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worksheet+xml" PartName="/xl/worksheets/sheet12.xml"/>
  <Override ContentType="application/vnd.openxmlformats-officedocument.spreadsheetml.worksheet+xml" PartName="/xl/worksheets/sheet13.xml"/>
  <Override ContentType="application/vnd.openxmlformats-officedocument.spreadsheetml.worksheet+xml" PartName="/xl/worksheets/sheet14.xml"/>
  <Override ContentType="application/vnd.openxmlformats-officedocument.spreadsheetml.worksheet+xml" PartName="/xl/worksheets/sheet15.xml"/>
  <Override ContentType="application/vnd.openxmlformats-officedocument.spreadsheetml.worksheet+xml" PartName="/xl/worksheets/sheet16.xml"/>
  <Override ContentType="application/vnd.openxmlformats-officedocument.spreadsheetml.worksheet+xml" PartName="/xl/worksheets/sheet17.xml"/>
  <Override ContentType="application/vnd.openxmlformats-officedocument.spreadsheetml.worksheet+xml" PartName="/xl/worksheets/sheet18.xml"/>
  <Override ContentType="application/vnd.openxmlformats-officedocument.spreadsheetml.worksheet+xml" PartName="/xl/worksheets/sheet19.xml"/>
  <Override ContentType="application/vnd.openxmlformats-officedocument.spreadsheetml.worksheet+xml" PartName="/xl/worksheets/sheet20.xml"/>
  <Override ContentType="application/vnd.openxmlformats-officedocument.spreadsheetml.worksheet+xml" PartName="/xl/worksheets/sheet21.xml"/>
  <Override ContentType="application/vnd.openxmlformats-officedocument.spreadsheetml.worksheet+xml" PartName="/xl/worksheets/sheet22.xml"/>
  <Override ContentType="application/vnd.openxmlformats-officedocument.spreadsheetml.worksheet+xml" PartName="/xl/worksheets/sheet23.xml"/>
  <Override ContentType="application/vnd.openxmlformats-officedocument.spreadsheetml.worksheet+xml" PartName="/xl/worksheets/sheet24.xml"/>
  <Override ContentType="application/vnd.openxmlformats-officedocument.spreadsheetml.worksheet+xml" PartName="/xl/worksheets/sheet25.xml"/>
  <Override ContentType="application/vnd.openxmlformats-officedocument.spreadsheetml.worksheet+xml" PartName="/xl/worksheets/sheet26.xml"/>
  <Override ContentType="application/vnd.openxmlformats-officedocument.spreadsheetml.worksheet+xml" PartName="/xl/worksheets/sheet27.xml"/>
  <Override ContentType="application/vnd.openxmlformats-officedocument.spreadsheetml.worksheet+xml" PartName="/xl/worksheets/sheet28.xml"/>
  <Override ContentType="application/vnd.openxmlformats-officedocument.spreadsheetml.worksheet+xml" PartName="/xl/worksheets/sheet29.xml"/>
  <Override ContentType="application/vnd.openxmlformats-officedocument.spreadsheetml.worksheet+xml" PartName="/xl/worksheets/sheet30.xml"/>
  <Override ContentType="application/vnd.openxmlformats-officedocument.spreadsheetml.worksheet+xml" PartName="/xl/worksheets/sheet31.xml"/>
  <Override ContentType="application/vnd.openxmlformats-officedocument.spreadsheetml.worksheet+xml" PartName="/xl/worksheets/sheet32.xml"/>
  <Override ContentType="application/vnd.openxmlformats-officedocument.spreadsheetml.worksheet+xml" PartName="/xl/worksheets/sheet33.xml"/>
  <Override ContentType="application/vnd.openxmlformats-officedocument.spreadsheetml.worksheet+xml" PartName="/xl/worksheets/sheet34.xml"/>
  <Override ContentType="application/vnd.openxmlformats-officedocument.spreadsheetml.worksheet+xml" PartName="/xl/worksheets/sheet35.xml"/>
  <Override ContentType="application/vnd.openxmlformats-officedocument.spreadsheetml.worksheet+xml" PartName="/xl/worksheets/sheet36.xml"/>
  <Override ContentType="application/vnd.openxmlformats-officedocument.spreadsheetml.worksheet+xml" PartName="/xl/worksheets/sheet37.xml"/>
  <Override ContentType="application/vnd.openxmlformats-officedocument.spreadsheetml.worksheet+xml" PartName="/xl/worksheets/sheet38.xml"/>
  <Override ContentType="application/vnd.openxmlformats-officedocument.spreadsheetml.worksheet+xml" PartName="/xl/worksheets/sheet39.xml"/>
  <Override ContentType="application/vnd.openxmlformats-officedocument.spreadsheetml.worksheet+xml" PartName="/xl/worksheets/sheet40.xml"/>
  <Override ContentType="application/vnd.openxmlformats-officedocument.spreadsheetml.worksheet+xml" PartName="/xl/worksheets/sheet41.xml"/>
  <Override ContentType="application/vnd.openxmlformats-officedocument.spreadsheetml.worksheet+xml" PartName="/xl/worksheets/sheet42.xml"/>
  <Override ContentType="application/vnd.openxmlformats-officedocument.spreadsheetml.worksheet+xml" PartName="/xl/worksheets/sheet43.xml"/>
  <Override ContentType="application/vnd.openxmlformats-officedocument.spreadsheetml.worksheet+xml" PartName="/xl/worksheets/sheet44.xml"/>
  <Override ContentType="application/vnd.openxmlformats-officedocument.spreadsheetml.worksheet+xml" PartName="/xl/worksheets/sheet45.xml"/>
  <Override ContentType="application/vnd.openxmlformats-officedocument.spreadsheetml.worksheet+xml" PartName="/xl/worksheets/sheet46.xml"/>
  <Override ContentType="application/vnd.openxmlformats-officedocument.spreadsheetml.worksheet+xml" PartName="/xl/worksheets/sheet47.xml"/>
  <Override ContentType="application/vnd.openxmlformats-officedocument.spreadsheetml.worksheet+xml" PartName="/xl/worksheets/sheet48.xml"/>
  <Override ContentType="application/vnd.openxmlformats-officedocument.spreadsheetml.worksheet+xml" PartName="/xl/worksheets/sheet49.xml"/>
  <Override ContentType="application/vnd.openxmlformats-officedocument.spreadsheetml.worksheet+xml" PartName="/xl/worksheets/sheet50.xml"/>
  <Override ContentType="application/vnd.openxmlformats-officedocument.spreadsheetml.worksheet+xml" PartName="/xl/worksheets/sheet51.xml"/>
  <Override ContentType="application/vnd.openxmlformats-officedocument.spreadsheetml.worksheet+xml" PartName="/xl/worksheets/sheet52.xml"/>
  <Override ContentType="application/vnd.openxmlformats-officedocument.spreadsheetml.worksheet+xml" PartName="/xl/worksheets/sheet53.xml"/>
  <Override ContentType="application/vnd.openxmlformats-officedocument.spreadsheetml.worksheet+xml" PartName="/xl/worksheets/sheet54.xml"/>
  <Override ContentType="application/vnd.openxmlformats-officedocument.spreadsheetml.worksheet+xml" PartName="/xl/worksheets/sheet55.xml"/>
  <Override ContentType="application/vnd.openxmlformats-officedocument.spreadsheetml.worksheet+xml" PartName="/xl/worksheets/sheet56.xml"/>
  <Override ContentType="application/vnd.openxmlformats-officedocument.spreadsheetml.worksheet+xml" PartName="/xl/worksheets/sheet57.xml"/>
  <Override ContentType="application/vnd.openxmlformats-officedocument.spreadsheetml.worksheet+xml" PartName="/xl/worksheets/sheet58.xml"/>
  <Override ContentType="application/vnd.openxmlformats-officedocument.spreadsheetml.worksheet+xml" PartName="/xl/worksheets/sheet59.xml"/>
  <Override ContentType="application/vnd.openxmlformats-officedocument.spreadsheetml.worksheet+xml" PartName="/xl/worksheets/sheet60.xml"/>
  <Override ContentType="application/vnd.openxmlformats-officedocument.spreadsheetml.worksheet+xml" PartName="/xl/worksheets/sheet61.xml"/>
  <Override ContentType="application/vnd.openxmlformats-officedocument.spreadsheetml.worksheet+xml" PartName="/xl/worksheets/sheet62.xml"/>
  <Override ContentType="application/vnd.openxmlformats-officedocument.spreadsheetml.worksheet+xml" PartName="/xl/worksheets/sheet63.xml"/>
  <Override ContentType="application/vnd.openxmlformats-officedocument.spreadsheetml.worksheet+xml" PartName="/xl/worksheets/sheet64.xml"/>
  <Override ContentType="application/vnd.openxmlformats-officedocument.spreadsheetml.worksheet+xml" PartName="/xl/worksheets/sheet65.xml"/>
  <Override ContentType="application/vnd.openxmlformats-officedocument.spreadsheetml.worksheet+xml" PartName="/xl/worksheets/sheet66.xml"/>
  <Override ContentType="application/vnd.openxmlformats-officedocument.spreadsheetml.worksheet+xml" PartName="/xl/worksheets/sheet67.xml"/>
  <Override ContentType="application/vnd.openxmlformats-officedocument.spreadsheetml.worksheet+xml" PartName="/xl/worksheets/sheet68.xml"/>
  <Override ContentType="application/vnd.openxmlformats-officedocument.spreadsheetml.worksheet+xml" PartName="/xl/worksheets/sheet69.xml"/>
  <Override ContentType="application/vnd.openxmlformats-officedocument.spreadsheetml.worksheet+xml" PartName="/xl/worksheets/sheet70.xml"/>
  <Override ContentType="application/vnd.openxmlformats-officedocument.spreadsheetml.worksheet+xml" PartName="/xl/worksheets/sheet71.xml"/>
  <Override ContentType="application/vnd.openxmlformats-officedocument.spreadsheetml.worksheet+xml" PartName="/xl/worksheets/sheet72.xml"/>
  <Override ContentType="application/vnd.openxmlformats-officedocument.spreadsheetml.worksheet+xml" PartName="/xl/worksheets/sheet73.xml"/>
  <Override ContentType="application/vnd.openxmlformats-officedocument.spreadsheetml.worksheet+xml" PartName="/xl/worksheets/sheet74.xml"/>
  <Override ContentType="application/vnd.openxmlformats-officedocument.spreadsheetml.worksheet+xml" PartName="/xl/worksheets/sheet75.xml"/>
  <Override ContentType="application/vnd.openxmlformats-officedocument.spreadsheetml.worksheet+xml" PartName="/xl/worksheets/sheet76.xml"/>
  <Override ContentType="application/vnd.openxmlformats-officedocument.spreadsheetml.worksheet+xml" PartName="/xl/worksheets/sheet77.xml"/>
  <Override ContentType="application/vnd.openxmlformats-officedocument.spreadsheetml.worksheet+xml" PartName="/xl/worksheets/sheet78.xml"/>
  <Override ContentType="application/vnd.openxmlformats-officedocument.spreadsheetml.worksheet+xml" PartName="/xl/worksheets/sheet79.xml"/>
  <Override ContentType="application/vnd.openxmlformats-officedocument.spreadsheetml.worksheet+xml" PartName="/xl/worksheets/sheet80.xml"/>
  <Override ContentType="application/vnd.openxmlformats-officedocument.spreadsheetml.worksheet+xml" PartName="/xl/worksheets/sheet81.xml"/>
  <Override ContentType="application/vnd.openxmlformats-officedocument.spreadsheetml.worksheet+xml" PartName="/xl/worksheets/sheet82.xml"/>
  <Override ContentType="application/vnd.openxmlformats-officedocument.spreadsheetml.worksheet+xml" PartName="/xl/worksheets/sheet83.xml"/>
  <Override ContentType="application/vnd.openxmlformats-officedocument.spreadsheetml.worksheet+xml" PartName="/xl/worksheets/sheet84.xml"/>
  <Override ContentType="application/vnd.openxmlformats-officedocument.spreadsheetml.worksheet+xml" PartName="/xl/worksheets/sheet85.xml"/>
  <Override ContentType="application/vnd.openxmlformats-officedocument.spreadsheetml.worksheet+xml" PartName="/xl/worksheets/sheet86.xml"/>
  <Override ContentType="application/vnd.openxmlformats-officedocument.spreadsheetml.worksheet+xml" PartName="/xl/worksheets/sheet87.xml"/>
  <Override ContentType="application/vnd.openxmlformats-officedocument.spreadsheetml.worksheet+xml" PartName="/xl/worksheets/sheet88.xml"/>
  <Override ContentType="application/vnd.openxmlformats-officedocument.spreadsheetml.worksheet+xml" PartName="/xl/worksheets/sheet89.xml"/>
  <Override ContentType="application/vnd.openxmlformats-officedocument.spreadsheetml.worksheet+xml" PartName="/xl/worksheets/sheet90.xml"/>
  <Override ContentType="application/vnd.openxmlformats-officedocument.spreadsheetml.worksheet+xml" PartName="/xl/worksheets/sheet91.xml"/>
  <Override ContentType="application/vnd.openxmlformats-officedocument.spreadsheetml.worksheet+xml" PartName="/xl/worksheets/sheet92.xml"/>
  <Override ContentType="application/vnd.openxmlformats-officedocument.spreadsheetml.worksheet+xml" PartName="/xl/worksheets/sheet93.xml"/>
  <Override ContentType="application/vnd.openxmlformats-officedocument.spreadsheetml.worksheet+xml" PartName="/xl/worksheets/sheet94.xml"/>
  <Override ContentType="application/vnd.openxmlformats-officedocument.spreadsheetml.worksheet+xml" PartName="/xl/worksheets/sheet95.xml"/>
  <Override ContentType="application/vnd.openxmlformats-officedocument.spreadsheetml.worksheet+xml" PartName="/xl/worksheets/sheet96.xml"/>
  <Override ContentType="application/vnd.openxmlformats-officedocument.spreadsheetml.worksheet+xml" PartName="/xl/worksheets/sheet97.xml"/>
  <Override ContentType="application/vnd.openxmlformats-officedocument.spreadsheetml.worksheet+xml" PartName="/xl/worksheets/sheet98.xml"/>
  <Override ContentType="application/vnd.openxmlformats-officedocument.spreadsheetml.worksheet+xml" PartName="/xl/worksheets/sheet99.xml"/>
  <Override ContentType="application/vnd.openxmlformats-officedocument.spreadsheetml.worksheet+xml" PartName="/xl/worksheets/sheet100.xml"/>
  <Override ContentType="application/vnd.openxmlformats-officedocument.spreadsheetml.worksheet+xml" PartName="/xl/worksheets/sheet101.xml"/>
  <Override ContentType="application/vnd.openxmlformats-officedocument.spreadsheetml.worksheet+xml" PartName="/xl/worksheets/sheet102.xml"/>
  <Override ContentType="application/vnd.openxmlformats-officedocument.spreadsheetml.worksheet+xml" PartName="/xl/worksheets/sheet103.xml"/>
  <Override ContentType="application/vnd.openxmlformats-officedocument.spreadsheetml.worksheet+xml" PartName="/xl/worksheets/sheet104.xml"/>
  <Override ContentType="application/vnd.openxmlformats-officedocument.spreadsheetml.worksheet+xml" PartName="/xl/worksheets/sheet105.xml"/>
  <Override ContentType="application/vnd.openxmlformats-officedocument.spreadsheetml.worksheet+xml" PartName="/xl/worksheets/sheet106.xml"/>
  <Override ContentType="application/vnd.openxmlformats-officedocument.spreadsheetml.worksheet+xml" PartName="/xl/worksheets/sheet107.xml"/>
  <Override ContentType="application/vnd.openxmlformats-officedocument.spreadsheetml.worksheet+xml" PartName="/xl/worksheets/sheet108.xml"/>
  <Override ContentType="application/vnd.openxmlformats-officedocument.spreadsheetml.worksheet+xml" PartName="/xl/worksheets/sheet109.xml"/>
  <Override ContentType="application/vnd.openxmlformats-officedocument.spreadsheetml.worksheet+xml" PartName="/xl/worksheets/sheet110.xml"/>
  <Override ContentType="application/vnd.openxmlformats-officedocument.spreadsheetml.worksheet+xml" PartName="/xl/worksheets/sheet111.xml"/>
  <Override ContentType="application/vnd.openxmlformats-officedocument.spreadsheetml.worksheet+xml" PartName="/xl/worksheets/sheet112.xml"/>
  <Override ContentType="application/vnd.openxmlformats-officedocument.spreadsheetml.worksheet+xml" PartName="/xl/worksheets/sheet113.xml"/>
  <Override ContentType="application/vnd.openxmlformats-officedocument.spreadsheetml.worksheet+xml" PartName="/xl/worksheets/sheet114.xml"/>
  <Override ContentType="application/vnd.openxmlformats-officedocument.spreadsheetml.worksheet+xml" PartName="/xl/worksheets/sheet115.xml"/>
  <Override ContentType="application/vnd.openxmlformats-officedocument.spreadsheetml.worksheet+xml" PartName="/xl/worksheets/sheet116.xml"/>
  <Override ContentType="application/vnd.openxmlformats-officedocument.spreadsheetml.worksheet+xml" PartName="/xl/worksheets/sheet117.xml"/>
  <Override ContentType="application/vnd.openxmlformats-officedocument.spreadsheetml.worksheet+xml" PartName="/xl/worksheets/sheet118.xml"/>
  <Override ContentType="application/vnd.openxmlformats-officedocument.spreadsheetml.worksheet+xml" PartName="/xl/worksheets/sheet119.xml"/>
  <Override ContentType="application/vnd.openxmlformats-officedocument.spreadsheetml.worksheet+xml" PartName="/xl/worksheets/sheet120.xml"/>
  <Override ContentType="application/vnd.openxmlformats-officedocument.spreadsheetml.worksheet+xml" PartName="/xl/worksheets/sheet121.xml"/>
  <Override ContentType="application/vnd.openxmlformats-officedocument.spreadsheetml.worksheet+xml" PartName="/xl/worksheets/sheet122.xml"/>
  <Override ContentType="application/vnd.openxmlformats-officedocument.spreadsheetml.worksheet+xml" PartName="/xl/worksheets/sheet123.xml"/>
  <Override ContentType="application/vnd.openxmlformats-officedocument.spreadsheetml.worksheet+xml" PartName="/xl/worksheets/sheet124.xml"/>
  <Override ContentType="application/vnd.openxmlformats-officedocument.spreadsheetml.worksheet+xml" PartName="/xl/worksheets/sheet125.xml"/>
  <Override ContentType="application/vnd.openxmlformats-officedocument.spreadsheetml.worksheet+xml" PartName="/xl/worksheets/sheet126.xml"/>
  <Override ContentType="application/vnd.openxmlformats-officedocument.spreadsheetml.worksheet+xml" PartName="/xl/worksheets/sheet127.xml"/>
  <Override ContentType="application/vnd.openxmlformats-officedocument.spreadsheetml.worksheet+xml" PartName="/xl/worksheets/sheet128.xml"/>
  <Override ContentType="application/vnd.openxmlformats-officedocument.spreadsheetml.worksheet+xml" PartName="/xl/worksheets/sheet129.xml"/>
  <Override ContentType="application/vnd.openxmlformats-officedocument.spreadsheetml.worksheet+xml" PartName="/xl/worksheets/sheet130.xml"/>
  <Override ContentType="application/vnd.openxmlformats-officedocument.spreadsheetml.worksheet+xml" PartName="/xl/worksheets/sheet131.xml"/>
  <Override ContentType="application/vnd.openxmlformats-officedocument.spreadsheetml.worksheet+xml" PartName="/xl/worksheets/sheet132.xml"/>
  <Override ContentType="application/vnd.openxmlformats-officedocument.spreadsheetml.worksheet+xml" PartName="/xl/worksheets/sheet133.xml"/>
  <Override ContentType="application/vnd.openxmlformats-officedocument.spreadsheetml.worksheet+xml" PartName="/xl/worksheets/sheet134.xml"/>
  <Override ContentType="application/vnd.openxmlformats-officedocument.spreadsheetml.worksheet+xml" PartName="/xl/worksheets/sheet135.xml"/>
  <Override ContentType="application/vnd.openxmlformats-officedocument.spreadsheetml.worksheet+xml" PartName="/xl/worksheets/sheet136.xml"/>
  <Override ContentType="application/vnd.openxmlformats-officedocument.spreadsheetml.worksheet+xml" PartName="/xl/worksheets/sheet137.xml"/>
  <Override ContentType="application/vnd.openxmlformats-officedocument.spreadsheetml.worksheet+xml" PartName="/xl/worksheets/sheet138.xml"/>
  <Override ContentType="application/vnd.openxmlformats-officedocument.spreadsheetml.worksheet+xml" PartName="/xl/worksheets/sheet139.xml"/>
  <Override ContentType="application/vnd.openxmlformats-officedocument.spreadsheetml.worksheet+xml" PartName="/xl/worksheets/sheet140.xml"/>
  <Override ContentType="application/vnd.openxmlformats-officedocument.spreadsheetml.worksheet+xml" PartName="/xl/worksheets/sheet141.xml"/>
  <Override ContentType="application/vnd.openxmlformats-officedocument.spreadsheetml.worksheet+xml" PartName="/xl/worksheets/sheet142.xml"/>
  <Override ContentType="application/vnd.openxmlformats-officedocument.spreadsheetml.worksheet+xml" PartName="/xl/worksheets/sheet143.xml"/>
  <Override ContentType="application/vnd.openxmlformats-officedocument.spreadsheetml.worksheet+xml" PartName="/xl/worksheets/sheet144.xml"/>
  <Override ContentType="application/vnd.openxmlformats-officedocument.spreadsheetml.worksheet+xml" PartName="/xl/worksheets/sheet145.xml"/>
  <Override ContentType="application/vnd.openxmlformats-officedocument.spreadsheetml.worksheet+xml" PartName="/xl/worksheets/sheet146.xml"/>
  <Override ContentType="application/vnd.openxmlformats-officedocument.spreadsheetml.worksheet+xml" PartName="/xl/worksheets/sheet147.xml"/>
  <Override ContentType="application/vnd.openxmlformats-officedocument.spreadsheetml.worksheet+xml" PartName="/xl/worksheets/sheet148.xml"/>
  <Override ContentType="application/vnd.openxmlformats-officedocument.spreadsheetml.worksheet+xml" PartName="/xl/worksheets/sheet149.xml"/>
  <Override ContentType="application/vnd.openxmlformats-officedocument.spreadsheetml.worksheet+xml" PartName="/xl/worksheets/sheet150.xml"/>
  <Override ContentType="application/vnd.openxmlformats-officedocument.spreadsheetml.worksheet+xml" PartName="/xl/worksheets/sheet151.xml"/>
  <Override ContentType="application/vnd.openxmlformats-officedocument.spreadsheetml.worksheet+xml" PartName="/xl/worksheets/sheet152.xml"/>
  <Override ContentType="application/vnd.openxmlformats-officedocument.spreadsheetml.worksheet+xml" PartName="/xl/worksheets/sheet153.xml"/>
  <Override ContentType="application/vnd.openxmlformats-officedocument.spreadsheetml.worksheet+xml" PartName="/xl/worksheets/sheet154.xml"/>
  <Override ContentType="application/vnd.openxmlformats-officedocument.spreadsheetml.worksheet+xml" PartName="/xl/worksheets/sheet155.xml"/>
  <Override ContentType="application/vnd.openxmlformats-officedocument.spreadsheetml.worksheet+xml" PartName="/xl/worksheets/sheet156.xml"/>
  <Override ContentType="application/vnd.openxmlformats-officedocument.spreadsheetml.worksheet+xml" PartName="/xl/worksheets/sheet157.xml"/>
  <Override ContentType="application/vnd.openxmlformats-officedocument.spreadsheetml.worksheet+xml" PartName="/xl/worksheets/sheet158.xml"/>
  <Override ContentType="application/vnd.openxmlformats-officedocument.spreadsheetml.worksheet+xml" PartName="/xl/worksheets/sheet159.xml"/>
  <Override ContentType="application/vnd.openxmlformats-officedocument.spreadsheetml.worksheet+xml" PartName="/xl/worksheets/sheet160.xml"/>
  <Override ContentType="application/vnd.openxmlformats-officedocument.spreadsheetml.worksheet+xml" PartName="/xl/worksheets/sheet161.xml"/>
  <Override ContentType="application/vnd.openxmlformats-officedocument.spreadsheetml.worksheet+xml" PartName="/xl/worksheets/sheet162.xml"/>
  <Override ContentType="application/vnd.openxmlformats-officedocument.spreadsheetml.worksheet+xml" PartName="/xl/worksheets/sheet163.xml"/>
  <Override ContentType="application/vnd.openxmlformats-officedocument.spreadsheetml.worksheet+xml" PartName="/xl/worksheets/sheet164.xml"/>
  <Override ContentType="application/vnd.openxmlformats-officedocument.spreadsheetml.worksheet+xml" PartName="/xl/worksheets/sheet165.xml"/>
  <Override ContentType="application/vnd.openxmlformats-officedocument.spreadsheetml.worksheet+xml" PartName="/xl/worksheets/sheet166.xml"/>
  <Override ContentType="application/vnd.openxmlformats-officedocument.spreadsheetml.worksheet+xml" PartName="/xl/worksheets/sheet167.xml"/>
  <Override ContentType="application/vnd.openxmlformats-officedocument.spreadsheetml.worksheet+xml" PartName="/xl/worksheets/sheet168.xml"/>
  <Override ContentType="application/vnd.openxmlformats-officedocument.spreadsheetml.worksheet+xml" PartName="/xl/worksheets/sheet169.xml"/>
  <Override ContentType="application/vnd.openxmlformats-officedocument.spreadsheetml.worksheet+xml" PartName="/xl/worksheets/sheet170.xml"/>
  <Override ContentType="application/vnd.openxmlformats-officedocument.spreadsheetml.worksheet+xml" PartName="/xl/worksheets/sheet171.xml"/>
  <Override ContentType="application/vnd.openxmlformats-officedocument.spreadsheetml.worksheet+xml" PartName="/xl/worksheets/sheet172.xml"/>
  <Override ContentType="application/vnd.openxmlformats-officedocument.spreadsheetml.worksheet+xml" PartName="/xl/worksheets/sheet173.xml"/>
  <Override ContentType="application/vnd.openxmlformats-officedocument.spreadsheetml.worksheet+xml" PartName="/xl/worksheets/sheet174.xml"/>
  <Override ContentType="application/vnd.openxmlformats-officedocument.spreadsheetml.worksheet+xml" PartName="/xl/worksheets/sheet175.xml"/>
  <Override ContentType="application/vnd.openxmlformats-officedocument.spreadsheetml.worksheet+xml" PartName="/xl/worksheets/sheet176.xml"/>
  <Override ContentType="application/vnd.openxmlformats-officedocument.spreadsheetml.worksheet+xml" PartName="/xl/worksheets/sheet177.xml"/>
  <Override ContentType="application/vnd.openxmlformats-officedocument.spreadsheetml.worksheet+xml" PartName="/xl/worksheets/sheet178.xml"/>
  <Override ContentType="application/vnd.openxmlformats-officedocument.spreadsheetml.worksheet+xml" PartName="/xl/worksheets/sheet179.xml"/>
  <Override ContentType="application/vnd.openxmlformats-officedocument.spreadsheetml.worksheet+xml" PartName="/xl/worksheets/sheet180.xml"/>
  <Override ContentType="application/vnd.openxmlformats-officedocument.spreadsheetml.worksheet+xml" PartName="/xl/worksheets/sheet181.xml"/>
  <Override ContentType="application/vnd.openxmlformats-officedocument.spreadsheetml.worksheet+xml" PartName="/xl/worksheets/sheet182.xml"/>
  <Override ContentType="application/vnd.openxmlformats-officedocument.spreadsheetml.worksheet+xml" PartName="/xl/worksheets/sheet183.xml"/>
  <Override ContentType="application/vnd.openxmlformats-officedocument.spreadsheetml.worksheet+xml" PartName="/xl/worksheets/sheet184.xml"/>
  <Override ContentType="application/vnd.openxmlformats-officedocument.spreadsheetml.worksheet+xml" PartName="/xl/worksheets/sheet185.xml"/>
  <Override ContentType="application/vnd.openxmlformats-officedocument.spreadsheetml.worksheet+xml" PartName="/xl/worksheets/sheet186.xml"/>
  <Override ContentType="application/vnd.openxmlformats-officedocument.spreadsheetml.worksheet+xml" PartName="/xl/worksheets/sheet187.xml"/>
  <Override ContentType="application/vnd.openxmlformats-officedocument.spreadsheetml.worksheet+xml" PartName="/xl/worksheets/sheet188.xml"/>
  <Override ContentType="application/vnd.openxmlformats-officedocument.spreadsheetml.worksheet+xml" PartName="/xl/worksheets/sheet189.xml"/>
  <Override ContentType="application/vnd.openxmlformats-officedocument.spreadsheetml.worksheet+xml" PartName="/xl/worksheets/sheet190.xml"/>
  <Override ContentType="application/vnd.openxmlformats-officedocument.spreadsheetml.worksheet+xml" PartName="/xl/worksheets/sheet191.xml"/>
  <Override ContentType="application/vnd.openxmlformats-officedocument.spreadsheetml.worksheet+xml" PartName="/xl/worksheets/sheet192.xml"/>
  <Override ContentType="application/vnd.openxmlformats-officedocument.spreadsheetml.worksheet+xml" PartName="/xl/worksheets/sheet193.xml"/>
  <Override ContentType="application/vnd.openxmlformats-officedocument.spreadsheetml.worksheet+xml" PartName="/xl/worksheets/sheet194.xml"/>
  <Override ContentType="application/vnd.openxmlformats-officedocument.spreadsheetml.worksheet+xml" PartName="/xl/worksheets/sheet195.xml"/>
  <Override ContentType="application/vnd.openxmlformats-officedocument.spreadsheetml.worksheet+xml" PartName="/xl/worksheets/sheet196.xml"/>
  <Override ContentType="application/vnd.openxmlformats-officedocument.spreadsheetml.worksheet+xml" PartName="/xl/worksheets/sheet197.xml"/>
  <Override ContentType="application/vnd.openxmlformats-officedocument.spreadsheetml.worksheet+xml" PartName="/xl/worksheets/sheet198.xml"/>
  <Override ContentType="application/vnd.openxmlformats-officedocument.spreadsheetml.worksheet+xml" PartName="/xl/worksheets/sheet199.xml"/>
  <Override ContentType="application/vnd.openxmlformats-officedocument.spreadsheetml.worksheet+xml" PartName="/xl/worksheets/sheet200.xml"/>
  <Override ContentType="application/vnd.openxmlformats-officedocument.spreadsheetml.worksheet+xml" PartName="/xl/worksheets/sheet201.xml"/>
  <Override ContentType="application/vnd.openxmlformats-officedocument.spreadsheetml.worksheet+xml" PartName="/xl/worksheets/sheet202.xml"/>
  <Override ContentType="application/vnd.openxmlformats-officedocument.spreadsheetml.worksheet+xml" PartName="/xl/worksheets/sheet203.xml"/>
  <Override ContentType="application/vnd.openxmlformats-officedocument.spreadsheetml.worksheet+xml" PartName="/xl/worksheets/sheet204.xml"/>
  <Override ContentType="application/vnd.openxmlformats-officedocument.spreadsheetml.worksheet+xml" PartName="/xl/worksheets/sheet205.xml"/>
  <Override ContentType="application/vnd.openxmlformats-officedocument.spreadsheetml.worksheet+xml" PartName="/xl/worksheets/sheet206.xml"/>
  <Override ContentType="application/vnd.openxmlformats-officedocument.spreadsheetml.worksheet+xml" PartName="/xl/worksheets/sheet207.xml"/>
  <Override ContentType="application/vnd.openxmlformats-officedocument.spreadsheetml.worksheet+xml" PartName="/xl/worksheets/sheet208.xml"/>
  <Override ContentType="application/vnd.openxmlformats-officedocument.spreadsheetml.worksheet+xml" PartName="/xl/worksheets/sheet209.xml"/>
  <Override ContentType="application/vnd.openxmlformats-officedocument.spreadsheetml.worksheet+xml" PartName="/xl/worksheets/sheet210.xml"/>
  <Override ContentType="application/vnd.openxmlformats-officedocument.spreadsheetml.worksheet+xml" PartName="/xl/worksheets/sheet211.xml"/>
  <Override ContentType="application/vnd.openxmlformats-officedocument.spreadsheetml.worksheet+xml" PartName="/xl/worksheets/sheet212.xml"/>
  <Override ContentType="application/vnd.openxmlformats-officedocument.spreadsheetml.worksheet+xml" PartName="/xl/worksheets/sheet213.xml"/>
  <Override ContentType="application/vnd.openxmlformats-officedocument.spreadsheetml.worksheet+xml" PartName="/xl/worksheets/sheet214.xml"/>
  <Override ContentType="application/vnd.openxmlformats-officedocument.spreadsheetml.worksheet+xml" PartName="/xl/worksheets/sheet215.xml"/>
  <Override ContentType="application/vnd.openxmlformats-officedocument.spreadsheetml.worksheet+xml" PartName="/xl/worksheets/sheet216.xml"/>
  <Override ContentType="application/vnd.openxmlformats-officedocument.spreadsheetml.worksheet+xml" PartName="/xl/worksheets/sheet217.xml"/>
  <Override ContentType="application/vnd.openxmlformats-officedocument.spreadsheetml.worksheet+xml" PartName="/xl/worksheets/sheet218.xml"/>
  <Override ContentType="application/vnd.openxmlformats-officedocument.spreadsheetml.worksheet+xml" PartName="/xl/worksheets/sheet219.xml"/>
  <Override ContentType="application/vnd.openxmlformats-officedocument.spreadsheetml.worksheet+xml" PartName="/xl/worksheets/sheet220.xml"/>
  <Override ContentType="application/vnd.openxmlformats-officedocument.spreadsheetml.worksheet+xml" PartName="/xl/worksheets/sheet221.xml"/>
  <Override ContentType="application/vnd.openxmlformats-officedocument.spreadsheetml.worksheet+xml" PartName="/xl/worksheets/sheet222.xml"/>
  <Override ContentType="application/vnd.openxmlformats-officedocument.spreadsheetml.worksheet+xml" PartName="/xl/worksheets/sheet223.xml"/>
  <Override ContentType="application/vnd.openxmlformats-officedocument.spreadsheetml.worksheet+xml" PartName="/xl/worksheets/sheet224.xml"/>
  <Override ContentType="application/vnd.openxmlformats-officedocument.spreadsheetml.worksheet+xml" PartName="/xl/worksheets/sheet225.xml"/>
  <Override ContentType="application/vnd.openxmlformats-officedocument.spreadsheetml.worksheet+xml" PartName="/xl/worksheets/sheet226.xml"/>
  <Override ContentType="application/vnd.openxmlformats-officedocument.spreadsheetml.worksheet+xml" PartName="/xl/worksheets/sheet227.xml"/>
  <Override ContentType="application/vnd.openxmlformats-officedocument.spreadsheetml.worksheet+xml" PartName="/xl/worksheets/sheet228.xml"/>
  <Override ContentType="application/vnd.openxmlformats-officedocument.spreadsheetml.worksheet+xml" PartName="/xl/worksheets/sheet229.xml"/>
  <Override ContentType="application/vnd.openxmlformats-officedocument.spreadsheetml.worksheet+xml" PartName="/xl/worksheets/sheet230.xml"/>
  <Override ContentType="application/vnd.openxmlformats-officedocument.spreadsheetml.worksheet+xml" PartName="/xl/worksheets/sheet231.xml"/>
  <Override ContentType="application/vnd.openxmlformats-officedocument.spreadsheetml.worksheet+xml" PartName="/xl/worksheets/sheet232.xml"/>
  <Override ContentType="application/vnd.openxmlformats-officedocument.spreadsheetml.worksheet+xml" PartName="/xl/worksheets/sheet233.xml"/>
  <Override ContentType="application/vnd.openxmlformats-officedocument.spreadsheetml.worksheet+xml" PartName="/xl/worksheets/sheet234.xml"/>
  <Override ContentType="application/vnd.openxmlformats-officedocument.spreadsheetml.worksheet+xml" PartName="/xl/worksheets/sheet235.xml"/>
  <Override ContentType="application/vnd.openxmlformats-officedocument.spreadsheetml.worksheet+xml" PartName="/xl/worksheets/sheet236.xml"/>
  <Override ContentType="application/vnd.openxmlformats-officedocument.spreadsheetml.worksheet+xml" PartName="/xl/worksheets/sheet237.xml"/>
  <Override ContentType="application/vnd.openxmlformats-officedocument.spreadsheetml.worksheet+xml" PartName="/xl/worksheets/sheet238.xml"/>
  <Override ContentType="application/vnd.openxmlformats-officedocument.spreadsheetml.worksheet+xml" PartName="/xl/worksheets/sheet239.xml"/>
  <Override ContentType="application/vnd.openxmlformats-officedocument.spreadsheetml.worksheet+xml" PartName="/xl/worksheets/sheet240.xml"/>
  <Override ContentType="application/vnd.openxmlformats-officedocument.spreadsheetml.worksheet+xml" PartName="/xl/worksheets/sheet241.xml"/>
  <Override ContentType="application/vnd.openxmlformats-officedocument.spreadsheetml.worksheet+xml" PartName="/xl/worksheets/sheet242.xml"/>
  <Override ContentType="application/vnd.openxmlformats-officedocument.spreadsheetml.worksheet+xml" PartName="/xl/worksheets/sheet243.xml"/>
  <Override ContentType="application/vnd.openxmlformats-officedocument.spreadsheetml.worksheet+xml" PartName="/xl/worksheets/sheet244.xml"/>
  <Override ContentType="application/vnd.openxmlformats-officedocument.spreadsheetml.worksheet+xml" PartName="/xl/worksheets/sheet245.xml"/>
  <Override ContentType="application/vnd.openxmlformats-officedocument.spreadsheetml.worksheet+xml" PartName="/xl/worksheets/sheet246.xml"/>
  <Override ContentType="application/vnd.openxmlformats-officedocument.spreadsheetml.worksheet+xml" PartName="/xl/worksheets/sheet247.xml"/>
  <Override ContentType="application/vnd.openxmlformats-officedocument.spreadsheetml.worksheet+xml" PartName="/xl/worksheets/sheet248.xml"/>
  <Override ContentType="application/vnd.openxmlformats-officedocument.spreadsheetml.worksheet+xml" PartName="/xl/worksheets/sheet249.xml"/>
  <Override ContentType="application/vnd.openxmlformats-officedocument.spreadsheetml.worksheet+xml" PartName="/xl/worksheets/sheet250.xml"/>
  <Override ContentType="application/vnd.openxmlformats-officedocument.spreadsheetml.worksheet+xml" PartName="/xl/worksheets/sheet251.xml"/>
  <Override ContentType="application/vnd.openxmlformats-officedocument.spreadsheetml.worksheet+xml" PartName="/xl/worksheets/sheet252.xml"/>
  <Override ContentType="application/vnd.openxmlformats-officedocument.spreadsheetml.worksheet+xml" PartName="/xl/worksheets/sheet253.xml"/>
  <Override ContentType="application/vnd.openxmlformats-officedocument.spreadsheetml.worksheet+xml" PartName="/xl/worksheets/sheet254.xml"/>
  <Override ContentType="application/vnd.openxmlformats-officedocument.spreadsheetml.worksheet+xml" PartName="/xl/worksheets/sheet255.xml"/>
  <Override ContentType="application/vnd.openxmlformats-officedocument.spreadsheetml.worksheet+xml" PartName="/xl/worksheets/sheet256.xml"/>
  <Override ContentType="application/vnd.openxmlformats-officedocument.spreadsheetml.worksheet+xml" PartName="/xl/worksheets/sheet257.xml"/>
  <Override ContentType="application/vnd.openxmlformats-officedocument.spreadsheetml.worksheet+xml" PartName="/xl/worksheets/sheet258.xml"/>
  <Override ContentType="application/vnd.openxmlformats-officedocument.spreadsheetml.worksheet+xml" PartName="/xl/worksheets/sheet259.xml"/>
  <Override ContentType="application/vnd.openxmlformats-officedocument.spreadsheetml.worksheet+xml" PartName="/xl/worksheets/sheet260.xml"/>
  <Override ContentType="application/vnd.openxmlformats-officedocument.spreadsheetml.worksheet+xml" PartName="/xl/worksheets/sheet261.xml"/>
  <Override ContentType="application/vnd.openxmlformats-officedocument.spreadsheetml.worksheet+xml" PartName="/xl/worksheets/sheet262.xml"/>
  <Override ContentType="application/vnd.openxmlformats-officedocument.spreadsheetml.worksheet+xml" PartName="/xl/worksheets/sheet263.xml"/>
  <Override ContentType="application/vnd.openxmlformats-officedocument.spreadsheetml.worksheet+xml" PartName="/xl/worksheets/sheet264.xml"/>
  <Override ContentType="application/vnd.openxmlformats-officedocument.spreadsheetml.worksheet+xml" PartName="/xl/worksheets/sheet265.xml"/>
  <Override ContentType="application/vnd.openxmlformats-officedocument.spreadsheetml.worksheet+xml" PartName="/xl/worksheets/sheet266.xml"/>
  <Override ContentType="application/vnd.openxmlformats-officedocument.spreadsheetml.worksheet+xml" PartName="/xl/worksheets/sheet267.xml"/>
  <Override ContentType="application/vnd.openxmlformats-officedocument.spreadsheetml.worksheet+xml" PartName="/xl/worksheets/sheet268.xml"/>
  <Override ContentType="application/vnd.openxmlformats-officedocument.spreadsheetml.worksheet+xml" PartName="/xl/worksheets/sheet269.xml"/>
  <Override ContentType="application/vnd.openxmlformats-officedocument.spreadsheetml.worksheet+xml" PartName="/xl/worksheets/sheet270.xml"/>
  <Override ContentType="application/vnd.openxmlformats-officedocument.spreadsheetml.worksheet+xml" PartName="/xl/worksheets/sheet271.xml"/>
  <Override ContentType="application/vnd.openxmlformats-officedocument.spreadsheetml.worksheet+xml" PartName="/xl/worksheets/sheet272.xml"/>
  <Override ContentType="application/vnd.openxmlformats-officedocument.spreadsheetml.worksheet+xml" PartName="/xl/worksheets/sheet273.xml"/>
  <Override ContentType="application/vnd.openxmlformats-officedocument.spreadsheetml.worksheet+xml" PartName="/xl/worksheets/sheet274.xml"/>
  <Override ContentType="application/vnd.openxmlformats-officedocument.spreadsheetml.worksheet+xml" PartName="/xl/worksheets/sheet275.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Table of Contents" sheetId="1" r:id="rId1"/>
    <s:sheet name="DS269Q01C" sheetId="2" r:id="rId2"/>
    <s:sheet name="DS269Q03C" sheetId="3" r:id="rId3"/>
    <s:sheet name="CS269Q04S" sheetId="4" r:id="rId4"/>
    <s:sheet name="CS408Q01S" sheetId="5" r:id="rId5"/>
    <s:sheet name="DS408Q03C" sheetId="6" r:id="rId6"/>
    <s:sheet name="CS408Q04S" sheetId="7" r:id="rId7"/>
    <s:sheet name="CS408Q05S" sheetId="8" r:id="rId8"/>
    <s:sheet name="CS521Q02S" sheetId="9" r:id="rId9"/>
    <s:sheet name="CS521Q06S" sheetId="10" r:id="rId10"/>
    <s:sheet name="DS519Q01C" sheetId="11" r:id="rId11"/>
    <s:sheet name="CS519Q02S" sheetId="12" r:id="rId12"/>
    <s:sheet name="DS519Q03C" sheetId="13" r:id="rId13"/>
    <s:sheet name="CS527Q01S" sheetId="14" r:id="rId14"/>
    <s:sheet name="CS527Q03S" sheetId="15" r:id="rId15"/>
    <s:sheet name="CS527Q04S" sheetId="16" r:id="rId16"/>
    <s:sheet name="CS466Q01S" sheetId="17" r:id="rId17"/>
    <s:sheet name="CS466Q07S" sheetId="18" r:id="rId18"/>
    <s:sheet name="CS466Q05S" sheetId="19" r:id="rId19"/>
    <s:sheet name="DS326Q01C" sheetId="20" r:id="rId20"/>
    <s:sheet name="DS326Q02C" sheetId="21" r:id="rId21"/>
    <s:sheet name="CS326Q03S" sheetId="22" r:id="rId22"/>
    <s:sheet name="CS326Q04S" sheetId="23" r:id="rId23"/>
    <s:sheet name="CS256Q01S" sheetId="24" r:id="rId24"/>
    <s:sheet name="CS478Q01S" sheetId="25" r:id="rId25"/>
    <s:sheet name="CS478Q02S" sheetId="26" r:id="rId26"/>
    <s:sheet name="CS478Q03S" sheetId="27" r:id="rId27"/>
    <s:sheet name="CS413Q06S" sheetId="28" r:id="rId28"/>
    <s:sheet name="CS413Q04S" sheetId="29" r:id="rId29"/>
    <s:sheet name="CS413Q05S" sheetId="30" r:id="rId30"/>
    <s:sheet name="CS498Q02S" sheetId="31" r:id="rId31"/>
    <s:sheet name="CS498Q03S" sheetId="32" r:id="rId32"/>
    <s:sheet name="DS498Q04C" sheetId="33" r:id="rId33"/>
    <s:sheet name="DS425Q03C" sheetId="34" r:id="rId34"/>
    <s:sheet name="CS425Q05S" sheetId="35" r:id="rId35"/>
    <s:sheet name="CS425Q02S" sheetId="36" r:id="rId36"/>
    <s:sheet name="DS425Q04C" sheetId="37" r:id="rId37"/>
    <s:sheet name="DS465Q01C" sheetId="38" r:id="rId38"/>
    <s:sheet name="CS465Q02S" sheetId="39" r:id="rId39"/>
    <s:sheet name="CS465Q04S" sheetId="40" r:id="rId40"/>
    <s:sheet name="DS131Q02C" sheetId="41" r:id="rId41"/>
    <s:sheet name="DS131Q04C" sheetId="42" r:id="rId42"/>
    <s:sheet name="CS428Q01S" sheetId="43" r:id="rId43"/>
    <s:sheet name="CS428Q03S" sheetId="44" r:id="rId44"/>
    <s:sheet name="DS428Q05C" sheetId="45" r:id="rId45"/>
    <s:sheet name="DS514Q02C" sheetId="46" r:id="rId46"/>
    <s:sheet name="DS514Q03C" sheetId="47" r:id="rId47"/>
    <s:sheet name="DS514Q04C" sheetId="48" r:id="rId48"/>
    <s:sheet name="CS438Q01S" sheetId="49" r:id="rId49"/>
    <s:sheet name="CS438Q02S" sheetId="50" r:id="rId50"/>
    <s:sheet name="DS438Q03C" sheetId="51" r:id="rId51"/>
    <s:sheet name="CS415Q07S" sheetId="52" r:id="rId52"/>
    <s:sheet name="CS415Q02S" sheetId="53" r:id="rId53"/>
    <s:sheet name="CS415Q08S" sheetId="54" r:id="rId54"/>
    <s:sheet name="CS476Q01S" sheetId="55" r:id="rId55"/>
    <s:sheet name="CS476Q02S" sheetId="56" r:id="rId56"/>
    <s:sheet name="CS476Q03S" sheetId="57" r:id="rId57"/>
    <s:sheet name="CS495Q04S" sheetId="58" r:id="rId58"/>
    <s:sheet name="CS495Q01S" sheetId="59" r:id="rId59"/>
    <s:sheet name="CS495Q02S" sheetId="60" r:id="rId60"/>
    <s:sheet name="DS495Q03C" sheetId="61" r:id="rId61"/>
    <s:sheet name="CS268Q01S" sheetId="62" r:id="rId62"/>
    <s:sheet name="DS268Q02C" sheetId="63" r:id="rId63"/>
    <s:sheet name="CS268Q06S" sheetId="64" r:id="rId64"/>
    <s:sheet name="CS524Q06S" sheetId="65" r:id="rId65"/>
    <s:sheet name="DS524Q07C" sheetId="66" r:id="rId66"/>
    <s:sheet name="CS510Q01S" sheetId="67" r:id="rId67"/>
    <s:sheet name="DS510Q04C" sheetId="68" r:id="rId68"/>
    <s:sheet name="CS437Q01S" sheetId="69" r:id="rId69"/>
    <s:sheet name="CS437Q03S" sheetId="70" r:id="rId70"/>
    <s:sheet name="CS437Q04S" sheetId="71" r:id="rId71"/>
    <s:sheet name="DS437Q06C" sheetId="72" r:id="rId72"/>
    <s:sheet name="DS304Q01C" sheetId="73" r:id="rId73"/>
    <s:sheet name="CS304Q02S" sheetId="74" r:id="rId74"/>
    <s:sheet name="DS304Q03aC" sheetId="75" r:id="rId75"/>
    <s:sheet name="DS304Q03bC" sheetId="76" r:id="rId76"/>
    <s:sheet name="DS416Q01C" sheetId="77" r:id="rId77"/>
    <s:sheet name="DS458Q01C" sheetId="78" r:id="rId78"/>
    <s:sheet name="CS458Q02S" sheetId="79" r:id="rId79"/>
    <s:sheet name="CS421Q01S" sheetId="80" r:id="rId80"/>
    <s:sheet name="CS421Q02S" sheetId="81" r:id="rId81"/>
    <s:sheet name="CS421Q03S" sheetId="82" r:id="rId82"/>
    <s:sheet name="CS252Q01S" sheetId="83" r:id="rId83"/>
    <s:sheet name="CS252Q02S" sheetId="84" r:id="rId84"/>
    <s:sheet name="CS252Q03S" sheetId="85" r:id="rId85"/>
    <s:sheet name="CS327Q01S" sheetId="86" r:id="rId86"/>
    <s:sheet name="CS627Q01S" sheetId="87" r:id="rId87"/>
    <s:sheet name="CS627Q03S" sheetId="88" r:id="rId88"/>
    <s:sheet name="CS627Q04S" sheetId="89" r:id="rId89"/>
    <s:sheet name="CS635Q01S" sheetId="90" r:id="rId90"/>
    <s:sheet name="CS635Q02S" sheetId="91" r:id="rId91"/>
    <s:sheet name="DS635Q03C" sheetId="92" r:id="rId92"/>
    <s:sheet name="CS635Q04S" sheetId="93" r:id="rId93"/>
    <s:sheet name="DS635Q05C" sheetId="94" r:id="rId94"/>
    <s:sheet name="CS603Q01S" sheetId="95" r:id="rId95"/>
    <s:sheet name="DS603Q02C" sheetId="96" r:id="rId96"/>
    <s:sheet name="CS603Q03S" sheetId="97" r:id="rId97"/>
    <s:sheet name="CS603Q04S" sheetId="98" r:id="rId98"/>
    <s:sheet name="CS603Q05S" sheetId="99" r:id="rId99"/>
    <s:sheet name="CS602Q01S" sheetId="100" r:id="rId100"/>
    <s:sheet name="CS602Q02S" sheetId="101" r:id="rId101"/>
    <s:sheet name="DS602Q03C" sheetId="102" r:id="rId102"/>
    <s:sheet name="CS602Q04S" sheetId="103" r:id="rId103"/>
    <s:sheet name="CS607Q01S" sheetId="104" r:id="rId104"/>
    <s:sheet name="CS607Q02S" sheetId="105" r:id="rId105"/>
    <s:sheet name="DS607Q03C" sheetId="106" r:id="rId106"/>
    <s:sheet name="CS646Q01S" sheetId="107" r:id="rId107"/>
    <s:sheet name="CS646Q02S" sheetId="108" r:id="rId108"/>
    <s:sheet name="CS646Q03S" sheetId="109" r:id="rId109"/>
    <s:sheet name="DS646Q04C" sheetId="110" r:id="rId110"/>
    <s:sheet name="DS646Q05C" sheetId="111" r:id="rId111"/>
    <s:sheet name="CS608Q01S" sheetId="112" r:id="rId112"/>
    <s:sheet name="CS608Q02S" sheetId="113" r:id="rId113"/>
    <s:sheet name="CS608Q03S" sheetId="114" r:id="rId114"/>
    <s:sheet name="DS608Q04C" sheetId="115" r:id="rId115"/>
    <s:sheet name="CS605Q01S" sheetId="116" r:id="rId116"/>
    <s:sheet name="CS605Q02S" sheetId="117" r:id="rId117"/>
    <s:sheet name="CS605Q03S" sheetId="118" r:id="rId118"/>
    <s:sheet name="DS605Q04C" sheetId="119" r:id="rId119"/>
    <s:sheet name="CS649Q01S" sheetId="120" r:id="rId120"/>
    <s:sheet name="DS649Q02C" sheetId="121" r:id="rId121"/>
    <s:sheet name="CS649Q03S" sheetId="122" r:id="rId122"/>
    <s:sheet name="CS649Q04S" sheetId="123" r:id="rId123"/>
    <s:sheet name="CS634Q01S" sheetId="124" r:id="rId124"/>
    <s:sheet name="CS634Q02S" sheetId="125" r:id="rId125"/>
    <s:sheet name="DS634Q03C" sheetId="126" r:id="rId126"/>
    <s:sheet name="DS634Q05C" sheetId="127" r:id="rId127"/>
    <s:sheet name="CS634Q04S" sheetId="128" r:id="rId128"/>
    <s:sheet name="CS620Q01S" sheetId="129" r:id="rId129"/>
    <s:sheet name="CS620Q02S" sheetId="130" r:id="rId130"/>
    <s:sheet name="DS620Q04C" sheetId="131" r:id="rId131"/>
    <s:sheet name="CS638Q01S" sheetId="132" r:id="rId132"/>
    <s:sheet name="CS638Q02S" sheetId="133" r:id="rId133"/>
    <s:sheet name="CS638Q04S" sheetId="134" r:id="rId134"/>
    <s:sheet name="DS638Q05C" sheetId="135" r:id="rId135"/>
    <s:sheet name="DS625Q01C" sheetId="136" r:id="rId136"/>
    <s:sheet name="CS625Q02S" sheetId="137" r:id="rId137"/>
    <s:sheet name="CS625Q03S" sheetId="138" r:id="rId138"/>
    <s:sheet name="CS615Q07S" sheetId="139" r:id="rId139"/>
    <s:sheet name="CS615Q01S" sheetId="140" r:id="rId140"/>
    <s:sheet name="CS615Q02S" sheetId="141" r:id="rId141"/>
    <s:sheet name="CS615Q05S" sheetId="142" r:id="rId142"/>
    <s:sheet name="CS604Q02S" sheetId="143" r:id="rId143"/>
    <s:sheet name="DS604Q04C" sheetId="144" r:id="rId144"/>
    <s:sheet name="CS645Q01S" sheetId="145" r:id="rId145"/>
    <s:sheet name="CS645Q03S" sheetId="146" r:id="rId146"/>
    <s:sheet name="DS645Q04C" sheetId="147" r:id="rId147"/>
    <s:sheet name="DS645Q05C" sheetId="148" r:id="rId148"/>
    <s:sheet name="CS657Q01S" sheetId="149" r:id="rId149"/>
    <s:sheet name="CS657Q02S" sheetId="150" r:id="rId150"/>
    <s:sheet name="CS657Q03S" sheetId="151" r:id="rId151"/>
    <s:sheet name="DS657Q04C" sheetId="152" r:id="rId152"/>
    <s:sheet name="CS656Q01S" sheetId="153" r:id="rId153"/>
    <s:sheet name="DS656Q02C" sheetId="154" r:id="rId154"/>
    <s:sheet name="CS656Q04S" sheetId="155" r:id="rId155"/>
    <s:sheet name="DS643Q03C" sheetId="156" r:id="rId156"/>
    <s:sheet name="CS643Q01S" sheetId="157" r:id="rId157"/>
    <s:sheet name="CS643Q02S" sheetId="158" r:id="rId158"/>
    <s:sheet name="CS643Q04S" sheetId="159" r:id="rId159"/>
    <s:sheet name="DS643Q05C" sheetId="160" r:id="rId160"/>
    <s:sheet name="DS629Q01C" sheetId="161" r:id="rId161"/>
    <s:sheet name="CS629Q02S" sheetId="162" r:id="rId162"/>
    <s:sheet name="DS629Q03C" sheetId="163" r:id="rId163"/>
    <s:sheet name="CS629Q04S" sheetId="164" r:id="rId164"/>
    <s:sheet name="DS648Q01C" sheetId="165" r:id="rId165"/>
    <s:sheet name="CS648Q02S" sheetId="166" r:id="rId166"/>
    <s:sheet name="CS648Q03S" sheetId="167" r:id="rId167"/>
    <s:sheet name="DS648Q05C" sheetId="168" r:id="rId168"/>
    <s:sheet name="CS641Q01S" sheetId="169" r:id="rId169"/>
    <s:sheet name="CS641Q02S" sheetId="170" r:id="rId170"/>
    <s:sheet name="CS641Q03S" sheetId="171" r:id="rId171"/>
    <s:sheet name="CS641Q04S" sheetId="172" r:id="rId172"/>
    <s:sheet name="DS637Q01C" sheetId="173" r:id="rId173"/>
    <s:sheet name="CS637Q02S" sheetId="174" r:id="rId174"/>
    <s:sheet name="DS637Q05C" sheetId="175" r:id="rId175"/>
    <s:sheet name="CS601Q01S" sheetId="176" r:id="rId176"/>
    <s:sheet name="CS601Q02S" sheetId="177" r:id="rId177"/>
    <s:sheet name="CS601Q04S" sheetId="178" r:id="rId178"/>
    <s:sheet name="DS610Q01C" sheetId="179" r:id="rId179"/>
    <s:sheet name="CS610Q02S" sheetId="180" r:id="rId180"/>
    <s:sheet name="CS610Q04S" sheetId="181" r:id="rId181"/>
    <s:sheet name="CS626Q01S" sheetId="182" r:id="rId182"/>
    <s:sheet name="CS626Q02S" sheetId="183" r:id="rId183"/>
    <s:sheet name="CS626Q03S" sheetId="184" r:id="rId184"/>
    <s:sheet name="DS626Q04C" sheetId="185" r:id="rId185"/>
    <s:sheet name="PS269Q01" sheetId="186" r:id="rId186"/>
    <s:sheet name="PS269Q03" sheetId="187" r:id="rId187"/>
    <s:sheet name="PS269Q04S" sheetId="188" r:id="rId188"/>
    <s:sheet name="PS408Q01S" sheetId="189" r:id="rId189"/>
    <s:sheet name="PS408Q03" sheetId="190" r:id="rId190"/>
    <s:sheet name="PS408Q04S" sheetId="191" r:id="rId191"/>
    <s:sheet name="PS408Q05S" sheetId="192" r:id="rId192"/>
    <s:sheet name="PS521Q02S" sheetId="193" r:id="rId193"/>
    <s:sheet name="PS521Q06S" sheetId="194" r:id="rId194"/>
    <s:sheet name="PS519Q01" sheetId="195" r:id="rId195"/>
    <s:sheet name="PS519Q02S" sheetId="196" r:id="rId196"/>
    <s:sheet name="PS519Q03" sheetId="197" r:id="rId197"/>
    <s:sheet name="PS527Q01S" sheetId="198" r:id="rId198"/>
    <s:sheet name="PS527Q03S" sheetId="199" r:id="rId199"/>
    <s:sheet name="PS527Q04S" sheetId="200" r:id="rId200"/>
    <s:sheet name="PS466Q01S" sheetId="201" r:id="rId201"/>
    <s:sheet name="PS466Q07S" sheetId="202" r:id="rId202"/>
    <s:sheet name="PS466Q05S" sheetId="203" r:id="rId203"/>
    <s:sheet name="PS326Q01" sheetId="204" r:id="rId204"/>
    <s:sheet name="PS326Q02" sheetId="205" r:id="rId205"/>
    <s:sheet name="PS326Q03S" sheetId="206" r:id="rId206"/>
    <s:sheet name="PS326Q04S" sheetId="207" r:id="rId207"/>
    <s:sheet name="PS256Q01S" sheetId="208" r:id="rId208"/>
    <s:sheet name="PS478Q01S" sheetId="209" r:id="rId209"/>
    <s:sheet name="PS478Q02S" sheetId="210" r:id="rId210"/>
    <s:sheet name="PS478Q03S" sheetId="211" r:id="rId211"/>
    <s:sheet name="PS413Q06" sheetId="212" r:id="rId212"/>
    <s:sheet name="PS413Q04S" sheetId="213" r:id="rId213"/>
    <s:sheet name="PS413Q05S" sheetId="214" r:id="rId214"/>
    <s:sheet name="PS498Q02S" sheetId="215" r:id="rId215"/>
    <s:sheet name="PS498Q03S" sheetId="216" r:id="rId216"/>
    <s:sheet name="PS498Q04" sheetId="217" r:id="rId217"/>
    <s:sheet name="PS425Q03" sheetId="218" r:id="rId218"/>
    <s:sheet name="PS425Q05S" sheetId="219" r:id="rId219"/>
    <s:sheet name="PS425Q02S" sheetId="220" r:id="rId220"/>
    <s:sheet name="PS425Q04" sheetId="221" r:id="rId221"/>
    <s:sheet name="PS465Q01" sheetId="222" r:id="rId222"/>
    <s:sheet name="PS465Q02S" sheetId="223" r:id="rId223"/>
    <s:sheet name="PS465Q04S" sheetId="224" r:id="rId224"/>
    <s:sheet name="PS131Q02" sheetId="225" r:id="rId225"/>
    <s:sheet name="PS131Q04" sheetId="226" r:id="rId226"/>
    <s:sheet name="PS428Q01S" sheetId="227" r:id="rId227"/>
    <s:sheet name="PS428Q03S" sheetId="228" r:id="rId228"/>
    <s:sheet name="PS428Q05" sheetId="229" r:id="rId229"/>
    <s:sheet name="PS514Q02" sheetId="230" r:id="rId230"/>
    <s:sheet name="PS514Q03" sheetId="231" r:id="rId231"/>
    <s:sheet name="PS514Q04" sheetId="232" r:id="rId232"/>
    <s:sheet name="PS438Q01S" sheetId="233" r:id="rId233"/>
    <s:sheet name="PS438Q02S" sheetId="234" r:id="rId234"/>
    <s:sheet name="PS438Q03" sheetId="235" r:id="rId235"/>
    <s:sheet name="PS415Q07S" sheetId="236" r:id="rId236"/>
    <s:sheet name="PS415Q02S" sheetId="237" r:id="rId237"/>
    <s:sheet name="PS415Q08S" sheetId="238" r:id="rId238"/>
    <s:sheet name="PS476Q01S" sheetId="239" r:id="rId239"/>
    <s:sheet name="PS476Q02S" sheetId="240" r:id="rId240"/>
    <s:sheet name="PS476Q03S" sheetId="241" r:id="rId241"/>
    <s:sheet name="PS495Q04S" sheetId="242" r:id="rId242"/>
    <s:sheet name="PS495Q01S" sheetId="243" r:id="rId243"/>
    <s:sheet name="PS495Q02S" sheetId="244" r:id="rId244"/>
    <s:sheet name="S495Q03" sheetId="245" r:id="rId245"/>
    <s:sheet name="PS456Q01S" sheetId="246" r:id="rId246"/>
    <s:sheet name="PS456Q02S" sheetId="247" r:id="rId247"/>
    <s:sheet name="PS268Q01S" sheetId="248" r:id="rId248"/>
    <s:sheet name="S268Q02" sheetId="249" r:id="rId249"/>
    <s:sheet name="PS268Q06S" sheetId="250" r:id="rId250"/>
    <s:sheet name="PS524Q06S" sheetId="251" r:id="rId251"/>
    <s:sheet name="S524Q07" sheetId="252" r:id="rId252"/>
    <s:sheet name="PS510Q01S" sheetId="253" r:id="rId253"/>
    <s:sheet name="S510Q04" sheetId="254" r:id="rId254"/>
    <s:sheet name="PS437Q01S" sheetId="255" r:id="rId255"/>
    <s:sheet name="PS437Q03S" sheetId="256" r:id="rId256"/>
    <s:sheet name="PS437Q04S" sheetId="257" r:id="rId257"/>
    <s:sheet name="S437Q06" sheetId="258" r:id="rId258"/>
    <s:sheet name="S304Q01" sheetId="259" r:id="rId259"/>
    <s:sheet name="PS304Q02S" sheetId="260" r:id="rId260"/>
    <s:sheet name="S304Q03a" sheetId="261" r:id="rId261"/>
    <s:sheet name="S304Q03b" sheetId="262" r:id="rId262"/>
    <s:sheet name="S416Q01" sheetId="263" r:id="rId263"/>
    <s:sheet name="S458Q01" sheetId="264" r:id="rId264"/>
    <s:sheet name="PS458Q02S" sheetId="265" r:id="rId265"/>
    <s:sheet name="S421Q01" sheetId="266" r:id="rId266"/>
    <s:sheet name="S421Q02" sheetId="267" r:id="rId267"/>
    <s:sheet name="S421Q03" sheetId="268" r:id="rId268"/>
    <s:sheet name="PS252Q01S" sheetId="269" r:id="rId269"/>
    <s:sheet name="PS252Q02S" sheetId="270" r:id="rId270"/>
    <s:sheet name="PS252Q03S" sheetId="271" r:id="rId271"/>
    <s:sheet name="PS327Q01S" sheetId="272" r:id="rId272"/>
    <s:sheet name="PS133Q01S" sheetId="273" r:id="rId273"/>
    <s:sheet name="PS133Q03S" sheetId="274" r:id="rId274"/>
    <s:sheet name="PS133Q04S" sheetId="275" r:id="rId275"/>
  </s:sheets>
  <s:definedNames/>
  <s:calcPr calcId="124519" fullCalcOnLoad="1"/>
</s:workbook>
</file>

<file path=xl/sharedStrings.xml><?xml version="1.0" encoding="utf-8"?>
<sst xmlns="http://schemas.openxmlformats.org/spreadsheetml/2006/main" uniqueCount="942">
  <si>
    <t>Table of Contents</t>
  </si>
  <si>
    <t>DS269Q01C</t>
  </si>
  <si>
    <t>Earth's Temperature - Q01 (Coded Response)</t>
  </si>
  <si>
    <t>DS269Q03C</t>
  </si>
  <si>
    <t>Earth's Temperature - Q03 (Coded Response)</t>
  </si>
  <si>
    <t>CS269Q04S</t>
  </si>
  <si>
    <t>Earth's Temperature - Q04 (Scored Response)</t>
  </si>
  <si>
    <t>CS408Q01S</t>
  </si>
  <si>
    <t>Wild Oat Grass - Q01 (Scored Response)</t>
  </si>
  <si>
    <t>DS408Q03C</t>
  </si>
  <si>
    <t>Wild Oat Grass - Q03 (Coded Response)</t>
  </si>
  <si>
    <t>CS408Q04S</t>
  </si>
  <si>
    <t>Wild Oat Grass - Q04 (Scored Response)</t>
  </si>
  <si>
    <t>CS408Q05S</t>
  </si>
  <si>
    <t>Wild Oat Grass - Q05 (Scored Response)</t>
  </si>
  <si>
    <t>CS521Q02S</t>
  </si>
  <si>
    <t>Cooking Outdoors - Q02 (Scored Response)</t>
  </si>
  <si>
    <t>CS521Q06S</t>
  </si>
  <si>
    <t>Cooking Outdoors - Q06 (Scored Response)</t>
  </si>
  <si>
    <t>DS519Q01C</t>
  </si>
  <si>
    <t>Airbags - Q01 (Coded Response)</t>
  </si>
  <si>
    <t>CS519Q02S</t>
  </si>
  <si>
    <t>Airbags - Q02 (Scored Response)</t>
  </si>
  <si>
    <t>DS519Q03C</t>
  </si>
  <si>
    <t>Airbags - Q03 (Coded Response)</t>
  </si>
  <si>
    <t>CS527Q01S</t>
  </si>
  <si>
    <t>Extinction of the Dinosaurs - Q01 (Scored Response)</t>
  </si>
  <si>
    <t>CS527Q03S</t>
  </si>
  <si>
    <t>Extinction of the Dinosaurs - Q03 (Scored Response)</t>
  </si>
  <si>
    <t>CS527Q04S</t>
  </si>
  <si>
    <t>Extinction of the Dinosaurs - Q04 (Scored Response)</t>
  </si>
  <si>
    <t>CS466Q01S</t>
  </si>
  <si>
    <t>Forest Fires - Q01 (Scored Response)</t>
  </si>
  <si>
    <t>CS466Q07S</t>
  </si>
  <si>
    <t>Forest Fires - Q07 (Scored Response)</t>
  </si>
  <si>
    <t>CS466Q05S</t>
  </si>
  <si>
    <t>Forest Fires - Q05 (Scored Response)</t>
  </si>
  <si>
    <t>DS326Q01C</t>
  </si>
  <si>
    <t>Milk - Q01 (Coded Response)</t>
  </si>
  <si>
    <t>DS326Q02C</t>
  </si>
  <si>
    <t>Milk - Q02 (Coded Response)</t>
  </si>
  <si>
    <t>CS326Q03S</t>
  </si>
  <si>
    <t>Milk - Q03 (Scored Response)</t>
  </si>
  <si>
    <t>CS326Q04S</t>
  </si>
  <si>
    <t>Milk - Q04 (Scored Response)</t>
  </si>
  <si>
    <t>CS256Q01S</t>
  </si>
  <si>
    <t>Spoons - Q01 (Scored Response)</t>
  </si>
  <si>
    <t>CS478Q01S</t>
  </si>
  <si>
    <t>Antibiotics - Q01 (Scored Response)</t>
  </si>
  <si>
    <t>CS478Q02S</t>
  </si>
  <si>
    <t>Antibiotics - Q02 (Scored Response)</t>
  </si>
  <si>
    <t>CS478Q03S</t>
  </si>
  <si>
    <t>Antibiotics - Q03 (Scored Response)</t>
  </si>
  <si>
    <t>CS413Q06S</t>
  </si>
  <si>
    <t>Plastic Age - Q06 (Scored Response)</t>
  </si>
  <si>
    <t>CS413Q04S</t>
  </si>
  <si>
    <t>Plastic Age - Q04 (Scored Response)</t>
  </si>
  <si>
    <t>CS413Q05S</t>
  </si>
  <si>
    <t>Plastic Age - Q05 (Scored Response)</t>
  </si>
  <si>
    <t>CS498Q02S</t>
  </si>
  <si>
    <t>Experimental Digestion - Q02 (Scored Response)</t>
  </si>
  <si>
    <t>CS498Q03S</t>
  </si>
  <si>
    <t>Experimental Digestion - Q03 (Scored Response)</t>
  </si>
  <si>
    <t>DS498Q04C</t>
  </si>
  <si>
    <t>Experimental Digestion - Q04 (Coded Response)</t>
  </si>
  <si>
    <t>DS425Q03C</t>
  </si>
  <si>
    <t>Penguin Island - Q03 (Coded Response)</t>
  </si>
  <si>
    <t>CS425Q05S</t>
  </si>
  <si>
    <t>Penguin Island - Q05 (Scored Response)</t>
  </si>
  <si>
    <t>CS425Q02S</t>
  </si>
  <si>
    <t>Penguin Island - Q02 (Scored Response)</t>
  </si>
  <si>
    <t>DS425Q04C</t>
  </si>
  <si>
    <t>Penguin Island - Q04 (Coded Response)</t>
  </si>
  <si>
    <t>DS465Q01C</t>
  </si>
  <si>
    <t>Different Climates - Q01 (Coded Response)</t>
  </si>
  <si>
    <t>CS465Q02S</t>
  </si>
  <si>
    <t>Different Climates - Q02 (Scored Response)</t>
  </si>
  <si>
    <t>CS465Q04S</t>
  </si>
  <si>
    <t>Different Climates - Q04 (Scored Response)</t>
  </si>
  <si>
    <t>DS131Q02C</t>
  </si>
  <si>
    <t>Good Vibrations - Q02 (Coded Response)</t>
  </si>
  <si>
    <t>DS131Q04C</t>
  </si>
  <si>
    <t>Good Vibrations - Q04 (Coded Response)</t>
  </si>
  <si>
    <t>CS428Q01S</t>
  </si>
  <si>
    <t>Bacteria in Milk - Q01 (Scored Response)</t>
  </si>
  <si>
    <t>CS428Q03S</t>
  </si>
  <si>
    <t>Bacteria in Milk - Q03 (Scored Response)</t>
  </si>
  <si>
    <t>DS428Q05C</t>
  </si>
  <si>
    <t>Bacteria in Milk - Q05 (Coded Response)</t>
  </si>
  <si>
    <t>DS514Q02C</t>
  </si>
  <si>
    <t>Development and Disaster - Q02 (Coded Response)</t>
  </si>
  <si>
    <t>DS514Q03C</t>
  </si>
  <si>
    <t>Development and Disaster - Q03 (Coded Response)</t>
  </si>
  <si>
    <t>DS514Q04C</t>
  </si>
  <si>
    <t>Development and Disaster - Q04 (Coded Response)</t>
  </si>
  <si>
    <t>CS438Q01S</t>
  </si>
  <si>
    <t>Green Parks - Q01 (Scored Response)</t>
  </si>
  <si>
    <t>CS438Q02S</t>
  </si>
  <si>
    <t>Green Parks - Q02 (Scored Response)</t>
  </si>
  <si>
    <t>DS438Q03C</t>
  </si>
  <si>
    <t>Green Parks - Q03 (Coded Response)</t>
  </si>
  <si>
    <t>CS415Q07S</t>
  </si>
  <si>
    <t>Solar Power Generation (Solar Panels) - Q07 (Scored Response)</t>
  </si>
  <si>
    <t>CS415Q02S</t>
  </si>
  <si>
    <t>Solar Power Generation (Solar Panels) - Q02 (Scored Response)</t>
  </si>
  <si>
    <t>CS415Q08S</t>
  </si>
  <si>
    <t>Solar Power Generation (Solar Panels) - Q08 (Scored Response)</t>
  </si>
  <si>
    <t>CS476Q01S</t>
  </si>
  <si>
    <t>Heart Surgery - Q01 (Scored Response)</t>
  </si>
  <si>
    <t>CS476Q02S</t>
  </si>
  <si>
    <t>Heart Surgery - Q02 (Scored Response)</t>
  </si>
  <si>
    <t>CS476Q03S</t>
  </si>
  <si>
    <t>Heart Surgery - Q03 (Scored Response)</t>
  </si>
  <si>
    <t>CS495Q04S</t>
  </si>
  <si>
    <t>Radiotherapy - Q04 (Scored Response)</t>
  </si>
  <si>
    <t>CS495Q01S</t>
  </si>
  <si>
    <t>Radiotherapy - Q01 (Scored Response)</t>
  </si>
  <si>
    <t>CS495Q02S</t>
  </si>
  <si>
    <t>Radiotherapy - Q02 (Scored Response)</t>
  </si>
  <si>
    <t>DS495Q03C</t>
  </si>
  <si>
    <t>Radiotherapy - Q03 (Coded Response)</t>
  </si>
  <si>
    <t>CS268Q01S</t>
  </si>
  <si>
    <t>Algae - Q01 (Scored Response)</t>
  </si>
  <si>
    <t>DS268Q02C</t>
  </si>
  <si>
    <t>Algae - Q02 (Coded Response)</t>
  </si>
  <si>
    <t>CS268Q06S</t>
  </si>
  <si>
    <t>Algae - Q06 (Scored Response)</t>
  </si>
  <si>
    <t>CS524Q06S</t>
  </si>
  <si>
    <t>Penicillin Manufacture - Q06 (Scored Response)</t>
  </si>
  <si>
    <t>DS524Q07C</t>
  </si>
  <si>
    <t>Penicillin Manufacture - Q07 (Coded Response)</t>
  </si>
  <si>
    <t>CS510Q01S</t>
  </si>
  <si>
    <t>Magnetic Hovertrain - Q01 (Scored Response)</t>
  </si>
  <si>
    <t>DS510Q04C</t>
  </si>
  <si>
    <t>Magnetic Hovertrain - Q04 (Coded Response)</t>
  </si>
  <si>
    <t>CS437Q01S</t>
  </si>
  <si>
    <t>Extinguishing Fires - Q01 (Scored Response)</t>
  </si>
  <si>
    <t>CS437Q03S</t>
  </si>
  <si>
    <t>Extinguishing Fires - Q03 (Scored Response)</t>
  </si>
  <si>
    <t>CS437Q04S</t>
  </si>
  <si>
    <t>Extinguishing Fires - Q04 (Scored Response)</t>
  </si>
  <si>
    <t>DS437Q06C</t>
  </si>
  <si>
    <t>Extinguishing Fires - Q06 (Coded Response)</t>
  </si>
  <si>
    <t>DS304Q01C</t>
  </si>
  <si>
    <t>Water - Q01 (Coded Response)</t>
  </si>
  <si>
    <t>CS304Q02S</t>
  </si>
  <si>
    <t>Water - Q02 (Scored Response)</t>
  </si>
  <si>
    <t>DS304Q03aC</t>
  </si>
  <si>
    <t>Water - Q03a (Coded Response)</t>
  </si>
  <si>
    <t>DS304Q03bC</t>
  </si>
  <si>
    <t>Water - Q03b (Coded Response)</t>
  </si>
  <si>
    <t>DS416Q01C</t>
  </si>
  <si>
    <t>The Moon - Q01 (Coded Response)</t>
  </si>
  <si>
    <t>DS458Q01C</t>
  </si>
  <si>
    <t>The Ice Mummy - Q01 (Coded Response)</t>
  </si>
  <si>
    <t>CS458Q02S</t>
  </si>
  <si>
    <t>The Ice Mummy - Q02 (Scored Response)</t>
  </si>
  <si>
    <t>CS421Q01S</t>
  </si>
  <si>
    <t>Big and Small - Q01 (Scored Response)</t>
  </si>
  <si>
    <t>CS421Q02S</t>
  </si>
  <si>
    <t>Big and Small - Q02 (Scored Response)</t>
  </si>
  <si>
    <t>CS421Q03S</t>
  </si>
  <si>
    <t>Big and Small - Q03 (Scored Response)</t>
  </si>
  <si>
    <t>CS252Q01S</t>
  </si>
  <si>
    <t>South Rainea - Q01 (Scored Response)</t>
  </si>
  <si>
    <t>CS252Q02S</t>
  </si>
  <si>
    <t>South Rainea - Q02 (Scored Response)</t>
  </si>
  <si>
    <t>CS252Q03S</t>
  </si>
  <si>
    <t>South Rainea - Q03 (Scored Response)</t>
  </si>
  <si>
    <t>CS327Q01S</t>
  </si>
  <si>
    <t>Tidal Energy - Q01 (Scored Response)</t>
  </si>
  <si>
    <t>CS627Q01S</t>
  </si>
  <si>
    <t>Car Tyres - Q01 (Scored Response)</t>
  </si>
  <si>
    <t>CS627Q03S</t>
  </si>
  <si>
    <t>Car Tyres - Q03 (Scored Response)</t>
  </si>
  <si>
    <t>CS627Q04S</t>
  </si>
  <si>
    <t>Car Tyres - Q04 (Scored Response)</t>
  </si>
  <si>
    <t>CS635Q01S</t>
  </si>
  <si>
    <t>Save the Fish - Q01 (Scored Response)</t>
  </si>
  <si>
    <t>CS635Q02S</t>
  </si>
  <si>
    <t>Save the Fish - Q02 (Scored Response)</t>
  </si>
  <si>
    <t>DS635Q03C</t>
  </si>
  <si>
    <t>Save the Fish - Q03 (Coded Response)</t>
  </si>
  <si>
    <t>CS635Q04S</t>
  </si>
  <si>
    <t>Save the Fish - Q04 (Scored Response)</t>
  </si>
  <si>
    <t>DS635Q05C</t>
  </si>
  <si>
    <t>Save the Fish - Q05 (Coded Response)</t>
  </si>
  <si>
    <t>CS603Q01S</t>
  </si>
  <si>
    <t>Elephants and Acacia Trees - Q01 (Scored Response)</t>
  </si>
  <si>
    <t>DS603Q02C</t>
  </si>
  <si>
    <t>Elephants and Acacia Trees - Q02 (Coded Response)</t>
  </si>
  <si>
    <t>CS603Q03S</t>
  </si>
  <si>
    <t>Elephants and Acacia Trees - Q03 (Scored Response)</t>
  </si>
  <si>
    <t>CS603Q04S</t>
  </si>
  <si>
    <t>Elephants and Acacia Trees - Q04 (Scored Response)</t>
  </si>
  <si>
    <t>CS603Q05S</t>
  </si>
  <si>
    <t>Elephants and Acacia Trees - Q05 (Scored Response)</t>
  </si>
  <si>
    <t>CS602Q01S</t>
  </si>
  <si>
    <t>Urban Heat Island Effect - Q01 (Scored Response)</t>
  </si>
  <si>
    <t>CS602Q02S</t>
  </si>
  <si>
    <t>Urban Heat Island Effect - Q02 (Scored Response)</t>
  </si>
  <si>
    <t>DS602Q03C</t>
  </si>
  <si>
    <t>Urban Heat Island Effect - Q03 (Coded Response)</t>
  </si>
  <si>
    <t>CS602Q04S</t>
  </si>
  <si>
    <t>Urban Heat Island Effect - Q04 (Scored Response)</t>
  </si>
  <si>
    <t>CS607Q01S</t>
  </si>
  <si>
    <t>Birds and Caterpillars - Q01 (Scored Response)</t>
  </si>
  <si>
    <t>CS607Q02S</t>
  </si>
  <si>
    <t>Birds and Caterpillars - Q02 (Scored Response)</t>
  </si>
  <si>
    <t>DS607Q03C</t>
  </si>
  <si>
    <t>Birds and Caterpillars - Q03 (Coded Response)</t>
  </si>
  <si>
    <t>CS646Q01S</t>
  </si>
  <si>
    <t>Nanoparticles - Q01 (Scored Response)</t>
  </si>
  <si>
    <t>CS646Q02S</t>
  </si>
  <si>
    <t>Nanoparticles - Q02 (Scored Response)</t>
  </si>
  <si>
    <t>CS646Q03S</t>
  </si>
  <si>
    <t>Nanoparticles - Q03 (Scored Response)</t>
  </si>
  <si>
    <t>DS646Q04C</t>
  </si>
  <si>
    <t>Nanoparticles - Q04 (All Rows Correct)</t>
  </si>
  <si>
    <t>DS646Q05C</t>
  </si>
  <si>
    <t>Nanoparticles - Q05 (Coded Response)</t>
  </si>
  <si>
    <t>CS608Q01S</t>
  </si>
  <si>
    <t>Ammonoids - Q01 (Scored Response)</t>
  </si>
  <si>
    <t>CS608Q02S</t>
  </si>
  <si>
    <t>Ammonoids - Q02 (Scored Response)</t>
  </si>
  <si>
    <t>CS608Q03S</t>
  </si>
  <si>
    <t>Ammonoids - Q03 (Scored Response)</t>
  </si>
  <si>
    <t>DS608Q04C</t>
  </si>
  <si>
    <t>Ammonoids - Q04 (Coded Response)</t>
  </si>
  <si>
    <t>CS605Q01S</t>
  </si>
  <si>
    <t>Geothermal Energy - Q01 (Scored Response)</t>
  </si>
  <si>
    <t>CS605Q02S</t>
  </si>
  <si>
    <t>Geothermal Energy - Q02 (Scored Response)</t>
  </si>
  <si>
    <t>CS605Q03S</t>
  </si>
  <si>
    <t>Geothermal Energy - Q03 (Scored Response)</t>
  </si>
  <si>
    <t>DS605Q04C</t>
  </si>
  <si>
    <t>Geothermal Energy - Q04 (Coded Response)</t>
  </si>
  <si>
    <t>CS649Q01S</t>
  </si>
  <si>
    <t>Weather Balloon - Q01 (Scored Response)</t>
  </si>
  <si>
    <t>DS649Q02C</t>
  </si>
  <si>
    <t>Weather Balloon - Q02 (Coded Response)</t>
  </si>
  <si>
    <t>CS649Q03S</t>
  </si>
  <si>
    <t>Weather Balloon - Q03 (Scored Response)</t>
  </si>
  <si>
    <t>CS649Q04S</t>
  </si>
  <si>
    <t>Weather Balloon - Q04 (Scored Response)</t>
  </si>
  <si>
    <t>CS634Q01S</t>
  </si>
  <si>
    <t>Vaccination and Spreading of Disease - Q01 (Scored Response)</t>
  </si>
  <si>
    <t>CS634Q02S</t>
  </si>
  <si>
    <t>Vaccination and Spreading of Disease - Q02 (Scored Response)</t>
  </si>
  <si>
    <t>DS634Q03C</t>
  </si>
  <si>
    <t>Vaccination and Spreading of Disease - Q03 (Coded Response)</t>
  </si>
  <si>
    <t>DS634Q05C</t>
  </si>
  <si>
    <t>Vaccination and Spreading of Disease - Q05 (Coded Response)</t>
  </si>
  <si>
    <t>CS634Q04S</t>
  </si>
  <si>
    <t>Vaccination and Spreading of Disease - Q04 (Scored Response)</t>
  </si>
  <si>
    <t>CS620Q01S</t>
  </si>
  <si>
    <t>Tornadoes - Q01 (Scored Response)</t>
  </si>
  <si>
    <t>CS620Q02S</t>
  </si>
  <si>
    <t>Tornadoes - Q02 (Scored Response)</t>
  </si>
  <si>
    <t>DS620Q04C</t>
  </si>
  <si>
    <t>Tornadoes - Q04 (Coded Response)</t>
  </si>
  <si>
    <t>CS638Q01S</t>
  </si>
  <si>
    <t>Oil Spills - Q01 (Scored Response)</t>
  </si>
  <si>
    <t>CS638Q02S</t>
  </si>
  <si>
    <t>Oil Spills - Q02 (Scored Response)</t>
  </si>
  <si>
    <t>CS638Q04S</t>
  </si>
  <si>
    <t>Oil Spills - Q04 (Scored Response)</t>
  </si>
  <si>
    <t>DS638Q05C</t>
  </si>
  <si>
    <t>Oil Spills - Q05 (Coded Response)</t>
  </si>
  <si>
    <t>DS625Q01C</t>
  </si>
  <si>
    <t>Wildfires and the Fire Triangle - Q01 (Coded Response)</t>
  </si>
  <si>
    <t>CS625Q02S</t>
  </si>
  <si>
    <t>Wildfires and the Fire Triangle - Q02 (Scored Response)</t>
  </si>
  <si>
    <t>CS625Q03S</t>
  </si>
  <si>
    <t>Wildfires and the Fire Triangle - Q03 (Scored Response)</t>
  </si>
  <si>
    <t>CS615Q07S</t>
  </si>
  <si>
    <t>Understanding Tsunamis - Q07 (Scored Response)</t>
  </si>
  <si>
    <t>CS615Q01S</t>
  </si>
  <si>
    <t>Understanding Tsunamis - Q01 (Scored Response)</t>
  </si>
  <si>
    <t>CS615Q02S</t>
  </si>
  <si>
    <t>Understanding Tsunamis - Q02 (Scored Response)</t>
  </si>
  <si>
    <t>CS615Q05S</t>
  </si>
  <si>
    <t>Understanding Tsunamis - Q05 (Scored Response)</t>
  </si>
  <si>
    <t>CS604Q02S</t>
  </si>
  <si>
    <t>Water from Fog - Q02 (Scored Response)</t>
  </si>
  <si>
    <t>DS604Q04C</t>
  </si>
  <si>
    <t>Water from Fog - Q04 (Coded Response)</t>
  </si>
  <si>
    <t>CS645Q01S</t>
  </si>
  <si>
    <t>Carbon Dioxide in Earth's Atmosphere - Q01 (Scored Response)</t>
  </si>
  <si>
    <t>CS645Q03S</t>
  </si>
  <si>
    <t>Carbon Dioxide in Earth's Atmosphere - Q03 (Scored Response)</t>
  </si>
  <si>
    <t>DS645Q04C</t>
  </si>
  <si>
    <t>Carbon Dioxide in Earth's Atmosphere - Q04 (Coded Response)</t>
  </si>
  <si>
    <t>DS645Q05C</t>
  </si>
  <si>
    <t>Carbon Dioxide in Earth's Atmosphere - Q05 (Coded Response)</t>
  </si>
  <si>
    <t>CS657Q01S</t>
  </si>
  <si>
    <t>Invasive Species - Q01 (Scored Response)</t>
  </si>
  <si>
    <t>CS657Q02S</t>
  </si>
  <si>
    <t>Invasive Species - Q02 (Scored Response)</t>
  </si>
  <si>
    <t>CS657Q03S</t>
  </si>
  <si>
    <t>Invasive Species - Q03 (Scored Response)</t>
  </si>
  <si>
    <t>DS657Q04C</t>
  </si>
  <si>
    <t>Invasive Species - Q04 (Coded Response)</t>
  </si>
  <si>
    <t>CS656Q01S</t>
  </si>
  <si>
    <t>Bird Migration - Q01 (Scored Response)</t>
  </si>
  <si>
    <t>DS656Q02C</t>
  </si>
  <si>
    <t>Bird Migration - Q02 (Coded Response)</t>
  </si>
  <si>
    <t>CS656Q04S</t>
  </si>
  <si>
    <t>Bird Migration - Q04 (Scored Response)</t>
  </si>
  <si>
    <t>DS643Q03C</t>
  </si>
  <si>
    <t>Comparing Light Bulbs - Q03 (Coded Response)</t>
  </si>
  <si>
    <t>CS643Q01S</t>
  </si>
  <si>
    <t>Comparing Light Bulbs - Q01 (Scored Response)</t>
  </si>
  <si>
    <t>CS643Q02S</t>
  </si>
  <si>
    <t>Comparing Light Bulbs - Q02 (Scored Response)</t>
  </si>
  <si>
    <t>CS643Q04S</t>
  </si>
  <si>
    <t>Comparing Light Bulbs - Q04 (Scored Response)</t>
  </si>
  <si>
    <t>DS643Q05C</t>
  </si>
  <si>
    <t>Comparing Light Bulbs - Q05 (Coded Response)</t>
  </si>
  <si>
    <t>DS629Q01C</t>
  </si>
  <si>
    <t>Solar Cooker - Q01 (Coded Response)</t>
  </si>
  <si>
    <t>CS629Q02S</t>
  </si>
  <si>
    <t>Solar Cooker - Q02 (Scored Response)</t>
  </si>
  <si>
    <t>DS629Q03C</t>
  </si>
  <si>
    <t>Solar Cooker - Q03 (Coded Response)</t>
  </si>
  <si>
    <t>CS629Q04S</t>
  </si>
  <si>
    <t>Solar Cooker - Q04 (Scored Response)</t>
  </si>
  <si>
    <t>DS648Q01C</t>
  </si>
  <si>
    <t>Habitable Zone - Q01 (Coded Response)</t>
  </si>
  <si>
    <t>CS648Q02S</t>
  </si>
  <si>
    <t>Habitable Zone - Q02 (Scored Response)</t>
  </si>
  <si>
    <t>CS648Q03S</t>
  </si>
  <si>
    <t>Habitable Zone - Q03 (Scored Response)</t>
  </si>
  <si>
    <t>DS648Q05C</t>
  </si>
  <si>
    <t>Habitable Zone - Q05 (Coded Response)</t>
  </si>
  <si>
    <t>CS641Q01S</t>
  </si>
  <si>
    <t>Meteoroids and Craters - Q01 (Scored Response)</t>
  </si>
  <si>
    <t>CS641Q02S</t>
  </si>
  <si>
    <t>Meteoroids and Craters - Q02 (Scored Response)</t>
  </si>
  <si>
    <t>CS641Q03S</t>
  </si>
  <si>
    <t>Meteoroids and Craters - Q03 (Scored Response)</t>
  </si>
  <si>
    <t>CS641Q04S</t>
  </si>
  <si>
    <t>Meteoroids and Craters - Q04 (Scored Response)</t>
  </si>
  <si>
    <t>DS637Q01C</t>
  </si>
  <si>
    <t>Slope-Face Investigation - Q01 (Coded Response)</t>
  </si>
  <si>
    <t>CS637Q02S</t>
  </si>
  <si>
    <t>Slope-Face Investigation - Q02 (Scored Response)</t>
  </si>
  <si>
    <t>DS637Q05C</t>
  </si>
  <si>
    <t>Slope-Face Investigation - Q05 (Coded Response)</t>
  </si>
  <si>
    <t>CS601Q01S</t>
  </si>
  <si>
    <t>Sustainable Fish Farming - Q01 (Scored Response)</t>
  </si>
  <si>
    <t>CS601Q02S</t>
  </si>
  <si>
    <t>Sustainable Fish Farming - Q02 (Scored Response)</t>
  </si>
  <si>
    <t>CS601Q04S</t>
  </si>
  <si>
    <t>Sustainable Fish Farming - Q04 (Scored Response)</t>
  </si>
  <si>
    <t>DS610Q01C</t>
  </si>
  <si>
    <t>Brain-Controlled Robotics - Q01 (Coded Response)</t>
  </si>
  <si>
    <t>CS610Q02S</t>
  </si>
  <si>
    <t>Brain-Controlled Robotics - Q02 (Scored Response)</t>
  </si>
  <si>
    <t>CS610Q04S</t>
  </si>
  <si>
    <t>Brain-Controlled Robotics - Q04 (Scored Response)</t>
  </si>
  <si>
    <t>CS626Q01S</t>
  </si>
  <si>
    <t>Sounds in Marine Habitats - Q01 (Scored Response)</t>
  </si>
  <si>
    <t>CS626Q02S</t>
  </si>
  <si>
    <t>Sounds in Marine Habitats - Q02 (Scored Response)</t>
  </si>
  <si>
    <t>CS626Q03S</t>
  </si>
  <si>
    <t>Sounds in Marine Habitats - Q03 (Scored Response)</t>
  </si>
  <si>
    <t>DS626Q04C</t>
  </si>
  <si>
    <t>Sounds in Marine Habitats - Q04 (Coded Response)</t>
  </si>
  <si>
    <t>PS269Q01</t>
  </si>
  <si>
    <t>Earth's Temperature - Q01 (Coded Paper Response)</t>
  </si>
  <si>
    <t>PS269Q03</t>
  </si>
  <si>
    <t>Earth's Temperature - Q03 (Coded Paper Response)</t>
  </si>
  <si>
    <t>PS269Q04S</t>
  </si>
  <si>
    <t>Earth's Temperature - Q04 (Paper Scored Response)</t>
  </si>
  <si>
    <t>PS408Q01S</t>
  </si>
  <si>
    <t>Wild Oat Grass - Q01 (Paper Scored Response)</t>
  </si>
  <si>
    <t>PS408Q03</t>
  </si>
  <si>
    <t>Wild Oat Grass - Q03 (Coded Paper Response)</t>
  </si>
  <si>
    <t>PS408Q04S</t>
  </si>
  <si>
    <t>Wild Oat Grass - Q04 (Paper Scored Response)</t>
  </si>
  <si>
    <t>PS408Q05S</t>
  </si>
  <si>
    <t>Wild Oat Grass - Q05 (Paper Scored Response)</t>
  </si>
  <si>
    <t>PS521Q02S</t>
  </si>
  <si>
    <t>Cooking Outdoors - Q02 (Paper Scored Response)</t>
  </si>
  <si>
    <t>PS521Q06S</t>
  </si>
  <si>
    <t>Cooking Outdoors - Q06 (Paper Scored Response)</t>
  </si>
  <si>
    <t>PS519Q01</t>
  </si>
  <si>
    <t>Airbags - Q01 (Coded Paper Response)</t>
  </si>
  <si>
    <t>PS519Q02S</t>
  </si>
  <si>
    <t>Airbags - Q02 (Paper Scored Response)</t>
  </si>
  <si>
    <t>PS519Q03</t>
  </si>
  <si>
    <t>Airbags - Q03 (Coded Paper Response)</t>
  </si>
  <si>
    <t>PS527Q01S</t>
  </si>
  <si>
    <t>Extinction of the Dinosaurs - Q01 (Paper Scored Response)</t>
  </si>
  <si>
    <t>PS527Q03S</t>
  </si>
  <si>
    <t>Extinction of the Dinosaurs - Q03 (Paper Scored Response)</t>
  </si>
  <si>
    <t>PS527Q04S</t>
  </si>
  <si>
    <t>Extinction of the Dinosaurs - Q04 (Paper Scored Response)</t>
  </si>
  <si>
    <t>PS466Q01S</t>
  </si>
  <si>
    <t>Forest Fires - Q01 (Paper Scored Response)</t>
  </si>
  <si>
    <t>PS466Q07S</t>
  </si>
  <si>
    <t>Forest Fires - Q07 (Paper Scored Response)</t>
  </si>
  <si>
    <t>PS466Q05S</t>
  </si>
  <si>
    <t>Forest Fires - Q05 (Paper Scored Response)</t>
  </si>
  <si>
    <t>PS326Q01</t>
  </si>
  <si>
    <t>Milk - Q01 (Coded Paper Response)</t>
  </si>
  <si>
    <t>PS326Q02</t>
  </si>
  <si>
    <t>Milk - Q02 (Coded Paper Response)</t>
  </si>
  <si>
    <t>PS326Q03S</t>
  </si>
  <si>
    <t>Milk - Q03 (Paper Scored Response)</t>
  </si>
  <si>
    <t>PS326Q04S</t>
  </si>
  <si>
    <t>Milk - Q04 (Paper Scored Response)</t>
  </si>
  <si>
    <t>PS256Q01S</t>
  </si>
  <si>
    <t>Spoons - Q01 (Paper Scored Response)</t>
  </si>
  <si>
    <t>PS478Q01S</t>
  </si>
  <si>
    <t>Antibiotics - Q01 (Paper Scored Response)</t>
  </si>
  <si>
    <t>PS478Q02S</t>
  </si>
  <si>
    <t>Antibiotics - Q02 (Paper Scored Response)</t>
  </si>
  <si>
    <t>PS478Q03S</t>
  </si>
  <si>
    <t>Antibiotics - Q03 (Paper Scored Response)</t>
  </si>
  <si>
    <t>PS413Q06</t>
  </si>
  <si>
    <t>Plastic Age - Q06 (Coded Paper Response)</t>
  </si>
  <si>
    <t>PS413Q04S</t>
  </si>
  <si>
    <t>Plastic Age - Q04 (Paper Scored Response)</t>
  </si>
  <si>
    <t>PS413Q05S</t>
  </si>
  <si>
    <t>Plastic Age - Q05 (Paper Scored Response)</t>
  </si>
  <si>
    <t>PS498Q02S</t>
  </si>
  <si>
    <t>Experimental Digestion - Q02 (Paper Scored Response)</t>
  </si>
  <si>
    <t>PS498Q03S</t>
  </si>
  <si>
    <t>Experimental Digestion - Q03 (Paper Scored Response)</t>
  </si>
  <si>
    <t>PS498Q04</t>
  </si>
  <si>
    <t>Experimental Digestion - Q04 (Coded Paper Response)</t>
  </si>
  <si>
    <t>PS425Q03</t>
  </si>
  <si>
    <t>Penguin Island - Q03 (Coded Paper Response)</t>
  </si>
  <si>
    <t>PS425Q05S</t>
  </si>
  <si>
    <t>Penguin Island - Q05 (Paper Scored Response)</t>
  </si>
  <si>
    <t>PS425Q02S</t>
  </si>
  <si>
    <t>Penguin Island - Q02 (Paper Scored Response)</t>
  </si>
  <si>
    <t>PS425Q04</t>
  </si>
  <si>
    <t>Penguin Island - Q04 (Coded Paper Response)</t>
  </si>
  <si>
    <t>PS465Q01</t>
  </si>
  <si>
    <t>Different Climates - Q01 (Coded Paper Response)</t>
  </si>
  <si>
    <t>PS465Q02S</t>
  </si>
  <si>
    <t>Different Climates - Q02 (Paper Scored Response)</t>
  </si>
  <si>
    <t>PS465Q04S</t>
  </si>
  <si>
    <t>Different Climates - Q04 (Paper Scored Response)</t>
  </si>
  <si>
    <t>PS131Q02</t>
  </si>
  <si>
    <t>Good Vibrations - Q02 (Coded Paper Response)</t>
  </si>
  <si>
    <t>PS131Q04</t>
  </si>
  <si>
    <t>Good Vibrations - Q04 (Coded Paper Response)</t>
  </si>
  <si>
    <t>PS428Q01S</t>
  </si>
  <si>
    <t>Bacteria in Milk - Q01 (Paper Scored Response)</t>
  </si>
  <si>
    <t>PS428Q03S</t>
  </si>
  <si>
    <t>Bacteria in Milk - Q03 (Paper Scored Response)</t>
  </si>
  <si>
    <t>PS428Q05</t>
  </si>
  <si>
    <t>Bacteria in Milk - Q05 (Coded Paper Response)</t>
  </si>
  <si>
    <t>PS514Q02</t>
  </si>
  <si>
    <t>Development and Disaster - Q02 (Coded Paper Response)</t>
  </si>
  <si>
    <t>PS514Q03</t>
  </si>
  <si>
    <t>Development and Disaster - Q03 (Coded Paper Response)</t>
  </si>
  <si>
    <t>PS514Q04</t>
  </si>
  <si>
    <t>Development and Disaster - Q04 (Coded Paper Response)</t>
  </si>
  <si>
    <t>PS438Q01S</t>
  </si>
  <si>
    <t>Green Parks - Q01 (Paper Scored Response)</t>
  </si>
  <si>
    <t>PS438Q02S</t>
  </si>
  <si>
    <t>Green Parks - Q02 (Paper Scored Response)</t>
  </si>
  <si>
    <t>PS438Q03</t>
  </si>
  <si>
    <t>Green Parks - Q03 (Coded Paper Response)</t>
  </si>
  <si>
    <t>PS415Q07S</t>
  </si>
  <si>
    <t>Solar Power Generation (Solar Panels) - Q07 (Paper Scored Response)</t>
  </si>
  <si>
    <t>PS415Q02S</t>
  </si>
  <si>
    <t>Solar Power Generation (Solar Panels) - Q02 (Paper Scored Response)</t>
  </si>
  <si>
    <t>PS415Q08S</t>
  </si>
  <si>
    <t>Solar Power Generation (Solar Panels) - Q08 (Paper Scored Response)</t>
  </si>
  <si>
    <t>PS476Q01S</t>
  </si>
  <si>
    <t>Heart Surgery - Q01 (Paper Scored Response)</t>
  </si>
  <si>
    <t>PS476Q02S</t>
  </si>
  <si>
    <t>Heart Surgery - Q02 (Paper Scored Response)</t>
  </si>
  <si>
    <t>PS476Q03S</t>
  </si>
  <si>
    <t>Heart Surgery - Q03 (Paper Scored Response)</t>
  </si>
  <si>
    <t>PS495Q04S</t>
  </si>
  <si>
    <t>Radiotherapy - Q04 (Paper Scored Response)</t>
  </si>
  <si>
    <t>PS495Q01S</t>
  </si>
  <si>
    <t>Radiotherapy - Q01 (Paper Scored Response)</t>
  </si>
  <si>
    <t>PS495Q02S</t>
  </si>
  <si>
    <t>Radiotherapy - Q02 (Paper Scored Response)</t>
  </si>
  <si>
    <t>S495Q03</t>
  </si>
  <si>
    <t>Radiotherapy - Q03 (Coded Paper Response)</t>
  </si>
  <si>
    <t>PS456Q01S</t>
  </si>
  <si>
    <t>Cheetah - Q01 (Paper Scored Response)</t>
  </si>
  <si>
    <t>PS456Q02S</t>
  </si>
  <si>
    <t>Cheetah - Q02 (Paper Scored Response)</t>
  </si>
  <si>
    <t>PS268Q01S</t>
  </si>
  <si>
    <t>Algae - Q01 (Paper Scored Response)</t>
  </si>
  <si>
    <t>S268Q02</t>
  </si>
  <si>
    <t>Algae - Q02 (Coded Paper Response)</t>
  </si>
  <si>
    <t>PS268Q06S</t>
  </si>
  <si>
    <t>Algae - Q06 (Paper Scored Response)</t>
  </si>
  <si>
    <t>PS524Q06S</t>
  </si>
  <si>
    <t>Penicillin Manufacture - Q06 (Paper Scored Response)</t>
  </si>
  <si>
    <t>S524Q07</t>
  </si>
  <si>
    <t>Penicillin Manufacture - Q07 (Coded Paper Response)</t>
  </si>
  <si>
    <t>PS510Q01S</t>
  </si>
  <si>
    <t>Magnetic Hovertrain - Q01 (Paper Scored Response)</t>
  </si>
  <si>
    <t>S510Q04</t>
  </si>
  <si>
    <t>Magnetic Hovertrain - Q04 (Coded Paper Response)</t>
  </si>
  <si>
    <t>PS437Q01S</t>
  </si>
  <si>
    <t>Extinguishing Fires - Q01 (Paper Scored Response)</t>
  </si>
  <si>
    <t>PS437Q03S</t>
  </si>
  <si>
    <t>Extinguishing Fires - Q03 (Paper Scored Response)</t>
  </si>
  <si>
    <t>PS437Q04S</t>
  </si>
  <si>
    <t>Extinguishing Fires - Q04 (Paper Scored Response)</t>
  </si>
  <si>
    <t>S437Q06</t>
  </si>
  <si>
    <t>Extinguishing Fires - Q06 (Coded Paper Response)</t>
  </si>
  <si>
    <t>S304Q01</t>
  </si>
  <si>
    <t>Water - Q01 (Coded Paper Response)</t>
  </si>
  <si>
    <t>PS304Q02S</t>
  </si>
  <si>
    <t>Water - Q02 (Paper Scored Response)</t>
  </si>
  <si>
    <t>S304Q03a</t>
  </si>
  <si>
    <t>Water - Q03a (Coded Paper Response)</t>
  </si>
  <si>
    <t>S304Q03b</t>
  </si>
  <si>
    <t>Water - Q03b (Coded Paper Response)</t>
  </si>
  <si>
    <t>S416Q01</t>
  </si>
  <si>
    <t>The Moon - Q01 (Coded Paper Response)</t>
  </si>
  <si>
    <t>S458Q01</t>
  </si>
  <si>
    <t>The Ice Mummy - Q01 (Coded Paper Response)</t>
  </si>
  <si>
    <t>PS458Q02S</t>
  </si>
  <si>
    <t>The Ice Mummy - Q02 (Paper Scored Response)</t>
  </si>
  <si>
    <t>S421Q01</t>
  </si>
  <si>
    <t>Big and Small - Q01 (Coded Paper Response)</t>
  </si>
  <si>
    <t>S421Q02</t>
  </si>
  <si>
    <t>Big and Small - Q02 (Coded Paper Response)</t>
  </si>
  <si>
    <t>S421Q03</t>
  </si>
  <si>
    <t>Big and Small - Q03 (Coded Paper Response)</t>
  </si>
  <si>
    <t>PS252Q01S</t>
  </si>
  <si>
    <t>South Rainea - Q01 (Paper Scored Response)</t>
  </si>
  <si>
    <t>PS252Q02S</t>
  </si>
  <si>
    <t>South Rainea - Q02 (Paper Scored Response)</t>
  </si>
  <si>
    <t>PS252Q03S</t>
  </si>
  <si>
    <t>South Rainea - Q03 (Paper Scored Response)</t>
  </si>
  <si>
    <t>PS327Q01S</t>
  </si>
  <si>
    <t>Tidal Energy - Q01 (Paper Scored Response)</t>
  </si>
  <si>
    <t>PS133Q01S</t>
  </si>
  <si>
    <t>Research - Q01 (Paper Scored Response)</t>
  </si>
  <si>
    <t>PS133Q03S</t>
  </si>
  <si>
    <t>Research - Q03 (Paper Scored Response)</t>
  </si>
  <si>
    <t>PS133Q04S</t>
  </si>
  <si>
    <t>Research - Q04 (Paper Scored Response)</t>
  </si>
  <si>
    <t>Cognitive items: Overall Science results</t>
  </si>
  <si>
    <t>DS269Q01C: Earth's Temperature - Q01 (Coded Response)</t>
  </si>
  <si>
    <t>N</t>
  </si>
  <si>
    <t>Missing</t>
  </si>
  <si>
    <t>0 - No credit</t>
  </si>
  <si>
    <t>1 - Full credit</t>
  </si>
  <si>
    <t>Valid Skip</t>
  </si>
  <si>
    <t>Not Reached</t>
  </si>
  <si>
    <t>Not Applicable</t>
  </si>
  <si>
    <t>Invalid</t>
  </si>
  <si>
    <t>No Response</t>
  </si>
  <si>
    <t>All</t>
  </si>
  <si>
    <t>%</t>
  </si>
  <si>
    <t>Valid</t>
  </si>
  <si>
    <t>(SE)</t>
  </si>
  <si>
    <t>OECD</t>
  </si>
  <si>
    <t>Australia</t>
  </si>
  <si>
    <t>Austria</t>
  </si>
  <si>
    <t>Belgium</t>
  </si>
  <si>
    <t>Canada</t>
  </si>
  <si>
    <t>Chile</t>
  </si>
  <si>
    <t>Czech Republic</t>
  </si>
  <si>
    <t>Denmark</t>
  </si>
  <si>
    <t>Estonia</t>
  </si>
  <si>
    <t>Finland</t>
  </si>
  <si>
    <t>France</t>
  </si>
  <si>
    <t>Germany</t>
  </si>
  <si>
    <t>Greece</t>
  </si>
  <si>
    <t>Hungary</t>
  </si>
  <si>
    <t>Iceland</t>
  </si>
  <si>
    <t>Ireland</t>
  </si>
  <si>
    <t>Israel¹</t>
  </si>
  <si>
    <t>Italy</t>
  </si>
  <si>
    <t>Japan</t>
  </si>
  <si>
    <t>Korea</t>
  </si>
  <si>
    <t>Latvia</t>
  </si>
  <si>
    <t>Luxembourg</t>
  </si>
  <si>
    <t>Mexico</t>
  </si>
  <si>
    <t>Netherlands</t>
  </si>
  <si>
    <t>New Zealand</t>
  </si>
  <si>
    <t>Norway</t>
  </si>
  <si>
    <t>Poland</t>
  </si>
  <si>
    <t>Portugal</t>
  </si>
  <si>
    <t>Slovak Republic</t>
  </si>
  <si>
    <t>Slovenia</t>
  </si>
  <si>
    <t>Spain</t>
  </si>
  <si>
    <t>Sweden</t>
  </si>
  <si>
    <t>Switzerland</t>
  </si>
  <si>
    <t>Turkey</t>
  </si>
  <si>
    <t>United Kingdom</t>
  </si>
  <si>
    <t>United States</t>
  </si>
  <si>
    <t>OECD average</t>
  </si>
  <si>
    <t>Partners</t>
  </si>
  <si>
    <t>Albania</t>
  </si>
  <si>
    <t>—</t>
  </si>
  <si>
    <t>Algeria</t>
  </si>
  <si>
    <t>Brazil</t>
  </si>
  <si>
    <t>Bulgaria</t>
  </si>
  <si>
    <t>B-S-J-G (China)²</t>
  </si>
  <si>
    <t>Colombia</t>
  </si>
  <si>
    <t>Costa Rica</t>
  </si>
  <si>
    <t>Croatia</t>
  </si>
  <si>
    <t>Cyprus³ ⁴</t>
  </si>
  <si>
    <t>Dominican Republic</t>
  </si>
  <si>
    <t>Georgia</t>
  </si>
  <si>
    <t>Hong Kong</t>
  </si>
  <si>
    <t>Indonesia</t>
  </si>
  <si>
    <t>Jordan</t>
  </si>
  <si>
    <t>Kazakhstan</t>
  </si>
  <si>
    <t>n/a</t>
  </si>
  <si>
    <t>Kosovo⁵</t>
  </si>
  <si>
    <t>Lebanon</t>
  </si>
  <si>
    <t>Lithuania</t>
  </si>
  <si>
    <t>Macao</t>
  </si>
  <si>
    <t>Macedonia</t>
  </si>
  <si>
    <t>Malaysia</t>
  </si>
  <si>
    <t>Malta</t>
  </si>
  <si>
    <t>Moldova</t>
  </si>
  <si>
    <t>Montenegro</t>
  </si>
  <si>
    <t>Peru</t>
  </si>
  <si>
    <t>Puerto Rico (USA)⁶</t>
  </si>
  <si>
    <t>Qatar</t>
  </si>
  <si>
    <t>Romania</t>
  </si>
  <si>
    <t>Russian Federation</t>
  </si>
  <si>
    <t>Singapore</t>
  </si>
  <si>
    <t>Chinese Taipei</t>
  </si>
  <si>
    <t>Thailand</t>
  </si>
  <si>
    <t>Trinidad and Tobago</t>
  </si>
  <si>
    <t>Tunisia</t>
  </si>
  <si>
    <t>United Arab Emirates</t>
  </si>
  <si>
    <t>Uruguay</t>
  </si>
  <si>
    <t>Vietnam</t>
  </si>
  <si>
    <t>Argentina (Ciudad Autónoma de Buenos)</t>
  </si>
  <si>
    <t>Spain (Regions)</t>
  </si>
  <si>
    <t>USA (Massachusetts)</t>
  </si>
  <si>
    <t>USA (North Carolina)</t>
  </si>
  <si>
    <t>Note:</t>
  </si>
  <si>
    <t>n/a Data not available</t>
  </si>
  <si>
    <t>— No data</t>
  </si>
  <si>
    <t>¹ The statistical data for Israel are supplied by and under the responsibility of the relevant Israeli authorities. The use of such data by the OECD is without prejudice to the status of the Golan Heights, East Jerusalem and Israeli settlements in the West Bank under the terms of international law.</t>
  </si>
  <si>
    <t>² B-S-J-G (China) refers to the four PISA participating China provinces: Beijing, Shanghai, Jiangsu, Guangdong.</t>
  </si>
  <si>
    <t>³ Note from Turkey: The information in this document with reference to "Cyprus" relates to Cyprus: Note by Turkey: The information in this document with reference to "Cyprus" relates to the southern part of the Island. There is no single authority representing both Turkish and Greek Cypriot people on the Island. Turkey recognises the Turkish Republic of Northern Cyprus (TRNC). Until a lasting and equitable solution is found within the context of the United Nations, Turkey shall preserve its position concerning the "Cyprus issue".</t>
  </si>
  <si>
    <t>⁴ Note from all the European Union Member States of the OECD and the European Union: The Republic of Cyprus is recognised by all members of the United Nations with the exception of Turkey. The information in this document relates to the area under the effective control of the Government of the Republic of Cyprus.</t>
  </si>
  <si>
    <t>⁵ This designation is without prejudice to positions on status, and is in line with United Nations Security Council Resolution 1244/99 and the Opinion of the International Court of Justice on Kosovo's declaration of independence.</t>
  </si>
  <si>
    <t>⁶ Puerto Rico is an unincorporated territory of the United States. As such, PISA U.S. national results do not include Puerto Rico.</t>
  </si>
  <si>
    <t>DS269Q03C: Earth's Temperature - Q03 (Coded Response)</t>
  </si>
  <si>
    <t>01 - No credit</t>
  </si>
  <si>
    <t>02 - No credit</t>
  </si>
  <si>
    <t>11 - Full credit</t>
  </si>
  <si>
    <t>12 - Full credit</t>
  </si>
  <si>
    <t>CS269Q04S: Earth's Temperature - Q04 (Scored Response)</t>
  </si>
  <si>
    <t>No credit</t>
  </si>
  <si>
    <t>Full credit</t>
  </si>
  <si>
    <t>CS408Q01S: Wild Oat Grass - Q01 (Scored Response)</t>
  </si>
  <si>
    <t>DS408Q03C: Wild Oat Grass - Q03 (Coded Response)</t>
  </si>
  <si>
    <t>CS408Q04S: Wild Oat Grass - Q04 (Scored Response)</t>
  </si>
  <si>
    <t>CS408Q05S: Wild Oat Grass - Q05 (Scored Response)</t>
  </si>
  <si>
    <t>CS521Q02S: Cooking Outdoors - Q02 (Scored Response)</t>
  </si>
  <si>
    <t>CS521Q06S: Cooking Outdoors - Q06 (Scored Response)</t>
  </si>
  <si>
    <t>DS519Q01C: Airbags - Q01 (Coded Response)</t>
  </si>
  <si>
    <t>1 - Partial credit</t>
  </si>
  <si>
    <t>2 - Full credit</t>
  </si>
  <si>
    <t>CS519Q02S: Airbags - Q02 (Scored Response)</t>
  </si>
  <si>
    <t>DS519Q03C: Airbags - Q03 (Coded Response)</t>
  </si>
  <si>
    <t>CS527Q01S: Extinction of the Dinosaurs - Q01 (Scored Response)</t>
  </si>
  <si>
    <t>CS527Q03S: Extinction of the Dinosaurs - Q03 (Scored Response)</t>
  </si>
  <si>
    <t>CS527Q04S: Extinction of the Dinosaurs - Q04 (Scored Response)</t>
  </si>
  <si>
    <t>CS466Q01S: Forest Fires - Q01 (Scored Response)</t>
  </si>
  <si>
    <t>CS466Q07S: Forest Fires - Q07 (Scored Response)</t>
  </si>
  <si>
    <t>CS466Q05S: Forest Fires - Q05 (Scored Response)</t>
  </si>
  <si>
    <t>DS326Q01C: Milk - Q01 (Coded Response)</t>
  </si>
  <si>
    <t>DS326Q02C: Milk - Q02 (Coded Response)</t>
  </si>
  <si>
    <t>CS326Q03S: Milk - Q03 (Scored Response)</t>
  </si>
  <si>
    <t>CS326Q04S: Milk - Q04 (Scored Response)</t>
  </si>
  <si>
    <t>CS256Q01S: Spoons - Q01 (Scored Response)</t>
  </si>
  <si>
    <t>CS478Q01S: Antibiotics - Q01 (Scored Response)</t>
  </si>
  <si>
    <t>CS478Q02S: Antibiotics - Q02 (Scored Response)</t>
  </si>
  <si>
    <t>CS478Q03S: Antibiotics - Q03 (Scored Response)</t>
  </si>
  <si>
    <t>CS413Q06S: Plastic Age - Q06 (Scored Response)</t>
  </si>
  <si>
    <t>CS413Q04S: Plastic Age - Q04 (Scored Response)</t>
  </si>
  <si>
    <t>CS413Q05S: Plastic Age - Q05 (Scored Response)</t>
  </si>
  <si>
    <t>CS498Q02S: Experimental Digestion - Q02 (Scored Response)</t>
  </si>
  <si>
    <t>CS498Q03S: Experimental Digestion - Q03 (Scored Response)</t>
  </si>
  <si>
    <t>DS498Q04C: Experimental Digestion - Q04 (Coded Response)</t>
  </si>
  <si>
    <t>DS425Q03C: Penguin Island - Q03 (Coded Response)</t>
  </si>
  <si>
    <t>CS425Q05S: Penguin Island - Q05 (Scored Response)</t>
  </si>
  <si>
    <t>CS425Q02S: Penguin Island - Q02 (Scored Response)</t>
  </si>
  <si>
    <t>DS425Q04C: Penguin Island - Q04 (Coded Response)</t>
  </si>
  <si>
    <t>DS465Q01C: Different Climates - Q01 (Coded Response)</t>
  </si>
  <si>
    <t>CS465Q02S: Different Climates - Q02 (Scored Response)</t>
  </si>
  <si>
    <t>CS465Q04S: Different Climates - Q04 (Scored Response)</t>
  </si>
  <si>
    <t>DS131Q02C: Good Vibrations - Q02 (Coded Response)</t>
  </si>
  <si>
    <t>03 - No credit</t>
  </si>
  <si>
    <t>DS131Q04C: Good Vibrations - Q04 (Coded Response)</t>
  </si>
  <si>
    <t>04 - No credit</t>
  </si>
  <si>
    <t>CS428Q01S: Bacteria in Milk - Q01 (Scored Response)</t>
  </si>
  <si>
    <t>CS428Q03S: Bacteria in Milk - Q03 (Scored Response)</t>
  </si>
  <si>
    <t>DS428Q05C: Bacteria in Milk - Q05 (Coded Response)</t>
  </si>
  <si>
    <t>DS514Q02C: Development and Disaster - Q02 (Coded Response)</t>
  </si>
  <si>
    <t>DS514Q03C: Development and Disaster - Q03 (Coded Response)</t>
  </si>
  <si>
    <t>DS514Q04C: Development and Disaster - Q04 (Coded Response)</t>
  </si>
  <si>
    <t>CS438Q01S: Green Parks - Q01 (Scored Response)</t>
  </si>
  <si>
    <t>CS438Q02S: Green Parks - Q02 (Scored Response)</t>
  </si>
  <si>
    <t>DS438Q03C: Green Parks - Q03 (Coded Response)</t>
  </si>
  <si>
    <t>CS415Q07S: Solar Power Generation (Solar Panels) - Q07 (Scored Response)</t>
  </si>
  <si>
    <t>CS415Q02S: Solar Power Generation (Solar Panels) - Q02 (Scored Response)</t>
  </si>
  <si>
    <t>CS415Q08S: Solar Power Generation (Solar Panels) - Q08 (Scored Response)</t>
  </si>
  <si>
    <t>CS476Q01S: Heart Surgery - Q01 (Scored Response)</t>
  </si>
  <si>
    <t>CS476Q02S: Heart Surgery - Q02 (Scored Response)</t>
  </si>
  <si>
    <t>CS476Q03S: Heart Surgery - Q03 (Scored Response)</t>
  </si>
  <si>
    <t>CS495Q04S: Radiotherapy - Q04 (Scored Response)</t>
  </si>
  <si>
    <t>CS495Q01S: Radiotherapy - Q01 (Scored Response)</t>
  </si>
  <si>
    <t>CS495Q02S: Radiotherapy - Q02 (Scored Response)</t>
  </si>
  <si>
    <t>DS495Q03C: Radiotherapy - Q03 (Coded Response)</t>
  </si>
  <si>
    <t>CS268Q01S: Algae - Q01 (Scored Response)</t>
  </si>
  <si>
    <t>DS268Q02C: Algae - Q02 (Coded Response)</t>
  </si>
  <si>
    <t>CS268Q06S: Algae - Q06 (Scored Response)</t>
  </si>
  <si>
    <t>CS524Q06S: Penicillin Manufacture - Q06 (Scored Response)</t>
  </si>
  <si>
    <t>DS524Q07C: Penicillin Manufacture - Q07 (Coded Response)</t>
  </si>
  <si>
    <t>CS510Q01S: Magnetic Hovertrain - Q01 (Scored Response)</t>
  </si>
  <si>
    <t>DS510Q04C: Magnetic Hovertrain - Q04 (Coded Response)</t>
  </si>
  <si>
    <t>CS437Q01S: Extinguishing Fires - Q01 (Scored Response)</t>
  </si>
  <si>
    <t>CS437Q03S: Extinguishing Fires - Q03 (Scored Response)</t>
  </si>
  <si>
    <t>CS437Q04S: Extinguishing Fires - Q04 (Scored Response)</t>
  </si>
  <si>
    <t>DS437Q06C: Extinguishing Fires - Q06 (Coded Response)</t>
  </si>
  <si>
    <t>DS304Q01C: Water - Q01 (Coded Response)</t>
  </si>
  <si>
    <t>CS304Q02S: Water - Q02 (Scored Response)</t>
  </si>
  <si>
    <t>DS304Q03aC: Water - Q03a (Coded Response)</t>
  </si>
  <si>
    <t>DS304Q03bC: Water - Q03b (Coded Response)</t>
  </si>
  <si>
    <t>DS416Q01C: The Moon - Q01 (Coded Response)</t>
  </si>
  <si>
    <t>DS458Q01C: The Ice Mummy - Q01 (Coded Response)</t>
  </si>
  <si>
    <t>CS458Q02S: The Ice Mummy - Q02 (Scored Response)</t>
  </si>
  <si>
    <t>CS421Q01S: Big and Small - Q01 (Scored Response)</t>
  </si>
  <si>
    <t>CS421Q02S: Big and Small - Q02 (Scored Response)</t>
  </si>
  <si>
    <t>CS421Q03S: Big and Small - Q03 (Scored Response)</t>
  </si>
  <si>
    <t>CS252Q01S: South Rainea - Q01 (Scored Response)</t>
  </si>
  <si>
    <t>CS252Q02S: South Rainea - Q02 (Scored Response)</t>
  </si>
  <si>
    <t>CS252Q03S: South Rainea - Q03 (Scored Response)</t>
  </si>
  <si>
    <t>CS327Q01S: Tidal Energy - Q01 (Scored Response)</t>
  </si>
  <si>
    <t>CS627Q01S: Car Tyres - Q01 (Scored Response)</t>
  </si>
  <si>
    <t>CS627Q03S: Car Tyres - Q03 (Scored Response)</t>
  </si>
  <si>
    <t>CS627Q04S: Car Tyres - Q04 (Scored Response)</t>
  </si>
  <si>
    <t>CS635Q01S: Save the Fish - Q01 (Scored Response)</t>
  </si>
  <si>
    <t>Partial credit</t>
  </si>
  <si>
    <t>CS635Q02S: Save the Fish - Q02 (Scored Response)</t>
  </si>
  <si>
    <t>DS635Q03C: Save the Fish - Q03 (Coded Response)</t>
  </si>
  <si>
    <t>CS635Q04S: Save the Fish - Q04 (Scored Response)</t>
  </si>
  <si>
    <t>DS635Q05C: Save the Fish - Q05 (Coded Response)</t>
  </si>
  <si>
    <t>CS603Q01S: Elephants and Acacia Trees - Q01 (Scored Response)</t>
  </si>
  <si>
    <t>DS603Q02C: Elephants and Acacia Trees - Q02 (Coded Response)</t>
  </si>
  <si>
    <t>CS603Q03S: Elephants and Acacia Trees - Q03 (Scored Response)</t>
  </si>
  <si>
    <t>CS603Q04S: Elephants and Acacia Trees - Q04 (Scored Response)</t>
  </si>
  <si>
    <t>CS603Q05S: Elephants and Acacia Trees - Q05 (Scored Response)</t>
  </si>
  <si>
    <t>CS602Q01S: Urban Heat Island Effect - Q01 (Scored Response)</t>
  </si>
  <si>
    <t>CS602Q02S: Urban Heat Island Effect - Q02 (Scored Response)</t>
  </si>
  <si>
    <t>DS602Q03C: Urban Heat Island Effect - Q03 (Coded Response)</t>
  </si>
  <si>
    <t>CS602Q04S: Urban Heat Island Effect - Q04 (Scored Response)</t>
  </si>
  <si>
    <t>CS607Q01S: Birds and Caterpillars - Q01 (Scored Response)</t>
  </si>
  <si>
    <t>CS607Q02S: Birds and Caterpillars - Q02 (Scored Response)</t>
  </si>
  <si>
    <t>DS607Q03C: Birds and Caterpillars - Q03 (Coded Response)</t>
  </si>
  <si>
    <t>CS646Q01S: Nanoparticles - Q01 (Scored Response)</t>
  </si>
  <si>
    <t>CS646Q02S: Nanoparticles - Q02 (Scored Response)</t>
  </si>
  <si>
    <t>CS646Q03S: Nanoparticles - Q03 (Scored Response)</t>
  </si>
  <si>
    <t>DS646Q04C: Nanoparticles - Q04 (All Rows Correct)</t>
  </si>
  <si>
    <t>DS646Q05C: Nanoparticles - Q05 (Coded Response)</t>
  </si>
  <si>
    <t>CS608Q01S: Ammonoids - Q01 (Scored Response)</t>
  </si>
  <si>
    <t>CS608Q02S: Ammonoids - Q02 (Scored Response)</t>
  </si>
  <si>
    <t>CS608Q03S: Ammonoids - Q03 (Scored Response)</t>
  </si>
  <si>
    <t>DS608Q04C: Ammonoids - Q04 (Coded Response)</t>
  </si>
  <si>
    <t>CS605Q01S: Geothermal Energy - Q01 (Scored Response)</t>
  </si>
  <si>
    <t>CS605Q02S: Geothermal Energy - Q02 (Scored Response)</t>
  </si>
  <si>
    <t>CS605Q03S: Geothermal Energy - Q03 (Scored Response)</t>
  </si>
  <si>
    <t>DS605Q04C: Geothermal Energy - Q04 (Coded Response)</t>
  </si>
  <si>
    <t>CS649Q01S: Weather Balloon - Q01 (Scored Response)</t>
  </si>
  <si>
    <t>DS649Q02C: Weather Balloon - Q02 (Coded Response)</t>
  </si>
  <si>
    <t>CS649Q03S: Weather Balloon - Q03 (Scored Response)</t>
  </si>
  <si>
    <t>CS649Q04S: Weather Balloon - Q04 (Scored Response)</t>
  </si>
  <si>
    <t>CS634Q01S: Vaccination and Spreading of Disease - Q01 (Scored Response)</t>
  </si>
  <si>
    <t>CS634Q02S: Vaccination and Spreading of Disease - Q02 (Scored Response)</t>
  </si>
  <si>
    <t>DS634Q03C: Vaccination and Spreading of Disease - Q03 (Coded Response)</t>
  </si>
  <si>
    <t>DS634Q05C: Vaccination and Spreading of Disease - Q05 (Coded Response)</t>
  </si>
  <si>
    <t>CS634Q04S: Vaccination and Spreading of Disease - Q04 (Scored Response)</t>
  </si>
  <si>
    <t>CS620Q01S: Tornadoes - Q01 (Scored Response)</t>
  </si>
  <si>
    <t>CS620Q02S: Tornadoes - Q02 (Scored Response)</t>
  </si>
  <si>
    <t>DS620Q04C: Tornadoes - Q04 (Coded Response)</t>
  </si>
  <si>
    <t>CS638Q01S: Oil Spills - Q01 (Scored Response)</t>
  </si>
  <si>
    <t>CS638Q02S: Oil Spills - Q02 (Scored Response)</t>
  </si>
  <si>
    <t>CS638Q04S: Oil Spills - Q04 (Scored Response)</t>
  </si>
  <si>
    <t>DS638Q05C: Oil Spills - Q05 (Coded Response)</t>
  </si>
  <si>
    <t>DS625Q01C: Wildfires and the Fire Triangle - Q01 (Coded Response)</t>
  </si>
  <si>
    <t>CS625Q02S: Wildfires and the Fire Triangle - Q02 (Scored Response)</t>
  </si>
  <si>
    <t>CS625Q03S: Wildfires and the Fire Triangle - Q03 (Scored Response)</t>
  </si>
  <si>
    <t>CS615Q07S: Understanding Tsunamis - Q07 (Scored Response)</t>
  </si>
  <si>
    <t>CS615Q01S: Understanding Tsunamis - Q01 (Scored Response)</t>
  </si>
  <si>
    <t>CS615Q02S: Understanding Tsunamis - Q02 (Scored Response)</t>
  </si>
  <si>
    <t>CS615Q05S: Understanding Tsunamis - Q05 (Scored Response)</t>
  </si>
  <si>
    <t>CS604Q02S: Water from Fog - Q02 (Scored Response)</t>
  </si>
  <si>
    <t>DS604Q04C: Water from Fog - Q04 (Coded Response)</t>
  </si>
  <si>
    <t>CS645Q01S: Carbon Dioxide in Earth's Atmosphere - Q01 (Scored Response)</t>
  </si>
  <si>
    <t>CS645Q03S: Carbon Dioxide in Earth's Atmosphere - Q03 (Scored Response)</t>
  </si>
  <si>
    <t>DS645Q04C: Carbon Dioxide in Earth's Atmosphere - Q04 (Coded Response)</t>
  </si>
  <si>
    <t>DS645Q05C: Carbon Dioxide in Earth's Atmosphere - Q05 (Coded Response)</t>
  </si>
  <si>
    <t>CS657Q01S: Invasive Species - Q01 (Scored Response)</t>
  </si>
  <si>
    <t>CS657Q02S: Invasive Species - Q02 (Scored Response)</t>
  </si>
  <si>
    <t>CS657Q03S: Invasive Species - Q03 (Scored Response)</t>
  </si>
  <si>
    <t>DS657Q04C: Invasive Species - Q04 (Coded Response)</t>
  </si>
  <si>
    <t>11 - Partial credit</t>
  </si>
  <si>
    <t>12 - Partial credit</t>
  </si>
  <si>
    <t>21 - Full credit</t>
  </si>
  <si>
    <t>CS656Q01S: Bird Migration - Q01 (Scored Response)</t>
  </si>
  <si>
    <t>DS656Q02C: Bird Migration - Q02 (Coded Response)</t>
  </si>
  <si>
    <t>CS656Q04S: Bird Migration - Q04 (Scored Response)</t>
  </si>
  <si>
    <t>DS643Q03C: Comparing Light Bulbs - Q03 (Coded Response)</t>
  </si>
  <si>
    <t>CS643Q01S: Comparing Light Bulbs - Q01 (Scored Response)</t>
  </si>
  <si>
    <t>CS643Q02S: Comparing Light Bulbs - Q02 (Scored Response)</t>
  </si>
  <si>
    <t>CS643Q04S: Comparing Light Bulbs - Q04 (Scored Response)</t>
  </si>
  <si>
    <t>DS643Q05C: Comparing Light Bulbs - Q05 (Coded Response)</t>
  </si>
  <si>
    <t>DS629Q01C: Solar Cooker - Q01 (Coded Response)</t>
  </si>
  <si>
    <t>CS629Q02S: Solar Cooker - Q02 (Scored Response)</t>
  </si>
  <si>
    <t>DS629Q03C: Solar Cooker - Q03 (Coded Response)</t>
  </si>
  <si>
    <t>CS629Q04S: Solar Cooker - Q04 (Scored Response)</t>
  </si>
  <si>
    <t>DS648Q01C: Habitable Zone - Q01 (Coded Response)</t>
  </si>
  <si>
    <t>CS648Q02S: Habitable Zone - Q02 (Scored Response)</t>
  </si>
  <si>
    <t>CS648Q03S: Habitable Zone - Q03 (Scored Response)</t>
  </si>
  <si>
    <t>DS648Q05C: Habitable Zone - Q05 (Coded Response)</t>
  </si>
  <si>
    <t>CS641Q01S: Meteoroids and Craters - Q01 (Scored Response)</t>
  </si>
  <si>
    <t>CS641Q02S: Meteoroids and Craters - Q02 (Scored Response)</t>
  </si>
  <si>
    <t>CS641Q03S: Meteoroids and Craters - Q03 (Scored Response)</t>
  </si>
  <si>
    <t>CS641Q04S: Meteoroids and Craters - Q04 (Scored Response)</t>
  </si>
  <si>
    <t>DS637Q01C: Slope-Face Investigation - Q01 (Coded Response)</t>
  </si>
  <si>
    <t>CS637Q02S: Slope-Face Investigation - Q02 (Scored Response)</t>
  </si>
  <si>
    <t>DS637Q05C: Slope-Face Investigation - Q05 (Coded Response)</t>
  </si>
  <si>
    <t>CS601Q01S: Sustainable Fish Farming - Q01 (Scored Response)</t>
  </si>
  <si>
    <t>CS601Q02S: Sustainable Fish Farming - Q02 (Scored Response)</t>
  </si>
  <si>
    <t>CS601Q04S: Sustainable Fish Farming - Q04 (Scored Response)</t>
  </si>
  <si>
    <t>DS610Q01C: Brain-Controlled Robotics - Q01 (Coded Response)</t>
  </si>
  <si>
    <t>CS610Q02S: Brain-Controlled Robotics - Q02 (Scored Response)</t>
  </si>
  <si>
    <t>CS610Q04S: Brain-Controlled Robotics - Q04 (Scored Response)</t>
  </si>
  <si>
    <t>CS626Q01S: Sounds in Marine Habitats - Q01 (Scored Response)</t>
  </si>
  <si>
    <t>CS626Q02S: Sounds in Marine Habitats - Q02 (Scored Response)</t>
  </si>
  <si>
    <t>CS626Q03S: Sounds in Marine Habitats - Q03 (Scored Response)</t>
  </si>
  <si>
    <t>DS626Q04C: Sounds in Marine Habitats - Q04 (Coded Response)</t>
  </si>
  <si>
    <t>PS269Q01: Earth's Temperature - Q01 (Coded Paper Response)</t>
  </si>
  <si>
    <t>PS269Q03: Earth's Temperature - Q03 (Coded Paper Response)</t>
  </si>
  <si>
    <t>9 - No data (CBA only)</t>
  </si>
  <si>
    <t>PS269Q04S: Earth's Temperature - Q04 (Paper Scored Response)</t>
  </si>
  <si>
    <t>PS408Q01S: Wild Oat Grass - Q01 (Paper Scored Response)</t>
  </si>
  <si>
    <t>PS408Q03: Wild Oat Grass - Q03 (Coded Paper Response)</t>
  </si>
  <si>
    <t>PS408Q04S: Wild Oat Grass - Q04 (Paper Scored Response)</t>
  </si>
  <si>
    <t>PS408Q05S: Wild Oat Grass - Q05 (Paper Scored Response)</t>
  </si>
  <si>
    <t>PS521Q02S: Cooking Outdoors - Q02 (Paper Scored Response)</t>
  </si>
  <si>
    <t>PS521Q06S: Cooking Outdoors - Q06 (Paper Scored Response)</t>
  </si>
  <si>
    <t>PS519Q01: Airbags - Q01 (Coded Paper Response)</t>
  </si>
  <si>
    <t>PS519Q02S: Airbags - Q02 (Paper Scored Response)</t>
  </si>
  <si>
    <t>PS519Q03: Airbags - Q03 (Coded Paper Response)</t>
  </si>
  <si>
    <t>PS527Q01S: Extinction of the Dinosaurs - Q01 (Paper Scored Response)</t>
  </si>
  <si>
    <t>PS527Q03S: Extinction of the Dinosaurs - Q03 (Paper Scored Response)</t>
  </si>
  <si>
    <t>PS527Q04S: Extinction of the Dinosaurs - Q04 (Paper Scored Response)</t>
  </si>
  <si>
    <t>PS466Q01S: Forest Fires - Q01 (Paper Scored Response)</t>
  </si>
  <si>
    <t>PS466Q07S: Forest Fires - Q07 (Paper Scored Response)</t>
  </si>
  <si>
    <t>PS466Q05S: Forest Fires - Q05 (Paper Scored Response)</t>
  </si>
  <si>
    <t>PS326Q01: Milk - Q01 (Coded Paper Response)</t>
  </si>
  <si>
    <t>PS326Q02: Milk - Q02 (Coded Paper Response)</t>
  </si>
  <si>
    <t>PS326Q03S: Milk - Q03 (Paper Scored Response)</t>
  </si>
  <si>
    <t>PS326Q04S: Milk - Q04 (Paper Scored Response)</t>
  </si>
  <si>
    <t>PS256Q01S: Spoons - Q01 (Paper Scored Response)</t>
  </si>
  <si>
    <t>PS478Q01S: Antibiotics - Q01 (Paper Scored Response)</t>
  </si>
  <si>
    <t>PS478Q02S: Antibiotics - Q02 (Paper Scored Response)</t>
  </si>
  <si>
    <t>PS478Q03S: Antibiotics - Q03 (Paper Scored Response)</t>
  </si>
  <si>
    <t>PS413Q06: Plastic Age - Q06 (Coded Paper Response)</t>
  </si>
  <si>
    <t>PS413Q04S: Plastic Age - Q04 (Paper Scored Response)</t>
  </si>
  <si>
    <t>PS413Q05S: Plastic Age - Q05 (Paper Scored Response)</t>
  </si>
  <si>
    <t>PS498Q02S: Experimental Digestion - Q02 (Paper Scored Response)</t>
  </si>
  <si>
    <t>PS498Q03S: Experimental Digestion - Q03 (Paper Scored Response)</t>
  </si>
  <si>
    <t>PS498Q04: Experimental Digestion - Q04 (Coded Paper Response)</t>
  </si>
  <si>
    <t>PS425Q03: Penguin Island - Q03 (Coded Paper Response)</t>
  </si>
  <si>
    <t>PS425Q05S: Penguin Island - Q05 (Paper Scored Response)</t>
  </si>
  <si>
    <t>PS425Q02S: Penguin Island - Q02 (Paper Scored Response)</t>
  </si>
  <si>
    <t>PS425Q04: Penguin Island - Q04 (Coded Paper Response)</t>
  </si>
  <si>
    <t>PS465Q01: Different Climates - Q01 (Coded Paper Response)</t>
  </si>
  <si>
    <t>PS465Q02S: Different Climates - Q02 (Paper Scored Response)</t>
  </si>
  <si>
    <t>PS465Q04S: Different Climates - Q04 (Paper Scored Response)</t>
  </si>
  <si>
    <t>PS131Q02: Good Vibrations - Q02 (Coded Paper Response)</t>
  </si>
  <si>
    <t>PS131Q04: Good Vibrations - Q04 (Coded Paper Response)</t>
  </si>
  <si>
    <t>PS428Q01S: Bacteria in Milk - Q01 (Paper Scored Response)</t>
  </si>
  <si>
    <t>PS428Q03S: Bacteria in Milk - Q03 (Paper Scored Response)</t>
  </si>
  <si>
    <t>PS428Q05: Bacteria in Milk - Q05 (Coded Paper Response)</t>
  </si>
  <si>
    <t>PS514Q02: Development and Disaster - Q02 (Coded Paper Response)</t>
  </si>
  <si>
    <t>PS514Q03: Development and Disaster - Q03 (Coded Paper Response)</t>
  </si>
  <si>
    <t>PS514Q04: Development and Disaster - Q04 (Coded Paper Response)</t>
  </si>
  <si>
    <t>PS438Q01S: Green Parks - Q01 (Paper Scored Response)</t>
  </si>
  <si>
    <t>PS438Q02S: Green Parks - Q02 (Paper Scored Response)</t>
  </si>
  <si>
    <t>PS438Q03: Green Parks - Q03 (Coded Paper Response)</t>
  </si>
  <si>
    <t>PS415Q07S: Solar Power Generation (Solar Panels) - Q07 (Paper Scored Response)</t>
  </si>
  <si>
    <t>PS415Q02S: Solar Power Generation (Solar Panels) - Q02 (Paper Scored Response)</t>
  </si>
  <si>
    <t>PS415Q08S: Solar Power Generation (Solar Panels) - Q08 (Paper Scored Response)</t>
  </si>
  <si>
    <t>PS476Q01S: Heart Surgery - Q01 (Paper Scored Response)</t>
  </si>
  <si>
    <t>PS476Q02S: Heart Surgery - Q02 (Paper Scored Response)</t>
  </si>
  <si>
    <t>PS476Q03S: Heart Surgery - Q03 (Paper Scored Response)</t>
  </si>
  <si>
    <t>PS495Q04S: Radiotherapy - Q04 (Paper Scored Response)</t>
  </si>
  <si>
    <t>PS495Q01S: Radiotherapy - Q01 (Paper Scored Response)</t>
  </si>
  <si>
    <t>PS495Q02S: Radiotherapy - Q02 (Paper Scored Response)</t>
  </si>
  <si>
    <t>S495Q03: Radiotherapy - Q03 (Coded Paper Response)</t>
  </si>
  <si>
    <t>PS456Q01S: Cheetah - Q01 (Paper Scored Response)</t>
  </si>
  <si>
    <t>PS456Q02S: Cheetah - Q02 (Paper Scored Response)</t>
  </si>
  <si>
    <t>PS268Q01S: Algae - Q01 (Paper Scored Response)</t>
  </si>
  <si>
    <t>S268Q02: Algae - Q02 (Coded Paper Response)</t>
  </si>
  <si>
    <t>PS268Q06S: Algae - Q06 (Paper Scored Response)</t>
  </si>
  <si>
    <t>PS524Q06S: Penicillin Manufacture - Q06 (Paper Scored Response)</t>
  </si>
  <si>
    <t>S524Q07: Penicillin Manufacture - Q07 (Coded Paper Response)</t>
  </si>
  <si>
    <t>PS510Q01S: Magnetic Hovertrain - Q01 (Paper Scored Response)</t>
  </si>
  <si>
    <t>S510Q04: Magnetic Hovertrain - Q04 (Coded Paper Response)</t>
  </si>
  <si>
    <t>PS437Q01S: Extinguishing Fires - Q01 (Paper Scored Response)</t>
  </si>
  <si>
    <t>PS437Q03S: Extinguishing Fires - Q03 (Paper Scored Response)</t>
  </si>
  <si>
    <t>PS437Q04S: Extinguishing Fires - Q04 (Paper Scored Response)</t>
  </si>
  <si>
    <t>S437Q06: Extinguishing Fires - Q06 (Coded Paper Response)</t>
  </si>
  <si>
    <t>S304Q01: Water - Q01 (Coded Paper Response)</t>
  </si>
  <si>
    <t>PS304Q02S: Water - Q02 (Paper Scored Response)</t>
  </si>
  <si>
    <t>S304Q03a: Water - Q03a (Coded Paper Response)</t>
  </si>
  <si>
    <t>S304Q03b: Water - Q03b (Coded Paper Response)</t>
  </si>
  <si>
    <t>S416Q01: The Moon - Q01 (Coded Paper Response)</t>
  </si>
  <si>
    <t>S458Q01: The Ice Mummy - Q01 (Coded Paper Response)</t>
  </si>
  <si>
    <t>PS458Q02S: The Ice Mummy - Q02 (Paper Scored Response)</t>
  </si>
  <si>
    <t>S421Q01: Big and Small - Q01 (Coded Paper Response)</t>
  </si>
  <si>
    <t>S421Q02: Big and Small - Q02 (Coded Paper Response)</t>
  </si>
  <si>
    <t>S421Q03: Big and Small - Q03 (Coded Paper Response)</t>
  </si>
  <si>
    <t>PS252Q01S: South Rainea - Q01 (Paper Scored Response)</t>
  </si>
  <si>
    <t>PS252Q02S: South Rainea - Q02 (Paper Scored Response)</t>
  </si>
  <si>
    <t>PS252Q03S: South Rainea - Q03 (Paper Scored Response)</t>
  </si>
  <si>
    <t>PS327Q01S: Tidal Energy - Q01 (Paper Scored Response)</t>
  </si>
  <si>
    <t>PS133Q01S: Research - Q01 (Paper Scored Response)</t>
  </si>
  <si>
    <t>PS133Q03S: Research - Q03 (Paper Scored Response)</t>
  </si>
  <si>
    <t>PS133Q04S: Research - Q04 (Paper Scored Response)</t>
  </si>
</sst>
</file>

<file path=xl/styles.xml><?xml version="1.0" encoding="utf-8"?>
<styleSheet xmlns="http://schemas.openxmlformats.org/spreadsheetml/2006/main">
  <numFmts count="1">
    <numFmt formatCode="(0.00)" numFmtId="164"/>
  </numFmts>
  <fonts count="4">
    <font>
      <name val="Calibri"/>
      <family val="2"/>
      <color theme="1"/>
      <sz val="11"/>
      <scheme val="minor"/>
    </font>
    <font>
      <name val="Arial"/>
      <family val="2"/>
      <b val="1"/>
      <color rgb="00000000"/>
      <sz val="10"/>
    </font>
    <font>
      <name val="Arial"/>
      <family val="2"/>
      <color rgb="000000FF"/>
      <sz val="10"/>
      <u val="single"/>
    </font>
    <font>
      <name val="Arial"/>
      <family val="2"/>
      <color rgb="00000000"/>
      <sz val="10"/>
    </font>
  </fonts>
  <fills count="4">
    <fill>
      <patternFill/>
    </fill>
    <fill>
      <patternFill patternType="gray125"/>
    </fill>
    <fill>
      <patternFill patternType="solid">
        <fgColor rgb="00DAEEF3"/>
        <bgColor rgb="00DAEEF3"/>
      </patternFill>
    </fill>
    <fill>
      <patternFill patternType="solid">
        <fgColor rgb="00FFFFFF"/>
        <bgColor rgb="00FFFFFF"/>
      </patternFill>
    </fill>
  </fills>
  <borders count="7">
    <border>
      <left/>
      <right/>
      <top/>
      <bottom/>
      <diagonal/>
    </border>
    <border>
      <left/>
      <right style="thin"/>
      <top style="thin"/>
      <bottom/>
      <diagonal/>
    </border>
    <border>
      <left/>
      <right/>
      <top style="thin"/>
      <bottom/>
      <diagonal/>
    </border>
    <border>
      <left/>
      <right style="thin"/>
      <top/>
      <bottom style="thin"/>
      <diagonal/>
    </border>
    <border>
      <left/>
      <right/>
      <top/>
      <bottom style="thin"/>
      <diagonal/>
    </border>
    <border>
      <left style="thin"/>
      <right style="thin"/>
      <top style="thin"/>
      <bottom style="thin"/>
      <diagonal/>
    </border>
    <border>
      <left/>
      <right style="thin"/>
      <top/>
      <bottom/>
      <diagonal/>
    </border>
  </borders>
  <cellStyleXfs count="1">
    <xf borderId="0" fillId="0" fontId="0" numFmtId="0"/>
  </cellStyleXfs>
  <cellXfs count="27">
    <xf borderId="0" fillId="0" fontId="0" numFmtId="0" xfId="0"/>
    <xf borderId="0" fillId="0" fontId="1" numFmtId="0" xfId="0"/>
    <xf borderId="0" fillId="0" fontId="2" numFmtId="0" xfId="0"/>
    <xf borderId="0" fillId="0" fontId="3" numFmtId="0" xfId="0"/>
    <xf applyAlignment="1" borderId="0" fillId="0" fontId="1" numFmtId="0" xfId="0">
      <alignment horizontal="left" vertical="top" wrapText="1"/>
    </xf>
    <xf applyAlignment="1" borderId="0" fillId="0" fontId="1" numFmtId="0" xfId="0">
      <alignment horizontal="left"/>
    </xf>
    <xf borderId="1" fillId="2" fontId="0" numFmtId="0" xfId="0"/>
    <xf applyAlignment="1" borderId="2" fillId="2" fontId="1" numFmtId="0" xfId="0">
      <alignment horizontal="right" vertical="bottom" wrapText="1"/>
    </xf>
    <xf applyAlignment="1" borderId="1" fillId="2" fontId="1" numFmtId="0" xfId="0">
      <alignment horizontal="right" vertical="bottom" wrapText="1"/>
    </xf>
    <xf applyAlignment="1" borderId="5" fillId="2" fontId="1" numFmtId="0" xfId="0">
      <alignment horizontal="center" vertical="bottom" wrapText="1"/>
    </xf>
    <xf borderId="5" fillId="2" fontId="1" numFmtId="0" xfId="0"/>
    <xf applyAlignment="1" borderId="3" fillId="2" fontId="1" numFmtId="0" xfId="0">
      <alignment horizontal="right" vertical="bottom" wrapText="1"/>
    </xf>
    <xf applyAlignment="1" borderId="4" fillId="2" fontId="1" numFmtId="0" xfId="0">
      <alignment horizontal="right" vertical="bottom" wrapText="1"/>
    </xf>
    <xf borderId="6" fillId="3" fontId="1" numFmtId="0" xfId="0"/>
    <xf borderId="0" fillId="3" fontId="0" numFmtId="0" xfId="0"/>
    <xf borderId="6" fillId="3" fontId="3" numFmtId="0" xfId="0"/>
    <xf borderId="6" fillId="0" fontId="3" numFmtId="0" xfId="0"/>
    <xf applyAlignment="1" borderId="0" fillId="3" fontId="3" numFmtId="1" xfId="0">
      <alignment horizontal="right" vertical="bottom" wrapText="1"/>
    </xf>
    <xf applyAlignment="1" borderId="0" fillId="3" fontId="3" numFmtId="2" xfId="0">
      <alignment horizontal="right" vertical="bottom" wrapText="1"/>
    </xf>
    <xf applyAlignment="1" borderId="6" fillId="3" fontId="3" numFmtId="1" xfId="0">
      <alignment horizontal="right" vertical="bottom" wrapText="1"/>
    </xf>
    <xf applyAlignment="1" borderId="6" fillId="3" fontId="3" numFmtId="164" xfId="0">
      <alignment horizontal="right" vertical="bottom" wrapText="1"/>
    </xf>
    <xf applyAlignment="1" borderId="0" fillId="3" fontId="3" numFmtId="0" xfId="0">
      <alignment horizontal="right" vertical="bottom" wrapText="1"/>
    </xf>
    <xf applyAlignment="1" borderId="6" fillId="3" fontId="3" numFmtId="0" xfId="0">
      <alignment horizontal="right" vertical="bottom" wrapText="1"/>
    </xf>
    <xf borderId="3" fillId="3" fontId="3" numFmtId="0" xfId="0"/>
    <xf applyAlignment="1" borderId="4" fillId="3" fontId="3" numFmtId="1" xfId="0">
      <alignment horizontal="right" vertical="bottom" wrapText="1"/>
    </xf>
    <xf applyAlignment="1" borderId="4" fillId="3" fontId="3" numFmtId="2" xfId="0">
      <alignment horizontal="right" vertical="bottom" wrapText="1"/>
    </xf>
    <xf applyAlignment="1" borderId="0" fillId="0" fontId="3" numFmtId="0" xfId="0">
      <alignment horizontal="left" vertical="top" wrapText="1"/>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worksheets/sheet11.xml" Type="http://schemas.openxmlformats.org/officeDocument/2006/relationships/worksheet"/><Relationship Id="rId12" Target="worksheets/sheet12.xml" Type="http://schemas.openxmlformats.org/officeDocument/2006/relationships/worksheet"/><Relationship Id="rId13" Target="worksheets/sheet13.xml" Type="http://schemas.openxmlformats.org/officeDocument/2006/relationships/worksheet"/><Relationship Id="rId14" Target="worksheets/sheet14.xml" Type="http://schemas.openxmlformats.org/officeDocument/2006/relationships/worksheet"/><Relationship Id="rId15" Target="worksheets/sheet15.xml" Type="http://schemas.openxmlformats.org/officeDocument/2006/relationships/worksheet"/><Relationship Id="rId16" Target="worksheets/sheet16.xml" Type="http://schemas.openxmlformats.org/officeDocument/2006/relationships/worksheet"/><Relationship Id="rId17" Target="worksheets/sheet17.xml" Type="http://schemas.openxmlformats.org/officeDocument/2006/relationships/worksheet"/><Relationship Id="rId18" Target="worksheets/sheet18.xml" Type="http://schemas.openxmlformats.org/officeDocument/2006/relationships/worksheet"/><Relationship Id="rId19" Target="worksheets/sheet19.xml" Type="http://schemas.openxmlformats.org/officeDocument/2006/relationships/worksheet"/><Relationship Id="rId20" Target="worksheets/sheet20.xml" Type="http://schemas.openxmlformats.org/officeDocument/2006/relationships/worksheet"/><Relationship Id="rId21" Target="worksheets/sheet21.xml" Type="http://schemas.openxmlformats.org/officeDocument/2006/relationships/worksheet"/><Relationship Id="rId22" Target="worksheets/sheet22.xml" Type="http://schemas.openxmlformats.org/officeDocument/2006/relationships/worksheet"/><Relationship Id="rId23" Target="worksheets/sheet23.xml" Type="http://schemas.openxmlformats.org/officeDocument/2006/relationships/worksheet"/><Relationship Id="rId24" Target="worksheets/sheet24.xml" Type="http://schemas.openxmlformats.org/officeDocument/2006/relationships/worksheet"/><Relationship Id="rId25" Target="worksheets/sheet25.xml" Type="http://schemas.openxmlformats.org/officeDocument/2006/relationships/worksheet"/><Relationship Id="rId26" Target="worksheets/sheet26.xml" Type="http://schemas.openxmlformats.org/officeDocument/2006/relationships/worksheet"/><Relationship Id="rId27" Target="worksheets/sheet27.xml" Type="http://schemas.openxmlformats.org/officeDocument/2006/relationships/worksheet"/><Relationship Id="rId28" Target="worksheets/sheet28.xml" Type="http://schemas.openxmlformats.org/officeDocument/2006/relationships/worksheet"/><Relationship Id="rId29" Target="worksheets/sheet29.xml" Type="http://schemas.openxmlformats.org/officeDocument/2006/relationships/worksheet"/><Relationship Id="rId30" Target="worksheets/sheet30.xml" Type="http://schemas.openxmlformats.org/officeDocument/2006/relationships/worksheet"/><Relationship Id="rId31" Target="worksheets/sheet31.xml" Type="http://schemas.openxmlformats.org/officeDocument/2006/relationships/worksheet"/><Relationship Id="rId32" Target="worksheets/sheet32.xml" Type="http://schemas.openxmlformats.org/officeDocument/2006/relationships/worksheet"/><Relationship Id="rId33" Target="worksheets/sheet33.xml" Type="http://schemas.openxmlformats.org/officeDocument/2006/relationships/worksheet"/><Relationship Id="rId34" Target="worksheets/sheet34.xml" Type="http://schemas.openxmlformats.org/officeDocument/2006/relationships/worksheet"/><Relationship Id="rId35" Target="worksheets/sheet35.xml" Type="http://schemas.openxmlformats.org/officeDocument/2006/relationships/worksheet"/><Relationship Id="rId36" Target="worksheets/sheet36.xml" Type="http://schemas.openxmlformats.org/officeDocument/2006/relationships/worksheet"/><Relationship Id="rId37" Target="worksheets/sheet37.xml" Type="http://schemas.openxmlformats.org/officeDocument/2006/relationships/worksheet"/><Relationship Id="rId38" Target="worksheets/sheet38.xml" Type="http://schemas.openxmlformats.org/officeDocument/2006/relationships/worksheet"/><Relationship Id="rId39" Target="worksheets/sheet39.xml" Type="http://schemas.openxmlformats.org/officeDocument/2006/relationships/worksheet"/><Relationship Id="rId40" Target="worksheets/sheet40.xml" Type="http://schemas.openxmlformats.org/officeDocument/2006/relationships/worksheet"/><Relationship Id="rId41" Target="worksheets/sheet41.xml" Type="http://schemas.openxmlformats.org/officeDocument/2006/relationships/worksheet"/><Relationship Id="rId42" Target="worksheets/sheet42.xml" Type="http://schemas.openxmlformats.org/officeDocument/2006/relationships/worksheet"/><Relationship Id="rId43" Target="worksheets/sheet43.xml" Type="http://schemas.openxmlformats.org/officeDocument/2006/relationships/worksheet"/><Relationship Id="rId44" Target="worksheets/sheet44.xml" Type="http://schemas.openxmlformats.org/officeDocument/2006/relationships/worksheet"/><Relationship Id="rId45" Target="worksheets/sheet45.xml" Type="http://schemas.openxmlformats.org/officeDocument/2006/relationships/worksheet"/><Relationship Id="rId46" Target="worksheets/sheet46.xml" Type="http://schemas.openxmlformats.org/officeDocument/2006/relationships/worksheet"/><Relationship Id="rId47" Target="worksheets/sheet47.xml" Type="http://schemas.openxmlformats.org/officeDocument/2006/relationships/worksheet"/><Relationship Id="rId48" Target="worksheets/sheet48.xml" Type="http://schemas.openxmlformats.org/officeDocument/2006/relationships/worksheet"/><Relationship Id="rId49" Target="worksheets/sheet49.xml" Type="http://schemas.openxmlformats.org/officeDocument/2006/relationships/worksheet"/><Relationship Id="rId50" Target="worksheets/sheet50.xml" Type="http://schemas.openxmlformats.org/officeDocument/2006/relationships/worksheet"/><Relationship Id="rId51" Target="worksheets/sheet51.xml" Type="http://schemas.openxmlformats.org/officeDocument/2006/relationships/worksheet"/><Relationship Id="rId52" Target="worksheets/sheet52.xml" Type="http://schemas.openxmlformats.org/officeDocument/2006/relationships/worksheet"/><Relationship Id="rId53" Target="worksheets/sheet53.xml" Type="http://schemas.openxmlformats.org/officeDocument/2006/relationships/worksheet"/><Relationship Id="rId54" Target="worksheets/sheet54.xml" Type="http://schemas.openxmlformats.org/officeDocument/2006/relationships/worksheet"/><Relationship Id="rId55" Target="worksheets/sheet55.xml" Type="http://schemas.openxmlformats.org/officeDocument/2006/relationships/worksheet"/><Relationship Id="rId56" Target="worksheets/sheet56.xml" Type="http://schemas.openxmlformats.org/officeDocument/2006/relationships/worksheet"/><Relationship Id="rId57" Target="worksheets/sheet57.xml" Type="http://schemas.openxmlformats.org/officeDocument/2006/relationships/worksheet"/><Relationship Id="rId58" Target="worksheets/sheet58.xml" Type="http://schemas.openxmlformats.org/officeDocument/2006/relationships/worksheet"/><Relationship Id="rId59" Target="worksheets/sheet59.xml" Type="http://schemas.openxmlformats.org/officeDocument/2006/relationships/worksheet"/><Relationship Id="rId60" Target="worksheets/sheet60.xml" Type="http://schemas.openxmlformats.org/officeDocument/2006/relationships/worksheet"/><Relationship Id="rId61" Target="worksheets/sheet61.xml" Type="http://schemas.openxmlformats.org/officeDocument/2006/relationships/worksheet"/><Relationship Id="rId62" Target="worksheets/sheet62.xml" Type="http://schemas.openxmlformats.org/officeDocument/2006/relationships/worksheet"/><Relationship Id="rId63" Target="worksheets/sheet63.xml" Type="http://schemas.openxmlformats.org/officeDocument/2006/relationships/worksheet"/><Relationship Id="rId64" Target="worksheets/sheet64.xml" Type="http://schemas.openxmlformats.org/officeDocument/2006/relationships/worksheet"/><Relationship Id="rId65" Target="worksheets/sheet65.xml" Type="http://schemas.openxmlformats.org/officeDocument/2006/relationships/worksheet"/><Relationship Id="rId66" Target="worksheets/sheet66.xml" Type="http://schemas.openxmlformats.org/officeDocument/2006/relationships/worksheet"/><Relationship Id="rId67" Target="worksheets/sheet67.xml" Type="http://schemas.openxmlformats.org/officeDocument/2006/relationships/worksheet"/><Relationship Id="rId68" Target="worksheets/sheet68.xml" Type="http://schemas.openxmlformats.org/officeDocument/2006/relationships/worksheet"/><Relationship Id="rId69" Target="worksheets/sheet69.xml" Type="http://schemas.openxmlformats.org/officeDocument/2006/relationships/worksheet"/><Relationship Id="rId70" Target="worksheets/sheet70.xml" Type="http://schemas.openxmlformats.org/officeDocument/2006/relationships/worksheet"/><Relationship Id="rId71" Target="worksheets/sheet71.xml" Type="http://schemas.openxmlformats.org/officeDocument/2006/relationships/worksheet"/><Relationship Id="rId72" Target="worksheets/sheet72.xml" Type="http://schemas.openxmlformats.org/officeDocument/2006/relationships/worksheet"/><Relationship Id="rId73" Target="worksheets/sheet73.xml" Type="http://schemas.openxmlformats.org/officeDocument/2006/relationships/worksheet"/><Relationship Id="rId74" Target="worksheets/sheet74.xml" Type="http://schemas.openxmlformats.org/officeDocument/2006/relationships/worksheet"/><Relationship Id="rId75" Target="worksheets/sheet75.xml" Type="http://schemas.openxmlformats.org/officeDocument/2006/relationships/worksheet"/><Relationship Id="rId76" Target="worksheets/sheet76.xml" Type="http://schemas.openxmlformats.org/officeDocument/2006/relationships/worksheet"/><Relationship Id="rId77" Target="worksheets/sheet77.xml" Type="http://schemas.openxmlformats.org/officeDocument/2006/relationships/worksheet"/><Relationship Id="rId78" Target="worksheets/sheet78.xml" Type="http://schemas.openxmlformats.org/officeDocument/2006/relationships/worksheet"/><Relationship Id="rId79" Target="worksheets/sheet79.xml" Type="http://schemas.openxmlformats.org/officeDocument/2006/relationships/worksheet"/><Relationship Id="rId80" Target="worksheets/sheet80.xml" Type="http://schemas.openxmlformats.org/officeDocument/2006/relationships/worksheet"/><Relationship Id="rId81" Target="worksheets/sheet81.xml" Type="http://schemas.openxmlformats.org/officeDocument/2006/relationships/worksheet"/><Relationship Id="rId82" Target="worksheets/sheet82.xml" Type="http://schemas.openxmlformats.org/officeDocument/2006/relationships/worksheet"/><Relationship Id="rId83" Target="worksheets/sheet83.xml" Type="http://schemas.openxmlformats.org/officeDocument/2006/relationships/worksheet"/><Relationship Id="rId84" Target="worksheets/sheet84.xml" Type="http://schemas.openxmlformats.org/officeDocument/2006/relationships/worksheet"/><Relationship Id="rId85" Target="worksheets/sheet85.xml" Type="http://schemas.openxmlformats.org/officeDocument/2006/relationships/worksheet"/><Relationship Id="rId86" Target="worksheets/sheet86.xml" Type="http://schemas.openxmlformats.org/officeDocument/2006/relationships/worksheet"/><Relationship Id="rId87" Target="worksheets/sheet87.xml" Type="http://schemas.openxmlformats.org/officeDocument/2006/relationships/worksheet"/><Relationship Id="rId88" Target="worksheets/sheet88.xml" Type="http://schemas.openxmlformats.org/officeDocument/2006/relationships/worksheet"/><Relationship Id="rId89" Target="worksheets/sheet89.xml" Type="http://schemas.openxmlformats.org/officeDocument/2006/relationships/worksheet"/><Relationship Id="rId90" Target="worksheets/sheet90.xml" Type="http://schemas.openxmlformats.org/officeDocument/2006/relationships/worksheet"/><Relationship Id="rId91" Target="worksheets/sheet91.xml" Type="http://schemas.openxmlformats.org/officeDocument/2006/relationships/worksheet"/><Relationship Id="rId92" Target="worksheets/sheet92.xml" Type="http://schemas.openxmlformats.org/officeDocument/2006/relationships/worksheet"/><Relationship Id="rId93" Target="worksheets/sheet93.xml" Type="http://schemas.openxmlformats.org/officeDocument/2006/relationships/worksheet"/><Relationship Id="rId94" Target="worksheets/sheet94.xml" Type="http://schemas.openxmlformats.org/officeDocument/2006/relationships/worksheet"/><Relationship Id="rId95" Target="worksheets/sheet95.xml" Type="http://schemas.openxmlformats.org/officeDocument/2006/relationships/worksheet"/><Relationship Id="rId96" Target="worksheets/sheet96.xml" Type="http://schemas.openxmlformats.org/officeDocument/2006/relationships/worksheet"/><Relationship Id="rId97" Target="worksheets/sheet97.xml" Type="http://schemas.openxmlformats.org/officeDocument/2006/relationships/worksheet"/><Relationship Id="rId98" Target="worksheets/sheet98.xml" Type="http://schemas.openxmlformats.org/officeDocument/2006/relationships/worksheet"/><Relationship Id="rId99" Target="worksheets/sheet99.xml" Type="http://schemas.openxmlformats.org/officeDocument/2006/relationships/worksheet"/><Relationship Id="rId100" Target="worksheets/sheet100.xml" Type="http://schemas.openxmlformats.org/officeDocument/2006/relationships/worksheet"/><Relationship Id="rId101" Target="worksheets/sheet101.xml" Type="http://schemas.openxmlformats.org/officeDocument/2006/relationships/worksheet"/><Relationship Id="rId102" Target="worksheets/sheet102.xml" Type="http://schemas.openxmlformats.org/officeDocument/2006/relationships/worksheet"/><Relationship Id="rId103" Target="worksheets/sheet103.xml" Type="http://schemas.openxmlformats.org/officeDocument/2006/relationships/worksheet"/><Relationship Id="rId104" Target="worksheets/sheet104.xml" Type="http://schemas.openxmlformats.org/officeDocument/2006/relationships/worksheet"/><Relationship Id="rId105" Target="worksheets/sheet105.xml" Type="http://schemas.openxmlformats.org/officeDocument/2006/relationships/worksheet"/><Relationship Id="rId106" Target="worksheets/sheet106.xml" Type="http://schemas.openxmlformats.org/officeDocument/2006/relationships/worksheet"/><Relationship Id="rId107" Target="worksheets/sheet107.xml" Type="http://schemas.openxmlformats.org/officeDocument/2006/relationships/worksheet"/><Relationship Id="rId108" Target="worksheets/sheet108.xml" Type="http://schemas.openxmlformats.org/officeDocument/2006/relationships/worksheet"/><Relationship Id="rId109" Target="worksheets/sheet109.xml" Type="http://schemas.openxmlformats.org/officeDocument/2006/relationships/worksheet"/><Relationship Id="rId110" Target="worksheets/sheet110.xml" Type="http://schemas.openxmlformats.org/officeDocument/2006/relationships/worksheet"/><Relationship Id="rId111" Target="worksheets/sheet111.xml" Type="http://schemas.openxmlformats.org/officeDocument/2006/relationships/worksheet"/><Relationship Id="rId112" Target="worksheets/sheet112.xml" Type="http://schemas.openxmlformats.org/officeDocument/2006/relationships/worksheet"/><Relationship Id="rId113" Target="worksheets/sheet113.xml" Type="http://schemas.openxmlformats.org/officeDocument/2006/relationships/worksheet"/><Relationship Id="rId114" Target="worksheets/sheet114.xml" Type="http://schemas.openxmlformats.org/officeDocument/2006/relationships/worksheet"/><Relationship Id="rId115" Target="worksheets/sheet115.xml" Type="http://schemas.openxmlformats.org/officeDocument/2006/relationships/worksheet"/><Relationship Id="rId116" Target="worksheets/sheet116.xml" Type="http://schemas.openxmlformats.org/officeDocument/2006/relationships/worksheet"/><Relationship Id="rId117" Target="worksheets/sheet117.xml" Type="http://schemas.openxmlformats.org/officeDocument/2006/relationships/worksheet"/><Relationship Id="rId118" Target="worksheets/sheet118.xml" Type="http://schemas.openxmlformats.org/officeDocument/2006/relationships/worksheet"/><Relationship Id="rId119" Target="worksheets/sheet119.xml" Type="http://schemas.openxmlformats.org/officeDocument/2006/relationships/worksheet"/><Relationship Id="rId120" Target="worksheets/sheet120.xml" Type="http://schemas.openxmlformats.org/officeDocument/2006/relationships/worksheet"/><Relationship Id="rId121" Target="worksheets/sheet121.xml" Type="http://schemas.openxmlformats.org/officeDocument/2006/relationships/worksheet"/><Relationship Id="rId122" Target="worksheets/sheet122.xml" Type="http://schemas.openxmlformats.org/officeDocument/2006/relationships/worksheet"/><Relationship Id="rId123" Target="worksheets/sheet123.xml" Type="http://schemas.openxmlformats.org/officeDocument/2006/relationships/worksheet"/><Relationship Id="rId124" Target="worksheets/sheet124.xml" Type="http://schemas.openxmlformats.org/officeDocument/2006/relationships/worksheet"/><Relationship Id="rId125" Target="worksheets/sheet125.xml" Type="http://schemas.openxmlformats.org/officeDocument/2006/relationships/worksheet"/><Relationship Id="rId126" Target="worksheets/sheet126.xml" Type="http://schemas.openxmlformats.org/officeDocument/2006/relationships/worksheet"/><Relationship Id="rId127" Target="worksheets/sheet127.xml" Type="http://schemas.openxmlformats.org/officeDocument/2006/relationships/worksheet"/><Relationship Id="rId128" Target="worksheets/sheet128.xml" Type="http://schemas.openxmlformats.org/officeDocument/2006/relationships/worksheet"/><Relationship Id="rId129" Target="worksheets/sheet129.xml" Type="http://schemas.openxmlformats.org/officeDocument/2006/relationships/worksheet"/><Relationship Id="rId130" Target="worksheets/sheet130.xml" Type="http://schemas.openxmlformats.org/officeDocument/2006/relationships/worksheet"/><Relationship Id="rId131" Target="worksheets/sheet131.xml" Type="http://schemas.openxmlformats.org/officeDocument/2006/relationships/worksheet"/><Relationship Id="rId132" Target="worksheets/sheet132.xml" Type="http://schemas.openxmlformats.org/officeDocument/2006/relationships/worksheet"/><Relationship Id="rId133" Target="worksheets/sheet133.xml" Type="http://schemas.openxmlformats.org/officeDocument/2006/relationships/worksheet"/><Relationship Id="rId134" Target="worksheets/sheet134.xml" Type="http://schemas.openxmlformats.org/officeDocument/2006/relationships/worksheet"/><Relationship Id="rId135" Target="worksheets/sheet135.xml" Type="http://schemas.openxmlformats.org/officeDocument/2006/relationships/worksheet"/><Relationship Id="rId136" Target="worksheets/sheet136.xml" Type="http://schemas.openxmlformats.org/officeDocument/2006/relationships/worksheet"/><Relationship Id="rId137" Target="worksheets/sheet137.xml" Type="http://schemas.openxmlformats.org/officeDocument/2006/relationships/worksheet"/><Relationship Id="rId138" Target="worksheets/sheet138.xml" Type="http://schemas.openxmlformats.org/officeDocument/2006/relationships/worksheet"/><Relationship Id="rId139" Target="worksheets/sheet139.xml" Type="http://schemas.openxmlformats.org/officeDocument/2006/relationships/worksheet"/><Relationship Id="rId140" Target="worksheets/sheet140.xml" Type="http://schemas.openxmlformats.org/officeDocument/2006/relationships/worksheet"/><Relationship Id="rId141" Target="worksheets/sheet141.xml" Type="http://schemas.openxmlformats.org/officeDocument/2006/relationships/worksheet"/><Relationship Id="rId142" Target="worksheets/sheet142.xml" Type="http://schemas.openxmlformats.org/officeDocument/2006/relationships/worksheet"/><Relationship Id="rId143" Target="worksheets/sheet143.xml" Type="http://schemas.openxmlformats.org/officeDocument/2006/relationships/worksheet"/><Relationship Id="rId144" Target="worksheets/sheet144.xml" Type="http://schemas.openxmlformats.org/officeDocument/2006/relationships/worksheet"/><Relationship Id="rId145" Target="worksheets/sheet145.xml" Type="http://schemas.openxmlformats.org/officeDocument/2006/relationships/worksheet"/><Relationship Id="rId146" Target="worksheets/sheet146.xml" Type="http://schemas.openxmlformats.org/officeDocument/2006/relationships/worksheet"/><Relationship Id="rId147" Target="worksheets/sheet147.xml" Type="http://schemas.openxmlformats.org/officeDocument/2006/relationships/worksheet"/><Relationship Id="rId148" Target="worksheets/sheet148.xml" Type="http://schemas.openxmlformats.org/officeDocument/2006/relationships/worksheet"/><Relationship Id="rId149" Target="worksheets/sheet149.xml" Type="http://schemas.openxmlformats.org/officeDocument/2006/relationships/worksheet"/><Relationship Id="rId150" Target="worksheets/sheet150.xml" Type="http://schemas.openxmlformats.org/officeDocument/2006/relationships/worksheet"/><Relationship Id="rId151" Target="worksheets/sheet151.xml" Type="http://schemas.openxmlformats.org/officeDocument/2006/relationships/worksheet"/><Relationship Id="rId152" Target="worksheets/sheet152.xml" Type="http://schemas.openxmlformats.org/officeDocument/2006/relationships/worksheet"/><Relationship Id="rId153" Target="worksheets/sheet153.xml" Type="http://schemas.openxmlformats.org/officeDocument/2006/relationships/worksheet"/><Relationship Id="rId154" Target="worksheets/sheet154.xml" Type="http://schemas.openxmlformats.org/officeDocument/2006/relationships/worksheet"/><Relationship Id="rId155" Target="worksheets/sheet155.xml" Type="http://schemas.openxmlformats.org/officeDocument/2006/relationships/worksheet"/><Relationship Id="rId156" Target="worksheets/sheet156.xml" Type="http://schemas.openxmlformats.org/officeDocument/2006/relationships/worksheet"/><Relationship Id="rId157" Target="worksheets/sheet157.xml" Type="http://schemas.openxmlformats.org/officeDocument/2006/relationships/worksheet"/><Relationship Id="rId158" Target="worksheets/sheet158.xml" Type="http://schemas.openxmlformats.org/officeDocument/2006/relationships/worksheet"/><Relationship Id="rId159" Target="worksheets/sheet159.xml" Type="http://schemas.openxmlformats.org/officeDocument/2006/relationships/worksheet"/><Relationship Id="rId160" Target="worksheets/sheet160.xml" Type="http://schemas.openxmlformats.org/officeDocument/2006/relationships/worksheet"/><Relationship Id="rId161" Target="worksheets/sheet161.xml" Type="http://schemas.openxmlformats.org/officeDocument/2006/relationships/worksheet"/><Relationship Id="rId162" Target="worksheets/sheet162.xml" Type="http://schemas.openxmlformats.org/officeDocument/2006/relationships/worksheet"/><Relationship Id="rId163" Target="worksheets/sheet163.xml" Type="http://schemas.openxmlformats.org/officeDocument/2006/relationships/worksheet"/><Relationship Id="rId164" Target="worksheets/sheet164.xml" Type="http://schemas.openxmlformats.org/officeDocument/2006/relationships/worksheet"/><Relationship Id="rId165" Target="worksheets/sheet165.xml" Type="http://schemas.openxmlformats.org/officeDocument/2006/relationships/worksheet"/><Relationship Id="rId166" Target="worksheets/sheet166.xml" Type="http://schemas.openxmlformats.org/officeDocument/2006/relationships/worksheet"/><Relationship Id="rId167" Target="worksheets/sheet167.xml" Type="http://schemas.openxmlformats.org/officeDocument/2006/relationships/worksheet"/><Relationship Id="rId168" Target="worksheets/sheet168.xml" Type="http://schemas.openxmlformats.org/officeDocument/2006/relationships/worksheet"/><Relationship Id="rId169" Target="worksheets/sheet169.xml" Type="http://schemas.openxmlformats.org/officeDocument/2006/relationships/worksheet"/><Relationship Id="rId170" Target="worksheets/sheet170.xml" Type="http://schemas.openxmlformats.org/officeDocument/2006/relationships/worksheet"/><Relationship Id="rId171" Target="worksheets/sheet171.xml" Type="http://schemas.openxmlformats.org/officeDocument/2006/relationships/worksheet"/><Relationship Id="rId172" Target="worksheets/sheet172.xml" Type="http://schemas.openxmlformats.org/officeDocument/2006/relationships/worksheet"/><Relationship Id="rId173" Target="worksheets/sheet173.xml" Type="http://schemas.openxmlformats.org/officeDocument/2006/relationships/worksheet"/><Relationship Id="rId174" Target="worksheets/sheet174.xml" Type="http://schemas.openxmlformats.org/officeDocument/2006/relationships/worksheet"/><Relationship Id="rId175" Target="worksheets/sheet175.xml" Type="http://schemas.openxmlformats.org/officeDocument/2006/relationships/worksheet"/><Relationship Id="rId176" Target="worksheets/sheet176.xml" Type="http://schemas.openxmlformats.org/officeDocument/2006/relationships/worksheet"/><Relationship Id="rId177" Target="worksheets/sheet177.xml" Type="http://schemas.openxmlformats.org/officeDocument/2006/relationships/worksheet"/><Relationship Id="rId178" Target="worksheets/sheet178.xml" Type="http://schemas.openxmlformats.org/officeDocument/2006/relationships/worksheet"/><Relationship Id="rId179" Target="worksheets/sheet179.xml" Type="http://schemas.openxmlformats.org/officeDocument/2006/relationships/worksheet"/><Relationship Id="rId180" Target="worksheets/sheet180.xml" Type="http://schemas.openxmlformats.org/officeDocument/2006/relationships/worksheet"/><Relationship Id="rId181" Target="worksheets/sheet181.xml" Type="http://schemas.openxmlformats.org/officeDocument/2006/relationships/worksheet"/><Relationship Id="rId182" Target="worksheets/sheet182.xml" Type="http://schemas.openxmlformats.org/officeDocument/2006/relationships/worksheet"/><Relationship Id="rId183" Target="worksheets/sheet183.xml" Type="http://schemas.openxmlformats.org/officeDocument/2006/relationships/worksheet"/><Relationship Id="rId184" Target="worksheets/sheet184.xml" Type="http://schemas.openxmlformats.org/officeDocument/2006/relationships/worksheet"/><Relationship Id="rId185" Target="worksheets/sheet185.xml" Type="http://schemas.openxmlformats.org/officeDocument/2006/relationships/worksheet"/><Relationship Id="rId186" Target="worksheets/sheet186.xml" Type="http://schemas.openxmlformats.org/officeDocument/2006/relationships/worksheet"/><Relationship Id="rId187" Target="worksheets/sheet187.xml" Type="http://schemas.openxmlformats.org/officeDocument/2006/relationships/worksheet"/><Relationship Id="rId188" Target="worksheets/sheet188.xml" Type="http://schemas.openxmlformats.org/officeDocument/2006/relationships/worksheet"/><Relationship Id="rId189" Target="worksheets/sheet189.xml" Type="http://schemas.openxmlformats.org/officeDocument/2006/relationships/worksheet"/><Relationship Id="rId190" Target="worksheets/sheet190.xml" Type="http://schemas.openxmlformats.org/officeDocument/2006/relationships/worksheet"/><Relationship Id="rId191" Target="worksheets/sheet191.xml" Type="http://schemas.openxmlformats.org/officeDocument/2006/relationships/worksheet"/><Relationship Id="rId192" Target="worksheets/sheet192.xml" Type="http://schemas.openxmlformats.org/officeDocument/2006/relationships/worksheet"/><Relationship Id="rId193" Target="worksheets/sheet193.xml" Type="http://schemas.openxmlformats.org/officeDocument/2006/relationships/worksheet"/><Relationship Id="rId194" Target="worksheets/sheet194.xml" Type="http://schemas.openxmlformats.org/officeDocument/2006/relationships/worksheet"/><Relationship Id="rId195" Target="worksheets/sheet195.xml" Type="http://schemas.openxmlformats.org/officeDocument/2006/relationships/worksheet"/><Relationship Id="rId196" Target="worksheets/sheet196.xml" Type="http://schemas.openxmlformats.org/officeDocument/2006/relationships/worksheet"/><Relationship Id="rId197" Target="worksheets/sheet197.xml" Type="http://schemas.openxmlformats.org/officeDocument/2006/relationships/worksheet"/><Relationship Id="rId198" Target="worksheets/sheet198.xml" Type="http://schemas.openxmlformats.org/officeDocument/2006/relationships/worksheet"/><Relationship Id="rId199" Target="worksheets/sheet199.xml" Type="http://schemas.openxmlformats.org/officeDocument/2006/relationships/worksheet"/><Relationship Id="rId200" Target="worksheets/sheet200.xml" Type="http://schemas.openxmlformats.org/officeDocument/2006/relationships/worksheet"/><Relationship Id="rId201" Target="worksheets/sheet201.xml" Type="http://schemas.openxmlformats.org/officeDocument/2006/relationships/worksheet"/><Relationship Id="rId202" Target="worksheets/sheet202.xml" Type="http://schemas.openxmlformats.org/officeDocument/2006/relationships/worksheet"/><Relationship Id="rId203" Target="worksheets/sheet203.xml" Type="http://schemas.openxmlformats.org/officeDocument/2006/relationships/worksheet"/><Relationship Id="rId204" Target="worksheets/sheet204.xml" Type="http://schemas.openxmlformats.org/officeDocument/2006/relationships/worksheet"/><Relationship Id="rId205" Target="worksheets/sheet205.xml" Type="http://schemas.openxmlformats.org/officeDocument/2006/relationships/worksheet"/><Relationship Id="rId206" Target="worksheets/sheet206.xml" Type="http://schemas.openxmlformats.org/officeDocument/2006/relationships/worksheet"/><Relationship Id="rId207" Target="worksheets/sheet207.xml" Type="http://schemas.openxmlformats.org/officeDocument/2006/relationships/worksheet"/><Relationship Id="rId208" Target="worksheets/sheet208.xml" Type="http://schemas.openxmlformats.org/officeDocument/2006/relationships/worksheet"/><Relationship Id="rId209" Target="worksheets/sheet209.xml" Type="http://schemas.openxmlformats.org/officeDocument/2006/relationships/worksheet"/><Relationship Id="rId210" Target="worksheets/sheet210.xml" Type="http://schemas.openxmlformats.org/officeDocument/2006/relationships/worksheet"/><Relationship Id="rId211" Target="worksheets/sheet211.xml" Type="http://schemas.openxmlformats.org/officeDocument/2006/relationships/worksheet"/><Relationship Id="rId212" Target="worksheets/sheet212.xml" Type="http://schemas.openxmlformats.org/officeDocument/2006/relationships/worksheet"/><Relationship Id="rId213" Target="worksheets/sheet213.xml" Type="http://schemas.openxmlformats.org/officeDocument/2006/relationships/worksheet"/><Relationship Id="rId214" Target="worksheets/sheet214.xml" Type="http://schemas.openxmlformats.org/officeDocument/2006/relationships/worksheet"/><Relationship Id="rId215" Target="worksheets/sheet215.xml" Type="http://schemas.openxmlformats.org/officeDocument/2006/relationships/worksheet"/><Relationship Id="rId216" Target="worksheets/sheet216.xml" Type="http://schemas.openxmlformats.org/officeDocument/2006/relationships/worksheet"/><Relationship Id="rId217" Target="worksheets/sheet217.xml" Type="http://schemas.openxmlformats.org/officeDocument/2006/relationships/worksheet"/><Relationship Id="rId218" Target="worksheets/sheet218.xml" Type="http://schemas.openxmlformats.org/officeDocument/2006/relationships/worksheet"/><Relationship Id="rId219" Target="worksheets/sheet219.xml" Type="http://schemas.openxmlformats.org/officeDocument/2006/relationships/worksheet"/><Relationship Id="rId220" Target="worksheets/sheet220.xml" Type="http://schemas.openxmlformats.org/officeDocument/2006/relationships/worksheet"/><Relationship Id="rId221" Target="worksheets/sheet221.xml" Type="http://schemas.openxmlformats.org/officeDocument/2006/relationships/worksheet"/><Relationship Id="rId222" Target="worksheets/sheet222.xml" Type="http://schemas.openxmlformats.org/officeDocument/2006/relationships/worksheet"/><Relationship Id="rId223" Target="worksheets/sheet223.xml" Type="http://schemas.openxmlformats.org/officeDocument/2006/relationships/worksheet"/><Relationship Id="rId224" Target="worksheets/sheet224.xml" Type="http://schemas.openxmlformats.org/officeDocument/2006/relationships/worksheet"/><Relationship Id="rId225" Target="worksheets/sheet225.xml" Type="http://schemas.openxmlformats.org/officeDocument/2006/relationships/worksheet"/><Relationship Id="rId226" Target="worksheets/sheet226.xml" Type="http://schemas.openxmlformats.org/officeDocument/2006/relationships/worksheet"/><Relationship Id="rId227" Target="worksheets/sheet227.xml" Type="http://schemas.openxmlformats.org/officeDocument/2006/relationships/worksheet"/><Relationship Id="rId228" Target="worksheets/sheet228.xml" Type="http://schemas.openxmlformats.org/officeDocument/2006/relationships/worksheet"/><Relationship Id="rId229" Target="worksheets/sheet229.xml" Type="http://schemas.openxmlformats.org/officeDocument/2006/relationships/worksheet"/><Relationship Id="rId230" Target="worksheets/sheet230.xml" Type="http://schemas.openxmlformats.org/officeDocument/2006/relationships/worksheet"/><Relationship Id="rId231" Target="worksheets/sheet231.xml" Type="http://schemas.openxmlformats.org/officeDocument/2006/relationships/worksheet"/><Relationship Id="rId232" Target="worksheets/sheet232.xml" Type="http://schemas.openxmlformats.org/officeDocument/2006/relationships/worksheet"/><Relationship Id="rId233" Target="worksheets/sheet233.xml" Type="http://schemas.openxmlformats.org/officeDocument/2006/relationships/worksheet"/><Relationship Id="rId234" Target="worksheets/sheet234.xml" Type="http://schemas.openxmlformats.org/officeDocument/2006/relationships/worksheet"/><Relationship Id="rId235" Target="worksheets/sheet235.xml" Type="http://schemas.openxmlformats.org/officeDocument/2006/relationships/worksheet"/><Relationship Id="rId236" Target="worksheets/sheet236.xml" Type="http://schemas.openxmlformats.org/officeDocument/2006/relationships/worksheet"/><Relationship Id="rId237" Target="worksheets/sheet237.xml" Type="http://schemas.openxmlformats.org/officeDocument/2006/relationships/worksheet"/><Relationship Id="rId238" Target="worksheets/sheet238.xml" Type="http://schemas.openxmlformats.org/officeDocument/2006/relationships/worksheet"/><Relationship Id="rId239" Target="worksheets/sheet239.xml" Type="http://schemas.openxmlformats.org/officeDocument/2006/relationships/worksheet"/><Relationship Id="rId240" Target="worksheets/sheet240.xml" Type="http://schemas.openxmlformats.org/officeDocument/2006/relationships/worksheet"/><Relationship Id="rId241" Target="worksheets/sheet241.xml" Type="http://schemas.openxmlformats.org/officeDocument/2006/relationships/worksheet"/><Relationship Id="rId242" Target="worksheets/sheet242.xml" Type="http://schemas.openxmlformats.org/officeDocument/2006/relationships/worksheet"/><Relationship Id="rId243" Target="worksheets/sheet243.xml" Type="http://schemas.openxmlformats.org/officeDocument/2006/relationships/worksheet"/><Relationship Id="rId244" Target="worksheets/sheet244.xml" Type="http://schemas.openxmlformats.org/officeDocument/2006/relationships/worksheet"/><Relationship Id="rId245" Target="worksheets/sheet245.xml" Type="http://schemas.openxmlformats.org/officeDocument/2006/relationships/worksheet"/><Relationship Id="rId246" Target="worksheets/sheet246.xml" Type="http://schemas.openxmlformats.org/officeDocument/2006/relationships/worksheet"/><Relationship Id="rId247" Target="worksheets/sheet247.xml" Type="http://schemas.openxmlformats.org/officeDocument/2006/relationships/worksheet"/><Relationship Id="rId248" Target="worksheets/sheet248.xml" Type="http://schemas.openxmlformats.org/officeDocument/2006/relationships/worksheet"/><Relationship Id="rId249" Target="worksheets/sheet249.xml" Type="http://schemas.openxmlformats.org/officeDocument/2006/relationships/worksheet"/><Relationship Id="rId250" Target="worksheets/sheet250.xml" Type="http://schemas.openxmlformats.org/officeDocument/2006/relationships/worksheet"/><Relationship Id="rId251" Target="worksheets/sheet251.xml" Type="http://schemas.openxmlformats.org/officeDocument/2006/relationships/worksheet"/><Relationship Id="rId252" Target="worksheets/sheet252.xml" Type="http://schemas.openxmlformats.org/officeDocument/2006/relationships/worksheet"/><Relationship Id="rId253" Target="worksheets/sheet253.xml" Type="http://schemas.openxmlformats.org/officeDocument/2006/relationships/worksheet"/><Relationship Id="rId254" Target="worksheets/sheet254.xml" Type="http://schemas.openxmlformats.org/officeDocument/2006/relationships/worksheet"/><Relationship Id="rId255" Target="worksheets/sheet255.xml" Type="http://schemas.openxmlformats.org/officeDocument/2006/relationships/worksheet"/><Relationship Id="rId256" Target="worksheets/sheet256.xml" Type="http://schemas.openxmlformats.org/officeDocument/2006/relationships/worksheet"/><Relationship Id="rId257" Target="worksheets/sheet257.xml" Type="http://schemas.openxmlformats.org/officeDocument/2006/relationships/worksheet"/><Relationship Id="rId258" Target="worksheets/sheet258.xml" Type="http://schemas.openxmlformats.org/officeDocument/2006/relationships/worksheet"/><Relationship Id="rId259" Target="worksheets/sheet259.xml" Type="http://schemas.openxmlformats.org/officeDocument/2006/relationships/worksheet"/><Relationship Id="rId260" Target="worksheets/sheet260.xml" Type="http://schemas.openxmlformats.org/officeDocument/2006/relationships/worksheet"/><Relationship Id="rId261" Target="worksheets/sheet261.xml" Type="http://schemas.openxmlformats.org/officeDocument/2006/relationships/worksheet"/><Relationship Id="rId262" Target="worksheets/sheet262.xml" Type="http://schemas.openxmlformats.org/officeDocument/2006/relationships/worksheet"/><Relationship Id="rId263" Target="worksheets/sheet263.xml" Type="http://schemas.openxmlformats.org/officeDocument/2006/relationships/worksheet"/><Relationship Id="rId264" Target="worksheets/sheet264.xml" Type="http://schemas.openxmlformats.org/officeDocument/2006/relationships/worksheet"/><Relationship Id="rId265" Target="worksheets/sheet265.xml" Type="http://schemas.openxmlformats.org/officeDocument/2006/relationships/worksheet"/><Relationship Id="rId266" Target="worksheets/sheet266.xml" Type="http://schemas.openxmlformats.org/officeDocument/2006/relationships/worksheet"/><Relationship Id="rId267" Target="worksheets/sheet267.xml" Type="http://schemas.openxmlformats.org/officeDocument/2006/relationships/worksheet"/><Relationship Id="rId268" Target="worksheets/sheet268.xml" Type="http://schemas.openxmlformats.org/officeDocument/2006/relationships/worksheet"/><Relationship Id="rId269" Target="worksheets/sheet269.xml" Type="http://schemas.openxmlformats.org/officeDocument/2006/relationships/worksheet"/><Relationship Id="rId270" Target="worksheets/sheet270.xml" Type="http://schemas.openxmlformats.org/officeDocument/2006/relationships/worksheet"/><Relationship Id="rId271" Target="worksheets/sheet271.xml" Type="http://schemas.openxmlformats.org/officeDocument/2006/relationships/worksheet"/><Relationship Id="rId272" Target="worksheets/sheet272.xml" Type="http://schemas.openxmlformats.org/officeDocument/2006/relationships/worksheet"/><Relationship Id="rId273" Target="worksheets/sheet273.xml" Type="http://schemas.openxmlformats.org/officeDocument/2006/relationships/worksheet"/><Relationship Id="rId274" Target="worksheets/sheet274.xml" Type="http://schemas.openxmlformats.org/officeDocument/2006/relationships/worksheet"/><Relationship Id="rId275" Target="worksheets/sheet275.xml" Type="http://schemas.openxmlformats.org/officeDocument/2006/relationships/worksheet"/><Relationship Id="rId276" Target="sharedStrings.xml" Type="http://schemas.openxmlformats.org/officeDocument/2006/relationships/sharedStrings"/><Relationship Id="rId277" Target="styles.xml" Type="http://schemas.openxmlformats.org/officeDocument/2006/relationships/styles"/><Relationship Id="rId278"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Id="rId1" Target="#'DS269Q01C'!A6" TargetMode="External" Type="http://schemas.openxmlformats.org/officeDocument/2006/relationships/hyperlink"/><Relationship Id="rId2" Target="#'DS269Q03C'!A6" TargetMode="External" Type="http://schemas.openxmlformats.org/officeDocument/2006/relationships/hyperlink"/><Relationship Id="rId3" Target="#'CS269Q04S'!A6" TargetMode="External" Type="http://schemas.openxmlformats.org/officeDocument/2006/relationships/hyperlink"/><Relationship Id="rId4" Target="#'CS408Q01S'!A6" TargetMode="External" Type="http://schemas.openxmlformats.org/officeDocument/2006/relationships/hyperlink"/><Relationship Id="rId5" Target="#'DS408Q03C'!A6" TargetMode="External" Type="http://schemas.openxmlformats.org/officeDocument/2006/relationships/hyperlink"/><Relationship Id="rId6" Target="#'CS408Q04S'!A6" TargetMode="External" Type="http://schemas.openxmlformats.org/officeDocument/2006/relationships/hyperlink"/><Relationship Id="rId7" Target="#'CS408Q05S'!A6" TargetMode="External" Type="http://schemas.openxmlformats.org/officeDocument/2006/relationships/hyperlink"/><Relationship Id="rId8" Target="#'CS521Q02S'!A6" TargetMode="External" Type="http://schemas.openxmlformats.org/officeDocument/2006/relationships/hyperlink"/><Relationship Id="rId9" Target="#'CS521Q06S'!A6" TargetMode="External" Type="http://schemas.openxmlformats.org/officeDocument/2006/relationships/hyperlink"/><Relationship Id="rId10" Target="#'DS519Q01C'!A6" TargetMode="External" Type="http://schemas.openxmlformats.org/officeDocument/2006/relationships/hyperlink"/><Relationship Id="rId11" Target="#'CS519Q02S'!A6" TargetMode="External" Type="http://schemas.openxmlformats.org/officeDocument/2006/relationships/hyperlink"/><Relationship Id="rId12" Target="#'DS519Q03C'!A6" TargetMode="External" Type="http://schemas.openxmlformats.org/officeDocument/2006/relationships/hyperlink"/><Relationship Id="rId13" Target="#'CS527Q01S'!A6" TargetMode="External" Type="http://schemas.openxmlformats.org/officeDocument/2006/relationships/hyperlink"/><Relationship Id="rId14" Target="#'CS527Q03S'!A6" TargetMode="External" Type="http://schemas.openxmlformats.org/officeDocument/2006/relationships/hyperlink"/><Relationship Id="rId15" Target="#'CS527Q04S'!A6" TargetMode="External" Type="http://schemas.openxmlformats.org/officeDocument/2006/relationships/hyperlink"/><Relationship Id="rId16" Target="#'CS466Q01S'!A6" TargetMode="External" Type="http://schemas.openxmlformats.org/officeDocument/2006/relationships/hyperlink"/><Relationship Id="rId17" Target="#'CS466Q07S'!A6" TargetMode="External" Type="http://schemas.openxmlformats.org/officeDocument/2006/relationships/hyperlink"/><Relationship Id="rId18" Target="#'CS466Q05S'!A6" TargetMode="External" Type="http://schemas.openxmlformats.org/officeDocument/2006/relationships/hyperlink"/><Relationship Id="rId19" Target="#'DS326Q01C'!A6" TargetMode="External" Type="http://schemas.openxmlformats.org/officeDocument/2006/relationships/hyperlink"/><Relationship Id="rId20" Target="#'DS326Q02C'!A6" TargetMode="External" Type="http://schemas.openxmlformats.org/officeDocument/2006/relationships/hyperlink"/><Relationship Id="rId21" Target="#'CS326Q03S'!A6" TargetMode="External" Type="http://schemas.openxmlformats.org/officeDocument/2006/relationships/hyperlink"/><Relationship Id="rId22" Target="#'CS326Q04S'!A6" TargetMode="External" Type="http://schemas.openxmlformats.org/officeDocument/2006/relationships/hyperlink"/><Relationship Id="rId23" Target="#'CS256Q01S'!A6" TargetMode="External" Type="http://schemas.openxmlformats.org/officeDocument/2006/relationships/hyperlink"/><Relationship Id="rId24" Target="#'CS478Q01S'!A6" TargetMode="External" Type="http://schemas.openxmlformats.org/officeDocument/2006/relationships/hyperlink"/><Relationship Id="rId25" Target="#'CS478Q02S'!A6" TargetMode="External" Type="http://schemas.openxmlformats.org/officeDocument/2006/relationships/hyperlink"/><Relationship Id="rId26" Target="#'CS478Q03S'!A6" TargetMode="External" Type="http://schemas.openxmlformats.org/officeDocument/2006/relationships/hyperlink"/><Relationship Id="rId27" Target="#'CS413Q06S'!A6" TargetMode="External" Type="http://schemas.openxmlformats.org/officeDocument/2006/relationships/hyperlink"/><Relationship Id="rId28" Target="#'CS413Q04S'!A6" TargetMode="External" Type="http://schemas.openxmlformats.org/officeDocument/2006/relationships/hyperlink"/><Relationship Id="rId29" Target="#'CS413Q05S'!A6" TargetMode="External" Type="http://schemas.openxmlformats.org/officeDocument/2006/relationships/hyperlink"/><Relationship Id="rId30" Target="#'CS498Q02S'!A6" TargetMode="External" Type="http://schemas.openxmlformats.org/officeDocument/2006/relationships/hyperlink"/><Relationship Id="rId31" Target="#'CS498Q03S'!A6" TargetMode="External" Type="http://schemas.openxmlformats.org/officeDocument/2006/relationships/hyperlink"/><Relationship Id="rId32" Target="#'DS498Q04C'!A6" TargetMode="External" Type="http://schemas.openxmlformats.org/officeDocument/2006/relationships/hyperlink"/><Relationship Id="rId33" Target="#'DS425Q03C'!A6" TargetMode="External" Type="http://schemas.openxmlformats.org/officeDocument/2006/relationships/hyperlink"/><Relationship Id="rId34" Target="#'CS425Q05S'!A6" TargetMode="External" Type="http://schemas.openxmlformats.org/officeDocument/2006/relationships/hyperlink"/><Relationship Id="rId35" Target="#'CS425Q02S'!A6" TargetMode="External" Type="http://schemas.openxmlformats.org/officeDocument/2006/relationships/hyperlink"/><Relationship Id="rId36" Target="#'DS425Q04C'!A6" TargetMode="External" Type="http://schemas.openxmlformats.org/officeDocument/2006/relationships/hyperlink"/><Relationship Id="rId37" Target="#'DS465Q01C'!A6" TargetMode="External" Type="http://schemas.openxmlformats.org/officeDocument/2006/relationships/hyperlink"/><Relationship Id="rId38" Target="#'CS465Q02S'!A6" TargetMode="External" Type="http://schemas.openxmlformats.org/officeDocument/2006/relationships/hyperlink"/><Relationship Id="rId39" Target="#'CS465Q04S'!A6" TargetMode="External" Type="http://schemas.openxmlformats.org/officeDocument/2006/relationships/hyperlink"/><Relationship Id="rId40" Target="#'DS131Q02C'!A6" TargetMode="External" Type="http://schemas.openxmlformats.org/officeDocument/2006/relationships/hyperlink"/><Relationship Id="rId41" Target="#'DS131Q04C'!A6" TargetMode="External" Type="http://schemas.openxmlformats.org/officeDocument/2006/relationships/hyperlink"/><Relationship Id="rId42" Target="#'CS428Q01S'!A6" TargetMode="External" Type="http://schemas.openxmlformats.org/officeDocument/2006/relationships/hyperlink"/><Relationship Id="rId43" Target="#'CS428Q03S'!A6" TargetMode="External" Type="http://schemas.openxmlformats.org/officeDocument/2006/relationships/hyperlink"/><Relationship Id="rId44" Target="#'DS428Q05C'!A6" TargetMode="External" Type="http://schemas.openxmlformats.org/officeDocument/2006/relationships/hyperlink"/><Relationship Id="rId45" Target="#'DS514Q02C'!A6" TargetMode="External" Type="http://schemas.openxmlformats.org/officeDocument/2006/relationships/hyperlink"/><Relationship Id="rId46" Target="#'DS514Q03C'!A6" TargetMode="External" Type="http://schemas.openxmlformats.org/officeDocument/2006/relationships/hyperlink"/><Relationship Id="rId47" Target="#'DS514Q04C'!A6" TargetMode="External" Type="http://schemas.openxmlformats.org/officeDocument/2006/relationships/hyperlink"/><Relationship Id="rId48" Target="#'CS438Q01S'!A6" TargetMode="External" Type="http://schemas.openxmlformats.org/officeDocument/2006/relationships/hyperlink"/><Relationship Id="rId49" Target="#'CS438Q02S'!A6" TargetMode="External" Type="http://schemas.openxmlformats.org/officeDocument/2006/relationships/hyperlink"/><Relationship Id="rId50" Target="#'DS438Q03C'!A6" TargetMode="External" Type="http://schemas.openxmlformats.org/officeDocument/2006/relationships/hyperlink"/><Relationship Id="rId51" Target="#'CS415Q07S'!A6" TargetMode="External" Type="http://schemas.openxmlformats.org/officeDocument/2006/relationships/hyperlink"/><Relationship Id="rId52" Target="#'CS415Q02S'!A6" TargetMode="External" Type="http://schemas.openxmlformats.org/officeDocument/2006/relationships/hyperlink"/><Relationship Id="rId53" Target="#'CS415Q08S'!A6" TargetMode="External" Type="http://schemas.openxmlformats.org/officeDocument/2006/relationships/hyperlink"/><Relationship Id="rId54" Target="#'CS476Q01S'!A6" TargetMode="External" Type="http://schemas.openxmlformats.org/officeDocument/2006/relationships/hyperlink"/><Relationship Id="rId55" Target="#'CS476Q02S'!A6" TargetMode="External" Type="http://schemas.openxmlformats.org/officeDocument/2006/relationships/hyperlink"/><Relationship Id="rId56" Target="#'CS476Q03S'!A6" TargetMode="External" Type="http://schemas.openxmlformats.org/officeDocument/2006/relationships/hyperlink"/><Relationship Id="rId57" Target="#'CS495Q04S'!A6" TargetMode="External" Type="http://schemas.openxmlformats.org/officeDocument/2006/relationships/hyperlink"/><Relationship Id="rId58" Target="#'CS495Q01S'!A6" TargetMode="External" Type="http://schemas.openxmlformats.org/officeDocument/2006/relationships/hyperlink"/><Relationship Id="rId59" Target="#'CS495Q02S'!A6" TargetMode="External" Type="http://schemas.openxmlformats.org/officeDocument/2006/relationships/hyperlink"/><Relationship Id="rId60" Target="#'DS495Q03C'!A6" TargetMode="External" Type="http://schemas.openxmlformats.org/officeDocument/2006/relationships/hyperlink"/><Relationship Id="rId61" Target="#'CS268Q01S'!A6" TargetMode="External" Type="http://schemas.openxmlformats.org/officeDocument/2006/relationships/hyperlink"/><Relationship Id="rId62" Target="#'DS268Q02C'!A6" TargetMode="External" Type="http://schemas.openxmlformats.org/officeDocument/2006/relationships/hyperlink"/><Relationship Id="rId63" Target="#'CS268Q06S'!A6" TargetMode="External" Type="http://schemas.openxmlformats.org/officeDocument/2006/relationships/hyperlink"/><Relationship Id="rId64" Target="#'CS524Q06S'!A6" TargetMode="External" Type="http://schemas.openxmlformats.org/officeDocument/2006/relationships/hyperlink"/><Relationship Id="rId65" Target="#'DS524Q07C'!A6" TargetMode="External" Type="http://schemas.openxmlformats.org/officeDocument/2006/relationships/hyperlink"/><Relationship Id="rId66" Target="#'CS510Q01S'!A6" TargetMode="External" Type="http://schemas.openxmlformats.org/officeDocument/2006/relationships/hyperlink"/><Relationship Id="rId67" Target="#'DS510Q04C'!A6" TargetMode="External" Type="http://schemas.openxmlformats.org/officeDocument/2006/relationships/hyperlink"/><Relationship Id="rId68" Target="#'CS437Q01S'!A6" TargetMode="External" Type="http://schemas.openxmlformats.org/officeDocument/2006/relationships/hyperlink"/><Relationship Id="rId69" Target="#'CS437Q03S'!A6" TargetMode="External" Type="http://schemas.openxmlformats.org/officeDocument/2006/relationships/hyperlink"/><Relationship Id="rId70" Target="#'CS437Q04S'!A6" TargetMode="External" Type="http://schemas.openxmlformats.org/officeDocument/2006/relationships/hyperlink"/><Relationship Id="rId71" Target="#'DS437Q06C'!A6" TargetMode="External" Type="http://schemas.openxmlformats.org/officeDocument/2006/relationships/hyperlink"/><Relationship Id="rId72" Target="#'DS304Q01C'!A6" TargetMode="External" Type="http://schemas.openxmlformats.org/officeDocument/2006/relationships/hyperlink"/><Relationship Id="rId73" Target="#'CS304Q02S'!A6" TargetMode="External" Type="http://schemas.openxmlformats.org/officeDocument/2006/relationships/hyperlink"/><Relationship Id="rId74" Target="#'DS304Q03aC'!A6" TargetMode="External" Type="http://schemas.openxmlformats.org/officeDocument/2006/relationships/hyperlink"/><Relationship Id="rId75" Target="#'DS304Q03bC'!A6" TargetMode="External" Type="http://schemas.openxmlformats.org/officeDocument/2006/relationships/hyperlink"/><Relationship Id="rId76" Target="#'DS416Q01C'!A6" TargetMode="External" Type="http://schemas.openxmlformats.org/officeDocument/2006/relationships/hyperlink"/><Relationship Id="rId77" Target="#'DS458Q01C'!A6" TargetMode="External" Type="http://schemas.openxmlformats.org/officeDocument/2006/relationships/hyperlink"/><Relationship Id="rId78" Target="#'CS458Q02S'!A6" TargetMode="External" Type="http://schemas.openxmlformats.org/officeDocument/2006/relationships/hyperlink"/><Relationship Id="rId79" Target="#'CS421Q01S'!A6" TargetMode="External" Type="http://schemas.openxmlformats.org/officeDocument/2006/relationships/hyperlink"/><Relationship Id="rId80" Target="#'CS421Q02S'!A6" TargetMode="External" Type="http://schemas.openxmlformats.org/officeDocument/2006/relationships/hyperlink"/><Relationship Id="rId81" Target="#'CS421Q03S'!A6" TargetMode="External" Type="http://schemas.openxmlformats.org/officeDocument/2006/relationships/hyperlink"/><Relationship Id="rId82" Target="#'CS252Q01S'!A6" TargetMode="External" Type="http://schemas.openxmlformats.org/officeDocument/2006/relationships/hyperlink"/><Relationship Id="rId83" Target="#'CS252Q02S'!A6" TargetMode="External" Type="http://schemas.openxmlformats.org/officeDocument/2006/relationships/hyperlink"/><Relationship Id="rId84" Target="#'CS252Q03S'!A6" TargetMode="External" Type="http://schemas.openxmlformats.org/officeDocument/2006/relationships/hyperlink"/><Relationship Id="rId85" Target="#'CS327Q01S'!A6" TargetMode="External" Type="http://schemas.openxmlformats.org/officeDocument/2006/relationships/hyperlink"/><Relationship Id="rId86" Target="#'CS627Q01S'!A6" TargetMode="External" Type="http://schemas.openxmlformats.org/officeDocument/2006/relationships/hyperlink"/><Relationship Id="rId87" Target="#'CS627Q03S'!A6" TargetMode="External" Type="http://schemas.openxmlformats.org/officeDocument/2006/relationships/hyperlink"/><Relationship Id="rId88" Target="#'CS627Q04S'!A6" TargetMode="External" Type="http://schemas.openxmlformats.org/officeDocument/2006/relationships/hyperlink"/><Relationship Id="rId89" Target="#'CS635Q01S'!A6" TargetMode="External" Type="http://schemas.openxmlformats.org/officeDocument/2006/relationships/hyperlink"/><Relationship Id="rId90" Target="#'CS635Q02S'!A6" TargetMode="External" Type="http://schemas.openxmlformats.org/officeDocument/2006/relationships/hyperlink"/><Relationship Id="rId91" Target="#'DS635Q03C'!A6" TargetMode="External" Type="http://schemas.openxmlformats.org/officeDocument/2006/relationships/hyperlink"/><Relationship Id="rId92" Target="#'CS635Q04S'!A6" TargetMode="External" Type="http://schemas.openxmlformats.org/officeDocument/2006/relationships/hyperlink"/><Relationship Id="rId93" Target="#'DS635Q05C'!A6" TargetMode="External" Type="http://schemas.openxmlformats.org/officeDocument/2006/relationships/hyperlink"/><Relationship Id="rId94" Target="#'CS603Q01S'!A6" TargetMode="External" Type="http://schemas.openxmlformats.org/officeDocument/2006/relationships/hyperlink"/><Relationship Id="rId95" Target="#'DS603Q02C'!A6" TargetMode="External" Type="http://schemas.openxmlformats.org/officeDocument/2006/relationships/hyperlink"/><Relationship Id="rId96" Target="#'CS603Q03S'!A6" TargetMode="External" Type="http://schemas.openxmlformats.org/officeDocument/2006/relationships/hyperlink"/><Relationship Id="rId97" Target="#'CS603Q04S'!A6" TargetMode="External" Type="http://schemas.openxmlformats.org/officeDocument/2006/relationships/hyperlink"/><Relationship Id="rId98" Target="#'CS603Q05S'!A6" TargetMode="External" Type="http://schemas.openxmlformats.org/officeDocument/2006/relationships/hyperlink"/><Relationship Id="rId99" Target="#'CS602Q01S'!A6" TargetMode="External" Type="http://schemas.openxmlformats.org/officeDocument/2006/relationships/hyperlink"/><Relationship Id="rId100" Target="#'CS602Q02S'!A6" TargetMode="External" Type="http://schemas.openxmlformats.org/officeDocument/2006/relationships/hyperlink"/><Relationship Id="rId101" Target="#'DS602Q03C'!A6" TargetMode="External" Type="http://schemas.openxmlformats.org/officeDocument/2006/relationships/hyperlink"/><Relationship Id="rId102" Target="#'CS602Q04S'!A6" TargetMode="External" Type="http://schemas.openxmlformats.org/officeDocument/2006/relationships/hyperlink"/><Relationship Id="rId103" Target="#'CS607Q01S'!A6" TargetMode="External" Type="http://schemas.openxmlformats.org/officeDocument/2006/relationships/hyperlink"/><Relationship Id="rId104" Target="#'CS607Q02S'!A6" TargetMode="External" Type="http://schemas.openxmlformats.org/officeDocument/2006/relationships/hyperlink"/><Relationship Id="rId105" Target="#'DS607Q03C'!A6" TargetMode="External" Type="http://schemas.openxmlformats.org/officeDocument/2006/relationships/hyperlink"/><Relationship Id="rId106" Target="#'CS646Q01S'!A6" TargetMode="External" Type="http://schemas.openxmlformats.org/officeDocument/2006/relationships/hyperlink"/><Relationship Id="rId107" Target="#'CS646Q02S'!A6" TargetMode="External" Type="http://schemas.openxmlformats.org/officeDocument/2006/relationships/hyperlink"/><Relationship Id="rId108" Target="#'CS646Q03S'!A6" TargetMode="External" Type="http://schemas.openxmlformats.org/officeDocument/2006/relationships/hyperlink"/><Relationship Id="rId109" Target="#'DS646Q04C'!A6" TargetMode="External" Type="http://schemas.openxmlformats.org/officeDocument/2006/relationships/hyperlink"/><Relationship Id="rId110" Target="#'DS646Q05C'!A6" TargetMode="External" Type="http://schemas.openxmlformats.org/officeDocument/2006/relationships/hyperlink"/><Relationship Id="rId111" Target="#'CS608Q01S'!A6" TargetMode="External" Type="http://schemas.openxmlformats.org/officeDocument/2006/relationships/hyperlink"/><Relationship Id="rId112" Target="#'CS608Q02S'!A6" TargetMode="External" Type="http://schemas.openxmlformats.org/officeDocument/2006/relationships/hyperlink"/><Relationship Id="rId113" Target="#'CS608Q03S'!A6" TargetMode="External" Type="http://schemas.openxmlformats.org/officeDocument/2006/relationships/hyperlink"/><Relationship Id="rId114" Target="#'DS608Q04C'!A6" TargetMode="External" Type="http://schemas.openxmlformats.org/officeDocument/2006/relationships/hyperlink"/><Relationship Id="rId115" Target="#'CS605Q01S'!A6" TargetMode="External" Type="http://schemas.openxmlformats.org/officeDocument/2006/relationships/hyperlink"/><Relationship Id="rId116" Target="#'CS605Q02S'!A6" TargetMode="External" Type="http://schemas.openxmlformats.org/officeDocument/2006/relationships/hyperlink"/><Relationship Id="rId117" Target="#'CS605Q03S'!A6" TargetMode="External" Type="http://schemas.openxmlformats.org/officeDocument/2006/relationships/hyperlink"/><Relationship Id="rId118" Target="#'DS605Q04C'!A6" TargetMode="External" Type="http://schemas.openxmlformats.org/officeDocument/2006/relationships/hyperlink"/><Relationship Id="rId119" Target="#'CS649Q01S'!A6" TargetMode="External" Type="http://schemas.openxmlformats.org/officeDocument/2006/relationships/hyperlink"/><Relationship Id="rId120" Target="#'DS649Q02C'!A6" TargetMode="External" Type="http://schemas.openxmlformats.org/officeDocument/2006/relationships/hyperlink"/><Relationship Id="rId121" Target="#'CS649Q03S'!A6" TargetMode="External" Type="http://schemas.openxmlformats.org/officeDocument/2006/relationships/hyperlink"/><Relationship Id="rId122" Target="#'CS649Q04S'!A6" TargetMode="External" Type="http://schemas.openxmlformats.org/officeDocument/2006/relationships/hyperlink"/><Relationship Id="rId123" Target="#'CS634Q01S'!A6" TargetMode="External" Type="http://schemas.openxmlformats.org/officeDocument/2006/relationships/hyperlink"/><Relationship Id="rId124" Target="#'CS634Q02S'!A6" TargetMode="External" Type="http://schemas.openxmlformats.org/officeDocument/2006/relationships/hyperlink"/><Relationship Id="rId125" Target="#'DS634Q03C'!A6" TargetMode="External" Type="http://schemas.openxmlformats.org/officeDocument/2006/relationships/hyperlink"/><Relationship Id="rId126" Target="#'DS634Q05C'!A6" TargetMode="External" Type="http://schemas.openxmlformats.org/officeDocument/2006/relationships/hyperlink"/><Relationship Id="rId127" Target="#'CS634Q04S'!A6" TargetMode="External" Type="http://schemas.openxmlformats.org/officeDocument/2006/relationships/hyperlink"/><Relationship Id="rId128" Target="#'CS620Q01S'!A6" TargetMode="External" Type="http://schemas.openxmlformats.org/officeDocument/2006/relationships/hyperlink"/><Relationship Id="rId129" Target="#'CS620Q02S'!A6" TargetMode="External" Type="http://schemas.openxmlformats.org/officeDocument/2006/relationships/hyperlink"/><Relationship Id="rId130" Target="#'DS620Q04C'!A6" TargetMode="External" Type="http://schemas.openxmlformats.org/officeDocument/2006/relationships/hyperlink"/><Relationship Id="rId131" Target="#'CS638Q01S'!A6" TargetMode="External" Type="http://schemas.openxmlformats.org/officeDocument/2006/relationships/hyperlink"/><Relationship Id="rId132" Target="#'CS638Q02S'!A6" TargetMode="External" Type="http://schemas.openxmlformats.org/officeDocument/2006/relationships/hyperlink"/><Relationship Id="rId133" Target="#'CS638Q04S'!A6" TargetMode="External" Type="http://schemas.openxmlformats.org/officeDocument/2006/relationships/hyperlink"/><Relationship Id="rId134" Target="#'DS638Q05C'!A6" TargetMode="External" Type="http://schemas.openxmlformats.org/officeDocument/2006/relationships/hyperlink"/><Relationship Id="rId135" Target="#'DS625Q01C'!A6" TargetMode="External" Type="http://schemas.openxmlformats.org/officeDocument/2006/relationships/hyperlink"/><Relationship Id="rId136" Target="#'CS625Q02S'!A6" TargetMode="External" Type="http://schemas.openxmlformats.org/officeDocument/2006/relationships/hyperlink"/><Relationship Id="rId137" Target="#'CS625Q03S'!A6" TargetMode="External" Type="http://schemas.openxmlformats.org/officeDocument/2006/relationships/hyperlink"/><Relationship Id="rId138" Target="#'CS615Q07S'!A6" TargetMode="External" Type="http://schemas.openxmlformats.org/officeDocument/2006/relationships/hyperlink"/><Relationship Id="rId139" Target="#'CS615Q01S'!A6" TargetMode="External" Type="http://schemas.openxmlformats.org/officeDocument/2006/relationships/hyperlink"/><Relationship Id="rId140" Target="#'CS615Q02S'!A6" TargetMode="External" Type="http://schemas.openxmlformats.org/officeDocument/2006/relationships/hyperlink"/><Relationship Id="rId141" Target="#'CS615Q05S'!A6" TargetMode="External" Type="http://schemas.openxmlformats.org/officeDocument/2006/relationships/hyperlink"/><Relationship Id="rId142" Target="#'CS604Q02S'!A6" TargetMode="External" Type="http://schemas.openxmlformats.org/officeDocument/2006/relationships/hyperlink"/><Relationship Id="rId143" Target="#'DS604Q04C'!A6" TargetMode="External" Type="http://schemas.openxmlformats.org/officeDocument/2006/relationships/hyperlink"/><Relationship Id="rId144" Target="#'CS645Q01S'!A6" TargetMode="External" Type="http://schemas.openxmlformats.org/officeDocument/2006/relationships/hyperlink"/><Relationship Id="rId145" Target="#'CS645Q03S'!A6" TargetMode="External" Type="http://schemas.openxmlformats.org/officeDocument/2006/relationships/hyperlink"/><Relationship Id="rId146" Target="#'DS645Q04C'!A6" TargetMode="External" Type="http://schemas.openxmlformats.org/officeDocument/2006/relationships/hyperlink"/><Relationship Id="rId147" Target="#'DS645Q05C'!A6" TargetMode="External" Type="http://schemas.openxmlformats.org/officeDocument/2006/relationships/hyperlink"/><Relationship Id="rId148" Target="#'CS657Q01S'!A6" TargetMode="External" Type="http://schemas.openxmlformats.org/officeDocument/2006/relationships/hyperlink"/><Relationship Id="rId149" Target="#'CS657Q02S'!A6" TargetMode="External" Type="http://schemas.openxmlformats.org/officeDocument/2006/relationships/hyperlink"/><Relationship Id="rId150" Target="#'CS657Q03S'!A6" TargetMode="External" Type="http://schemas.openxmlformats.org/officeDocument/2006/relationships/hyperlink"/><Relationship Id="rId151" Target="#'DS657Q04C'!A6" TargetMode="External" Type="http://schemas.openxmlformats.org/officeDocument/2006/relationships/hyperlink"/><Relationship Id="rId152" Target="#'CS656Q01S'!A6" TargetMode="External" Type="http://schemas.openxmlformats.org/officeDocument/2006/relationships/hyperlink"/><Relationship Id="rId153" Target="#'DS656Q02C'!A6" TargetMode="External" Type="http://schemas.openxmlformats.org/officeDocument/2006/relationships/hyperlink"/><Relationship Id="rId154" Target="#'CS656Q04S'!A6" TargetMode="External" Type="http://schemas.openxmlformats.org/officeDocument/2006/relationships/hyperlink"/><Relationship Id="rId155" Target="#'DS643Q03C'!A6" TargetMode="External" Type="http://schemas.openxmlformats.org/officeDocument/2006/relationships/hyperlink"/><Relationship Id="rId156" Target="#'CS643Q01S'!A6" TargetMode="External" Type="http://schemas.openxmlformats.org/officeDocument/2006/relationships/hyperlink"/><Relationship Id="rId157" Target="#'CS643Q02S'!A6" TargetMode="External" Type="http://schemas.openxmlformats.org/officeDocument/2006/relationships/hyperlink"/><Relationship Id="rId158" Target="#'CS643Q04S'!A6" TargetMode="External" Type="http://schemas.openxmlformats.org/officeDocument/2006/relationships/hyperlink"/><Relationship Id="rId159" Target="#'DS643Q05C'!A6" TargetMode="External" Type="http://schemas.openxmlformats.org/officeDocument/2006/relationships/hyperlink"/><Relationship Id="rId160" Target="#'DS629Q01C'!A6" TargetMode="External" Type="http://schemas.openxmlformats.org/officeDocument/2006/relationships/hyperlink"/><Relationship Id="rId161" Target="#'CS629Q02S'!A6" TargetMode="External" Type="http://schemas.openxmlformats.org/officeDocument/2006/relationships/hyperlink"/><Relationship Id="rId162" Target="#'DS629Q03C'!A6" TargetMode="External" Type="http://schemas.openxmlformats.org/officeDocument/2006/relationships/hyperlink"/><Relationship Id="rId163" Target="#'CS629Q04S'!A6" TargetMode="External" Type="http://schemas.openxmlformats.org/officeDocument/2006/relationships/hyperlink"/><Relationship Id="rId164" Target="#'DS648Q01C'!A6" TargetMode="External" Type="http://schemas.openxmlformats.org/officeDocument/2006/relationships/hyperlink"/><Relationship Id="rId165" Target="#'CS648Q02S'!A6" TargetMode="External" Type="http://schemas.openxmlformats.org/officeDocument/2006/relationships/hyperlink"/><Relationship Id="rId166" Target="#'CS648Q03S'!A6" TargetMode="External" Type="http://schemas.openxmlformats.org/officeDocument/2006/relationships/hyperlink"/><Relationship Id="rId167" Target="#'DS648Q05C'!A6" TargetMode="External" Type="http://schemas.openxmlformats.org/officeDocument/2006/relationships/hyperlink"/><Relationship Id="rId168" Target="#'CS641Q01S'!A6" TargetMode="External" Type="http://schemas.openxmlformats.org/officeDocument/2006/relationships/hyperlink"/><Relationship Id="rId169" Target="#'CS641Q02S'!A6" TargetMode="External" Type="http://schemas.openxmlformats.org/officeDocument/2006/relationships/hyperlink"/><Relationship Id="rId170" Target="#'CS641Q03S'!A6" TargetMode="External" Type="http://schemas.openxmlformats.org/officeDocument/2006/relationships/hyperlink"/><Relationship Id="rId171" Target="#'CS641Q04S'!A6" TargetMode="External" Type="http://schemas.openxmlformats.org/officeDocument/2006/relationships/hyperlink"/><Relationship Id="rId172" Target="#'DS637Q01C'!A6" TargetMode="External" Type="http://schemas.openxmlformats.org/officeDocument/2006/relationships/hyperlink"/><Relationship Id="rId173" Target="#'CS637Q02S'!A6" TargetMode="External" Type="http://schemas.openxmlformats.org/officeDocument/2006/relationships/hyperlink"/><Relationship Id="rId174" Target="#'DS637Q05C'!A6" TargetMode="External" Type="http://schemas.openxmlformats.org/officeDocument/2006/relationships/hyperlink"/><Relationship Id="rId175" Target="#'CS601Q01S'!A6" TargetMode="External" Type="http://schemas.openxmlformats.org/officeDocument/2006/relationships/hyperlink"/><Relationship Id="rId176" Target="#'CS601Q02S'!A6" TargetMode="External" Type="http://schemas.openxmlformats.org/officeDocument/2006/relationships/hyperlink"/><Relationship Id="rId177" Target="#'CS601Q04S'!A6" TargetMode="External" Type="http://schemas.openxmlformats.org/officeDocument/2006/relationships/hyperlink"/><Relationship Id="rId178" Target="#'DS610Q01C'!A6" TargetMode="External" Type="http://schemas.openxmlformats.org/officeDocument/2006/relationships/hyperlink"/><Relationship Id="rId179" Target="#'CS610Q02S'!A6" TargetMode="External" Type="http://schemas.openxmlformats.org/officeDocument/2006/relationships/hyperlink"/><Relationship Id="rId180" Target="#'CS610Q04S'!A6" TargetMode="External" Type="http://schemas.openxmlformats.org/officeDocument/2006/relationships/hyperlink"/><Relationship Id="rId181" Target="#'CS626Q01S'!A6" TargetMode="External" Type="http://schemas.openxmlformats.org/officeDocument/2006/relationships/hyperlink"/><Relationship Id="rId182" Target="#'CS626Q02S'!A6" TargetMode="External" Type="http://schemas.openxmlformats.org/officeDocument/2006/relationships/hyperlink"/><Relationship Id="rId183" Target="#'CS626Q03S'!A6" TargetMode="External" Type="http://schemas.openxmlformats.org/officeDocument/2006/relationships/hyperlink"/><Relationship Id="rId184" Target="#'DS626Q04C'!A6" TargetMode="External" Type="http://schemas.openxmlformats.org/officeDocument/2006/relationships/hyperlink"/><Relationship Id="rId185" Target="#'PS269Q01'!A6" TargetMode="External" Type="http://schemas.openxmlformats.org/officeDocument/2006/relationships/hyperlink"/><Relationship Id="rId186" Target="#'PS269Q03'!A6" TargetMode="External" Type="http://schemas.openxmlformats.org/officeDocument/2006/relationships/hyperlink"/><Relationship Id="rId187" Target="#'PS269Q04S'!A6" TargetMode="External" Type="http://schemas.openxmlformats.org/officeDocument/2006/relationships/hyperlink"/><Relationship Id="rId188" Target="#'PS408Q01S'!A6" TargetMode="External" Type="http://schemas.openxmlformats.org/officeDocument/2006/relationships/hyperlink"/><Relationship Id="rId189" Target="#'PS408Q03'!A6" TargetMode="External" Type="http://schemas.openxmlformats.org/officeDocument/2006/relationships/hyperlink"/><Relationship Id="rId190" Target="#'PS408Q04S'!A6" TargetMode="External" Type="http://schemas.openxmlformats.org/officeDocument/2006/relationships/hyperlink"/><Relationship Id="rId191" Target="#'PS408Q05S'!A6" TargetMode="External" Type="http://schemas.openxmlformats.org/officeDocument/2006/relationships/hyperlink"/><Relationship Id="rId192" Target="#'PS521Q02S'!A6" TargetMode="External" Type="http://schemas.openxmlformats.org/officeDocument/2006/relationships/hyperlink"/><Relationship Id="rId193" Target="#'PS521Q06S'!A6" TargetMode="External" Type="http://schemas.openxmlformats.org/officeDocument/2006/relationships/hyperlink"/><Relationship Id="rId194" Target="#'PS519Q01'!A6" TargetMode="External" Type="http://schemas.openxmlformats.org/officeDocument/2006/relationships/hyperlink"/><Relationship Id="rId195" Target="#'PS519Q02S'!A6" TargetMode="External" Type="http://schemas.openxmlformats.org/officeDocument/2006/relationships/hyperlink"/><Relationship Id="rId196" Target="#'PS519Q03'!A6" TargetMode="External" Type="http://schemas.openxmlformats.org/officeDocument/2006/relationships/hyperlink"/><Relationship Id="rId197" Target="#'PS527Q01S'!A6" TargetMode="External" Type="http://schemas.openxmlformats.org/officeDocument/2006/relationships/hyperlink"/><Relationship Id="rId198" Target="#'PS527Q03S'!A6" TargetMode="External" Type="http://schemas.openxmlformats.org/officeDocument/2006/relationships/hyperlink"/><Relationship Id="rId199" Target="#'PS527Q04S'!A6" TargetMode="External" Type="http://schemas.openxmlformats.org/officeDocument/2006/relationships/hyperlink"/><Relationship Id="rId200" Target="#'PS466Q01S'!A6" TargetMode="External" Type="http://schemas.openxmlformats.org/officeDocument/2006/relationships/hyperlink"/><Relationship Id="rId201" Target="#'PS466Q07S'!A6" TargetMode="External" Type="http://schemas.openxmlformats.org/officeDocument/2006/relationships/hyperlink"/><Relationship Id="rId202" Target="#'PS466Q05S'!A6" TargetMode="External" Type="http://schemas.openxmlformats.org/officeDocument/2006/relationships/hyperlink"/><Relationship Id="rId203" Target="#'PS326Q01'!A6" TargetMode="External" Type="http://schemas.openxmlformats.org/officeDocument/2006/relationships/hyperlink"/><Relationship Id="rId204" Target="#'PS326Q02'!A6" TargetMode="External" Type="http://schemas.openxmlformats.org/officeDocument/2006/relationships/hyperlink"/><Relationship Id="rId205" Target="#'PS326Q03S'!A6" TargetMode="External" Type="http://schemas.openxmlformats.org/officeDocument/2006/relationships/hyperlink"/><Relationship Id="rId206" Target="#'PS326Q04S'!A6" TargetMode="External" Type="http://schemas.openxmlformats.org/officeDocument/2006/relationships/hyperlink"/><Relationship Id="rId207" Target="#'PS256Q01S'!A6" TargetMode="External" Type="http://schemas.openxmlformats.org/officeDocument/2006/relationships/hyperlink"/><Relationship Id="rId208" Target="#'PS478Q01S'!A6" TargetMode="External" Type="http://schemas.openxmlformats.org/officeDocument/2006/relationships/hyperlink"/><Relationship Id="rId209" Target="#'PS478Q02S'!A6" TargetMode="External" Type="http://schemas.openxmlformats.org/officeDocument/2006/relationships/hyperlink"/><Relationship Id="rId210" Target="#'PS478Q03S'!A6" TargetMode="External" Type="http://schemas.openxmlformats.org/officeDocument/2006/relationships/hyperlink"/><Relationship Id="rId211" Target="#'PS413Q06'!A6" TargetMode="External" Type="http://schemas.openxmlformats.org/officeDocument/2006/relationships/hyperlink"/><Relationship Id="rId212" Target="#'PS413Q04S'!A6" TargetMode="External" Type="http://schemas.openxmlformats.org/officeDocument/2006/relationships/hyperlink"/><Relationship Id="rId213" Target="#'PS413Q05S'!A6" TargetMode="External" Type="http://schemas.openxmlformats.org/officeDocument/2006/relationships/hyperlink"/><Relationship Id="rId214" Target="#'PS498Q02S'!A6" TargetMode="External" Type="http://schemas.openxmlformats.org/officeDocument/2006/relationships/hyperlink"/><Relationship Id="rId215" Target="#'PS498Q03S'!A6" TargetMode="External" Type="http://schemas.openxmlformats.org/officeDocument/2006/relationships/hyperlink"/><Relationship Id="rId216" Target="#'PS498Q04'!A6" TargetMode="External" Type="http://schemas.openxmlformats.org/officeDocument/2006/relationships/hyperlink"/><Relationship Id="rId217" Target="#'PS425Q03'!A6" TargetMode="External" Type="http://schemas.openxmlformats.org/officeDocument/2006/relationships/hyperlink"/><Relationship Id="rId218" Target="#'PS425Q05S'!A6" TargetMode="External" Type="http://schemas.openxmlformats.org/officeDocument/2006/relationships/hyperlink"/><Relationship Id="rId219" Target="#'PS425Q02S'!A6" TargetMode="External" Type="http://schemas.openxmlformats.org/officeDocument/2006/relationships/hyperlink"/><Relationship Id="rId220" Target="#'PS425Q04'!A6" TargetMode="External" Type="http://schemas.openxmlformats.org/officeDocument/2006/relationships/hyperlink"/><Relationship Id="rId221" Target="#'PS465Q01'!A6" TargetMode="External" Type="http://schemas.openxmlformats.org/officeDocument/2006/relationships/hyperlink"/><Relationship Id="rId222" Target="#'PS465Q02S'!A6" TargetMode="External" Type="http://schemas.openxmlformats.org/officeDocument/2006/relationships/hyperlink"/><Relationship Id="rId223" Target="#'PS465Q04S'!A6" TargetMode="External" Type="http://schemas.openxmlformats.org/officeDocument/2006/relationships/hyperlink"/><Relationship Id="rId224" Target="#'PS131Q02'!A6" TargetMode="External" Type="http://schemas.openxmlformats.org/officeDocument/2006/relationships/hyperlink"/><Relationship Id="rId225" Target="#'PS131Q04'!A6" TargetMode="External" Type="http://schemas.openxmlformats.org/officeDocument/2006/relationships/hyperlink"/><Relationship Id="rId226" Target="#'PS428Q01S'!A6" TargetMode="External" Type="http://schemas.openxmlformats.org/officeDocument/2006/relationships/hyperlink"/><Relationship Id="rId227" Target="#'PS428Q03S'!A6" TargetMode="External" Type="http://schemas.openxmlformats.org/officeDocument/2006/relationships/hyperlink"/><Relationship Id="rId228" Target="#'PS428Q05'!A6" TargetMode="External" Type="http://schemas.openxmlformats.org/officeDocument/2006/relationships/hyperlink"/><Relationship Id="rId229" Target="#'PS514Q02'!A6" TargetMode="External" Type="http://schemas.openxmlformats.org/officeDocument/2006/relationships/hyperlink"/><Relationship Id="rId230" Target="#'PS514Q03'!A6" TargetMode="External" Type="http://schemas.openxmlformats.org/officeDocument/2006/relationships/hyperlink"/><Relationship Id="rId231" Target="#'PS514Q04'!A6" TargetMode="External" Type="http://schemas.openxmlformats.org/officeDocument/2006/relationships/hyperlink"/><Relationship Id="rId232" Target="#'PS438Q01S'!A6" TargetMode="External" Type="http://schemas.openxmlformats.org/officeDocument/2006/relationships/hyperlink"/><Relationship Id="rId233" Target="#'PS438Q02S'!A6" TargetMode="External" Type="http://schemas.openxmlformats.org/officeDocument/2006/relationships/hyperlink"/><Relationship Id="rId234" Target="#'PS438Q03'!A6" TargetMode="External" Type="http://schemas.openxmlformats.org/officeDocument/2006/relationships/hyperlink"/><Relationship Id="rId235" Target="#'PS415Q07S'!A6" TargetMode="External" Type="http://schemas.openxmlformats.org/officeDocument/2006/relationships/hyperlink"/><Relationship Id="rId236" Target="#'PS415Q02S'!A6" TargetMode="External" Type="http://schemas.openxmlformats.org/officeDocument/2006/relationships/hyperlink"/><Relationship Id="rId237" Target="#'PS415Q08S'!A6" TargetMode="External" Type="http://schemas.openxmlformats.org/officeDocument/2006/relationships/hyperlink"/><Relationship Id="rId238" Target="#'PS476Q01S'!A6" TargetMode="External" Type="http://schemas.openxmlformats.org/officeDocument/2006/relationships/hyperlink"/><Relationship Id="rId239" Target="#'PS476Q02S'!A6" TargetMode="External" Type="http://schemas.openxmlformats.org/officeDocument/2006/relationships/hyperlink"/><Relationship Id="rId240" Target="#'PS476Q03S'!A6" TargetMode="External" Type="http://schemas.openxmlformats.org/officeDocument/2006/relationships/hyperlink"/><Relationship Id="rId241" Target="#'PS495Q04S'!A6" TargetMode="External" Type="http://schemas.openxmlformats.org/officeDocument/2006/relationships/hyperlink"/><Relationship Id="rId242" Target="#'PS495Q01S'!A6" TargetMode="External" Type="http://schemas.openxmlformats.org/officeDocument/2006/relationships/hyperlink"/><Relationship Id="rId243" Target="#'PS495Q02S'!A6" TargetMode="External" Type="http://schemas.openxmlformats.org/officeDocument/2006/relationships/hyperlink"/><Relationship Id="rId244" Target="#'S495Q03'!A6" TargetMode="External" Type="http://schemas.openxmlformats.org/officeDocument/2006/relationships/hyperlink"/><Relationship Id="rId245" Target="#'PS456Q01S'!A6" TargetMode="External" Type="http://schemas.openxmlformats.org/officeDocument/2006/relationships/hyperlink"/><Relationship Id="rId246" Target="#'PS456Q02S'!A6" TargetMode="External" Type="http://schemas.openxmlformats.org/officeDocument/2006/relationships/hyperlink"/><Relationship Id="rId247" Target="#'PS268Q01S'!A6" TargetMode="External" Type="http://schemas.openxmlformats.org/officeDocument/2006/relationships/hyperlink"/><Relationship Id="rId248" Target="#'S268Q02'!A6" TargetMode="External" Type="http://schemas.openxmlformats.org/officeDocument/2006/relationships/hyperlink"/><Relationship Id="rId249" Target="#'PS268Q06S'!A6" TargetMode="External" Type="http://schemas.openxmlformats.org/officeDocument/2006/relationships/hyperlink"/><Relationship Id="rId250" Target="#'PS524Q06S'!A6" TargetMode="External" Type="http://schemas.openxmlformats.org/officeDocument/2006/relationships/hyperlink"/><Relationship Id="rId251" Target="#'S524Q07'!A6" TargetMode="External" Type="http://schemas.openxmlformats.org/officeDocument/2006/relationships/hyperlink"/><Relationship Id="rId252" Target="#'PS510Q01S'!A6" TargetMode="External" Type="http://schemas.openxmlformats.org/officeDocument/2006/relationships/hyperlink"/><Relationship Id="rId253" Target="#'S510Q04'!A6" TargetMode="External" Type="http://schemas.openxmlformats.org/officeDocument/2006/relationships/hyperlink"/><Relationship Id="rId254" Target="#'PS437Q01S'!A6" TargetMode="External" Type="http://schemas.openxmlformats.org/officeDocument/2006/relationships/hyperlink"/><Relationship Id="rId255" Target="#'PS437Q03S'!A6" TargetMode="External" Type="http://schemas.openxmlformats.org/officeDocument/2006/relationships/hyperlink"/><Relationship Id="rId256" Target="#'PS437Q04S'!A6" TargetMode="External" Type="http://schemas.openxmlformats.org/officeDocument/2006/relationships/hyperlink"/><Relationship Id="rId257" Target="#'S437Q06'!A6" TargetMode="External" Type="http://schemas.openxmlformats.org/officeDocument/2006/relationships/hyperlink"/><Relationship Id="rId258" Target="#'S304Q01'!A6" TargetMode="External" Type="http://schemas.openxmlformats.org/officeDocument/2006/relationships/hyperlink"/><Relationship Id="rId259" Target="#'PS304Q02S'!A6" TargetMode="External" Type="http://schemas.openxmlformats.org/officeDocument/2006/relationships/hyperlink"/><Relationship Id="rId260" Target="#'S304Q03a'!A6" TargetMode="External" Type="http://schemas.openxmlformats.org/officeDocument/2006/relationships/hyperlink"/><Relationship Id="rId261" Target="#'S304Q03b'!A6" TargetMode="External" Type="http://schemas.openxmlformats.org/officeDocument/2006/relationships/hyperlink"/><Relationship Id="rId262" Target="#'S416Q01'!A6" TargetMode="External" Type="http://schemas.openxmlformats.org/officeDocument/2006/relationships/hyperlink"/><Relationship Id="rId263" Target="#'S458Q01'!A6" TargetMode="External" Type="http://schemas.openxmlformats.org/officeDocument/2006/relationships/hyperlink"/><Relationship Id="rId264" Target="#'PS458Q02S'!A6" TargetMode="External" Type="http://schemas.openxmlformats.org/officeDocument/2006/relationships/hyperlink"/><Relationship Id="rId265" Target="#'S421Q01'!A6" TargetMode="External" Type="http://schemas.openxmlformats.org/officeDocument/2006/relationships/hyperlink"/><Relationship Id="rId266" Target="#'S421Q02'!A6" TargetMode="External" Type="http://schemas.openxmlformats.org/officeDocument/2006/relationships/hyperlink"/><Relationship Id="rId267" Target="#'S421Q03'!A6" TargetMode="External" Type="http://schemas.openxmlformats.org/officeDocument/2006/relationships/hyperlink"/><Relationship Id="rId268" Target="#'PS252Q01S'!A6" TargetMode="External" Type="http://schemas.openxmlformats.org/officeDocument/2006/relationships/hyperlink"/><Relationship Id="rId269" Target="#'PS252Q02S'!A6" TargetMode="External" Type="http://schemas.openxmlformats.org/officeDocument/2006/relationships/hyperlink"/><Relationship Id="rId270" Target="#'PS252Q03S'!A6" TargetMode="External" Type="http://schemas.openxmlformats.org/officeDocument/2006/relationships/hyperlink"/><Relationship Id="rId271" Target="#'PS327Q01S'!A6" TargetMode="External" Type="http://schemas.openxmlformats.org/officeDocument/2006/relationships/hyperlink"/><Relationship Id="rId272" Target="#'PS133Q01S'!A6" TargetMode="External" Type="http://schemas.openxmlformats.org/officeDocument/2006/relationships/hyperlink"/><Relationship Id="rId273" Target="#'PS133Q03S'!A6" TargetMode="External" Type="http://schemas.openxmlformats.org/officeDocument/2006/relationships/hyperlink"/><Relationship Id="rId274" Target="#'PS133Q04S'!A6" TargetMode="External" Type="http://schemas.openxmlformats.org/officeDocument/2006/relationships/hyperlink"/></Relationships>
</file>

<file path=xl/worksheets/sheet1.xml><?xml version="1.0" encoding="utf-8"?>
<worksheet xmlns="http://schemas.openxmlformats.org/spreadsheetml/2006/main">
  <sheetPr>
    <outlinePr summaryBelow="1" summaryRight="1"/>
    <pageSetUpPr/>
  </sheetPr>
  <dimension ref="A1:B275"/>
  <sheetViews>
    <sheetView workbookViewId="0" zoomScale="80">
      <selection activeCell="A1" sqref="A1"/>
    </sheetView>
  </sheetViews>
  <sheetFormatPr baseColWidth="10" defaultRowHeight="15"/>
  <cols>
    <col customWidth="1" width="100" min="2" max="2"/>
  </cols>
  <sheetData>
    <row r="1" spans="1:2">
      <c r="B1" s="1" t="s">
        <v>0</v>
      </c>
    </row>
    <row r="2" spans="1:2">
      <c r="A2" s="2" t="s">
        <v>1</v>
      </c>
      <c r="B2" s="3" t="s">
        <v>2</v>
      </c>
    </row>
    <row r="3" spans="1:2">
      <c r="A3" s="2" t="s">
        <v>3</v>
      </c>
      <c r="B3" s="3" t="s">
        <v>4</v>
      </c>
    </row>
    <row r="4" spans="1:2">
      <c r="A4" s="2" t="s">
        <v>5</v>
      </c>
      <c r="B4" s="3" t="s">
        <v>6</v>
      </c>
    </row>
    <row r="5" spans="1:2">
      <c r="A5" s="2" t="s">
        <v>7</v>
      </c>
      <c r="B5" s="3" t="s">
        <v>8</v>
      </c>
    </row>
    <row r="6" spans="1:2">
      <c r="A6" s="2" t="s">
        <v>9</v>
      </c>
      <c r="B6" s="3" t="s">
        <v>10</v>
      </c>
    </row>
    <row r="7" spans="1:2">
      <c r="A7" s="2" t="s">
        <v>11</v>
      </c>
      <c r="B7" s="3" t="s">
        <v>12</v>
      </c>
    </row>
    <row r="8" spans="1:2">
      <c r="A8" s="2" t="s">
        <v>13</v>
      </c>
      <c r="B8" s="3" t="s">
        <v>14</v>
      </c>
    </row>
    <row r="9" spans="1:2">
      <c r="A9" s="2" t="s">
        <v>15</v>
      </c>
      <c r="B9" s="3" t="s">
        <v>16</v>
      </c>
    </row>
    <row r="10" spans="1:2">
      <c r="A10" s="2" t="s">
        <v>17</v>
      </c>
      <c r="B10" s="3" t="s">
        <v>18</v>
      </c>
    </row>
    <row r="11" spans="1:2">
      <c r="A11" s="2" t="s">
        <v>19</v>
      </c>
      <c r="B11" s="3" t="s">
        <v>20</v>
      </c>
    </row>
    <row r="12" spans="1:2">
      <c r="A12" s="2" t="s">
        <v>21</v>
      </c>
      <c r="B12" s="3" t="s">
        <v>22</v>
      </c>
    </row>
    <row r="13" spans="1:2">
      <c r="A13" s="2" t="s">
        <v>23</v>
      </c>
      <c r="B13" s="3" t="s">
        <v>24</v>
      </c>
    </row>
    <row r="14" spans="1:2">
      <c r="A14" s="2" t="s">
        <v>25</v>
      </c>
      <c r="B14" s="3" t="s">
        <v>26</v>
      </c>
    </row>
    <row r="15" spans="1:2">
      <c r="A15" s="2" t="s">
        <v>27</v>
      </c>
      <c r="B15" s="3" t="s">
        <v>28</v>
      </c>
    </row>
    <row r="16" spans="1:2">
      <c r="A16" s="2" t="s">
        <v>29</v>
      </c>
      <c r="B16" s="3" t="s">
        <v>30</v>
      </c>
    </row>
    <row r="17" spans="1:2">
      <c r="A17" s="2" t="s">
        <v>31</v>
      </c>
      <c r="B17" s="3" t="s">
        <v>32</v>
      </c>
    </row>
    <row r="18" spans="1:2">
      <c r="A18" s="2" t="s">
        <v>33</v>
      </c>
      <c r="B18" s="3" t="s">
        <v>34</v>
      </c>
    </row>
    <row r="19" spans="1:2">
      <c r="A19" s="2" t="s">
        <v>35</v>
      </c>
      <c r="B19" s="3" t="s">
        <v>36</v>
      </c>
    </row>
    <row r="20" spans="1:2">
      <c r="A20" s="2" t="s">
        <v>37</v>
      </c>
      <c r="B20" s="3" t="s">
        <v>38</v>
      </c>
    </row>
    <row r="21" spans="1:2">
      <c r="A21" s="2" t="s">
        <v>39</v>
      </c>
      <c r="B21" s="3" t="s">
        <v>40</v>
      </c>
    </row>
    <row r="22" spans="1:2">
      <c r="A22" s="2" t="s">
        <v>41</v>
      </c>
      <c r="B22" s="3" t="s">
        <v>42</v>
      </c>
    </row>
    <row r="23" spans="1:2">
      <c r="A23" s="2" t="s">
        <v>43</v>
      </c>
      <c r="B23" s="3" t="s">
        <v>44</v>
      </c>
    </row>
    <row r="24" spans="1:2">
      <c r="A24" s="2" t="s">
        <v>45</v>
      </c>
      <c r="B24" s="3" t="s">
        <v>46</v>
      </c>
    </row>
    <row r="25" spans="1:2">
      <c r="A25" s="2" t="s">
        <v>47</v>
      </c>
      <c r="B25" s="3" t="s">
        <v>48</v>
      </c>
    </row>
    <row r="26" spans="1:2">
      <c r="A26" s="2" t="s">
        <v>49</v>
      </c>
      <c r="B26" s="3" t="s">
        <v>50</v>
      </c>
    </row>
    <row r="27" spans="1:2">
      <c r="A27" s="2" t="s">
        <v>51</v>
      </c>
      <c r="B27" s="3" t="s">
        <v>52</v>
      </c>
    </row>
    <row r="28" spans="1:2">
      <c r="A28" s="2" t="s">
        <v>53</v>
      </c>
      <c r="B28" s="3" t="s">
        <v>54</v>
      </c>
    </row>
    <row r="29" spans="1:2">
      <c r="A29" s="2" t="s">
        <v>55</v>
      </c>
      <c r="B29" s="3" t="s">
        <v>56</v>
      </c>
    </row>
    <row r="30" spans="1:2">
      <c r="A30" s="2" t="s">
        <v>57</v>
      </c>
      <c r="B30" s="3" t="s">
        <v>58</v>
      </c>
    </row>
    <row r="31" spans="1:2">
      <c r="A31" s="2" t="s">
        <v>59</v>
      </c>
      <c r="B31" s="3" t="s">
        <v>60</v>
      </c>
    </row>
    <row r="32" spans="1:2">
      <c r="A32" s="2" t="s">
        <v>61</v>
      </c>
      <c r="B32" s="3" t="s">
        <v>62</v>
      </c>
    </row>
    <row r="33" spans="1:2">
      <c r="A33" s="2" t="s">
        <v>63</v>
      </c>
      <c r="B33" s="3" t="s">
        <v>64</v>
      </c>
    </row>
    <row r="34" spans="1:2">
      <c r="A34" s="2" t="s">
        <v>65</v>
      </c>
      <c r="B34" s="3" t="s">
        <v>66</v>
      </c>
    </row>
    <row r="35" spans="1:2">
      <c r="A35" s="2" t="s">
        <v>67</v>
      </c>
      <c r="B35" s="3" t="s">
        <v>68</v>
      </c>
    </row>
    <row r="36" spans="1:2">
      <c r="A36" s="2" t="s">
        <v>69</v>
      </c>
      <c r="B36" s="3" t="s">
        <v>70</v>
      </c>
    </row>
    <row r="37" spans="1:2">
      <c r="A37" s="2" t="s">
        <v>71</v>
      </c>
      <c r="B37" s="3" t="s">
        <v>72</v>
      </c>
    </row>
    <row r="38" spans="1:2">
      <c r="A38" s="2" t="s">
        <v>73</v>
      </c>
      <c r="B38" s="3" t="s">
        <v>74</v>
      </c>
    </row>
    <row r="39" spans="1:2">
      <c r="A39" s="2" t="s">
        <v>75</v>
      </c>
      <c r="B39" s="3" t="s">
        <v>76</v>
      </c>
    </row>
    <row r="40" spans="1:2">
      <c r="A40" s="2" t="s">
        <v>77</v>
      </c>
      <c r="B40" s="3" t="s">
        <v>78</v>
      </c>
    </row>
    <row r="41" spans="1:2">
      <c r="A41" s="2" t="s">
        <v>79</v>
      </c>
      <c r="B41" s="3" t="s">
        <v>80</v>
      </c>
    </row>
    <row r="42" spans="1:2">
      <c r="A42" s="2" t="s">
        <v>81</v>
      </c>
      <c r="B42" s="3" t="s">
        <v>82</v>
      </c>
    </row>
    <row r="43" spans="1:2">
      <c r="A43" s="2" t="s">
        <v>83</v>
      </c>
      <c r="B43" s="3" t="s">
        <v>84</v>
      </c>
    </row>
    <row r="44" spans="1:2">
      <c r="A44" s="2" t="s">
        <v>85</v>
      </c>
      <c r="B44" s="3" t="s">
        <v>86</v>
      </c>
    </row>
    <row r="45" spans="1:2">
      <c r="A45" s="2" t="s">
        <v>87</v>
      </c>
      <c r="B45" s="3" t="s">
        <v>88</v>
      </c>
    </row>
    <row r="46" spans="1:2">
      <c r="A46" s="2" t="s">
        <v>89</v>
      </c>
      <c r="B46" s="3" t="s">
        <v>90</v>
      </c>
    </row>
    <row r="47" spans="1:2">
      <c r="A47" s="2" t="s">
        <v>91</v>
      </c>
      <c r="B47" s="3" t="s">
        <v>92</v>
      </c>
    </row>
    <row r="48" spans="1:2">
      <c r="A48" s="2" t="s">
        <v>93</v>
      </c>
      <c r="B48" s="3" t="s">
        <v>94</v>
      </c>
    </row>
    <row r="49" spans="1:2">
      <c r="A49" s="2" t="s">
        <v>95</v>
      </c>
      <c r="B49" s="3" t="s">
        <v>96</v>
      </c>
    </row>
    <row r="50" spans="1:2">
      <c r="A50" s="2" t="s">
        <v>97</v>
      </c>
      <c r="B50" s="3" t="s">
        <v>98</v>
      </c>
    </row>
    <row r="51" spans="1:2">
      <c r="A51" s="2" t="s">
        <v>99</v>
      </c>
      <c r="B51" s="3" t="s">
        <v>100</v>
      </c>
    </row>
    <row r="52" spans="1:2">
      <c r="A52" s="2" t="s">
        <v>101</v>
      </c>
      <c r="B52" s="3" t="s">
        <v>102</v>
      </c>
    </row>
    <row r="53" spans="1:2">
      <c r="A53" s="2" t="s">
        <v>103</v>
      </c>
      <c r="B53" s="3" t="s">
        <v>104</v>
      </c>
    </row>
    <row r="54" spans="1:2">
      <c r="A54" s="2" t="s">
        <v>105</v>
      </c>
      <c r="B54" s="3" t="s">
        <v>106</v>
      </c>
    </row>
    <row r="55" spans="1:2">
      <c r="A55" s="2" t="s">
        <v>107</v>
      </c>
      <c r="B55" s="3" t="s">
        <v>108</v>
      </c>
    </row>
    <row r="56" spans="1:2">
      <c r="A56" s="2" t="s">
        <v>109</v>
      </c>
      <c r="B56" s="3" t="s">
        <v>110</v>
      </c>
    </row>
    <row r="57" spans="1:2">
      <c r="A57" s="2" t="s">
        <v>111</v>
      </c>
      <c r="B57" s="3" t="s">
        <v>112</v>
      </c>
    </row>
    <row r="58" spans="1:2">
      <c r="A58" s="2" t="s">
        <v>113</v>
      </c>
      <c r="B58" s="3" t="s">
        <v>114</v>
      </c>
    </row>
    <row r="59" spans="1:2">
      <c r="A59" s="2" t="s">
        <v>115</v>
      </c>
      <c r="B59" s="3" t="s">
        <v>116</v>
      </c>
    </row>
    <row r="60" spans="1:2">
      <c r="A60" s="2" t="s">
        <v>117</v>
      </c>
      <c r="B60" s="3" t="s">
        <v>118</v>
      </c>
    </row>
    <row r="61" spans="1:2">
      <c r="A61" s="2" t="s">
        <v>119</v>
      </c>
      <c r="B61" s="3" t="s">
        <v>120</v>
      </c>
    </row>
    <row r="62" spans="1:2">
      <c r="A62" s="2" t="s">
        <v>121</v>
      </c>
      <c r="B62" s="3" t="s">
        <v>122</v>
      </c>
    </row>
    <row r="63" spans="1:2">
      <c r="A63" s="2" t="s">
        <v>123</v>
      </c>
      <c r="B63" s="3" t="s">
        <v>124</v>
      </c>
    </row>
    <row r="64" spans="1:2">
      <c r="A64" s="2" t="s">
        <v>125</v>
      </c>
      <c r="B64" s="3" t="s">
        <v>126</v>
      </c>
    </row>
    <row r="65" spans="1:2">
      <c r="A65" s="2" t="s">
        <v>127</v>
      </c>
      <c r="B65" s="3" t="s">
        <v>128</v>
      </c>
    </row>
    <row r="66" spans="1:2">
      <c r="A66" s="2" t="s">
        <v>129</v>
      </c>
      <c r="B66" s="3" t="s">
        <v>130</v>
      </c>
    </row>
    <row r="67" spans="1:2">
      <c r="A67" s="2" t="s">
        <v>131</v>
      </c>
      <c r="B67" s="3" t="s">
        <v>132</v>
      </c>
    </row>
    <row r="68" spans="1:2">
      <c r="A68" s="2" t="s">
        <v>133</v>
      </c>
      <c r="B68" s="3" t="s">
        <v>134</v>
      </c>
    </row>
    <row r="69" spans="1:2">
      <c r="A69" s="2" t="s">
        <v>135</v>
      </c>
      <c r="B69" s="3" t="s">
        <v>136</v>
      </c>
    </row>
    <row r="70" spans="1:2">
      <c r="A70" s="2" t="s">
        <v>137</v>
      </c>
      <c r="B70" s="3" t="s">
        <v>138</v>
      </c>
    </row>
    <row r="71" spans="1:2">
      <c r="A71" s="2" t="s">
        <v>139</v>
      </c>
      <c r="B71" s="3" t="s">
        <v>140</v>
      </c>
    </row>
    <row r="72" spans="1:2">
      <c r="A72" s="2" t="s">
        <v>141</v>
      </c>
      <c r="B72" s="3" t="s">
        <v>142</v>
      </c>
    </row>
    <row r="73" spans="1:2">
      <c r="A73" s="2" t="s">
        <v>143</v>
      </c>
      <c r="B73" s="3" t="s">
        <v>144</v>
      </c>
    </row>
    <row r="74" spans="1:2">
      <c r="A74" s="2" t="s">
        <v>145</v>
      </c>
      <c r="B74" s="3" t="s">
        <v>146</v>
      </c>
    </row>
    <row r="75" spans="1:2">
      <c r="A75" s="2" t="s">
        <v>147</v>
      </c>
      <c r="B75" s="3" t="s">
        <v>148</v>
      </c>
    </row>
    <row r="76" spans="1:2">
      <c r="A76" s="2" t="s">
        <v>149</v>
      </c>
      <c r="B76" s="3" t="s">
        <v>150</v>
      </c>
    </row>
    <row r="77" spans="1:2">
      <c r="A77" s="2" t="s">
        <v>151</v>
      </c>
      <c r="B77" s="3" t="s">
        <v>152</v>
      </c>
    </row>
    <row r="78" spans="1:2">
      <c r="A78" s="2" t="s">
        <v>153</v>
      </c>
      <c r="B78" s="3" t="s">
        <v>154</v>
      </c>
    </row>
    <row r="79" spans="1:2">
      <c r="A79" s="2" t="s">
        <v>155</v>
      </c>
      <c r="B79" s="3" t="s">
        <v>156</v>
      </c>
    </row>
    <row r="80" spans="1:2">
      <c r="A80" s="2" t="s">
        <v>157</v>
      </c>
      <c r="B80" s="3" t="s">
        <v>158</v>
      </c>
    </row>
    <row r="81" spans="1:2">
      <c r="A81" s="2" t="s">
        <v>159</v>
      </c>
      <c r="B81" s="3" t="s">
        <v>160</v>
      </c>
    </row>
    <row r="82" spans="1:2">
      <c r="A82" s="2" t="s">
        <v>161</v>
      </c>
      <c r="B82" s="3" t="s">
        <v>162</v>
      </c>
    </row>
    <row r="83" spans="1:2">
      <c r="A83" s="2" t="s">
        <v>163</v>
      </c>
      <c r="B83" s="3" t="s">
        <v>164</v>
      </c>
    </row>
    <row r="84" spans="1:2">
      <c r="A84" s="2" t="s">
        <v>165</v>
      </c>
      <c r="B84" s="3" t="s">
        <v>166</v>
      </c>
    </row>
    <row r="85" spans="1:2">
      <c r="A85" s="2" t="s">
        <v>167</v>
      </c>
      <c r="B85" s="3" t="s">
        <v>168</v>
      </c>
    </row>
    <row r="86" spans="1:2">
      <c r="A86" s="2" t="s">
        <v>169</v>
      </c>
      <c r="B86" s="3" t="s">
        <v>170</v>
      </c>
    </row>
    <row r="87" spans="1:2">
      <c r="A87" s="2" t="s">
        <v>171</v>
      </c>
      <c r="B87" s="3" t="s">
        <v>172</v>
      </c>
    </row>
    <row r="88" spans="1:2">
      <c r="A88" s="2" t="s">
        <v>173</v>
      </c>
      <c r="B88" s="3" t="s">
        <v>174</v>
      </c>
    </row>
    <row r="89" spans="1:2">
      <c r="A89" s="2" t="s">
        <v>175</v>
      </c>
      <c r="B89" s="3" t="s">
        <v>176</v>
      </c>
    </row>
    <row r="90" spans="1:2">
      <c r="A90" s="2" t="s">
        <v>177</v>
      </c>
      <c r="B90" s="3" t="s">
        <v>178</v>
      </c>
    </row>
    <row r="91" spans="1:2">
      <c r="A91" s="2" t="s">
        <v>179</v>
      </c>
      <c r="B91" s="3" t="s">
        <v>180</v>
      </c>
    </row>
    <row r="92" spans="1:2">
      <c r="A92" s="2" t="s">
        <v>181</v>
      </c>
      <c r="B92" s="3" t="s">
        <v>182</v>
      </c>
    </row>
    <row r="93" spans="1:2">
      <c r="A93" s="2" t="s">
        <v>183</v>
      </c>
      <c r="B93" s="3" t="s">
        <v>184</v>
      </c>
    </row>
    <row r="94" spans="1:2">
      <c r="A94" s="2" t="s">
        <v>185</v>
      </c>
      <c r="B94" s="3" t="s">
        <v>186</v>
      </c>
    </row>
    <row r="95" spans="1:2">
      <c r="A95" s="2" t="s">
        <v>187</v>
      </c>
      <c r="B95" s="3" t="s">
        <v>188</v>
      </c>
    </row>
    <row r="96" spans="1:2">
      <c r="A96" s="2" t="s">
        <v>189</v>
      </c>
      <c r="B96" s="3" t="s">
        <v>190</v>
      </c>
    </row>
    <row r="97" spans="1:2">
      <c r="A97" s="2" t="s">
        <v>191</v>
      </c>
      <c r="B97" s="3" t="s">
        <v>192</v>
      </c>
    </row>
    <row r="98" spans="1:2">
      <c r="A98" s="2" t="s">
        <v>193</v>
      </c>
      <c r="B98" s="3" t="s">
        <v>194</v>
      </c>
    </row>
    <row r="99" spans="1:2">
      <c r="A99" s="2" t="s">
        <v>195</v>
      </c>
      <c r="B99" s="3" t="s">
        <v>196</v>
      </c>
    </row>
    <row r="100" spans="1:2">
      <c r="A100" s="2" t="s">
        <v>197</v>
      </c>
      <c r="B100" s="3" t="s">
        <v>198</v>
      </c>
    </row>
    <row r="101" spans="1:2">
      <c r="A101" s="2" t="s">
        <v>199</v>
      </c>
      <c r="B101" s="3" t="s">
        <v>200</v>
      </c>
    </row>
    <row r="102" spans="1:2">
      <c r="A102" s="2" t="s">
        <v>201</v>
      </c>
      <c r="B102" s="3" t="s">
        <v>202</v>
      </c>
    </row>
    <row r="103" spans="1:2">
      <c r="A103" s="2" t="s">
        <v>203</v>
      </c>
      <c r="B103" s="3" t="s">
        <v>204</v>
      </c>
    </row>
    <row r="104" spans="1:2">
      <c r="A104" s="2" t="s">
        <v>205</v>
      </c>
      <c r="B104" s="3" t="s">
        <v>206</v>
      </c>
    </row>
    <row r="105" spans="1:2">
      <c r="A105" s="2" t="s">
        <v>207</v>
      </c>
      <c r="B105" s="3" t="s">
        <v>208</v>
      </c>
    </row>
    <row r="106" spans="1:2">
      <c r="A106" s="2" t="s">
        <v>209</v>
      </c>
      <c r="B106" s="3" t="s">
        <v>210</v>
      </c>
    </row>
    <row r="107" spans="1:2">
      <c r="A107" s="2" t="s">
        <v>211</v>
      </c>
      <c r="B107" s="3" t="s">
        <v>212</v>
      </c>
    </row>
    <row r="108" spans="1:2">
      <c r="A108" s="2" t="s">
        <v>213</v>
      </c>
      <c r="B108" s="3" t="s">
        <v>214</v>
      </c>
    </row>
    <row r="109" spans="1:2">
      <c r="A109" s="2" t="s">
        <v>215</v>
      </c>
      <c r="B109" s="3" t="s">
        <v>216</v>
      </c>
    </row>
    <row r="110" spans="1:2">
      <c r="A110" s="2" t="s">
        <v>217</v>
      </c>
      <c r="B110" s="3" t="s">
        <v>218</v>
      </c>
    </row>
    <row r="111" spans="1:2">
      <c r="A111" s="2" t="s">
        <v>219</v>
      </c>
      <c r="B111" s="3" t="s">
        <v>220</v>
      </c>
    </row>
    <row r="112" spans="1:2">
      <c r="A112" s="2" t="s">
        <v>221</v>
      </c>
      <c r="B112" s="3" t="s">
        <v>222</v>
      </c>
    </row>
    <row r="113" spans="1:2">
      <c r="A113" s="2" t="s">
        <v>223</v>
      </c>
      <c r="B113" s="3" t="s">
        <v>224</v>
      </c>
    </row>
    <row r="114" spans="1:2">
      <c r="A114" s="2" t="s">
        <v>225</v>
      </c>
      <c r="B114" s="3" t="s">
        <v>226</v>
      </c>
    </row>
    <row r="115" spans="1:2">
      <c r="A115" s="2" t="s">
        <v>227</v>
      </c>
      <c r="B115" s="3" t="s">
        <v>228</v>
      </c>
    </row>
    <row r="116" spans="1:2">
      <c r="A116" s="2" t="s">
        <v>229</v>
      </c>
      <c r="B116" s="3" t="s">
        <v>230</v>
      </c>
    </row>
    <row r="117" spans="1:2">
      <c r="A117" s="2" t="s">
        <v>231</v>
      </c>
      <c r="B117" s="3" t="s">
        <v>232</v>
      </c>
    </row>
    <row r="118" spans="1:2">
      <c r="A118" s="2" t="s">
        <v>233</v>
      </c>
      <c r="B118" s="3" t="s">
        <v>234</v>
      </c>
    </row>
    <row r="119" spans="1:2">
      <c r="A119" s="2" t="s">
        <v>235</v>
      </c>
      <c r="B119" s="3" t="s">
        <v>236</v>
      </c>
    </row>
    <row r="120" spans="1:2">
      <c r="A120" s="2" t="s">
        <v>237</v>
      </c>
      <c r="B120" s="3" t="s">
        <v>238</v>
      </c>
    </row>
    <row r="121" spans="1:2">
      <c r="A121" s="2" t="s">
        <v>239</v>
      </c>
      <c r="B121" s="3" t="s">
        <v>240</v>
      </c>
    </row>
    <row r="122" spans="1:2">
      <c r="A122" s="2" t="s">
        <v>241</v>
      </c>
      <c r="B122" s="3" t="s">
        <v>242</v>
      </c>
    </row>
    <row r="123" spans="1:2">
      <c r="A123" s="2" t="s">
        <v>243</v>
      </c>
      <c r="B123" s="3" t="s">
        <v>244</v>
      </c>
    </row>
    <row r="124" spans="1:2">
      <c r="A124" s="2" t="s">
        <v>245</v>
      </c>
      <c r="B124" s="3" t="s">
        <v>246</v>
      </c>
    </row>
    <row r="125" spans="1:2">
      <c r="A125" s="2" t="s">
        <v>247</v>
      </c>
      <c r="B125" s="3" t="s">
        <v>248</v>
      </c>
    </row>
    <row r="126" spans="1:2">
      <c r="A126" s="2" t="s">
        <v>249</v>
      </c>
      <c r="B126" s="3" t="s">
        <v>250</v>
      </c>
    </row>
    <row r="127" spans="1:2">
      <c r="A127" s="2" t="s">
        <v>251</v>
      </c>
      <c r="B127" s="3" t="s">
        <v>252</v>
      </c>
    </row>
    <row r="128" spans="1:2">
      <c r="A128" s="2" t="s">
        <v>253</v>
      </c>
      <c r="B128" s="3" t="s">
        <v>254</v>
      </c>
    </row>
    <row r="129" spans="1:2">
      <c r="A129" s="2" t="s">
        <v>255</v>
      </c>
      <c r="B129" s="3" t="s">
        <v>256</v>
      </c>
    </row>
    <row r="130" spans="1:2">
      <c r="A130" s="2" t="s">
        <v>257</v>
      </c>
      <c r="B130" s="3" t="s">
        <v>258</v>
      </c>
    </row>
    <row r="131" spans="1:2">
      <c r="A131" s="2" t="s">
        <v>259</v>
      </c>
      <c r="B131" s="3" t="s">
        <v>260</v>
      </c>
    </row>
    <row r="132" spans="1:2">
      <c r="A132" s="2" t="s">
        <v>261</v>
      </c>
      <c r="B132" s="3" t="s">
        <v>262</v>
      </c>
    </row>
    <row r="133" spans="1:2">
      <c r="A133" s="2" t="s">
        <v>263</v>
      </c>
      <c r="B133" s="3" t="s">
        <v>264</v>
      </c>
    </row>
    <row r="134" spans="1:2">
      <c r="A134" s="2" t="s">
        <v>265</v>
      </c>
      <c r="B134" s="3" t="s">
        <v>266</v>
      </c>
    </row>
    <row r="135" spans="1:2">
      <c r="A135" s="2" t="s">
        <v>267</v>
      </c>
      <c r="B135" s="3" t="s">
        <v>268</v>
      </c>
    </row>
    <row r="136" spans="1:2">
      <c r="A136" s="2" t="s">
        <v>269</v>
      </c>
      <c r="B136" s="3" t="s">
        <v>270</v>
      </c>
    </row>
    <row r="137" spans="1:2">
      <c r="A137" s="2" t="s">
        <v>271</v>
      </c>
      <c r="B137" s="3" t="s">
        <v>272</v>
      </c>
    </row>
    <row r="138" spans="1:2">
      <c r="A138" s="2" t="s">
        <v>273</v>
      </c>
      <c r="B138" s="3" t="s">
        <v>274</v>
      </c>
    </row>
    <row r="139" spans="1:2">
      <c r="A139" s="2" t="s">
        <v>275</v>
      </c>
      <c r="B139" s="3" t="s">
        <v>276</v>
      </c>
    </row>
    <row r="140" spans="1:2">
      <c r="A140" s="2" t="s">
        <v>277</v>
      </c>
      <c r="B140" s="3" t="s">
        <v>278</v>
      </c>
    </row>
    <row r="141" spans="1:2">
      <c r="A141" s="2" t="s">
        <v>279</v>
      </c>
      <c r="B141" s="3" t="s">
        <v>280</v>
      </c>
    </row>
    <row r="142" spans="1:2">
      <c r="A142" s="2" t="s">
        <v>281</v>
      </c>
      <c r="B142" s="3" t="s">
        <v>282</v>
      </c>
    </row>
    <row r="143" spans="1:2">
      <c r="A143" s="2" t="s">
        <v>283</v>
      </c>
      <c r="B143" s="3" t="s">
        <v>284</v>
      </c>
    </row>
    <row r="144" spans="1:2">
      <c r="A144" s="2" t="s">
        <v>285</v>
      </c>
      <c r="B144" s="3" t="s">
        <v>286</v>
      </c>
    </row>
    <row r="145" spans="1:2">
      <c r="A145" s="2" t="s">
        <v>287</v>
      </c>
      <c r="B145" s="3" t="s">
        <v>288</v>
      </c>
    </row>
    <row r="146" spans="1:2">
      <c r="A146" s="2" t="s">
        <v>289</v>
      </c>
      <c r="B146" s="3" t="s">
        <v>290</v>
      </c>
    </row>
    <row r="147" spans="1:2">
      <c r="A147" s="2" t="s">
        <v>291</v>
      </c>
      <c r="B147" s="3" t="s">
        <v>292</v>
      </c>
    </row>
    <row r="148" spans="1:2">
      <c r="A148" s="2" t="s">
        <v>293</v>
      </c>
      <c r="B148" s="3" t="s">
        <v>294</v>
      </c>
    </row>
    <row r="149" spans="1:2">
      <c r="A149" s="2" t="s">
        <v>295</v>
      </c>
      <c r="B149" s="3" t="s">
        <v>296</v>
      </c>
    </row>
    <row r="150" spans="1:2">
      <c r="A150" s="2" t="s">
        <v>297</v>
      </c>
      <c r="B150" s="3" t="s">
        <v>298</v>
      </c>
    </row>
    <row r="151" spans="1:2">
      <c r="A151" s="2" t="s">
        <v>299</v>
      </c>
      <c r="B151" s="3" t="s">
        <v>300</v>
      </c>
    </row>
    <row r="152" spans="1:2">
      <c r="A152" s="2" t="s">
        <v>301</v>
      </c>
      <c r="B152" s="3" t="s">
        <v>302</v>
      </c>
    </row>
    <row r="153" spans="1:2">
      <c r="A153" s="2" t="s">
        <v>303</v>
      </c>
      <c r="B153" s="3" t="s">
        <v>304</v>
      </c>
    </row>
    <row r="154" spans="1:2">
      <c r="A154" s="2" t="s">
        <v>305</v>
      </c>
      <c r="B154" s="3" t="s">
        <v>306</v>
      </c>
    </row>
    <row r="155" spans="1:2">
      <c r="A155" s="2" t="s">
        <v>307</v>
      </c>
      <c r="B155" s="3" t="s">
        <v>308</v>
      </c>
    </row>
    <row r="156" spans="1:2">
      <c r="A156" s="2" t="s">
        <v>309</v>
      </c>
      <c r="B156" s="3" t="s">
        <v>310</v>
      </c>
    </row>
    <row r="157" spans="1:2">
      <c r="A157" s="2" t="s">
        <v>311</v>
      </c>
      <c r="B157" s="3" t="s">
        <v>312</v>
      </c>
    </row>
    <row r="158" spans="1:2">
      <c r="A158" s="2" t="s">
        <v>313</v>
      </c>
      <c r="B158" s="3" t="s">
        <v>314</v>
      </c>
    </row>
    <row r="159" spans="1:2">
      <c r="A159" s="2" t="s">
        <v>315</v>
      </c>
      <c r="B159" s="3" t="s">
        <v>316</v>
      </c>
    </row>
    <row r="160" spans="1:2">
      <c r="A160" s="2" t="s">
        <v>317</v>
      </c>
      <c r="B160" s="3" t="s">
        <v>318</v>
      </c>
    </row>
    <row r="161" spans="1:2">
      <c r="A161" s="2" t="s">
        <v>319</v>
      </c>
      <c r="B161" s="3" t="s">
        <v>320</v>
      </c>
    </row>
    <row r="162" spans="1:2">
      <c r="A162" s="2" t="s">
        <v>321</v>
      </c>
      <c r="B162" s="3" t="s">
        <v>322</v>
      </c>
    </row>
    <row r="163" spans="1:2">
      <c r="A163" s="2" t="s">
        <v>323</v>
      </c>
      <c r="B163" s="3" t="s">
        <v>324</v>
      </c>
    </row>
    <row r="164" spans="1:2">
      <c r="A164" s="2" t="s">
        <v>325</v>
      </c>
      <c r="B164" s="3" t="s">
        <v>326</v>
      </c>
    </row>
    <row r="165" spans="1:2">
      <c r="A165" s="2" t="s">
        <v>327</v>
      </c>
      <c r="B165" s="3" t="s">
        <v>328</v>
      </c>
    </row>
    <row r="166" spans="1:2">
      <c r="A166" s="2" t="s">
        <v>329</v>
      </c>
      <c r="B166" s="3" t="s">
        <v>330</v>
      </c>
    </row>
    <row r="167" spans="1:2">
      <c r="A167" s="2" t="s">
        <v>331</v>
      </c>
      <c r="B167" s="3" t="s">
        <v>332</v>
      </c>
    </row>
    <row r="168" spans="1:2">
      <c r="A168" s="2" t="s">
        <v>333</v>
      </c>
      <c r="B168" s="3" t="s">
        <v>334</v>
      </c>
    </row>
    <row r="169" spans="1:2">
      <c r="A169" s="2" t="s">
        <v>335</v>
      </c>
      <c r="B169" s="3" t="s">
        <v>336</v>
      </c>
    </row>
    <row r="170" spans="1:2">
      <c r="A170" s="2" t="s">
        <v>337</v>
      </c>
      <c r="B170" s="3" t="s">
        <v>338</v>
      </c>
    </row>
    <row r="171" spans="1:2">
      <c r="A171" s="2" t="s">
        <v>339</v>
      </c>
      <c r="B171" s="3" t="s">
        <v>340</v>
      </c>
    </row>
    <row r="172" spans="1:2">
      <c r="A172" s="2" t="s">
        <v>341</v>
      </c>
      <c r="B172" s="3" t="s">
        <v>342</v>
      </c>
    </row>
    <row r="173" spans="1:2">
      <c r="A173" s="2" t="s">
        <v>343</v>
      </c>
      <c r="B173" s="3" t="s">
        <v>344</v>
      </c>
    </row>
    <row r="174" spans="1:2">
      <c r="A174" s="2" t="s">
        <v>345</v>
      </c>
      <c r="B174" s="3" t="s">
        <v>346</v>
      </c>
    </row>
    <row r="175" spans="1:2">
      <c r="A175" s="2" t="s">
        <v>347</v>
      </c>
      <c r="B175" s="3" t="s">
        <v>348</v>
      </c>
    </row>
    <row r="176" spans="1:2">
      <c r="A176" s="2" t="s">
        <v>349</v>
      </c>
      <c r="B176" s="3" t="s">
        <v>350</v>
      </c>
    </row>
    <row r="177" spans="1:2">
      <c r="A177" s="2" t="s">
        <v>351</v>
      </c>
      <c r="B177" s="3" t="s">
        <v>352</v>
      </c>
    </row>
    <row r="178" spans="1:2">
      <c r="A178" s="2" t="s">
        <v>353</v>
      </c>
      <c r="B178" s="3" t="s">
        <v>354</v>
      </c>
    </row>
    <row r="179" spans="1:2">
      <c r="A179" s="2" t="s">
        <v>355</v>
      </c>
      <c r="B179" s="3" t="s">
        <v>356</v>
      </c>
    </row>
    <row r="180" spans="1:2">
      <c r="A180" s="2" t="s">
        <v>357</v>
      </c>
      <c r="B180" s="3" t="s">
        <v>358</v>
      </c>
    </row>
    <row r="181" spans="1:2">
      <c r="A181" s="2" t="s">
        <v>359</v>
      </c>
      <c r="B181" s="3" t="s">
        <v>360</v>
      </c>
    </row>
    <row r="182" spans="1:2">
      <c r="A182" s="2" t="s">
        <v>361</v>
      </c>
      <c r="B182" s="3" t="s">
        <v>362</v>
      </c>
    </row>
    <row r="183" spans="1:2">
      <c r="A183" s="2" t="s">
        <v>363</v>
      </c>
      <c r="B183" s="3" t="s">
        <v>364</v>
      </c>
    </row>
    <row r="184" spans="1:2">
      <c r="A184" s="2" t="s">
        <v>365</v>
      </c>
      <c r="B184" s="3" t="s">
        <v>366</v>
      </c>
    </row>
    <row r="185" spans="1:2">
      <c r="A185" s="2" t="s">
        <v>367</v>
      </c>
      <c r="B185" s="3" t="s">
        <v>368</v>
      </c>
    </row>
    <row r="186" spans="1:2">
      <c r="A186" s="2" t="s">
        <v>369</v>
      </c>
      <c r="B186" s="3" t="s">
        <v>370</v>
      </c>
    </row>
    <row r="187" spans="1:2">
      <c r="A187" s="2" t="s">
        <v>371</v>
      </c>
      <c r="B187" s="3" t="s">
        <v>372</v>
      </c>
    </row>
    <row r="188" spans="1:2">
      <c r="A188" s="2" t="s">
        <v>373</v>
      </c>
      <c r="B188" s="3" t="s">
        <v>374</v>
      </c>
    </row>
    <row r="189" spans="1:2">
      <c r="A189" s="2" t="s">
        <v>375</v>
      </c>
      <c r="B189" s="3" t="s">
        <v>376</v>
      </c>
    </row>
    <row r="190" spans="1:2">
      <c r="A190" s="2" t="s">
        <v>377</v>
      </c>
      <c r="B190" s="3" t="s">
        <v>378</v>
      </c>
    </row>
    <row r="191" spans="1:2">
      <c r="A191" s="2" t="s">
        <v>379</v>
      </c>
      <c r="B191" s="3" t="s">
        <v>380</v>
      </c>
    </row>
    <row r="192" spans="1:2">
      <c r="A192" s="2" t="s">
        <v>381</v>
      </c>
      <c r="B192" s="3" t="s">
        <v>382</v>
      </c>
    </row>
    <row r="193" spans="1:2">
      <c r="A193" s="2" t="s">
        <v>383</v>
      </c>
      <c r="B193" s="3" t="s">
        <v>384</v>
      </c>
    </row>
    <row r="194" spans="1:2">
      <c r="A194" s="2" t="s">
        <v>385</v>
      </c>
      <c r="B194" s="3" t="s">
        <v>386</v>
      </c>
    </row>
    <row r="195" spans="1:2">
      <c r="A195" s="2" t="s">
        <v>387</v>
      </c>
      <c r="B195" s="3" t="s">
        <v>388</v>
      </c>
    </row>
    <row r="196" spans="1:2">
      <c r="A196" s="2" t="s">
        <v>389</v>
      </c>
      <c r="B196" s="3" t="s">
        <v>390</v>
      </c>
    </row>
    <row r="197" spans="1:2">
      <c r="A197" s="2" t="s">
        <v>391</v>
      </c>
      <c r="B197" s="3" t="s">
        <v>392</v>
      </c>
    </row>
    <row r="198" spans="1:2">
      <c r="A198" s="2" t="s">
        <v>393</v>
      </c>
      <c r="B198" s="3" t="s">
        <v>394</v>
      </c>
    </row>
    <row r="199" spans="1:2">
      <c r="A199" s="2" t="s">
        <v>395</v>
      </c>
      <c r="B199" s="3" t="s">
        <v>396</v>
      </c>
    </row>
    <row r="200" spans="1:2">
      <c r="A200" s="2" t="s">
        <v>397</v>
      </c>
      <c r="B200" s="3" t="s">
        <v>398</v>
      </c>
    </row>
    <row r="201" spans="1:2">
      <c r="A201" s="2" t="s">
        <v>399</v>
      </c>
      <c r="B201" s="3" t="s">
        <v>400</v>
      </c>
    </row>
    <row r="202" spans="1:2">
      <c r="A202" s="2" t="s">
        <v>401</v>
      </c>
      <c r="B202" s="3" t="s">
        <v>402</v>
      </c>
    </row>
    <row r="203" spans="1:2">
      <c r="A203" s="2" t="s">
        <v>403</v>
      </c>
      <c r="B203" s="3" t="s">
        <v>404</v>
      </c>
    </row>
    <row r="204" spans="1:2">
      <c r="A204" s="2" t="s">
        <v>405</v>
      </c>
      <c r="B204" s="3" t="s">
        <v>406</v>
      </c>
    </row>
    <row r="205" spans="1:2">
      <c r="A205" s="2" t="s">
        <v>407</v>
      </c>
      <c r="B205" s="3" t="s">
        <v>408</v>
      </c>
    </row>
    <row r="206" spans="1:2">
      <c r="A206" s="2" t="s">
        <v>409</v>
      </c>
      <c r="B206" s="3" t="s">
        <v>410</v>
      </c>
    </row>
    <row r="207" spans="1:2">
      <c r="A207" s="2" t="s">
        <v>411</v>
      </c>
      <c r="B207" s="3" t="s">
        <v>412</v>
      </c>
    </row>
    <row r="208" spans="1:2">
      <c r="A208" s="2" t="s">
        <v>413</v>
      </c>
      <c r="B208" s="3" t="s">
        <v>414</v>
      </c>
    </row>
    <row r="209" spans="1:2">
      <c r="A209" s="2" t="s">
        <v>415</v>
      </c>
      <c r="B209" s="3" t="s">
        <v>416</v>
      </c>
    </row>
    <row r="210" spans="1:2">
      <c r="A210" s="2" t="s">
        <v>417</v>
      </c>
      <c r="B210" s="3" t="s">
        <v>418</v>
      </c>
    </row>
    <row r="211" spans="1:2">
      <c r="A211" s="2" t="s">
        <v>419</v>
      </c>
      <c r="B211" s="3" t="s">
        <v>420</v>
      </c>
    </row>
    <row r="212" spans="1:2">
      <c r="A212" s="2" t="s">
        <v>421</v>
      </c>
      <c r="B212" s="3" t="s">
        <v>422</v>
      </c>
    </row>
    <row r="213" spans="1:2">
      <c r="A213" s="2" t="s">
        <v>423</v>
      </c>
      <c r="B213" s="3" t="s">
        <v>424</v>
      </c>
    </row>
    <row r="214" spans="1:2">
      <c r="A214" s="2" t="s">
        <v>425</v>
      </c>
      <c r="B214" s="3" t="s">
        <v>426</v>
      </c>
    </row>
    <row r="215" spans="1:2">
      <c r="A215" s="2" t="s">
        <v>427</v>
      </c>
      <c r="B215" s="3" t="s">
        <v>428</v>
      </c>
    </row>
    <row r="216" spans="1:2">
      <c r="A216" s="2" t="s">
        <v>429</v>
      </c>
      <c r="B216" s="3" t="s">
        <v>430</v>
      </c>
    </row>
    <row r="217" spans="1:2">
      <c r="A217" s="2" t="s">
        <v>431</v>
      </c>
      <c r="B217" s="3" t="s">
        <v>432</v>
      </c>
    </row>
    <row r="218" spans="1:2">
      <c r="A218" s="2" t="s">
        <v>433</v>
      </c>
      <c r="B218" s="3" t="s">
        <v>434</v>
      </c>
    </row>
    <row r="219" spans="1:2">
      <c r="A219" s="2" t="s">
        <v>435</v>
      </c>
      <c r="B219" s="3" t="s">
        <v>436</v>
      </c>
    </row>
    <row r="220" spans="1:2">
      <c r="A220" s="2" t="s">
        <v>437</v>
      </c>
      <c r="B220" s="3" t="s">
        <v>438</v>
      </c>
    </row>
    <row r="221" spans="1:2">
      <c r="A221" s="2" t="s">
        <v>439</v>
      </c>
      <c r="B221" s="3" t="s">
        <v>440</v>
      </c>
    </row>
    <row r="222" spans="1:2">
      <c r="A222" s="2" t="s">
        <v>441</v>
      </c>
      <c r="B222" s="3" t="s">
        <v>442</v>
      </c>
    </row>
    <row r="223" spans="1:2">
      <c r="A223" s="2" t="s">
        <v>443</v>
      </c>
      <c r="B223" s="3" t="s">
        <v>444</v>
      </c>
    </row>
    <row r="224" spans="1:2">
      <c r="A224" s="2" t="s">
        <v>445</v>
      </c>
      <c r="B224" s="3" t="s">
        <v>446</v>
      </c>
    </row>
    <row r="225" spans="1:2">
      <c r="A225" s="2" t="s">
        <v>447</v>
      </c>
      <c r="B225" s="3" t="s">
        <v>448</v>
      </c>
    </row>
    <row r="226" spans="1:2">
      <c r="A226" s="2" t="s">
        <v>449</v>
      </c>
      <c r="B226" s="3" t="s">
        <v>450</v>
      </c>
    </row>
    <row r="227" spans="1:2">
      <c r="A227" s="2" t="s">
        <v>451</v>
      </c>
      <c r="B227" s="3" t="s">
        <v>452</v>
      </c>
    </row>
    <row r="228" spans="1:2">
      <c r="A228" s="2" t="s">
        <v>453</v>
      </c>
      <c r="B228" s="3" t="s">
        <v>454</v>
      </c>
    </row>
    <row r="229" spans="1:2">
      <c r="A229" s="2" t="s">
        <v>455</v>
      </c>
      <c r="B229" s="3" t="s">
        <v>456</v>
      </c>
    </row>
    <row r="230" spans="1:2">
      <c r="A230" s="2" t="s">
        <v>457</v>
      </c>
      <c r="B230" s="3" t="s">
        <v>458</v>
      </c>
    </row>
    <row r="231" spans="1:2">
      <c r="A231" s="2" t="s">
        <v>459</v>
      </c>
      <c r="B231" s="3" t="s">
        <v>460</v>
      </c>
    </row>
    <row r="232" spans="1:2">
      <c r="A232" s="2" t="s">
        <v>461</v>
      </c>
      <c r="B232" s="3" t="s">
        <v>462</v>
      </c>
    </row>
    <row r="233" spans="1:2">
      <c r="A233" s="2" t="s">
        <v>463</v>
      </c>
      <c r="B233" s="3" t="s">
        <v>464</v>
      </c>
    </row>
    <row r="234" spans="1:2">
      <c r="A234" s="2" t="s">
        <v>465</v>
      </c>
      <c r="B234" s="3" t="s">
        <v>466</v>
      </c>
    </row>
    <row r="235" spans="1:2">
      <c r="A235" s="2" t="s">
        <v>467</v>
      </c>
      <c r="B235" s="3" t="s">
        <v>468</v>
      </c>
    </row>
    <row r="236" spans="1:2">
      <c r="A236" s="2" t="s">
        <v>469</v>
      </c>
      <c r="B236" s="3" t="s">
        <v>470</v>
      </c>
    </row>
    <row r="237" spans="1:2">
      <c r="A237" s="2" t="s">
        <v>471</v>
      </c>
      <c r="B237" s="3" t="s">
        <v>472</v>
      </c>
    </row>
    <row r="238" spans="1:2">
      <c r="A238" s="2" t="s">
        <v>473</v>
      </c>
      <c r="B238" s="3" t="s">
        <v>474</v>
      </c>
    </row>
    <row r="239" spans="1:2">
      <c r="A239" s="2" t="s">
        <v>475</v>
      </c>
      <c r="B239" s="3" t="s">
        <v>476</v>
      </c>
    </row>
    <row r="240" spans="1:2">
      <c r="A240" s="2" t="s">
        <v>477</v>
      </c>
      <c r="B240" s="3" t="s">
        <v>478</v>
      </c>
    </row>
    <row r="241" spans="1:2">
      <c r="A241" s="2" t="s">
        <v>479</v>
      </c>
      <c r="B241" s="3" t="s">
        <v>480</v>
      </c>
    </row>
    <row r="242" spans="1:2">
      <c r="A242" s="2" t="s">
        <v>481</v>
      </c>
      <c r="B242" s="3" t="s">
        <v>482</v>
      </c>
    </row>
    <row r="243" spans="1:2">
      <c r="A243" s="2" t="s">
        <v>483</v>
      </c>
      <c r="B243" s="3" t="s">
        <v>484</v>
      </c>
    </row>
    <row r="244" spans="1:2">
      <c r="A244" s="2" t="s">
        <v>485</v>
      </c>
      <c r="B244" s="3" t="s">
        <v>486</v>
      </c>
    </row>
    <row r="245" spans="1:2">
      <c r="A245" s="2" t="s">
        <v>487</v>
      </c>
      <c r="B245" s="3" t="s">
        <v>488</v>
      </c>
    </row>
    <row r="246" spans="1:2">
      <c r="A246" s="2" t="s">
        <v>489</v>
      </c>
      <c r="B246" s="3" t="s">
        <v>490</v>
      </c>
    </row>
    <row r="247" spans="1:2">
      <c r="A247" s="2" t="s">
        <v>491</v>
      </c>
      <c r="B247" s="3" t="s">
        <v>492</v>
      </c>
    </row>
    <row r="248" spans="1:2">
      <c r="A248" s="2" t="s">
        <v>493</v>
      </c>
      <c r="B248" s="3" t="s">
        <v>494</v>
      </c>
    </row>
    <row r="249" spans="1:2">
      <c r="A249" s="2" t="s">
        <v>495</v>
      </c>
      <c r="B249" s="3" t="s">
        <v>496</v>
      </c>
    </row>
    <row r="250" spans="1:2">
      <c r="A250" s="2" t="s">
        <v>497</v>
      </c>
      <c r="B250" s="3" t="s">
        <v>498</v>
      </c>
    </row>
    <row r="251" spans="1:2">
      <c r="A251" s="2" t="s">
        <v>499</v>
      </c>
      <c r="B251" s="3" t="s">
        <v>500</v>
      </c>
    </row>
    <row r="252" spans="1:2">
      <c r="A252" s="2" t="s">
        <v>501</v>
      </c>
      <c r="B252" s="3" t="s">
        <v>502</v>
      </c>
    </row>
    <row r="253" spans="1:2">
      <c r="A253" s="2" t="s">
        <v>503</v>
      </c>
      <c r="B253" s="3" t="s">
        <v>504</v>
      </c>
    </row>
    <row r="254" spans="1:2">
      <c r="A254" s="2" t="s">
        <v>505</v>
      </c>
      <c r="B254" s="3" t="s">
        <v>506</v>
      </c>
    </row>
    <row r="255" spans="1:2">
      <c r="A255" s="2" t="s">
        <v>507</v>
      </c>
      <c r="B255" s="3" t="s">
        <v>508</v>
      </c>
    </row>
    <row r="256" spans="1:2">
      <c r="A256" s="2" t="s">
        <v>509</v>
      </c>
      <c r="B256" s="3" t="s">
        <v>510</v>
      </c>
    </row>
    <row r="257" spans="1:2">
      <c r="A257" s="2" t="s">
        <v>511</v>
      </c>
      <c r="B257" s="3" t="s">
        <v>512</v>
      </c>
    </row>
    <row r="258" spans="1:2">
      <c r="A258" s="2" t="s">
        <v>513</v>
      </c>
      <c r="B258" s="3" t="s">
        <v>514</v>
      </c>
    </row>
    <row r="259" spans="1:2">
      <c r="A259" s="2" t="s">
        <v>515</v>
      </c>
      <c r="B259" s="3" t="s">
        <v>516</v>
      </c>
    </row>
    <row r="260" spans="1:2">
      <c r="A260" s="2" t="s">
        <v>517</v>
      </c>
      <c r="B260" s="3" t="s">
        <v>518</v>
      </c>
    </row>
    <row r="261" spans="1:2">
      <c r="A261" s="2" t="s">
        <v>519</v>
      </c>
      <c r="B261" s="3" t="s">
        <v>520</v>
      </c>
    </row>
    <row r="262" spans="1:2">
      <c r="A262" s="2" t="s">
        <v>521</v>
      </c>
      <c r="B262" s="3" t="s">
        <v>522</v>
      </c>
    </row>
    <row r="263" spans="1:2">
      <c r="A263" s="2" t="s">
        <v>523</v>
      </c>
      <c r="B263" s="3" t="s">
        <v>524</v>
      </c>
    </row>
    <row r="264" spans="1:2">
      <c r="A264" s="2" t="s">
        <v>525</v>
      </c>
      <c r="B264" s="3" t="s">
        <v>526</v>
      </c>
    </row>
    <row r="265" spans="1:2">
      <c r="A265" s="2" t="s">
        <v>527</v>
      </c>
      <c r="B265" s="3" t="s">
        <v>528</v>
      </c>
    </row>
    <row r="266" spans="1:2">
      <c r="A266" s="2" t="s">
        <v>529</v>
      </c>
      <c r="B266" s="3" t="s">
        <v>530</v>
      </c>
    </row>
    <row r="267" spans="1:2">
      <c r="A267" s="2" t="s">
        <v>531</v>
      </c>
      <c r="B267" s="3" t="s">
        <v>532</v>
      </c>
    </row>
    <row r="268" spans="1:2">
      <c r="A268" s="2" t="s">
        <v>533</v>
      </c>
      <c r="B268" s="3" t="s">
        <v>534</v>
      </c>
    </row>
    <row r="269" spans="1:2">
      <c r="A269" s="2" t="s">
        <v>535</v>
      </c>
      <c r="B269" s="3" t="s">
        <v>536</v>
      </c>
    </row>
    <row r="270" spans="1:2">
      <c r="A270" s="2" t="s">
        <v>537</v>
      </c>
      <c r="B270" s="3" t="s">
        <v>538</v>
      </c>
    </row>
    <row r="271" spans="1:2">
      <c r="A271" s="2" t="s">
        <v>539</v>
      </c>
      <c r="B271" s="3" t="s">
        <v>540</v>
      </c>
    </row>
    <row r="272" spans="1:2">
      <c r="A272" s="2" t="s">
        <v>541</v>
      </c>
      <c r="B272" s="3" t="s">
        <v>542</v>
      </c>
    </row>
    <row r="273" spans="1:2">
      <c r="A273" s="2" t="s">
        <v>543</v>
      </c>
      <c r="B273" s="3" t="s">
        <v>544</v>
      </c>
    </row>
    <row r="274" spans="1:2">
      <c r="A274" s="2" t="s">
        <v>545</v>
      </c>
      <c r="B274" s="3" t="s">
        <v>546</v>
      </c>
    </row>
    <row r="275" spans="1:2">
      <c r="A275" s="2" t="s">
        <v>547</v>
      </c>
      <c r="B275" s="3" t="s">
        <v>548</v>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 xmlns:r="http://schemas.openxmlformats.org/officeDocument/2006/relationships" ref="A148" r:id="rId147"/>
    <hyperlink xmlns:r="http://schemas.openxmlformats.org/officeDocument/2006/relationships" ref="A149" r:id="rId148"/>
    <hyperlink xmlns:r="http://schemas.openxmlformats.org/officeDocument/2006/relationships" ref="A150" r:id="rId149"/>
    <hyperlink xmlns:r="http://schemas.openxmlformats.org/officeDocument/2006/relationships" ref="A151" r:id="rId150"/>
    <hyperlink xmlns:r="http://schemas.openxmlformats.org/officeDocument/2006/relationships" ref="A152" r:id="rId151"/>
    <hyperlink xmlns:r="http://schemas.openxmlformats.org/officeDocument/2006/relationships" ref="A153" r:id="rId152"/>
    <hyperlink xmlns:r="http://schemas.openxmlformats.org/officeDocument/2006/relationships" ref="A154" r:id="rId153"/>
    <hyperlink xmlns:r="http://schemas.openxmlformats.org/officeDocument/2006/relationships" ref="A155" r:id="rId154"/>
    <hyperlink xmlns:r="http://schemas.openxmlformats.org/officeDocument/2006/relationships" ref="A156" r:id="rId155"/>
    <hyperlink xmlns:r="http://schemas.openxmlformats.org/officeDocument/2006/relationships" ref="A157" r:id="rId156"/>
    <hyperlink xmlns:r="http://schemas.openxmlformats.org/officeDocument/2006/relationships" ref="A158" r:id="rId157"/>
    <hyperlink xmlns:r="http://schemas.openxmlformats.org/officeDocument/2006/relationships" ref="A159" r:id="rId158"/>
    <hyperlink xmlns:r="http://schemas.openxmlformats.org/officeDocument/2006/relationships" ref="A160" r:id="rId159"/>
    <hyperlink xmlns:r="http://schemas.openxmlformats.org/officeDocument/2006/relationships" ref="A161" r:id="rId160"/>
    <hyperlink xmlns:r="http://schemas.openxmlformats.org/officeDocument/2006/relationships" ref="A162" r:id="rId161"/>
    <hyperlink xmlns:r="http://schemas.openxmlformats.org/officeDocument/2006/relationships" ref="A163" r:id="rId162"/>
    <hyperlink xmlns:r="http://schemas.openxmlformats.org/officeDocument/2006/relationships" ref="A164" r:id="rId163"/>
    <hyperlink xmlns:r="http://schemas.openxmlformats.org/officeDocument/2006/relationships" ref="A165" r:id="rId164"/>
    <hyperlink xmlns:r="http://schemas.openxmlformats.org/officeDocument/2006/relationships" ref="A166" r:id="rId165"/>
    <hyperlink xmlns:r="http://schemas.openxmlformats.org/officeDocument/2006/relationships" ref="A167" r:id="rId166"/>
    <hyperlink xmlns:r="http://schemas.openxmlformats.org/officeDocument/2006/relationships" ref="A168" r:id="rId167"/>
    <hyperlink xmlns:r="http://schemas.openxmlformats.org/officeDocument/2006/relationships" ref="A169" r:id="rId168"/>
    <hyperlink xmlns:r="http://schemas.openxmlformats.org/officeDocument/2006/relationships" ref="A170" r:id="rId169"/>
    <hyperlink xmlns:r="http://schemas.openxmlformats.org/officeDocument/2006/relationships" ref="A171" r:id="rId170"/>
    <hyperlink xmlns:r="http://schemas.openxmlformats.org/officeDocument/2006/relationships" ref="A172" r:id="rId171"/>
    <hyperlink xmlns:r="http://schemas.openxmlformats.org/officeDocument/2006/relationships" ref="A173" r:id="rId172"/>
    <hyperlink xmlns:r="http://schemas.openxmlformats.org/officeDocument/2006/relationships" ref="A174" r:id="rId173"/>
    <hyperlink xmlns:r="http://schemas.openxmlformats.org/officeDocument/2006/relationships" ref="A175" r:id="rId174"/>
    <hyperlink xmlns:r="http://schemas.openxmlformats.org/officeDocument/2006/relationships" ref="A176" r:id="rId175"/>
    <hyperlink xmlns:r="http://schemas.openxmlformats.org/officeDocument/2006/relationships" ref="A177" r:id="rId176"/>
    <hyperlink xmlns:r="http://schemas.openxmlformats.org/officeDocument/2006/relationships" ref="A178" r:id="rId177"/>
    <hyperlink xmlns:r="http://schemas.openxmlformats.org/officeDocument/2006/relationships" ref="A179" r:id="rId178"/>
    <hyperlink xmlns:r="http://schemas.openxmlformats.org/officeDocument/2006/relationships" ref="A180" r:id="rId179"/>
    <hyperlink xmlns:r="http://schemas.openxmlformats.org/officeDocument/2006/relationships" ref="A181" r:id="rId180"/>
    <hyperlink xmlns:r="http://schemas.openxmlformats.org/officeDocument/2006/relationships" ref="A182" r:id="rId181"/>
    <hyperlink xmlns:r="http://schemas.openxmlformats.org/officeDocument/2006/relationships" ref="A183" r:id="rId182"/>
    <hyperlink xmlns:r="http://schemas.openxmlformats.org/officeDocument/2006/relationships" ref="A184" r:id="rId183"/>
    <hyperlink xmlns:r="http://schemas.openxmlformats.org/officeDocument/2006/relationships" ref="A185" r:id="rId184"/>
    <hyperlink xmlns:r="http://schemas.openxmlformats.org/officeDocument/2006/relationships" ref="A186" r:id="rId185"/>
    <hyperlink xmlns:r="http://schemas.openxmlformats.org/officeDocument/2006/relationships" ref="A187" r:id="rId186"/>
    <hyperlink xmlns:r="http://schemas.openxmlformats.org/officeDocument/2006/relationships" ref="A188" r:id="rId187"/>
    <hyperlink xmlns:r="http://schemas.openxmlformats.org/officeDocument/2006/relationships" ref="A189" r:id="rId188"/>
    <hyperlink xmlns:r="http://schemas.openxmlformats.org/officeDocument/2006/relationships" ref="A190" r:id="rId189"/>
    <hyperlink xmlns:r="http://schemas.openxmlformats.org/officeDocument/2006/relationships" ref="A191" r:id="rId190"/>
    <hyperlink xmlns:r="http://schemas.openxmlformats.org/officeDocument/2006/relationships" ref="A192" r:id="rId191"/>
    <hyperlink xmlns:r="http://schemas.openxmlformats.org/officeDocument/2006/relationships" ref="A193" r:id="rId192"/>
    <hyperlink xmlns:r="http://schemas.openxmlformats.org/officeDocument/2006/relationships" ref="A194" r:id="rId193"/>
    <hyperlink xmlns:r="http://schemas.openxmlformats.org/officeDocument/2006/relationships" ref="A195" r:id="rId194"/>
    <hyperlink xmlns:r="http://schemas.openxmlformats.org/officeDocument/2006/relationships" ref="A196" r:id="rId195"/>
    <hyperlink xmlns:r="http://schemas.openxmlformats.org/officeDocument/2006/relationships" ref="A197" r:id="rId196"/>
    <hyperlink xmlns:r="http://schemas.openxmlformats.org/officeDocument/2006/relationships" ref="A198" r:id="rId197"/>
    <hyperlink xmlns:r="http://schemas.openxmlformats.org/officeDocument/2006/relationships" ref="A199" r:id="rId198"/>
    <hyperlink xmlns:r="http://schemas.openxmlformats.org/officeDocument/2006/relationships" ref="A200" r:id="rId199"/>
    <hyperlink xmlns:r="http://schemas.openxmlformats.org/officeDocument/2006/relationships" ref="A201" r:id="rId200"/>
    <hyperlink xmlns:r="http://schemas.openxmlformats.org/officeDocument/2006/relationships" ref="A202" r:id="rId201"/>
    <hyperlink xmlns:r="http://schemas.openxmlformats.org/officeDocument/2006/relationships" ref="A203" r:id="rId202"/>
    <hyperlink xmlns:r="http://schemas.openxmlformats.org/officeDocument/2006/relationships" ref="A204" r:id="rId203"/>
    <hyperlink xmlns:r="http://schemas.openxmlformats.org/officeDocument/2006/relationships" ref="A205" r:id="rId204"/>
    <hyperlink xmlns:r="http://schemas.openxmlformats.org/officeDocument/2006/relationships" ref="A206" r:id="rId205"/>
    <hyperlink xmlns:r="http://schemas.openxmlformats.org/officeDocument/2006/relationships" ref="A207" r:id="rId206"/>
    <hyperlink xmlns:r="http://schemas.openxmlformats.org/officeDocument/2006/relationships" ref="A208" r:id="rId207"/>
    <hyperlink xmlns:r="http://schemas.openxmlformats.org/officeDocument/2006/relationships" ref="A209" r:id="rId208"/>
    <hyperlink xmlns:r="http://schemas.openxmlformats.org/officeDocument/2006/relationships" ref="A210" r:id="rId209"/>
    <hyperlink xmlns:r="http://schemas.openxmlformats.org/officeDocument/2006/relationships" ref="A211" r:id="rId210"/>
    <hyperlink xmlns:r="http://schemas.openxmlformats.org/officeDocument/2006/relationships" ref="A212" r:id="rId211"/>
    <hyperlink xmlns:r="http://schemas.openxmlformats.org/officeDocument/2006/relationships" ref="A213" r:id="rId212"/>
    <hyperlink xmlns:r="http://schemas.openxmlformats.org/officeDocument/2006/relationships" ref="A214" r:id="rId213"/>
    <hyperlink xmlns:r="http://schemas.openxmlformats.org/officeDocument/2006/relationships" ref="A215" r:id="rId214"/>
    <hyperlink xmlns:r="http://schemas.openxmlformats.org/officeDocument/2006/relationships" ref="A216" r:id="rId215"/>
    <hyperlink xmlns:r="http://schemas.openxmlformats.org/officeDocument/2006/relationships" ref="A217" r:id="rId216"/>
    <hyperlink xmlns:r="http://schemas.openxmlformats.org/officeDocument/2006/relationships" ref="A218" r:id="rId217"/>
    <hyperlink xmlns:r="http://schemas.openxmlformats.org/officeDocument/2006/relationships" ref="A219" r:id="rId218"/>
    <hyperlink xmlns:r="http://schemas.openxmlformats.org/officeDocument/2006/relationships" ref="A220" r:id="rId219"/>
    <hyperlink xmlns:r="http://schemas.openxmlformats.org/officeDocument/2006/relationships" ref="A221" r:id="rId220"/>
    <hyperlink xmlns:r="http://schemas.openxmlformats.org/officeDocument/2006/relationships" ref="A222" r:id="rId221"/>
    <hyperlink xmlns:r="http://schemas.openxmlformats.org/officeDocument/2006/relationships" ref="A223" r:id="rId222"/>
    <hyperlink xmlns:r="http://schemas.openxmlformats.org/officeDocument/2006/relationships" ref="A224" r:id="rId223"/>
    <hyperlink xmlns:r="http://schemas.openxmlformats.org/officeDocument/2006/relationships" ref="A225" r:id="rId224"/>
    <hyperlink xmlns:r="http://schemas.openxmlformats.org/officeDocument/2006/relationships" ref="A226" r:id="rId225"/>
    <hyperlink xmlns:r="http://schemas.openxmlformats.org/officeDocument/2006/relationships" ref="A227" r:id="rId226"/>
    <hyperlink xmlns:r="http://schemas.openxmlformats.org/officeDocument/2006/relationships" ref="A228" r:id="rId227"/>
    <hyperlink xmlns:r="http://schemas.openxmlformats.org/officeDocument/2006/relationships" ref="A229" r:id="rId228"/>
    <hyperlink xmlns:r="http://schemas.openxmlformats.org/officeDocument/2006/relationships" ref="A230" r:id="rId229"/>
    <hyperlink xmlns:r="http://schemas.openxmlformats.org/officeDocument/2006/relationships" ref="A231" r:id="rId230"/>
    <hyperlink xmlns:r="http://schemas.openxmlformats.org/officeDocument/2006/relationships" ref="A232" r:id="rId231"/>
    <hyperlink xmlns:r="http://schemas.openxmlformats.org/officeDocument/2006/relationships" ref="A233" r:id="rId232"/>
    <hyperlink xmlns:r="http://schemas.openxmlformats.org/officeDocument/2006/relationships" ref="A234" r:id="rId233"/>
    <hyperlink xmlns:r="http://schemas.openxmlformats.org/officeDocument/2006/relationships" ref="A235" r:id="rId234"/>
    <hyperlink xmlns:r="http://schemas.openxmlformats.org/officeDocument/2006/relationships" ref="A236" r:id="rId235"/>
    <hyperlink xmlns:r="http://schemas.openxmlformats.org/officeDocument/2006/relationships" ref="A237" r:id="rId236"/>
    <hyperlink xmlns:r="http://schemas.openxmlformats.org/officeDocument/2006/relationships" ref="A238" r:id="rId237"/>
    <hyperlink xmlns:r="http://schemas.openxmlformats.org/officeDocument/2006/relationships" ref="A239" r:id="rId238"/>
    <hyperlink xmlns:r="http://schemas.openxmlformats.org/officeDocument/2006/relationships" ref="A240" r:id="rId239"/>
    <hyperlink xmlns:r="http://schemas.openxmlformats.org/officeDocument/2006/relationships" ref="A241" r:id="rId240"/>
    <hyperlink xmlns:r="http://schemas.openxmlformats.org/officeDocument/2006/relationships" ref="A242" r:id="rId241"/>
    <hyperlink xmlns:r="http://schemas.openxmlformats.org/officeDocument/2006/relationships" ref="A243" r:id="rId242"/>
    <hyperlink xmlns:r="http://schemas.openxmlformats.org/officeDocument/2006/relationships" ref="A244" r:id="rId243"/>
    <hyperlink xmlns:r="http://schemas.openxmlformats.org/officeDocument/2006/relationships" ref="A245" r:id="rId244"/>
    <hyperlink xmlns:r="http://schemas.openxmlformats.org/officeDocument/2006/relationships" ref="A246" r:id="rId245"/>
    <hyperlink xmlns:r="http://schemas.openxmlformats.org/officeDocument/2006/relationships" ref="A247" r:id="rId246"/>
    <hyperlink xmlns:r="http://schemas.openxmlformats.org/officeDocument/2006/relationships" ref="A248" r:id="rId247"/>
    <hyperlink xmlns:r="http://schemas.openxmlformats.org/officeDocument/2006/relationships" ref="A249" r:id="rId248"/>
    <hyperlink xmlns:r="http://schemas.openxmlformats.org/officeDocument/2006/relationships" ref="A250" r:id="rId249"/>
    <hyperlink xmlns:r="http://schemas.openxmlformats.org/officeDocument/2006/relationships" ref="A251" r:id="rId250"/>
    <hyperlink xmlns:r="http://schemas.openxmlformats.org/officeDocument/2006/relationships" ref="A252" r:id="rId251"/>
    <hyperlink xmlns:r="http://schemas.openxmlformats.org/officeDocument/2006/relationships" ref="A253" r:id="rId252"/>
    <hyperlink xmlns:r="http://schemas.openxmlformats.org/officeDocument/2006/relationships" ref="A254" r:id="rId253"/>
    <hyperlink xmlns:r="http://schemas.openxmlformats.org/officeDocument/2006/relationships" ref="A255" r:id="rId254"/>
    <hyperlink xmlns:r="http://schemas.openxmlformats.org/officeDocument/2006/relationships" ref="A256" r:id="rId255"/>
    <hyperlink xmlns:r="http://schemas.openxmlformats.org/officeDocument/2006/relationships" ref="A257" r:id="rId256"/>
    <hyperlink xmlns:r="http://schemas.openxmlformats.org/officeDocument/2006/relationships" ref="A258" r:id="rId257"/>
    <hyperlink xmlns:r="http://schemas.openxmlformats.org/officeDocument/2006/relationships" ref="A259" r:id="rId258"/>
    <hyperlink xmlns:r="http://schemas.openxmlformats.org/officeDocument/2006/relationships" ref="A260" r:id="rId259"/>
    <hyperlink xmlns:r="http://schemas.openxmlformats.org/officeDocument/2006/relationships" ref="A261" r:id="rId260"/>
    <hyperlink xmlns:r="http://schemas.openxmlformats.org/officeDocument/2006/relationships" ref="A262" r:id="rId261"/>
    <hyperlink xmlns:r="http://schemas.openxmlformats.org/officeDocument/2006/relationships" ref="A263" r:id="rId262"/>
    <hyperlink xmlns:r="http://schemas.openxmlformats.org/officeDocument/2006/relationships" ref="A264" r:id="rId263"/>
    <hyperlink xmlns:r="http://schemas.openxmlformats.org/officeDocument/2006/relationships" ref="A265" r:id="rId264"/>
    <hyperlink xmlns:r="http://schemas.openxmlformats.org/officeDocument/2006/relationships" ref="A266" r:id="rId265"/>
    <hyperlink xmlns:r="http://schemas.openxmlformats.org/officeDocument/2006/relationships" ref="A267" r:id="rId266"/>
    <hyperlink xmlns:r="http://schemas.openxmlformats.org/officeDocument/2006/relationships" ref="A268" r:id="rId267"/>
    <hyperlink xmlns:r="http://schemas.openxmlformats.org/officeDocument/2006/relationships" ref="A269" r:id="rId268"/>
    <hyperlink xmlns:r="http://schemas.openxmlformats.org/officeDocument/2006/relationships" ref="A270" r:id="rId269"/>
    <hyperlink xmlns:r="http://schemas.openxmlformats.org/officeDocument/2006/relationships" ref="A271" r:id="rId270"/>
    <hyperlink xmlns:r="http://schemas.openxmlformats.org/officeDocument/2006/relationships" ref="A272" r:id="rId271"/>
    <hyperlink xmlns:r="http://schemas.openxmlformats.org/officeDocument/2006/relationships" ref="A273" r:id="rId272"/>
    <hyperlink xmlns:r="http://schemas.openxmlformats.org/officeDocument/2006/relationships" ref="A274" r:id="rId273"/>
    <hyperlink xmlns:r="http://schemas.openxmlformats.org/officeDocument/2006/relationships" ref="A275" r:id="rId274"/>
  </hyperlinks>
  <pageMargins bottom="1" footer="0.5" header="0.5" left="0.75" right="0.75" top="1"/>
</worksheet>
</file>

<file path=xl/worksheets/sheet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550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(12901.0/B7*100)</f>
        <v/>
      </c>
      <c r="D7" s="19" t="n">
        <v>1629</v>
      </c>
      <c r="E7" s="18" t="n">
        <v>48.35654945</v>
      </c>
      <c r="F7" s="20" t="n">
        <v>1.56789576</v>
      </c>
      <c r="G7" s="18" t="n">
        <v>43.2399711</v>
      </c>
      <c r="H7" s="20" t="n">
        <v>1.41557772</v>
      </c>
      <c r="I7" s="18" t="n">
        <v>0</v>
      </c>
      <c r="J7" s="20" t="n">
        <v>0</v>
      </c>
      <c r="K7" s="18" t="n">
        <v>0.17567085</v>
      </c>
      <c r="L7" s="20" t="n">
        <v>0.09966911000000001</v>
      </c>
      <c r="M7" s="18" t="n">
        <v>0.00628053</v>
      </c>
      <c r="N7" s="20" t="n">
        <v>0.00636413</v>
      </c>
      <c r="O7" s="18" t="n">
        <v>0</v>
      </c>
      <c r="P7" s="20" t="n">
        <v>0</v>
      </c>
      <c r="Q7" s="18" t="n">
        <v>8.221528080000001</v>
      </c>
      <c r="R7" s="20" t="n">
        <v>0.80748986</v>
      </c>
    </row>
    <row r="8" spans="1:18">
      <c r="A8" s="15" t="s">
        <v>566</v>
      </c>
      <c r="B8" s="17" t="n">
        <v>7007</v>
      </c>
      <c r="C8" s="18">
        <f>(6238.0/B8*100)</f>
        <v/>
      </c>
      <c r="D8" s="19" t="n">
        <v>769</v>
      </c>
      <c r="E8" s="18" t="n">
        <v>40.14495225</v>
      </c>
      <c r="F8" s="20" t="n">
        <v>1.94069354</v>
      </c>
      <c r="G8" s="18" t="n">
        <v>49.33428094</v>
      </c>
      <c r="H8" s="20" t="n">
        <v>2.08090136</v>
      </c>
      <c r="I8" s="18" t="n">
        <v>0</v>
      </c>
      <c r="J8" s="20" t="n">
        <v>0</v>
      </c>
      <c r="K8" s="18" t="n">
        <v>0</v>
      </c>
      <c r="L8" s="20" t="n">
        <v>0</v>
      </c>
      <c r="M8" s="18" t="n">
        <v>0</v>
      </c>
      <c r="N8" s="20" t="n">
        <v>0</v>
      </c>
      <c r="O8" s="18" t="n">
        <v>0</v>
      </c>
      <c r="P8" s="20" t="n">
        <v>0</v>
      </c>
      <c r="Q8" s="18" t="n">
        <v>10.52076681</v>
      </c>
      <c r="R8" s="20" t="n">
        <v>1.28735501</v>
      </c>
    </row>
    <row r="9" spans="1:18">
      <c r="A9" s="15" t="s">
        <v>567</v>
      </c>
      <c r="B9" s="17" t="n">
        <v>9651</v>
      </c>
      <c r="C9" s="18">
        <f>(8591.0/B9*100)</f>
        <v/>
      </c>
      <c r="D9" s="19" t="n">
        <v>1060</v>
      </c>
      <c r="E9" s="18" t="n">
        <v>37.68251938</v>
      </c>
      <c r="F9" s="20" t="n">
        <v>1.35833632</v>
      </c>
      <c r="G9" s="18" t="n">
        <v>49.51962182</v>
      </c>
      <c r="H9" s="20" t="n">
        <v>1.51030398</v>
      </c>
      <c r="I9" s="18" t="n">
        <v>0</v>
      </c>
      <c r="J9" s="20" t="n">
        <v>0</v>
      </c>
      <c r="K9" s="18" t="n">
        <v>0</v>
      </c>
      <c r="L9" s="20" t="n">
        <v>0</v>
      </c>
      <c r="M9" s="18" t="n">
        <v>0.3529786</v>
      </c>
      <c r="N9" s="20" t="n">
        <v>0.21839179</v>
      </c>
      <c r="O9" s="18" t="n">
        <v>0</v>
      </c>
      <c r="P9" s="20" t="n">
        <v>0</v>
      </c>
      <c r="Q9" s="18" t="n">
        <v>12.44488019</v>
      </c>
      <c r="R9" s="20" t="n">
        <v>1.05281292</v>
      </c>
    </row>
    <row r="10" spans="1:18">
      <c r="A10" s="15" t="s">
        <v>568</v>
      </c>
      <c r="B10" s="17" t="n">
        <v>20058</v>
      </c>
      <c r="C10" s="18">
        <f>(17824.0/B10*100)</f>
        <v/>
      </c>
      <c r="D10" s="19" t="n">
        <v>2234</v>
      </c>
      <c r="E10" s="18" t="n">
        <v>45.61453421</v>
      </c>
      <c r="F10" s="20" t="n">
        <v>1.57852414</v>
      </c>
      <c r="G10" s="18" t="n">
        <v>49.92079565</v>
      </c>
      <c r="H10" s="20" t="n">
        <v>1.58463707</v>
      </c>
      <c r="I10" s="18" t="n">
        <v>0</v>
      </c>
      <c r="J10" s="20" t="n">
        <v>0</v>
      </c>
      <c r="K10" s="18" t="n">
        <v>0.05157368</v>
      </c>
      <c r="L10" s="20" t="n">
        <v>0.03060884</v>
      </c>
      <c r="M10" s="18" t="n">
        <v>0</v>
      </c>
      <c r="N10" s="20" t="n">
        <v>0</v>
      </c>
      <c r="O10" s="18" t="n">
        <v>0</v>
      </c>
      <c r="P10" s="20" t="n">
        <v>0</v>
      </c>
      <c r="Q10" s="18" t="n">
        <v>4.41309646</v>
      </c>
      <c r="R10" s="20" t="n">
        <v>0.55531993</v>
      </c>
    </row>
    <row r="11" spans="1:18">
      <c r="A11" s="15" t="s">
        <v>569</v>
      </c>
      <c r="B11" s="17" t="n">
        <v>7053</v>
      </c>
      <c r="C11" s="18">
        <f>(6288.0/B11*100)</f>
        <v/>
      </c>
      <c r="D11" s="19" t="n">
        <v>765</v>
      </c>
      <c r="E11" s="18" t="n">
        <v>55.94004269</v>
      </c>
      <c r="F11" s="20" t="n">
        <v>2.00946821</v>
      </c>
      <c r="G11" s="18" t="n">
        <v>29.67062459</v>
      </c>
      <c r="H11" s="20" t="n">
        <v>1.7665797</v>
      </c>
      <c r="I11" s="18" t="n">
        <v>0</v>
      </c>
      <c r="J11" s="20" t="n">
        <v>0</v>
      </c>
      <c r="K11" s="18" t="n">
        <v>0.38162994</v>
      </c>
      <c r="L11" s="20" t="n">
        <v>0.3797889</v>
      </c>
      <c r="M11" s="18" t="n">
        <v>0.80433417</v>
      </c>
      <c r="N11" s="20" t="n">
        <v>0.36295466</v>
      </c>
      <c r="O11" s="18" t="n">
        <v>0</v>
      </c>
      <c r="P11" s="20" t="n">
        <v>0</v>
      </c>
      <c r="Q11" s="18" t="n">
        <v>13.20336862</v>
      </c>
      <c r="R11" s="20" t="n">
        <v>1.30998754</v>
      </c>
    </row>
    <row r="12" spans="1:18">
      <c r="A12" s="15" t="s">
        <v>570</v>
      </c>
      <c r="B12" s="17" t="n">
        <v>6894</v>
      </c>
      <c r="C12" s="18">
        <f>(6145.0/B12*100)</f>
        <v/>
      </c>
      <c r="D12" s="19" t="n">
        <v>749</v>
      </c>
      <c r="E12" s="18" t="n">
        <v>54.70643098</v>
      </c>
      <c r="F12" s="20" t="n">
        <v>1.9909981</v>
      </c>
      <c r="G12" s="18" t="n">
        <v>32.83966411</v>
      </c>
      <c r="H12" s="20" t="n">
        <v>1.94496987</v>
      </c>
      <c r="I12" s="18" t="n">
        <v>0</v>
      </c>
      <c r="J12" s="20" t="n">
        <v>0</v>
      </c>
      <c r="K12" s="18" t="n">
        <v>0.07652434</v>
      </c>
      <c r="L12" s="20" t="n">
        <v>0.07405899000000001</v>
      </c>
      <c r="M12" s="18" t="n">
        <v>0.12835158</v>
      </c>
      <c r="N12" s="20" t="n">
        <v>0.12806674</v>
      </c>
      <c r="O12" s="18" t="n">
        <v>0</v>
      </c>
      <c r="P12" s="20" t="n">
        <v>0</v>
      </c>
      <c r="Q12" s="18" t="n">
        <v>12.24902899</v>
      </c>
      <c r="R12" s="20" t="n">
        <v>1.38156844</v>
      </c>
    </row>
    <row r="13" spans="1:18">
      <c r="A13" s="15" t="s">
        <v>571</v>
      </c>
      <c r="B13" s="17" t="n">
        <v>7161</v>
      </c>
      <c r="C13" s="18">
        <f>(6420.0/B13*100)</f>
        <v/>
      </c>
      <c r="D13" s="19" t="n">
        <v>741</v>
      </c>
      <c r="E13" s="18" t="n">
        <v>50.43554227</v>
      </c>
      <c r="F13" s="20" t="n">
        <v>2.25009441</v>
      </c>
      <c r="G13" s="18" t="n">
        <v>32.56205058</v>
      </c>
      <c r="H13" s="20" t="n">
        <v>1.98914866</v>
      </c>
      <c r="I13" s="18" t="n">
        <v>0</v>
      </c>
      <c r="J13" s="20" t="n">
        <v>0</v>
      </c>
      <c r="K13" s="18" t="n">
        <v>0.60805339</v>
      </c>
      <c r="L13" s="20" t="n">
        <v>0.41993919</v>
      </c>
      <c r="M13" s="18" t="n">
        <v>0</v>
      </c>
      <c r="N13" s="20" t="n">
        <v>0</v>
      </c>
      <c r="O13" s="18" t="n">
        <v>0</v>
      </c>
      <c r="P13" s="20" t="n">
        <v>0</v>
      </c>
      <c r="Q13" s="18" t="n">
        <v>16.39435377</v>
      </c>
      <c r="R13" s="20" t="n">
        <v>1.78554113</v>
      </c>
    </row>
    <row r="14" spans="1:18">
      <c r="A14" s="15" t="s">
        <v>572</v>
      </c>
      <c r="B14" s="17" t="n">
        <v>5587</v>
      </c>
      <c r="C14" s="18">
        <f>(4960.0/B14*100)</f>
        <v/>
      </c>
      <c r="D14" s="19" t="n">
        <v>627</v>
      </c>
      <c r="E14" s="18" t="n">
        <v>27.20920599</v>
      </c>
      <c r="F14" s="20" t="n">
        <v>2.0384393</v>
      </c>
      <c r="G14" s="18" t="n">
        <v>69.66994309</v>
      </c>
      <c r="H14" s="20" t="n">
        <v>2.21531715</v>
      </c>
      <c r="I14" s="18" t="n">
        <v>0</v>
      </c>
      <c r="J14" s="20" t="n">
        <v>0</v>
      </c>
      <c r="K14" s="18" t="n">
        <v>0.15532137</v>
      </c>
      <c r="L14" s="20" t="n">
        <v>0.15700102</v>
      </c>
      <c r="M14" s="18" t="n">
        <v>0</v>
      </c>
      <c r="N14" s="20" t="n">
        <v>0</v>
      </c>
      <c r="O14" s="18" t="n">
        <v>0</v>
      </c>
      <c r="P14" s="20" t="n">
        <v>0</v>
      </c>
      <c r="Q14" s="18" t="n">
        <v>2.96552955</v>
      </c>
      <c r="R14" s="20" t="n">
        <v>0.64156764</v>
      </c>
    </row>
    <row r="15" spans="1:18">
      <c r="A15" s="15" t="s">
        <v>573</v>
      </c>
      <c r="B15" s="17" t="n">
        <v>5882</v>
      </c>
      <c r="C15" s="18">
        <f>(5212.0/B15*100)</f>
        <v/>
      </c>
      <c r="D15" s="19" t="n">
        <v>670</v>
      </c>
      <c r="E15" s="18" t="n">
        <v>30.5161541</v>
      </c>
      <c r="F15" s="20" t="n">
        <v>2.05149522</v>
      </c>
      <c r="G15" s="18" t="n">
        <v>62.17139873</v>
      </c>
      <c r="H15" s="20" t="n">
        <v>2.1148001</v>
      </c>
      <c r="I15" s="18" t="n">
        <v>0</v>
      </c>
      <c r="J15" s="20" t="n">
        <v>0</v>
      </c>
      <c r="K15" s="18" t="n">
        <v>0</v>
      </c>
      <c r="L15" s="20" t="n">
        <v>0</v>
      </c>
      <c r="M15" s="18" t="n">
        <v>0</v>
      </c>
      <c r="N15" s="20" t="n">
        <v>0</v>
      </c>
      <c r="O15" s="18" t="n">
        <v>0</v>
      </c>
      <c r="P15" s="20" t="n">
        <v>0</v>
      </c>
      <c r="Q15" s="18" t="n">
        <v>7.31244717</v>
      </c>
      <c r="R15" s="20" t="n">
        <v>1.0333628</v>
      </c>
    </row>
    <row r="16" spans="1:18">
      <c r="A16" s="15" t="s">
        <v>574</v>
      </c>
      <c r="B16" s="17" t="n">
        <v>6108</v>
      </c>
      <c r="C16" s="18">
        <f>(5418.0/B16*100)</f>
        <v/>
      </c>
      <c r="D16" s="19" t="n">
        <v>690</v>
      </c>
      <c r="E16" s="18" t="n">
        <v>42.84660408</v>
      </c>
      <c r="F16" s="20" t="n">
        <v>1.92149186</v>
      </c>
      <c r="G16" s="18" t="n">
        <v>39.17404184</v>
      </c>
      <c r="H16" s="20" t="n">
        <v>1.97869046</v>
      </c>
      <c r="I16" s="18" t="n">
        <v>0</v>
      </c>
      <c r="J16" s="20" t="n">
        <v>0</v>
      </c>
      <c r="K16" s="18" t="n">
        <v>0.13597029</v>
      </c>
      <c r="L16" s="20" t="n">
        <v>0.14131757</v>
      </c>
      <c r="M16" s="18" t="n">
        <v>0</v>
      </c>
      <c r="N16" s="20" t="n">
        <v>0</v>
      </c>
      <c r="O16" s="18" t="n">
        <v>0</v>
      </c>
      <c r="P16" s="20" t="n">
        <v>0</v>
      </c>
      <c r="Q16" s="18" t="n">
        <v>17.8433838</v>
      </c>
      <c r="R16" s="20" t="n">
        <v>1.48402382</v>
      </c>
    </row>
    <row r="17" spans="1:18">
      <c r="A17" s="15" t="s">
        <v>575</v>
      </c>
      <c r="B17" s="17" t="n">
        <v>6504</v>
      </c>
      <c r="C17" s="18">
        <f>(5802.0/B17*100)</f>
        <v/>
      </c>
      <c r="D17" s="19" t="n">
        <v>702</v>
      </c>
      <c r="E17" s="18" t="n">
        <v>26.81008008</v>
      </c>
      <c r="F17" s="20" t="n">
        <v>1.67729344</v>
      </c>
      <c r="G17" s="18" t="n">
        <v>62.82530685</v>
      </c>
      <c r="H17" s="20" t="n">
        <v>1.7283872</v>
      </c>
      <c r="I17" s="18" t="n">
        <v>0</v>
      </c>
      <c r="J17" s="20" t="n">
        <v>0</v>
      </c>
      <c r="K17" s="18" t="n">
        <v>0</v>
      </c>
      <c r="L17" s="20" t="n">
        <v>0</v>
      </c>
      <c r="M17" s="18" t="n">
        <v>0</v>
      </c>
      <c r="N17" s="20" t="n">
        <v>0</v>
      </c>
      <c r="O17" s="18" t="n">
        <v>0</v>
      </c>
      <c r="P17" s="20" t="n">
        <v>0</v>
      </c>
      <c r="Q17" s="18" t="n">
        <v>10.36461307</v>
      </c>
      <c r="R17" s="20" t="n">
        <v>1.19976685</v>
      </c>
    </row>
    <row r="18" spans="1:18">
      <c r="A18" s="15" t="s">
        <v>576</v>
      </c>
      <c r="B18" s="17" t="n">
        <v>5532</v>
      </c>
      <c r="C18" s="18">
        <f>(4908.0/B18*100)</f>
        <v/>
      </c>
      <c r="D18" s="19" t="n">
        <v>624</v>
      </c>
      <c r="E18" s="18" t="n">
        <v>26.25396433</v>
      </c>
      <c r="F18" s="20" t="n">
        <v>1.91072561</v>
      </c>
      <c r="G18" s="18" t="n">
        <v>63.41971366</v>
      </c>
      <c r="H18" s="20" t="n">
        <v>2.35040025</v>
      </c>
      <c r="I18" s="18" t="n">
        <v>0</v>
      </c>
      <c r="J18" s="20" t="n">
        <v>0</v>
      </c>
      <c r="K18" s="18" t="n">
        <v>0.08847579</v>
      </c>
      <c r="L18" s="20" t="n">
        <v>0.0901236</v>
      </c>
      <c r="M18" s="18" t="n">
        <v>0</v>
      </c>
      <c r="N18" s="20" t="n">
        <v>0</v>
      </c>
      <c r="O18" s="18" t="n">
        <v>0</v>
      </c>
      <c r="P18" s="20" t="n">
        <v>0</v>
      </c>
      <c r="Q18" s="18" t="n">
        <v>10.23784621</v>
      </c>
      <c r="R18" s="20" t="n">
        <v>1.61406795</v>
      </c>
    </row>
    <row r="19" spans="1:18">
      <c r="A19" s="15" t="s">
        <v>577</v>
      </c>
      <c r="B19" s="17" t="n">
        <v>5658</v>
      </c>
      <c r="C19" s="18">
        <f>(5039.0/B19*100)</f>
        <v/>
      </c>
      <c r="D19" s="19" t="n">
        <v>619</v>
      </c>
      <c r="E19" s="18" t="n">
        <v>53.08597985</v>
      </c>
      <c r="F19" s="20" t="n">
        <v>1.95711308</v>
      </c>
      <c r="G19" s="18" t="n">
        <v>33.37623467</v>
      </c>
      <c r="H19" s="20" t="n">
        <v>1.86633228</v>
      </c>
      <c r="I19" s="18" t="n">
        <v>0</v>
      </c>
      <c r="J19" s="20" t="n">
        <v>0</v>
      </c>
      <c r="K19" s="18" t="n">
        <v>0</v>
      </c>
      <c r="L19" s="20" t="n">
        <v>0</v>
      </c>
      <c r="M19" s="18" t="n">
        <v>0.13946757</v>
      </c>
      <c r="N19" s="20" t="n">
        <v>0.13836283</v>
      </c>
      <c r="O19" s="18" t="n">
        <v>0</v>
      </c>
      <c r="P19" s="20" t="n">
        <v>0</v>
      </c>
      <c r="Q19" s="18" t="n">
        <v>13.39831791</v>
      </c>
      <c r="R19" s="20" t="n">
        <v>1.57352233</v>
      </c>
    </row>
    <row r="20" spans="1:18">
      <c r="A20" s="15" t="s">
        <v>578</v>
      </c>
      <c r="B20" s="17" t="n">
        <v>3371</v>
      </c>
      <c r="C20" s="18">
        <f>(3008.0/B20*100)</f>
        <v/>
      </c>
      <c r="D20" s="19" t="n">
        <v>363</v>
      </c>
      <c r="E20" s="18" t="n">
        <v>34.20750697</v>
      </c>
      <c r="F20" s="20" t="n">
        <v>2.61886335</v>
      </c>
      <c r="G20" s="18" t="n">
        <v>56.64412952</v>
      </c>
      <c r="H20" s="20" t="n">
        <v>2.84170683</v>
      </c>
      <c r="I20" s="18" t="n">
        <v>0</v>
      </c>
      <c r="J20" s="20" t="n">
        <v>0</v>
      </c>
      <c r="K20" s="18" t="n">
        <v>0.24379956</v>
      </c>
      <c r="L20" s="20" t="n">
        <v>0.24419749</v>
      </c>
      <c r="M20" s="18" t="n">
        <v>0.76207159</v>
      </c>
      <c r="N20" s="20" t="n">
        <v>0.70854859</v>
      </c>
      <c r="O20" s="18" t="n">
        <v>0</v>
      </c>
      <c r="P20" s="20" t="n">
        <v>0</v>
      </c>
      <c r="Q20" s="18" t="n">
        <v>8.142492369999999</v>
      </c>
      <c r="R20" s="20" t="n">
        <v>1.50308907</v>
      </c>
    </row>
    <row r="21" spans="1:18">
      <c r="A21" s="15" t="s">
        <v>579</v>
      </c>
      <c r="B21" s="17" t="n">
        <v>5741</v>
      </c>
      <c r="C21" s="18">
        <f>(5077.0/B21*100)</f>
        <v/>
      </c>
      <c r="D21" s="19" t="n">
        <v>664</v>
      </c>
      <c r="E21" s="18" t="n">
        <v>43.02154882</v>
      </c>
      <c r="F21" s="20" t="n">
        <v>2.00535401</v>
      </c>
      <c r="G21" s="18" t="n">
        <v>50.1770281</v>
      </c>
      <c r="H21" s="20" t="n">
        <v>1.971327</v>
      </c>
      <c r="I21" s="18" t="n">
        <v>0</v>
      </c>
      <c r="J21" s="20" t="n">
        <v>0</v>
      </c>
      <c r="K21" s="18" t="n">
        <v>0</v>
      </c>
      <c r="L21" s="20" t="n">
        <v>0</v>
      </c>
      <c r="M21" s="18" t="n">
        <v>0</v>
      </c>
      <c r="N21" s="20" t="n">
        <v>0</v>
      </c>
      <c r="O21" s="18" t="n">
        <v>0</v>
      </c>
      <c r="P21" s="20" t="n">
        <v>0</v>
      </c>
      <c r="Q21" s="18" t="n">
        <v>6.80142308</v>
      </c>
      <c r="R21" s="20" t="n">
        <v>1.06783243</v>
      </c>
    </row>
    <row r="22" spans="1:18">
      <c r="A22" s="15" t="s">
        <v>580</v>
      </c>
      <c r="B22" s="17" t="n">
        <v>6598</v>
      </c>
      <c r="C22" s="18">
        <f>(5878.0/B22*100)</f>
        <v/>
      </c>
      <c r="D22" s="19" t="n">
        <v>720</v>
      </c>
      <c r="E22" s="18" t="n">
        <v>51.93248717</v>
      </c>
      <c r="F22" s="20" t="n">
        <v>1.99279747</v>
      </c>
      <c r="G22" s="18" t="n">
        <v>33.02290579</v>
      </c>
      <c r="H22" s="20" t="n">
        <v>1.9538838</v>
      </c>
      <c r="I22" s="18" t="n">
        <v>0</v>
      </c>
      <c r="J22" s="20" t="n">
        <v>0</v>
      </c>
      <c r="K22" s="18" t="n">
        <v>0.69409513</v>
      </c>
      <c r="L22" s="20" t="n">
        <v>0.3613511</v>
      </c>
      <c r="M22" s="18" t="n">
        <v>0</v>
      </c>
      <c r="N22" s="20" t="n">
        <v>0</v>
      </c>
      <c r="O22" s="18" t="n">
        <v>0</v>
      </c>
      <c r="P22" s="20" t="n">
        <v>0</v>
      </c>
      <c r="Q22" s="18" t="n">
        <v>14.35051191</v>
      </c>
      <c r="R22" s="20" t="n">
        <v>1.7652194</v>
      </c>
    </row>
    <row r="23" spans="1:18">
      <c r="A23" s="15" t="s">
        <v>581</v>
      </c>
      <c r="B23" s="17" t="n">
        <v>11583</v>
      </c>
      <c r="C23" s="18">
        <f>(10305.0/B23*100)</f>
        <v/>
      </c>
      <c r="D23" s="19" t="n">
        <v>1278</v>
      </c>
      <c r="E23" s="18" t="n">
        <v>40.16234309</v>
      </c>
      <c r="F23" s="20" t="n">
        <v>1.86450405</v>
      </c>
      <c r="G23" s="18" t="n">
        <v>43.7938282</v>
      </c>
      <c r="H23" s="20" t="n">
        <v>1.90324936</v>
      </c>
      <c r="I23" s="18" t="n">
        <v>0</v>
      </c>
      <c r="J23" s="20" t="n">
        <v>0</v>
      </c>
      <c r="K23" s="18" t="n">
        <v>0</v>
      </c>
      <c r="L23" s="20" t="n">
        <v>0</v>
      </c>
      <c r="M23" s="18" t="n">
        <v>0.09605096</v>
      </c>
      <c r="N23" s="20" t="n">
        <v>0.10232966</v>
      </c>
      <c r="O23" s="18" t="n">
        <v>0</v>
      </c>
      <c r="P23" s="20" t="n">
        <v>0</v>
      </c>
      <c r="Q23" s="18" t="n">
        <v>15.94777775</v>
      </c>
      <c r="R23" s="20" t="n">
        <v>1.50777339</v>
      </c>
    </row>
    <row r="24" spans="1:18">
      <c r="A24" s="15" t="s">
        <v>582</v>
      </c>
      <c r="B24" s="17" t="n">
        <v>6647</v>
      </c>
      <c r="C24" s="18">
        <f>(5913.0/B24*100)</f>
        <v/>
      </c>
      <c r="D24" s="19" t="n">
        <v>734</v>
      </c>
      <c r="E24" s="18" t="n">
        <v>29.77499303</v>
      </c>
      <c r="F24" s="20" t="n">
        <v>1.81605372</v>
      </c>
      <c r="G24" s="18" t="n">
        <v>65.09822179</v>
      </c>
      <c r="H24" s="20" t="n">
        <v>1.94721743</v>
      </c>
      <c r="I24" s="18" t="n">
        <v>0</v>
      </c>
      <c r="J24" s="20" t="n">
        <v>0</v>
      </c>
      <c r="K24" s="18" t="n">
        <v>0</v>
      </c>
      <c r="L24" s="20" t="n">
        <v>0</v>
      </c>
      <c r="M24" s="18" t="n">
        <v>0</v>
      </c>
      <c r="N24" s="20" t="n">
        <v>0</v>
      </c>
      <c r="O24" s="18" t="n">
        <v>0</v>
      </c>
      <c r="P24" s="20" t="n">
        <v>0</v>
      </c>
      <c r="Q24" s="18" t="n">
        <v>5.12678518</v>
      </c>
      <c r="R24" s="20" t="n">
        <v>0.8679352299999999</v>
      </c>
    </row>
    <row r="25" spans="1:18">
      <c r="A25" s="15" t="s">
        <v>583</v>
      </c>
      <c r="B25" s="17" t="n">
        <v>5581</v>
      </c>
      <c r="C25" s="18">
        <f>(4964.0/B25*100)</f>
        <v/>
      </c>
      <c r="D25" s="19" t="n">
        <v>617</v>
      </c>
      <c r="E25" s="18" t="n">
        <v>48.9506857</v>
      </c>
      <c r="F25" s="20" t="n">
        <v>2.02431381</v>
      </c>
      <c r="G25" s="18" t="n">
        <v>45.69228747</v>
      </c>
      <c r="H25" s="20" t="n">
        <v>2.27034294</v>
      </c>
      <c r="I25" s="18" t="n">
        <v>0</v>
      </c>
      <c r="J25" s="20" t="n">
        <v>0</v>
      </c>
      <c r="K25" s="18" t="n">
        <v>0.15996681</v>
      </c>
      <c r="L25" s="20" t="n">
        <v>0.16045228</v>
      </c>
      <c r="M25" s="18" t="n">
        <v>0</v>
      </c>
      <c r="N25" s="20" t="n">
        <v>0</v>
      </c>
      <c r="O25" s="18" t="n">
        <v>0</v>
      </c>
      <c r="P25" s="20" t="n">
        <v>0</v>
      </c>
      <c r="Q25" s="18" t="n">
        <v>5.19706002</v>
      </c>
      <c r="R25" s="20" t="n">
        <v>0.91260343</v>
      </c>
    </row>
    <row r="26" spans="1:18">
      <c r="A26" s="15" t="s">
        <v>584</v>
      </c>
      <c r="B26" s="17" t="n">
        <v>4869</v>
      </c>
      <c r="C26" s="18">
        <f>(4322.0/B26*100)</f>
        <v/>
      </c>
      <c r="D26" s="19" t="n">
        <v>547</v>
      </c>
      <c r="E26" s="18" t="n">
        <v>43.96389915</v>
      </c>
      <c r="F26" s="20" t="n">
        <v>2.23813878</v>
      </c>
      <c r="G26" s="18" t="n">
        <v>48.66202381</v>
      </c>
      <c r="H26" s="20" t="n">
        <v>2.24683747</v>
      </c>
      <c r="I26" s="18" t="n">
        <v>0</v>
      </c>
      <c r="J26" s="20" t="n">
        <v>0</v>
      </c>
      <c r="K26" s="18" t="n">
        <v>0</v>
      </c>
      <c r="L26" s="20" t="n">
        <v>0</v>
      </c>
      <c r="M26" s="18" t="n">
        <v>0.16403263</v>
      </c>
      <c r="N26" s="20" t="n">
        <v>0.16395908</v>
      </c>
      <c r="O26" s="18" t="n">
        <v>0</v>
      </c>
      <c r="P26" s="20" t="n">
        <v>0</v>
      </c>
      <c r="Q26" s="18" t="n">
        <v>7.2100444</v>
      </c>
      <c r="R26" s="20" t="n">
        <v>1.12792151</v>
      </c>
    </row>
    <row r="27" spans="1:18">
      <c r="A27" s="15" t="s">
        <v>585</v>
      </c>
      <c r="B27" s="17" t="n">
        <v>5299</v>
      </c>
      <c r="C27" s="18">
        <f>(4702.0/B27*100)</f>
        <v/>
      </c>
      <c r="D27" s="19" t="n">
        <v>597</v>
      </c>
      <c r="E27" s="18" t="n">
        <v>37.55798353</v>
      </c>
      <c r="F27" s="20" t="n">
        <v>1.70838897</v>
      </c>
      <c r="G27" s="18" t="n">
        <v>46.56653854</v>
      </c>
      <c r="H27" s="20" t="n">
        <v>2.00375733</v>
      </c>
      <c r="I27" s="18" t="n">
        <v>0</v>
      </c>
      <c r="J27" s="20" t="n">
        <v>0</v>
      </c>
      <c r="K27" s="18" t="n">
        <v>0.17790746</v>
      </c>
      <c r="L27" s="20" t="n">
        <v>0.17823611</v>
      </c>
      <c r="M27" s="18" t="n">
        <v>0</v>
      </c>
      <c r="N27" s="20" t="n">
        <v>0</v>
      </c>
      <c r="O27" s="18" t="n">
        <v>0</v>
      </c>
      <c r="P27" s="20" t="n">
        <v>0</v>
      </c>
      <c r="Q27" s="18" t="n">
        <v>15.69757047</v>
      </c>
      <c r="R27" s="20" t="n">
        <v>1.58900018</v>
      </c>
    </row>
    <row r="28" spans="1:18">
      <c r="A28" s="15" t="s">
        <v>586</v>
      </c>
      <c r="B28" s="17" t="n">
        <v>7568</v>
      </c>
      <c r="C28" s="18">
        <f>(6742.0/B28*100)</f>
        <v/>
      </c>
      <c r="D28" s="19" t="n">
        <v>826</v>
      </c>
      <c r="E28" s="18" t="n">
        <v>71.3309584</v>
      </c>
      <c r="F28" s="20" t="n">
        <v>1.56505409</v>
      </c>
      <c r="G28" s="18" t="n">
        <v>23.56621048</v>
      </c>
      <c r="H28" s="20" t="n">
        <v>1.47124897</v>
      </c>
      <c r="I28" s="18" t="n">
        <v>0</v>
      </c>
      <c r="J28" s="20" t="n">
        <v>0</v>
      </c>
      <c r="K28" s="18" t="n">
        <v>0</v>
      </c>
      <c r="L28" s="20" t="n">
        <v>0</v>
      </c>
      <c r="M28" s="18" t="n">
        <v>0</v>
      </c>
      <c r="N28" s="20" t="n">
        <v>0</v>
      </c>
      <c r="O28" s="18" t="n">
        <v>0</v>
      </c>
      <c r="P28" s="20" t="n">
        <v>0</v>
      </c>
      <c r="Q28" s="18" t="n">
        <v>5.10283112</v>
      </c>
      <c r="R28" s="20" t="n">
        <v>0.92613019</v>
      </c>
    </row>
    <row r="29" spans="1:18">
      <c r="A29" s="15" t="s">
        <v>587</v>
      </c>
      <c r="B29" s="17" t="n">
        <v>5385</v>
      </c>
      <c r="C29" s="18">
        <f>(4803.0/B29*100)</f>
        <v/>
      </c>
      <c r="D29" s="19" t="n">
        <v>582</v>
      </c>
      <c r="E29" s="18" t="n">
        <v>42.32820448</v>
      </c>
      <c r="F29" s="20" t="n">
        <v>1.99695474</v>
      </c>
      <c r="G29" s="18" t="n">
        <v>54.07708577</v>
      </c>
      <c r="H29" s="20" t="n">
        <v>2.16563985</v>
      </c>
      <c r="I29" s="18" t="n">
        <v>0</v>
      </c>
      <c r="J29" s="20" t="n">
        <v>0</v>
      </c>
      <c r="K29" s="18" t="n">
        <v>0.17696287</v>
      </c>
      <c r="L29" s="20" t="n">
        <v>0.17544565</v>
      </c>
      <c r="M29" s="18" t="n">
        <v>0</v>
      </c>
      <c r="N29" s="20" t="n">
        <v>0</v>
      </c>
      <c r="O29" s="18" t="n">
        <v>0</v>
      </c>
      <c r="P29" s="20" t="n">
        <v>0</v>
      </c>
      <c r="Q29" s="18" t="n">
        <v>3.41774688</v>
      </c>
      <c r="R29" s="20" t="n">
        <v>0.81046869</v>
      </c>
    </row>
    <row r="30" spans="1:18">
      <c r="A30" s="15" t="s">
        <v>588</v>
      </c>
      <c r="B30" s="17" t="n">
        <v>4520</v>
      </c>
      <c r="C30" s="18">
        <f>(4001.0/B30*100)</f>
        <v/>
      </c>
      <c r="D30" s="19" t="n">
        <v>519</v>
      </c>
      <c r="E30" s="18" t="n">
        <v>42.96654274</v>
      </c>
      <c r="F30" s="20" t="n">
        <v>2.25380573</v>
      </c>
      <c r="G30" s="18" t="n">
        <v>46.54127475</v>
      </c>
      <c r="H30" s="20" t="n">
        <v>2.47359748</v>
      </c>
      <c r="I30" s="18" t="n">
        <v>0</v>
      </c>
      <c r="J30" s="20" t="n">
        <v>0</v>
      </c>
      <c r="K30" s="18" t="n">
        <v>0.18782931</v>
      </c>
      <c r="L30" s="20" t="n">
        <v>0.18185094</v>
      </c>
      <c r="M30" s="18" t="n">
        <v>0</v>
      </c>
      <c r="N30" s="20" t="n">
        <v>0</v>
      </c>
      <c r="O30" s="18" t="n">
        <v>0</v>
      </c>
      <c r="P30" s="20" t="n">
        <v>0</v>
      </c>
      <c r="Q30" s="18" t="n">
        <v>10.3043532</v>
      </c>
      <c r="R30" s="20" t="n">
        <v>1.34047586</v>
      </c>
    </row>
    <row r="31" spans="1:18">
      <c r="A31" s="15" t="s">
        <v>589</v>
      </c>
      <c r="B31" s="17" t="n">
        <v>5456</v>
      </c>
      <c r="C31" s="18">
        <f>(4851.0/B31*100)</f>
        <v/>
      </c>
      <c r="D31" s="19" t="n">
        <v>605</v>
      </c>
      <c r="E31" s="18" t="n">
        <v>20.82753866</v>
      </c>
      <c r="F31" s="20" t="n">
        <v>1.56694148</v>
      </c>
      <c r="G31" s="18" t="n">
        <v>70.38908358</v>
      </c>
      <c r="H31" s="20" t="n">
        <v>2.02726085</v>
      </c>
      <c r="I31" s="18" t="n">
        <v>0</v>
      </c>
      <c r="J31" s="20" t="n">
        <v>0</v>
      </c>
      <c r="K31" s="18" t="n">
        <v>0.13961748</v>
      </c>
      <c r="L31" s="20" t="n">
        <v>0.13935919</v>
      </c>
      <c r="M31" s="18" t="n">
        <v>0</v>
      </c>
      <c r="N31" s="20" t="n">
        <v>0</v>
      </c>
      <c r="O31" s="18" t="n">
        <v>0</v>
      </c>
      <c r="P31" s="20" t="n">
        <v>0</v>
      </c>
      <c r="Q31" s="18" t="n">
        <v>8.64376028</v>
      </c>
      <c r="R31" s="20" t="n">
        <v>1.18861353</v>
      </c>
    </row>
    <row r="32" spans="1:18">
      <c r="A32" s="15" t="s">
        <v>590</v>
      </c>
      <c r="B32" s="17" t="n">
        <v>4478</v>
      </c>
      <c r="C32" s="18">
        <f>(3984.0/B32*100)</f>
        <v/>
      </c>
      <c r="D32" s="19" t="n">
        <v>494</v>
      </c>
      <c r="E32" s="18" t="n">
        <v>45.62418214</v>
      </c>
      <c r="F32" s="20" t="n">
        <v>2.11614724</v>
      </c>
      <c r="G32" s="18" t="n">
        <v>37.54668289</v>
      </c>
      <c r="H32" s="20" t="n">
        <v>1.83308175</v>
      </c>
      <c r="I32" s="18" t="n">
        <v>0</v>
      </c>
      <c r="J32" s="20" t="n">
        <v>0</v>
      </c>
      <c r="K32" s="18" t="n">
        <v>0.17838464</v>
      </c>
      <c r="L32" s="20" t="n">
        <v>0.17457535</v>
      </c>
      <c r="M32" s="18" t="n">
        <v>0</v>
      </c>
      <c r="N32" s="20" t="n">
        <v>0</v>
      </c>
      <c r="O32" s="18" t="n">
        <v>0</v>
      </c>
      <c r="P32" s="20" t="n">
        <v>0</v>
      </c>
      <c r="Q32" s="18" t="n">
        <v>16.65075033</v>
      </c>
      <c r="R32" s="20" t="n">
        <v>1.46869634</v>
      </c>
    </row>
    <row r="33" spans="1:18">
      <c r="A33" s="15" t="s">
        <v>591</v>
      </c>
      <c r="B33" s="17" t="n">
        <v>7325</v>
      </c>
      <c r="C33" s="18">
        <f>(6517.0/B33*100)</f>
        <v/>
      </c>
      <c r="D33" s="19" t="n">
        <v>808</v>
      </c>
      <c r="E33" s="18" t="n">
        <v>44.39868068</v>
      </c>
      <c r="F33" s="20" t="n">
        <v>2.498682</v>
      </c>
      <c r="G33" s="18" t="n">
        <v>44.36351963</v>
      </c>
      <c r="H33" s="20" t="n">
        <v>2.26070268</v>
      </c>
      <c r="I33" s="18" t="n">
        <v>0</v>
      </c>
      <c r="J33" s="20" t="n">
        <v>0</v>
      </c>
      <c r="K33" s="18" t="n">
        <v>0</v>
      </c>
      <c r="L33" s="20" t="n">
        <v>0</v>
      </c>
      <c r="M33" s="18" t="n">
        <v>0</v>
      </c>
      <c r="N33" s="20" t="n">
        <v>0</v>
      </c>
      <c r="O33" s="18" t="n">
        <v>0</v>
      </c>
      <c r="P33" s="20" t="n">
        <v>0</v>
      </c>
      <c r="Q33" s="18" t="n">
        <v>11.23779969</v>
      </c>
      <c r="R33" s="20" t="n">
        <v>1.28634594</v>
      </c>
    </row>
    <row r="34" spans="1:18">
      <c r="A34" s="15" t="s">
        <v>592</v>
      </c>
      <c r="B34" s="17" t="n">
        <v>6350</v>
      </c>
      <c r="C34" s="18">
        <f>(5695.0/B34*100)</f>
        <v/>
      </c>
      <c r="D34" s="19" t="n">
        <v>655</v>
      </c>
      <c r="E34" s="18" t="n">
        <v>52.64385586</v>
      </c>
      <c r="F34" s="20" t="n">
        <v>1.98357045</v>
      </c>
      <c r="G34" s="18" t="n">
        <v>32.80229891</v>
      </c>
      <c r="H34" s="20" t="n">
        <v>1.91536453</v>
      </c>
      <c r="I34" s="18" t="n">
        <v>0</v>
      </c>
      <c r="J34" s="20" t="n">
        <v>0</v>
      </c>
      <c r="K34" s="18" t="n">
        <v>0</v>
      </c>
      <c r="L34" s="20" t="n">
        <v>0</v>
      </c>
      <c r="M34" s="18" t="n">
        <v>0.27678112</v>
      </c>
      <c r="N34" s="20" t="n">
        <v>0.1965906</v>
      </c>
      <c r="O34" s="18" t="n">
        <v>0</v>
      </c>
      <c r="P34" s="20" t="n">
        <v>0</v>
      </c>
      <c r="Q34" s="18" t="n">
        <v>14.27706412</v>
      </c>
      <c r="R34" s="20" t="n">
        <v>1.51484306</v>
      </c>
    </row>
    <row r="35" spans="1:18">
      <c r="A35" s="15" t="s">
        <v>593</v>
      </c>
      <c r="B35" s="17" t="n">
        <v>6406</v>
      </c>
      <c r="C35" s="18">
        <f>(5712.0/B35*100)</f>
        <v/>
      </c>
      <c r="D35" s="19" t="n">
        <v>694</v>
      </c>
      <c r="E35" s="18" t="n">
        <v>39.37714561</v>
      </c>
      <c r="F35" s="20" t="n">
        <v>2.43040774</v>
      </c>
      <c r="G35" s="18" t="n">
        <v>55.04942211</v>
      </c>
      <c r="H35" s="20" t="n">
        <v>2.38557269</v>
      </c>
      <c r="I35" s="18" t="n">
        <v>0</v>
      </c>
      <c r="J35" s="20" t="n">
        <v>0</v>
      </c>
      <c r="K35" s="18" t="n">
        <v>0</v>
      </c>
      <c r="L35" s="20" t="n">
        <v>0</v>
      </c>
      <c r="M35" s="18" t="n">
        <v>0.30961307</v>
      </c>
      <c r="N35" s="20" t="n">
        <v>0.24587247</v>
      </c>
      <c r="O35" s="18" t="n">
        <v>0</v>
      </c>
      <c r="P35" s="20" t="n">
        <v>0</v>
      </c>
      <c r="Q35" s="18" t="n">
        <v>5.26381921</v>
      </c>
      <c r="R35" s="20" t="n">
        <v>0.93043687</v>
      </c>
    </row>
    <row r="36" spans="1:18">
      <c r="A36" s="15" t="s">
        <v>594</v>
      </c>
      <c r="B36" s="17" t="n">
        <v>6736</v>
      </c>
      <c r="C36" s="18">
        <f>(5969.0/B36*100)</f>
        <v/>
      </c>
      <c r="D36" s="19" t="n">
        <v>767</v>
      </c>
      <c r="E36" s="18" t="n">
        <v>40.64845182</v>
      </c>
      <c r="F36" s="20" t="n">
        <v>1.78370479</v>
      </c>
      <c r="G36" s="18" t="n">
        <v>51.76596526</v>
      </c>
      <c r="H36" s="20" t="n">
        <v>1.96893114</v>
      </c>
      <c r="I36" s="18" t="n">
        <v>0</v>
      </c>
      <c r="J36" s="20" t="n">
        <v>0</v>
      </c>
      <c r="K36" s="18" t="n">
        <v>0</v>
      </c>
      <c r="L36" s="20" t="n">
        <v>0</v>
      </c>
      <c r="M36" s="18" t="n">
        <v>0</v>
      </c>
      <c r="N36" s="20" t="n">
        <v>0</v>
      </c>
      <c r="O36" s="18" t="n">
        <v>0</v>
      </c>
      <c r="P36" s="20" t="n">
        <v>0</v>
      </c>
      <c r="Q36" s="18" t="n">
        <v>7.58558292</v>
      </c>
      <c r="R36" s="20" t="n">
        <v>0.98257758</v>
      </c>
    </row>
    <row r="37" spans="1:18">
      <c r="A37" s="15" t="s">
        <v>595</v>
      </c>
      <c r="B37" s="17" t="n">
        <v>5458</v>
      </c>
      <c r="C37" s="18">
        <f>(4857.0/B37*100)</f>
        <v/>
      </c>
      <c r="D37" s="19" t="n">
        <v>601</v>
      </c>
      <c r="E37" s="18" t="n">
        <v>35.49935607</v>
      </c>
      <c r="F37" s="20" t="n">
        <v>2.07855907</v>
      </c>
      <c r="G37" s="18" t="n">
        <v>53.06431355</v>
      </c>
      <c r="H37" s="20" t="n">
        <v>2.16307464</v>
      </c>
      <c r="I37" s="18" t="n">
        <v>0</v>
      </c>
      <c r="J37" s="20" t="n">
        <v>0</v>
      </c>
      <c r="K37" s="18" t="n">
        <v>0</v>
      </c>
      <c r="L37" s="20" t="n">
        <v>0</v>
      </c>
      <c r="M37" s="18" t="n">
        <v>0</v>
      </c>
      <c r="N37" s="20" t="n">
        <v>0</v>
      </c>
      <c r="O37" s="18" t="n">
        <v>0</v>
      </c>
      <c r="P37" s="20" t="n">
        <v>0</v>
      </c>
      <c r="Q37" s="18" t="n">
        <v>11.43633038</v>
      </c>
      <c r="R37" s="20" t="n">
        <v>1.34880884</v>
      </c>
    </row>
    <row r="38" spans="1:18">
      <c r="A38" s="15" t="s">
        <v>596</v>
      </c>
      <c r="B38" s="17" t="n">
        <v>5860</v>
      </c>
      <c r="C38" s="18">
        <f>(5231.0/B38*100)</f>
        <v/>
      </c>
      <c r="D38" s="19" t="n">
        <v>629</v>
      </c>
      <c r="E38" s="18" t="n">
        <v>39.82678411</v>
      </c>
      <c r="F38" s="20" t="n">
        <v>1.95658456</v>
      </c>
      <c r="G38" s="18" t="n">
        <v>46.10813243</v>
      </c>
      <c r="H38" s="20" t="n">
        <v>2.19761475</v>
      </c>
      <c r="I38" s="18" t="n">
        <v>0</v>
      </c>
      <c r="J38" s="20" t="n">
        <v>0</v>
      </c>
      <c r="K38" s="18" t="n">
        <v>0.23372428</v>
      </c>
      <c r="L38" s="20" t="n">
        <v>0.23733295</v>
      </c>
      <c r="M38" s="18" t="n">
        <v>3.14772399</v>
      </c>
      <c r="N38" s="20" t="n">
        <v>0.81144077</v>
      </c>
      <c r="O38" s="18" t="n">
        <v>0</v>
      </c>
      <c r="P38" s="20" t="n">
        <v>0</v>
      </c>
      <c r="Q38" s="18" t="n">
        <v>10.68363519</v>
      </c>
      <c r="R38" s="20" t="n">
        <v>1.56180907</v>
      </c>
    </row>
    <row r="39" spans="1:18">
      <c r="A39" s="15" t="s">
        <v>597</v>
      </c>
      <c r="B39" s="17" t="n">
        <v>5895</v>
      </c>
      <c r="C39" s="18">
        <f>(5240.0/B39*100)</f>
        <v/>
      </c>
      <c r="D39" s="19" t="n">
        <v>655</v>
      </c>
      <c r="E39" s="18" t="n">
        <v>59.37880214</v>
      </c>
      <c r="F39" s="20" t="n">
        <v>2.56282939</v>
      </c>
      <c r="G39" s="18" t="n">
        <v>34.48926972</v>
      </c>
      <c r="H39" s="20" t="n">
        <v>2.58658667</v>
      </c>
      <c r="I39" s="18" t="n">
        <v>0</v>
      </c>
      <c r="J39" s="20" t="n">
        <v>0</v>
      </c>
      <c r="K39" s="18" t="n">
        <v>0.10841926</v>
      </c>
      <c r="L39" s="20" t="n">
        <v>0.111631</v>
      </c>
      <c r="M39" s="18" t="n">
        <v>0</v>
      </c>
      <c r="N39" s="20" t="n">
        <v>0</v>
      </c>
      <c r="O39" s="18" t="n">
        <v>0</v>
      </c>
      <c r="P39" s="20" t="n">
        <v>0</v>
      </c>
      <c r="Q39" s="18" t="n">
        <v>6.02350887</v>
      </c>
      <c r="R39" s="20" t="n">
        <v>0.98048183</v>
      </c>
    </row>
    <row r="40" spans="1:18">
      <c r="A40" s="15" t="s">
        <v>598</v>
      </c>
      <c r="B40" s="17" t="n">
        <v>14157</v>
      </c>
      <c r="C40" s="18">
        <f>(12516.0/B40*100)</f>
        <v/>
      </c>
      <c r="D40" s="19" t="n">
        <v>1641</v>
      </c>
      <c r="E40" s="18" t="n">
        <v>42.21236908</v>
      </c>
      <c r="F40" s="20" t="n">
        <v>1.85820549</v>
      </c>
      <c r="G40" s="18" t="n">
        <v>46.29256653</v>
      </c>
      <c r="H40" s="20" t="n">
        <v>2.09105317</v>
      </c>
      <c r="I40" s="18" t="n">
        <v>0</v>
      </c>
      <c r="J40" s="20" t="n">
        <v>0</v>
      </c>
      <c r="K40" s="18" t="n">
        <v>0.04900075</v>
      </c>
      <c r="L40" s="20" t="n">
        <v>0.03239669</v>
      </c>
      <c r="M40" s="18" t="n">
        <v>0.0469984</v>
      </c>
      <c r="N40" s="20" t="n">
        <v>0.04491491</v>
      </c>
      <c r="O40" s="18" t="n">
        <v>0</v>
      </c>
      <c r="P40" s="20" t="n">
        <v>0</v>
      </c>
      <c r="Q40" s="18" t="n">
        <v>11.39906524</v>
      </c>
      <c r="R40" s="20" t="n">
        <v>1.21045698</v>
      </c>
    </row>
    <row r="41" spans="1:18">
      <c r="A41" s="15" t="s">
        <v>599</v>
      </c>
      <c r="B41" s="17" t="n">
        <v>5712</v>
      </c>
      <c r="C41" s="18">
        <f>(5094.0/B41*100)</f>
        <v/>
      </c>
      <c r="D41" s="19" t="n">
        <v>618</v>
      </c>
      <c r="E41" s="18" t="n">
        <v>58.24328872</v>
      </c>
      <c r="F41" s="20" t="n">
        <v>2.25708754</v>
      </c>
      <c r="G41" s="18" t="n">
        <v>38.14822903</v>
      </c>
      <c r="H41" s="20" t="n">
        <v>2.18741086</v>
      </c>
      <c r="I41" s="18" t="n">
        <v>0</v>
      </c>
      <c r="J41" s="20" t="n">
        <v>0</v>
      </c>
      <c r="K41" s="18" t="n">
        <v>0</v>
      </c>
      <c r="L41" s="20" t="n">
        <v>0</v>
      </c>
      <c r="M41" s="18" t="n">
        <v>0</v>
      </c>
      <c r="N41" s="20" t="n">
        <v>0</v>
      </c>
      <c r="O41" s="18" t="n">
        <v>0</v>
      </c>
      <c r="P41" s="20" t="n">
        <v>0</v>
      </c>
      <c r="Q41" s="18" t="n">
        <v>3.60848225</v>
      </c>
      <c r="R41" s="20" t="n">
        <v>0.75191952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(20788.0/B46*100)</f>
        <v/>
      </c>
      <c r="D46" s="19" t="n">
        <v>2353</v>
      </c>
      <c r="E46" s="18" t="n">
        <v>60.70232289</v>
      </c>
      <c r="F46" s="20" t="n">
        <v>1.252459</v>
      </c>
      <c r="G46" s="18" t="n">
        <v>18.59174758</v>
      </c>
      <c r="H46" s="20" t="n">
        <v>1.16904096</v>
      </c>
      <c r="I46" s="18" t="n">
        <v>0</v>
      </c>
      <c r="J46" s="20" t="n">
        <v>0</v>
      </c>
      <c r="K46" s="18" t="n">
        <v>0.32590052</v>
      </c>
      <c r="L46" s="20" t="n">
        <v>0.1366211</v>
      </c>
      <c r="M46" s="18" t="n">
        <v>0.45472625</v>
      </c>
      <c r="N46" s="20" t="n">
        <v>0.17789892</v>
      </c>
      <c r="O46" s="18" t="n">
        <v>0</v>
      </c>
      <c r="P46" s="20" t="n">
        <v>0</v>
      </c>
      <c r="Q46" s="18" t="n">
        <v>19.92530276</v>
      </c>
      <c r="R46" s="20" t="n">
        <v>1.28557168</v>
      </c>
    </row>
    <row r="47" spans="1:18">
      <c r="A47" s="15" t="s">
        <v>606</v>
      </c>
      <c r="B47" s="17" t="n">
        <v>5928</v>
      </c>
      <c r="C47" s="18">
        <f>(5288.0/B47*100)</f>
        <v/>
      </c>
      <c r="D47" s="19" t="n">
        <v>640</v>
      </c>
      <c r="E47" s="18" t="n">
        <v>25.66839733</v>
      </c>
      <c r="F47" s="20" t="n">
        <v>1.797305</v>
      </c>
      <c r="G47" s="18" t="n">
        <v>54.93216691</v>
      </c>
      <c r="H47" s="20" t="n">
        <v>2.05321446</v>
      </c>
      <c r="I47" s="18" t="n">
        <v>0</v>
      </c>
      <c r="J47" s="20" t="n">
        <v>0</v>
      </c>
      <c r="K47" s="18" t="n">
        <v>0</v>
      </c>
      <c r="L47" s="20" t="n">
        <v>0</v>
      </c>
      <c r="M47" s="18" t="n">
        <v>0.1515037</v>
      </c>
      <c r="N47" s="20" t="n">
        <v>0.15058373</v>
      </c>
      <c r="O47" s="18" t="n">
        <v>0</v>
      </c>
      <c r="P47" s="20" t="n">
        <v>0</v>
      </c>
      <c r="Q47" s="18" t="n">
        <v>19.24793206</v>
      </c>
      <c r="R47" s="20" t="n">
        <v>1.56649764</v>
      </c>
    </row>
    <row r="48" spans="1:18">
      <c r="A48" s="15" t="s">
        <v>607</v>
      </c>
      <c r="B48" s="17" t="n">
        <v>9841</v>
      </c>
      <c r="C48" s="18">
        <f>(8762.0/B48*100)</f>
        <v/>
      </c>
      <c r="D48" s="19" t="n">
        <v>1079</v>
      </c>
      <c r="E48" s="18" t="n">
        <v>32.82575161</v>
      </c>
      <c r="F48" s="20" t="n">
        <v>2.18043617</v>
      </c>
      <c r="G48" s="18" t="n">
        <v>60.18504309</v>
      </c>
      <c r="H48" s="20" t="n">
        <v>2.28010084</v>
      </c>
      <c r="I48" s="18" t="n">
        <v>0</v>
      </c>
      <c r="J48" s="20" t="n">
        <v>0</v>
      </c>
      <c r="K48" s="18" t="n">
        <v>0.34265719</v>
      </c>
      <c r="L48" s="20" t="n">
        <v>0.24099584</v>
      </c>
      <c r="M48" s="18" t="n">
        <v>0</v>
      </c>
      <c r="N48" s="20" t="n">
        <v>0</v>
      </c>
      <c r="O48" s="18" t="n">
        <v>0</v>
      </c>
      <c r="P48" s="20" t="n">
        <v>0</v>
      </c>
      <c r="Q48" s="18" t="n">
        <v>6.64654811</v>
      </c>
      <c r="R48" s="20" t="n">
        <v>0.98491405</v>
      </c>
    </row>
    <row r="49" spans="1:18">
      <c r="A49" s="15" t="s">
        <v>608</v>
      </c>
      <c r="B49" s="17" t="n">
        <v>11795</v>
      </c>
      <c r="C49" s="18">
        <f>(10519.0/B49*100)</f>
        <v/>
      </c>
      <c r="D49" s="19" t="n">
        <v>1276</v>
      </c>
      <c r="E49" s="18" t="n">
        <v>72.39906711</v>
      </c>
      <c r="F49" s="20" t="n">
        <v>1.42578026</v>
      </c>
      <c r="G49" s="18" t="n">
        <v>22.92292836</v>
      </c>
      <c r="H49" s="20" t="n">
        <v>1.35373388</v>
      </c>
      <c r="I49" s="18" t="n">
        <v>0</v>
      </c>
      <c r="J49" s="20" t="n">
        <v>0</v>
      </c>
      <c r="K49" s="18" t="n">
        <v>0.55765563</v>
      </c>
      <c r="L49" s="20" t="n">
        <v>0.31250016</v>
      </c>
      <c r="M49" s="18" t="n">
        <v>0.24953157</v>
      </c>
      <c r="N49" s="20" t="n">
        <v>0.12411276</v>
      </c>
      <c r="O49" s="18" t="n">
        <v>0</v>
      </c>
      <c r="P49" s="20" t="n">
        <v>0</v>
      </c>
      <c r="Q49" s="18" t="n">
        <v>3.87081733</v>
      </c>
      <c r="R49" s="20" t="n">
        <v>0.70603924</v>
      </c>
    </row>
    <row r="50" spans="1:18">
      <c r="A50" s="15" t="s">
        <v>609</v>
      </c>
      <c r="B50" s="17" t="n">
        <v>6866</v>
      </c>
      <c r="C50" s="18">
        <f>(6174.0/B50*100)</f>
        <v/>
      </c>
      <c r="D50" s="19" t="n">
        <v>692</v>
      </c>
      <c r="E50" s="18" t="n">
        <v>62.79565495</v>
      </c>
      <c r="F50" s="20" t="n">
        <v>1.72178095</v>
      </c>
      <c r="G50" s="18" t="n">
        <v>28.99619925</v>
      </c>
      <c r="H50" s="20" t="n">
        <v>1.65437578</v>
      </c>
      <c r="I50" s="18" t="n">
        <v>0</v>
      </c>
      <c r="J50" s="20" t="n">
        <v>0</v>
      </c>
      <c r="K50" s="18" t="n">
        <v>0</v>
      </c>
      <c r="L50" s="20" t="n">
        <v>0</v>
      </c>
      <c r="M50" s="18" t="n">
        <v>0.18074499</v>
      </c>
      <c r="N50" s="20" t="n">
        <v>0.16921694</v>
      </c>
      <c r="O50" s="18" t="n">
        <v>0</v>
      </c>
      <c r="P50" s="20" t="n">
        <v>0</v>
      </c>
      <c r="Q50" s="18" t="n">
        <v>8.02740081</v>
      </c>
      <c r="R50" s="20" t="n">
        <v>1.11912413</v>
      </c>
    </row>
    <row r="51" spans="1:18">
      <c r="A51" s="15" t="s">
        <v>610</v>
      </c>
      <c r="B51" s="17" t="n">
        <v>5809</v>
      </c>
      <c r="C51" s="18">
        <f>(5195.0/B51*100)</f>
        <v/>
      </c>
      <c r="D51" s="19" t="n">
        <v>614</v>
      </c>
      <c r="E51" s="18" t="n">
        <v>30.38362287</v>
      </c>
      <c r="F51" s="20" t="n">
        <v>1.82774069</v>
      </c>
      <c r="G51" s="18" t="n">
        <v>60.08380412</v>
      </c>
      <c r="H51" s="20" t="n">
        <v>2.11316012</v>
      </c>
      <c r="I51" s="18" t="n">
        <v>0</v>
      </c>
      <c r="J51" s="20" t="n">
        <v>0</v>
      </c>
      <c r="K51" s="18" t="n">
        <v>0</v>
      </c>
      <c r="L51" s="20" t="n">
        <v>0</v>
      </c>
      <c r="M51" s="18" t="n">
        <v>0</v>
      </c>
      <c r="N51" s="20" t="n">
        <v>0</v>
      </c>
      <c r="O51" s="18" t="n">
        <v>0</v>
      </c>
      <c r="P51" s="20" t="n">
        <v>0</v>
      </c>
      <c r="Q51" s="18" t="n">
        <v>9.532572999999999</v>
      </c>
      <c r="R51" s="20" t="n">
        <v>1.24872476</v>
      </c>
    </row>
    <row r="52" spans="1:18">
      <c r="A52" s="15" t="s">
        <v>611</v>
      </c>
      <c r="B52" s="17" t="n">
        <v>5571</v>
      </c>
      <c r="C52" s="18">
        <f>(4950.0/B52*100)</f>
        <v/>
      </c>
      <c r="D52" s="19" t="n">
        <v>621</v>
      </c>
      <c r="E52" s="18" t="n">
        <v>42.46436366</v>
      </c>
      <c r="F52" s="20" t="n">
        <v>1.95493592</v>
      </c>
      <c r="G52" s="18" t="n">
        <v>40.64406612</v>
      </c>
      <c r="H52" s="20" t="n">
        <v>2.02165623</v>
      </c>
      <c r="I52" s="18" t="n">
        <v>0</v>
      </c>
      <c r="J52" s="20" t="n">
        <v>0</v>
      </c>
      <c r="K52" s="18" t="n">
        <v>0.10692825</v>
      </c>
      <c r="L52" s="20" t="n">
        <v>0.10795554</v>
      </c>
      <c r="M52" s="18" t="n">
        <v>0</v>
      </c>
      <c r="N52" s="20" t="n">
        <v>0</v>
      </c>
      <c r="O52" s="18" t="n">
        <v>0</v>
      </c>
      <c r="P52" s="20" t="n">
        <v>0</v>
      </c>
      <c r="Q52" s="18" t="n">
        <v>16.78464197</v>
      </c>
      <c r="R52" s="20" t="n">
        <v>1.3525833</v>
      </c>
    </row>
    <row r="53" spans="1:18">
      <c r="A53" s="15" t="s">
        <v>612</v>
      </c>
      <c r="B53" s="17" t="n">
        <v>4740</v>
      </c>
      <c r="C53" s="18">
        <f>(4220.0/B53*100)</f>
        <v/>
      </c>
      <c r="D53" s="19" t="n">
        <v>520</v>
      </c>
      <c r="E53" s="18" t="n">
        <v>64.26391565</v>
      </c>
      <c r="F53" s="20" t="n">
        <v>2.21729157</v>
      </c>
      <c r="G53" s="18" t="n">
        <v>6.60164537</v>
      </c>
      <c r="H53" s="20" t="n">
        <v>1.13466848</v>
      </c>
      <c r="I53" s="18" t="n">
        <v>0</v>
      </c>
      <c r="J53" s="20" t="n">
        <v>0</v>
      </c>
      <c r="K53" s="18" t="n">
        <v>5.83821584</v>
      </c>
      <c r="L53" s="20" t="n">
        <v>1.12141645</v>
      </c>
      <c r="M53" s="18" t="n">
        <v>0.40989687</v>
      </c>
      <c r="N53" s="20" t="n">
        <v>0.43113495</v>
      </c>
      <c r="O53" s="18" t="n">
        <v>0</v>
      </c>
      <c r="P53" s="20" t="n">
        <v>0</v>
      </c>
      <c r="Q53" s="18" t="n">
        <v>22.88632627</v>
      </c>
      <c r="R53" s="20" t="n">
        <v>2.26009892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(4771.0/B55*100)</f>
        <v/>
      </c>
      <c r="D55" s="19" t="n">
        <v>588</v>
      </c>
      <c r="E55" s="18" t="n">
        <v>35.20121387</v>
      </c>
      <c r="F55" s="20" t="n">
        <v>2.3331236</v>
      </c>
      <c r="G55" s="18" t="n">
        <v>61.7491645</v>
      </c>
      <c r="H55" s="20" t="n">
        <v>2.43306854</v>
      </c>
      <c r="I55" s="18" t="n">
        <v>0</v>
      </c>
      <c r="J55" s="20" t="n">
        <v>0</v>
      </c>
      <c r="K55" s="18" t="n">
        <v>0.32698423</v>
      </c>
      <c r="L55" s="20" t="n">
        <v>0.3143786</v>
      </c>
      <c r="M55" s="18" t="n">
        <v>0</v>
      </c>
      <c r="N55" s="20" t="n">
        <v>0</v>
      </c>
      <c r="O55" s="18" t="n">
        <v>0</v>
      </c>
      <c r="P55" s="20" t="n">
        <v>0</v>
      </c>
      <c r="Q55" s="18" t="n">
        <v>2.7226374</v>
      </c>
      <c r="R55" s="20" t="n">
        <v>0.53732044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(5827.0/B61*100)</f>
        <v/>
      </c>
      <c r="D61" s="19" t="n">
        <v>698</v>
      </c>
      <c r="E61" s="18" t="n">
        <v>38.17123081</v>
      </c>
      <c r="F61" s="20" t="n">
        <v>1.90189807</v>
      </c>
      <c r="G61" s="18" t="n">
        <v>51.98920641</v>
      </c>
      <c r="H61" s="20" t="n">
        <v>1.83615058</v>
      </c>
      <c r="I61" s="18" t="n">
        <v>0</v>
      </c>
      <c r="J61" s="20" t="n">
        <v>0</v>
      </c>
      <c r="K61" s="18" t="n">
        <v>0.19612475</v>
      </c>
      <c r="L61" s="20" t="n">
        <v>0.20523611</v>
      </c>
      <c r="M61" s="18" t="n">
        <v>0</v>
      </c>
      <c r="N61" s="20" t="n">
        <v>0</v>
      </c>
      <c r="O61" s="18" t="n">
        <v>0</v>
      </c>
      <c r="P61" s="20" t="n">
        <v>0</v>
      </c>
      <c r="Q61" s="18" t="n">
        <v>9.64343803</v>
      </c>
      <c r="R61" s="20" t="n">
        <v>1.07328911</v>
      </c>
    </row>
    <row r="62" spans="1:18">
      <c r="A62" s="15" t="s">
        <v>622</v>
      </c>
      <c r="B62" s="17" t="n">
        <v>4476</v>
      </c>
      <c r="C62" s="18">
        <f>(3965.0/B62*100)</f>
        <v/>
      </c>
      <c r="D62" s="19" t="n">
        <v>511</v>
      </c>
      <c r="E62" s="18" t="n">
        <v>37.98608787</v>
      </c>
      <c r="F62" s="20" t="n">
        <v>2.23092127</v>
      </c>
      <c r="G62" s="18" t="n">
        <v>60.62813229</v>
      </c>
      <c r="H62" s="20" t="n">
        <v>2.20909296</v>
      </c>
      <c r="I62" s="18" t="n">
        <v>0</v>
      </c>
      <c r="J62" s="20" t="n">
        <v>0</v>
      </c>
      <c r="K62" s="18" t="n">
        <v>0</v>
      </c>
      <c r="L62" s="20" t="n">
        <v>0</v>
      </c>
      <c r="M62" s="18" t="n">
        <v>0</v>
      </c>
      <c r="N62" s="20" t="n">
        <v>0</v>
      </c>
      <c r="O62" s="18" t="n">
        <v>0</v>
      </c>
      <c r="P62" s="20" t="n">
        <v>0</v>
      </c>
      <c r="Q62" s="18" t="n">
        <v>1.38577984</v>
      </c>
      <c r="R62" s="20" t="n">
        <v>0.52440895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(5067.0/B67*100)</f>
        <v/>
      </c>
      <c r="D67" s="19" t="n">
        <v>598</v>
      </c>
      <c r="E67" s="18" t="n">
        <v>43.4531263</v>
      </c>
      <c r="F67" s="20" t="n">
        <v>1.91981357</v>
      </c>
      <c r="G67" s="18" t="n">
        <v>34.49627941</v>
      </c>
      <c r="H67" s="20" t="n">
        <v>1.85156988</v>
      </c>
      <c r="I67" s="18" t="n">
        <v>0</v>
      </c>
      <c r="J67" s="20" t="n">
        <v>0</v>
      </c>
      <c r="K67" s="18" t="n">
        <v>0.17119657</v>
      </c>
      <c r="L67" s="20" t="n">
        <v>0.17051043</v>
      </c>
      <c r="M67" s="18" t="n">
        <v>1.35597553</v>
      </c>
      <c r="N67" s="20" t="n">
        <v>0.63087675</v>
      </c>
      <c r="O67" s="18" t="n">
        <v>0</v>
      </c>
      <c r="P67" s="20" t="n">
        <v>0</v>
      </c>
      <c r="Q67" s="18" t="n">
        <v>20.5234222</v>
      </c>
      <c r="R67" s="20" t="n">
        <v>1.62990046</v>
      </c>
    </row>
    <row r="68" spans="1:18">
      <c r="A68" s="15" t="s">
        <v>628</v>
      </c>
      <c r="B68" s="17" t="n">
        <v>6971</v>
      </c>
      <c r="C68" s="18">
        <f>(6242.0/B68*100)</f>
        <v/>
      </c>
      <c r="D68" s="19" t="n">
        <v>729</v>
      </c>
      <c r="E68" s="18" t="n">
        <v>81.1807268</v>
      </c>
      <c r="F68" s="20" t="n">
        <v>1.42145334</v>
      </c>
      <c r="G68" s="18" t="n">
        <v>10.80606152</v>
      </c>
      <c r="H68" s="20" t="n">
        <v>1.15005683</v>
      </c>
      <c r="I68" s="18" t="n">
        <v>0</v>
      </c>
      <c r="J68" s="20" t="n">
        <v>0</v>
      </c>
      <c r="K68" s="18" t="n">
        <v>0.27047421</v>
      </c>
      <c r="L68" s="20" t="n">
        <v>0.19879492</v>
      </c>
      <c r="M68" s="18" t="n">
        <v>0.395059</v>
      </c>
      <c r="N68" s="20" t="n">
        <v>0.23247886</v>
      </c>
      <c r="O68" s="18" t="n">
        <v>0</v>
      </c>
      <c r="P68" s="20" t="n">
        <v>0</v>
      </c>
      <c r="Q68" s="18" t="n">
        <v>7.34767846</v>
      </c>
      <c r="R68" s="20" t="n">
        <v>0.80482884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(10746.0/B70*100)</f>
        <v/>
      </c>
      <c r="D70" s="19" t="n">
        <v>1337</v>
      </c>
      <c r="E70" s="18" t="n">
        <v>58.14213118</v>
      </c>
      <c r="F70" s="20" t="n">
        <v>1.4683056</v>
      </c>
      <c r="G70" s="18" t="n">
        <v>29.47924913</v>
      </c>
      <c r="H70" s="20" t="n">
        <v>1.39539251</v>
      </c>
      <c r="I70" s="18" t="n">
        <v>0</v>
      </c>
      <c r="J70" s="20" t="n">
        <v>0</v>
      </c>
      <c r="K70" s="18" t="n">
        <v>0.96264662</v>
      </c>
      <c r="L70" s="20" t="n">
        <v>0.28287967</v>
      </c>
      <c r="M70" s="18" t="n">
        <v>0.15330542</v>
      </c>
      <c r="N70" s="20" t="n">
        <v>0.10806015</v>
      </c>
      <c r="O70" s="18" t="n">
        <v>0</v>
      </c>
      <c r="P70" s="20" t="n">
        <v>0</v>
      </c>
      <c r="Q70" s="18" t="n">
        <v>11.26266764</v>
      </c>
      <c r="R70" s="20" t="n">
        <v>0.84625795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(5394.0/B72*100)</f>
        <v/>
      </c>
      <c r="D72" s="19" t="n">
        <v>642</v>
      </c>
      <c r="E72" s="18" t="n">
        <v>31.03275931</v>
      </c>
      <c r="F72" s="20" t="n">
        <v>1.89527837</v>
      </c>
      <c r="G72" s="18" t="n">
        <v>60.45954295</v>
      </c>
      <c r="H72" s="20" t="n">
        <v>1.78581786</v>
      </c>
      <c r="I72" s="18" t="n">
        <v>0</v>
      </c>
      <c r="J72" s="20" t="n">
        <v>0</v>
      </c>
      <c r="K72" s="18" t="n">
        <v>0</v>
      </c>
      <c r="L72" s="20" t="n">
        <v>0</v>
      </c>
      <c r="M72" s="18" t="n">
        <v>0.11723692</v>
      </c>
      <c r="N72" s="20" t="n">
        <v>0.11758619</v>
      </c>
      <c r="O72" s="18" t="n">
        <v>0</v>
      </c>
      <c r="P72" s="20" t="n">
        <v>0</v>
      </c>
      <c r="Q72" s="18" t="n">
        <v>8.39046081</v>
      </c>
      <c r="R72" s="20" t="n">
        <v>1.13568332</v>
      </c>
    </row>
    <row r="73" spans="1:18">
      <c r="A73" s="15" t="s">
        <v>633</v>
      </c>
      <c r="B73" s="17" t="n">
        <v>6115</v>
      </c>
      <c r="C73" s="18">
        <f>(5426.0/B73*100)</f>
        <v/>
      </c>
      <c r="D73" s="19" t="n">
        <v>689</v>
      </c>
      <c r="E73" s="18" t="n">
        <v>43.77934308</v>
      </c>
      <c r="F73" s="20" t="n">
        <v>1.95707225</v>
      </c>
      <c r="G73" s="18" t="n">
        <v>53.95414</v>
      </c>
      <c r="H73" s="20" t="n">
        <v>1.99017941</v>
      </c>
      <c r="I73" s="18" t="n">
        <v>0</v>
      </c>
      <c r="J73" s="20" t="n">
        <v>0</v>
      </c>
      <c r="K73" s="18" t="n">
        <v>0</v>
      </c>
      <c r="L73" s="20" t="n">
        <v>0</v>
      </c>
      <c r="M73" s="18" t="n">
        <v>0.08872123</v>
      </c>
      <c r="N73" s="20" t="n">
        <v>0.08903692000000001</v>
      </c>
      <c r="O73" s="18" t="n">
        <v>0</v>
      </c>
      <c r="P73" s="20" t="n">
        <v>0</v>
      </c>
      <c r="Q73" s="18" t="n">
        <v>2.17779569</v>
      </c>
      <c r="R73" s="20" t="n">
        <v>0.52866517</v>
      </c>
    </row>
    <row r="74" spans="1:18">
      <c r="A74" s="15" t="s">
        <v>634</v>
      </c>
      <c r="B74" s="17" t="n">
        <v>7708</v>
      </c>
      <c r="C74" s="18">
        <f>(6811.0/B74*100)</f>
        <v/>
      </c>
      <c r="D74" s="19" t="n">
        <v>897</v>
      </c>
      <c r="E74" s="18" t="n">
        <v>26.86479975</v>
      </c>
      <c r="F74" s="20" t="n">
        <v>1.63128016</v>
      </c>
      <c r="G74" s="18" t="n">
        <v>68.88512495000001</v>
      </c>
      <c r="H74" s="20" t="n">
        <v>1.66267673</v>
      </c>
      <c r="I74" s="18" t="n">
        <v>0</v>
      </c>
      <c r="J74" s="20" t="n">
        <v>0</v>
      </c>
      <c r="K74" s="18" t="n">
        <v>0.12189674</v>
      </c>
      <c r="L74" s="20" t="n">
        <v>0.12239593</v>
      </c>
      <c r="M74" s="18" t="n">
        <v>0</v>
      </c>
      <c r="N74" s="20" t="n">
        <v>0</v>
      </c>
      <c r="O74" s="18" t="n">
        <v>0</v>
      </c>
      <c r="P74" s="20" t="n">
        <v>0</v>
      </c>
      <c r="Q74" s="18" t="n">
        <v>4.12817855</v>
      </c>
      <c r="R74" s="20" t="n">
        <v>0.59324366</v>
      </c>
    </row>
    <row r="75" spans="1:18">
      <c r="A75" s="15" t="s">
        <v>635</v>
      </c>
      <c r="B75" s="17" t="n">
        <v>8249</v>
      </c>
      <c r="C75" s="18">
        <f>(7342.0/B75*100)</f>
        <v/>
      </c>
      <c r="D75" s="19" t="n">
        <v>907</v>
      </c>
      <c r="E75" s="18" t="n">
        <v>64.91906293</v>
      </c>
      <c r="F75" s="20" t="n">
        <v>1.84883761</v>
      </c>
      <c r="G75" s="18" t="n">
        <v>33.08728192</v>
      </c>
      <c r="H75" s="20" t="n">
        <v>1.69290671</v>
      </c>
      <c r="I75" s="18" t="n">
        <v>0</v>
      </c>
      <c r="J75" s="20" t="n">
        <v>0</v>
      </c>
      <c r="K75" s="18" t="n">
        <v>0</v>
      </c>
      <c r="L75" s="20" t="n">
        <v>0</v>
      </c>
      <c r="M75" s="18" t="n">
        <v>0.17876651</v>
      </c>
      <c r="N75" s="20" t="n">
        <v>0.16694499</v>
      </c>
      <c r="O75" s="18" t="n">
        <v>0</v>
      </c>
      <c r="P75" s="20" t="n">
        <v>0</v>
      </c>
      <c r="Q75" s="18" t="n">
        <v>1.81488864</v>
      </c>
      <c r="R75" s="20" t="n">
        <v>0.48044838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(4836.0/B77*100)</f>
        <v/>
      </c>
      <c r="D77" s="19" t="n">
        <v>539</v>
      </c>
      <c r="E77" s="18" t="n">
        <v>53.83447893</v>
      </c>
      <c r="F77" s="20" t="n">
        <v>2.57006753</v>
      </c>
      <c r="G77" s="18" t="n">
        <v>25.93942505</v>
      </c>
      <c r="H77" s="20" t="n">
        <v>1.76783541</v>
      </c>
      <c r="I77" s="18" t="n">
        <v>0</v>
      </c>
      <c r="J77" s="20" t="n">
        <v>0</v>
      </c>
      <c r="K77" s="18" t="n">
        <v>0.46563565</v>
      </c>
      <c r="L77" s="20" t="n">
        <v>0.20624003</v>
      </c>
      <c r="M77" s="18" t="n">
        <v>0.74482131</v>
      </c>
      <c r="N77" s="20" t="n">
        <v>0.45821594</v>
      </c>
      <c r="O77" s="18" t="n">
        <v>0</v>
      </c>
      <c r="P77" s="20" t="n">
        <v>0</v>
      </c>
      <c r="Q77" s="18" t="n">
        <v>19.01563905</v>
      </c>
      <c r="R77" s="20" t="n">
        <v>1.90460759</v>
      </c>
    </row>
    <row r="78" spans="1:18">
      <c r="A78" s="15" t="s">
        <v>638</v>
      </c>
      <c r="B78" s="17" t="n">
        <v>14167</v>
      </c>
      <c r="C78" s="18">
        <f>(12570.0/B78*100)</f>
        <v/>
      </c>
      <c r="D78" s="19" t="n">
        <v>1597</v>
      </c>
      <c r="E78" s="18" t="n">
        <v>59.04554181</v>
      </c>
      <c r="F78" s="20" t="n">
        <v>1.71679804</v>
      </c>
      <c r="G78" s="18" t="n">
        <v>33.73375972</v>
      </c>
      <c r="H78" s="20" t="n">
        <v>1.65785778</v>
      </c>
      <c r="I78" s="18" t="n">
        <v>0</v>
      </c>
      <c r="J78" s="20" t="n">
        <v>0</v>
      </c>
      <c r="K78" s="18" t="n">
        <v>0.60664082</v>
      </c>
      <c r="L78" s="20" t="n">
        <v>0.2034451</v>
      </c>
      <c r="M78" s="18" t="n">
        <v>0.09528446</v>
      </c>
      <c r="N78" s="20" t="n">
        <v>0.06326187</v>
      </c>
      <c r="O78" s="18" t="n">
        <v>0</v>
      </c>
      <c r="P78" s="20" t="n">
        <v>0</v>
      </c>
      <c r="Q78" s="18" t="n">
        <v>6.5187732</v>
      </c>
      <c r="R78" s="20" t="n">
        <v>0.79804643</v>
      </c>
    </row>
    <row r="79" spans="1:18">
      <c r="A79" s="15" t="s">
        <v>639</v>
      </c>
      <c r="B79" s="17" t="n">
        <v>6062</v>
      </c>
      <c r="C79" s="18">
        <f>(5405.0/B79*100)</f>
        <v/>
      </c>
      <c r="D79" s="19" t="n">
        <v>657</v>
      </c>
      <c r="E79" s="18" t="n">
        <v>50.65256831</v>
      </c>
      <c r="F79" s="20" t="n">
        <v>1.98375767</v>
      </c>
      <c r="G79" s="18" t="n">
        <v>26.57721144</v>
      </c>
      <c r="H79" s="20" t="n">
        <v>1.6768256</v>
      </c>
      <c r="I79" s="18" t="n">
        <v>0</v>
      </c>
      <c r="J79" s="20" t="n">
        <v>0</v>
      </c>
      <c r="K79" s="18" t="n">
        <v>0.2644139</v>
      </c>
      <c r="L79" s="20" t="n">
        <v>0.28664799</v>
      </c>
      <c r="M79" s="18" t="n">
        <v>0</v>
      </c>
      <c r="N79" s="20" t="n">
        <v>0</v>
      </c>
      <c r="O79" s="18" t="n">
        <v>0</v>
      </c>
      <c r="P79" s="20" t="n">
        <v>0</v>
      </c>
      <c r="Q79" s="18" t="n">
        <v>22.50580635</v>
      </c>
      <c r="R79" s="20" t="n">
        <v>1.89890255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(28707.0/B82*100)</f>
        <v/>
      </c>
      <c r="D82" s="19" t="n">
        <v>3623</v>
      </c>
      <c r="E82" s="18" t="n">
        <v>39.20833308</v>
      </c>
      <c r="F82" s="20" t="n">
        <v>1.25374412</v>
      </c>
      <c r="G82" s="18" t="n">
        <v>54.86600257</v>
      </c>
      <c r="H82" s="20" t="n">
        <v>1.30192092</v>
      </c>
      <c r="I82" s="18" t="n">
        <v>0</v>
      </c>
      <c r="J82" s="20" t="n">
        <v>0</v>
      </c>
      <c r="K82" s="18" t="n">
        <v>0.01953348</v>
      </c>
      <c r="L82" s="20" t="n">
        <v>0.01954349</v>
      </c>
      <c r="M82" s="18" t="n">
        <v>0.02326421</v>
      </c>
      <c r="N82" s="20" t="n">
        <v>0.02326222</v>
      </c>
      <c r="O82" s="18" t="n">
        <v>0</v>
      </c>
      <c r="P82" s="20" t="n">
        <v>0</v>
      </c>
      <c r="Q82" s="18" t="n">
        <v>5.88286665</v>
      </c>
      <c r="R82" s="20" t="n">
        <v>0.5509815</v>
      </c>
    </row>
    <row r="83" spans="1:18">
      <c r="A83" s="15" t="s">
        <v>643</v>
      </c>
      <c r="B83" s="17" t="n">
        <v>1652</v>
      </c>
      <c r="C83" s="18">
        <f>(1478.0/B83*100)</f>
        <v/>
      </c>
      <c r="D83" s="19" t="n">
        <v>174</v>
      </c>
      <c r="E83" s="18" t="n">
        <v>59.73617952</v>
      </c>
      <c r="F83" s="20" t="n">
        <v>3.76161377</v>
      </c>
      <c r="G83" s="18" t="n">
        <v>38.63652358</v>
      </c>
      <c r="H83" s="20" t="n">
        <v>3.80955725</v>
      </c>
      <c r="I83" s="18" t="n">
        <v>0</v>
      </c>
      <c r="J83" s="20" t="n">
        <v>0</v>
      </c>
      <c r="K83" s="18" t="n">
        <v>0</v>
      </c>
      <c r="L83" s="20" t="n">
        <v>0</v>
      </c>
      <c r="M83" s="18" t="n">
        <v>0</v>
      </c>
      <c r="N83" s="20" t="n">
        <v>0</v>
      </c>
      <c r="O83" s="18" t="n">
        <v>0</v>
      </c>
      <c r="P83" s="20" t="n">
        <v>0</v>
      </c>
      <c r="Q83" s="18" t="n">
        <v>1.6272969</v>
      </c>
      <c r="R83" s="20" t="n">
        <v>1.16656548</v>
      </c>
    </row>
    <row r="84" spans="1:18">
      <c r="A84" s="23" t="s">
        <v>644</v>
      </c>
      <c r="B84" s="24" t="n">
        <v>1887</v>
      </c>
      <c r="C84" s="25">
        <f>(1679.0/B84*100)</f>
        <v/>
      </c>
      <c r="D84" s="19" t="n">
        <v>208</v>
      </c>
      <c r="E84" s="18" t="n">
        <v>56.27143976</v>
      </c>
      <c r="F84" s="20" t="n">
        <v>3.97460359</v>
      </c>
      <c r="G84" s="18" t="n">
        <v>40.38719698</v>
      </c>
      <c r="H84" s="20" t="n">
        <v>4.24245809</v>
      </c>
      <c r="I84" s="18" t="n">
        <v>0</v>
      </c>
      <c r="J84" s="20" t="n">
        <v>0</v>
      </c>
      <c r="K84" s="18" t="n">
        <v>0</v>
      </c>
      <c r="L84" s="20" t="n">
        <v>0</v>
      </c>
      <c r="M84" s="18" t="n">
        <v>0</v>
      </c>
      <c r="N84" s="20" t="n">
        <v>0</v>
      </c>
      <c r="O84" s="18" t="n">
        <v>0</v>
      </c>
      <c r="P84" s="20" t="n">
        <v>0</v>
      </c>
      <c r="Q84" s="18" t="n">
        <v>3.34136326</v>
      </c>
      <c r="R84" s="20" t="n">
        <v>1.45018955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654</v>
      </c>
    </row>
    <row customHeight="1" ht="30" r="4" spans="1:22">
      <c r="A4" s="6" t="n"/>
      <c r="B4" s="7" t="s">
        <v>551</v>
      </c>
      <c r="C4" s="7" t="s">
        <v>552</v>
      </c>
      <c r="D4" s="8" t="s">
        <v>551</v>
      </c>
      <c r="E4" s="9" t="s">
        <v>655</v>
      </c>
      <c r="F4" s="10" t="n"/>
      <c r="G4" s="9" t="s">
        <v>656</v>
      </c>
      <c r="H4" s="10" t="n"/>
      <c r="I4" s="9" t="s">
        <v>657</v>
      </c>
      <c r="J4" s="10" t="n"/>
      <c r="K4" s="9" t="s">
        <v>658</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14530</v>
      </c>
      <c r="C7" s="18">
        <f>(12897.0/B7*100)</f>
        <v/>
      </c>
      <c r="D7" s="19" t="n">
        <v>1633</v>
      </c>
      <c r="E7" s="18" t="n">
        <v>18.19186034</v>
      </c>
      <c r="F7" s="20" t="n">
        <v>0.9482668</v>
      </c>
      <c r="G7" s="18" t="n">
        <v>29.13856615</v>
      </c>
      <c r="H7" s="20" t="n">
        <v>1.51356415</v>
      </c>
      <c r="I7" s="18" t="n">
        <v>39.08196402</v>
      </c>
      <c r="J7" s="20" t="n">
        <v>1.38247267</v>
      </c>
      <c r="K7" s="18" t="n">
        <v>5.83919529</v>
      </c>
      <c r="L7" s="20" t="n">
        <v>0.77542897</v>
      </c>
      <c r="M7" s="18" t="n">
        <v>0</v>
      </c>
      <c r="N7" s="20" t="n">
        <v>0</v>
      </c>
      <c r="O7" s="18" t="n">
        <v>0.17518521</v>
      </c>
      <c r="P7" s="20" t="n">
        <v>0.09938112</v>
      </c>
      <c r="Q7" s="18" t="n">
        <v>0.00626317</v>
      </c>
      <c r="R7" s="20" t="n">
        <v>0.00634604</v>
      </c>
      <c r="S7" s="18" t="n">
        <v>0</v>
      </c>
      <c r="T7" s="20" t="n">
        <v>0</v>
      </c>
      <c r="U7" s="18" t="n">
        <v>7.56696583</v>
      </c>
      <c r="V7" s="20" t="n">
        <v>0.76467479</v>
      </c>
    </row>
    <row r="8" spans="1:22">
      <c r="A8" s="15" t="s">
        <v>566</v>
      </c>
      <c r="B8" s="17" t="n">
        <v>7007</v>
      </c>
      <c r="C8" s="18">
        <f>(6238.0/B8*100)</f>
        <v/>
      </c>
      <c r="D8" s="19" t="n">
        <v>769</v>
      </c>
      <c r="E8" s="18" t="n">
        <v>16.35740129</v>
      </c>
      <c r="F8" s="20" t="n">
        <v>1.33501953</v>
      </c>
      <c r="G8" s="18" t="n">
        <v>28.37176576</v>
      </c>
      <c r="H8" s="20" t="n">
        <v>1.75969654</v>
      </c>
      <c r="I8" s="18" t="n">
        <v>26.92036207</v>
      </c>
      <c r="J8" s="20" t="n">
        <v>1.98422934</v>
      </c>
      <c r="K8" s="18" t="n">
        <v>10.63643142</v>
      </c>
      <c r="L8" s="20" t="n">
        <v>0.93907849</v>
      </c>
      <c r="M8" s="18" t="n">
        <v>0</v>
      </c>
      <c r="N8" s="20" t="n">
        <v>0</v>
      </c>
      <c r="O8" s="18" t="n">
        <v>0</v>
      </c>
      <c r="P8" s="20" t="n">
        <v>0</v>
      </c>
      <c r="Q8" s="18" t="n">
        <v>0</v>
      </c>
      <c r="R8" s="20" t="n">
        <v>0</v>
      </c>
      <c r="S8" s="18" t="n">
        <v>0</v>
      </c>
      <c r="T8" s="20" t="n">
        <v>0</v>
      </c>
      <c r="U8" s="18" t="n">
        <v>17.71403946</v>
      </c>
      <c r="V8" s="20" t="n">
        <v>1.61237368</v>
      </c>
    </row>
    <row r="9" spans="1:22">
      <c r="A9" s="15" t="s">
        <v>567</v>
      </c>
      <c r="B9" s="17" t="n">
        <v>9651</v>
      </c>
      <c r="C9" s="18">
        <f>(8590.0/B9*100)</f>
        <v/>
      </c>
      <c r="D9" s="19" t="n">
        <v>1061</v>
      </c>
      <c r="E9" s="18" t="n">
        <v>10.13968373</v>
      </c>
      <c r="F9" s="20" t="n">
        <v>0.99956383</v>
      </c>
      <c r="G9" s="18" t="n">
        <v>35.75909287</v>
      </c>
      <c r="H9" s="20" t="n">
        <v>1.63037257</v>
      </c>
      <c r="I9" s="18" t="n">
        <v>33.48535834</v>
      </c>
      <c r="J9" s="20" t="n">
        <v>1.55726152</v>
      </c>
      <c r="K9" s="18" t="n">
        <v>7.2072795</v>
      </c>
      <c r="L9" s="20" t="n">
        <v>0.87099449</v>
      </c>
      <c r="M9" s="18" t="n">
        <v>0</v>
      </c>
      <c r="N9" s="20" t="n">
        <v>0</v>
      </c>
      <c r="O9" s="18" t="n">
        <v>0</v>
      </c>
      <c r="P9" s="20" t="n">
        <v>0</v>
      </c>
      <c r="Q9" s="18" t="n">
        <v>0.35265363</v>
      </c>
      <c r="R9" s="20" t="n">
        <v>0.21818083</v>
      </c>
      <c r="S9" s="18" t="n">
        <v>0</v>
      </c>
      <c r="T9" s="20" t="n">
        <v>0</v>
      </c>
      <c r="U9" s="18" t="n">
        <v>13.05593193</v>
      </c>
      <c r="V9" s="20" t="n">
        <v>1.33465958</v>
      </c>
    </row>
    <row r="10" spans="1:22">
      <c r="A10" s="15" t="s">
        <v>568</v>
      </c>
      <c r="B10" s="17" t="n">
        <v>20058</v>
      </c>
      <c r="C10" s="18">
        <f>(17823.0/B10*100)</f>
        <v/>
      </c>
      <c r="D10" s="19" t="n">
        <v>2235</v>
      </c>
      <c r="E10" s="18" t="n">
        <v>15.08658985</v>
      </c>
      <c r="F10" s="20" t="n">
        <v>1.27849956</v>
      </c>
      <c r="G10" s="18" t="n">
        <v>28.80640394</v>
      </c>
      <c r="H10" s="20" t="n">
        <v>1.57731222</v>
      </c>
      <c r="I10" s="18" t="n">
        <v>46.1678922</v>
      </c>
      <c r="J10" s="20" t="n">
        <v>1.81770573</v>
      </c>
      <c r="K10" s="18" t="n">
        <v>5.62542118</v>
      </c>
      <c r="L10" s="20" t="n">
        <v>0.70690243</v>
      </c>
      <c r="M10" s="18" t="n">
        <v>0</v>
      </c>
      <c r="N10" s="20" t="n">
        <v>0</v>
      </c>
      <c r="O10" s="18" t="n">
        <v>0.15094238</v>
      </c>
      <c r="P10" s="20" t="n">
        <v>0.10503738</v>
      </c>
      <c r="Q10" s="18" t="n">
        <v>0</v>
      </c>
      <c r="R10" s="20" t="n">
        <v>0</v>
      </c>
      <c r="S10" s="18" t="n">
        <v>0</v>
      </c>
      <c r="T10" s="20" t="n">
        <v>0</v>
      </c>
      <c r="U10" s="18" t="n">
        <v>4.16275044</v>
      </c>
      <c r="V10" s="20" t="n">
        <v>0.5781864</v>
      </c>
    </row>
    <row r="11" spans="1:22">
      <c r="A11" s="15" t="s">
        <v>569</v>
      </c>
      <c r="B11" s="17" t="n">
        <v>7053</v>
      </c>
      <c r="C11" s="18">
        <f>(6288.0/B11*100)</f>
        <v/>
      </c>
      <c r="D11" s="19" t="n">
        <v>765</v>
      </c>
      <c r="E11" s="18" t="n">
        <v>15.14099981</v>
      </c>
      <c r="F11" s="20" t="n">
        <v>1.59777872</v>
      </c>
      <c r="G11" s="18" t="n">
        <v>41.26139026</v>
      </c>
      <c r="H11" s="20" t="n">
        <v>1.82123071</v>
      </c>
      <c r="I11" s="18" t="n">
        <v>21.50176528</v>
      </c>
      <c r="J11" s="20" t="n">
        <v>1.47048849</v>
      </c>
      <c r="K11" s="18" t="n">
        <v>6.89265105</v>
      </c>
      <c r="L11" s="20" t="n">
        <v>0.90366416</v>
      </c>
      <c r="M11" s="18" t="n">
        <v>0</v>
      </c>
      <c r="N11" s="20" t="n">
        <v>0</v>
      </c>
      <c r="O11" s="18" t="n">
        <v>0.4101586</v>
      </c>
      <c r="P11" s="20" t="n">
        <v>0.38065883</v>
      </c>
      <c r="Q11" s="18" t="n">
        <v>0.19947373</v>
      </c>
      <c r="R11" s="20" t="n">
        <v>0.18866308</v>
      </c>
      <c r="S11" s="18" t="n">
        <v>0</v>
      </c>
      <c r="T11" s="20" t="n">
        <v>0</v>
      </c>
      <c r="U11" s="18" t="n">
        <v>14.59356126</v>
      </c>
      <c r="V11" s="20" t="n">
        <v>1.37127665</v>
      </c>
    </row>
    <row r="12" spans="1:22">
      <c r="A12" s="15" t="s">
        <v>570</v>
      </c>
      <c r="B12" s="17" t="n">
        <v>6894</v>
      </c>
      <c r="C12" s="18">
        <f>(6145.0/B12*100)</f>
        <v/>
      </c>
      <c r="D12" s="19" t="n">
        <v>749</v>
      </c>
      <c r="E12" s="18" t="n">
        <v>22.31495851</v>
      </c>
      <c r="F12" s="20" t="n">
        <v>1.68395741</v>
      </c>
      <c r="G12" s="18" t="n">
        <v>23.27619749</v>
      </c>
      <c r="H12" s="20" t="n">
        <v>1.57203749</v>
      </c>
      <c r="I12" s="18" t="n">
        <v>25.48785244</v>
      </c>
      <c r="J12" s="20" t="n">
        <v>1.77697752</v>
      </c>
      <c r="K12" s="18" t="n">
        <v>12.50978089</v>
      </c>
      <c r="L12" s="20" t="n">
        <v>1.2550397</v>
      </c>
      <c r="M12" s="18" t="n">
        <v>0</v>
      </c>
      <c r="N12" s="20" t="n">
        <v>0</v>
      </c>
      <c r="O12" s="18" t="n">
        <v>0.07652434</v>
      </c>
      <c r="P12" s="20" t="n">
        <v>0.07405899000000001</v>
      </c>
      <c r="Q12" s="18" t="n">
        <v>0.12835158</v>
      </c>
      <c r="R12" s="20" t="n">
        <v>0.12806674</v>
      </c>
      <c r="S12" s="18" t="n">
        <v>0</v>
      </c>
      <c r="T12" s="20" t="n">
        <v>0</v>
      </c>
      <c r="U12" s="18" t="n">
        <v>16.20633475</v>
      </c>
      <c r="V12" s="20" t="n">
        <v>1.66622016</v>
      </c>
    </row>
    <row r="13" spans="1:22">
      <c r="A13" s="15" t="s">
        <v>571</v>
      </c>
      <c r="B13" s="17" t="n">
        <v>7161</v>
      </c>
      <c r="C13" s="18">
        <f>(6420.0/B13*100)</f>
        <v/>
      </c>
      <c r="D13" s="19" t="n">
        <v>741</v>
      </c>
      <c r="E13" s="18" t="n">
        <v>4.94964707</v>
      </c>
      <c r="F13" s="20" t="n">
        <v>0.96698435</v>
      </c>
      <c r="G13" s="18" t="n">
        <v>48.70372988</v>
      </c>
      <c r="H13" s="20" t="n">
        <v>2.27172851</v>
      </c>
      <c r="I13" s="18" t="n">
        <v>23.12780705</v>
      </c>
      <c r="J13" s="20" t="n">
        <v>1.70373897</v>
      </c>
      <c r="K13" s="18" t="n">
        <v>9.270754220000001</v>
      </c>
      <c r="L13" s="20" t="n">
        <v>1.42365586</v>
      </c>
      <c r="M13" s="18" t="n">
        <v>0</v>
      </c>
      <c r="N13" s="20" t="n">
        <v>0</v>
      </c>
      <c r="O13" s="18" t="n">
        <v>0.68060688</v>
      </c>
      <c r="P13" s="20" t="n">
        <v>0.42492856</v>
      </c>
      <c r="Q13" s="18" t="n">
        <v>0</v>
      </c>
      <c r="R13" s="20" t="n">
        <v>0</v>
      </c>
      <c r="S13" s="18" t="n">
        <v>0</v>
      </c>
      <c r="T13" s="20" t="n">
        <v>0</v>
      </c>
      <c r="U13" s="18" t="n">
        <v>13.2674549</v>
      </c>
      <c r="V13" s="20" t="n">
        <v>1.53954513</v>
      </c>
    </row>
    <row r="14" spans="1:22">
      <c r="A14" s="15" t="s">
        <v>572</v>
      </c>
      <c r="B14" s="17" t="n">
        <v>5587</v>
      </c>
      <c r="C14" s="18">
        <f>(4960.0/B14*100)</f>
        <v/>
      </c>
      <c r="D14" s="19" t="n">
        <v>627</v>
      </c>
      <c r="E14" s="18" t="n">
        <v>18.43195655</v>
      </c>
      <c r="F14" s="20" t="n">
        <v>1.81895537</v>
      </c>
      <c r="G14" s="18" t="n">
        <v>33.86769473</v>
      </c>
      <c r="H14" s="20" t="n">
        <v>1.94974981</v>
      </c>
      <c r="I14" s="18" t="n">
        <v>21.20733526</v>
      </c>
      <c r="J14" s="20" t="n">
        <v>1.80446851</v>
      </c>
      <c r="K14" s="18" t="n">
        <v>18.034073</v>
      </c>
      <c r="L14" s="20" t="n">
        <v>1.63102109</v>
      </c>
      <c r="M14" s="18" t="n">
        <v>0</v>
      </c>
      <c r="N14" s="20" t="n">
        <v>0</v>
      </c>
      <c r="O14" s="18" t="n">
        <v>0.15532137</v>
      </c>
      <c r="P14" s="20" t="n">
        <v>0.15700102</v>
      </c>
      <c r="Q14" s="18" t="n">
        <v>0</v>
      </c>
      <c r="R14" s="20" t="n">
        <v>0</v>
      </c>
      <c r="S14" s="18" t="n">
        <v>0</v>
      </c>
      <c r="T14" s="20" t="n">
        <v>0</v>
      </c>
      <c r="U14" s="18" t="n">
        <v>8.303619080000001</v>
      </c>
      <c r="V14" s="20" t="n">
        <v>1.10734195</v>
      </c>
    </row>
    <row r="15" spans="1:22">
      <c r="A15" s="15" t="s">
        <v>573</v>
      </c>
      <c r="B15" s="17" t="n">
        <v>5882</v>
      </c>
      <c r="C15" s="18">
        <f>(5212.0/B15*100)</f>
        <v/>
      </c>
      <c r="D15" s="19" t="n">
        <v>670</v>
      </c>
      <c r="E15" s="18" t="n">
        <v>18.32570262</v>
      </c>
      <c r="F15" s="20" t="n">
        <v>1.50198334</v>
      </c>
      <c r="G15" s="18" t="n">
        <v>22.88566117</v>
      </c>
      <c r="H15" s="20" t="n">
        <v>1.95618509</v>
      </c>
      <c r="I15" s="18" t="n">
        <v>30.7703948</v>
      </c>
      <c r="J15" s="20" t="n">
        <v>1.74429095</v>
      </c>
      <c r="K15" s="18" t="n">
        <v>15.66739977</v>
      </c>
      <c r="L15" s="20" t="n">
        <v>1.41166082</v>
      </c>
      <c r="M15" s="18" t="n">
        <v>0</v>
      </c>
      <c r="N15" s="20" t="n">
        <v>0</v>
      </c>
      <c r="O15" s="18" t="n">
        <v>0</v>
      </c>
      <c r="P15" s="20" t="n">
        <v>0</v>
      </c>
      <c r="Q15" s="18" t="n">
        <v>0</v>
      </c>
      <c r="R15" s="20" t="n">
        <v>0</v>
      </c>
      <c r="S15" s="18" t="n">
        <v>0</v>
      </c>
      <c r="T15" s="20" t="n">
        <v>0</v>
      </c>
      <c r="U15" s="18" t="n">
        <v>12.35084164</v>
      </c>
      <c r="V15" s="20" t="n">
        <v>1.47939087</v>
      </c>
    </row>
    <row r="16" spans="1:22">
      <c r="A16" s="15" t="s">
        <v>574</v>
      </c>
      <c r="B16" s="17" t="n">
        <v>6108</v>
      </c>
      <c r="C16" s="18">
        <f>(5418.0/B16*100)</f>
        <v/>
      </c>
      <c r="D16" s="19" t="n">
        <v>690</v>
      </c>
      <c r="E16" s="18" t="n">
        <v>10.95357616</v>
      </c>
      <c r="F16" s="20" t="n">
        <v>1.20634927</v>
      </c>
      <c r="G16" s="18" t="n">
        <v>32.0406918</v>
      </c>
      <c r="H16" s="20" t="n">
        <v>1.79054966</v>
      </c>
      <c r="I16" s="18" t="n">
        <v>28.96261801</v>
      </c>
      <c r="J16" s="20" t="n">
        <v>1.71963829</v>
      </c>
      <c r="K16" s="18" t="n">
        <v>8.097380449999999</v>
      </c>
      <c r="L16" s="20" t="n">
        <v>1.1005541</v>
      </c>
      <c r="M16" s="18" t="n">
        <v>0</v>
      </c>
      <c r="N16" s="20" t="n">
        <v>0</v>
      </c>
      <c r="O16" s="18" t="n">
        <v>0.13597029</v>
      </c>
      <c r="P16" s="20" t="n">
        <v>0.14131757</v>
      </c>
      <c r="Q16" s="18" t="n">
        <v>0</v>
      </c>
      <c r="R16" s="20" t="n">
        <v>0</v>
      </c>
      <c r="S16" s="18" t="n">
        <v>0</v>
      </c>
      <c r="T16" s="20" t="n">
        <v>0</v>
      </c>
      <c r="U16" s="18" t="n">
        <v>19.80976328</v>
      </c>
      <c r="V16" s="20" t="n">
        <v>1.6064254</v>
      </c>
    </row>
    <row r="17" spans="1:22">
      <c r="A17" s="15" t="s">
        <v>575</v>
      </c>
      <c r="B17" s="17" t="n">
        <v>6504</v>
      </c>
      <c r="C17" s="18">
        <f>(5802.0/B17*100)</f>
        <v/>
      </c>
      <c r="D17" s="19" t="n">
        <v>702</v>
      </c>
      <c r="E17" s="18" t="n">
        <v>11.68395337</v>
      </c>
      <c r="F17" s="20" t="n">
        <v>1.24418266</v>
      </c>
      <c r="G17" s="18" t="n">
        <v>30.99410127</v>
      </c>
      <c r="H17" s="20" t="n">
        <v>1.72217349</v>
      </c>
      <c r="I17" s="18" t="n">
        <v>38.78161077</v>
      </c>
      <c r="J17" s="20" t="n">
        <v>1.87252294</v>
      </c>
      <c r="K17" s="18" t="n">
        <v>6.9030888</v>
      </c>
      <c r="L17" s="20" t="n">
        <v>1.39784072</v>
      </c>
      <c r="M17" s="18" t="n">
        <v>0</v>
      </c>
      <c r="N17" s="20" t="n">
        <v>0</v>
      </c>
      <c r="O17" s="18" t="n">
        <v>0</v>
      </c>
      <c r="P17" s="20" t="n">
        <v>0</v>
      </c>
      <c r="Q17" s="18" t="n">
        <v>0</v>
      </c>
      <c r="R17" s="20" t="n">
        <v>0</v>
      </c>
      <c r="S17" s="18" t="n">
        <v>0</v>
      </c>
      <c r="T17" s="20" t="n">
        <v>0</v>
      </c>
      <c r="U17" s="18" t="n">
        <v>11.63724579</v>
      </c>
      <c r="V17" s="20" t="n">
        <v>1.15701367</v>
      </c>
    </row>
    <row r="18" spans="1:22">
      <c r="A18" s="15" t="s">
        <v>576</v>
      </c>
      <c r="B18" s="17" t="n">
        <v>5532</v>
      </c>
      <c r="C18" s="18">
        <f>(4908.0/B18*100)</f>
        <v/>
      </c>
      <c r="D18" s="19" t="n">
        <v>624</v>
      </c>
      <c r="E18" s="18" t="n">
        <v>24.18618411</v>
      </c>
      <c r="F18" s="20" t="n">
        <v>1.67418889</v>
      </c>
      <c r="G18" s="18" t="n">
        <v>35.09962817</v>
      </c>
      <c r="H18" s="20" t="n">
        <v>2.29905321</v>
      </c>
      <c r="I18" s="18" t="n">
        <v>16.74775477</v>
      </c>
      <c r="J18" s="20" t="n">
        <v>1.42433838</v>
      </c>
      <c r="K18" s="18" t="n">
        <v>12.43417419</v>
      </c>
      <c r="L18" s="20" t="n">
        <v>1.53102545</v>
      </c>
      <c r="M18" s="18" t="n">
        <v>0</v>
      </c>
      <c r="N18" s="20" t="n">
        <v>0</v>
      </c>
      <c r="O18" s="18" t="n">
        <v>0.08847579</v>
      </c>
      <c r="P18" s="20" t="n">
        <v>0.0901236</v>
      </c>
      <c r="Q18" s="18" t="n">
        <v>0</v>
      </c>
      <c r="R18" s="20" t="n">
        <v>0</v>
      </c>
      <c r="S18" s="18" t="n">
        <v>0</v>
      </c>
      <c r="T18" s="20" t="n">
        <v>0</v>
      </c>
      <c r="U18" s="18" t="n">
        <v>11.44378297</v>
      </c>
      <c r="V18" s="20" t="n">
        <v>1.55008599</v>
      </c>
    </row>
    <row r="19" spans="1:22">
      <c r="A19" s="15" t="s">
        <v>577</v>
      </c>
      <c r="B19" s="17" t="n">
        <v>5658</v>
      </c>
      <c r="C19" s="18">
        <f>(5039.0/B19*100)</f>
        <v/>
      </c>
      <c r="D19" s="19" t="n">
        <v>619</v>
      </c>
      <c r="E19" s="18" t="n">
        <v>20.00877193</v>
      </c>
      <c r="F19" s="20" t="n">
        <v>1.56282718</v>
      </c>
      <c r="G19" s="18" t="n">
        <v>34.14728907</v>
      </c>
      <c r="H19" s="20" t="n">
        <v>1.8483479</v>
      </c>
      <c r="I19" s="18" t="n">
        <v>21.28184282</v>
      </c>
      <c r="J19" s="20" t="n">
        <v>1.59145257</v>
      </c>
      <c r="K19" s="18" t="n">
        <v>8.286503079999999</v>
      </c>
      <c r="L19" s="20" t="n">
        <v>1.0210064</v>
      </c>
      <c r="M19" s="18" t="n">
        <v>0</v>
      </c>
      <c r="N19" s="20" t="n">
        <v>0</v>
      </c>
      <c r="O19" s="18" t="n">
        <v>0</v>
      </c>
      <c r="P19" s="20" t="n">
        <v>0</v>
      </c>
      <c r="Q19" s="18" t="n">
        <v>0.13946757</v>
      </c>
      <c r="R19" s="20" t="n">
        <v>0.13836283</v>
      </c>
      <c r="S19" s="18" t="n">
        <v>0</v>
      </c>
      <c r="T19" s="20" t="n">
        <v>0</v>
      </c>
      <c r="U19" s="18" t="n">
        <v>16.13612553</v>
      </c>
      <c r="V19" s="20" t="n">
        <v>1.74937331</v>
      </c>
    </row>
    <row r="20" spans="1:22">
      <c r="A20" s="15" t="s">
        <v>578</v>
      </c>
      <c r="B20" s="17" t="n">
        <v>3371</v>
      </c>
      <c r="C20" s="18">
        <f>(3009.0/B20*100)</f>
        <v/>
      </c>
      <c r="D20" s="19" t="n">
        <v>362</v>
      </c>
      <c r="E20" s="18" t="n">
        <v>18.2299302</v>
      </c>
      <c r="F20" s="20" t="n">
        <v>2.09815477</v>
      </c>
      <c r="G20" s="18" t="n">
        <v>32.69116805</v>
      </c>
      <c r="H20" s="20" t="n">
        <v>2.48726416</v>
      </c>
      <c r="I20" s="18" t="n">
        <v>27.63177342</v>
      </c>
      <c r="J20" s="20" t="n">
        <v>2.58493283</v>
      </c>
      <c r="K20" s="18" t="n">
        <v>4.70336327</v>
      </c>
      <c r="L20" s="20" t="n">
        <v>1.24645846</v>
      </c>
      <c r="M20" s="18" t="n">
        <v>0</v>
      </c>
      <c r="N20" s="20" t="n">
        <v>0</v>
      </c>
      <c r="O20" s="18" t="n">
        <v>0.24439769</v>
      </c>
      <c r="P20" s="20" t="n">
        <v>0.24480237</v>
      </c>
      <c r="Q20" s="18" t="n">
        <v>0.76394124</v>
      </c>
      <c r="R20" s="20" t="n">
        <v>0.71028243</v>
      </c>
      <c r="S20" s="18" t="n">
        <v>0</v>
      </c>
      <c r="T20" s="20" t="n">
        <v>0</v>
      </c>
      <c r="U20" s="18" t="n">
        <v>15.73542613</v>
      </c>
      <c r="V20" s="20" t="n">
        <v>2.06800525</v>
      </c>
    </row>
    <row r="21" spans="1:22">
      <c r="A21" s="15" t="s">
        <v>579</v>
      </c>
      <c r="B21" s="17" t="n">
        <v>5741</v>
      </c>
      <c r="C21" s="18">
        <f>(5076.0/B21*100)</f>
        <v/>
      </c>
      <c r="D21" s="19" t="n">
        <v>665</v>
      </c>
      <c r="E21" s="18" t="n">
        <v>14.88908527</v>
      </c>
      <c r="F21" s="20" t="n">
        <v>1.5196776</v>
      </c>
      <c r="G21" s="18" t="n">
        <v>15.42922002</v>
      </c>
      <c r="H21" s="20" t="n">
        <v>1.37446681</v>
      </c>
      <c r="I21" s="18" t="n">
        <v>60.02276217</v>
      </c>
      <c r="J21" s="20" t="n">
        <v>2.02112661</v>
      </c>
      <c r="K21" s="18" t="n">
        <v>3.54514775</v>
      </c>
      <c r="L21" s="20" t="n">
        <v>0.72675263</v>
      </c>
      <c r="M21" s="18" t="n">
        <v>0</v>
      </c>
      <c r="N21" s="20" t="n">
        <v>0</v>
      </c>
      <c r="O21" s="18" t="n">
        <v>0</v>
      </c>
      <c r="P21" s="20" t="n">
        <v>0</v>
      </c>
      <c r="Q21" s="18" t="n">
        <v>0</v>
      </c>
      <c r="R21" s="20" t="n">
        <v>0</v>
      </c>
      <c r="S21" s="18" t="n">
        <v>0</v>
      </c>
      <c r="T21" s="20" t="n">
        <v>0</v>
      </c>
      <c r="U21" s="18" t="n">
        <v>6.11378479</v>
      </c>
      <c r="V21" s="20" t="n">
        <v>0.82509767</v>
      </c>
    </row>
    <row r="22" spans="1:22">
      <c r="A22" s="15" t="s">
        <v>580</v>
      </c>
      <c r="B22" s="17" t="n">
        <v>6598</v>
      </c>
      <c r="C22" s="18">
        <f>(5878.0/B22*100)</f>
        <v/>
      </c>
      <c r="D22" s="19" t="n">
        <v>720</v>
      </c>
      <c r="E22" s="18" t="n">
        <v>11.01159352</v>
      </c>
      <c r="F22" s="20" t="n">
        <v>1.21646823</v>
      </c>
      <c r="G22" s="18" t="n">
        <v>40.31342976</v>
      </c>
      <c r="H22" s="20" t="n">
        <v>1.98182123</v>
      </c>
      <c r="I22" s="18" t="n">
        <v>24.94380261</v>
      </c>
      <c r="J22" s="20" t="n">
        <v>1.95641541</v>
      </c>
      <c r="K22" s="18" t="n">
        <v>7.8335638</v>
      </c>
      <c r="L22" s="20" t="n">
        <v>1.06393361</v>
      </c>
      <c r="M22" s="18" t="n">
        <v>0</v>
      </c>
      <c r="N22" s="20" t="n">
        <v>0</v>
      </c>
      <c r="O22" s="18" t="n">
        <v>0.8032567900000001</v>
      </c>
      <c r="P22" s="20" t="n">
        <v>0.37636424</v>
      </c>
      <c r="Q22" s="18" t="n">
        <v>0</v>
      </c>
      <c r="R22" s="20" t="n">
        <v>0</v>
      </c>
      <c r="S22" s="18" t="n">
        <v>0</v>
      </c>
      <c r="T22" s="20" t="n">
        <v>0</v>
      </c>
      <c r="U22" s="18" t="n">
        <v>15.09435352</v>
      </c>
      <c r="V22" s="20" t="n">
        <v>1.30857291</v>
      </c>
    </row>
    <row r="23" spans="1:22">
      <c r="A23" s="15" t="s">
        <v>581</v>
      </c>
      <c r="B23" s="17" t="n">
        <v>11583</v>
      </c>
      <c r="C23" s="18">
        <f>(10305.0/B23*100)</f>
        <v/>
      </c>
      <c r="D23" s="19" t="n">
        <v>1278</v>
      </c>
      <c r="E23" s="18" t="n">
        <v>22.90258511</v>
      </c>
      <c r="F23" s="20" t="n">
        <v>1.88494865</v>
      </c>
      <c r="G23" s="18" t="n">
        <v>24.00492859</v>
      </c>
      <c r="H23" s="20" t="n">
        <v>1.73268719</v>
      </c>
      <c r="I23" s="18" t="n">
        <v>15.78700182</v>
      </c>
      <c r="J23" s="20" t="n">
        <v>1.28849837</v>
      </c>
      <c r="K23" s="18" t="n">
        <v>17.83869099</v>
      </c>
      <c r="L23" s="20" t="n">
        <v>1.34249617</v>
      </c>
      <c r="M23" s="18" t="n">
        <v>0</v>
      </c>
      <c r="N23" s="20" t="n">
        <v>0</v>
      </c>
      <c r="O23" s="18" t="n">
        <v>0</v>
      </c>
      <c r="P23" s="20" t="n">
        <v>0</v>
      </c>
      <c r="Q23" s="18" t="n">
        <v>0.09605096</v>
      </c>
      <c r="R23" s="20" t="n">
        <v>0.10232966</v>
      </c>
      <c r="S23" s="18" t="n">
        <v>0</v>
      </c>
      <c r="T23" s="20" t="n">
        <v>0</v>
      </c>
      <c r="U23" s="18" t="n">
        <v>19.37074253</v>
      </c>
      <c r="V23" s="20" t="n">
        <v>1.56929254</v>
      </c>
    </row>
    <row r="24" spans="1:22">
      <c r="A24" s="15" t="s">
        <v>582</v>
      </c>
      <c r="B24" s="17" t="n">
        <v>6647</v>
      </c>
      <c r="C24" s="18">
        <f>(5913.0/B24*100)</f>
        <v/>
      </c>
      <c r="D24" s="19" t="n">
        <v>734</v>
      </c>
      <c r="E24" s="18" t="n">
        <v>5.76368396</v>
      </c>
      <c r="F24" s="20" t="n">
        <v>0.81323431</v>
      </c>
      <c r="G24" s="18" t="n">
        <v>11.80134433</v>
      </c>
      <c r="H24" s="20" t="n">
        <v>1.17777119</v>
      </c>
      <c r="I24" s="18" t="n">
        <v>50.29639438</v>
      </c>
      <c r="J24" s="20" t="n">
        <v>2.04761705</v>
      </c>
      <c r="K24" s="18" t="n">
        <v>27.33300833</v>
      </c>
      <c r="L24" s="20" t="n">
        <v>2.0362806</v>
      </c>
      <c r="M24" s="18" t="n">
        <v>0</v>
      </c>
      <c r="N24" s="20" t="n">
        <v>0</v>
      </c>
      <c r="O24" s="18" t="n">
        <v>0</v>
      </c>
      <c r="P24" s="20" t="n">
        <v>0</v>
      </c>
      <c r="Q24" s="18" t="n">
        <v>0</v>
      </c>
      <c r="R24" s="20" t="n">
        <v>0</v>
      </c>
      <c r="S24" s="18" t="n">
        <v>0</v>
      </c>
      <c r="T24" s="20" t="n">
        <v>0</v>
      </c>
      <c r="U24" s="18" t="n">
        <v>4.805569</v>
      </c>
      <c r="V24" s="20" t="n">
        <v>0.84305792</v>
      </c>
    </row>
    <row r="25" spans="1:22">
      <c r="A25" s="15" t="s">
        <v>583</v>
      </c>
      <c r="B25" s="17" t="n">
        <v>5581</v>
      </c>
      <c r="C25" s="18">
        <f>(4964.0/B25*100)</f>
        <v/>
      </c>
      <c r="D25" s="19" t="n">
        <v>617</v>
      </c>
      <c r="E25" s="18" t="n">
        <v>9.87648203</v>
      </c>
      <c r="F25" s="20" t="n">
        <v>1.14905259</v>
      </c>
      <c r="G25" s="18" t="n">
        <v>28.18899604</v>
      </c>
      <c r="H25" s="20" t="n">
        <v>1.92176961</v>
      </c>
      <c r="I25" s="18" t="n">
        <v>48.22064116</v>
      </c>
      <c r="J25" s="20" t="n">
        <v>2.38950319</v>
      </c>
      <c r="K25" s="18" t="n">
        <v>4.05822998</v>
      </c>
      <c r="L25" s="20" t="n">
        <v>0.79747753</v>
      </c>
      <c r="M25" s="18" t="n">
        <v>0</v>
      </c>
      <c r="N25" s="20" t="n">
        <v>0</v>
      </c>
      <c r="O25" s="18" t="n">
        <v>0.15996681</v>
      </c>
      <c r="P25" s="20" t="n">
        <v>0.16045228</v>
      </c>
      <c r="Q25" s="18" t="n">
        <v>0</v>
      </c>
      <c r="R25" s="20" t="n">
        <v>0</v>
      </c>
      <c r="S25" s="18" t="n">
        <v>0</v>
      </c>
      <c r="T25" s="20" t="n">
        <v>0</v>
      </c>
      <c r="U25" s="18" t="n">
        <v>9.495683980000001</v>
      </c>
      <c r="V25" s="20" t="n">
        <v>1.3346152</v>
      </c>
    </row>
    <row r="26" spans="1:22">
      <c r="A26" s="15" t="s">
        <v>584</v>
      </c>
      <c r="B26" s="17" t="n">
        <v>4869</v>
      </c>
      <c r="C26" s="18">
        <f>(4322.0/B26*100)</f>
        <v/>
      </c>
      <c r="D26" s="19" t="n">
        <v>547</v>
      </c>
      <c r="E26" s="18" t="n">
        <v>16.57439377</v>
      </c>
      <c r="F26" s="20" t="n">
        <v>1.66095665</v>
      </c>
      <c r="G26" s="18" t="n">
        <v>39.42144188</v>
      </c>
      <c r="H26" s="20" t="n">
        <v>2.18708068</v>
      </c>
      <c r="I26" s="18" t="n">
        <v>18.51316299</v>
      </c>
      <c r="J26" s="20" t="n">
        <v>1.55936275</v>
      </c>
      <c r="K26" s="18" t="n">
        <v>9.78166053</v>
      </c>
      <c r="L26" s="20" t="n">
        <v>1.5285893</v>
      </c>
      <c r="M26" s="18" t="n">
        <v>0</v>
      </c>
      <c r="N26" s="20" t="n">
        <v>0</v>
      </c>
      <c r="O26" s="18" t="n">
        <v>0</v>
      </c>
      <c r="P26" s="20" t="n">
        <v>0</v>
      </c>
      <c r="Q26" s="18" t="n">
        <v>0.16403263</v>
      </c>
      <c r="R26" s="20" t="n">
        <v>0.16395908</v>
      </c>
      <c r="S26" s="18" t="n">
        <v>0</v>
      </c>
      <c r="T26" s="20" t="n">
        <v>0</v>
      </c>
      <c r="U26" s="18" t="n">
        <v>15.54530819</v>
      </c>
      <c r="V26" s="20" t="n">
        <v>1.69143351</v>
      </c>
    </row>
    <row r="27" spans="1:22">
      <c r="A27" s="15" t="s">
        <v>585</v>
      </c>
      <c r="B27" s="17" t="n">
        <v>5299</v>
      </c>
      <c r="C27" s="18">
        <f>(4702.0/B27*100)</f>
        <v/>
      </c>
      <c r="D27" s="19" t="n">
        <v>597</v>
      </c>
      <c r="E27" s="18" t="n">
        <v>11.25270674</v>
      </c>
      <c r="F27" s="20" t="n">
        <v>1.38296077</v>
      </c>
      <c r="G27" s="18" t="n">
        <v>37.13873189</v>
      </c>
      <c r="H27" s="20" t="n">
        <v>1.86900654</v>
      </c>
      <c r="I27" s="18" t="n">
        <v>24.38540017</v>
      </c>
      <c r="J27" s="20" t="n">
        <v>1.85083576</v>
      </c>
      <c r="K27" s="18" t="n">
        <v>9.51104501</v>
      </c>
      <c r="L27" s="20" t="n">
        <v>1.1723377</v>
      </c>
      <c r="M27" s="18" t="n">
        <v>0</v>
      </c>
      <c r="N27" s="20" t="n">
        <v>0</v>
      </c>
      <c r="O27" s="18" t="n">
        <v>0.17790746</v>
      </c>
      <c r="P27" s="20" t="n">
        <v>0.17823611</v>
      </c>
      <c r="Q27" s="18" t="n">
        <v>0</v>
      </c>
      <c r="R27" s="20" t="n">
        <v>0</v>
      </c>
      <c r="S27" s="18" t="n">
        <v>0</v>
      </c>
      <c r="T27" s="20" t="n">
        <v>0</v>
      </c>
      <c r="U27" s="18" t="n">
        <v>17.53420873</v>
      </c>
      <c r="V27" s="20" t="n">
        <v>1.59334588</v>
      </c>
    </row>
    <row r="28" spans="1:22">
      <c r="A28" s="15" t="s">
        <v>586</v>
      </c>
      <c r="B28" s="17" t="n">
        <v>7568</v>
      </c>
      <c r="C28" s="18">
        <f>(6742.0/B28*100)</f>
        <v/>
      </c>
      <c r="D28" s="19" t="n">
        <v>826</v>
      </c>
      <c r="E28" s="18" t="n">
        <v>12.66106563</v>
      </c>
      <c r="F28" s="20" t="n">
        <v>1.18141549</v>
      </c>
      <c r="G28" s="18" t="n">
        <v>70.63199409000001</v>
      </c>
      <c r="H28" s="20" t="n">
        <v>1.647011</v>
      </c>
      <c r="I28" s="18" t="n">
        <v>9.23329507</v>
      </c>
      <c r="J28" s="20" t="n">
        <v>1.10225378</v>
      </c>
      <c r="K28" s="18" t="n">
        <v>1.21965014</v>
      </c>
      <c r="L28" s="20" t="n">
        <v>0.40795124</v>
      </c>
      <c r="M28" s="18" t="n">
        <v>0</v>
      </c>
      <c r="N28" s="20" t="n">
        <v>0</v>
      </c>
      <c r="O28" s="18" t="n">
        <v>0</v>
      </c>
      <c r="P28" s="20" t="n">
        <v>0</v>
      </c>
      <c r="Q28" s="18" t="n">
        <v>0</v>
      </c>
      <c r="R28" s="20" t="n">
        <v>0</v>
      </c>
      <c r="S28" s="18" t="n">
        <v>0</v>
      </c>
      <c r="T28" s="20" t="n">
        <v>0</v>
      </c>
      <c r="U28" s="18" t="n">
        <v>6.25399507</v>
      </c>
      <c r="V28" s="20" t="n">
        <v>0.94386452</v>
      </c>
    </row>
    <row r="29" spans="1:22">
      <c r="A29" s="15" t="s">
        <v>587</v>
      </c>
      <c r="B29" s="17" t="n">
        <v>5385</v>
      </c>
      <c r="C29" s="18">
        <f>(4803.0/B29*100)</f>
        <v/>
      </c>
      <c r="D29" s="19" t="n">
        <v>582</v>
      </c>
      <c r="E29" s="18" t="n">
        <v>18.95711975</v>
      </c>
      <c r="F29" s="20" t="n">
        <v>1.72541653</v>
      </c>
      <c r="G29" s="18" t="n">
        <v>36.84847552</v>
      </c>
      <c r="H29" s="20" t="n">
        <v>2.20173669</v>
      </c>
      <c r="I29" s="18" t="n">
        <v>31.68422328</v>
      </c>
      <c r="J29" s="20" t="n">
        <v>2.09263946</v>
      </c>
      <c r="K29" s="18" t="n">
        <v>5.19963198</v>
      </c>
      <c r="L29" s="20" t="n">
        <v>0.98260154</v>
      </c>
      <c r="M29" s="18" t="n">
        <v>0</v>
      </c>
      <c r="N29" s="20" t="n">
        <v>0</v>
      </c>
      <c r="O29" s="18" t="n">
        <v>0.17696287</v>
      </c>
      <c r="P29" s="20" t="n">
        <v>0.17544565</v>
      </c>
      <c r="Q29" s="18" t="n">
        <v>0</v>
      </c>
      <c r="R29" s="20" t="n">
        <v>0</v>
      </c>
      <c r="S29" s="18" t="n">
        <v>0</v>
      </c>
      <c r="T29" s="20" t="n">
        <v>0</v>
      </c>
      <c r="U29" s="18" t="n">
        <v>7.13358659</v>
      </c>
      <c r="V29" s="20" t="n">
        <v>1.21049347</v>
      </c>
    </row>
    <row r="30" spans="1:22">
      <c r="A30" s="15" t="s">
        <v>588</v>
      </c>
      <c r="B30" s="17" t="n">
        <v>4520</v>
      </c>
      <c r="C30" s="18">
        <f>(4001.0/B30*100)</f>
        <v/>
      </c>
      <c r="D30" s="19" t="n">
        <v>519</v>
      </c>
      <c r="E30" s="18" t="n">
        <v>14.16014417</v>
      </c>
      <c r="F30" s="20" t="n">
        <v>1.47529106</v>
      </c>
      <c r="G30" s="18" t="n">
        <v>24.13950334</v>
      </c>
      <c r="H30" s="20" t="n">
        <v>2.24519051</v>
      </c>
      <c r="I30" s="18" t="n">
        <v>42.02926979</v>
      </c>
      <c r="J30" s="20" t="n">
        <v>2.2820484</v>
      </c>
      <c r="K30" s="18" t="n">
        <v>7.3620586</v>
      </c>
      <c r="L30" s="20" t="n">
        <v>1.25707092</v>
      </c>
      <c r="M30" s="18" t="n">
        <v>0</v>
      </c>
      <c r="N30" s="20" t="n">
        <v>0</v>
      </c>
      <c r="O30" s="18" t="n">
        <v>0.18782931</v>
      </c>
      <c r="P30" s="20" t="n">
        <v>0.18185094</v>
      </c>
      <c r="Q30" s="18" t="n">
        <v>0</v>
      </c>
      <c r="R30" s="20" t="n">
        <v>0</v>
      </c>
      <c r="S30" s="18" t="n">
        <v>0</v>
      </c>
      <c r="T30" s="20" t="n">
        <v>0</v>
      </c>
      <c r="U30" s="18" t="n">
        <v>12.12119479</v>
      </c>
      <c r="V30" s="20" t="n">
        <v>1.41633391</v>
      </c>
    </row>
    <row r="31" spans="1:22">
      <c r="A31" s="15" t="s">
        <v>589</v>
      </c>
      <c r="B31" s="17" t="n">
        <v>5456</v>
      </c>
      <c r="C31" s="18">
        <f>(4851.0/B31*100)</f>
        <v/>
      </c>
      <c r="D31" s="19" t="n">
        <v>605</v>
      </c>
      <c r="E31" s="18" t="n">
        <v>9.80937379</v>
      </c>
      <c r="F31" s="20" t="n">
        <v>1.19110839</v>
      </c>
      <c r="G31" s="18" t="n">
        <v>34.19544191</v>
      </c>
      <c r="H31" s="20" t="n">
        <v>2.05166263</v>
      </c>
      <c r="I31" s="18" t="n">
        <v>36.9438686</v>
      </c>
      <c r="J31" s="20" t="n">
        <v>2.04512915</v>
      </c>
      <c r="K31" s="18" t="n">
        <v>2.99091615</v>
      </c>
      <c r="L31" s="20" t="n">
        <v>0.77536967</v>
      </c>
      <c r="M31" s="18" t="n">
        <v>0</v>
      </c>
      <c r="N31" s="20" t="n">
        <v>0</v>
      </c>
      <c r="O31" s="18" t="n">
        <v>0.13961748</v>
      </c>
      <c r="P31" s="20" t="n">
        <v>0.13935919</v>
      </c>
      <c r="Q31" s="18" t="n">
        <v>0</v>
      </c>
      <c r="R31" s="20" t="n">
        <v>0</v>
      </c>
      <c r="S31" s="18" t="n">
        <v>0</v>
      </c>
      <c r="T31" s="20" t="n">
        <v>0</v>
      </c>
      <c r="U31" s="18" t="n">
        <v>15.92078208</v>
      </c>
      <c r="V31" s="20" t="n">
        <v>1.47574668</v>
      </c>
    </row>
    <row r="32" spans="1:22">
      <c r="A32" s="15" t="s">
        <v>590</v>
      </c>
      <c r="B32" s="17" t="n">
        <v>4478</v>
      </c>
      <c r="C32" s="18">
        <f>(3984.0/B32*100)</f>
        <v/>
      </c>
      <c r="D32" s="19" t="n">
        <v>494</v>
      </c>
      <c r="E32" s="18" t="n">
        <v>18.33121434</v>
      </c>
      <c r="F32" s="20" t="n">
        <v>1.76763366</v>
      </c>
      <c r="G32" s="18" t="n">
        <v>23.45013766</v>
      </c>
      <c r="H32" s="20" t="n">
        <v>1.85570707</v>
      </c>
      <c r="I32" s="18" t="n">
        <v>41.49949615</v>
      </c>
      <c r="J32" s="20" t="n">
        <v>2.2053699</v>
      </c>
      <c r="K32" s="18" t="n">
        <v>2.69288779</v>
      </c>
      <c r="L32" s="20" t="n">
        <v>0.64633907</v>
      </c>
      <c r="M32" s="18" t="n">
        <v>0</v>
      </c>
      <c r="N32" s="20" t="n">
        <v>0</v>
      </c>
      <c r="O32" s="18" t="n">
        <v>0.17838464</v>
      </c>
      <c r="P32" s="20" t="n">
        <v>0.17457535</v>
      </c>
      <c r="Q32" s="18" t="n">
        <v>0</v>
      </c>
      <c r="R32" s="20" t="n">
        <v>0</v>
      </c>
      <c r="S32" s="18" t="n">
        <v>0</v>
      </c>
      <c r="T32" s="20" t="n">
        <v>0</v>
      </c>
      <c r="U32" s="18" t="n">
        <v>13.84787942</v>
      </c>
      <c r="V32" s="20" t="n">
        <v>1.43542876</v>
      </c>
    </row>
    <row r="33" spans="1:22">
      <c r="A33" s="15" t="s">
        <v>591</v>
      </c>
      <c r="B33" s="17" t="n">
        <v>7325</v>
      </c>
      <c r="C33" s="18">
        <f>(6517.0/B33*100)</f>
        <v/>
      </c>
      <c r="D33" s="19" t="n">
        <v>808</v>
      </c>
      <c r="E33" s="18" t="n">
        <v>23.32846999</v>
      </c>
      <c r="F33" s="20" t="n">
        <v>1.84142101</v>
      </c>
      <c r="G33" s="18" t="n">
        <v>31.08165503</v>
      </c>
      <c r="H33" s="20" t="n">
        <v>1.89363561</v>
      </c>
      <c r="I33" s="18" t="n">
        <v>14.55486734</v>
      </c>
      <c r="J33" s="20" t="n">
        <v>1.45544847</v>
      </c>
      <c r="K33" s="18" t="n">
        <v>19.61059708</v>
      </c>
      <c r="L33" s="20" t="n">
        <v>1.62265352</v>
      </c>
      <c r="M33" s="18" t="n">
        <v>0</v>
      </c>
      <c r="N33" s="20" t="n">
        <v>0</v>
      </c>
      <c r="O33" s="18" t="n">
        <v>0</v>
      </c>
      <c r="P33" s="20" t="n">
        <v>0</v>
      </c>
      <c r="Q33" s="18" t="n">
        <v>0</v>
      </c>
      <c r="R33" s="20" t="n">
        <v>0</v>
      </c>
      <c r="S33" s="18" t="n">
        <v>0</v>
      </c>
      <c r="T33" s="20" t="n">
        <v>0</v>
      </c>
      <c r="U33" s="18" t="n">
        <v>11.42441057</v>
      </c>
      <c r="V33" s="20" t="n">
        <v>1.32905791</v>
      </c>
    </row>
    <row r="34" spans="1:22">
      <c r="A34" s="15" t="s">
        <v>592</v>
      </c>
      <c r="B34" s="17" t="n">
        <v>6350</v>
      </c>
      <c r="C34" s="18">
        <f>(5696.0/B34*100)</f>
        <v/>
      </c>
      <c r="D34" s="19" t="n">
        <v>654</v>
      </c>
      <c r="E34" s="18" t="n">
        <v>24.70382827</v>
      </c>
      <c r="F34" s="20" t="n">
        <v>1.75146658</v>
      </c>
      <c r="G34" s="18" t="n">
        <v>32.18789554</v>
      </c>
      <c r="H34" s="20" t="n">
        <v>1.52650778</v>
      </c>
      <c r="I34" s="18" t="n">
        <v>21.19977637</v>
      </c>
      <c r="J34" s="20" t="n">
        <v>1.8141687</v>
      </c>
      <c r="K34" s="18" t="n">
        <v>6.95278671</v>
      </c>
      <c r="L34" s="20" t="n">
        <v>1.06792599</v>
      </c>
      <c r="M34" s="18" t="n">
        <v>0</v>
      </c>
      <c r="N34" s="20" t="n">
        <v>0</v>
      </c>
      <c r="O34" s="18" t="n">
        <v>0</v>
      </c>
      <c r="P34" s="20" t="n">
        <v>0</v>
      </c>
      <c r="Q34" s="18" t="n">
        <v>0.27746111</v>
      </c>
      <c r="R34" s="20" t="n">
        <v>0.19707492</v>
      </c>
      <c r="S34" s="18" t="n">
        <v>0</v>
      </c>
      <c r="T34" s="20" t="n">
        <v>0</v>
      </c>
      <c r="U34" s="18" t="n">
        <v>14.67825199</v>
      </c>
      <c r="V34" s="20" t="n">
        <v>1.38162099</v>
      </c>
    </row>
    <row r="35" spans="1:22">
      <c r="A35" s="15" t="s">
        <v>593</v>
      </c>
      <c r="B35" s="17" t="n">
        <v>6406</v>
      </c>
      <c r="C35" s="18">
        <f>(5712.0/B35*100)</f>
        <v/>
      </c>
      <c r="D35" s="19" t="n">
        <v>694</v>
      </c>
      <c r="E35" s="18" t="n">
        <v>15.11514784</v>
      </c>
      <c r="F35" s="20" t="n">
        <v>1.74541116</v>
      </c>
      <c r="G35" s="18" t="n">
        <v>39.8575399</v>
      </c>
      <c r="H35" s="20" t="n">
        <v>2.27227005</v>
      </c>
      <c r="I35" s="18" t="n">
        <v>15.84005344</v>
      </c>
      <c r="J35" s="20" t="n">
        <v>1.71781195</v>
      </c>
      <c r="K35" s="18" t="n">
        <v>16.6953383</v>
      </c>
      <c r="L35" s="20" t="n">
        <v>1.97454885</v>
      </c>
      <c r="M35" s="18" t="n">
        <v>0</v>
      </c>
      <c r="N35" s="20" t="n">
        <v>0</v>
      </c>
      <c r="O35" s="18" t="n">
        <v>0</v>
      </c>
      <c r="P35" s="20" t="n">
        <v>0</v>
      </c>
      <c r="Q35" s="18" t="n">
        <v>0.30961307</v>
      </c>
      <c r="R35" s="20" t="n">
        <v>0.24587247</v>
      </c>
      <c r="S35" s="18" t="n">
        <v>0</v>
      </c>
      <c r="T35" s="20" t="n">
        <v>0</v>
      </c>
      <c r="U35" s="18" t="n">
        <v>12.18230745</v>
      </c>
      <c r="V35" s="20" t="n">
        <v>1.35165054</v>
      </c>
    </row>
    <row r="36" spans="1:22">
      <c r="A36" s="15" t="s">
        <v>594</v>
      </c>
      <c r="B36" s="17" t="n">
        <v>6736</v>
      </c>
      <c r="C36" s="18">
        <f>(5969.0/B36*100)</f>
        <v/>
      </c>
      <c r="D36" s="19" t="n">
        <v>767</v>
      </c>
      <c r="E36" s="18" t="n">
        <v>16.88666882</v>
      </c>
      <c r="F36" s="20" t="n">
        <v>1.41371322</v>
      </c>
      <c r="G36" s="18" t="n">
        <v>33.51120624</v>
      </c>
      <c r="H36" s="20" t="n">
        <v>1.75847988</v>
      </c>
      <c r="I36" s="18" t="n">
        <v>29.24451865</v>
      </c>
      <c r="J36" s="20" t="n">
        <v>1.60480242</v>
      </c>
      <c r="K36" s="18" t="n">
        <v>9.07346474</v>
      </c>
      <c r="L36" s="20" t="n">
        <v>0.96178772</v>
      </c>
      <c r="M36" s="18" t="n">
        <v>0</v>
      </c>
      <c r="N36" s="20" t="n">
        <v>0</v>
      </c>
      <c r="O36" s="18" t="n">
        <v>0</v>
      </c>
      <c r="P36" s="20" t="n">
        <v>0</v>
      </c>
      <c r="Q36" s="18" t="n">
        <v>0</v>
      </c>
      <c r="R36" s="20" t="n">
        <v>0</v>
      </c>
      <c r="S36" s="18" t="n">
        <v>0.12121996</v>
      </c>
      <c r="T36" s="20" t="n">
        <v>0.12094835</v>
      </c>
      <c r="U36" s="18" t="n">
        <v>11.16292159</v>
      </c>
      <c r="V36" s="20" t="n">
        <v>1.30543056</v>
      </c>
    </row>
    <row r="37" spans="1:22">
      <c r="A37" s="15" t="s">
        <v>595</v>
      </c>
      <c r="B37" s="17" t="n">
        <v>5458</v>
      </c>
      <c r="C37" s="18">
        <f>(4858.0/B37*100)</f>
        <v/>
      </c>
      <c r="D37" s="19" t="n">
        <v>600</v>
      </c>
      <c r="E37" s="18" t="n">
        <v>6.95396416</v>
      </c>
      <c r="F37" s="20" t="n">
        <v>1.01788701</v>
      </c>
      <c r="G37" s="18" t="n">
        <v>26.65494398</v>
      </c>
      <c r="H37" s="20" t="n">
        <v>2.04998035</v>
      </c>
      <c r="I37" s="18" t="n">
        <v>40.26473713</v>
      </c>
      <c r="J37" s="20" t="n">
        <v>2.1691968</v>
      </c>
      <c r="K37" s="18" t="n">
        <v>14.73591862</v>
      </c>
      <c r="L37" s="20" t="n">
        <v>1.69143317</v>
      </c>
      <c r="M37" s="18" t="n">
        <v>0</v>
      </c>
      <c r="N37" s="20" t="n">
        <v>0</v>
      </c>
      <c r="O37" s="18" t="n">
        <v>0</v>
      </c>
      <c r="P37" s="20" t="n">
        <v>0</v>
      </c>
      <c r="Q37" s="18" t="n">
        <v>0</v>
      </c>
      <c r="R37" s="20" t="n">
        <v>0</v>
      </c>
      <c r="S37" s="18" t="n">
        <v>0</v>
      </c>
      <c r="T37" s="20" t="n">
        <v>0</v>
      </c>
      <c r="U37" s="18" t="n">
        <v>11.3904361</v>
      </c>
      <c r="V37" s="20" t="n">
        <v>1.24178923</v>
      </c>
    </row>
    <row r="38" spans="1:22">
      <c r="A38" s="15" t="s">
        <v>596</v>
      </c>
      <c r="B38" s="17" t="n">
        <v>5860</v>
      </c>
      <c r="C38" s="18">
        <f>(5231.0/B38*100)</f>
        <v/>
      </c>
      <c r="D38" s="19" t="n">
        <v>629</v>
      </c>
      <c r="E38" s="18" t="n">
        <v>8.19776467</v>
      </c>
      <c r="F38" s="20" t="n">
        <v>1.20412696</v>
      </c>
      <c r="G38" s="18" t="n">
        <v>35.88073198</v>
      </c>
      <c r="H38" s="20" t="n">
        <v>2.52431777</v>
      </c>
      <c r="I38" s="18" t="n">
        <v>25.59758282</v>
      </c>
      <c r="J38" s="20" t="n">
        <v>1.93111288</v>
      </c>
      <c r="K38" s="18" t="n">
        <v>12.36368457</v>
      </c>
      <c r="L38" s="20" t="n">
        <v>1.42186379</v>
      </c>
      <c r="M38" s="18" t="n">
        <v>0</v>
      </c>
      <c r="N38" s="20" t="n">
        <v>0</v>
      </c>
      <c r="O38" s="18" t="n">
        <v>0.23372428</v>
      </c>
      <c r="P38" s="20" t="n">
        <v>0.23733295</v>
      </c>
      <c r="Q38" s="18" t="n">
        <v>3.72513482</v>
      </c>
      <c r="R38" s="20" t="n">
        <v>0.86022041</v>
      </c>
      <c r="S38" s="18" t="n">
        <v>0</v>
      </c>
      <c r="T38" s="20" t="n">
        <v>0</v>
      </c>
      <c r="U38" s="18" t="n">
        <v>14.00137687</v>
      </c>
      <c r="V38" s="20" t="n">
        <v>1.81416435</v>
      </c>
    </row>
    <row r="39" spans="1:22">
      <c r="A39" s="15" t="s">
        <v>597</v>
      </c>
      <c r="B39" s="17" t="n">
        <v>5895</v>
      </c>
      <c r="C39" s="18">
        <f>(5240.0/B39*100)</f>
        <v/>
      </c>
      <c r="D39" s="19" t="n">
        <v>655</v>
      </c>
      <c r="E39" s="18" t="n">
        <v>20.4615453</v>
      </c>
      <c r="F39" s="20" t="n">
        <v>2.153117</v>
      </c>
      <c r="G39" s="18" t="n">
        <v>52.72429286</v>
      </c>
      <c r="H39" s="20" t="n">
        <v>2.86988686</v>
      </c>
      <c r="I39" s="18" t="n">
        <v>8.08331158</v>
      </c>
      <c r="J39" s="20" t="n">
        <v>1.08850419</v>
      </c>
      <c r="K39" s="18" t="n">
        <v>7.89897661</v>
      </c>
      <c r="L39" s="20" t="n">
        <v>1.35371722</v>
      </c>
      <c r="M39" s="18" t="n">
        <v>0</v>
      </c>
      <c r="N39" s="20" t="n">
        <v>0</v>
      </c>
      <c r="O39" s="18" t="n">
        <v>0.10841926</v>
      </c>
      <c r="P39" s="20" t="n">
        <v>0.111631</v>
      </c>
      <c r="Q39" s="18" t="n">
        <v>0</v>
      </c>
      <c r="R39" s="20" t="n">
        <v>0</v>
      </c>
      <c r="S39" s="18" t="n">
        <v>0</v>
      </c>
      <c r="T39" s="20" t="n">
        <v>0</v>
      </c>
      <c r="U39" s="18" t="n">
        <v>10.72345437</v>
      </c>
      <c r="V39" s="20" t="n">
        <v>1.19004522</v>
      </c>
    </row>
    <row r="40" spans="1:22">
      <c r="A40" s="15" t="s">
        <v>598</v>
      </c>
      <c r="B40" s="17" t="n">
        <v>14157</v>
      </c>
      <c r="C40" s="18">
        <f>(12514.0/B40*100)</f>
        <v/>
      </c>
      <c r="D40" s="19" t="n">
        <v>1643</v>
      </c>
      <c r="E40" s="18" t="n">
        <v>11.81535504</v>
      </c>
      <c r="F40" s="20" t="n">
        <v>1.32469654</v>
      </c>
      <c r="G40" s="18" t="n">
        <v>19.90944226</v>
      </c>
      <c r="H40" s="20" t="n">
        <v>1.53385474</v>
      </c>
      <c r="I40" s="18" t="n">
        <v>53.62611499</v>
      </c>
      <c r="J40" s="20" t="n">
        <v>2.33924734</v>
      </c>
      <c r="K40" s="18" t="n">
        <v>6.12679349</v>
      </c>
      <c r="L40" s="20" t="n">
        <v>1.04360355</v>
      </c>
      <c r="M40" s="18" t="n">
        <v>0</v>
      </c>
      <c r="N40" s="20" t="n">
        <v>0</v>
      </c>
      <c r="O40" s="18" t="n">
        <v>0.04899097</v>
      </c>
      <c r="P40" s="20" t="n">
        <v>0.03239021</v>
      </c>
      <c r="Q40" s="18" t="n">
        <v>0.089116</v>
      </c>
      <c r="R40" s="20" t="n">
        <v>0.05155996</v>
      </c>
      <c r="S40" s="18" t="n">
        <v>0</v>
      </c>
      <c r="T40" s="20" t="n">
        <v>0</v>
      </c>
      <c r="U40" s="18" t="n">
        <v>8.384187239999999</v>
      </c>
      <c r="V40" s="20" t="n">
        <v>0.83076583</v>
      </c>
    </row>
    <row r="41" spans="1:22">
      <c r="A41" s="15" t="s">
        <v>599</v>
      </c>
      <c r="B41" s="17" t="n">
        <v>5712</v>
      </c>
      <c r="C41" s="18">
        <f>(5094.0/B41*100)</f>
        <v/>
      </c>
      <c r="D41" s="19" t="n">
        <v>618</v>
      </c>
      <c r="E41" s="18" t="n">
        <v>17.39547353</v>
      </c>
      <c r="F41" s="20" t="n">
        <v>1.29818747</v>
      </c>
      <c r="G41" s="18" t="n">
        <v>40.71256793</v>
      </c>
      <c r="H41" s="20" t="n">
        <v>2.043622</v>
      </c>
      <c r="I41" s="18" t="n">
        <v>32.35997381</v>
      </c>
      <c r="J41" s="20" t="n">
        <v>1.72228426</v>
      </c>
      <c r="K41" s="18" t="n">
        <v>5.55590229</v>
      </c>
      <c r="L41" s="20" t="n">
        <v>0.96099859</v>
      </c>
      <c r="M41" s="18" t="n">
        <v>0</v>
      </c>
      <c r="N41" s="20" t="n">
        <v>0</v>
      </c>
      <c r="O41" s="18" t="n">
        <v>0</v>
      </c>
      <c r="P41" s="20" t="n">
        <v>0</v>
      </c>
      <c r="Q41" s="18" t="n">
        <v>0</v>
      </c>
      <c r="R41" s="20" t="n">
        <v>0</v>
      </c>
      <c r="S41" s="18" t="n">
        <v>0</v>
      </c>
      <c r="T41" s="20" t="n">
        <v>0</v>
      </c>
      <c r="U41" s="18" t="n">
        <v>3.97608244</v>
      </c>
      <c r="V41" s="20" t="n">
        <v>0.90420718</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row>
    <row r="45" spans="1:22">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row>
    <row r="46" spans="1:22">
      <c r="A46" s="15" t="s">
        <v>605</v>
      </c>
      <c r="B46" s="17" t="n">
        <v>23141</v>
      </c>
      <c r="C46" s="18">
        <f>(20786.0/B46*100)</f>
        <v/>
      </c>
      <c r="D46" s="19" t="n">
        <v>2355</v>
      </c>
      <c r="E46" s="18" t="n">
        <v>7.03874204</v>
      </c>
      <c r="F46" s="20" t="n">
        <v>0.70779612</v>
      </c>
      <c r="G46" s="18" t="n">
        <v>59.0205356</v>
      </c>
      <c r="H46" s="20" t="n">
        <v>1.16377357</v>
      </c>
      <c r="I46" s="18" t="n">
        <v>9.57928055</v>
      </c>
      <c r="J46" s="20" t="n">
        <v>0.83988344</v>
      </c>
      <c r="K46" s="18" t="n">
        <v>2.53850569</v>
      </c>
      <c r="L46" s="20" t="n">
        <v>0.39011514</v>
      </c>
      <c r="M46" s="18" t="n">
        <v>0</v>
      </c>
      <c r="N46" s="20" t="n">
        <v>0</v>
      </c>
      <c r="O46" s="18" t="n">
        <v>0.40935438</v>
      </c>
      <c r="P46" s="20" t="n">
        <v>0.1545048</v>
      </c>
      <c r="Q46" s="18" t="n">
        <v>0.54470668</v>
      </c>
      <c r="R46" s="20" t="n">
        <v>0.2013772</v>
      </c>
      <c r="S46" s="18" t="n">
        <v>0</v>
      </c>
      <c r="T46" s="20" t="n">
        <v>0</v>
      </c>
      <c r="U46" s="18" t="n">
        <v>20.86887506</v>
      </c>
      <c r="V46" s="20" t="n">
        <v>1.11815603</v>
      </c>
    </row>
    <row r="47" spans="1:22">
      <c r="A47" s="15" t="s">
        <v>606</v>
      </c>
      <c r="B47" s="17" t="n">
        <v>5928</v>
      </c>
      <c r="C47" s="18">
        <f>(5287.0/B47*100)</f>
        <v/>
      </c>
      <c r="D47" s="19" t="n">
        <v>641</v>
      </c>
      <c r="E47" s="18" t="n">
        <v>10.65439246</v>
      </c>
      <c r="F47" s="20" t="n">
        <v>1.27518569</v>
      </c>
      <c r="G47" s="18" t="n">
        <v>39.65530471</v>
      </c>
      <c r="H47" s="20" t="n">
        <v>1.88477608</v>
      </c>
      <c r="I47" s="18" t="n">
        <v>17.32158087</v>
      </c>
      <c r="J47" s="20" t="n">
        <v>1.40811094</v>
      </c>
      <c r="K47" s="18" t="n">
        <v>8.727163640000001</v>
      </c>
      <c r="L47" s="20" t="n">
        <v>1.27711268</v>
      </c>
      <c r="M47" s="18" t="n">
        <v>0</v>
      </c>
      <c r="N47" s="20" t="n">
        <v>0</v>
      </c>
      <c r="O47" s="18" t="n">
        <v>0</v>
      </c>
      <c r="P47" s="20" t="n">
        <v>0</v>
      </c>
      <c r="Q47" s="18" t="n">
        <v>0.15130758</v>
      </c>
      <c r="R47" s="20" t="n">
        <v>0.15038822</v>
      </c>
      <c r="S47" s="18" t="n">
        <v>0</v>
      </c>
      <c r="T47" s="20" t="n">
        <v>0</v>
      </c>
      <c r="U47" s="18" t="n">
        <v>23.49025074</v>
      </c>
      <c r="V47" s="20" t="n">
        <v>2.03303374</v>
      </c>
    </row>
    <row r="48" spans="1:22">
      <c r="A48" s="15" t="s">
        <v>607</v>
      </c>
      <c r="B48" s="17" t="n">
        <v>9841</v>
      </c>
      <c r="C48" s="18">
        <f>(8762.0/B48*100)</f>
        <v/>
      </c>
      <c r="D48" s="19" t="n">
        <v>1079</v>
      </c>
      <c r="E48" s="18" t="n">
        <v>1.61505259</v>
      </c>
      <c r="F48" s="20" t="n">
        <v>0.48722252</v>
      </c>
      <c r="G48" s="18" t="n">
        <v>25.15882923</v>
      </c>
      <c r="H48" s="20" t="n">
        <v>1.88102572</v>
      </c>
      <c r="I48" s="18" t="n">
        <v>61.52653203</v>
      </c>
      <c r="J48" s="20" t="n">
        <v>2.01480628</v>
      </c>
      <c r="K48" s="18" t="n">
        <v>4.12325233</v>
      </c>
      <c r="L48" s="20" t="n">
        <v>0.74404115</v>
      </c>
      <c r="M48" s="18" t="n">
        <v>0</v>
      </c>
      <c r="N48" s="20" t="n">
        <v>0</v>
      </c>
      <c r="O48" s="18" t="n">
        <v>0.46141859</v>
      </c>
      <c r="P48" s="20" t="n">
        <v>0.26842681</v>
      </c>
      <c r="Q48" s="18" t="n">
        <v>0</v>
      </c>
      <c r="R48" s="20" t="n">
        <v>0</v>
      </c>
      <c r="S48" s="18" t="n">
        <v>0</v>
      </c>
      <c r="T48" s="20" t="n">
        <v>0</v>
      </c>
      <c r="U48" s="18" t="n">
        <v>7.11491523</v>
      </c>
      <c r="V48" s="20" t="n">
        <v>1.0325874</v>
      </c>
    </row>
    <row r="49" spans="1:22">
      <c r="A49" s="15" t="s">
        <v>608</v>
      </c>
      <c r="B49" s="17" t="n">
        <v>11795</v>
      </c>
      <c r="C49" s="18">
        <f>(10518.0/B49*100)</f>
        <v/>
      </c>
      <c r="D49" s="19" t="n">
        <v>1277</v>
      </c>
      <c r="E49" s="18" t="n">
        <v>17.19869022</v>
      </c>
      <c r="F49" s="20" t="n">
        <v>1.4076387</v>
      </c>
      <c r="G49" s="18" t="n">
        <v>63.8047431</v>
      </c>
      <c r="H49" s="20" t="n">
        <v>1.6179794</v>
      </c>
      <c r="I49" s="18" t="n">
        <v>12.34874279</v>
      </c>
      <c r="J49" s="20" t="n">
        <v>1.04051853</v>
      </c>
      <c r="K49" s="18" t="n">
        <v>1.28111889</v>
      </c>
      <c r="L49" s="20" t="n">
        <v>0.33796779</v>
      </c>
      <c r="M49" s="18" t="n">
        <v>0</v>
      </c>
      <c r="N49" s="20" t="n">
        <v>0</v>
      </c>
      <c r="O49" s="18" t="n">
        <v>0.74784521</v>
      </c>
      <c r="P49" s="20" t="n">
        <v>0.44184079</v>
      </c>
      <c r="Q49" s="18" t="n">
        <v>0.24910861</v>
      </c>
      <c r="R49" s="20" t="n">
        <v>0.12388897</v>
      </c>
      <c r="S49" s="18" t="n">
        <v>0</v>
      </c>
      <c r="T49" s="20" t="n">
        <v>0</v>
      </c>
      <c r="U49" s="18" t="n">
        <v>4.36975119</v>
      </c>
      <c r="V49" s="20" t="n">
        <v>0.7377115</v>
      </c>
    </row>
    <row r="50" spans="1:22">
      <c r="A50" s="15" t="s">
        <v>609</v>
      </c>
      <c r="B50" s="17" t="n">
        <v>6866</v>
      </c>
      <c r="C50" s="18">
        <f>(6173.0/B50*100)</f>
        <v/>
      </c>
      <c r="D50" s="19" t="n">
        <v>693</v>
      </c>
      <c r="E50" s="18" t="n">
        <v>22.34377581</v>
      </c>
      <c r="F50" s="20" t="n">
        <v>1.86947728</v>
      </c>
      <c r="G50" s="18" t="n">
        <v>51.78046352</v>
      </c>
      <c r="H50" s="20" t="n">
        <v>2.27027816</v>
      </c>
      <c r="I50" s="18" t="n">
        <v>15.67304517</v>
      </c>
      <c r="J50" s="20" t="n">
        <v>1.50985938</v>
      </c>
      <c r="K50" s="18" t="n">
        <v>2.58126981</v>
      </c>
      <c r="L50" s="20" t="n">
        <v>0.6948233700000001</v>
      </c>
      <c r="M50" s="18" t="n">
        <v>0</v>
      </c>
      <c r="N50" s="20" t="n">
        <v>0</v>
      </c>
      <c r="O50" s="18" t="n">
        <v>0.0752293</v>
      </c>
      <c r="P50" s="20" t="n">
        <v>0.07659945</v>
      </c>
      <c r="Q50" s="18" t="n">
        <v>0.18060902</v>
      </c>
      <c r="R50" s="20" t="n">
        <v>0.16908668</v>
      </c>
      <c r="S50" s="18" t="n">
        <v>0</v>
      </c>
      <c r="T50" s="20" t="n">
        <v>0</v>
      </c>
      <c r="U50" s="18" t="n">
        <v>7.36560738</v>
      </c>
      <c r="V50" s="20" t="n">
        <v>1.15457674</v>
      </c>
    </row>
    <row r="51" spans="1:22">
      <c r="A51" s="15" t="s">
        <v>610</v>
      </c>
      <c r="B51" s="17" t="n">
        <v>5809</v>
      </c>
      <c r="C51" s="18">
        <f>(5195.0/B51*100)</f>
        <v/>
      </c>
      <c r="D51" s="19" t="n">
        <v>614</v>
      </c>
      <c r="E51" s="18" t="n">
        <v>36.08341253</v>
      </c>
      <c r="F51" s="20" t="n">
        <v>1.87072592</v>
      </c>
      <c r="G51" s="18" t="n">
        <v>20.24081573</v>
      </c>
      <c r="H51" s="20" t="n">
        <v>1.53505029</v>
      </c>
      <c r="I51" s="18" t="n">
        <v>17.75035936</v>
      </c>
      <c r="J51" s="20" t="n">
        <v>1.22227018</v>
      </c>
      <c r="K51" s="18" t="n">
        <v>7.65383958</v>
      </c>
      <c r="L51" s="20" t="n">
        <v>1.02943362</v>
      </c>
      <c r="M51" s="18" t="n">
        <v>0</v>
      </c>
      <c r="N51" s="20" t="n">
        <v>0</v>
      </c>
      <c r="O51" s="18" t="n">
        <v>0</v>
      </c>
      <c r="P51" s="20" t="n">
        <v>0</v>
      </c>
      <c r="Q51" s="18" t="n">
        <v>0</v>
      </c>
      <c r="R51" s="20" t="n">
        <v>0</v>
      </c>
      <c r="S51" s="18" t="n">
        <v>0</v>
      </c>
      <c r="T51" s="20" t="n">
        <v>0</v>
      </c>
      <c r="U51" s="18" t="n">
        <v>18.2715728</v>
      </c>
      <c r="V51" s="20" t="n">
        <v>1.72524203</v>
      </c>
    </row>
    <row r="52" spans="1:22">
      <c r="A52" s="15" t="s">
        <v>611</v>
      </c>
      <c r="B52" s="17" t="n">
        <v>5571</v>
      </c>
      <c r="C52" s="18">
        <f>(4949.0/B52*100)</f>
        <v/>
      </c>
      <c r="D52" s="19" t="n">
        <v>622</v>
      </c>
      <c r="E52" s="18" t="n">
        <v>23.47060457</v>
      </c>
      <c r="F52" s="20" t="n">
        <v>1.94305332</v>
      </c>
      <c r="G52" s="18" t="n">
        <v>28.71410535</v>
      </c>
      <c r="H52" s="20" t="n">
        <v>1.9627581</v>
      </c>
      <c r="I52" s="18" t="n">
        <v>27.61600229</v>
      </c>
      <c r="J52" s="20" t="n">
        <v>1.85778092</v>
      </c>
      <c r="K52" s="18" t="n">
        <v>3.10402525</v>
      </c>
      <c r="L52" s="20" t="n">
        <v>0.79742113</v>
      </c>
      <c r="M52" s="18" t="n">
        <v>0</v>
      </c>
      <c r="N52" s="20" t="n">
        <v>0</v>
      </c>
      <c r="O52" s="18" t="n">
        <v>0.10674847</v>
      </c>
      <c r="P52" s="20" t="n">
        <v>0.10777248</v>
      </c>
      <c r="Q52" s="18" t="n">
        <v>0</v>
      </c>
      <c r="R52" s="20" t="n">
        <v>0</v>
      </c>
      <c r="S52" s="18" t="n">
        <v>0</v>
      </c>
      <c r="T52" s="20" t="n">
        <v>0</v>
      </c>
      <c r="U52" s="18" t="n">
        <v>16.98851406</v>
      </c>
      <c r="V52" s="20" t="n">
        <v>1.55718981</v>
      </c>
    </row>
    <row r="53" spans="1:22">
      <c r="A53" s="15" t="s">
        <v>612</v>
      </c>
      <c r="B53" s="17" t="n">
        <v>4740</v>
      </c>
      <c r="C53" s="18">
        <f>(4220.0/B53*100)</f>
        <v/>
      </c>
      <c r="D53" s="19" t="n">
        <v>520</v>
      </c>
      <c r="E53" s="18" t="n">
        <v>5.08908735</v>
      </c>
      <c r="F53" s="20" t="n">
        <v>0.98041325</v>
      </c>
      <c r="G53" s="18" t="n">
        <v>56.96422859</v>
      </c>
      <c r="H53" s="20" t="n">
        <v>2.635296</v>
      </c>
      <c r="I53" s="18" t="n">
        <v>4.12381607</v>
      </c>
      <c r="J53" s="20" t="n">
        <v>0.95406675</v>
      </c>
      <c r="K53" s="18" t="n">
        <v>0.43706933</v>
      </c>
      <c r="L53" s="20" t="n">
        <v>0.3070438</v>
      </c>
      <c r="M53" s="18" t="n">
        <v>0</v>
      </c>
      <c r="N53" s="20" t="n">
        <v>0</v>
      </c>
      <c r="O53" s="18" t="n">
        <v>6.42421461</v>
      </c>
      <c r="P53" s="20" t="n">
        <v>1.13527303</v>
      </c>
      <c r="Q53" s="18" t="n">
        <v>0.40989687</v>
      </c>
      <c r="R53" s="20" t="n">
        <v>0.43113495</v>
      </c>
      <c r="S53" s="18" t="n">
        <v>0</v>
      </c>
      <c r="T53" s="20" t="n">
        <v>0</v>
      </c>
      <c r="U53" s="18" t="n">
        <v>26.55168716</v>
      </c>
      <c r="V53" s="20" t="n">
        <v>2.4468766</v>
      </c>
    </row>
    <row r="54" spans="1:22">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row>
    <row r="55" spans="1:22">
      <c r="A55" s="15" t="s">
        <v>614</v>
      </c>
      <c r="B55" s="17" t="n">
        <v>5359</v>
      </c>
      <c r="C55" s="18">
        <f>(4771.0/B55*100)</f>
        <v/>
      </c>
      <c r="D55" s="19" t="n">
        <v>588</v>
      </c>
      <c r="E55" s="18" t="n">
        <v>3.6479517</v>
      </c>
      <c r="F55" s="20" t="n">
        <v>0.80966667</v>
      </c>
      <c r="G55" s="18" t="n">
        <v>18.8524774</v>
      </c>
      <c r="H55" s="20" t="n">
        <v>1.92390455</v>
      </c>
      <c r="I55" s="18" t="n">
        <v>38.40821717</v>
      </c>
      <c r="J55" s="20" t="n">
        <v>2.2310826</v>
      </c>
      <c r="K55" s="18" t="n">
        <v>34.93744337</v>
      </c>
      <c r="L55" s="20" t="n">
        <v>1.90311547</v>
      </c>
      <c r="M55" s="18" t="n">
        <v>0</v>
      </c>
      <c r="N55" s="20" t="n">
        <v>0</v>
      </c>
      <c r="O55" s="18" t="n">
        <v>0.32698423</v>
      </c>
      <c r="P55" s="20" t="n">
        <v>0.3143786</v>
      </c>
      <c r="Q55" s="18" t="n">
        <v>0</v>
      </c>
      <c r="R55" s="20" t="n">
        <v>0</v>
      </c>
      <c r="S55" s="18" t="n">
        <v>0</v>
      </c>
      <c r="T55" s="20" t="n">
        <v>0</v>
      </c>
      <c r="U55" s="18" t="n">
        <v>3.82692613</v>
      </c>
      <c r="V55" s="20" t="n">
        <v>0.81376299</v>
      </c>
    </row>
    <row r="56" spans="1:22">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row>
    <row r="57" spans="1:22">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row>
    <row r="60" spans="1:22">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row>
    <row r="61" spans="1:22">
      <c r="A61" s="15" t="s">
        <v>621</v>
      </c>
      <c r="B61" s="17" t="n">
        <v>6525</v>
      </c>
      <c r="C61" s="18">
        <f>(5827.0/B61*100)</f>
        <v/>
      </c>
      <c r="D61" s="19" t="n">
        <v>698</v>
      </c>
      <c r="E61" s="18" t="n">
        <v>11.59704844</v>
      </c>
      <c r="F61" s="20" t="n">
        <v>1.28382181</v>
      </c>
      <c r="G61" s="18" t="n">
        <v>39.68826963</v>
      </c>
      <c r="H61" s="20" t="n">
        <v>2.28785515</v>
      </c>
      <c r="I61" s="18" t="n">
        <v>27.16978004</v>
      </c>
      <c r="J61" s="20" t="n">
        <v>1.92599611</v>
      </c>
      <c r="K61" s="18" t="n">
        <v>9.70499504</v>
      </c>
      <c r="L61" s="20" t="n">
        <v>1.23340727</v>
      </c>
      <c r="M61" s="18" t="n">
        <v>0</v>
      </c>
      <c r="N61" s="20" t="n">
        <v>0</v>
      </c>
      <c r="O61" s="18" t="n">
        <v>0.19612475</v>
      </c>
      <c r="P61" s="20" t="n">
        <v>0.20523611</v>
      </c>
      <c r="Q61" s="18" t="n">
        <v>0</v>
      </c>
      <c r="R61" s="20" t="n">
        <v>0</v>
      </c>
      <c r="S61" s="18" t="n">
        <v>0</v>
      </c>
      <c r="T61" s="20" t="n">
        <v>0</v>
      </c>
      <c r="U61" s="18" t="n">
        <v>11.6437821</v>
      </c>
      <c r="V61" s="20" t="n">
        <v>1.27970802</v>
      </c>
    </row>
    <row r="62" spans="1:22">
      <c r="A62" s="15" t="s">
        <v>622</v>
      </c>
      <c r="B62" s="17" t="n">
        <v>4476</v>
      </c>
      <c r="C62" s="18">
        <f>(3965.0/B62*100)</f>
        <v/>
      </c>
      <c r="D62" s="19" t="n">
        <v>511</v>
      </c>
      <c r="E62" s="18" t="n">
        <v>5.90907711</v>
      </c>
      <c r="F62" s="20" t="n">
        <v>1.10902527</v>
      </c>
      <c r="G62" s="18" t="n">
        <v>19.54832588</v>
      </c>
      <c r="H62" s="20" t="n">
        <v>1.69846665</v>
      </c>
      <c r="I62" s="18" t="n">
        <v>59.494731</v>
      </c>
      <c r="J62" s="20" t="n">
        <v>2.14237393</v>
      </c>
      <c r="K62" s="18" t="n">
        <v>13.87011821</v>
      </c>
      <c r="L62" s="20" t="n">
        <v>1.53204301</v>
      </c>
      <c r="M62" s="18" t="n">
        <v>0</v>
      </c>
      <c r="N62" s="20" t="n">
        <v>0</v>
      </c>
      <c r="O62" s="18" t="n">
        <v>0</v>
      </c>
      <c r="P62" s="20" t="n">
        <v>0</v>
      </c>
      <c r="Q62" s="18" t="n">
        <v>0</v>
      </c>
      <c r="R62" s="20" t="n">
        <v>0</v>
      </c>
      <c r="S62" s="18" t="n">
        <v>0</v>
      </c>
      <c r="T62" s="20" t="n">
        <v>0</v>
      </c>
      <c r="U62" s="18" t="n">
        <v>1.1777478</v>
      </c>
      <c r="V62" s="20" t="n">
        <v>0.39695106</v>
      </c>
    </row>
    <row r="63" spans="1:22">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row>
    <row r="66" spans="1:22">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row>
    <row r="67" spans="1:22">
      <c r="A67" s="15" t="s">
        <v>627</v>
      </c>
      <c r="B67" s="17" t="n">
        <v>5665</v>
      </c>
      <c r="C67" s="18">
        <f>(5066.0/B67*100)</f>
        <v/>
      </c>
      <c r="D67" s="19" t="n">
        <v>599</v>
      </c>
      <c r="E67" s="18" t="n">
        <v>16.98765079</v>
      </c>
      <c r="F67" s="20" t="n">
        <v>1.54518378</v>
      </c>
      <c r="G67" s="18" t="n">
        <v>35.801211</v>
      </c>
      <c r="H67" s="20" t="n">
        <v>1.81100676</v>
      </c>
      <c r="I67" s="18" t="n">
        <v>10.74652946</v>
      </c>
      <c r="J67" s="20" t="n">
        <v>1.26145962</v>
      </c>
      <c r="K67" s="18" t="n">
        <v>5.7689276</v>
      </c>
      <c r="L67" s="20" t="n">
        <v>0.8990074300000001</v>
      </c>
      <c r="M67" s="18" t="n">
        <v>0</v>
      </c>
      <c r="N67" s="20" t="n">
        <v>0</v>
      </c>
      <c r="O67" s="18" t="n">
        <v>0.17094838</v>
      </c>
      <c r="P67" s="20" t="n">
        <v>0.17026483</v>
      </c>
      <c r="Q67" s="18" t="n">
        <v>1.35400973</v>
      </c>
      <c r="R67" s="20" t="n">
        <v>0.62982067</v>
      </c>
      <c r="S67" s="18" t="n">
        <v>0</v>
      </c>
      <c r="T67" s="20" t="n">
        <v>0</v>
      </c>
      <c r="U67" s="18" t="n">
        <v>29.17072305</v>
      </c>
      <c r="V67" s="20" t="n">
        <v>1.70760057</v>
      </c>
    </row>
    <row r="68" spans="1:22">
      <c r="A68" s="15" t="s">
        <v>628</v>
      </c>
      <c r="B68" s="17" t="n">
        <v>6971</v>
      </c>
      <c r="C68" s="18">
        <f>(6242.0/B68*100)</f>
        <v/>
      </c>
      <c r="D68" s="19" t="n">
        <v>729</v>
      </c>
      <c r="E68" s="18" t="n">
        <v>10.0246075</v>
      </c>
      <c r="F68" s="20" t="n">
        <v>1.09450448</v>
      </c>
      <c r="G68" s="18" t="n">
        <v>61.62328993</v>
      </c>
      <c r="H68" s="20" t="n">
        <v>1.94233464</v>
      </c>
      <c r="I68" s="18" t="n">
        <v>13.95135433</v>
      </c>
      <c r="J68" s="20" t="n">
        <v>1.50975441</v>
      </c>
      <c r="K68" s="18" t="n">
        <v>2.94605417</v>
      </c>
      <c r="L68" s="20" t="n">
        <v>0.74448115</v>
      </c>
      <c r="M68" s="18" t="n">
        <v>0</v>
      </c>
      <c r="N68" s="20" t="n">
        <v>0</v>
      </c>
      <c r="O68" s="18" t="n">
        <v>0.27047421</v>
      </c>
      <c r="P68" s="20" t="n">
        <v>0.19879492</v>
      </c>
      <c r="Q68" s="18" t="n">
        <v>0.395059</v>
      </c>
      <c r="R68" s="20" t="n">
        <v>0.23247886</v>
      </c>
      <c r="S68" s="18" t="n">
        <v>0</v>
      </c>
      <c r="T68" s="20" t="n">
        <v>0</v>
      </c>
      <c r="U68" s="18" t="n">
        <v>10.78916087</v>
      </c>
      <c r="V68" s="20" t="n">
        <v>1.36685207</v>
      </c>
    </row>
    <row r="69" spans="1:22">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row>
    <row r="70" spans="1:22">
      <c r="A70" s="15" t="s">
        <v>630</v>
      </c>
      <c r="B70" s="17" t="n">
        <v>12083</v>
      </c>
      <c r="C70" s="18">
        <f>(10746.0/B70*100)</f>
        <v/>
      </c>
      <c r="D70" s="19" t="n">
        <v>1337</v>
      </c>
      <c r="E70" s="18" t="n">
        <v>9.629657099999999</v>
      </c>
      <c r="F70" s="20" t="n">
        <v>0.8002933800000001</v>
      </c>
      <c r="G70" s="18" t="n">
        <v>47.28917411</v>
      </c>
      <c r="H70" s="20" t="n">
        <v>1.46308464</v>
      </c>
      <c r="I70" s="18" t="n">
        <v>29.85183638</v>
      </c>
      <c r="J70" s="20" t="n">
        <v>1.18920012</v>
      </c>
      <c r="K70" s="18" t="n">
        <v>1.95463696</v>
      </c>
      <c r="L70" s="20" t="n">
        <v>0.37418015</v>
      </c>
      <c r="M70" s="18" t="n">
        <v>0</v>
      </c>
      <c r="N70" s="20" t="n">
        <v>0</v>
      </c>
      <c r="O70" s="18" t="n">
        <v>0.96264662</v>
      </c>
      <c r="P70" s="20" t="n">
        <v>0.28287967</v>
      </c>
      <c r="Q70" s="18" t="n">
        <v>0.15330542</v>
      </c>
      <c r="R70" s="20" t="n">
        <v>0.10806015</v>
      </c>
      <c r="S70" s="18" t="n">
        <v>0</v>
      </c>
      <c r="T70" s="20" t="n">
        <v>0</v>
      </c>
      <c r="U70" s="18" t="n">
        <v>10.15874341</v>
      </c>
      <c r="V70" s="20" t="n">
        <v>0.83152455</v>
      </c>
    </row>
    <row r="71" spans="1:22">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row>
    <row r="72" spans="1:22">
      <c r="A72" s="15" t="s">
        <v>632</v>
      </c>
      <c r="B72" s="17" t="n">
        <v>6036</v>
      </c>
      <c r="C72" s="18">
        <f>(5394.0/B72*100)</f>
        <v/>
      </c>
      <c r="D72" s="19" t="n">
        <v>642</v>
      </c>
      <c r="E72" s="18" t="n">
        <v>10.17459999</v>
      </c>
      <c r="F72" s="20" t="n">
        <v>1.14476928</v>
      </c>
      <c r="G72" s="18" t="n">
        <v>49.0802737</v>
      </c>
      <c r="H72" s="20" t="n">
        <v>2.15593465</v>
      </c>
      <c r="I72" s="18" t="n">
        <v>16.84094427</v>
      </c>
      <c r="J72" s="20" t="n">
        <v>1.57858256</v>
      </c>
      <c r="K72" s="18" t="n">
        <v>9.57783124</v>
      </c>
      <c r="L72" s="20" t="n">
        <v>1.07733085</v>
      </c>
      <c r="M72" s="18" t="n">
        <v>0</v>
      </c>
      <c r="N72" s="20" t="n">
        <v>0</v>
      </c>
      <c r="O72" s="18" t="n">
        <v>0</v>
      </c>
      <c r="P72" s="20" t="n">
        <v>0</v>
      </c>
      <c r="Q72" s="18" t="n">
        <v>0.22076762</v>
      </c>
      <c r="R72" s="20" t="n">
        <v>0.15701827</v>
      </c>
      <c r="S72" s="18" t="n">
        <v>0</v>
      </c>
      <c r="T72" s="20" t="n">
        <v>0</v>
      </c>
      <c r="U72" s="18" t="n">
        <v>14.10558317</v>
      </c>
      <c r="V72" s="20" t="n">
        <v>1.41943874</v>
      </c>
    </row>
    <row r="73" spans="1:22">
      <c r="A73" s="15" t="s">
        <v>633</v>
      </c>
      <c r="B73" s="17" t="n">
        <v>6115</v>
      </c>
      <c r="C73" s="18">
        <f>(5426.0/B73*100)</f>
        <v/>
      </c>
      <c r="D73" s="19" t="n">
        <v>689</v>
      </c>
      <c r="E73" s="18" t="n">
        <v>5.88565716</v>
      </c>
      <c r="F73" s="20" t="n">
        <v>0.8744974599999999</v>
      </c>
      <c r="G73" s="18" t="n">
        <v>22.89923791</v>
      </c>
      <c r="H73" s="20" t="n">
        <v>1.82230056</v>
      </c>
      <c r="I73" s="18" t="n">
        <v>42.93627671</v>
      </c>
      <c r="J73" s="20" t="n">
        <v>2.26871656</v>
      </c>
      <c r="K73" s="18" t="n">
        <v>26.10718116</v>
      </c>
      <c r="L73" s="20" t="n">
        <v>1.87580755</v>
      </c>
      <c r="M73" s="18" t="n">
        <v>0</v>
      </c>
      <c r="N73" s="20" t="n">
        <v>0</v>
      </c>
      <c r="O73" s="18" t="n">
        <v>0</v>
      </c>
      <c r="P73" s="20" t="n">
        <v>0</v>
      </c>
      <c r="Q73" s="18" t="n">
        <v>0.08872123</v>
      </c>
      <c r="R73" s="20" t="n">
        <v>0.08903692000000001</v>
      </c>
      <c r="S73" s="18" t="n">
        <v>0</v>
      </c>
      <c r="T73" s="20" t="n">
        <v>0</v>
      </c>
      <c r="U73" s="18" t="n">
        <v>2.08292583</v>
      </c>
      <c r="V73" s="20" t="n">
        <v>0.51565991</v>
      </c>
    </row>
    <row r="74" spans="1:22">
      <c r="A74" s="15" t="s">
        <v>634</v>
      </c>
      <c r="B74" s="17" t="n">
        <v>7708</v>
      </c>
      <c r="C74" s="18">
        <f>(6811.0/B74*100)</f>
        <v/>
      </c>
      <c r="D74" s="19" t="n">
        <v>897</v>
      </c>
      <c r="E74" s="18" t="n">
        <v>1.98544426</v>
      </c>
      <c r="F74" s="20" t="n">
        <v>0.50858387</v>
      </c>
      <c r="G74" s="18" t="n">
        <v>24.09602682</v>
      </c>
      <c r="H74" s="20" t="n">
        <v>1.6363198</v>
      </c>
      <c r="I74" s="18" t="n">
        <v>28.40735996</v>
      </c>
      <c r="J74" s="20" t="n">
        <v>1.51850832</v>
      </c>
      <c r="K74" s="18" t="n">
        <v>40.84894843</v>
      </c>
      <c r="L74" s="20" t="n">
        <v>1.54387894</v>
      </c>
      <c r="M74" s="18" t="n">
        <v>0</v>
      </c>
      <c r="N74" s="20" t="n">
        <v>0</v>
      </c>
      <c r="O74" s="18" t="n">
        <v>0.12189674</v>
      </c>
      <c r="P74" s="20" t="n">
        <v>0.12239593</v>
      </c>
      <c r="Q74" s="18" t="n">
        <v>0</v>
      </c>
      <c r="R74" s="20" t="n">
        <v>0</v>
      </c>
      <c r="S74" s="18" t="n">
        <v>0</v>
      </c>
      <c r="T74" s="20" t="n">
        <v>0</v>
      </c>
      <c r="U74" s="18" t="n">
        <v>4.54032378</v>
      </c>
      <c r="V74" s="20" t="n">
        <v>0.662133</v>
      </c>
    </row>
    <row r="75" spans="1:22">
      <c r="A75" s="15" t="s">
        <v>635</v>
      </c>
      <c r="B75" s="17" t="n">
        <v>8249</v>
      </c>
      <c r="C75" s="18">
        <f>(7342.0/B75*100)</f>
        <v/>
      </c>
      <c r="D75" s="19" t="n">
        <v>907</v>
      </c>
      <c r="E75" s="18" t="n">
        <v>7.96546554</v>
      </c>
      <c r="F75" s="20" t="n">
        <v>1.26976023</v>
      </c>
      <c r="G75" s="18" t="n">
        <v>58.55236533</v>
      </c>
      <c r="H75" s="20" t="n">
        <v>1.81296585</v>
      </c>
      <c r="I75" s="18" t="n">
        <v>30.81412572</v>
      </c>
      <c r="J75" s="20" t="n">
        <v>1.89420866</v>
      </c>
      <c r="K75" s="18" t="n">
        <v>0.82104405</v>
      </c>
      <c r="L75" s="20" t="n">
        <v>0.35565679</v>
      </c>
      <c r="M75" s="18" t="n">
        <v>0</v>
      </c>
      <c r="N75" s="20" t="n">
        <v>0</v>
      </c>
      <c r="O75" s="18" t="n">
        <v>0</v>
      </c>
      <c r="P75" s="20" t="n">
        <v>0</v>
      </c>
      <c r="Q75" s="18" t="n">
        <v>0.50251723</v>
      </c>
      <c r="R75" s="20" t="n">
        <v>0.28228986</v>
      </c>
      <c r="S75" s="18" t="n">
        <v>0</v>
      </c>
      <c r="T75" s="20" t="n">
        <v>0</v>
      </c>
      <c r="U75" s="18" t="n">
        <v>1.34448213</v>
      </c>
      <c r="V75" s="20" t="n">
        <v>0.39136922</v>
      </c>
    </row>
    <row r="76" spans="1:22">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row>
    <row r="77" spans="1:22">
      <c r="A77" s="15" t="s">
        <v>637</v>
      </c>
      <c r="B77" s="17" t="n">
        <v>5375</v>
      </c>
      <c r="C77" s="18">
        <f>(4836.0/B77*100)</f>
        <v/>
      </c>
      <c r="D77" s="19" t="n">
        <v>539</v>
      </c>
      <c r="E77" s="18" t="n">
        <v>10.35282888</v>
      </c>
      <c r="F77" s="20" t="n">
        <v>1.3689527</v>
      </c>
      <c r="G77" s="18" t="n">
        <v>60.9655123</v>
      </c>
      <c r="H77" s="20" t="n">
        <v>2.25327794</v>
      </c>
      <c r="I77" s="18" t="n">
        <v>10.54618248</v>
      </c>
      <c r="J77" s="20" t="n">
        <v>1.16970145</v>
      </c>
      <c r="K77" s="18" t="n">
        <v>0.55084683</v>
      </c>
      <c r="L77" s="20" t="n">
        <v>0.29849501</v>
      </c>
      <c r="M77" s="18" t="n">
        <v>0</v>
      </c>
      <c r="N77" s="20" t="n">
        <v>0</v>
      </c>
      <c r="O77" s="18" t="n">
        <v>0.8325118500000001</v>
      </c>
      <c r="P77" s="20" t="n">
        <v>0.35426648</v>
      </c>
      <c r="Q77" s="18" t="n">
        <v>0.74482131</v>
      </c>
      <c r="R77" s="20" t="n">
        <v>0.45821594</v>
      </c>
      <c r="S77" s="18" t="n">
        <v>0</v>
      </c>
      <c r="T77" s="20" t="n">
        <v>0</v>
      </c>
      <c r="U77" s="18" t="n">
        <v>16.00729635</v>
      </c>
      <c r="V77" s="20" t="n">
        <v>1.78369068</v>
      </c>
    </row>
    <row r="78" spans="1:22">
      <c r="A78" s="15" t="s">
        <v>638</v>
      </c>
      <c r="B78" s="17" t="n">
        <v>14167</v>
      </c>
      <c r="C78" s="18">
        <f>(12569.0/B78*100)</f>
        <v/>
      </c>
      <c r="D78" s="19" t="n">
        <v>1598</v>
      </c>
      <c r="E78" s="18" t="n">
        <v>10.39493273</v>
      </c>
      <c r="F78" s="20" t="n">
        <v>1.12880954</v>
      </c>
      <c r="G78" s="18" t="n">
        <v>49.70841339</v>
      </c>
      <c r="H78" s="20" t="n">
        <v>1.73755918</v>
      </c>
      <c r="I78" s="18" t="n">
        <v>30.48361018</v>
      </c>
      <c r="J78" s="20" t="n">
        <v>1.49105896</v>
      </c>
      <c r="K78" s="18" t="n">
        <v>2.46605059</v>
      </c>
      <c r="L78" s="20" t="n">
        <v>0.44475257</v>
      </c>
      <c r="M78" s="18" t="n">
        <v>0</v>
      </c>
      <c r="N78" s="20" t="n">
        <v>0</v>
      </c>
      <c r="O78" s="18" t="n">
        <v>0.62849504</v>
      </c>
      <c r="P78" s="20" t="n">
        <v>0.20545287</v>
      </c>
      <c r="Q78" s="18" t="n">
        <v>0.09524649</v>
      </c>
      <c r="R78" s="20" t="n">
        <v>0.06323713</v>
      </c>
      <c r="S78" s="18" t="n">
        <v>0</v>
      </c>
      <c r="T78" s="20" t="n">
        <v>0</v>
      </c>
      <c r="U78" s="18" t="n">
        <v>6.22325157</v>
      </c>
      <c r="V78" s="20" t="n">
        <v>0.75331911</v>
      </c>
    </row>
    <row r="79" spans="1:22">
      <c r="A79" s="15" t="s">
        <v>639</v>
      </c>
      <c r="B79" s="17" t="n">
        <v>6062</v>
      </c>
      <c r="C79" s="18">
        <f>(5405.0/B79*100)</f>
        <v/>
      </c>
      <c r="D79" s="19" t="n">
        <v>657</v>
      </c>
      <c r="E79" s="18" t="n">
        <v>13.04909274</v>
      </c>
      <c r="F79" s="20" t="n">
        <v>1.3801113</v>
      </c>
      <c r="G79" s="18" t="n">
        <v>36.23705892</v>
      </c>
      <c r="H79" s="20" t="n">
        <v>1.98119579</v>
      </c>
      <c r="I79" s="18" t="n">
        <v>15.27290364</v>
      </c>
      <c r="J79" s="20" t="n">
        <v>1.44619943</v>
      </c>
      <c r="K79" s="18" t="n">
        <v>7.82658922</v>
      </c>
      <c r="L79" s="20" t="n">
        <v>1.12663368</v>
      </c>
      <c r="M79" s="18" t="n">
        <v>0</v>
      </c>
      <c r="N79" s="20" t="n">
        <v>0</v>
      </c>
      <c r="O79" s="18" t="n">
        <v>0.2644139</v>
      </c>
      <c r="P79" s="20" t="n">
        <v>0.28664799</v>
      </c>
      <c r="Q79" s="18" t="n">
        <v>0</v>
      </c>
      <c r="R79" s="20" t="n">
        <v>0</v>
      </c>
      <c r="S79" s="18" t="n">
        <v>0</v>
      </c>
      <c r="T79" s="20" t="n">
        <v>0</v>
      </c>
      <c r="U79" s="18" t="n">
        <v>27.34994158</v>
      </c>
      <c r="V79" s="20" t="n">
        <v>1.87030623</v>
      </c>
    </row>
    <row r="80" spans="1:22">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row>
    <row r="81" spans="1:22">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row>
    <row r="82" spans="1:22">
      <c r="A82" s="15" t="s">
        <v>642</v>
      </c>
      <c r="B82" s="17" t="n">
        <v>32330</v>
      </c>
      <c r="C82" s="18">
        <f>(28705.0/B82*100)</f>
        <v/>
      </c>
      <c r="D82" s="19" t="n">
        <v>3625</v>
      </c>
      <c r="E82" s="18" t="n">
        <v>18.7206391</v>
      </c>
      <c r="F82" s="20" t="n">
        <v>0.88056777</v>
      </c>
      <c r="G82" s="18" t="n">
        <v>30.77705424</v>
      </c>
      <c r="H82" s="20" t="n">
        <v>1.13178972</v>
      </c>
      <c r="I82" s="18" t="n">
        <v>31.08303766</v>
      </c>
      <c r="J82" s="20" t="n">
        <v>1.14446795</v>
      </c>
      <c r="K82" s="18" t="n">
        <v>9.08580373</v>
      </c>
      <c r="L82" s="20" t="n">
        <v>0.574559</v>
      </c>
      <c r="M82" s="18" t="n">
        <v>0</v>
      </c>
      <c r="N82" s="20" t="n">
        <v>0</v>
      </c>
      <c r="O82" s="18" t="n">
        <v>0.01953134</v>
      </c>
      <c r="P82" s="20" t="n">
        <v>0.01954133</v>
      </c>
      <c r="Q82" s="18" t="n">
        <v>0.01466662</v>
      </c>
      <c r="R82" s="20" t="n">
        <v>0.01250618</v>
      </c>
      <c r="S82" s="18" t="n">
        <v>0.0207491</v>
      </c>
      <c r="T82" s="20" t="n">
        <v>0.02075255</v>
      </c>
      <c r="U82" s="18" t="n">
        <v>10.27851821</v>
      </c>
      <c r="V82" s="20" t="n">
        <v>0.8864069999999999</v>
      </c>
    </row>
    <row r="83" spans="1:22">
      <c r="A83" s="15" t="s">
        <v>643</v>
      </c>
      <c r="B83" s="17" t="n">
        <v>1652</v>
      </c>
      <c r="C83" s="18">
        <f>(1478.0/B83*100)</f>
        <v/>
      </c>
      <c r="D83" s="19" t="n">
        <v>174</v>
      </c>
      <c r="E83" s="18" t="n">
        <v>17.53024943</v>
      </c>
      <c r="F83" s="20" t="n">
        <v>2.92716723</v>
      </c>
      <c r="G83" s="18" t="n">
        <v>32.66791181</v>
      </c>
      <c r="H83" s="20" t="n">
        <v>3.84746567</v>
      </c>
      <c r="I83" s="18" t="n">
        <v>38.73379744</v>
      </c>
      <c r="J83" s="20" t="n">
        <v>4.4050944</v>
      </c>
      <c r="K83" s="18" t="n">
        <v>8.78692268</v>
      </c>
      <c r="L83" s="20" t="n">
        <v>1.39044003</v>
      </c>
      <c r="M83" s="18" t="n">
        <v>0</v>
      </c>
      <c r="N83" s="20" t="n">
        <v>0</v>
      </c>
      <c r="O83" s="18" t="n">
        <v>0</v>
      </c>
      <c r="P83" s="20" t="n">
        <v>0</v>
      </c>
      <c r="Q83" s="18" t="n">
        <v>0</v>
      </c>
      <c r="R83" s="20" t="n">
        <v>0</v>
      </c>
      <c r="S83" s="18" t="n">
        <v>0</v>
      </c>
      <c r="T83" s="20" t="n">
        <v>0</v>
      </c>
      <c r="U83" s="18" t="n">
        <v>2.28111864</v>
      </c>
      <c r="V83" s="20" t="n">
        <v>1.36793767</v>
      </c>
    </row>
    <row r="84" spans="1:22">
      <c r="A84" s="23" t="s">
        <v>644</v>
      </c>
      <c r="B84" s="24" t="n">
        <v>1887</v>
      </c>
      <c r="C84" s="25">
        <f>(1679.0/B84*100)</f>
        <v/>
      </c>
      <c r="D84" s="19" t="n">
        <v>208</v>
      </c>
      <c r="E84" s="18" t="n">
        <v>14.35603764</v>
      </c>
      <c r="F84" s="20" t="n">
        <v>2.1444231</v>
      </c>
      <c r="G84" s="18" t="n">
        <v>38.7242656</v>
      </c>
      <c r="H84" s="20" t="n">
        <v>3.93403484</v>
      </c>
      <c r="I84" s="18" t="n">
        <v>38.47135183</v>
      </c>
      <c r="J84" s="20" t="n">
        <v>3.70343157</v>
      </c>
      <c r="K84" s="18" t="n">
        <v>5.84331766</v>
      </c>
      <c r="L84" s="20" t="n">
        <v>1.45686141</v>
      </c>
      <c r="M84" s="18" t="n">
        <v>0</v>
      </c>
      <c r="N84" s="20" t="n">
        <v>0</v>
      </c>
      <c r="O84" s="18" t="n">
        <v>0</v>
      </c>
      <c r="P84" s="20" t="n">
        <v>0</v>
      </c>
      <c r="Q84" s="18" t="n">
        <v>0</v>
      </c>
      <c r="R84" s="20" t="n">
        <v>0</v>
      </c>
      <c r="S84" s="18" t="n">
        <v>0</v>
      </c>
      <c r="T84" s="20" t="n">
        <v>0</v>
      </c>
      <c r="U84" s="18" t="n">
        <v>2.60502727</v>
      </c>
      <c r="V84" s="20" t="n">
        <v>1.09041726</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659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(12897.0/B7*100)</f>
        <v/>
      </c>
      <c r="D7" s="19" t="n">
        <v>1633</v>
      </c>
      <c r="E7" s="18" t="n">
        <v>70.00896641</v>
      </c>
      <c r="F7" s="20" t="n">
        <v>1.33921636</v>
      </c>
      <c r="G7" s="18" t="n">
        <v>29.15447203</v>
      </c>
      <c r="H7" s="20" t="n">
        <v>1.3254582</v>
      </c>
      <c r="I7" s="18" t="n">
        <v>0</v>
      </c>
      <c r="J7" s="20" t="n">
        <v>0</v>
      </c>
      <c r="K7" s="18" t="n">
        <v>0.17518521</v>
      </c>
      <c r="L7" s="20" t="n">
        <v>0.09938112</v>
      </c>
      <c r="M7" s="18" t="n">
        <v>0</v>
      </c>
      <c r="N7" s="20" t="n">
        <v>0</v>
      </c>
      <c r="O7" s="18" t="n">
        <v>0</v>
      </c>
      <c r="P7" s="20" t="n">
        <v>0</v>
      </c>
      <c r="Q7" s="18" t="n">
        <v>0.6613763499999999</v>
      </c>
      <c r="R7" s="20" t="n">
        <v>0.20998014</v>
      </c>
    </row>
    <row r="8" spans="1:18">
      <c r="A8" s="15" t="s">
        <v>566</v>
      </c>
      <c r="B8" s="17" t="n">
        <v>7007</v>
      </c>
      <c r="C8" s="18">
        <f>(6238.0/B8*100)</f>
        <v/>
      </c>
      <c r="D8" s="19" t="n">
        <v>769</v>
      </c>
      <c r="E8" s="18" t="n">
        <v>66.04704666000001</v>
      </c>
      <c r="F8" s="20" t="n">
        <v>1.82761069</v>
      </c>
      <c r="G8" s="18" t="n">
        <v>32.47128107</v>
      </c>
      <c r="H8" s="20" t="n">
        <v>1.88197274</v>
      </c>
      <c r="I8" s="18" t="n">
        <v>0</v>
      </c>
      <c r="J8" s="20" t="n">
        <v>0</v>
      </c>
      <c r="K8" s="18" t="n">
        <v>0</v>
      </c>
      <c r="L8" s="20" t="n">
        <v>0</v>
      </c>
      <c r="M8" s="18" t="n">
        <v>0</v>
      </c>
      <c r="N8" s="20" t="n">
        <v>0</v>
      </c>
      <c r="O8" s="18" t="n">
        <v>0</v>
      </c>
      <c r="P8" s="20" t="n">
        <v>0</v>
      </c>
      <c r="Q8" s="18" t="n">
        <v>1.48167227</v>
      </c>
      <c r="R8" s="20" t="n">
        <v>0.53394822</v>
      </c>
    </row>
    <row r="9" spans="1:18">
      <c r="A9" s="15" t="s">
        <v>567</v>
      </c>
      <c r="B9" s="17" t="n">
        <v>9651</v>
      </c>
      <c r="C9" s="18">
        <f>(8590.0/B9*100)</f>
        <v/>
      </c>
      <c r="D9" s="19" t="n">
        <v>1061</v>
      </c>
      <c r="E9" s="18" t="n">
        <v>73.13737179</v>
      </c>
      <c r="F9" s="20" t="n">
        <v>1.32247832</v>
      </c>
      <c r="G9" s="18" t="n">
        <v>25.825195</v>
      </c>
      <c r="H9" s="20" t="n">
        <v>1.31679279</v>
      </c>
      <c r="I9" s="18" t="n">
        <v>0</v>
      </c>
      <c r="J9" s="20" t="n">
        <v>0</v>
      </c>
      <c r="K9" s="18" t="n">
        <v>0</v>
      </c>
      <c r="L9" s="20" t="n">
        <v>0</v>
      </c>
      <c r="M9" s="18" t="n">
        <v>0</v>
      </c>
      <c r="N9" s="20" t="n">
        <v>0</v>
      </c>
      <c r="O9" s="18" t="n">
        <v>0</v>
      </c>
      <c r="P9" s="20" t="n">
        <v>0</v>
      </c>
      <c r="Q9" s="18" t="n">
        <v>1.03743321</v>
      </c>
      <c r="R9" s="20" t="n">
        <v>0.32986496</v>
      </c>
    </row>
    <row r="10" spans="1:18">
      <c r="A10" s="15" t="s">
        <v>568</v>
      </c>
      <c r="B10" s="17" t="n">
        <v>20058</v>
      </c>
      <c r="C10" s="18">
        <f>(17824.0/B10*100)</f>
        <v/>
      </c>
      <c r="D10" s="19" t="n">
        <v>2234</v>
      </c>
      <c r="E10" s="18" t="n">
        <v>62.26655792</v>
      </c>
      <c r="F10" s="20" t="n">
        <v>1.5623024</v>
      </c>
      <c r="G10" s="18" t="n">
        <v>36.51694922</v>
      </c>
      <c r="H10" s="20" t="n">
        <v>1.56858587</v>
      </c>
      <c r="I10" s="18" t="n">
        <v>0</v>
      </c>
      <c r="J10" s="20" t="n">
        <v>0</v>
      </c>
      <c r="K10" s="18" t="n">
        <v>0.16080036</v>
      </c>
      <c r="L10" s="20" t="n">
        <v>0.10559114</v>
      </c>
      <c r="M10" s="18" t="n">
        <v>0</v>
      </c>
      <c r="N10" s="20" t="n">
        <v>0</v>
      </c>
      <c r="O10" s="18" t="n">
        <v>0</v>
      </c>
      <c r="P10" s="20" t="n">
        <v>0</v>
      </c>
      <c r="Q10" s="18" t="n">
        <v>1.0556925</v>
      </c>
      <c r="R10" s="20" t="n">
        <v>0.31644463</v>
      </c>
    </row>
    <row r="11" spans="1:18">
      <c r="A11" s="15" t="s">
        <v>569</v>
      </c>
      <c r="B11" s="17" t="n">
        <v>7053</v>
      </c>
      <c r="C11" s="18">
        <f>(6287.0/B11*100)</f>
        <v/>
      </c>
      <c r="D11" s="19" t="n">
        <v>766</v>
      </c>
      <c r="E11" s="18" t="n">
        <v>82.33653090999999</v>
      </c>
      <c r="F11" s="20" t="n">
        <v>1.42459734</v>
      </c>
      <c r="G11" s="18" t="n">
        <v>15.72614848</v>
      </c>
      <c r="H11" s="20" t="n">
        <v>1.20302972</v>
      </c>
      <c r="I11" s="18" t="n">
        <v>0</v>
      </c>
      <c r="J11" s="20" t="n">
        <v>0</v>
      </c>
      <c r="K11" s="18" t="n">
        <v>0.41008322</v>
      </c>
      <c r="L11" s="20" t="n">
        <v>0.38058974</v>
      </c>
      <c r="M11" s="18" t="n">
        <v>0</v>
      </c>
      <c r="N11" s="20" t="n">
        <v>0</v>
      </c>
      <c r="O11" s="18" t="n">
        <v>0</v>
      </c>
      <c r="P11" s="20" t="n">
        <v>0</v>
      </c>
      <c r="Q11" s="18" t="n">
        <v>1.52723739</v>
      </c>
      <c r="R11" s="20" t="n">
        <v>0.6053947200000001</v>
      </c>
    </row>
    <row r="12" spans="1:18">
      <c r="A12" s="15" t="s">
        <v>570</v>
      </c>
      <c r="B12" s="17" t="n">
        <v>6894</v>
      </c>
      <c r="C12" s="18">
        <f>(6145.0/B12*100)</f>
        <v/>
      </c>
      <c r="D12" s="19" t="n">
        <v>749</v>
      </c>
      <c r="E12" s="18" t="n">
        <v>62.60842807</v>
      </c>
      <c r="F12" s="20" t="n">
        <v>2.12019968</v>
      </c>
      <c r="G12" s="18" t="n">
        <v>37.0644143</v>
      </c>
      <c r="H12" s="20" t="n">
        <v>2.11018205</v>
      </c>
      <c r="I12" s="18" t="n">
        <v>0</v>
      </c>
      <c r="J12" s="20" t="n">
        <v>0</v>
      </c>
      <c r="K12" s="18" t="n">
        <v>0.07652434</v>
      </c>
      <c r="L12" s="20" t="n">
        <v>0.07405899000000001</v>
      </c>
      <c r="M12" s="18" t="n">
        <v>0</v>
      </c>
      <c r="N12" s="20" t="n">
        <v>0</v>
      </c>
      <c r="O12" s="18" t="n">
        <v>0</v>
      </c>
      <c r="P12" s="20" t="n">
        <v>0</v>
      </c>
      <c r="Q12" s="18" t="n">
        <v>0.2506333</v>
      </c>
      <c r="R12" s="20" t="n">
        <v>0.1527205</v>
      </c>
    </row>
    <row r="13" spans="1:18">
      <c r="A13" s="15" t="s">
        <v>571</v>
      </c>
      <c r="B13" s="17" t="n">
        <v>7161</v>
      </c>
      <c r="C13" s="18">
        <f>(6420.0/B13*100)</f>
        <v/>
      </c>
      <c r="D13" s="19" t="n">
        <v>741</v>
      </c>
      <c r="E13" s="18" t="n">
        <v>61.5467659</v>
      </c>
      <c r="F13" s="20" t="n">
        <v>2.08860979</v>
      </c>
      <c r="G13" s="18" t="n">
        <v>36.91920765</v>
      </c>
      <c r="H13" s="20" t="n">
        <v>2.12455856</v>
      </c>
      <c r="I13" s="18" t="n">
        <v>0</v>
      </c>
      <c r="J13" s="20" t="n">
        <v>0</v>
      </c>
      <c r="K13" s="18" t="n">
        <v>0.68060688</v>
      </c>
      <c r="L13" s="20" t="n">
        <v>0.42492856</v>
      </c>
      <c r="M13" s="18" t="n">
        <v>0</v>
      </c>
      <c r="N13" s="20" t="n">
        <v>0</v>
      </c>
      <c r="O13" s="18" t="n">
        <v>0</v>
      </c>
      <c r="P13" s="20" t="n">
        <v>0</v>
      </c>
      <c r="Q13" s="18" t="n">
        <v>0.85341958</v>
      </c>
      <c r="R13" s="20" t="n">
        <v>0.41360388</v>
      </c>
    </row>
    <row r="14" spans="1:18">
      <c r="A14" s="15" t="s">
        <v>572</v>
      </c>
      <c r="B14" s="17" t="n">
        <v>5587</v>
      </c>
      <c r="C14" s="18">
        <f>(4960.0/B14*100)</f>
        <v/>
      </c>
      <c r="D14" s="19" t="n">
        <v>627</v>
      </c>
      <c r="E14" s="18" t="n">
        <v>70.44071156</v>
      </c>
      <c r="F14" s="20" t="n">
        <v>2.19807465</v>
      </c>
      <c r="G14" s="18" t="n">
        <v>29.27357517</v>
      </c>
      <c r="H14" s="20" t="n">
        <v>2.19772624</v>
      </c>
      <c r="I14" s="18" t="n">
        <v>0</v>
      </c>
      <c r="J14" s="20" t="n">
        <v>0</v>
      </c>
      <c r="K14" s="18" t="n">
        <v>0.15532137</v>
      </c>
      <c r="L14" s="20" t="n">
        <v>0.15700102</v>
      </c>
      <c r="M14" s="18" t="n">
        <v>0</v>
      </c>
      <c r="N14" s="20" t="n">
        <v>0</v>
      </c>
      <c r="O14" s="18" t="n">
        <v>0</v>
      </c>
      <c r="P14" s="20" t="n">
        <v>0</v>
      </c>
      <c r="Q14" s="18" t="n">
        <v>0.1303919</v>
      </c>
      <c r="R14" s="20" t="n">
        <v>0.12693198</v>
      </c>
    </row>
    <row r="15" spans="1:18">
      <c r="A15" s="15" t="s">
        <v>573</v>
      </c>
      <c r="B15" s="17" t="n">
        <v>5882</v>
      </c>
      <c r="C15" s="18">
        <f>(5212.0/B15*100)</f>
        <v/>
      </c>
      <c r="D15" s="19" t="n">
        <v>670</v>
      </c>
      <c r="E15" s="18" t="n">
        <v>65.92397957</v>
      </c>
      <c r="F15" s="20" t="n">
        <v>2.06725751</v>
      </c>
      <c r="G15" s="18" t="n">
        <v>33.50762898</v>
      </c>
      <c r="H15" s="20" t="n">
        <v>2.07372171</v>
      </c>
      <c r="I15" s="18" t="n">
        <v>0</v>
      </c>
      <c r="J15" s="20" t="n">
        <v>0</v>
      </c>
      <c r="K15" s="18" t="n">
        <v>0</v>
      </c>
      <c r="L15" s="20" t="n">
        <v>0</v>
      </c>
      <c r="M15" s="18" t="n">
        <v>0</v>
      </c>
      <c r="N15" s="20" t="n">
        <v>0</v>
      </c>
      <c r="O15" s="18" t="n">
        <v>0</v>
      </c>
      <c r="P15" s="20" t="n">
        <v>0</v>
      </c>
      <c r="Q15" s="18" t="n">
        <v>0.56839145</v>
      </c>
      <c r="R15" s="20" t="n">
        <v>0.29409975</v>
      </c>
    </row>
    <row r="16" spans="1:18">
      <c r="A16" s="15" t="s">
        <v>574</v>
      </c>
      <c r="B16" s="17" t="n">
        <v>6108</v>
      </c>
      <c r="C16" s="18">
        <f>(5418.0/B16*100)</f>
        <v/>
      </c>
      <c r="D16" s="19" t="n">
        <v>690</v>
      </c>
      <c r="E16" s="18" t="n">
        <v>69.53702643</v>
      </c>
      <c r="F16" s="20" t="n">
        <v>1.8420566</v>
      </c>
      <c r="G16" s="18" t="n">
        <v>28.5360451</v>
      </c>
      <c r="H16" s="20" t="n">
        <v>1.78868968</v>
      </c>
      <c r="I16" s="18" t="n">
        <v>0</v>
      </c>
      <c r="J16" s="20" t="n">
        <v>0</v>
      </c>
      <c r="K16" s="18" t="n">
        <v>0.13597029</v>
      </c>
      <c r="L16" s="20" t="n">
        <v>0.14131757</v>
      </c>
      <c r="M16" s="18" t="n">
        <v>0</v>
      </c>
      <c r="N16" s="20" t="n">
        <v>0</v>
      </c>
      <c r="O16" s="18" t="n">
        <v>0</v>
      </c>
      <c r="P16" s="20" t="n">
        <v>0</v>
      </c>
      <c r="Q16" s="18" t="n">
        <v>1.79095818</v>
      </c>
      <c r="R16" s="20" t="n">
        <v>0.58494198</v>
      </c>
    </row>
    <row r="17" spans="1:18">
      <c r="A17" s="15" t="s">
        <v>575</v>
      </c>
      <c r="B17" s="17" t="n">
        <v>6504</v>
      </c>
      <c r="C17" s="18">
        <f>(5802.0/B17*100)</f>
        <v/>
      </c>
      <c r="D17" s="19" t="n">
        <v>702</v>
      </c>
      <c r="E17" s="18" t="n">
        <v>68.74883653000001</v>
      </c>
      <c r="F17" s="20" t="n">
        <v>1.51521554</v>
      </c>
      <c r="G17" s="18" t="n">
        <v>30.72361625</v>
      </c>
      <c r="H17" s="20" t="n">
        <v>1.52587564</v>
      </c>
      <c r="I17" s="18" t="n">
        <v>0</v>
      </c>
      <c r="J17" s="20" t="n">
        <v>0</v>
      </c>
      <c r="K17" s="18" t="n">
        <v>0</v>
      </c>
      <c r="L17" s="20" t="n">
        <v>0</v>
      </c>
      <c r="M17" s="18" t="n">
        <v>0</v>
      </c>
      <c r="N17" s="20" t="n">
        <v>0</v>
      </c>
      <c r="O17" s="18" t="n">
        <v>0</v>
      </c>
      <c r="P17" s="20" t="n">
        <v>0</v>
      </c>
      <c r="Q17" s="18" t="n">
        <v>0.52754722</v>
      </c>
      <c r="R17" s="20" t="n">
        <v>0.26864203</v>
      </c>
    </row>
    <row r="18" spans="1:18">
      <c r="A18" s="15" t="s">
        <v>576</v>
      </c>
      <c r="B18" s="17" t="n">
        <v>5532</v>
      </c>
      <c r="C18" s="18">
        <f>(4909.0/B18*100)</f>
        <v/>
      </c>
      <c r="D18" s="19" t="n">
        <v>623</v>
      </c>
      <c r="E18" s="18" t="n">
        <v>81.4589457</v>
      </c>
      <c r="F18" s="20" t="n">
        <v>1.86818356</v>
      </c>
      <c r="G18" s="18" t="n">
        <v>17.22456544</v>
      </c>
      <c r="H18" s="20" t="n">
        <v>1.79585928</v>
      </c>
      <c r="I18" s="18" t="n">
        <v>0</v>
      </c>
      <c r="J18" s="20" t="n">
        <v>0</v>
      </c>
      <c r="K18" s="18" t="n">
        <v>0.0886545</v>
      </c>
      <c r="L18" s="20" t="n">
        <v>0.09030774</v>
      </c>
      <c r="M18" s="18" t="n">
        <v>0</v>
      </c>
      <c r="N18" s="20" t="n">
        <v>0</v>
      </c>
      <c r="O18" s="18" t="n">
        <v>0</v>
      </c>
      <c r="P18" s="20" t="n">
        <v>0</v>
      </c>
      <c r="Q18" s="18" t="n">
        <v>1.22783436</v>
      </c>
      <c r="R18" s="20" t="n">
        <v>0.4194317</v>
      </c>
    </row>
    <row r="19" spans="1:18">
      <c r="A19" s="15" t="s">
        <v>577</v>
      </c>
      <c r="B19" s="17" t="n">
        <v>5658</v>
      </c>
      <c r="C19" s="18">
        <f>(5039.0/B19*100)</f>
        <v/>
      </c>
      <c r="D19" s="19" t="n">
        <v>619</v>
      </c>
      <c r="E19" s="18" t="n">
        <v>61.10536734</v>
      </c>
      <c r="F19" s="20" t="n">
        <v>2.05649911</v>
      </c>
      <c r="G19" s="18" t="n">
        <v>38.4584133</v>
      </c>
      <c r="H19" s="20" t="n">
        <v>2.06989434</v>
      </c>
      <c r="I19" s="18" t="n">
        <v>0</v>
      </c>
      <c r="J19" s="20" t="n">
        <v>0</v>
      </c>
      <c r="K19" s="18" t="n">
        <v>0</v>
      </c>
      <c r="L19" s="20" t="n">
        <v>0</v>
      </c>
      <c r="M19" s="18" t="n">
        <v>0</v>
      </c>
      <c r="N19" s="20" t="n">
        <v>0</v>
      </c>
      <c r="O19" s="18" t="n">
        <v>0</v>
      </c>
      <c r="P19" s="20" t="n">
        <v>0</v>
      </c>
      <c r="Q19" s="18" t="n">
        <v>0.43621936</v>
      </c>
      <c r="R19" s="20" t="n">
        <v>0.24146233</v>
      </c>
    </row>
    <row r="20" spans="1:18">
      <c r="A20" s="15" t="s">
        <v>578</v>
      </c>
      <c r="B20" s="17" t="n">
        <v>3371</v>
      </c>
      <c r="C20" s="18">
        <f>(3008.0/B20*100)</f>
        <v/>
      </c>
      <c r="D20" s="19" t="n">
        <v>363</v>
      </c>
      <c r="E20" s="18" t="n">
        <v>72.79549443000001</v>
      </c>
      <c r="F20" s="20" t="n">
        <v>2.13528894</v>
      </c>
      <c r="G20" s="18" t="n">
        <v>24.84916305</v>
      </c>
      <c r="H20" s="20" t="n">
        <v>2.10393056</v>
      </c>
      <c r="I20" s="18" t="n">
        <v>0</v>
      </c>
      <c r="J20" s="20" t="n">
        <v>0</v>
      </c>
      <c r="K20" s="18" t="n">
        <v>0.24379956</v>
      </c>
      <c r="L20" s="20" t="n">
        <v>0.24419749</v>
      </c>
      <c r="M20" s="18" t="n">
        <v>0</v>
      </c>
      <c r="N20" s="20" t="n">
        <v>0</v>
      </c>
      <c r="O20" s="18" t="n">
        <v>0</v>
      </c>
      <c r="P20" s="20" t="n">
        <v>0</v>
      </c>
      <c r="Q20" s="18" t="n">
        <v>2.11154296</v>
      </c>
      <c r="R20" s="20" t="n">
        <v>0.74714884</v>
      </c>
    </row>
    <row r="21" spans="1:18">
      <c r="A21" s="15" t="s">
        <v>579</v>
      </c>
      <c r="B21" s="17" t="n">
        <v>5741</v>
      </c>
      <c r="C21" s="18">
        <f>(5076.0/B21*100)</f>
        <v/>
      </c>
      <c r="D21" s="19" t="n">
        <v>665</v>
      </c>
      <c r="E21" s="18" t="n">
        <v>58.19316831</v>
      </c>
      <c r="F21" s="20" t="n">
        <v>1.87807581</v>
      </c>
      <c r="G21" s="18" t="n">
        <v>41.34903835</v>
      </c>
      <c r="H21" s="20" t="n">
        <v>1.90779971</v>
      </c>
      <c r="I21" s="18" t="n">
        <v>0</v>
      </c>
      <c r="J21" s="20" t="n">
        <v>0</v>
      </c>
      <c r="K21" s="18" t="n">
        <v>0</v>
      </c>
      <c r="L21" s="20" t="n">
        <v>0</v>
      </c>
      <c r="M21" s="18" t="n">
        <v>0</v>
      </c>
      <c r="N21" s="20" t="n">
        <v>0</v>
      </c>
      <c r="O21" s="18" t="n">
        <v>0</v>
      </c>
      <c r="P21" s="20" t="n">
        <v>0</v>
      </c>
      <c r="Q21" s="18" t="n">
        <v>0.45779335</v>
      </c>
      <c r="R21" s="20" t="n">
        <v>0.22353318</v>
      </c>
    </row>
    <row r="22" spans="1:18">
      <c r="A22" s="15" t="s">
        <v>580</v>
      </c>
      <c r="B22" s="17" t="n">
        <v>6598</v>
      </c>
      <c r="C22" s="18">
        <f>(5878.0/B22*100)</f>
        <v/>
      </c>
      <c r="D22" s="19" t="n">
        <v>720</v>
      </c>
      <c r="E22" s="18" t="n">
        <v>74.29697901999999</v>
      </c>
      <c r="F22" s="20" t="n">
        <v>1.95991053</v>
      </c>
      <c r="G22" s="18" t="n">
        <v>21.70840541</v>
      </c>
      <c r="H22" s="20" t="n">
        <v>1.73915898</v>
      </c>
      <c r="I22" s="18" t="n">
        <v>0</v>
      </c>
      <c r="J22" s="20" t="n">
        <v>0</v>
      </c>
      <c r="K22" s="18" t="n">
        <v>0.8032567900000001</v>
      </c>
      <c r="L22" s="20" t="n">
        <v>0.37636424</v>
      </c>
      <c r="M22" s="18" t="n">
        <v>0</v>
      </c>
      <c r="N22" s="20" t="n">
        <v>0</v>
      </c>
      <c r="O22" s="18" t="n">
        <v>0</v>
      </c>
      <c r="P22" s="20" t="n">
        <v>0</v>
      </c>
      <c r="Q22" s="18" t="n">
        <v>3.19135878</v>
      </c>
      <c r="R22" s="20" t="n">
        <v>0.82372438</v>
      </c>
    </row>
    <row r="23" spans="1:18">
      <c r="A23" s="15" t="s">
        <v>581</v>
      </c>
      <c r="B23" s="17" t="n">
        <v>11583</v>
      </c>
      <c r="C23" s="18">
        <f>(10305.0/B23*100)</f>
        <v/>
      </c>
      <c r="D23" s="19" t="n">
        <v>1278</v>
      </c>
      <c r="E23" s="18" t="n">
        <v>68.12976396000001</v>
      </c>
      <c r="F23" s="20" t="n">
        <v>1.9385658</v>
      </c>
      <c r="G23" s="18" t="n">
        <v>30.77190493</v>
      </c>
      <c r="H23" s="20" t="n">
        <v>1.8213786</v>
      </c>
      <c r="I23" s="18" t="n">
        <v>0</v>
      </c>
      <c r="J23" s="20" t="n">
        <v>0</v>
      </c>
      <c r="K23" s="18" t="n">
        <v>0</v>
      </c>
      <c r="L23" s="20" t="n">
        <v>0</v>
      </c>
      <c r="M23" s="18" t="n">
        <v>0</v>
      </c>
      <c r="N23" s="20" t="n">
        <v>0</v>
      </c>
      <c r="O23" s="18" t="n">
        <v>0</v>
      </c>
      <c r="P23" s="20" t="n">
        <v>0</v>
      </c>
      <c r="Q23" s="18" t="n">
        <v>1.09833111</v>
      </c>
      <c r="R23" s="20" t="n">
        <v>0.43819213</v>
      </c>
    </row>
    <row r="24" spans="1:18">
      <c r="A24" s="15" t="s">
        <v>582</v>
      </c>
      <c r="B24" s="17" t="n">
        <v>6647</v>
      </c>
      <c r="C24" s="18">
        <f>(5913.0/B24*100)</f>
        <v/>
      </c>
      <c r="D24" s="19" t="n">
        <v>734</v>
      </c>
      <c r="E24" s="18" t="n">
        <v>44.11206172</v>
      </c>
      <c r="F24" s="20" t="n">
        <v>2.00216022</v>
      </c>
      <c r="G24" s="18" t="n">
        <v>55.46888236</v>
      </c>
      <c r="H24" s="20" t="n">
        <v>2.07128049</v>
      </c>
      <c r="I24" s="18" t="n">
        <v>0</v>
      </c>
      <c r="J24" s="20" t="n">
        <v>0</v>
      </c>
      <c r="K24" s="18" t="n">
        <v>0</v>
      </c>
      <c r="L24" s="20" t="n">
        <v>0</v>
      </c>
      <c r="M24" s="18" t="n">
        <v>0</v>
      </c>
      <c r="N24" s="20" t="n">
        <v>0</v>
      </c>
      <c r="O24" s="18" t="n">
        <v>0</v>
      </c>
      <c r="P24" s="20" t="n">
        <v>0</v>
      </c>
      <c r="Q24" s="18" t="n">
        <v>0.41905592</v>
      </c>
      <c r="R24" s="20" t="n">
        <v>0.23850661</v>
      </c>
    </row>
    <row r="25" spans="1:18">
      <c r="A25" s="15" t="s">
        <v>583</v>
      </c>
      <c r="B25" s="17" t="n">
        <v>5581</v>
      </c>
      <c r="C25" s="18">
        <f>(4964.0/B25*100)</f>
        <v/>
      </c>
      <c r="D25" s="19" t="n">
        <v>617</v>
      </c>
      <c r="E25" s="18" t="n">
        <v>55.31634269</v>
      </c>
      <c r="F25" s="20" t="n">
        <v>1.8182284</v>
      </c>
      <c r="G25" s="18" t="n">
        <v>43.8867982</v>
      </c>
      <c r="H25" s="20" t="n">
        <v>1.85695912</v>
      </c>
      <c r="I25" s="18" t="n">
        <v>0</v>
      </c>
      <c r="J25" s="20" t="n">
        <v>0</v>
      </c>
      <c r="K25" s="18" t="n">
        <v>0.15996681</v>
      </c>
      <c r="L25" s="20" t="n">
        <v>0.16045228</v>
      </c>
      <c r="M25" s="18" t="n">
        <v>0</v>
      </c>
      <c r="N25" s="20" t="n">
        <v>0</v>
      </c>
      <c r="O25" s="18" t="n">
        <v>0</v>
      </c>
      <c r="P25" s="20" t="n">
        <v>0</v>
      </c>
      <c r="Q25" s="18" t="n">
        <v>0.6368923</v>
      </c>
      <c r="R25" s="20" t="n">
        <v>0.32207233</v>
      </c>
    </row>
    <row r="26" spans="1:18">
      <c r="A26" s="15" t="s">
        <v>584</v>
      </c>
      <c r="B26" s="17" t="n">
        <v>4869</v>
      </c>
      <c r="C26" s="18">
        <f>(4322.0/B26*100)</f>
        <v/>
      </c>
      <c r="D26" s="19" t="n">
        <v>547</v>
      </c>
      <c r="E26" s="18" t="n">
        <v>72.20908901</v>
      </c>
      <c r="F26" s="20" t="n">
        <v>2.03663992</v>
      </c>
      <c r="G26" s="18" t="n">
        <v>27.48188767</v>
      </c>
      <c r="H26" s="20" t="n">
        <v>2.01467227</v>
      </c>
      <c r="I26" s="18" t="n">
        <v>0</v>
      </c>
      <c r="J26" s="20" t="n">
        <v>0</v>
      </c>
      <c r="K26" s="18" t="n">
        <v>0</v>
      </c>
      <c r="L26" s="20" t="n">
        <v>0</v>
      </c>
      <c r="M26" s="18" t="n">
        <v>0</v>
      </c>
      <c r="N26" s="20" t="n">
        <v>0</v>
      </c>
      <c r="O26" s="18" t="n">
        <v>0</v>
      </c>
      <c r="P26" s="20" t="n">
        <v>0</v>
      </c>
      <c r="Q26" s="18" t="n">
        <v>0.30902332</v>
      </c>
      <c r="R26" s="20" t="n">
        <v>0.21914783</v>
      </c>
    </row>
    <row r="27" spans="1:18">
      <c r="A27" s="15" t="s">
        <v>585</v>
      </c>
      <c r="B27" s="17" t="n">
        <v>5299</v>
      </c>
      <c r="C27" s="18">
        <f>(4702.0/B27*100)</f>
        <v/>
      </c>
      <c r="D27" s="19" t="n">
        <v>597</v>
      </c>
      <c r="E27" s="18" t="n">
        <v>73.49130432</v>
      </c>
      <c r="F27" s="20" t="n">
        <v>1.53919292</v>
      </c>
      <c r="G27" s="18" t="n">
        <v>25.50146925</v>
      </c>
      <c r="H27" s="20" t="n">
        <v>1.5331943</v>
      </c>
      <c r="I27" s="18" t="n">
        <v>0</v>
      </c>
      <c r="J27" s="20" t="n">
        <v>0</v>
      </c>
      <c r="K27" s="18" t="n">
        <v>0.17790746</v>
      </c>
      <c r="L27" s="20" t="n">
        <v>0.17823611</v>
      </c>
      <c r="M27" s="18" t="n">
        <v>0</v>
      </c>
      <c r="N27" s="20" t="n">
        <v>0</v>
      </c>
      <c r="O27" s="18" t="n">
        <v>0</v>
      </c>
      <c r="P27" s="20" t="n">
        <v>0</v>
      </c>
      <c r="Q27" s="18" t="n">
        <v>0.82931896</v>
      </c>
      <c r="R27" s="20" t="n">
        <v>0.37103605</v>
      </c>
    </row>
    <row r="28" spans="1:18">
      <c r="A28" s="15" t="s">
        <v>586</v>
      </c>
      <c r="B28" s="17" t="n">
        <v>7568</v>
      </c>
      <c r="C28" s="18">
        <f>(6742.0/B28*100)</f>
        <v/>
      </c>
      <c r="D28" s="19" t="n">
        <v>826</v>
      </c>
      <c r="E28" s="18" t="n">
        <v>82.53171695</v>
      </c>
      <c r="F28" s="20" t="n">
        <v>1.37720728</v>
      </c>
      <c r="G28" s="18" t="n">
        <v>16.94635722</v>
      </c>
      <c r="H28" s="20" t="n">
        <v>1.4188713</v>
      </c>
      <c r="I28" s="18" t="n">
        <v>0</v>
      </c>
      <c r="J28" s="20" t="n">
        <v>0</v>
      </c>
      <c r="K28" s="18" t="n">
        <v>0</v>
      </c>
      <c r="L28" s="20" t="n">
        <v>0</v>
      </c>
      <c r="M28" s="18" t="n">
        <v>0</v>
      </c>
      <c r="N28" s="20" t="n">
        <v>0</v>
      </c>
      <c r="O28" s="18" t="n">
        <v>0</v>
      </c>
      <c r="P28" s="20" t="n">
        <v>0</v>
      </c>
      <c r="Q28" s="18" t="n">
        <v>0.52192583</v>
      </c>
      <c r="R28" s="20" t="n">
        <v>0.27678943</v>
      </c>
    </row>
    <row r="29" spans="1:18">
      <c r="A29" s="15" t="s">
        <v>587</v>
      </c>
      <c r="B29" s="17" t="n">
        <v>5385</v>
      </c>
      <c r="C29" s="18">
        <f>(4803.0/B29*100)</f>
        <v/>
      </c>
      <c r="D29" s="19" t="n">
        <v>582</v>
      </c>
      <c r="E29" s="18" t="n">
        <v>69.70667562</v>
      </c>
      <c r="F29" s="20" t="n">
        <v>1.76867918</v>
      </c>
      <c r="G29" s="18" t="n">
        <v>29.38309405</v>
      </c>
      <c r="H29" s="20" t="n">
        <v>1.76107745</v>
      </c>
      <c r="I29" s="18" t="n">
        <v>0</v>
      </c>
      <c r="J29" s="20" t="n">
        <v>0</v>
      </c>
      <c r="K29" s="18" t="n">
        <v>0.17696287</v>
      </c>
      <c r="L29" s="20" t="n">
        <v>0.17544565</v>
      </c>
      <c r="M29" s="18" t="n">
        <v>0</v>
      </c>
      <c r="N29" s="20" t="n">
        <v>0</v>
      </c>
      <c r="O29" s="18" t="n">
        <v>0</v>
      </c>
      <c r="P29" s="20" t="n">
        <v>0</v>
      </c>
      <c r="Q29" s="18" t="n">
        <v>0.73326745</v>
      </c>
      <c r="R29" s="20" t="n">
        <v>0.35983469</v>
      </c>
    </row>
    <row r="30" spans="1:18">
      <c r="A30" s="15" t="s">
        <v>588</v>
      </c>
      <c r="B30" s="17" t="n">
        <v>4520</v>
      </c>
      <c r="C30" s="18">
        <f>(4001.0/B30*100)</f>
        <v/>
      </c>
      <c r="D30" s="19" t="n">
        <v>519</v>
      </c>
      <c r="E30" s="18" t="n">
        <v>72.27878246</v>
      </c>
      <c r="F30" s="20" t="n">
        <v>2.02476023</v>
      </c>
      <c r="G30" s="18" t="n">
        <v>26.03868273</v>
      </c>
      <c r="H30" s="20" t="n">
        <v>1.90191376</v>
      </c>
      <c r="I30" s="18" t="n">
        <v>0</v>
      </c>
      <c r="J30" s="20" t="n">
        <v>0</v>
      </c>
      <c r="K30" s="18" t="n">
        <v>0.18782931</v>
      </c>
      <c r="L30" s="20" t="n">
        <v>0.18185094</v>
      </c>
      <c r="M30" s="18" t="n">
        <v>0</v>
      </c>
      <c r="N30" s="20" t="n">
        <v>0</v>
      </c>
      <c r="O30" s="18" t="n">
        <v>0</v>
      </c>
      <c r="P30" s="20" t="n">
        <v>0</v>
      </c>
      <c r="Q30" s="18" t="n">
        <v>1.49470551</v>
      </c>
      <c r="R30" s="20" t="n">
        <v>0.64345547</v>
      </c>
    </row>
    <row r="31" spans="1:18">
      <c r="A31" s="15" t="s">
        <v>589</v>
      </c>
      <c r="B31" s="17" t="n">
        <v>5456</v>
      </c>
      <c r="C31" s="18">
        <f>(4852.0/B31*100)</f>
        <v/>
      </c>
      <c r="D31" s="19" t="n">
        <v>604</v>
      </c>
      <c r="E31" s="18" t="n">
        <v>64.947214</v>
      </c>
      <c r="F31" s="20" t="n">
        <v>2.16524849</v>
      </c>
      <c r="G31" s="18" t="n">
        <v>33.6170107</v>
      </c>
      <c r="H31" s="20" t="n">
        <v>2.15436735</v>
      </c>
      <c r="I31" s="18" t="n">
        <v>0</v>
      </c>
      <c r="J31" s="20" t="n">
        <v>0</v>
      </c>
      <c r="K31" s="18" t="n">
        <v>0.13983709</v>
      </c>
      <c r="L31" s="20" t="n">
        <v>0.13957873</v>
      </c>
      <c r="M31" s="18" t="n">
        <v>0</v>
      </c>
      <c r="N31" s="20" t="n">
        <v>0</v>
      </c>
      <c r="O31" s="18" t="n">
        <v>0</v>
      </c>
      <c r="P31" s="20" t="n">
        <v>0</v>
      </c>
      <c r="Q31" s="18" t="n">
        <v>1.29593821</v>
      </c>
      <c r="R31" s="20" t="n">
        <v>0.46597559</v>
      </c>
    </row>
    <row r="32" spans="1:18">
      <c r="A32" s="15" t="s">
        <v>590</v>
      </c>
      <c r="B32" s="17" t="n">
        <v>4478</v>
      </c>
      <c r="C32" s="18">
        <f>(3984.0/B32*100)</f>
        <v/>
      </c>
      <c r="D32" s="19" t="n">
        <v>494</v>
      </c>
      <c r="E32" s="18" t="n">
        <v>63.43003962</v>
      </c>
      <c r="F32" s="20" t="n">
        <v>2.53202695</v>
      </c>
      <c r="G32" s="18" t="n">
        <v>35.83564268</v>
      </c>
      <c r="H32" s="20" t="n">
        <v>2.50790064</v>
      </c>
      <c r="I32" s="18" t="n">
        <v>0</v>
      </c>
      <c r="J32" s="20" t="n">
        <v>0</v>
      </c>
      <c r="K32" s="18" t="n">
        <v>0.17838464</v>
      </c>
      <c r="L32" s="20" t="n">
        <v>0.17457535</v>
      </c>
      <c r="M32" s="18" t="n">
        <v>0</v>
      </c>
      <c r="N32" s="20" t="n">
        <v>0</v>
      </c>
      <c r="O32" s="18" t="n">
        <v>0</v>
      </c>
      <c r="P32" s="20" t="n">
        <v>0</v>
      </c>
      <c r="Q32" s="18" t="n">
        <v>0.55593306</v>
      </c>
      <c r="R32" s="20" t="n">
        <v>0.41292584</v>
      </c>
    </row>
    <row r="33" spans="1:18">
      <c r="A33" s="15" t="s">
        <v>591</v>
      </c>
      <c r="B33" s="17" t="n">
        <v>7325</v>
      </c>
      <c r="C33" s="18">
        <f>(6517.0/B33*100)</f>
        <v/>
      </c>
      <c r="D33" s="19" t="n">
        <v>808</v>
      </c>
      <c r="E33" s="18" t="n">
        <v>67.8673234</v>
      </c>
      <c r="F33" s="20" t="n">
        <v>2.02113261</v>
      </c>
      <c r="G33" s="18" t="n">
        <v>31.61421355</v>
      </c>
      <c r="H33" s="20" t="n">
        <v>2.19651766</v>
      </c>
      <c r="I33" s="18" t="n">
        <v>0</v>
      </c>
      <c r="J33" s="20" t="n">
        <v>0</v>
      </c>
      <c r="K33" s="18" t="n">
        <v>0</v>
      </c>
      <c r="L33" s="20" t="n">
        <v>0</v>
      </c>
      <c r="M33" s="18" t="n">
        <v>0</v>
      </c>
      <c r="N33" s="20" t="n">
        <v>0</v>
      </c>
      <c r="O33" s="18" t="n">
        <v>0</v>
      </c>
      <c r="P33" s="20" t="n">
        <v>0</v>
      </c>
      <c r="Q33" s="18" t="n">
        <v>0.51846305</v>
      </c>
      <c r="R33" s="20" t="n">
        <v>0.44914625</v>
      </c>
    </row>
    <row r="34" spans="1:18">
      <c r="A34" s="15" t="s">
        <v>592</v>
      </c>
      <c r="B34" s="17" t="n">
        <v>6350</v>
      </c>
      <c r="C34" s="18">
        <f>(5695.0/B34*100)</f>
        <v/>
      </c>
      <c r="D34" s="19" t="n">
        <v>655</v>
      </c>
      <c r="E34" s="18" t="n">
        <v>69.59852007000001</v>
      </c>
      <c r="F34" s="20" t="n">
        <v>2.16963984</v>
      </c>
      <c r="G34" s="18" t="n">
        <v>29.74015211</v>
      </c>
      <c r="H34" s="20" t="n">
        <v>2.2036591</v>
      </c>
      <c r="I34" s="18" t="n">
        <v>0</v>
      </c>
      <c r="J34" s="20" t="n">
        <v>0</v>
      </c>
      <c r="K34" s="18" t="n">
        <v>0</v>
      </c>
      <c r="L34" s="20" t="n">
        <v>0</v>
      </c>
      <c r="M34" s="18" t="n">
        <v>0</v>
      </c>
      <c r="N34" s="20" t="n">
        <v>0</v>
      </c>
      <c r="O34" s="18" t="n">
        <v>0</v>
      </c>
      <c r="P34" s="20" t="n">
        <v>0</v>
      </c>
      <c r="Q34" s="18" t="n">
        <v>0.66132782</v>
      </c>
      <c r="R34" s="20" t="n">
        <v>0.38511112</v>
      </c>
    </row>
    <row r="35" spans="1:18">
      <c r="A35" s="15" t="s">
        <v>593</v>
      </c>
      <c r="B35" s="17" t="n">
        <v>6406</v>
      </c>
      <c r="C35" s="18">
        <f>(5712.0/B35*100)</f>
        <v/>
      </c>
      <c r="D35" s="19" t="n">
        <v>694</v>
      </c>
      <c r="E35" s="18" t="n">
        <v>61.84808324</v>
      </c>
      <c r="F35" s="20" t="n">
        <v>2.43549924</v>
      </c>
      <c r="G35" s="18" t="n">
        <v>37.59361111</v>
      </c>
      <c r="H35" s="20" t="n">
        <v>2.35375753</v>
      </c>
      <c r="I35" s="18" t="n">
        <v>0</v>
      </c>
      <c r="J35" s="20" t="n">
        <v>0</v>
      </c>
      <c r="K35" s="18" t="n">
        <v>0</v>
      </c>
      <c r="L35" s="20" t="n">
        <v>0</v>
      </c>
      <c r="M35" s="18" t="n">
        <v>0</v>
      </c>
      <c r="N35" s="20" t="n">
        <v>0</v>
      </c>
      <c r="O35" s="18" t="n">
        <v>0</v>
      </c>
      <c r="P35" s="20" t="n">
        <v>0</v>
      </c>
      <c r="Q35" s="18" t="n">
        <v>0.55830564</v>
      </c>
      <c r="R35" s="20" t="n">
        <v>0.27317764</v>
      </c>
    </row>
    <row r="36" spans="1:18">
      <c r="A36" s="15" t="s">
        <v>594</v>
      </c>
      <c r="B36" s="17" t="n">
        <v>6736</v>
      </c>
      <c r="C36" s="18">
        <f>(5969.0/B36*100)</f>
        <v/>
      </c>
      <c r="D36" s="19" t="n">
        <v>767</v>
      </c>
      <c r="E36" s="18" t="n">
        <v>69.0760178</v>
      </c>
      <c r="F36" s="20" t="n">
        <v>1.71537065</v>
      </c>
      <c r="G36" s="18" t="n">
        <v>30.05671496</v>
      </c>
      <c r="H36" s="20" t="n">
        <v>1.73903419</v>
      </c>
      <c r="I36" s="18" t="n">
        <v>0</v>
      </c>
      <c r="J36" s="20" t="n">
        <v>0</v>
      </c>
      <c r="K36" s="18" t="n">
        <v>0</v>
      </c>
      <c r="L36" s="20" t="n">
        <v>0</v>
      </c>
      <c r="M36" s="18" t="n">
        <v>0</v>
      </c>
      <c r="N36" s="20" t="n">
        <v>0</v>
      </c>
      <c r="O36" s="18" t="n">
        <v>0</v>
      </c>
      <c r="P36" s="20" t="n">
        <v>0</v>
      </c>
      <c r="Q36" s="18" t="n">
        <v>0.86726724</v>
      </c>
      <c r="R36" s="20" t="n">
        <v>0.35902648</v>
      </c>
    </row>
    <row r="37" spans="1:18">
      <c r="A37" s="15" t="s">
        <v>595</v>
      </c>
      <c r="B37" s="17" t="n">
        <v>5458</v>
      </c>
      <c r="C37" s="18">
        <f>(4857.0/B37*100)</f>
        <v/>
      </c>
      <c r="D37" s="19" t="n">
        <v>601</v>
      </c>
      <c r="E37" s="18" t="n">
        <v>58.16812261</v>
      </c>
      <c r="F37" s="20" t="n">
        <v>2.47612092</v>
      </c>
      <c r="G37" s="18" t="n">
        <v>40.75020706</v>
      </c>
      <c r="H37" s="20" t="n">
        <v>2.45188737</v>
      </c>
      <c r="I37" s="18" t="n">
        <v>0</v>
      </c>
      <c r="J37" s="20" t="n">
        <v>0</v>
      </c>
      <c r="K37" s="18" t="n">
        <v>0</v>
      </c>
      <c r="L37" s="20" t="n">
        <v>0</v>
      </c>
      <c r="M37" s="18" t="n">
        <v>0</v>
      </c>
      <c r="N37" s="20" t="n">
        <v>0</v>
      </c>
      <c r="O37" s="18" t="n">
        <v>0</v>
      </c>
      <c r="P37" s="20" t="n">
        <v>0</v>
      </c>
      <c r="Q37" s="18" t="n">
        <v>1.08167033</v>
      </c>
      <c r="R37" s="20" t="n">
        <v>0.41186451</v>
      </c>
    </row>
    <row r="38" spans="1:18">
      <c r="A38" s="15" t="s">
        <v>596</v>
      </c>
      <c r="B38" s="17" t="n">
        <v>5860</v>
      </c>
      <c r="C38" s="18">
        <f>(5231.0/B38*100)</f>
        <v/>
      </c>
      <c r="D38" s="19" t="n">
        <v>629</v>
      </c>
      <c r="E38" s="18" t="n">
        <v>66.99474474</v>
      </c>
      <c r="F38" s="20" t="n">
        <v>2.30913506</v>
      </c>
      <c r="G38" s="18" t="n">
        <v>31.44279898</v>
      </c>
      <c r="H38" s="20" t="n">
        <v>2.3418787</v>
      </c>
      <c r="I38" s="18" t="n">
        <v>0</v>
      </c>
      <c r="J38" s="20" t="n">
        <v>0</v>
      </c>
      <c r="K38" s="18" t="n">
        <v>0.23372428</v>
      </c>
      <c r="L38" s="20" t="n">
        <v>0.23733295</v>
      </c>
      <c r="M38" s="18" t="n">
        <v>0</v>
      </c>
      <c r="N38" s="20" t="n">
        <v>0</v>
      </c>
      <c r="O38" s="18" t="n">
        <v>0</v>
      </c>
      <c r="P38" s="20" t="n">
        <v>0</v>
      </c>
      <c r="Q38" s="18" t="n">
        <v>1.32873199</v>
      </c>
      <c r="R38" s="20" t="n">
        <v>0.52402183</v>
      </c>
    </row>
    <row r="39" spans="1:18">
      <c r="A39" s="15" t="s">
        <v>597</v>
      </c>
      <c r="B39" s="17" t="n">
        <v>5895</v>
      </c>
      <c r="C39" s="18">
        <f>(5240.0/B39*100)</f>
        <v/>
      </c>
      <c r="D39" s="19" t="n">
        <v>655</v>
      </c>
      <c r="E39" s="18" t="n">
        <v>82.68298792</v>
      </c>
      <c r="F39" s="20" t="n">
        <v>1.97327199</v>
      </c>
      <c r="G39" s="18" t="n">
        <v>16.66274664</v>
      </c>
      <c r="H39" s="20" t="n">
        <v>1.84424574</v>
      </c>
      <c r="I39" s="18" t="n">
        <v>0</v>
      </c>
      <c r="J39" s="20" t="n">
        <v>0</v>
      </c>
      <c r="K39" s="18" t="n">
        <v>0.10841926</v>
      </c>
      <c r="L39" s="20" t="n">
        <v>0.111631</v>
      </c>
      <c r="M39" s="18" t="n">
        <v>0</v>
      </c>
      <c r="N39" s="20" t="n">
        <v>0</v>
      </c>
      <c r="O39" s="18" t="n">
        <v>0</v>
      </c>
      <c r="P39" s="20" t="n">
        <v>0</v>
      </c>
      <c r="Q39" s="18" t="n">
        <v>0.54584618</v>
      </c>
      <c r="R39" s="20" t="n">
        <v>0.4263159</v>
      </c>
    </row>
    <row r="40" spans="1:18">
      <c r="A40" s="15" t="s">
        <v>598</v>
      </c>
      <c r="B40" s="17" t="n">
        <v>14157</v>
      </c>
      <c r="C40" s="18">
        <f>(12514.0/B40*100)</f>
        <v/>
      </c>
      <c r="D40" s="19" t="n">
        <v>1643</v>
      </c>
      <c r="E40" s="18" t="n">
        <v>54.14154816</v>
      </c>
      <c r="F40" s="20" t="n">
        <v>1.78159118</v>
      </c>
      <c r="G40" s="18" t="n">
        <v>44.72551522</v>
      </c>
      <c r="H40" s="20" t="n">
        <v>1.77676575</v>
      </c>
      <c r="I40" s="18" t="n">
        <v>0</v>
      </c>
      <c r="J40" s="20" t="n">
        <v>0</v>
      </c>
      <c r="K40" s="18" t="n">
        <v>0.04899097</v>
      </c>
      <c r="L40" s="20" t="n">
        <v>0.03239021</v>
      </c>
      <c r="M40" s="18" t="n">
        <v>0</v>
      </c>
      <c r="N40" s="20" t="n">
        <v>0</v>
      </c>
      <c r="O40" s="18" t="n">
        <v>0</v>
      </c>
      <c r="P40" s="20" t="n">
        <v>0</v>
      </c>
      <c r="Q40" s="18" t="n">
        <v>1.08394565</v>
      </c>
      <c r="R40" s="20" t="n">
        <v>0.37231148</v>
      </c>
    </row>
    <row r="41" spans="1:18">
      <c r="A41" s="15" t="s">
        <v>599</v>
      </c>
      <c r="B41" s="17" t="n">
        <v>5712</v>
      </c>
      <c r="C41" s="18">
        <f>(5094.0/B41*100)</f>
        <v/>
      </c>
      <c r="D41" s="19" t="n">
        <v>618</v>
      </c>
      <c r="E41" s="18" t="n">
        <v>70.5676003</v>
      </c>
      <c r="F41" s="20" t="n">
        <v>1.85923973</v>
      </c>
      <c r="G41" s="18" t="n">
        <v>28.66214442</v>
      </c>
      <c r="H41" s="20" t="n">
        <v>1.78588285</v>
      </c>
      <c r="I41" s="18" t="n">
        <v>0</v>
      </c>
      <c r="J41" s="20" t="n">
        <v>0</v>
      </c>
      <c r="K41" s="18" t="n">
        <v>0</v>
      </c>
      <c r="L41" s="20" t="n">
        <v>0</v>
      </c>
      <c r="M41" s="18" t="n">
        <v>0</v>
      </c>
      <c r="N41" s="20" t="n">
        <v>0</v>
      </c>
      <c r="O41" s="18" t="n">
        <v>0</v>
      </c>
      <c r="P41" s="20" t="n">
        <v>0</v>
      </c>
      <c r="Q41" s="18" t="n">
        <v>0.77025528</v>
      </c>
      <c r="R41" s="20" t="n">
        <v>0.34061329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(20785.0/B46*100)</f>
        <v/>
      </c>
      <c r="D46" s="19" t="n">
        <v>2356</v>
      </c>
      <c r="E46" s="18" t="n">
        <v>80.28815508</v>
      </c>
      <c r="F46" s="20" t="n">
        <v>1.14564126</v>
      </c>
      <c r="G46" s="18" t="n">
        <v>17.34004937</v>
      </c>
      <c r="H46" s="20" t="n">
        <v>1.17295464</v>
      </c>
      <c r="I46" s="18" t="n">
        <v>0</v>
      </c>
      <c r="J46" s="20" t="n">
        <v>0</v>
      </c>
      <c r="K46" s="18" t="n">
        <v>0.40916485</v>
      </c>
      <c r="L46" s="20" t="n">
        <v>0.1544367</v>
      </c>
      <c r="M46" s="18" t="n">
        <v>0</v>
      </c>
      <c r="N46" s="20" t="n">
        <v>0</v>
      </c>
      <c r="O46" s="18" t="n">
        <v>0</v>
      </c>
      <c r="P46" s="20" t="n">
        <v>0</v>
      </c>
      <c r="Q46" s="18" t="n">
        <v>1.9626307</v>
      </c>
      <c r="R46" s="20" t="n">
        <v>0.37798368</v>
      </c>
    </row>
    <row r="47" spans="1:18">
      <c r="A47" s="15" t="s">
        <v>606</v>
      </c>
      <c r="B47" s="17" t="n">
        <v>5928</v>
      </c>
      <c r="C47" s="18">
        <f>(5288.0/B47*100)</f>
        <v/>
      </c>
      <c r="D47" s="19" t="n">
        <v>640</v>
      </c>
      <c r="E47" s="18" t="n">
        <v>81.9659185</v>
      </c>
      <c r="F47" s="20" t="n">
        <v>1.44762676</v>
      </c>
      <c r="G47" s="18" t="n">
        <v>16.34973706</v>
      </c>
      <c r="H47" s="20" t="n">
        <v>1.30102894</v>
      </c>
      <c r="I47" s="18" t="n">
        <v>0</v>
      </c>
      <c r="J47" s="20" t="n">
        <v>0</v>
      </c>
      <c r="K47" s="18" t="n">
        <v>0</v>
      </c>
      <c r="L47" s="20" t="n">
        <v>0</v>
      </c>
      <c r="M47" s="18" t="n">
        <v>0</v>
      </c>
      <c r="N47" s="20" t="n">
        <v>0</v>
      </c>
      <c r="O47" s="18" t="n">
        <v>0</v>
      </c>
      <c r="P47" s="20" t="n">
        <v>0</v>
      </c>
      <c r="Q47" s="18" t="n">
        <v>1.68434444</v>
      </c>
      <c r="R47" s="20" t="n">
        <v>0.48854556</v>
      </c>
    </row>
    <row r="48" spans="1:18">
      <c r="A48" s="15" t="s">
        <v>607</v>
      </c>
      <c r="B48" s="17" t="n">
        <v>9841</v>
      </c>
      <c r="C48" s="18">
        <f>(8761.0/B48*100)</f>
        <v/>
      </c>
      <c r="D48" s="19" t="n">
        <v>1080</v>
      </c>
      <c r="E48" s="18" t="n">
        <v>54.23830697</v>
      </c>
      <c r="F48" s="20" t="n">
        <v>2.39782927</v>
      </c>
      <c r="G48" s="18" t="n">
        <v>44.1577461</v>
      </c>
      <c r="H48" s="20" t="n">
        <v>2.36704829</v>
      </c>
      <c r="I48" s="18" t="n">
        <v>0</v>
      </c>
      <c r="J48" s="20" t="n">
        <v>0</v>
      </c>
      <c r="K48" s="18" t="n">
        <v>0.46084387</v>
      </c>
      <c r="L48" s="20" t="n">
        <v>0.26808628</v>
      </c>
      <c r="M48" s="18" t="n">
        <v>0</v>
      </c>
      <c r="N48" s="20" t="n">
        <v>0</v>
      </c>
      <c r="O48" s="18" t="n">
        <v>0</v>
      </c>
      <c r="P48" s="20" t="n">
        <v>0</v>
      </c>
      <c r="Q48" s="18" t="n">
        <v>1.14310306</v>
      </c>
      <c r="R48" s="20" t="n">
        <v>0.41459229</v>
      </c>
    </row>
    <row r="49" spans="1:18">
      <c r="A49" s="15" t="s">
        <v>608</v>
      </c>
      <c r="B49" s="17" t="n">
        <v>11795</v>
      </c>
      <c r="C49" s="18">
        <f>(10518.0/B49*100)</f>
        <v/>
      </c>
      <c r="D49" s="19" t="n">
        <v>1277</v>
      </c>
      <c r="E49" s="18" t="n">
        <v>79.16876041</v>
      </c>
      <c r="F49" s="20" t="n">
        <v>1.59389423</v>
      </c>
      <c r="G49" s="18" t="n">
        <v>19.00940279</v>
      </c>
      <c r="H49" s="20" t="n">
        <v>1.52101789</v>
      </c>
      <c r="I49" s="18" t="n">
        <v>0</v>
      </c>
      <c r="J49" s="20" t="n">
        <v>0</v>
      </c>
      <c r="K49" s="18" t="n">
        <v>0.74784521</v>
      </c>
      <c r="L49" s="20" t="n">
        <v>0.44184079</v>
      </c>
      <c r="M49" s="18" t="n">
        <v>0</v>
      </c>
      <c r="N49" s="20" t="n">
        <v>0</v>
      </c>
      <c r="O49" s="18" t="n">
        <v>0</v>
      </c>
      <c r="P49" s="20" t="n">
        <v>0</v>
      </c>
      <c r="Q49" s="18" t="n">
        <v>1.07399159</v>
      </c>
      <c r="R49" s="20" t="n">
        <v>0.35836419</v>
      </c>
    </row>
    <row r="50" spans="1:18">
      <c r="A50" s="15" t="s">
        <v>609</v>
      </c>
      <c r="B50" s="17" t="n">
        <v>6866</v>
      </c>
      <c r="C50" s="18">
        <f>(6173.0/B50*100)</f>
        <v/>
      </c>
      <c r="D50" s="19" t="n">
        <v>693</v>
      </c>
      <c r="E50" s="18" t="n">
        <v>81.89759604</v>
      </c>
      <c r="F50" s="20" t="n">
        <v>1.47199338</v>
      </c>
      <c r="G50" s="18" t="n">
        <v>16.29412365</v>
      </c>
      <c r="H50" s="20" t="n">
        <v>1.41296233</v>
      </c>
      <c r="I50" s="18" t="n">
        <v>0</v>
      </c>
      <c r="J50" s="20" t="n">
        <v>0</v>
      </c>
      <c r="K50" s="18" t="n">
        <v>0.35902135</v>
      </c>
      <c r="L50" s="20" t="n">
        <v>0.31135699</v>
      </c>
      <c r="M50" s="18" t="n">
        <v>0</v>
      </c>
      <c r="N50" s="20" t="n">
        <v>0</v>
      </c>
      <c r="O50" s="18" t="n">
        <v>0</v>
      </c>
      <c r="P50" s="20" t="n">
        <v>0</v>
      </c>
      <c r="Q50" s="18" t="n">
        <v>1.44925896</v>
      </c>
      <c r="R50" s="20" t="n">
        <v>0.50299891</v>
      </c>
    </row>
    <row r="51" spans="1:18">
      <c r="A51" s="15" t="s">
        <v>610</v>
      </c>
      <c r="B51" s="17" t="n">
        <v>5809</v>
      </c>
      <c r="C51" s="18">
        <f>(5195.0/B51*100)</f>
        <v/>
      </c>
      <c r="D51" s="19" t="n">
        <v>614</v>
      </c>
      <c r="E51" s="18" t="n">
        <v>75.58207244</v>
      </c>
      <c r="F51" s="20" t="n">
        <v>1.84293888</v>
      </c>
      <c r="G51" s="18" t="n">
        <v>23.04645726</v>
      </c>
      <c r="H51" s="20" t="n">
        <v>1.86355887</v>
      </c>
      <c r="I51" s="18" t="n">
        <v>0</v>
      </c>
      <c r="J51" s="20" t="n">
        <v>0</v>
      </c>
      <c r="K51" s="18" t="n">
        <v>0</v>
      </c>
      <c r="L51" s="20" t="n">
        <v>0</v>
      </c>
      <c r="M51" s="18" t="n">
        <v>0</v>
      </c>
      <c r="N51" s="20" t="n">
        <v>0</v>
      </c>
      <c r="O51" s="18" t="n">
        <v>0</v>
      </c>
      <c r="P51" s="20" t="n">
        <v>0</v>
      </c>
      <c r="Q51" s="18" t="n">
        <v>1.3714703</v>
      </c>
      <c r="R51" s="20" t="n">
        <v>0.4173072</v>
      </c>
    </row>
    <row r="52" spans="1:18">
      <c r="A52" s="15" t="s">
        <v>611</v>
      </c>
      <c r="B52" s="17" t="n">
        <v>5571</v>
      </c>
      <c r="C52" s="18">
        <f>(4950.0/B52*100)</f>
        <v/>
      </c>
      <c r="D52" s="19" t="n">
        <v>621</v>
      </c>
      <c r="E52" s="18" t="n">
        <v>75.85611509</v>
      </c>
      <c r="F52" s="20" t="n">
        <v>2.05703041</v>
      </c>
      <c r="G52" s="18" t="n">
        <v>22.28753126</v>
      </c>
      <c r="H52" s="20" t="n">
        <v>2.04881129</v>
      </c>
      <c r="I52" s="18" t="n">
        <v>0</v>
      </c>
      <c r="J52" s="20" t="n">
        <v>0</v>
      </c>
      <c r="K52" s="18" t="n">
        <v>0.10690495</v>
      </c>
      <c r="L52" s="20" t="n">
        <v>0.10792921</v>
      </c>
      <c r="M52" s="18" t="n">
        <v>0</v>
      </c>
      <c r="N52" s="20" t="n">
        <v>0</v>
      </c>
      <c r="O52" s="18" t="n">
        <v>0</v>
      </c>
      <c r="P52" s="20" t="n">
        <v>0</v>
      </c>
      <c r="Q52" s="18" t="n">
        <v>1.7494487</v>
      </c>
      <c r="R52" s="20" t="n">
        <v>0.52928919</v>
      </c>
    </row>
    <row r="53" spans="1:18">
      <c r="A53" s="15" t="s">
        <v>612</v>
      </c>
      <c r="B53" s="17" t="n">
        <v>4740</v>
      </c>
      <c r="C53" s="18">
        <f>(4220.0/B53*100)</f>
        <v/>
      </c>
      <c r="D53" s="19" t="n">
        <v>520</v>
      </c>
      <c r="E53" s="18" t="n">
        <v>79.09587361</v>
      </c>
      <c r="F53" s="20" t="n">
        <v>1.97251554</v>
      </c>
      <c r="G53" s="18" t="n">
        <v>10.74557277</v>
      </c>
      <c r="H53" s="20" t="n">
        <v>1.4281913</v>
      </c>
      <c r="I53" s="18" t="n">
        <v>0</v>
      </c>
      <c r="J53" s="20" t="n">
        <v>0</v>
      </c>
      <c r="K53" s="18" t="n">
        <v>7.10129063</v>
      </c>
      <c r="L53" s="20" t="n">
        <v>1.15906807</v>
      </c>
      <c r="M53" s="18" t="n">
        <v>0</v>
      </c>
      <c r="N53" s="20" t="n">
        <v>0</v>
      </c>
      <c r="O53" s="18" t="n">
        <v>0</v>
      </c>
      <c r="P53" s="20" t="n">
        <v>0</v>
      </c>
      <c r="Q53" s="18" t="n">
        <v>3.05726299</v>
      </c>
      <c r="R53" s="20" t="n">
        <v>0.75652866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(4771.0/B55*100)</f>
        <v/>
      </c>
      <c r="D55" s="19" t="n">
        <v>588</v>
      </c>
      <c r="E55" s="18" t="n">
        <v>50.52538445</v>
      </c>
      <c r="F55" s="20" t="n">
        <v>2.18496823</v>
      </c>
      <c r="G55" s="18" t="n">
        <v>48.48456854</v>
      </c>
      <c r="H55" s="20" t="n">
        <v>2.18502565</v>
      </c>
      <c r="I55" s="18" t="n">
        <v>0</v>
      </c>
      <c r="J55" s="20" t="n">
        <v>0</v>
      </c>
      <c r="K55" s="18" t="n">
        <v>0.32698423</v>
      </c>
      <c r="L55" s="20" t="n">
        <v>0.3143786</v>
      </c>
      <c r="M55" s="18" t="n">
        <v>0</v>
      </c>
      <c r="N55" s="20" t="n">
        <v>0</v>
      </c>
      <c r="O55" s="18" t="n">
        <v>0</v>
      </c>
      <c r="P55" s="20" t="n">
        <v>0</v>
      </c>
      <c r="Q55" s="18" t="n">
        <v>0.66306278</v>
      </c>
      <c r="R55" s="20" t="n">
        <v>0.40693994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(5827.0/B61*100)</f>
        <v/>
      </c>
      <c r="D61" s="19" t="n">
        <v>698</v>
      </c>
      <c r="E61" s="18" t="n">
        <v>73.66351827</v>
      </c>
      <c r="F61" s="20" t="n">
        <v>1.63474021</v>
      </c>
      <c r="G61" s="18" t="n">
        <v>25.56865418</v>
      </c>
      <c r="H61" s="20" t="n">
        <v>1.62057566</v>
      </c>
      <c r="I61" s="18" t="n">
        <v>0</v>
      </c>
      <c r="J61" s="20" t="n">
        <v>0</v>
      </c>
      <c r="K61" s="18" t="n">
        <v>0.19612475</v>
      </c>
      <c r="L61" s="20" t="n">
        <v>0.20523611</v>
      </c>
      <c r="M61" s="18" t="n">
        <v>0</v>
      </c>
      <c r="N61" s="20" t="n">
        <v>0</v>
      </c>
      <c r="O61" s="18" t="n">
        <v>0</v>
      </c>
      <c r="P61" s="20" t="n">
        <v>0</v>
      </c>
      <c r="Q61" s="18" t="n">
        <v>0.57170281</v>
      </c>
      <c r="R61" s="20" t="n">
        <v>0.24909086</v>
      </c>
    </row>
    <row r="62" spans="1:18">
      <c r="A62" s="15" t="s">
        <v>622</v>
      </c>
      <c r="B62" s="17" t="n">
        <v>4476</v>
      </c>
      <c r="C62" s="18">
        <f>(3965.0/B62*100)</f>
        <v/>
      </c>
      <c r="D62" s="19" t="n">
        <v>511</v>
      </c>
      <c r="E62" s="18" t="n">
        <v>57.17852893</v>
      </c>
      <c r="F62" s="20" t="n">
        <v>2.37794564</v>
      </c>
      <c r="G62" s="18" t="n">
        <v>42.62520922</v>
      </c>
      <c r="H62" s="20" t="n">
        <v>2.37057538</v>
      </c>
      <c r="I62" s="18" t="n">
        <v>0</v>
      </c>
      <c r="J62" s="20" t="n">
        <v>0</v>
      </c>
      <c r="K62" s="18" t="n">
        <v>0</v>
      </c>
      <c r="L62" s="20" t="n">
        <v>0</v>
      </c>
      <c r="M62" s="18" t="n">
        <v>0</v>
      </c>
      <c r="N62" s="20" t="n">
        <v>0</v>
      </c>
      <c r="O62" s="18" t="n">
        <v>0</v>
      </c>
      <c r="P62" s="20" t="n">
        <v>0</v>
      </c>
      <c r="Q62" s="18" t="n">
        <v>0.19626185</v>
      </c>
      <c r="R62" s="20" t="n">
        <v>0.19631656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(5067.0/B67*100)</f>
        <v/>
      </c>
      <c r="D67" s="19" t="n">
        <v>598</v>
      </c>
      <c r="E67" s="18" t="n">
        <v>75.49794978</v>
      </c>
      <c r="F67" s="20" t="n">
        <v>1.85226201</v>
      </c>
      <c r="G67" s="18" t="n">
        <v>21.17390603</v>
      </c>
      <c r="H67" s="20" t="n">
        <v>1.78426687</v>
      </c>
      <c r="I67" s="18" t="n">
        <v>0</v>
      </c>
      <c r="J67" s="20" t="n">
        <v>0</v>
      </c>
      <c r="K67" s="18" t="n">
        <v>0.17122545</v>
      </c>
      <c r="L67" s="20" t="n">
        <v>0.17053811</v>
      </c>
      <c r="M67" s="18" t="n">
        <v>0</v>
      </c>
      <c r="N67" s="20" t="n">
        <v>0</v>
      </c>
      <c r="O67" s="18" t="n">
        <v>0</v>
      </c>
      <c r="P67" s="20" t="n">
        <v>0</v>
      </c>
      <c r="Q67" s="18" t="n">
        <v>3.15691874</v>
      </c>
      <c r="R67" s="20" t="n">
        <v>0.65807868</v>
      </c>
    </row>
    <row r="68" spans="1:18">
      <c r="A68" s="15" t="s">
        <v>628</v>
      </c>
      <c r="B68" s="17" t="n">
        <v>6971</v>
      </c>
      <c r="C68" s="18">
        <f>(6242.0/B68*100)</f>
        <v/>
      </c>
      <c r="D68" s="19" t="n">
        <v>729</v>
      </c>
      <c r="E68" s="18" t="n">
        <v>79.18588484999999</v>
      </c>
      <c r="F68" s="20" t="n">
        <v>1.46318771</v>
      </c>
      <c r="G68" s="18" t="n">
        <v>19.33192965</v>
      </c>
      <c r="H68" s="20" t="n">
        <v>1.50218378</v>
      </c>
      <c r="I68" s="18" t="n">
        <v>0</v>
      </c>
      <c r="J68" s="20" t="n">
        <v>0</v>
      </c>
      <c r="K68" s="18" t="n">
        <v>0.27047421</v>
      </c>
      <c r="L68" s="20" t="n">
        <v>0.19879492</v>
      </c>
      <c r="M68" s="18" t="n">
        <v>0</v>
      </c>
      <c r="N68" s="20" t="n">
        <v>0</v>
      </c>
      <c r="O68" s="18" t="n">
        <v>0</v>
      </c>
      <c r="P68" s="20" t="n">
        <v>0</v>
      </c>
      <c r="Q68" s="18" t="n">
        <v>1.21171129</v>
      </c>
      <c r="R68" s="20" t="n">
        <v>0.3277833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(10746.0/B70*100)</f>
        <v/>
      </c>
      <c r="D70" s="19" t="n">
        <v>1337</v>
      </c>
      <c r="E70" s="18" t="n">
        <v>68.52952867</v>
      </c>
      <c r="F70" s="20" t="n">
        <v>1.21052648</v>
      </c>
      <c r="G70" s="18" t="n">
        <v>27.78340349</v>
      </c>
      <c r="H70" s="20" t="n">
        <v>1.11420182</v>
      </c>
      <c r="I70" s="18" t="n">
        <v>0</v>
      </c>
      <c r="J70" s="20" t="n">
        <v>0</v>
      </c>
      <c r="K70" s="18" t="n">
        <v>0.96264662</v>
      </c>
      <c r="L70" s="20" t="n">
        <v>0.28287967</v>
      </c>
      <c r="M70" s="18" t="n">
        <v>0</v>
      </c>
      <c r="N70" s="20" t="n">
        <v>0</v>
      </c>
      <c r="O70" s="18" t="n">
        <v>0</v>
      </c>
      <c r="P70" s="20" t="n">
        <v>0</v>
      </c>
      <c r="Q70" s="18" t="n">
        <v>2.72442121</v>
      </c>
      <c r="R70" s="20" t="n">
        <v>0.43266399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(5394.0/B72*100)</f>
        <v/>
      </c>
      <c r="D72" s="19" t="n">
        <v>642</v>
      </c>
      <c r="E72" s="18" t="n">
        <v>76.77753543999999</v>
      </c>
      <c r="F72" s="20" t="n">
        <v>1.99629914</v>
      </c>
      <c r="G72" s="18" t="n">
        <v>22.14619044</v>
      </c>
      <c r="H72" s="20" t="n">
        <v>1.90221334</v>
      </c>
      <c r="I72" s="18" t="n">
        <v>0</v>
      </c>
      <c r="J72" s="20" t="n">
        <v>0</v>
      </c>
      <c r="K72" s="18" t="n">
        <v>0</v>
      </c>
      <c r="L72" s="20" t="n">
        <v>0</v>
      </c>
      <c r="M72" s="18" t="n">
        <v>0</v>
      </c>
      <c r="N72" s="20" t="n">
        <v>0</v>
      </c>
      <c r="O72" s="18" t="n">
        <v>0</v>
      </c>
      <c r="P72" s="20" t="n">
        <v>0</v>
      </c>
      <c r="Q72" s="18" t="n">
        <v>1.07627413</v>
      </c>
      <c r="R72" s="20" t="n">
        <v>0.5123714700000001</v>
      </c>
    </row>
    <row r="73" spans="1:18">
      <c r="A73" s="15" t="s">
        <v>633</v>
      </c>
      <c r="B73" s="17" t="n">
        <v>6115</v>
      </c>
      <c r="C73" s="18">
        <f>(5426.0/B73*100)</f>
        <v/>
      </c>
      <c r="D73" s="19" t="n">
        <v>689</v>
      </c>
      <c r="E73" s="18" t="n">
        <v>61.95279225</v>
      </c>
      <c r="F73" s="20" t="n">
        <v>2.03943129</v>
      </c>
      <c r="G73" s="18" t="n">
        <v>37.78722815</v>
      </c>
      <c r="H73" s="20" t="n">
        <v>2.04363604</v>
      </c>
      <c r="I73" s="18" t="n">
        <v>0</v>
      </c>
      <c r="J73" s="20" t="n">
        <v>0</v>
      </c>
      <c r="K73" s="18" t="n">
        <v>0</v>
      </c>
      <c r="L73" s="20" t="n">
        <v>0</v>
      </c>
      <c r="M73" s="18" t="n">
        <v>0</v>
      </c>
      <c r="N73" s="20" t="n">
        <v>0</v>
      </c>
      <c r="O73" s="18" t="n">
        <v>0</v>
      </c>
      <c r="P73" s="20" t="n">
        <v>0</v>
      </c>
      <c r="Q73" s="18" t="n">
        <v>0.2599796</v>
      </c>
      <c r="R73" s="20" t="n">
        <v>0.18205915</v>
      </c>
    </row>
    <row r="74" spans="1:18">
      <c r="A74" s="15" t="s">
        <v>634</v>
      </c>
      <c r="B74" s="17" t="n">
        <v>7708</v>
      </c>
      <c r="C74" s="18">
        <f>(6812.0/B74*100)</f>
        <v/>
      </c>
      <c r="D74" s="19" t="n">
        <v>896</v>
      </c>
      <c r="E74" s="18" t="n">
        <v>63.40452157</v>
      </c>
      <c r="F74" s="20" t="n">
        <v>1.4777429</v>
      </c>
      <c r="G74" s="18" t="n">
        <v>36.36375467</v>
      </c>
      <c r="H74" s="20" t="n">
        <v>1.48505213</v>
      </c>
      <c r="I74" s="18" t="n">
        <v>0</v>
      </c>
      <c r="J74" s="20" t="n">
        <v>0</v>
      </c>
      <c r="K74" s="18" t="n">
        <v>0.12200982</v>
      </c>
      <c r="L74" s="20" t="n">
        <v>0.12251019</v>
      </c>
      <c r="M74" s="18" t="n">
        <v>0</v>
      </c>
      <c r="N74" s="20" t="n">
        <v>0</v>
      </c>
      <c r="O74" s="18" t="n">
        <v>0</v>
      </c>
      <c r="P74" s="20" t="n">
        <v>0</v>
      </c>
      <c r="Q74" s="18" t="n">
        <v>0.10971393</v>
      </c>
      <c r="R74" s="20" t="n">
        <v>0.0784276</v>
      </c>
    </row>
    <row r="75" spans="1:18">
      <c r="A75" s="15" t="s">
        <v>635</v>
      </c>
      <c r="B75" s="17" t="n">
        <v>8249</v>
      </c>
      <c r="C75" s="18">
        <f>(7344.0/B75*100)</f>
        <v/>
      </c>
      <c r="D75" s="19" t="n">
        <v>905</v>
      </c>
      <c r="E75" s="18" t="n">
        <v>86.11999806</v>
      </c>
      <c r="F75" s="20" t="n">
        <v>1.51598292</v>
      </c>
      <c r="G75" s="18" t="n">
        <v>13.71790177</v>
      </c>
      <c r="H75" s="20" t="n">
        <v>1.53976986</v>
      </c>
      <c r="I75" s="18" t="n">
        <v>0</v>
      </c>
      <c r="J75" s="20" t="n">
        <v>0</v>
      </c>
      <c r="K75" s="18" t="n">
        <v>0</v>
      </c>
      <c r="L75" s="20" t="n">
        <v>0</v>
      </c>
      <c r="M75" s="18" t="n">
        <v>0</v>
      </c>
      <c r="N75" s="20" t="n">
        <v>0</v>
      </c>
      <c r="O75" s="18" t="n">
        <v>0</v>
      </c>
      <c r="P75" s="20" t="n">
        <v>0</v>
      </c>
      <c r="Q75" s="18" t="n">
        <v>0.16210017</v>
      </c>
      <c r="R75" s="20" t="n">
        <v>0.15773132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(4835.0/B77*100)</f>
        <v/>
      </c>
      <c r="D77" s="19" t="n">
        <v>540</v>
      </c>
      <c r="E77" s="18" t="n">
        <v>78.74200424</v>
      </c>
      <c r="F77" s="20" t="n">
        <v>1.81413158</v>
      </c>
      <c r="G77" s="18" t="n">
        <v>18.43655095</v>
      </c>
      <c r="H77" s="20" t="n">
        <v>1.68453915</v>
      </c>
      <c r="I77" s="18" t="n">
        <v>0</v>
      </c>
      <c r="J77" s="20" t="n">
        <v>0</v>
      </c>
      <c r="K77" s="18" t="n">
        <v>0.83059981</v>
      </c>
      <c r="L77" s="20" t="n">
        <v>0.35344265</v>
      </c>
      <c r="M77" s="18" t="n">
        <v>0</v>
      </c>
      <c r="N77" s="20" t="n">
        <v>0</v>
      </c>
      <c r="O77" s="18" t="n">
        <v>0</v>
      </c>
      <c r="P77" s="20" t="n">
        <v>0</v>
      </c>
      <c r="Q77" s="18" t="n">
        <v>1.990845</v>
      </c>
      <c r="R77" s="20" t="n">
        <v>0.55818643</v>
      </c>
    </row>
    <row r="78" spans="1:18">
      <c r="A78" s="15" t="s">
        <v>638</v>
      </c>
      <c r="B78" s="17" t="n">
        <v>14167</v>
      </c>
      <c r="C78" s="18">
        <f>(12570.0/B78*100)</f>
        <v/>
      </c>
      <c r="D78" s="19" t="n">
        <v>1597</v>
      </c>
      <c r="E78" s="18" t="n">
        <v>66.83299369</v>
      </c>
      <c r="F78" s="20" t="n">
        <v>1.52430276</v>
      </c>
      <c r="G78" s="18" t="n">
        <v>31.50641519</v>
      </c>
      <c r="H78" s="20" t="n">
        <v>1.45725671</v>
      </c>
      <c r="I78" s="18" t="n">
        <v>0</v>
      </c>
      <c r="J78" s="20" t="n">
        <v>0</v>
      </c>
      <c r="K78" s="18" t="n">
        <v>0.62870126</v>
      </c>
      <c r="L78" s="20" t="n">
        <v>0.20551815</v>
      </c>
      <c r="M78" s="18" t="n">
        <v>0</v>
      </c>
      <c r="N78" s="20" t="n">
        <v>0</v>
      </c>
      <c r="O78" s="18" t="n">
        <v>0</v>
      </c>
      <c r="P78" s="20" t="n">
        <v>0</v>
      </c>
      <c r="Q78" s="18" t="n">
        <v>1.03188985</v>
      </c>
      <c r="R78" s="20" t="n">
        <v>0.26684575</v>
      </c>
    </row>
    <row r="79" spans="1:18">
      <c r="A79" s="15" t="s">
        <v>639</v>
      </c>
      <c r="B79" s="17" t="n">
        <v>6062</v>
      </c>
      <c r="C79" s="18">
        <f>(5405.0/B79*100)</f>
        <v/>
      </c>
      <c r="D79" s="19" t="n">
        <v>657</v>
      </c>
      <c r="E79" s="18" t="n">
        <v>73.15580109</v>
      </c>
      <c r="F79" s="20" t="n">
        <v>2.01877673</v>
      </c>
      <c r="G79" s="18" t="n">
        <v>24.0975966</v>
      </c>
      <c r="H79" s="20" t="n">
        <v>1.81415529</v>
      </c>
      <c r="I79" s="18" t="n">
        <v>0</v>
      </c>
      <c r="J79" s="20" t="n">
        <v>0</v>
      </c>
      <c r="K79" s="18" t="n">
        <v>0.2644139</v>
      </c>
      <c r="L79" s="20" t="n">
        <v>0.28664799</v>
      </c>
      <c r="M79" s="18" t="n">
        <v>0</v>
      </c>
      <c r="N79" s="20" t="n">
        <v>0</v>
      </c>
      <c r="O79" s="18" t="n">
        <v>0</v>
      </c>
      <c r="P79" s="20" t="n">
        <v>0</v>
      </c>
      <c r="Q79" s="18" t="n">
        <v>2.4821884</v>
      </c>
      <c r="R79" s="20" t="n">
        <v>0.67492725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(28706.0/B82*100)</f>
        <v/>
      </c>
      <c r="D82" s="19" t="n">
        <v>3624</v>
      </c>
      <c r="E82" s="18" t="n">
        <v>69.18980239</v>
      </c>
      <c r="F82" s="20" t="n">
        <v>1.19944046</v>
      </c>
      <c r="G82" s="18" t="n">
        <v>30.08856218</v>
      </c>
      <c r="H82" s="20" t="n">
        <v>1.18284006</v>
      </c>
      <c r="I82" s="18" t="n">
        <v>0</v>
      </c>
      <c r="J82" s="20" t="n">
        <v>0</v>
      </c>
      <c r="K82" s="18" t="n">
        <v>0.019533</v>
      </c>
      <c r="L82" s="20" t="n">
        <v>0.01954299</v>
      </c>
      <c r="M82" s="18" t="n">
        <v>0</v>
      </c>
      <c r="N82" s="20" t="n">
        <v>0</v>
      </c>
      <c r="O82" s="18" t="n">
        <v>0</v>
      </c>
      <c r="P82" s="20" t="n">
        <v>0</v>
      </c>
      <c r="Q82" s="18" t="n">
        <v>0.7021024300000001</v>
      </c>
      <c r="R82" s="20" t="n">
        <v>0.20528031</v>
      </c>
    </row>
    <row r="83" spans="1:18">
      <c r="A83" s="15" t="s">
        <v>643</v>
      </c>
      <c r="B83" s="17" t="n">
        <v>1652</v>
      </c>
      <c r="C83" s="18">
        <f>(1478.0/B83*100)</f>
        <v/>
      </c>
      <c r="D83" s="19" t="n">
        <v>174</v>
      </c>
      <c r="E83" s="18" t="n">
        <v>71.91606487</v>
      </c>
      <c r="F83" s="20" t="n">
        <v>3.52391558</v>
      </c>
      <c r="G83" s="18" t="n">
        <v>26.47360133</v>
      </c>
      <c r="H83" s="20" t="n">
        <v>3.75698942</v>
      </c>
      <c r="I83" s="18" t="n">
        <v>0</v>
      </c>
      <c r="J83" s="20" t="n">
        <v>0</v>
      </c>
      <c r="K83" s="18" t="n">
        <v>0</v>
      </c>
      <c r="L83" s="20" t="n">
        <v>0</v>
      </c>
      <c r="M83" s="18" t="n">
        <v>0</v>
      </c>
      <c r="N83" s="20" t="n">
        <v>0</v>
      </c>
      <c r="O83" s="18" t="n">
        <v>0</v>
      </c>
      <c r="P83" s="20" t="n">
        <v>0</v>
      </c>
      <c r="Q83" s="18" t="n">
        <v>1.6103338</v>
      </c>
      <c r="R83" s="20" t="n">
        <v>1.1915872</v>
      </c>
    </row>
    <row r="84" spans="1:18">
      <c r="A84" s="23" t="s">
        <v>644</v>
      </c>
      <c r="B84" s="24" t="n">
        <v>1887</v>
      </c>
      <c r="C84" s="25">
        <f>(1679.0/B84*100)</f>
        <v/>
      </c>
      <c r="D84" s="19" t="n">
        <v>208</v>
      </c>
      <c r="E84" s="18" t="n">
        <v>67.59030991</v>
      </c>
      <c r="F84" s="20" t="n">
        <v>3.96287924</v>
      </c>
      <c r="G84" s="18" t="n">
        <v>32.40969009</v>
      </c>
      <c r="H84" s="20" t="n">
        <v>3.96287924</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(12900.0/B7*100)</f>
        <v/>
      </c>
      <c r="D7" s="19" t="n">
        <v>1630</v>
      </c>
      <c r="E7" s="18" t="n">
        <v>44.00647768</v>
      </c>
      <c r="F7" s="20" t="n">
        <v>1.36200049</v>
      </c>
      <c r="G7" s="18" t="n">
        <v>54.92700677</v>
      </c>
      <c r="H7" s="20" t="n">
        <v>1.39334229</v>
      </c>
      <c r="I7" s="18" t="n">
        <v>0</v>
      </c>
      <c r="J7" s="20" t="n">
        <v>0</v>
      </c>
      <c r="K7" s="18" t="n">
        <v>0.17563721</v>
      </c>
      <c r="L7" s="20" t="n">
        <v>0.0997238</v>
      </c>
      <c r="M7" s="18" t="n">
        <v>0</v>
      </c>
      <c r="N7" s="20" t="n">
        <v>0</v>
      </c>
      <c r="O7" s="18" t="n">
        <v>0</v>
      </c>
      <c r="P7" s="20" t="n">
        <v>0</v>
      </c>
      <c r="Q7" s="18" t="n">
        <v>0.89087834</v>
      </c>
      <c r="R7" s="20" t="n">
        <v>0.26216333</v>
      </c>
    </row>
    <row r="8" spans="1:18">
      <c r="A8" s="15" t="s">
        <v>566</v>
      </c>
      <c r="B8" s="17" t="n">
        <v>7007</v>
      </c>
      <c r="C8" s="18">
        <f>(6238.0/B8*100)</f>
        <v/>
      </c>
      <c r="D8" s="19" t="n">
        <v>769</v>
      </c>
      <c r="E8" s="18" t="n">
        <v>34.87945447</v>
      </c>
      <c r="F8" s="20" t="n">
        <v>1.87020109</v>
      </c>
      <c r="G8" s="18" t="n">
        <v>63.99067993</v>
      </c>
      <c r="H8" s="20" t="n">
        <v>1.86350412</v>
      </c>
      <c r="I8" s="18" t="n">
        <v>0</v>
      </c>
      <c r="J8" s="20" t="n">
        <v>0</v>
      </c>
      <c r="K8" s="18" t="n">
        <v>0</v>
      </c>
      <c r="L8" s="20" t="n">
        <v>0</v>
      </c>
      <c r="M8" s="18" t="n">
        <v>0</v>
      </c>
      <c r="N8" s="20" t="n">
        <v>0</v>
      </c>
      <c r="O8" s="18" t="n">
        <v>0</v>
      </c>
      <c r="P8" s="20" t="n">
        <v>0</v>
      </c>
      <c r="Q8" s="18" t="n">
        <v>1.1298656</v>
      </c>
      <c r="R8" s="20" t="n">
        <v>0.49043822</v>
      </c>
    </row>
    <row r="9" spans="1:18">
      <c r="A9" s="15" t="s">
        <v>567</v>
      </c>
      <c r="B9" s="17" t="n">
        <v>9651</v>
      </c>
      <c r="C9" s="18">
        <f>(8593.0/B9*100)</f>
        <v/>
      </c>
      <c r="D9" s="19" t="n">
        <v>1058</v>
      </c>
      <c r="E9" s="18" t="n">
        <v>42.69237892</v>
      </c>
      <c r="F9" s="20" t="n">
        <v>1.56298443</v>
      </c>
      <c r="G9" s="18" t="n">
        <v>56.95918432</v>
      </c>
      <c r="H9" s="20" t="n">
        <v>1.56431204</v>
      </c>
      <c r="I9" s="18" t="n">
        <v>0</v>
      </c>
      <c r="J9" s="20" t="n">
        <v>0</v>
      </c>
      <c r="K9" s="18" t="n">
        <v>0</v>
      </c>
      <c r="L9" s="20" t="n">
        <v>0</v>
      </c>
      <c r="M9" s="18" t="n">
        <v>0</v>
      </c>
      <c r="N9" s="20" t="n">
        <v>0</v>
      </c>
      <c r="O9" s="18" t="n">
        <v>0</v>
      </c>
      <c r="P9" s="20" t="n">
        <v>0</v>
      </c>
      <c r="Q9" s="18" t="n">
        <v>0.34843676</v>
      </c>
      <c r="R9" s="20" t="n">
        <v>0.16629381</v>
      </c>
    </row>
    <row r="10" spans="1:18">
      <c r="A10" s="15" t="s">
        <v>568</v>
      </c>
      <c r="B10" s="17" t="n">
        <v>20058</v>
      </c>
      <c r="C10" s="18">
        <f>(17827.0/B10*100)</f>
        <v/>
      </c>
      <c r="D10" s="19" t="n">
        <v>2231</v>
      </c>
      <c r="E10" s="18" t="n">
        <v>35.12751516</v>
      </c>
      <c r="F10" s="20" t="n">
        <v>1.69153637</v>
      </c>
      <c r="G10" s="18" t="n">
        <v>64.36445546</v>
      </c>
      <c r="H10" s="20" t="n">
        <v>1.67256737</v>
      </c>
      <c r="I10" s="18" t="n">
        <v>0</v>
      </c>
      <c r="J10" s="20" t="n">
        <v>0</v>
      </c>
      <c r="K10" s="18" t="n">
        <v>0.16130785</v>
      </c>
      <c r="L10" s="20" t="n">
        <v>0.10592555</v>
      </c>
      <c r="M10" s="18" t="n">
        <v>0</v>
      </c>
      <c r="N10" s="20" t="n">
        <v>0</v>
      </c>
      <c r="O10" s="18" t="n">
        <v>0</v>
      </c>
      <c r="P10" s="20" t="n">
        <v>0</v>
      </c>
      <c r="Q10" s="18" t="n">
        <v>0.34672153</v>
      </c>
      <c r="R10" s="20" t="n">
        <v>0.1632598</v>
      </c>
    </row>
    <row r="11" spans="1:18">
      <c r="A11" s="15" t="s">
        <v>569</v>
      </c>
      <c r="B11" s="17" t="n">
        <v>7053</v>
      </c>
      <c r="C11" s="18">
        <f>(6290.0/B11*100)</f>
        <v/>
      </c>
      <c r="D11" s="19" t="n">
        <v>763</v>
      </c>
      <c r="E11" s="18" t="n">
        <v>53.38025749</v>
      </c>
      <c r="F11" s="20" t="n">
        <v>2.08567485</v>
      </c>
      <c r="G11" s="18" t="n">
        <v>44.63093373</v>
      </c>
      <c r="H11" s="20" t="n">
        <v>2.1191287</v>
      </c>
      <c r="I11" s="18" t="n">
        <v>0</v>
      </c>
      <c r="J11" s="20" t="n">
        <v>0</v>
      </c>
      <c r="K11" s="18" t="n">
        <v>0.41110142</v>
      </c>
      <c r="L11" s="20" t="n">
        <v>0.38152473</v>
      </c>
      <c r="M11" s="18" t="n">
        <v>0</v>
      </c>
      <c r="N11" s="20" t="n">
        <v>0</v>
      </c>
      <c r="O11" s="18" t="n">
        <v>0</v>
      </c>
      <c r="P11" s="20" t="n">
        <v>0</v>
      </c>
      <c r="Q11" s="18" t="n">
        <v>1.57770737</v>
      </c>
      <c r="R11" s="20" t="n">
        <v>0.5319571400000001</v>
      </c>
    </row>
    <row r="12" spans="1:18">
      <c r="A12" s="15" t="s">
        <v>570</v>
      </c>
      <c r="B12" s="17" t="n">
        <v>6894</v>
      </c>
      <c r="C12" s="18">
        <f>(6145.0/B12*100)</f>
        <v/>
      </c>
      <c r="D12" s="19" t="n">
        <v>749</v>
      </c>
      <c r="E12" s="18" t="n">
        <v>34.5369746</v>
      </c>
      <c r="F12" s="20" t="n">
        <v>1.82415562</v>
      </c>
      <c r="G12" s="18" t="n">
        <v>64.39757887</v>
      </c>
      <c r="H12" s="20" t="n">
        <v>1.78533652</v>
      </c>
      <c r="I12" s="18" t="n">
        <v>0</v>
      </c>
      <c r="J12" s="20" t="n">
        <v>0</v>
      </c>
      <c r="K12" s="18" t="n">
        <v>0.07652434</v>
      </c>
      <c r="L12" s="20" t="n">
        <v>0.07405899000000001</v>
      </c>
      <c r="M12" s="18" t="n">
        <v>0</v>
      </c>
      <c r="N12" s="20" t="n">
        <v>0</v>
      </c>
      <c r="O12" s="18" t="n">
        <v>0</v>
      </c>
      <c r="P12" s="20" t="n">
        <v>0</v>
      </c>
      <c r="Q12" s="18" t="n">
        <v>0.98892219</v>
      </c>
      <c r="R12" s="20" t="n">
        <v>0.38091004</v>
      </c>
    </row>
    <row r="13" spans="1:18">
      <c r="A13" s="15" t="s">
        <v>571</v>
      </c>
      <c r="B13" s="17" t="n">
        <v>7161</v>
      </c>
      <c r="C13" s="18">
        <f>(6421.0/B13*100)</f>
        <v/>
      </c>
      <c r="D13" s="19" t="n">
        <v>740</v>
      </c>
      <c r="E13" s="18" t="n">
        <v>32.31426433</v>
      </c>
      <c r="F13" s="20" t="n">
        <v>1.9626629</v>
      </c>
      <c r="G13" s="18" t="n">
        <v>66.74331062</v>
      </c>
      <c r="H13" s="20" t="n">
        <v>2.01800822</v>
      </c>
      <c r="I13" s="18" t="n">
        <v>0</v>
      </c>
      <c r="J13" s="20" t="n">
        <v>0</v>
      </c>
      <c r="K13" s="18" t="n">
        <v>0.68093076</v>
      </c>
      <c r="L13" s="20" t="n">
        <v>0.42517648</v>
      </c>
      <c r="M13" s="18" t="n">
        <v>0</v>
      </c>
      <c r="N13" s="20" t="n">
        <v>0</v>
      </c>
      <c r="O13" s="18" t="n">
        <v>0</v>
      </c>
      <c r="P13" s="20" t="n">
        <v>0</v>
      </c>
      <c r="Q13" s="18" t="n">
        <v>0.26149429</v>
      </c>
      <c r="R13" s="20" t="n">
        <v>0.16274381</v>
      </c>
    </row>
    <row r="14" spans="1:18">
      <c r="A14" s="15" t="s">
        <v>572</v>
      </c>
      <c r="B14" s="17" t="n">
        <v>5587</v>
      </c>
      <c r="C14" s="18">
        <f>(4960.0/B14*100)</f>
        <v/>
      </c>
      <c r="D14" s="19" t="n">
        <v>627</v>
      </c>
      <c r="E14" s="18" t="n">
        <v>28.44609335</v>
      </c>
      <c r="F14" s="20" t="n">
        <v>2.04944948</v>
      </c>
      <c r="G14" s="18" t="n">
        <v>71.39858528000001</v>
      </c>
      <c r="H14" s="20" t="n">
        <v>2.03566715</v>
      </c>
      <c r="I14" s="18" t="n">
        <v>0</v>
      </c>
      <c r="J14" s="20" t="n">
        <v>0</v>
      </c>
      <c r="K14" s="18" t="n">
        <v>0.15532137</v>
      </c>
      <c r="L14" s="20" t="n">
        <v>0.15700102</v>
      </c>
      <c r="M14" s="18" t="n">
        <v>0</v>
      </c>
      <c r="N14" s="20" t="n">
        <v>0</v>
      </c>
      <c r="O14" s="18" t="n">
        <v>0</v>
      </c>
      <c r="P14" s="20" t="n">
        <v>0</v>
      </c>
      <c r="Q14" s="18" t="n">
        <v>0</v>
      </c>
      <c r="R14" s="20" t="n">
        <v>0</v>
      </c>
    </row>
    <row r="15" spans="1:18">
      <c r="A15" s="15" t="s">
        <v>573</v>
      </c>
      <c r="B15" s="17" t="n">
        <v>5882</v>
      </c>
      <c r="C15" s="18">
        <f>(5212.0/B15*100)</f>
        <v/>
      </c>
      <c r="D15" s="19" t="n">
        <v>670</v>
      </c>
      <c r="E15" s="18" t="n">
        <v>20.22995989</v>
      </c>
      <c r="F15" s="20" t="n">
        <v>1.56327372</v>
      </c>
      <c r="G15" s="18" t="n">
        <v>79.37988588</v>
      </c>
      <c r="H15" s="20" t="n">
        <v>1.58462994</v>
      </c>
      <c r="I15" s="18" t="n">
        <v>0</v>
      </c>
      <c r="J15" s="20" t="n">
        <v>0</v>
      </c>
      <c r="K15" s="18" t="n">
        <v>0</v>
      </c>
      <c r="L15" s="20" t="n">
        <v>0</v>
      </c>
      <c r="M15" s="18" t="n">
        <v>0</v>
      </c>
      <c r="N15" s="20" t="n">
        <v>0</v>
      </c>
      <c r="O15" s="18" t="n">
        <v>0</v>
      </c>
      <c r="P15" s="20" t="n">
        <v>0</v>
      </c>
      <c r="Q15" s="18" t="n">
        <v>0.39015423</v>
      </c>
      <c r="R15" s="20" t="n">
        <v>0.22614942</v>
      </c>
    </row>
    <row r="16" spans="1:18">
      <c r="A16" s="15" t="s">
        <v>574</v>
      </c>
      <c r="B16" s="17" t="n">
        <v>6108</v>
      </c>
      <c r="C16" s="18">
        <f>(5418.0/B16*100)</f>
        <v/>
      </c>
      <c r="D16" s="19" t="n">
        <v>690</v>
      </c>
      <c r="E16" s="18" t="n">
        <v>46.23743594</v>
      </c>
      <c r="F16" s="20" t="n">
        <v>1.80284166</v>
      </c>
      <c r="G16" s="18" t="n">
        <v>51.57492337</v>
      </c>
      <c r="H16" s="20" t="n">
        <v>1.75980539</v>
      </c>
      <c r="I16" s="18" t="n">
        <v>0</v>
      </c>
      <c r="J16" s="20" t="n">
        <v>0</v>
      </c>
      <c r="K16" s="18" t="n">
        <v>0.30111954</v>
      </c>
      <c r="L16" s="20" t="n">
        <v>0.21762343</v>
      </c>
      <c r="M16" s="18" t="n">
        <v>0</v>
      </c>
      <c r="N16" s="20" t="n">
        <v>0</v>
      </c>
      <c r="O16" s="18" t="n">
        <v>0</v>
      </c>
      <c r="P16" s="20" t="n">
        <v>0</v>
      </c>
      <c r="Q16" s="18" t="n">
        <v>1.88652116</v>
      </c>
      <c r="R16" s="20" t="n">
        <v>0.54110048</v>
      </c>
    </row>
    <row r="17" spans="1:18">
      <c r="A17" s="15" t="s">
        <v>575</v>
      </c>
      <c r="B17" s="17" t="n">
        <v>6504</v>
      </c>
      <c r="C17" s="18">
        <f>(5802.0/B17*100)</f>
        <v/>
      </c>
      <c r="D17" s="19" t="n">
        <v>702</v>
      </c>
      <c r="E17" s="18" t="n">
        <v>31.35062377</v>
      </c>
      <c r="F17" s="20" t="n">
        <v>1.71987565</v>
      </c>
      <c r="G17" s="18" t="n">
        <v>68.06376005</v>
      </c>
      <c r="H17" s="20" t="n">
        <v>1.70960347</v>
      </c>
      <c r="I17" s="18" t="n">
        <v>0</v>
      </c>
      <c r="J17" s="20" t="n">
        <v>0</v>
      </c>
      <c r="K17" s="18" t="n">
        <v>0.22319144</v>
      </c>
      <c r="L17" s="20" t="n">
        <v>0.18314309</v>
      </c>
      <c r="M17" s="18" t="n">
        <v>0</v>
      </c>
      <c r="N17" s="20" t="n">
        <v>0</v>
      </c>
      <c r="O17" s="18" t="n">
        <v>0</v>
      </c>
      <c r="P17" s="20" t="n">
        <v>0</v>
      </c>
      <c r="Q17" s="18" t="n">
        <v>0.36242473</v>
      </c>
      <c r="R17" s="20" t="n">
        <v>0.27266159</v>
      </c>
    </row>
    <row r="18" spans="1:18">
      <c r="A18" s="15" t="s">
        <v>576</v>
      </c>
      <c r="B18" s="17" t="n">
        <v>5532</v>
      </c>
      <c r="C18" s="18">
        <f>(4908.0/B18*100)</f>
        <v/>
      </c>
      <c r="D18" s="19" t="n">
        <v>624</v>
      </c>
      <c r="E18" s="18" t="n">
        <v>50.14275499</v>
      </c>
      <c r="F18" s="20" t="n">
        <v>2.0280436</v>
      </c>
      <c r="G18" s="18" t="n">
        <v>48.89161235</v>
      </c>
      <c r="H18" s="20" t="n">
        <v>2.02854673</v>
      </c>
      <c r="I18" s="18" t="n">
        <v>0</v>
      </c>
      <c r="J18" s="20" t="n">
        <v>0</v>
      </c>
      <c r="K18" s="18" t="n">
        <v>0.08847103000000001</v>
      </c>
      <c r="L18" s="20" t="n">
        <v>0.09012166000000001</v>
      </c>
      <c r="M18" s="18" t="n">
        <v>0</v>
      </c>
      <c r="N18" s="20" t="n">
        <v>0</v>
      </c>
      <c r="O18" s="18" t="n">
        <v>0</v>
      </c>
      <c r="P18" s="20" t="n">
        <v>0</v>
      </c>
      <c r="Q18" s="18" t="n">
        <v>0.87716163</v>
      </c>
      <c r="R18" s="20" t="n">
        <v>0.40091215</v>
      </c>
    </row>
    <row r="19" spans="1:18">
      <c r="A19" s="15" t="s">
        <v>577</v>
      </c>
      <c r="B19" s="17" t="n">
        <v>5658</v>
      </c>
      <c r="C19" s="18">
        <f>(5039.0/B19*100)</f>
        <v/>
      </c>
      <c r="D19" s="19" t="n">
        <v>619</v>
      </c>
      <c r="E19" s="18" t="n">
        <v>39.06227118</v>
      </c>
      <c r="F19" s="20" t="n">
        <v>1.92656842</v>
      </c>
      <c r="G19" s="18" t="n">
        <v>60.64289556</v>
      </c>
      <c r="H19" s="20" t="n">
        <v>1.95913893</v>
      </c>
      <c r="I19" s="18" t="n">
        <v>0</v>
      </c>
      <c r="J19" s="20" t="n">
        <v>0</v>
      </c>
      <c r="K19" s="18" t="n">
        <v>0</v>
      </c>
      <c r="L19" s="20" t="n">
        <v>0</v>
      </c>
      <c r="M19" s="18" t="n">
        <v>0</v>
      </c>
      <c r="N19" s="20" t="n">
        <v>0</v>
      </c>
      <c r="O19" s="18" t="n">
        <v>0</v>
      </c>
      <c r="P19" s="20" t="n">
        <v>0</v>
      </c>
      <c r="Q19" s="18" t="n">
        <v>0.29483326</v>
      </c>
      <c r="R19" s="20" t="n">
        <v>0.20004312</v>
      </c>
    </row>
    <row r="20" spans="1:18">
      <c r="A20" s="15" t="s">
        <v>578</v>
      </c>
      <c r="B20" s="17" t="n">
        <v>3371</v>
      </c>
      <c r="C20" s="18">
        <f>(3008.0/B20*100)</f>
        <v/>
      </c>
      <c r="D20" s="19" t="n">
        <v>363</v>
      </c>
      <c r="E20" s="18" t="n">
        <v>36.07374913</v>
      </c>
      <c r="F20" s="20" t="n">
        <v>2.88702768</v>
      </c>
      <c r="G20" s="18" t="n">
        <v>62.01597782</v>
      </c>
      <c r="H20" s="20" t="n">
        <v>2.80344148</v>
      </c>
      <c r="I20" s="18" t="n">
        <v>0</v>
      </c>
      <c r="J20" s="20" t="n">
        <v>0</v>
      </c>
      <c r="K20" s="18" t="n">
        <v>0.24379956</v>
      </c>
      <c r="L20" s="20" t="n">
        <v>0.24419749</v>
      </c>
      <c r="M20" s="18" t="n">
        <v>0</v>
      </c>
      <c r="N20" s="20" t="n">
        <v>0</v>
      </c>
      <c r="O20" s="18" t="n">
        <v>0</v>
      </c>
      <c r="P20" s="20" t="n">
        <v>0</v>
      </c>
      <c r="Q20" s="18" t="n">
        <v>1.66647349</v>
      </c>
      <c r="R20" s="20" t="n">
        <v>0.68488829</v>
      </c>
    </row>
    <row r="21" spans="1:18">
      <c r="A21" s="15" t="s">
        <v>579</v>
      </c>
      <c r="B21" s="17" t="n">
        <v>5741</v>
      </c>
      <c r="C21" s="18">
        <f>(5076.0/B21*100)</f>
        <v/>
      </c>
      <c r="D21" s="19" t="n">
        <v>665</v>
      </c>
      <c r="E21" s="18" t="n">
        <v>34.16311331</v>
      </c>
      <c r="F21" s="20" t="n">
        <v>2.16930739</v>
      </c>
      <c r="G21" s="18" t="n">
        <v>65.22635824</v>
      </c>
      <c r="H21" s="20" t="n">
        <v>2.15518645</v>
      </c>
      <c r="I21" s="18" t="n">
        <v>0</v>
      </c>
      <c r="J21" s="20" t="n">
        <v>0</v>
      </c>
      <c r="K21" s="18" t="n">
        <v>0</v>
      </c>
      <c r="L21" s="20" t="n">
        <v>0</v>
      </c>
      <c r="M21" s="18" t="n">
        <v>0</v>
      </c>
      <c r="N21" s="20" t="n">
        <v>0</v>
      </c>
      <c r="O21" s="18" t="n">
        <v>0</v>
      </c>
      <c r="P21" s="20" t="n">
        <v>0</v>
      </c>
      <c r="Q21" s="18" t="n">
        <v>0.6105284600000001</v>
      </c>
      <c r="R21" s="20" t="n">
        <v>0.30844984</v>
      </c>
    </row>
    <row r="22" spans="1:18">
      <c r="A22" s="15" t="s">
        <v>580</v>
      </c>
      <c r="B22" s="17" t="n">
        <v>6598</v>
      </c>
      <c r="C22" s="18">
        <f>(5878.0/B22*100)</f>
        <v/>
      </c>
      <c r="D22" s="19" t="n">
        <v>720</v>
      </c>
      <c r="E22" s="18" t="n">
        <v>38.5185091</v>
      </c>
      <c r="F22" s="20" t="n">
        <v>2.00330774</v>
      </c>
      <c r="G22" s="18" t="n">
        <v>59.64978737</v>
      </c>
      <c r="H22" s="20" t="n">
        <v>2.09157528</v>
      </c>
      <c r="I22" s="18" t="n">
        <v>0</v>
      </c>
      <c r="J22" s="20" t="n">
        <v>0</v>
      </c>
      <c r="K22" s="18" t="n">
        <v>0.91488138</v>
      </c>
      <c r="L22" s="20" t="n">
        <v>0.45546061</v>
      </c>
      <c r="M22" s="18" t="n">
        <v>0</v>
      </c>
      <c r="N22" s="20" t="n">
        <v>0</v>
      </c>
      <c r="O22" s="18" t="n">
        <v>0</v>
      </c>
      <c r="P22" s="20" t="n">
        <v>0</v>
      </c>
      <c r="Q22" s="18" t="n">
        <v>0.91682215</v>
      </c>
      <c r="R22" s="20" t="n">
        <v>0.42114437</v>
      </c>
    </row>
    <row r="23" spans="1:18">
      <c r="A23" s="15" t="s">
        <v>581</v>
      </c>
      <c r="B23" s="17" t="n">
        <v>11583</v>
      </c>
      <c r="C23" s="18">
        <f>(10304.0/B23*100)</f>
        <v/>
      </c>
      <c r="D23" s="19" t="n">
        <v>1279</v>
      </c>
      <c r="E23" s="18" t="n">
        <v>37.18875321</v>
      </c>
      <c r="F23" s="20" t="n">
        <v>2.0908055</v>
      </c>
      <c r="G23" s="18" t="n">
        <v>62.63431181</v>
      </c>
      <c r="H23" s="20" t="n">
        <v>2.088683</v>
      </c>
      <c r="I23" s="18" t="n">
        <v>0</v>
      </c>
      <c r="J23" s="20" t="n">
        <v>0</v>
      </c>
      <c r="K23" s="18" t="n">
        <v>0</v>
      </c>
      <c r="L23" s="20" t="n">
        <v>0</v>
      </c>
      <c r="M23" s="18" t="n">
        <v>0</v>
      </c>
      <c r="N23" s="20" t="n">
        <v>0</v>
      </c>
      <c r="O23" s="18" t="n">
        <v>0</v>
      </c>
      <c r="P23" s="20" t="n">
        <v>0</v>
      </c>
      <c r="Q23" s="18" t="n">
        <v>0.17693498</v>
      </c>
      <c r="R23" s="20" t="n">
        <v>0.10088295</v>
      </c>
    </row>
    <row r="24" spans="1:18">
      <c r="A24" s="15" t="s">
        <v>582</v>
      </c>
      <c r="B24" s="17" t="n">
        <v>6647</v>
      </c>
      <c r="C24" s="18">
        <f>(5913.0/B24*100)</f>
        <v/>
      </c>
      <c r="D24" s="19" t="n">
        <v>734</v>
      </c>
      <c r="E24" s="18" t="n">
        <v>23.71745395</v>
      </c>
      <c r="F24" s="20" t="n">
        <v>1.66454591</v>
      </c>
      <c r="G24" s="18" t="n">
        <v>75.3756896</v>
      </c>
      <c r="H24" s="20" t="n">
        <v>1.75344833</v>
      </c>
      <c r="I24" s="18" t="n">
        <v>0</v>
      </c>
      <c r="J24" s="20" t="n">
        <v>0</v>
      </c>
      <c r="K24" s="18" t="n">
        <v>0</v>
      </c>
      <c r="L24" s="20" t="n">
        <v>0</v>
      </c>
      <c r="M24" s="18" t="n">
        <v>0</v>
      </c>
      <c r="N24" s="20" t="n">
        <v>0</v>
      </c>
      <c r="O24" s="18" t="n">
        <v>0</v>
      </c>
      <c r="P24" s="20" t="n">
        <v>0</v>
      </c>
      <c r="Q24" s="18" t="n">
        <v>0.90685645</v>
      </c>
      <c r="R24" s="20" t="n">
        <v>0.38089249</v>
      </c>
    </row>
    <row r="25" spans="1:18">
      <c r="A25" s="15" t="s">
        <v>583</v>
      </c>
      <c r="B25" s="17" t="n">
        <v>5581</v>
      </c>
      <c r="C25" s="18">
        <f>(4964.0/B25*100)</f>
        <v/>
      </c>
      <c r="D25" s="19" t="n">
        <v>617</v>
      </c>
      <c r="E25" s="18" t="n">
        <v>31.27593953</v>
      </c>
      <c r="F25" s="20" t="n">
        <v>1.93635006</v>
      </c>
      <c r="G25" s="18" t="n">
        <v>68.25236535000001</v>
      </c>
      <c r="H25" s="20" t="n">
        <v>1.89562491</v>
      </c>
      <c r="I25" s="18" t="n">
        <v>0</v>
      </c>
      <c r="J25" s="20" t="n">
        <v>0</v>
      </c>
      <c r="K25" s="18" t="n">
        <v>0.15996681</v>
      </c>
      <c r="L25" s="20" t="n">
        <v>0.16045228</v>
      </c>
      <c r="M25" s="18" t="n">
        <v>0</v>
      </c>
      <c r="N25" s="20" t="n">
        <v>0</v>
      </c>
      <c r="O25" s="18" t="n">
        <v>0</v>
      </c>
      <c r="P25" s="20" t="n">
        <v>0</v>
      </c>
      <c r="Q25" s="18" t="n">
        <v>0.3117283</v>
      </c>
      <c r="R25" s="20" t="n">
        <v>0.2233198</v>
      </c>
    </row>
    <row r="26" spans="1:18">
      <c r="A26" s="15" t="s">
        <v>584</v>
      </c>
      <c r="B26" s="17" t="n">
        <v>4869</v>
      </c>
      <c r="C26" s="18">
        <f>(4323.0/B26*100)</f>
        <v/>
      </c>
      <c r="D26" s="19" t="n">
        <v>546</v>
      </c>
      <c r="E26" s="18" t="n">
        <v>38.00524661</v>
      </c>
      <c r="F26" s="20" t="n">
        <v>2.33224111</v>
      </c>
      <c r="G26" s="18" t="n">
        <v>61.6903285</v>
      </c>
      <c r="H26" s="20" t="n">
        <v>2.33929249</v>
      </c>
      <c r="I26" s="18" t="n">
        <v>0</v>
      </c>
      <c r="J26" s="20" t="n">
        <v>0</v>
      </c>
      <c r="K26" s="18" t="n">
        <v>0</v>
      </c>
      <c r="L26" s="20" t="n">
        <v>0</v>
      </c>
      <c r="M26" s="18" t="n">
        <v>0</v>
      </c>
      <c r="N26" s="20" t="n">
        <v>0</v>
      </c>
      <c r="O26" s="18" t="n">
        <v>0</v>
      </c>
      <c r="P26" s="20" t="n">
        <v>0</v>
      </c>
      <c r="Q26" s="18" t="n">
        <v>0.3044249</v>
      </c>
      <c r="R26" s="20" t="n">
        <v>0.21650209</v>
      </c>
    </row>
    <row r="27" spans="1:18">
      <c r="A27" s="15" t="s">
        <v>585</v>
      </c>
      <c r="B27" s="17" t="n">
        <v>5299</v>
      </c>
      <c r="C27" s="18">
        <f>(4703.0/B27*100)</f>
        <v/>
      </c>
      <c r="D27" s="19" t="n">
        <v>596</v>
      </c>
      <c r="E27" s="18" t="n">
        <v>43.28885767</v>
      </c>
      <c r="F27" s="20" t="n">
        <v>1.92140694</v>
      </c>
      <c r="G27" s="18" t="n">
        <v>55.52734523</v>
      </c>
      <c r="H27" s="20" t="n">
        <v>1.88103406</v>
      </c>
      <c r="I27" s="18" t="n">
        <v>0</v>
      </c>
      <c r="J27" s="20" t="n">
        <v>0</v>
      </c>
      <c r="K27" s="18" t="n">
        <v>0.17820107</v>
      </c>
      <c r="L27" s="20" t="n">
        <v>0.17853054</v>
      </c>
      <c r="M27" s="18" t="n">
        <v>0</v>
      </c>
      <c r="N27" s="20" t="n">
        <v>0</v>
      </c>
      <c r="O27" s="18" t="n">
        <v>0</v>
      </c>
      <c r="P27" s="20" t="n">
        <v>0</v>
      </c>
      <c r="Q27" s="18" t="n">
        <v>1.00559603</v>
      </c>
      <c r="R27" s="20" t="n">
        <v>0.47222045</v>
      </c>
    </row>
    <row r="28" spans="1:18">
      <c r="A28" s="15" t="s">
        <v>586</v>
      </c>
      <c r="B28" s="17" t="n">
        <v>7568</v>
      </c>
      <c r="C28" s="18">
        <f>(6751.0/B28*100)</f>
        <v/>
      </c>
      <c r="D28" s="19" t="n">
        <v>817</v>
      </c>
      <c r="E28" s="18" t="n">
        <v>72.24635807</v>
      </c>
      <c r="F28" s="20" t="n">
        <v>1.70709417</v>
      </c>
      <c r="G28" s="18" t="n">
        <v>26.91686325</v>
      </c>
      <c r="H28" s="20" t="n">
        <v>1.68405902</v>
      </c>
      <c r="I28" s="18" t="n">
        <v>0</v>
      </c>
      <c r="J28" s="20" t="n">
        <v>0</v>
      </c>
      <c r="K28" s="18" t="n">
        <v>0.21345672</v>
      </c>
      <c r="L28" s="20" t="n">
        <v>0.21047552</v>
      </c>
      <c r="M28" s="18" t="n">
        <v>0</v>
      </c>
      <c r="N28" s="20" t="n">
        <v>0</v>
      </c>
      <c r="O28" s="18" t="n">
        <v>0</v>
      </c>
      <c r="P28" s="20" t="n">
        <v>0</v>
      </c>
      <c r="Q28" s="18" t="n">
        <v>0.62332195</v>
      </c>
      <c r="R28" s="20" t="n">
        <v>0.29220972</v>
      </c>
    </row>
    <row r="29" spans="1:18">
      <c r="A29" s="15" t="s">
        <v>587</v>
      </c>
      <c r="B29" s="17" t="n">
        <v>5385</v>
      </c>
      <c r="C29" s="18">
        <f>(4803.0/B29*100)</f>
        <v/>
      </c>
      <c r="D29" s="19" t="n">
        <v>582</v>
      </c>
      <c r="E29" s="18" t="n">
        <v>45.81606719</v>
      </c>
      <c r="F29" s="20" t="n">
        <v>2.13555559</v>
      </c>
      <c r="G29" s="18" t="n">
        <v>53.45129047</v>
      </c>
      <c r="H29" s="20" t="n">
        <v>2.15007849</v>
      </c>
      <c r="I29" s="18" t="n">
        <v>0</v>
      </c>
      <c r="J29" s="20" t="n">
        <v>0</v>
      </c>
      <c r="K29" s="18" t="n">
        <v>0.17696287</v>
      </c>
      <c r="L29" s="20" t="n">
        <v>0.17544565</v>
      </c>
      <c r="M29" s="18" t="n">
        <v>0</v>
      </c>
      <c r="N29" s="20" t="n">
        <v>0</v>
      </c>
      <c r="O29" s="18" t="n">
        <v>0</v>
      </c>
      <c r="P29" s="20" t="n">
        <v>0</v>
      </c>
      <c r="Q29" s="18" t="n">
        <v>0.55567947</v>
      </c>
      <c r="R29" s="20" t="n">
        <v>0.30791677</v>
      </c>
    </row>
    <row r="30" spans="1:18">
      <c r="A30" s="15" t="s">
        <v>588</v>
      </c>
      <c r="B30" s="17" t="n">
        <v>4520</v>
      </c>
      <c r="C30" s="18">
        <f>(4002.0/B30*100)</f>
        <v/>
      </c>
      <c r="D30" s="19" t="n">
        <v>518</v>
      </c>
      <c r="E30" s="18" t="n">
        <v>38.13001699</v>
      </c>
      <c r="F30" s="20" t="n">
        <v>2.18833348</v>
      </c>
      <c r="G30" s="18" t="n">
        <v>61.11304694</v>
      </c>
      <c r="H30" s="20" t="n">
        <v>2.26141417</v>
      </c>
      <c r="I30" s="18" t="n">
        <v>0</v>
      </c>
      <c r="J30" s="20" t="n">
        <v>0</v>
      </c>
      <c r="K30" s="18" t="n">
        <v>0.18819691</v>
      </c>
      <c r="L30" s="20" t="n">
        <v>0.18220358</v>
      </c>
      <c r="M30" s="18" t="n">
        <v>0</v>
      </c>
      <c r="N30" s="20" t="n">
        <v>0</v>
      </c>
      <c r="O30" s="18" t="n">
        <v>0</v>
      </c>
      <c r="P30" s="20" t="n">
        <v>0</v>
      </c>
      <c r="Q30" s="18" t="n">
        <v>0.56873916</v>
      </c>
      <c r="R30" s="20" t="n">
        <v>0.36756306</v>
      </c>
    </row>
    <row r="31" spans="1:18">
      <c r="A31" s="15" t="s">
        <v>589</v>
      </c>
      <c r="B31" s="17" t="n">
        <v>5456</v>
      </c>
      <c r="C31" s="18">
        <f>(4852.0/B31*100)</f>
        <v/>
      </c>
      <c r="D31" s="19" t="n">
        <v>604</v>
      </c>
      <c r="E31" s="18" t="n">
        <v>40.73011346</v>
      </c>
      <c r="F31" s="20" t="n">
        <v>2.23510853</v>
      </c>
      <c r="G31" s="18" t="n">
        <v>58.51287314</v>
      </c>
      <c r="H31" s="20" t="n">
        <v>2.28757911</v>
      </c>
      <c r="I31" s="18" t="n">
        <v>0</v>
      </c>
      <c r="J31" s="20" t="n">
        <v>0</v>
      </c>
      <c r="K31" s="18" t="n">
        <v>0.13983709</v>
      </c>
      <c r="L31" s="20" t="n">
        <v>0.13957873</v>
      </c>
      <c r="M31" s="18" t="n">
        <v>0</v>
      </c>
      <c r="N31" s="20" t="n">
        <v>0</v>
      </c>
      <c r="O31" s="18" t="n">
        <v>0</v>
      </c>
      <c r="P31" s="20" t="n">
        <v>0</v>
      </c>
      <c r="Q31" s="18" t="n">
        <v>0.61717631</v>
      </c>
      <c r="R31" s="20" t="n">
        <v>0.30248973</v>
      </c>
    </row>
    <row r="32" spans="1:18">
      <c r="A32" s="15" t="s">
        <v>590</v>
      </c>
      <c r="B32" s="17" t="n">
        <v>4478</v>
      </c>
      <c r="C32" s="18">
        <f>(3984.0/B32*100)</f>
        <v/>
      </c>
      <c r="D32" s="19" t="n">
        <v>494</v>
      </c>
      <c r="E32" s="18" t="n">
        <v>30.02394697</v>
      </c>
      <c r="F32" s="20" t="n">
        <v>1.98659902</v>
      </c>
      <c r="G32" s="18" t="n">
        <v>69.50439109</v>
      </c>
      <c r="H32" s="20" t="n">
        <v>1.97679148</v>
      </c>
      <c r="I32" s="18" t="n">
        <v>0</v>
      </c>
      <c r="J32" s="20" t="n">
        <v>0</v>
      </c>
      <c r="K32" s="18" t="n">
        <v>0.17838464</v>
      </c>
      <c r="L32" s="20" t="n">
        <v>0.17457535</v>
      </c>
      <c r="M32" s="18" t="n">
        <v>0</v>
      </c>
      <c r="N32" s="20" t="n">
        <v>0</v>
      </c>
      <c r="O32" s="18" t="n">
        <v>0</v>
      </c>
      <c r="P32" s="20" t="n">
        <v>0</v>
      </c>
      <c r="Q32" s="18" t="n">
        <v>0.2932773</v>
      </c>
      <c r="R32" s="20" t="n">
        <v>0.29909734</v>
      </c>
    </row>
    <row r="33" spans="1:18">
      <c r="A33" s="15" t="s">
        <v>591</v>
      </c>
      <c r="B33" s="17" t="n">
        <v>7325</v>
      </c>
      <c r="C33" s="18">
        <f>(6518.0/B33*100)</f>
        <v/>
      </c>
      <c r="D33" s="19" t="n">
        <v>807</v>
      </c>
      <c r="E33" s="18" t="n">
        <v>25.94980707</v>
      </c>
      <c r="F33" s="20" t="n">
        <v>1.66418281</v>
      </c>
      <c r="G33" s="18" t="n">
        <v>73.38666677000001</v>
      </c>
      <c r="H33" s="20" t="n">
        <v>1.67236995</v>
      </c>
      <c r="I33" s="18" t="n">
        <v>0</v>
      </c>
      <c r="J33" s="20" t="n">
        <v>0</v>
      </c>
      <c r="K33" s="18" t="n">
        <v>0</v>
      </c>
      <c r="L33" s="20" t="n">
        <v>0</v>
      </c>
      <c r="M33" s="18" t="n">
        <v>0</v>
      </c>
      <c r="N33" s="20" t="n">
        <v>0</v>
      </c>
      <c r="O33" s="18" t="n">
        <v>0</v>
      </c>
      <c r="P33" s="20" t="n">
        <v>0</v>
      </c>
      <c r="Q33" s="18" t="n">
        <v>0.66352616</v>
      </c>
      <c r="R33" s="20" t="n">
        <v>0.32722269</v>
      </c>
    </row>
    <row r="34" spans="1:18">
      <c r="A34" s="15" t="s">
        <v>592</v>
      </c>
      <c r="B34" s="17" t="n">
        <v>6350</v>
      </c>
      <c r="C34" s="18">
        <f>(5696.0/B34*100)</f>
        <v/>
      </c>
      <c r="D34" s="19" t="n">
        <v>654</v>
      </c>
      <c r="E34" s="18" t="n">
        <v>46.05237854</v>
      </c>
      <c r="F34" s="20" t="n">
        <v>2.05923309</v>
      </c>
      <c r="G34" s="18" t="n">
        <v>53.54604039</v>
      </c>
      <c r="H34" s="20" t="n">
        <v>2.04609284</v>
      </c>
      <c r="I34" s="18" t="n">
        <v>0</v>
      </c>
      <c r="J34" s="20" t="n">
        <v>0</v>
      </c>
      <c r="K34" s="18" t="n">
        <v>0</v>
      </c>
      <c r="L34" s="20" t="n">
        <v>0</v>
      </c>
      <c r="M34" s="18" t="n">
        <v>0</v>
      </c>
      <c r="N34" s="20" t="n">
        <v>0</v>
      </c>
      <c r="O34" s="18" t="n">
        <v>0</v>
      </c>
      <c r="P34" s="20" t="n">
        <v>0</v>
      </c>
      <c r="Q34" s="18" t="n">
        <v>0.40158107</v>
      </c>
      <c r="R34" s="20" t="n">
        <v>0.2242392</v>
      </c>
    </row>
    <row r="35" spans="1:18">
      <c r="A35" s="15" t="s">
        <v>593</v>
      </c>
      <c r="B35" s="17" t="n">
        <v>6406</v>
      </c>
      <c r="C35" s="18">
        <f>(5712.0/B35*100)</f>
        <v/>
      </c>
      <c r="D35" s="19" t="n">
        <v>694</v>
      </c>
      <c r="E35" s="18" t="n">
        <v>30.43984085</v>
      </c>
      <c r="F35" s="20" t="n">
        <v>1.91060649</v>
      </c>
      <c r="G35" s="18" t="n">
        <v>68.63287388000001</v>
      </c>
      <c r="H35" s="20" t="n">
        <v>1.96491691</v>
      </c>
      <c r="I35" s="18" t="n">
        <v>0</v>
      </c>
      <c r="J35" s="20" t="n">
        <v>0</v>
      </c>
      <c r="K35" s="18" t="n">
        <v>0</v>
      </c>
      <c r="L35" s="20" t="n">
        <v>0</v>
      </c>
      <c r="M35" s="18" t="n">
        <v>0</v>
      </c>
      <c r="N35" s="20" t="n">
        <v>0</v>
      </c>
      <c r="O35" s="18" t="n">
        <v>0</v>
      </c>
      <c r="P35" s="20" t="n">
        <v>0</v>
      </c>
      <c r="Q35" s="18" t="n">
        <v>0.9272852700000001</v>
      </c>
      <c r="R35" s="20" t="n">
        <v>0.48954206</v>
      </c>
    </row>
    <row r="36" spans="1:18">
      <c r="A36" s="15" t="s">
        <v>594</v>
      </c>
      <c r="B36" s="17" t="n">
        <v>6736</v>
      </c>
      <c r="C36" s="18">
        <f>(5970.0/B36*100)</f>
        <v/>
      </c>
      <c r="D36" s="19" t="n">
        <v>766</v>
      </c>
      <c r="E36" s="18" t="n">
        <v>50.64098472</v>
      </c>
      <c r="F36" s="20" t="n">
        <v>1.62304507</v>
      </c>
      <c r="G36" s="18" t="n">
        <v>48.56228905</v>
      </c>
      <c r="H36" s="20" t="n">
        <v>1.63662281</v>
      </c>
      <c r="I36" s="18" t="n">
        <v>0</v>
      </c>
      <c r="J36" s="20" t="n">
        <v>0</v>
      </c>
      <c r="K36" s="18" t="n">
        <v>0</v>
      </c>
      <c r="L36" s="20" t="n">
        <v>0</v>
      </c>
      <c r="M36" s="18" t="n">
        <v>0</v>
      </c>
      <c r="N36" s="20" t="n">
        <v>0</v>
      </c>
      <c r="O36" s="18" t="n">
        <v>0</v>
      </c>
      <c r="P36" s="20" t="n">
        <v>0</v>
      </c>
      <c r="Q36" s="18" t="n">
        <v>0.79672623</v>
      </c>
      <c r="R36" s="20" t="n">
        <v>0.22719662</v>
      </c>
    </row>
    <row r="37" spans="1:18">
      <c r="A37" s="15" t="s">
        <v>595</v>
      </c>
      <c r="B37" s="17" t="n">
        <v>5458</v>
      </c>
      <c r="C37" s="18">
        <f>(4859.0/B37*100)</f>
        <v/>
      </c>
      <c r="D37" s="19" t="n">
        <v>599</v>
      </c>
      <c r="E37" s="18" t="n">
        <v>41.28465638</v>
      </c>
      <c r="F37" s="20" t="n">
        <v>2.23885869</v>
      </c>
      <c r="G37" s="18" t="n">
        <v>58.11019804</v>
      </c>
      <c r="H37" s="20" t="n">
        <v>2.21743572</v>
      </c>
      <c r="I37" s="18" t="n">
        <v>0</v>
      </c>
      <c r="J37" s="20" t="n">
        <v>0</v>
      </c>
      <c r="K37" s="18" t="n">
        <v>0</v>
      </c>
      <c r="L37" s="20" t="n">
        <v>0</v>
      </c>
      <c r="M37" s="18" t="n">
        <v>0</v>
      </c>
      <c r="N37" s="20" t="n">
        <v>0</v>
      </c>
      <c r="O37" s="18" t="n">
        <v>0</v>
      </c>
      <c r="P37" s="20" t="n">
        <v>0</v>
      </c>
      <c r="Q37" s="18" t="n">
        <v>0.60514558</v>
      </c>
      <c r="R37" s="20" t="n">
        <v>0.30076411</v>
      </c>
    </row>
    <row r="38" spans="1:18">
      <c r="A38" s="15" t="s">
        <v>596</v>
      </c>
      <c r="B38" s="17" t="n">
        <v>5860</v>
      </c>
      <c r="C38" s="18">
        <f>(5232.0/B38*100)</f>
        <v/>
      </c>
      <c r="D38" s="19" t="n">
        <v>628</v>
      </c>
      <c r="E38" s="18" t="n">
        <v>37.78860193</v>
      </c>
      <c r="F38" s="20" t="n">
        <v>2.49975631</v>
      </c>
      <c r="G38" s="18" t="n">
        <v>61.27122621</v>
      </c>
      <c r="H38" s="20" t="n">
        <v>2.61704677</v>
      </c>
      <c r="I38" s="18" t="n">
        <v>0</v>
      </c>
      <c r="J38" s="20" t="n">
        <v>0</v>
      </c>
      <c r="K38" s="18" t="n">
        <v>0.27582859</v>
      </c>
      <c r="L38" s="20" t="n">
        <v>0.24150035</v>
      </c>
      <c r="M38" s="18" t="n">
        <v>0</v>
      </c>
      <c r="N38" s="20" t="n">
        <v>0</v>
      </c>
      <c r="O38" s="18" t="n">
        <v>0</v>
      </c>
      <c r="P38" s="20" t="n">
        <v>0</v>
      </c>
      <c r="Q38" s="18" t="n">
        <v>0.66434327</v>
      </c>
      <c r="R38" s="20" t="n">
        <v>0.37748797</v>
      </c>
    </row>
    <row r="39" spans="1:18">
      <c r="A39" s="15" t="s">
        <v>597</v>
      </c>
      <c r="B39" s="17" t="n">
        <v>5895</v>
      </c>
      <c r="C39" s="18">
        <f>(5242.0/B39*100)</f>
        <v/>
      </c>
      <c r="D39" s="19" t="n">
        <v>653</v>
      </c>
      <c r="E39" s="18" t="n">
        <v>53.55592533</v>
      </c>
      <c r="F39" s="20" t="n">
        <v>2.23665767</v>
      </c>
      <c r="G39" s="18" t="n">
        <v>45.78316885</v>
      </c>
      <c r="H39" s="20" t="n">
        <v>2.27296677</v>
      </c>
      <c r="I39" s="18" t="n">
        <v>0</v>
      </c>
      <c r="J39" s="20" t="n">
        <v>0</v>
      </c>
      <c r="K39" s="18" t="n">
        <v>0.10892966</v>
      </c>
      <c r="L39" s="20" t="n">
        <v>0.11216404</v>
      </c>
      <c r="M39" s="18" t="n">
        <v>0</v>
      </c>
      <c r="N39" s="20" t="n">
        <v>0</v>
      </c>
      <c r="O39" s="18" t="n">
        <v>0</v>
      </c>
      <c r="P39" s="20" t="n">
        <v>0</v>
      </c>
      <c r="Q39" s="18" t="n">
        <v>0.55197617</v>
      </c>
      <c r="R39" s="20" t="n">
        <v>0.27026532</v>
      </c>
    </row>
    <row r="40" spans="1:18">
      <c r="A40" s="15" t="s">
        <v>598</v>
      </c>
      <c r="B40" s="17" t="n">
        <v>14157</v>
      </c>
      <c r="C40" s="18">
        <f>(12513.0/B40*100)</f>
        <v/>
      </c>
      <c r="D40" s="19" t="n">
        <v>1644</v>
      </c>
      <c r="E40" s="18" t="n">
        <v>34.50173628</v>
      </c>
      <c r="F40" s="20" t="n">
        <v>1.78472859</v>
      </c>
      <c r="G40" s="18" t="n">
        <v>64.68692844</v>
      </c>
      <c r="H40" s="20" t="n">
        <v>1.79591707</v>
      </c>
      <c r="I40" s="18" t="n">
        <v>0</v>
      </c>
      <c r="J40" s="20" t="n">
        <v>0</v>
      </c>
      <c r="K40" s="18" t="n">
        <v>0.04895342</v>
      </c>
      <c r="L40" s="20" t="n">
        <v>0.03236548</v>
      </c>
      <c r="M40" s="18" t="n">
        <v>0</v>
      </c>
      <c r="N40" s="20" t="n">
        <v>0</v>
      </c>
      <c r="O40" s="18" t="n">
        <v>0</v>
      </c>
      <c r="P40" s="20" t="n">
        <v>0</v>
      </c>
      <c r="Q40" s="18" t="n">
        <v>0.76238186</v>
      </c>
      <c r="R40" s="20" t="n">
        <v>0.35399506</v>
      </c>
    </row>
    <row r="41" spans="1:18">
      <c r="A41" s="15" t="s">
        <v>599</v>
      </c>
      <c r="B41" s="17" t="n">
        <v>5712</v>
      </c>
      <c r="C41" s="18">
        <f>(5094.0/B41*100)</f>
        <v/>
      </c>
      <c r="D41" s="19" t="n">
        <v>618</v>
      </c>
      <c r="E41" s="18" t="n">
        <v>45.25664714</v>
      </c>
      <c r="F41" s="20" t="n">
        <v>2.115354</v>
      </c>
      <c r="G41" s="18" t="n">
        <v>54.00655341</v>
      </c>
      <c r="H41" s="20" t="n">
        <v>2.12258991</v>
      </c>
      <c r="I41" s="18" t="n">
        <v>0</v>
      </c>
      <c r="J41" s="20" t="n">
        <v>0</v>
      </c>
      <c r="K41" s="18" t="n">
        <v>0</v>
      </c>
      <c r="L41" s="20" t="n">
        <v>0</v>
      </c>
      <c r="M41" s="18" t="n">
        <v>0</v>
      </c>
      <c r="N41" s="20" t="n">
        <v>0</v>
      </c>
      <c r="O41" s="18" t="n">
        <v>0</v>
      </c>
      <c r="P41" s="20" t="n">
        <v>0</v>
      </c>
      <c r="Q41" s="18" t="n">
        <v>0.73679946</v>
      </c>
      <c r="R41" s="20" t="n">
        <v>0.323126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(20837.0/B46*100)</f>
        <v/>
      </c>
      <c r="D46" s="19" t="n">
        <v>2304</v>
      </c>
      <c r="E46" s="18" t="n">
        <v>60.41631043</v>
      </c>
      <c r="F46" s="20" t="n">
        <v>1.51226718</v>
      </c>
      <c r="G46" s="18" t="n">
        <v>37.63278361</v>
      </c>
      <c r="H46" s="20" t="n">
        <v>1.49683671</v>
      </c>
      <c r="I46" s="18" t="n">
        <v>0</v>
      </c>
      <c r="J46" s="20" t="n">
        <v>0</v>
      </c>
      <c r="K46" s="18" t="n">
        <v>0.56963291</v>
      </c>
      <c r="L46" s="20" t="n">
        <v>0.18794543</v>
      </c>
      <c r="M46" s="18" t="n">
        <v>0</v>
      </c>
      <c r="N46" s="20" t="n">
        <v>0</v>
      </c>
      <c r="O46" s="18" t="n">
        <v>0</v>
      </c>
      <c r="P46" s="20" t="n">
        <v>0</v>
      </c>
      <c r="Q46" s="18" t="n">
        <v>1.38127305</v>
      </c>
      <c r="R46" s="20" t="n">
        <v>0.27423521</v>
      </c>
    </row>
    <row r="47" spans="1:18">
      <c r="A47" s="15" t="s">
        <v>606</v>
      </c>
      <c r="B47" s="17" t="n">
        <v>5928</v>
      </c>
      <c r="C47" s="18">
        <f>(5291.0/B47*100)</f>
        <v/>
      </c>
      <c r="D47" s="19" t="n">
        <v>637</v>
      </c>
      <c r="E47" s="18" t="n">
        <v>42.2396552</v>
      </c>
      <c r="F47" s="20" t="n">
        <v>1.8823858</v>
      </c>
      <c r="G47" s="18" t="n">
        <v>57.0084522</v>
      </c>
      <c r="H47" s="20" t="n">
        <v>1.88531983</v>
      </c>
      <c r="I47" s="18" t="n">
        <v>0</v>
      </c>
      <c r="J47" s="20" t="n">
        <v>0</v>
      </c>
      <c r="K47" s="18" t="n">
        <v>0</v>
      </c>
      <c r="L47" s="20" t="n">
        <v>0</v>
      </c>
      <c r="M47" s="18" t="n">
        <v>0</v>
      </c>
      <c r="N47" s="20" t="n">
        <v>0</v>
      </c>
      <c r="O47" s="18" t="n">
        <v>0</v>
      </c>
      <c r="P47" s="20" t="n">
        <v>0</v>
      </c>
      <c r="Q47" s="18" t="n">
        <v>0.75189259</v>
      </c>
      <c r="R47" s="20" t="n">
        <v>0.27075208</v>
      </c>
    </row>
    <row r="48" spans="1:18">
      <c r="A48" s="15" t="s">
        <v>607</v>
      </c>
      <c r="B48" s="17" t="n">
        <v>9841</v>
      </c>
      <c r="C48" s="18">
        <f>(8761.0/B48*100)</f>
        <v/>
      </c>
      <c r="D48" s="19" t="n">
        <v>1080</v>
      </c>
      <c r="E48" s="18" t="n">
        <v>37.05153077</v>
      </c>
      <c r="F48" s="20" t="n">
        <v>2.10106067</v>
      </c>
      <c r="G48" s="18" t="n">
        <v>61.58164387</v>
      </c>
      <c r="H48" s="20" t="n">
        <v>2.00286441</v>
      </c>
      <c r="I48" s="18" t="n">
        <v>0</v>
      </c>
      <c r="J48" s="20" t="n">
        <v>0</v>
      </c>
      <c r="K48" s="18" t="n">
        <v>0.46107588</v>
      </c>
      <c r="L48" s="20" t="n">
        <v>0.26822947</v>
      </c>
      <c r="M48" s="18" t="n">
        <v>0</v>
      </c>
      <c r="N48" s="20" t="n">
        <v>0</v>
      </c>
      <c r="O48" s="18" t="n">
        <v>0</v>
      </c>
      <c r="P48" s="20" t="n">
        <v>0</v>
      </c>
      <c r="Q48" s="18" t="n">
        <v>0.90574948</v>
      </c>
      <c r="R48" s="20" t="n">
        <v>0.37281034</v>
      </c>
    </row>
    <row r="49" spans="1:18">
      <c r="A49" s="15" t="s">
        <v>608</v>
      </c>
      <c r="B49" s="17" t="n">
        <v>11795</v>
      </c>
      <c r="C49" s="18">
        <f>(10521.0/B49*100)</f>
        <v/>
      </c>
      <c r="D49" s="19" t="n">
        <v>1274</v>
      </c>
      <c r="E49" s="18" t="n">
        <v>56.38652771</v>
      </c>
      <c r="F49" s="20" t="n">
        <v>2.14334551</v>
      </c>
      <c r="G49" s="18" t="n">
        <v>42.48132978</v>
      </c>
      <c r="H49" s="20" t="n">
        <v>2.08903228</v>
      </c>
      <c r="I49" s="18" t="n">
        <v>0</v>
      </c>
      <c r="J49" s="20" t="n">
        <v>0</v>
      </c>
      <c r="K49" s="18" t="n">
        <v>1.03414702</v>
      </c>
      <c r="L49" s="20" t="n">
        <v>0.47986796</v>
      </c>
      <c r="M49" s="18" t="n">
        <v>0</v>
      </c>
      <c r="N49" s="20" t="n">
        <v>0</v>
      </c>
      <c r="O49" s="18" t="n">
        <v>0</v>
      </c>
      <c r="P49" s="20" t="n">
        <v>0</v>
      </c>
      <c r="Q49" s="18" t="n">
        <v>0.09799549</v>
      </c>
      <c r="R49" s="20" t="n">
        <v>0.05213431</v>
      </c>
    </row>
    <row r="50" spans="1:18">
      <c r="A50" s="15" t="s">
        <v>609</v>
      </c>
      <c r="B50" s="17" t="n">
        <v>6866</v>
      </c>
      <c r="C50" s="18">
        <f>(6176.0/B50*100)</f>
        <v/>
      </c>
      <c r="D50" s="19" t="n">
        <v>690</v>
      </c>
      <c r="E50" s="18" t="n">
        <v>63.66882748</v>
      </c>
      <c r="F50" s="20" t="n">
        <v>1.86281882</v>
      </c>
      <c r="G50" s="18" t="n">
        <v>35.58904335</v>
      </c>
      <c r="H50" s="20" t="n">
        <v>1.84040742</v>
      </c>
      <c r="I50" s="18" t="n">
        <v>0</v>
      </c>
      <c r="J50" s="20" t="n">
        <v>0</v>
      </c>
      <c r="K50" s="18" t="n">
        <v>0.36010498</v>
      </c>
      <c r="L50" s="20" t="n">
        <v>0.3123232</v>
      </c>
      <c r="M50" s="18" t="n">
        <v>0</v>
      </c>
      <c r="N50" s="20" t="n">
        <v>0</v>
      </c>
      <c r="O50" s="18" t="n">
        <v>0</v>
      </c>
      <c r="P50" s="20" t="n">
        <v>0</v>
      </c>
      <c r="Q50" s="18" t="n">
        <v>0.38202419</v>
      </c>
      <c r="R50" s="20" t="n">
        <v>0.20075571</v>
      </c>
    </row>
    <row r="51" spans="1:18">
      <c r="A51" s="15" t="s">
        <v>610</v>
      </c>
      <c r="B51" s="17" t="n">
        <v>5809</v>
      </c>
      <c r="C51" s="18">
        <f>(5195.0/B51*100)</f>
        <v/>
      </c>
      <c r="D51" s="19" t="n">
        <v>614</v>
      </c>
      <c r="E51" s="18" t="n">
        <v>39.23398867</v>
      </c>
      <c r="F51" s="20" t="n">
        <v>1.96646852</v>
      </c>
      <c r="G51" s="18" t="n">
        <v>60.43509829</v>
      </c>
      <c r="H51" s="20" t="n">
        <v>1.89040763</v>
      </c>
      <c r="I51" s="18" t="n">
        <v>0</v>
      </c>
      <c r="J51" s="20" t="n">
        <v>0</v>
      </c>
      <c r="K51" s="18" t="n">
        <v>0</v>
      </c>
      <c r="L51" s="20" t="n">
        <v>0</v>
      </c>
      <c r="M51" s="18" t="n">
        <v>0</v>
      </c>
      <c r="N51" s="20" t="n">
        <v>0</v>
      </c>
      <c r="O51" s="18" t="n">
        <v>0</v>
      </c>
      <c r="P51" s="20" t="n">
        <v>0</v>
      </c>
      <c r="Q51" s="18" t="n">
        <v>0.33091304</v>
      </c>
      <c r="R51" s="20" t="n">
        <v>0.23309668</v>
      </c>
    </row>
    <row r="52" spans="1:18">
      <c r="A52" s="15" t="s">
        <v>611</v>
      </c>
      <c r="B52" s="17" t="n">
        <v>5571</v>
      </c>
      <c r="C52" s="18">
        <f>(4950.0/B52*100)</f>
        <v/>
      </c>
      <c r="D52" s="19" t="n">
        <v>621</v>
      </c>
      <c r="E52" s="18" t="n">
        <v>60.6456169</v>
      </c>
      <c r="F52" s="20" t="n">
        <v>1.77874482</v>
      </c>
      <c r="G52" s="18" t="n">
        <v>38.41045213</v>
      </c>
      <c r="H52" s="20" t="n">
        <v>1.76764603</v>
      </c>
      <c r="I52" s="18" t="n">
        <v>0</v>
      </c>
      <c r="J52" s="20" t="n">
        <v>0</v>
      </c>
      <c r="K52" s="18" t="n">
        <v>0.10690495</v>
      </c>
      <c r="L52" s="20" t="n">
        <v>0.10792921</v>
      </c>
      <c r="M52" s="18" t="n">
        <v>0</v>
      </c>
      <c r="N52" s="20" t="n">
        <v>0</v>
      </c>
      <c r="O52" s="18" t="n">
        <v>0</v>
      </c>
      <c r="P52" s="20" t="n">
        <v>0</v>
      </c>
      <c r="Q52" s="18" t="n">
        <v>0.83702602</v>
      </c>
      <c r="R52" s="20" t="n">
        <v>0.34957085</v>
      </c>
    </row>
    <row r="53" spans="1:18">
      <c r="A53" s="15" t="s">
        <v>612</v>
      </c>
      <c r="B53" s="17" t="n">
        <v>4740</v>
      </c>
      <c r="C53" s="18">
        <f>(4220.0/B53*100)</f>
        <v/>
      </c>
      <c r="D53" s="19" t="n">
        <v>520</v>
      </c>
      <c r="E53" s="18" t="n">
        <v>66.40758467000001</v>
      </c>
      <c r="F53" s="20" t="n">
        <v>2.47556667</v>
      </c>
      <c r="G53" s="18" t="n">
        <v>23.74525747</v>
      </c>
      <c r="H53" s="20" t="n">
        <v>2.45619571</v>
      </c>
      <c r="I53" s="18" t="n">
        <v>0</v>
      </c>
      <c r="J53" s="20" t="n">
        <v>0</v>
      </c>
      <c r="K53" s="18" t="n">
        <v>7.47430229</v>
      </c>
      <c r="L53" s="20" t="n">
        <v>1.18497765</v>
      </c>
      <c r="M53" s="18" t="n">
        <v>0</v>
      </c>
      <c r="N53" s="20" t="n">
        <v>0</v>
      </c>
      <c r="O53" s="18" t="n">
        <v>0</v>
      </c>
      <c r="P53" s="20" t="n">
        <v>0</v>
      </c>
      <c r="Q53" s="18" t="n">
        <v>2.37285557</v>
      </c>
      <c r="R53" s="20" t="n">
        <v>0.78588117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(4772.0/B55*100)</f>
        <v/>
      </c>
      <c r="D55" s="19" t="n">
        <v>587</v>
      </c>
      <c r="E55" s="18" t="n">
        <v>31.35232123</v>
      </c>
      <c r="F55" s="20" t="n">
        <v>2.45370768</v>
      </c>
      <c r="G55" s="18" t="n">
        <v>68.03295332</v>
      </c>
      <c r="H55" s="20" t="n">
        <v>2.4353601</v>
      </c>
      <c r="I55" s="18" t="n">
        <v>0</v>
      </c>
      <c r="J55" s="20" t="n">
        <v>0</v>
      </c>
      <c r="K55" s="18" t="n">
        <v>0.32746297</v>
      </c>
      <c r="L55" s="20" t="n">
        <v>0.31483375</v>
      </c>
      <c r="M55" s="18" t="n">
        <v>0</v>
      </c>
      <c r="N55" s="20" t="n">
        <v>0</v>
      </c>
      <c r="O55" s="18" t="n">
        <v>0</v>
      </c>
      <c r="P55" s="20" t="n">
        <v>0</v>
      </c>
      <c r="Q55" s="18" t="n">
        <v>0.28726247</v>
      </c>
      <c r="R55" s="20" t="n">
        <v>0.20606715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(5827.0/B61*100)</f>
        <v/>
      </c>
      <c r="D61" s="19" t="n">
        <v>698</v>
      </c>
      <c r="E61" s="18" t="n">
        <v>31.76371142</v>
      </c>
      <c r="F61" s="20" t="n">
        <v>1.82434221</v>
      </c>
      <c r="G61" s="18" t="n">
        <v>67.84390954</v>
      </c>
      <c r="H61" s="20" t="n">
        <v>1.86034496</v>
      </c>
      <c r="I61" s="18" t="n">
        <v>0</v>
      </c>
      <c r="J61" s="20" t="n">
        <v>0</v>
      </c>
      <c r="K61" s="18" t="n">
        <v>0.19612475</v>
      </c>
      <c r="L61" s="20" t="n">
        <v>0.20523611</v>
      </c>
      <c r="M61" s="18" t="n">
        <v>0</v>
      </c>
      <c r="N61" s="20" t="n">
        <v>0</v>
      </c>
      <c r="O61" s="18" t="n">
        <v>0</v>
      </c>
      <c r="P61" s="20" t="n">
        <v>0</v>
      </c>
      <c r="Q61" s="18" t="n">
        <v>0.1962543</v>
      </c>
      <c r="R61" s="20" t="n">
        <v>0.09941169</v>
      </c>
    </row>
    <row r="62" spans="1:18">
      <c r="A62" s="15" t="s">
        <v>622</v>
      </c>
      <c r="B62" s="17" t="n">
        <v>4476</v>
      </c>
      <c r="C62" s="18">
        <f>(3965.0/B62*100)</f>
        <v/>
      </c>
      <c r="D62" s="19" t="n">
        <v>511</v>
      </c>
      <c r="E62" s="18" t="n">
        <v>37.19703422</v>
      </c>
      <c r="F62" s="20" t="n">
        <v>2.10117013</v>
      </c>
      <c r="G62" s="18" t="n">
        <v>62.80296578</v>
      </c>
      <c r="H62" s="20" t="n">
        <v>2.10117013</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(5069.0/B67*100)</f>
        <v/>
      </c>
      <c r="D67" s="19" t="n">
        <v>596</v>
      </c>
      <c r="E67" s="18" t="n">
        <v>49.46276566</v>
      </c>
      <c r="F67" s="20" t="n">
        <v>2.21491626</v>
      </c>
      <c r="G67" s="18" t="n">
        <v>48.13969853</v>
      </c>
      <c r="H67" s="20" t="n">
        <v>2.24331171</v>
      </c>
      <c r="I67" s="18" t="n">
        <v>0</v>
      </c>
      <c r="J67" s="20" t="n">
        <v>0</v>
      </c>
      <c r="K67" s="18" t="n">
        <v>0.17203821</v>
      </c>
      <c r="L67" s="20" t="n">
        <v>0.17134964</v>
      </c>
      <c r="M67" s="18" t="n">
        <v>0</v>
      </c>
      <c r="N67" s="20" t="n">
        <v>0</v>
      </c>
      <c r="O67" s="18" t="n">
        <v>0</v>
      </c>
      <c r="P67" s="20" t="n">
        <v>0</v>
      </c>
      <c r="Q67" s="18" t="n">
        <v>2.2254976</v>
      </c>
      <c r="R67" s="20" t="n">
        <v>0.65028919</v>
      </c>
    </row>
    <row r="68" spans="1:18">
      <c r="A68" s="15" t="s">
        <v>628</v>
      </c>
      <c r="B68" s="17" t="n">
        <v>6971</v>
      </c>
      <c r="C68" s="18">
        <f>(6248.0/B68*100)</f>
        <v/>
      </c>
      <c r="D68" s="19" t="n">
        <v>723</v>
      </c>
      <c r="E68" s="18" t="n">
        <v>70.89569498</v>
      </c>
      <c r="F68" s="20" t="n">
        <v>1.95195234</v>
      </c>
      <c r="G68" s="18" t="n">
        <v>28.24821197</v>
      </c>
      <c r="H68" s="20" t="n">
        <v>1.88754687</v>
      </c>
      <c r="I68" s="18" t="n">
        <v>0</v>
      </c>
      <c r="J68" s="20" t="n">
        <v>0</v>
      </c>
      <c r="K68" s="18" t="n">
        <v>0.27266023</v>
      </c>
      <c r="L68" s="20" t="n">
        <v>0.20037033</v>
      </c>
      <c r="M68" s="18" t="n">
        <v>0</v>
      </c>
      <c r="N68" s="20" t="n">
        <v>0</v>
      </c>
      <c r="O68" s="18" t="n">
        <v>0</v>
      </c>
      <c r="P68" s="20" t="n">
        <v>0</v>
      </c>
      <c r="Q68" s="18" t="n">
        <v>0.58343282</v>
      </c>
      <c r="R68" s="20" t="n">
        <v>0.27289968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(10747.0/B70*100)</f>
        <v/>
      </c>
      <c r="D70" s="19" t="n">
        <v>1336</v>
      </c>
      <c r="E70" s="18" t="n">
        <v>63.26875624</v>
      </c>
      <c r="F70" s="20" t="n">
        <v>1.34441</v>
      </c>
      <c r="G70" s="18" t="n">
        <v>33.74109234</v>
      </c>
      <c r="H70" s="20" t="n">
        <v>1.4184237</v>
      </c>
      <c r="I70" s="18" t="n">
        <v>0</v>
      </c>
      <c r="J70" s="20" t="n">
        <v>0</v>
      </c>
      <c r="K70" s="18" t="n">
        <v>1.10638639</v>
      </c>
      <c r="L70" s="20" t="n">
        <v>0.29828838</v>
      </c>
      <c r="M70" s="18" t="n">
        <v>0</v>
      </c>
      <c r="N70" s="20" t="n">
        <v>0</v>
      </c>
      <c r="O70" s="18" t="n">
        <v>0</v>
      </c>
      <c r="P70" s="20" t="n">
        <v>0</v>
      </c>
      <c r="Q70" s="18" t="n">
        <v>1.88376503</v>
      </c>
      <c r="R70" s="20" t="n">
        <v>0.39554269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(5396.0/B72*100)</f>
        <v/>
      </c>
      <c r="D72" s="19" t="n">
        <v>640</v>
      </c>
      <c r="E72" s="18" t="n">
        <v>36.0209221</v>
      </c>
      <c r="F72" s="20" t="n">
        <v>2.18764668</v>
      </c>
      <c r="G72" s="18" t="n">
        <v>63.73695309</v>
      </c>
      <c r="H72" s="20" t="n">
        <v>2.17576676</v>
      </c>
      <c r="I72" s="18" t="n">
        <v>0</v>
      </c>
      <c r="J72" s="20" t="n">
        <v>0</v>
      </c>
      <c r="K72" s="18" t="n">
        <v>0</v>
      </c>
      <c r="L72" s="20" t="n">
        <v>0</v>
      </c>
      <c r="M72" s="18" t="n">
        <v>0</v>
      </c>
      <c r="N72" s="20" t="n">
        <v>0</v>
      </c>
      <c r="O72" s="18" t="n">
        <v>0</v>
      </c>
      <c r="P72" s="20" t="n">
        <v>0</v>
      </c>
      <c r="Q72" s="18" t="n">
        <v>0.24212482</v>
      </c>
      <c r="R72" s="20" t="n">
        <v>0.14141743</v>
      </c>
    </row>
    <row r="73" spans="1:18">
      <c r="A73" s="15" t="s">
        <v>633</v>
      </c>
      <c r="B73" s="17" t="n">
        <v>6115</v>
      </c>
      <c r="C73" s="18">
        <f>(5426.0/B73*100)</f>
        <v/>
      </c>
      <c r="D73" s="19" t="n">
        <v>689</v>
      </c>
      <c r="E73" s="18" t="n">
        <v>30.74213033</v>
      </c>
      <c r="F73" s="20" t="n">
        <v>1.65086843</v>
      </c>
      <c r="G73" s="18" t="n">
        <v>68.99068032</v>
      </c>
      <c r="H73" s="20" t="n">
        <v>1.64666295</v>
      </c>
      <c r="I73" s="18" t="n">
        <v>0</v>
      </c>
      <c r="J73" s="20" t="n">
        <v>0</v>
      </c>
      <c r="K73" s="18" t="n">
        <v>0</v>
      </c>
      <c r="L73" s="20" t="n">
        <v>0</v>
      </c>
      <c r="M73" s="18" t="n">
        <v>0</v>
      </c>
      <c r="N73" s="20" t="n">
        <v>0</v>
      </c>
      <c r="O73" s="18" t="n">
        <v>0</v>
      </c>
      <c r="P73" s="20" t="n">
        <v>0</v>
      </c>
      <c r="Q73" s="18" t="n">
        <v>0.26718935</v>
      </c>
      <c r="R73" s="20" t="n">
        <v>0.1879691</v>
      </c>
    </row>
    <row r="74" spans="1:18">
      <c r="A74" s="15" t="s">
        <v>634</v>
      </c>
      <c r="B74" s="17" t="n">
        <v>7708</v>
      </c>
      <c r="C74" s="18">
        <f>(6813.0/B74*100)</f>
        <v/>
      </c>
      <c r="D74" s="19" t="n">
        <v>895</v>
      </c>
      <c r="E74" s="18" t="n">
        <v>31.30969267</v>
      </c>
      <c r="F74" s="20" t="n">
        <v>1.61993228</v>
      </c>
      <c r="G74" s="18" t="n">
        <v>68.26888199</v>
      </c>
      <c r="H74" s="20" t="n">
        <v>1.63311395</v>
      </c>
      <c r="I74" s="18" t="n">
        <v>0</v>
      </c>
      <c r="J74" s="20" t="n">
        <v>0</v>
      </c>
      <c r="K74" s="18" t="n">
        <v>0.12216639</v>
      </c>
      <c r="L74" s="20" t="n">
        <v>0.12266837</v>
      </c>
      <c r="M74" s="18" t="n">
        <v>0</v>
      </c>
      <c r="N74" s="20" t="n">
        <v>0</v>
      </c>
      <c r="O74" s="18" t="n">
        <v>0</v>
      </c>
      <c r="P74" s="20" t="n">
        <v>0</v>
      </c>
      <c r="Q74" s="18" t="n">
        <v>0.29925894</v>
      </c>
      <c r="R74" s="20" t="n">
        <v>0.17682794</v>
      </c>
    </row>
    <row r="75" spans="1:18">
      <c r="A75" s="15" t="s">
        <v>635</v>
      </c>
      <c r="B75" s="17" t="n">
        <v>8249</v>
      </c>
      <c r="C75" s="18">
        <f>(7347.0/B75*100)</f>
        <v/>
      </c>
      <c r="D75" s="19" t="n">
        <v>902</v>
      </c>
      <c r="E75" s="18" t="n">
        <v>47.89499595</v>
      </c>
      <c r="F75" s="20" t="n">
        <v>1.79683566</v>
      </c>
      <c r="G75" s="18" t="n">
        <v>51.89771759</v>
      </c>
      <c r="H75" s="20" t="n">
        <v>1.8144971</v>
      </c>
      <c r="I75" s="18" t="n">
        <v>0</v>
      </c>
      <c r="J75" s="20" t="n">
        <v>0</v>
      </c>
      <c r="K75" s="18" t="n">
        <v>0</v>
      </c>
      <c r="L75" s="20" t="n">
        <v>0</v>
      </c>
      <c r="M75" s="18" t="n">
        <v>0</v>
      </c>
      <c r="N75" s="20" t="n">
        <v>0</v>
      </c>
      <c r="O75" s="18" t="n">
        <v>0</v>
      </c>
      <c r="P75" s="20" t="n">
        <v>0</v>
      </c>
      <c r="Q75" s="18" t="n">
        <v>0.20728646</v>
      </c>
      <c r="R75" s="20" t="n">
        <v>0.1647034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(4839.0/B77*100)</f>
        <v/>
      </c>
      <c r="D77" s="19" t="n">
        <v>536</v>
      </c>
      <c r="E77" s="18" t="n">
        <v>62.04539634</v>
      </c>
      <c r="F77" s="20" t="n">
        <v>2.24871641</v>
      </c>
      <c r="G77" s="18" t="n">
        <v>35.36566136</v>
      </c>
      <c r="H77" s="20" t="n">
        <v>2.19071615</v>
      </c>
      <c r="I77" s="18" t="n">
        <v>0</v>
      </c>
      <c r="J77" s="20" t="n">
        <v>0</v>
      </c>
      <c r="K77" s="18" t="n">
        <v>1.19110092</v>
      </c>
      <c r="L77" s="20" t="n">
        <v>0.43399897</v>
      </c>
      <c r="M77" s="18" t="n">
        <v>0</v>
      </c>
      <c r="N77" s="20" t="n">
        <v>0</v>
      </c>
      <c r="O77" s="18" t="n">
        <v>0</v>
      </c>
      <c r="P77" s="20" t="n">
        <v>0</v>
      </c>
      <c r="Q77" s="18" t="n">
        <v>1.39784138</v>
      </c>
      <c r="R77" s="20" t="n">
        <v>0.45741897</v>
      </c>
    </row>
    <row r="78" spans="1:18">
      <c r="A78" s="15" t="s">
        <v>638</v>
      </c>
      <c r="B78" s="17" t="n">
        <v>14167</v>
      </c>
      <c r="C78" s="18">
        <f>(12571.0/B78*100)</f>
        <v/>
      </c>
      <c r="D78" s="19" t="n">
        <v>1596</v>
      </c>
      <c r="E78" s="18" t="n">
        <v>61.00292423</v>
      </c>
      <c r="F78" s="20" t="n">
        <v>1.51858023</v>
      </c>
      <c r="G78" s="18" t="n">
        <v>36.92583117</v>
      </c>
      <c r="H78" s="20" t="n">
        <v>1.55897648</v>
      </c>
      <c r="I78" s="18" t="n">
        <v>0</v>
      </c>
      <c r="J78" s="20" t="n">
        <v>0</v>
      </c>
      <c r="K78" s="18" t="n">
        <v>0.81793753</v>
      </c>
      <c r="L78" s="20" t="n">
        <v>0.27807054</v>
      </c>
      <c r="M78" s="18" t="n">
        <v>0</v>
      </c>
      <c r="N78" s="20" t="n">
        <v>0</v>
      </c>
      <c r="O78" s="18" t="n">
        <v>0</v>
      </c>
      <c r="P78" s="20" t="n">
        <v>0</v>
      </c>
      <c r="Q78" s="18" t="n">
        <v>1.25330708</v>
      </c>
      <c r="R78" s="20" t="n">
        <v>0.33785917</v>
      </c>
    </row>
    <row r="79" spans="1:18">
      <c r="A79" s="15" t="s">
        <v>639</v>
      </c>
      <c r="B79" s="17" t="n">
        <v>6062</v>
      </c>
      <c r="C79" s="18">
        <f>(5407.0/B79*100)</f>
        <v/>
      </c>
      <c r="D79" s="19" t="n">
        <v>655</v>
      </c>
      <c r="E79" s="18" t="n">
        <v>52.22455076</v>
      </c>
      <c r="F79" s="20" t="n">
        <v>1.68935704</v>
      </c>
      <c r="G79" s="18" t="n">
        <v>46.7262571</v>
      </c>
      <c r="H79" s="20" t="n">
        <v>1.7842374</v>
      </c>
      <c r="I79" s="18" t="n">
        <v>0</v>
      </c>
      <c r="J79" s="20" t="n">
        <v>0</v>
      </c>
      <c r="K79" s="18" t="n">
        <v>0.26540659</v>
      </c>
      <c r="L79" s="20" t="n">
        <v>0.28771683</v>
      </c>
      <c r="M79" s="18" t="n">
        <v>0</v>
      </c>
      <c r="N79" s="20" t="n">
        <v>0</v>
      </c>
      <c r="O79" s="18" t="n">
        <v>0</v>
      </c>
      <c r="P79" s="20" t="n">
        <v>0</v>
      </c>
      <c r="Q79" s="18" t="n">
        <v>0.7837855500000001</v>
      </c>
      <c r="R79" s="20" t="n">
        <v>0.35496156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(28711.0/B82*100)</f>
        <v/>
      </c>
      <c r="D82" s="19" t="n">
        <v>3619</v>
      </c>
      <c r="E82" s="18" t="n">
        <v>47.89762192</v>
      </c>
      <c r="F82" s="20" t="n">
        <v>1.03898577</v>
      </c>
      <c r="G82" s="18" t="n">
        <v>51.66816706</v>
      </c>
      <c r="H82" s="20" t="n">
        <v>1.06102644</v>
      </c>
      <c r="I82" s="18" t="n">
        <v>0</v>
      </c>
      <c r="J82" s="20" t="n">
        <v>0</v>
      </c>
      <c r="K82" s="18" t="n">
        <v>0.03111743</v>
      </c>
      <c r="L82" s="20" t="n">
        <v>0.02277205</v>
      </c>
      <c r="M82" s="18" t="n">
        <v>0</v>
      </c>
      <c r="N82" s="20" t="n">
        <v>0</v>
      </c>
      <c r="O82" s="18" t="n">
        <v>0</v>
      </c>
      <c r="P82" s="20" t="n">
        <v>0</v>
      </c>
      <c r="Q82" s="18" t="n">
        <v>0.40309358</v>
      </c>
      <c r="R82" s="20" t="n">
        <v>0.15177169</v>
      </c>
    </row>
    <row r="83" spans="1:18">
      <c r="A83" s="15" t="s">
        <v>643</v>
      </c>
      <c r="B83" s="17" t="n">
        <v>1652</v>
      </c>
      <c r="C83" s="18">
        <f>(1478.0/B83*100)</f>
        <v/>
      </c>
      <c r="D83" s="19" t="n">
        <v>174</v>
      </c>
      <c r="E83" s="18" t="n">
        <v>35.40996816</v>
      </c>
      <c r="F83" s="20" t="n">
        <v>3.59714447</v>
      </c>
      <c r="G83" s="18" t="n">
        <v>64.59003183999999</v>
      </c>
      <c r="H83" s="20" t="n">
        <v>3.59714447</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(1679.0/B84*100)</f>
        <v/>
      </c>
      <c r="D84" s="19" t="n">
        <v>208</v>
      </c>
      <c r="E84" s="18" t="n">
        <v>36.58060472</v>
      </c>
      <c r="F84" s="20" t="n">
        <v>4.18833945</v>
      </c>
      <c r="G84" s="18" t="n">
        <v>63.02006307</v>
      </c>
      <c r="H84" s="20" t="n">
        <v>4.17210177</v>
      </c>
      <c r="I84" s="18" t="n">
        <v>0</v>
      </c>
      <c r="J84" s="20" t="n">
        <v>0</v>
      </c>
      <c r="K84" s="18" t="n">
        <v>0</v>
      </c>
      <c r="L84" s="20" t="n">
        <v>0</v>
      </c>
      <c r="M84" s="18" t="n">
        <v>0</v>
      </c>
      <c r="N84" s="20" t="n">
        <v>0</v>
      </c>
      <c r="O84" s="18" t="n">
        <v>0</v>
      </c>
      <c r="P84" s="20" t="n">
        <v>0</v>
      </c>
      <c r="Q84" s="18" t="n">
        <v>0.39933221</v>
      </c>
      <c r="R84" s="20" t="n">
        <v>0.40437239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(12900.0/B7*100)</f>
        <v/>
      </c>
      <c r="D7" s="19" t="n">
        <v>1630</v>
      </c>
      <c r="E7" s="18" t="n">
        <v>63.33940902</v>
      </c>
      <c r="F7" s="20" t="n">
        <v>1.39364238</v>
      </c>
      <c r="G7" s="18" t="n">
        <v>30.09605114</v>
      </c>
      <c r="H7" s="20" t="n">
        <v>1.26346229</v>
      </c>
      <c r="I7" s="18" t="n">
        <v>0</v>
      </c>
      <c r="J7" s="20" t="n">
        <v>0</v>
      </c>
      <c r="K7" s="18" t="n">
        <v>0.17544139</v>
      </c>
      <c r="L7" s="20" t="n">
        <v>0.09960215</v>
      </c>
      <c r="M7" s="18" t="n">
        <v>0.00627232</v>
      </c>
      <c r="N7" s="20" t="n">
        <v>0.00635545</v>
      </c>
      <c r="O7" s="18" t="n">
        <v>0</v>
      </c>
      <c r="P7" s="20" t="n">
        <v>0</v>
      </c>
      <c r="Q7" s="18" t="n">
        <v>6.38282613</v>
      </c>
      <c r="R7" s="20" t="n">
        <v>0.75382662</v>
      </c>
    </row>
    <row r="8" spans="1:18">
      <c r="A8" s="15" t="s">
        <v>566</v>
      </c>
      <c r="B8" s="17" t="n">
        <v>7007</v>
      </c>
      <c r="C8" s="18">
        <f>(6239.0/B8*100)</f>
        <v/>
      </c>
      <c r="D8" s="19" t="n">
        <v>768</v>
      </c>
      <c r="E8" s="18" t="n">
        <v>58.13615723</v>
      </c>
      <c r="F8" s="20" t="n">
        <v>2.03318786</v>
      </c>
      <c r="G8" s="18" t="n">
        <v>29.61088246</v>
      </c>
      <c r="H8" s="20" t="n">
        <v>1.85614042</v>
      </c>
      <c r="I8" s="18" t="n">
        <v>0</v>
      </c>
      <c r="J8" s="20" t="n">
        <v>0</v>
      </c>
      <c r="K8" s="18" t="n">
        <v>0</v>
      </c>
      <c r="L8" s="20" t="n">
        <v>0</v>
      </c>
      <c r="M8" s="18" t="n">
        <v>0</v>
      </c>
      <c r="N8" s="20" t="n">
        <v>0</v>
      </c>
      <c r="O8" s="18" t="n">
        <v>0</v>
      </c>
      <c r="P8" s="20" t="n">
        <v>0</v>
      </c>
      <c r="Q8" s="18" t="n">
        <v>12.25296032</v>
      </c>
      <c r="R8" s="20" t="n">
        <v>1.32117735</v>
      </c>
    </row>
    <row r="9" spans="1:18">
      <c r="A9" s="15" t="s">
        <v>567</v>
      </c>
      <c r="B9" s="17" t="n">
        <v>9651</v>
      </c>
      <c r="C9" s="18">
        <f>(8595.0/B9*100)</f>
        <v/>
      </c>
      <c r="D9" s="19" t="n">
        <v>1056</v>
      </c>
      <c r="E9" s="18" t="n">
        <v>61.38310833</v>
      </c>
      <c r="F9" s="20" t="n">
        <v>1.64764252</v>
      </c>
      <c r="G9" s="18" t="n">
        <v>27.96326026</v>
      </c>
      <c r="H9" s="20" t="n">
        <v>1.4609204</v>
      </c>
      <c r="I9" s="18" t="n">
        <v>0</v>
      </c>
      <c r="J9" s="20" t="n">
        <v>0</v>
      </c>
      <c r="K9" s="18" t="n">
        <v>0</v>
      </c>
      <c r="L9" s="20" t="n">
        <v>0</v>
      </c>
      <c r="M9" s="18" t="n">
        <v>0.26158549</v>
      </c>
      <c r="N9" s="20" t="n">
        <v>0.15237173</v>
      </c>
      <c r="O9" s="18" t="n">
        <v>0</v>
      </c>
      <c r="P9" s="20" t="n">
        <v>0</v>
      </c>
      <c r="Q9" s="18" t="n">
        <v>10.39204592</v>
      </c>
      <c r="R9" s="20" t="n">
        <v>1.09046582</v>
      </c>
    </row>
    <row r="10" spans="1:18">
      <c r="A10" s="15" t="s">
        <v>568</v>
      </c>
      <c r="B10" s="17" t="n">
        <v>20058</v>
      </c>
      <c r="C10" s="18">
        <f>(17828.0/B10*100)</f>
        <v/>
      </c>
      <c r="D10" s="19" t="n">
        <v>2230</v>
      </c>
      <c r="E10" s="18" t="n">
        <v>59.319662</v>
      </c>
      <c r="F10" s="20" t="n">
        <v>1.66271208</v>
      </c>
      <c r="G10" s="18" t="n">
        <v>36.49221011</v>
      </c>
      <c r="H10" s="20" t="n">
        <v>1.56245891</v>
      </c>
      <c r="I10" s="18" t="n">
        <v>0</v>
      </c>
      <c r="J10" s="20" t="n">
        <v>0</v>
      </c>
      <c r="K10" s="18" t="n">
        <v>0.41751543</v>
      </c>
      <c r="L10" s="20" t="n">
        <v>0.20915756</v>
      </c>
      <c r="M10" s="18" t="n">
        <v>0</v>
      </c>
      <c r="N10" s="20" t="n">
        <v>0</v>
      </c>
      <c r="O10" s="18" t="n">
        <v>0</v>
      </c>
      <c r="P10" s="20" t="n">
        <v>0</v>
      </c>
      <c r="Q10" s="18" t="n">
        <v>3.77061246</v>
      </c>
      <c r="R10" s="20" t="n">
        <v>0.51955081</v>
      </c>
    </row>
    <row r="11" spans="1:18">
      <c r="A11" s="15" t="s">
        <v>569</v>
      </c>
      <c r="B11" s="17" t="n">
        <v>7053</v>
      </c>
      <c r="C11" s="18">
        <f>(6294.0/B11*100)</f>
        <v/>
      </c>
      <c r="D11" s="19" t="n">
        <v>759</v>
      </c>
      <c r="E11" s="18" t="n">
        <v>71.95392150000001</v>
      </c>
      <c r="F11" s="20" t="n">
        <v>1.83766027</v>
      </c>
      <c r="G11" s="18" t="n">
        <v>14.11756139</v>
      </c>
      <c r="H11" s="20" t="n">
        <v>1.57068381</v>
      </c>
      <c r="I11" s="18" t="n">
        <v>0</v>
      </c>
      <c r="J11" s="20" t="n">
        <v>0</v>
      </c>
      <c r="K11" s="18" t="n">
        <v>0.41269001</v>
      </c>
      <c r="L11" s="20" t="n">
        <v>0.3829558</v>
      </c>
      <c r="M11" s="18" t="n">
        <v>0.20070485</v>
      </c>
      <c r="N11" s="20" t="n">
        <v>0.18982159</v>
      </c>
      <c r="O11" s="18" t="n">
        <v>0</v>
      </c>
      <c r="P11" s="20" t="n">
        <v>0</v>
      </c>
      <c r="Q11" s="18" t="n">
        <v>13.31512225</v>
      </c>
      <c r="R11" s="20" t="n">
        <v>1.35461995</v>
      </c>
    </row>
    <row r="12" spans="1:18">
      <c r="A12" s="15" t="s">
        <v>570</v>
      </c>
      <c r="B12" s="17" t="n">
        <v>6894</v>
      </c>
      <c r="C12" s="18">
        <f>(6146.0/B12*100)</f>
        <v/>
      </c>
      <c r="D12" s="19" t="n">
        <v>748</v>
      </c>
      <c r="E12" s="18" t="n">
        <v>54.17044265</v>
      </c>
      <c r="F12" s="20" t="n">
        <v>1.74142051</v>
      </c>
      <c r="G12" s="18" t="n">
        <v>25.63150391</v>
      </c>
      <c r="H12" s="20" t="n">
        <v>1.64739942</v>
      </c>
      <c r="I12" s="18" t="n">
        <v>0</v>
      </c>
      <c r="J12" s="20" t="n">
        <v>0</v>
      </c>
      <c r="K12" s="18" t="n">
        <v>0.07662784</v>
      </c>
      <c r="L12" s="20" t="n">
        <v>0.07416294</v>
      </c>
      <c r="M12" s="18" t="n">
        <v>0.12852518</v>
      </c>
      <c r="N12" s="20" t="n">
        <v>0.12824666</v>
      </c>
      <c r="O12" s="18" t="n">
        <v>0</v>
      </c>
      <c r="P12" s="20" t="n">
        <v>0</v>
      </c>
      <c r="Q12" s="18" t="n">
        <v>19.99290042</v>
      </c>
      <c r="R12" s="20" t="n">
        <v>1.67895727</v>
      </c>
    </row>
    <row r="13" spans="1:18">
      <c r="A13" s="15" t="s">
        <v>571</v>
      </c>
      <c r="B13" s="17" t="n">
        <v>7161</v>
      </c>
      <c r="C13" s="18">
        <f>(6423.0/B13*100)</f>
        <v/>
      </c>
      <c r="D13" s="19" t="n">
        <v>738</v>
      </c>
      <c r="E13" s="18" t="n">
        <v>69.64602463</v>
      </c>
      <c r="F13" s="20" t="n">
        <v>1.98888876</v>
      </c>
      <c r="G13" s="18" t="n">
        <v>22.91402614</v>
      </c>
      <c r="H13" s="20" t="n">
        <v>1.7127188</v>
      </c>
      <c r="I13" s="18" t="n">
        <v>0</v>
      </c>
      <c r="J13" s="20" t="n">
        <v>0</v>
      </c>
      <c r="K13" s="18" t="n">
        <v>0.87448824</v>
      </c>
      <c r="L13" s="20" t="n">
        <v>0.45759098</v>
      </c>
      <c r="M13" s="18" t="n">
        <v>0</v>
      </c>
      <c r="N13" s="20" t="n">
        <v>0</v>
      </c>
      <c r="O13" s="18" t="n">
        <v>0</v>
      </c>
      <c r="P13" s="20" t="n">
        <v>0</v>
      </c>
      <c r="Q13" s="18" t="n">
        <v>6.56546099</v>
      </c>
      <c r="R13" s="20" t="n">
        <v>1.141842</v>
      </c>
    </row>
    <row r="14" spans="1:18">
      <c r="A14" s="15" t="s">
        <v>572</v>
      </c>
      <c r="B14" s="17" t="n">
        <v>5587</v>
      </c>
      <c r="C14" s="18">
        <f>(4960.0/B14*100)</f>
        <v/>
      </c>
      <c r="D14" s="19" t="n">
        <v>627</v>
      </c>
      <c r="E14" s="18" t="n">
        <v>46.89366561</v>
      </c>
      <c r="F14" s="20" t="n">
        <v>1.9309612</v>
      </c>
      <c r="G14" s="18" t="n">
        <v>46.95504573</v>
      </c>
      <c r="H14" s="20" t="n">
        <v>1.82435581</v>
      </c>
      <c r="I14" s="18" t="n">
        <v>0</v>
      </c>
      <c r="J14" s="20" t="n">
        <v>0</v>
      </c>
      <c r="K14" s="18" t="n">
        <v>0.15532137</v>
      </c>
      <c r="L14" s="20" t="n">
        <v>0.15700102</v>
      </c>
      <c r="M14" s="18" t="n">
        <v>0</v>
      </c>
      <c r="N14" s="20" t="n">
        <v>0</v>
      </c>
      <c r="O14" s="18" t="n">
        <v>0</v>
      </c>
      <c r="P14" s="20" t="n">
        <v>0</v>
      </c>
      <c r="Q14" s="18" t="n">
        <v>5.99596728</v>
      </c>
      <c r="R14" s="20" t="n">
        <v>1.02993288</v>
      </c>
    </row>
    <row r="15" spans="1:18">
      <c r="A15" s="15" t="s">
        <v>573</v>
      </c>
      <c r="B15" s="17" t="n">
        <v>5882</v>
      </c>
      <c r="C15" s="18">
        <f>(5214.0/B15*100)</f>
        <v/>
      </c>
      <c r="D15" s="19" t="n">
        <v>668</v>
      </c>
      <c r="E15" s="18" t="n">
        <v>64.6421484</v>
      </c>
      <c r="F15" s="20" t="n">
        <v>1.94483922</v>
      </c>
      <c r="G15" s="18" t="n">
        <v>27.2957745</v>
      </c>
      <c r="H15" s="20" t="n">
        <v>1.87226259</v>
      </c>
      <c r="I15" s="18" t="n">
        <v>0</v>
      </c>
      <c r="J15" s="20" t="n">
        <v>0</v>
      </c>
      <c r="K15" s="18" t="n">
        <v>0</v>
      </c>
      <c r="L15" s="20" t="n">
        <v>0</v>
      </c>
      <c r="M15" s="18" t="n">
        <v>0</v>
      </c>
      <c r="N15" s="20" t="n">
        <v>0</v>
      </c>
      <c r="O15" s="18" t="n">
        <v>0</v>
      </c>
      <c r="P15" s="20" t="n">
        <v>0</v>
      </c>
      <c r="Q15" s="18" t="n">
        <v>8.0620771</v>
      </c>
      <c r="R15" s="20" t="n">
        <v>1.06049807</v>
      </c>
    </row>
    <row r="16" spans="1:18">
      <c r="A16" s="15" t="s">
        <v>574</v>
      </c>
      <c r="B16" s="17" t="n">
        <v>6108</v>
      </c>
      <c r="C16" s="18">
        <f>(5420.0/B16*100)</f>
        <v/>
      </c>
      <c r="D16" s="19" t="n">
        <v>688</v>
      </c>
      <c r="E16" s="18" t="n">
        <v>50.59103878</v>
      </c>
      <c r="F16" s="20" t="n">
        <v>1.98530079</v>
      </c>
      <c r="G16" s="18" t="n">
        <v>31.99015608</v>
      </c>
      <c r="H16" s="20" t="n">
        <v>1.61045817</v>
      </c>
      <c r="I16" s="18" t="n">
        <v>0</v>
      </c>
      <c r="J16" s="20" t="n">
        <v>0</v>
      </c>
      <c r="K16" s="18" t="n">
        <v>0.30226856</v>
      </c>
      <c r="L16" s="20" t="n">
        <v>0.21842704</v>
      </c>
      <c r="M16" s="18" t="n">
        <v>0</v>
      </c>
      <c r="N16" s="20" t="n">
        <v>0</v>
      </c>
      <c r="O16" s="18" t="n">
        <v>0</v>
      </c>
      <c r="P16" s="20" t="n">
        <v>0</v>
      </c>
      <c r="Q16" s="18" t="n">
        <v>17.11653658</v>
      </c>
      <c r="R16" s="20" t="n">
        <v>1.47130194</v>
      </c>
    </row>
    <row r="17" spans="1:18">
      <c r="A17" s="15" t="s">
        <v>575</v>
      </c>
      <c r="B17" s="17" t="n">
        <v>6504</v>
      </c>
      <c r="C17" s="18">
        <f>(5802.0/B17*100)</f>
        <v/>
      </c>
      <c r="D17" s="19" t="n">
        <v>702</v>
      </c>
      <c r="E17" s="18" t="n">
        <v>67.93609905</v>
      </c>
      <c r="F17" s="20" t="n">
        <v>1.78629236</v>
      </c>
      <c r="G17" s="18" t="n">
        <v>19.04444581</v>
      </c>
      <c r="H17" s="20" t="n">
        <v>1.49203275</v>
      </c>
      <c r="I17" s="18" t="n">
        <v>0</v>
      </c>
      <c r="J17" s="20" t="n">
        <v>0</v>
      </c>
      <c r="K17" s="18" t="n">
        <v>0.22319144</v>
      </c>
      <c r="L17" s="20" t="n">
        <v>0.18314309</v>
      </c>
      <c r="M17" s="18" t="n">
        <v>0</v>
      </c>
      <c r="N17" s="20" t="n">
        <v>0</v>
      </c>
      <c r="O17" s="18" t="n">
        <v>0</v>
      </c>
      <c r="P17" s="20" t="n">
        <v>0</v>
      </c>
      <c r="Q17" s="18" t="n">
        <v>12.7962637</v>
      </c>
      <c r="R17" s="20" t="n">
        <v>1.39462063</v>
      </c>
    </row>
    <row r="18" spans="1:18">
      <c r="A18" s="15" t="s">
        <v>576</v>
      </c>
      <c r="B18" s="17" t="n">
        <v>5532</v>
      </c>
      <c r="C18" s="18">
        <f>(4908.0/B18*100)</f>
        <v/>
      </c>
      <c r="D18" s="19" t="n">
        <v>624</v>
      </c>
      <c r="E18" s="18" t="n">
        <v>60.32959396</v>
      </c>
      <c r="F18" s="20" t="n">
        <v>2.21445161</v>
      </c>
      <c r="G18" s="18" t="n">
        <v>22.3705298</v>
      </c>
      <c r="H18" s="20" t="n">
        <v>1.8738874</v>
      </c>
      <c r="I18" s="18" t="n">
        <v>0</v>
      </c>
      <c r="J18" s="20" t="n">
        <v>0</v>
      </c>
      <c r="K18" s="18" t="n">
        <v>0.08849833999999999</v>
      </c>
      <c r="L18" s="20" t="n">
        <v>0.09014825999999999</v>
      </c>
      <c r="M18" s="18" t="n">
        <v>0</v>
      </c>
      <c r="N18" s="20" t="n">
        <v>0</v>
      </c>
      <c r="O18" s="18" t="n">
        <v>0</v>
      </c>
      <c r="P18" s="20" t="n">
        <v>0</v>
      </c>
      <c r="Q18" s="18" t="n">
        <v>17.21137789</v>
      </c>
      <c r="R18" s="20" t="n">
        <v>2.01205383</v>
      </c>
    </row>
    <row r="19" spans="1:18">
      <c r="A19" s="15" t="s">
        <v>577</v>
      </c>
      <c r="B19" s="17" t="n">
        <v>5658</v>
      </c>
      <c r="C19" s="18">
        <f>(5039.0/B19*100)</f>
        <v/>
      </c>
      <c r="D19" s="19" t="n">
        <v>619</v>
      </c>
      <c r="E19" s="18" t="n">
        <v>56.65144717</v>
      </c>
      <c r="F19" s="20" t="n">
        <v>2.31758825</v>
      </c>
      <c r="G19" s="18" t="n">
        <v>30.67818397</v>
      </c>
      <c r="H19" s="20" t="n">
        <v>2.07801285</v>
      </c>
      <c r="I19" s="18" t="n">
        <v>0</v>
      </c>
      <c r="J19" s="20" t="n">
        <v>0</v>
      </c>
      <c r="K19" s="18" t="n">
        <v>0</v>
      </c>
      <c r="L19" s="20" t="n">
        <v>0</v>
      </c>
      <c r="M19" s="18" t="n">
        <v>0.13946757</v>
      </c>
      <c r="N19" s="20" t="n">
        <v>0.13836283</v>
      </c>
      <c r="O19" s="18" t="n">
        <v>0</v>
      </c>
      <c r="P19" s="20" t="n">
        <v>0</v>
      </c>
      <c r="Q19" s="18" t="n">
        <v>12.53090129</v>
      </c>
      <c r="R19" s="20" t="n">
        <v>1.50789316</v>
      </c>
    </row>
    <row r="20" spans="1:18">
      <c r="A20" s="15" t="s">
        <v>578</v>
      </c>
      <c r="B20" s="17" t="n">
        <v>3371</v>
      </c>
      <c r="C20" s="18">
        <f>(3009.0/B20*100)</f>
        <v/>
      </c>
      <c r="D20" s="19" t="n">
        <v>362</v>
      </c>
      <c r="E20" s="18" t="n">
        <v>66.38323359</v>
      </c>
      <c r="F20" s="20" t="n">
        <v>2.4898707</v>
      </c>
      <c r="G20" s="18" t="n">
        <v>18.96983513</v>
      </c>
      <c r="H20" s="20" t="n">
        <v>1.88871721</v>
      </c>
      <c r="I20" s="18" t="n">
        <v>0</v>
      </c>
      <c r="J20" s="20" t="n">
        <v>0</v>
      </c>
      <c r="K20" s="18" t="n">
        <v>0.24453724</v>
      </c>
      <c r="L20" s="20" t="n">
        <v>0.24494529</v>
      </c>
      <c r="M20" s="18" t="n">
        <v>0.76437742</v>
      </c>
      <c r="N20" s="20" t="n">
        <v>0.7104278000000001</v>
      </c>
      <c r="O20" s="18" t="n">
        <v>0</v>
      </c>
      <c r="P20" s="20" t="n">
        <v>0</v>
      </c>
      <c r="Q20" s="18" t="n">
        <v>13.63801662</v>
      </c>
      <c r="R20" s="20" t="n">
        <v>1.94674365</v>
      </c>
    </row>
    <row r="21" spans="1:18">
      <c r="A21" s="15" t="s">
        <v>579</v>
      </c>
      <c r="B21" s="17" t="n">
        <v>5741</v>
      </c>
      <c r="C21" s="18">
        <f>(5076.0/B21*100)</f>
        <v/>
      </c>
      <c r="D21" s="19" t="n">
        <v>665</v>
      </c>
      <c r="E21" s="18" t="n">
        <v>63.99329961</v>
      </c>
      <c r="F21" s="20" t="n">
        <v>2.14891568</v>
      </c>
      <c r="G21" s="18" t="n">
        <v>29.56845577</v>
      </c>
      <c r="H21" s="20" t="n">
        <v>1.91660317</v>
      </c>
      <c r="I21" s="18" t="n">
        <v>0</v>
      </c>
      <c r="J21" s="20" t="n">
        <v>0</v>
      </c>
      <c r="K21" s="18" t="n">
        <v>0</v>
      </c>
      <c r="L21" s="20" t="n">
        <v>0</v>
      </c>
      <c r="M21" s="18" t="n">
        <v>0</v>
      </c>
      <c r="N21" s="20" t="n">
        <v>0</v>
      </c>
      <c r="O21" s="18" t="n">
        <v>0</v>
      </c>
      <c r="P21" s="20" t="n">
        <v>0</v>
      </c>
      <c r="Q21" s="18" t="n">
        <v>6.43824461</v>
      </c>
      <c r="R21" s="20" t="n">
        <v>0.94466368</v>
      </c>
    </row>
    <row r="22" spans="1:18">
      <c r="A22" s="15" t="s">
        <v>580</v>
      </c>
      <c r="B22" s="17" t="n">
        <v>6598</v>
      </c>
      <c r="C22" s="18">
        <f>(5879.0/B22*100)</f>
        <v/>
      </c>
      <c r="D22" s="19" t="n">
        <v>719</v>
      </c>
      <c r="E22" s="18" t="n">
        <v>75.43775257999999</v>
      </c>
      <c r="F22" s="20" t="n">
        <v>1.81938076</v>
      </c>
      <c r="G22" s="18" t="n">
        <v>8.04790916</v>
      </c>
      <c r="H22" s="20" t="n">
        <v>1.03109576</v>
      </c>
      <c r="I22" s="18" t="n">
        <v>0</v>
      </c>
      <c r="J22" s="20" t="n">
        <v>0</v>
      </c>
      <c r="K22" s="18" t="n">
        <v>1.30435037</v>
      </c>
      <c r="L22" s="20" t="n">
        <v>0.53746002</v>
      </c>
      <c r="M22" s="18" t="n">
        <v>0</v>
      </c>
      <c r="N22" s="20" t="n">
        <v>0</v>
      </c>
      <c r="O22" s="18" t="n">
        <v>0</v>
      </c>
      <c r="P22" s="20" t="n">
        <v>0</v>
      </c>
      <c r="Q22" s="18" t="n">
        <v>15.20998788</v>
      </c>
      <c r="R22" s="20" t="n">
        <v>1.61718044</v>
      </c>
    </row>
    <row r="23" spans="1:18">
      <c r="A23" s="15" t="s">
        <v>581</v>
      </c>
      <c r="B23" s="17" t="n">
        <v>11583</v>
      </c>
      <c r="C23" s="18">
        <f>(10307.0/B23*100)</f>
        <v/>
      </c>
      <c r="D23" s="19" t="n">
        <v>1276</v>
      </c>
      <c r="E23" s="18" t="n">
        <v>54.43854514</v>
      </c>
      <c r="F23" s="20" t="n">
        <v>2.17490706</v>
      </c>
      <c r="G23" s="18" t="n">
        <v>29.1762113</v>
      </c>
      <c r="H23" s="20" t="n">
        <v>1.89174561</v>
      </c>
      <c r="I23" s="18" t="n">
        <v>0</v>
      </c>
      <c r="J23" s="20" t="n">
        <v>0</v>
      </c>
      <c r="K23" s="18" t="n">
        <v>0</v>
      </c>
      <c r="L23" s="20" t="n">
        <v>0</v>
      </c>
      <c r="M23" s="18" t="n">
        <v>0.0986291</v>
      </c>
      <c r="N23" s="20" t="n">
        <v>0.1023801</v>
      </c>
      <c r="O23" s="18" t="n">
        <v>0</v>
      </c>
      <c r="P23" s="20" t="n">
        <v>0</v>
      </c>
      <c r="Q23" s="18" t="n">
        <v>16.28661446</v>
      </c>
      <c r="R23" s="20" t="n">
        <v>1.33496449</v>
      </c>
    </row>
    <row r="24" spans="1:18">
      <c r="A24" s="15" t="s">
        <v>582</v>
      </c>
      <c r="B24" s="17" t="n">
        <v>6647</v>
      </c>
      <c r="C24" s="18">
        <f>(5914.0/B24*100)</f>
        <v/>
      </c>
      <c r="D24" s="19" t="n">
        <v>733</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583</v>
      </c>
      <c r="B25" s="17" t="n">
        <v>5581</v>
      </c>
      <c r="C25" s="18">
        <f>(4964.0/B25*100)</f>
        <v/>
      </c>
      <c r="D25" s="19" t="n">
        <v>617</v>
      </c>
      <c r="E25" s="18" t="n">
        <v>55.0671986</v>
      </c>
      <c r="F25" s="20" t="n">
        <v>1.7515698</v>
      </c>
      <c r="G25" s="18" t="n">
        <v>32.29132652</v>
      </c>
      <c r="H25" s="20" t="n">
        <v>1.81513137</v>
      </c>
      <c r="I25" s="18" t="n">
        <v>0</v>
      </c>
      <c r="J25" s="20" t="n">
        <v>0</v>
      </c>
      <c r="K25" s="18" t="n">
        <v>0.15996681</v>
      </c>
      <c r="L25" s="20" t="n">
        <v>0.16045228</v>
      </c>
      <c r="M25" s="18" t="n">
        <v>0</v>
      </c>
      <c r="N25" s="20" t="n">
        <v>0</v>
      </c>
      <c r="O25" s="18" t="n">
        <v>0</v>
      </c>
      <c r="P25" s="20" t="n">
        <v>0</v>
      </c>
      <c r="Q25" s="18" t="n">
        <v>12.48150806</v>
      </c>
      <c r="R25" s="20" t="n">
        <v>1.45094199</v>
      </c>
    </row>
    <row r="26" spans="1:18">
      <c r="A26" s="15" t="s">
        <v>584</v>
      </c>
      <c r="B26" s="17" t="n">
        <v>4869</v>
      </c>
      <c r="C26" s="18">
        <f>(4322.0/B26*100)</f>
        <v/>
      </c>
      <c r="D26" s="19" t="n">
        <v>547</v>
      </c>
      <c r="E26" s="18" t="n">
        <v>49.11325915</v>
      </c>
      <c r="F26" s="20" t="n">
        <v>2.3188538</v>
      </c>
      <c r="G26" s="18" t="n">
        <v>45.0130001</v>
      </c>
      <c r="H26" s="20" t="n">
        <v>2.36169191</v>
      </c>
      <c r="I26" s="18" t="n">
        <v>0</v>
      </c>
      <c r="J26" s="20" t="n">
        <v>0</v>
      </c>
      <c r="K26" s="18" t="n">
        <v>0</v>
      </c>
      <c r="L26" s="20" t="n">
        <v>0</v>
      </c>
      <c r="M26" s="18" t="n">
        <v>0.16403263</v>
      </c>
      <c r="N26" s="20" t="n">
        <v>0.16395908</v>
      </c>
      <c r="O26" s="18" t="n">
        <v>0</v>
      </c>
      <c r="P26" s="20" t="n">
        <v>0</v>
      </c>
      <c r="Q26" s="18" t="n">
        <v>5.70970812</v>
      </c>
      <c r="R26" s="20" t="n">
        <v>1.02512699</v>
      </c>
    </row>
    <row r="27" spans="1:18">
      <c r="A27" s="15" t="s">
        <v>585</v>
      </c>
      <c r="B27" s="17" t="n">
        <v>5299</v>
      </c>
      <c r="C27" s="18">
        <f>(4703.0/B27*100)</f>
        <v/>
      </c>
      <c r="D27" s="19" t="n">
        <v>596</v>
      </c>
      <c r="E27" s="18" t="n">
        <v>64.38211033</v>
      </c>
      <c r="F27" s="20" t="n">
        <v>1.92482277</v>
      </c>
      <c r="G27" s="18" t="n">
        <v>19.73338114</v>
      </c>
      <c r="H27" s="20" t="n">
        <v>1.8094722</v>
      </c>
      <c r="I27" s="18" t="n">
        <v>0</v>
      </c>
      <c r="J27" s="20" t="n">
        <v>0</v>
      </c>
      <c r="K27" s="18" t="n">
        <v>0.17820107</v>
      </c>
      <c r="L27" s="20" t="n">
        <v>0.17853054</v>
      </c>
      <c r="M27" s="18" t="n">
        <v>0</v>
      </c>
      <c r="N27" s="20" t="n">
        <v>0</v>
      </c>
      <c r="O27" s="18" t="n">
        <v>0</v>
      </c>
      <c r="P27" s="20" t="n">
        <v>0</v>
      </c>
      <c r="Q27" s="18" t="n">
        <v>15.70630746</v>
      </c>
      <c r="R27" s="20" t="n">
        <v>1.25039751</v>
      </c>
    </row>
    <row r="28" spans="1:18">
      <c r="A28" s="15" t="s">
        <v>586</v>
      </c>
      <c r="B28" s="17" t="n">
        <v>7568</v>
      </c>
      <c r="C28" s="18">
        <f>(6763.0/B28*100)</f>
        <v/>
      </c>
      <c r="D28" s="19" t="n">
        <v>805</v>
      </c>
      <c r="E28" s="18" t="n">
        <v>81.19590602</v>
      </c>
      <c r="F28" s="20" t="n">
        <v>1.54848821</v>
      </c>
      <c r="G28" s="18" t="n">
        <v>14.51427969</v>
      </c>
      <c r="H28" s="20" t="n">
        <v>1.44099496</v>
      </c>
      <c r="I28" s="18" t="n">
        <v>0</v>
      </c>
      <c r="J28" s="20" t="n">
        <v>0</v>
      </c>
      <c r="K28" s="18" t="n">
        <v>0.2177107</v>
      </c>
      <c r="L28" s="20" t="n">
        <v>0.21467554</v>
      </c>
      <c r="M28" s="18" t="n">
        <v>0</v>
      </c>
      <c r="N28" s="20" t="n">
        <v>0</v>
      </c>
      <c r="O28" s="18" t="n">
        <v>0</v>
      </c>
      <c r="P28" s="20" t="n">
        <v>0</v>
      </c>
      <c r="Q28" s="18" t="n">
        <v>4.0721036</v>
      </c>
      <c r="R28" s="20" t="n">
        <v>0.62089485</v>
      </c>
    </row>
    <row r="29" spans="1:18">
      <c r="A29" s="15" t="s">
        <v>587</v>
      </c>
      <c r="B29" s="17" t="n">
        <v>5385</v>
      </c>
      <c r="C29" s="18">
        <f>(4803.0/B29*100)</f>
        <v/>
      </c>
      <c r="D29" s="19" t="n">
        <v>582</v>
      </c>
      <c r="E29" s="18" t="n">
        <v>77.7545094</v>
      </c>
      <c r="F29" s="20" t="n">
        <v>1.97538616</v>
      </c>
      <c r="G29" s="18" t="n">
        <v>16.83020292</v>
      </c>
      <c r="H29" s="20" t="n">
        <v>1.59909068</v>
      </c>
      <c r="I29" s="18" t="n">
        <v>0</v>
      </c>
      <c r="J29" s="20" t="n">
        <v>0</v>
      </c>
      <c r="K29" s="18" t="n">
        <v>0.17696287</v>
      </c>
      <c r="L29" s="20" t="n">
        <v>0.17544565</v>
      </c>
      <c r="M29" s="18" t="n">
        <v>0</v>
      </c>
      <c r="N29" s="20" t="n">
        <v>0</v>
      </c>
      <c r="O29" s="18" t="n">
        <v>0</v>
      </c>
      <c r="P29" s="20" t="n">
        <v>0</v>
      </c>
      <c r="Q29" s="18" t="n">
        <v>5.23832481</v>
      </c>
      <c r="R29" s="20" t="n">
        <v>1.15584715</v>
      </c>
    </row>
    <row r="30" spans="1:18">
      <c r="A30" s="15" t="s">
        <v>588</v>
      </c>
      <c r="B30" s="17" t="n">
        <v>4520</v>
      </c>
      <c r="C30" s="18">
        <f>(4002.0/B30*100)</f>
        <v/>
      </c>
      <c r="D30" s="19" t="n">
        <v>518</v>
      </c>
      <c r="E30" s="18" t="n">
        <v>59.25931302</v>
      </c>
      <c r="F30" s="20" t="n">
        <v>2.24538678</v>
      </c>
      <c r="G30" s="18" t="n">
        <v>31.3567114</v>
      </c>
      <c r="H30" s="20" t="n">
        <v>2.27521011</v>
      </c>
      <c r="I30" s="18" t="n">
        <v>0</v>
      </c>
      <c r="J30" s="20" t="n">
        <v>0</v>
      </c>
      <c r="K30" s="18" t="n">
        <v>0.18819691</v>
      </c>
      <c r="L30" s="20" t="n">
        <v>0.18220358</v>
      </c>
      <c r="M30" s="18" t="n">
        <v>0</v>
      </c>
      <c r="N30" s="20" t="n">
        <v>0</v>
      </c>
      <c r="O30" s="18" t="n">
        <v>0</v>
      </c>
      <c r="P30" s="20" t="n">
        <v>0</v>
      </c>
      <c r="Q30" s="18" t="n">
        <v>9.195778669999999</v>
      </c>
      <c r="R30" s="20" t="n">
        <v>1.08203134</v>
      </c>
    </row>
    <row r="31" spans="1:18">
      <c r="A31" s="15" t="s">
        <v>589</v>
      </c>
      <c r="B31" s="17" t="n">
        <v>5456</v>
      </c>
      <c r="C31" s="18">
        <f>(4852.0/B31*100)</f>
        <v/>
      </c>
      <c r="D31" s="19" t="n">
        <v>604</v>
      </c>
      <c r="E31" s="18" t="n">
        <v>54.34674444</v>
      </c>
      <c r="F31" s="20" t="n">
        <v>2.10722763</v>
      </c>
      <c r="G31" s="18" t="n">
        <v>32.33230377</v>
      </c>
      <c r="H31" s="20" t="n">
        <v>2.11073476</v>
      </c>
      <c r="I31" s="18" t="n">
        <v>0</v>
      </c>
      <c r="J31" s="20" t="n">
        <v>0</v>
      </c>
      <c r="K31" s="18" t="n">
        <v>0.13985551</v>
      </c>
      <c r="L31" s="20" t="n">
        <v>0.13959371</v>
      </c>
      <c r="M31" s="18" t="n">
        <v>0.17128159</v>
      </c>
      <c r="N31" s="20" t="n">
        <v>0.18560446</v>
      </c>
      <c r="O31" s="18" t="n">
        <v>0</v>
      </c>
      <c r="P31" s="20" t="n">
        <v>0</v>
      </c>
      <c r="Q31" s="18" t="n">
        <v>13.0098147</v>
      </c>
      <c r="R31" s="20" t="n">
        <v>1.33768312</v>
      </c>
    </row>
    <row r="32" spans="1:18">
      <c r="A32" s="15" t="s">
        <v>590</v>
      </c>
      <c r="B32" s="17" t="n">
        <v>4478</v>
      </c>
      <c r="C32" s="18">
        <f>(3985.0/B32*100)</f>
        <v/>
      </c>
      <c r="D32" s="19" t="n">
        <v>493</v>
      </c>
      <c r="E32" s="18" t="n">
        <v>57.66560435</v>
      </c>
      <c r="F32" s="20" t="n">
        <v>2.35796262</v>
      </c>
      <c r="G32" s="18" t="n">
        <v>27.32651377</v>
      </c>
      <c r="H32" s="20" t="n">
        <v>1.87429879</v>
      </c>
      <c r="I32" s="18" t="n">
        <v>0</v>
      </c>
      <c r="J32" s="20" t="n">
        <v>0</v>
      </c>
      <c r="K32" s="18" t="n">
        <v>0.17871208</v>
      </c>
      <c r="L32" s="20" t="n">
        <v>0.17489073</v>
      </c>
      <c r="M32" s="18" t="n">
        <v>0</v>
      </c>
      <c r="N32" s="20" t="n">
        <v>0</v>
      </c>
      <c r="O32" s="18" t="n">
        <v>0</v>
      </c>
      <c r="P32" s="20" t="n">
        <v>0</v>
      </c>
      <c r="Q32" s="18" t="n">
        <v>14.8291698</v>
      </c>
      <c r="R32" s="20" t="n">
        <v>1.60214898</v>
      </c>
    </row>
    <row r="33" spans="1:18">
      <c r="A33" s="15" t="s">
        <v>591</v>
      </c>
      <c r="B33" s="17" t="n">
        <v>7325</v>
      </c>
      <c r="C33" s="18">
        <f>(6523.0/B33*100)</f>
        <v/>
      </c>
      <c r="D33" s="19" t="n">
        <v>802</v>
      </c>
      <c r="E33" s="18" t="n">
        <v>65.19386675</v>
      </c>
      <c r="F33" s="20" t="n">
        <v>1.91679472</v>
      </c>
      <c r="G33" s="18" t="n">
        <v>19.75464538</v>
      </c>
      <c r="H33" s="20" t="n">
        <v>1.51324702</v>
      </c>
      <c r="I33" s="18" t="n">
        <v>0</v>
      </c>
      <c r="J33" s="20" t="n">
        <v>0</v>
      </c>
      <c r="K33" s="18" t="n">
        <v>0</v>
      </c>
      <c r="L33" s="20" t="n">
        <v>0</v>
      </c>
      <c r="M33" s="18" t="n">
        <v>0</v>
      </c>
      <c r="N33" s="20" t="n">
        <v>0</v>
      </c>
      <c r="O33" s="18" t="n">
        <v>0</v>
      </c>
      <c r="P33" s="20" t="n">
        <v>0</v>
      </c>
      <c r="Q33" s="18" t="n">
        <v>15.05148788</v>
      </c>
      <c r="R33" s="20" t="n">
        <v>1.6817188</v>
      </c>
    </row>
    <row r="34" spans="1:18">
      <c r="A34" s="15" t="s">
        <v>592</v>
      </c>
      <c r="B34" s="17" t="n">
        <v>6350</v>
      </c>
      <c r="C34" s="18">
        <f>(5696.0/B34*100)</f>
        <v/>
      </c>
      <c r="D34" s="19" t="n">
        <v>654</v>
      </c>
      <c r="E34" s="18" t="n">
        <v>54.62545804</v>
      </c>
      <c r="F34" s="20" t="n">
        <v>1.84463336</v>
      </c>
      <c r="G34" s="18" t="n">
        <v>29.44036876</v>
      </c>
      <c r="H34" s="20" t="n">
        <v>1.68350112</v>
      </c>
      <c r="I34" s="18" t="n">
        <v>0</v>
      </c>
      <c r="J34" s="20" t="n">
        <v>0</v>
      </c>
      <c r="K34" s="18" t="n">
        <v>0</v>
      </c>
      <c r="L34" s="20" t="n">
        <v>0</v>
      </c>
      <c r="M34" s="18" t="n">
        <v>0.27720709</v>
      </c>
      <c r="N34" s="20" t="n">
        <v>0.19688985</v>
      </c>
      <c r="O34" s="18" t="n">
        <v>0</v>
      </c>
      <c r="P34" s="20" t="n">
        <v>0</v>
      </c>
      <c r="Q34" s="18" t="n">
        <v>15.65696612</v>
      </c>
      <c r="R34" s="20" t="n">
        <v>1.58667935</v>
      </c>
    </row>
    <row r="35" spans="1:18">
      <c r="A35" s="15" t="s">
        <v>593</v>
      </c>
      <c r="B35" s="17" t="n">
        <v>6406</v>
      </c>
      <c r="C35" s="18">
        <f>(5712.0/B35*100)</f>
        <v/>
      </c>
      <c r="D35" s="19" t="n">
        <v>694</v>
      </c>
      <c r="E35" s="18" t="n">
        <v>53.55888462</v>
      </c>
      <c r="F35" s="20" t="n">
        <v>2.13398482</v>
      </c>
      <c r="G35" s="18" t="n">
        <v>36.9133381</v>
      </c>
      <c r="H35" s="20" t="n">
        <v>2.16284283</v>
      </c>
      <c r="I35" s="18" t="n">
        <v>0</v>
      </c>
      <c r="J35" s="20" t="n">
        <v>0</v>
      </c>
      <c r="K35" s="18" t="n">
        <v>0</v>
      </c>
      <c r="L35" s="20" t="n">
        <v>0</v>
      </c>
      <c r="M35" s="18" t="n">
        <v>0.30961307</v>
      </c>
      <c r="N35" s="20" t="n">
        <v>0.24587247</v>
      </c>
      <c r="O35" s="18" t="n">
        <v>0</v>
      </c>
      <c r="P35" s="20" t="n">
        <v>0</v>
      </c>
      <c r="Q35" s="18" t="n">
        <v>9.2181642</v>
      </c>
      <c r="R35" s="20" t="n">
        <v>1.12669538</v>
      </c>
    </row>
    <row r="36" spans="1:18">
      <c r="A36" s="15" t="s">
        <v>594</v>
      </c>
      <c r="B36" s="17" t="n">
        <v>6736</v>
      </c>
      <c r="C36" s="18">
        <f>(5971.0/B36*100)</f>
        <v/>
      </c>
      <c r="D36" s="19" t="n">
        <v>765</v>
      </c>
      <c r="E36" s="18" t="n">
        <v>59.83812957</v>
      </c>
      <c r="F36" s="20" t="n">
        <v>1.96105668</v>
      </c>
      <c r="G36" s="18" t="n">
        <v>30.77512397</v>
      </c>
      <c r="H36" s="20" t="n">
        <v>1.67004198</v>
      </c>
      <c r="I36" s="18" t="n">
        <v>0</v>
      </c>
      <c r="J36" s="20" t="n">
        <v>0</v>
      </c>
      <c r="K36" s="18" t="n">
        <v>0.07547753</v>
      </c>
      <c r="L36" s="20" t="n">
        <v>0.06990515999999999</v>
      </c>
      <c r="M36" s="18" t="n">
        <v>0</v>
      </c>
      <c r="N36" s="20" t="n">
        <v>0</v>
      </c>
      <c r="O36" s="18" t="n">
        <v>0</v>
      </c>
      <c r="P36" s="20" t="n">
        <v>0</v>
      </c>
      <c r="Q36" s="18" t="n">
        <v>9.31126894</v>
      </c>
      <c r="R36" s="20" t="n">
        <v>1.10192394</v>
      </c>
    </row>
    <row r="37" spans="1:18">
      <c r="A37" s="15" t="s">
        <v>595</v>
      </c>
      <c r="B37" s="17" t="n">
        <v>5458</v>
      </c>
      <c r="C37" s="18">
        <f>(4860.0/B37*100)</f>
        <v/>
      </c>
      <c r="D37" s="19" t="n">
        <v>598</v>
      </c>
      <c r="E37" s="18" t="n">
        <v>66.49675311</v>
      </c>
      <c r="F37" s="20" t="n">
        <v>2.08826648</v>
      </c>
      <c r="G37" s="18" t="n">
        <v>19.36345606</v>
      </c>
      <c r="H37" s="20" t="n">
        <v>1.90440705</v>
      </c>
      <c r="I37" s="18" t="n">
        <v>0</v>
      </c>
      <c r="J37" s="20" t="n">
        <v>0</v>
      </c>
      <c r="K37" s="18" t="n">
        <v>0</v>
      </c>
      <c r="L37" s="20" t="n">
        <v>0</v>
      </c>
      <c r="M37" s="18" t="n">
        <v>0</v>
      </c>
      <c r="N37" s="20" t="n">
        <v>0</v>
      </c>
      <c r="O37" s="18" t="n">
        <v>0</v>
      </c>
      <c r="P37" s="20" t="n">
        <v>0</v>
      </c>
      <c r="Q37" s="18" t="n">
        <v>14.13979083</v>
      </c>
      <c r="R37" s="20" t="n">
        <v>1.43743521</v>
      </c>
    </row>
    <row r="38" spans="1:18">
      <c r="A38" s="15" t="s">
        <v>596</v>
      </c>
      <c r="B38" s="17" t="n">
        <v>5860</v>
      </c>
      <c r="C38" s="18">
        <f>(5234.0/B38*100)</f>
        <v/>
      </c>
      <c r="D38" s="19" t="n">
        <v>626</v>
      </c>
      <c r="E38" s="18" t="n">
        <v>57.00376327</v>
      </c>
      <c r="F38" s="20" t="n">
        <v>2.8275361</v>
      </c>
      <c r="G38" s="18" t="n">
        <v>29.88313954</v>
      </c>
      <c r="H38" s="20" t="n">
        <v>2.28609216</v>
      </c>
      <c r="I38" s="18" t="n">
        <v>0</v>
      </c>
      <c r="J38" s="20" t="n">
        <v>0</v>
      </c>
      <c r="K38" s="18" t="n">
        <v>0.27657872</v>
      </c>
      <c r="L38" s="20" t="n">
        <v>0.24214133</v>
      </c>
      <c r="M38" s="18" t="n">
        <v>3.76034908</v>
      </c>
      <c r="N38" s="20" t="n">
        <v>0.77156605</v>
      </c>
      <c r="O38" s="18" t="n">
        <v>0</v>
      </c>
      <c r="P38" s="20" t="n">
        <v>0</v>
      </c>
      <c r="Q38" s="18" t="n">
        <v>9.07616939</v>
      </c>
      <c r="R38" s="20" t="n">
        <v>1.51061153</v>
      </c>
    </row>
    <row r="39" spans="1:18">
      <c r="A39" s="15" t="s">
        <v>597</v>
      </c>
      <c r="B39" s="17" t="n">
        <v>5895</v>
      </c>
      <c r="C39" s="18">
        <f>(5241.0/B39*100)</f>
        <v/>
      </c>
      <c r="D39" s="19" t="n">
        <v>654</v>
      </c>
      <c r="E39" s="18" t="n">
        <v>66.3609366</v>
      </c>
      <c r="F39" s="20" t="n">
        <v>1.75111651</v>
      </c>
      <c r="G39" s="18" t="n">
        <v>21.71423605</v>
      </c>
      <c r="H39" s="20" t="n">
        <v>1.82616693</v>
      </c>
      <c r="I39" s="18" t="n">
        <v>0</v>
      </c>
      <c r="J39" s="20" t="n">
        <v>0</v>
      </c>
      <c r="K39" s="18" t="n">
        <v>0.10849353</v>
      </c>
      <c r="L39" s="20" t="n">
        <v>0.11171036</v>
      </c>
      <c r="M39" s="18" t="n">
        <v>0</v>
      </c>
      <c r="N39" s="20" t="n">
        <v>0</v>
      </c>
      <c r="O39" s="18" t="n">
        <v>0</v>
      </c>
      <c r="P39" s="20" t="n">
        <v>0</v>
      </c>
      <c r="Q39" s="18" t="n">
        <v>11.81633382</v>
      </c>
      <c r="R39" s="20" t="n">
        <v>1.38317025</v>
      </c>
    </row>
    <row r="40" spans="1:18">
      <c r="A40" s="15" t="s">
        <v>598</v>
      </c>
      <c r="B40" s="17" t="n">
        <v>14157</v>
      </c>
      <c r="C40" s="18">
        <f>(12514.0/B40*100)</f>
        <v/>
      </c>
      <c r="D40" s="19" t="n">
        <v>1643</v>
      </c>
      <c r="E40" s="18" t="n">
        <v>43.70831599</v>
      </c>
      <c r="F40" s="20" t="n">
        <v>1.69762424</v>
      </c>
      <c r="G40" s="18" t="n">
        <v>46.67353146</v>
      </c>
      <c r="H40" s="20" t="n">
        <v>1.87265872</v>
      </c>
      <c r="I40" s="18" t="n">
        <v>0</v>
      </c>
      <c r="J40" s="20" t="n">
        <v>0</v>
      </c>
      <c r="K40" s="18" t="n">
        <v>0.04902167</v>
      </c>
      <c r="L40" s="20" t="n">
        <v>0.03241136</v>
      </c>
      <c r="M40" s="18" t="n">
        <v>0.04701846</v>
      </c>
      <c r="N40" s="20" t="n">
        <v>0.04493739</v>
      </c>
      <c r="O40" s="18" t="n">
        <v>0</v>
      </c>
      <c r="P40" s="20" t="n">
        <v>0</v>
      </c>
      <c r="Q40" s="18" t="n">
        <v>9.52211241</v>
      </c>
      <c r="R40" s="20" t="n">
        <v>0.9933385</v>
      </c>
    </row>
    <row r="41" spans="1:18">
      <c r="A41" s="15" t="s">
        <v>599</v>
      </c>
      <c r="B41" s="17" t="n">
        <v>5712</v>
      </c>
      <c r="C41" s="18">
        <f>(5098.0/B41*100)</f>
        <v/>
      </c>
      <c r="D41" s="19" t="n">
        <v>614</v>
      </c>
      <c r="E41" s="18" t="n">
        <v>58.38548025</v>
      </c>
      <c r="F41" s="20" t="n">
        <v>2.13405879</v>
      </c>
      <c r="G41" s="18" t="n">
        <v>39.33715217</v>
      </c>
      <c r="H41" s="20" t="n">
        <v>2.07316135</v>
      </c>
      <c r="I41" s="18" t="n">
        <v>0</v>
      </c>
      <c r="J41" s="20" t="n">
        <v>0</v>
      </c>
      <c r="K41" s="18" t="n">
        <v>0</v>
      </c>
      <c r="L41" s="20" t="n">
        <v>0</v>
      </c>
      <c r="M41" s="18" t="n">
        <v>0</v>
      </c>
      <c r="N41" s="20" t="n">
        <v>0</v>
      </c>
      <c r="O41" s="18" t="n">
        <v>0</v>
      </c>
      <c r="P41" s="20" t="n">
        <v>0</v>
      </c>
      <c r="Q41" s="18" t="n">
        <v>2.27736757</v>
      </c>
      <c r="R41" s="20" t="n">
        <v>0.69975186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(20927.0/B46*100)</f>
        <v/>
      </c>
      <c r="D46" s="19" t="n">
        <v>2214</v>
      </c>
      <c r="E46" s="18" t="n">
        <v>62.18418207</v>
      </c>
      <c r="F46" s="20" t="n">
        <v>1.26652215</v>
      </c>
      <c r="G46" s="18" t="n">
        <v>20.24010195</v>
      </c>
      <c r="H46" s="20" t="n">
        <v>1.1224771</v>
      </c>
      <c r="I46" s="18" t="n">
        <v>0</v>
      </c>
      <c r="J46" s="20" t="n">
        <v>0</v>
      </c>
      <c r="K46" s="18" t="n">
        <v>0.59874235</v>
      </c>
      <c r="L46" s="20" t="n">
        <v>0.19505673</v>
      </c>
      <c r="M46" s="18" t="n">
        <v>0.45633995</v>
      </c>
      <c r="N46" s="20" t="n">
        <v>0.1791588</v>
      </c>
      <c r="O46" s="18" t="n">
        <v>0</v>
      </c>
      <c r="P46" s="20" t="n">
        <v>0</v>
      </c>
      <c r="Q46" s="18" t="n">
        <v>16.52063368</v>
      </c>
      <c r="R46" s="20" t="n">
        <v>1.02738507</v>
      </c>
    </row>
    <row r="47" spans="1:18">
      <c r="A47" s="15" t="s">
        <v>606</v>
      </c>
      <c r="B47" s="17" t="n">
        <v>5928</v>
      </c>
      <c r="C47" s="18">
        <f>(5293.0/B47*100)</f>
        <v/>
      </c>
      <c r="D47" s="19" t="n">
        <v>635</v>
      </c>
      <c r="E47" s="18" t="n">
        <v>48.68789185</v>
      </c>
      <c r="F47" s="20" t="n">
        <v>1.94262935</v>
      </c>
      <c r="G47" s="18" t="n">
        <v>25.16661354</v>
      </c>
      <c r="H47" s="20" t="n">
        <v>1.88928757</v>
      </c>
      <c r="I47" s="18" t="n">
        <v>0</v>
      </c>
      <c r="J47" s="20" t="n">
        <v>0</v>
      </c>
      <c r="K47" s="18" t="n">
        <v>0</v>
      </c>
      <c r="L47" s="20" t="n">
        <v>0</v>
      </c>
      <c r="M47" s="18" t="n">
        <v>0.15298937</v>
      </c>
      <c r="N47" s="20" t="n">
        <v>0.15207482</v>
      </c>
      <c r="O47" s="18" t="n">
        <v>0</v>
      </c>
      <c r="P47" s="20" t="n">
        <v>0</v>
      </c>
      <c r="Q47" s="18" t="n">
        <v>25.99250523</v>
      </c>
      <c r="R47" s="20" t="n">
        <v>2.20061867</v>
      </c>
    </row>
    <row r="48" spans="1:18">
      <c r="A48" s="15" t="s">
        <v>607</v>
      </c>
      <c r="B48" s="17" t="n">
        <v>9841</v>
      </c>
      <c r="C48" s="18">
        <f>(8764.0/B48*100)</f>
        <v/>
      </c>
      <c r="D48" s="19" t="n">
        <v>1077</v>
      </c>
      <c r="E48" s="18" t="n">
        <v>77.54530627</v>
      </c>
      <c r="F48" s="20" t="n">
        <v>1.78498962</v>
      </c>
      <c r="G48" s="18" t="n">
        <v>13.15206443</v>
      </c>
      <c r="H48" s="20" t="n">
        <v>1.41854083</v>
      </c>
      <c r="I48" s="18" t="n">
        <v>0</v>
      </c>
      <c r="J48" s="20" t="n">
        <v>0</v>
      </c>
      <c r="K48" s="18" t="n">
        <v>0.46265721</v>
      </c>
      <c r="L48" s="20" t="n">
        <v>0.26915901</v>
      </c>
      <c r="M48" s="18" t="n">
        <v>0</v>
      </c>
      <c r="N48" s="20" t="n">
        <v>0</v>
      </c>
      <c r="O48" s="18" t="n">
        <v>0</v>
      </c>
      <c r="P48" s="20" t="n">
        <v>0</v>
      </c>
      <c r="Q48" s="18" t="n">
        <v>8.839972100000001</v>
      </c>
      <c r="R48" s="20" t="n">
        <v>1.11380143</v>
      </c>
    </row>
    <row r="49" spans="1:18">
      <c r="A49" s="15" t="s">
        <v>608</v>
      </c>
      <c r="B49" s="17" t="n">
        <v>11795</v>
      </c>
      <c r="C49" s="18">
        <f>(10529.0/B49*100)</f>
        <v/>
      </c>
      <c r="D49" s="19" t="n">
        <v>1266</v>
      </c>
      <c r="E49" s="18" t="n">
        <v>90.31321979000001</v>
      </c>
      <c r="F49" s="20" t="n">
        <v>1.18221381</v>
      </c>
      <c r="G49" s="18" t="n">
        <v>5.30713589</v>
      </c>
      <c r="H49" s="20" t="n">
        <v>0.86992051</v>
      </c>
      <c r="I49" s="18" t="n">
        <v>0</v>
      </c>
      <c r="J49" s="20" t="n">
        <v>0</v>
      </c>
      <c r="K49" s="18" t="n">
        <v>1.03922987</v>
      </c>
      <c r="L49" s="20" t="n">
        <v>0.48224546</v>
      </c>
      <c r="M49" s="18" t="n">
        <v>0.22771217</v>
      </c>
      <c r="N49" s="20" t="n">
        <v>0.12275521</v>
      </c>
      <c r="O49" s="18" t="n">
        <v>0</v>
      </c>
      <c r="P49" s="20" t="n">
        <v>0</v>
      </c>
      <c r="Q49" s="18" t="n">
        <v>3.11270227</v>
      </c>
      <c r="R49" s="20" t="n">
        <v>0.65678669</v>
      </c>
    </row>
    <row r="50" spans="1:18">
      <c r="A50" s="15" t="s">
        <v>609</v>
      </c>
      <c r="B50" s="17" t="n">
        <v>6866</v>
      </c>
      <c r="C50" s="18">
        <f>(6184.0/B50*100)</f>
        <v/>
      </c>
      <c r="D50" s="19" t="n">
        <v>682</v>
      </c>
      <c r="E50" s="18" t="n">
        <v>83.37897722</v>
      </c>
      <c r="F50" s="20" t="n">
        <v>1.50326348</v>
      </c>
      <c r="G50" s="18" t="n">
        <v>11.22004862</v>
      </c>
      <c r="H50" s="20" t="n">
        <v>1.26389805</v>
      </c>
      <c r="I50" s="18" t="n">
        <v>0</v>
      </c>
      <c r="J50" s="20" t="n">
        <v>0</v>
      </c>
      <c r="K50" s="18" t="n">
        <v>0.36458682</v>
      </c>
      <c r="L50" s="20" t="n">
        <v>0.31605208</v>
      </c>
      <c r="M50" s="18" t="n">
        <v>0.18340878</v>
      </c>
      <c r="N50" s="20" t="n">
        <v>0.17166532</v>
      </c>
      <c r="O50" s="18" t="n">
        <v>0</v>
      </c>
      <c r="P50" s="20" t="n">
        <v>0</v>
      </c>
      <c r="Q50" s="18" t="n">
        <v>4.85297855</v>
      </c>
      <c r="R50" s="20" t="n">
        <v>0.89718348</v>
      </c>
    </row>
    <row r="51" spans="1:18">
      <c r="A51" s="15" t="s">
        <v>610</v>
      </c>
      <c r="B51" s="17" t="n">
        <v>5809</v>
      </c>
      <c r="C51" s="18">
        <f>(5197.0/B51*100)</f>
        <v/>
      </c>
      <c r="D51" s="19" t="n">
        <v>612</v>
      </c>
      <c r="E51" s="18" t="n">
        <v>53.34715419</v>
      </c>
      <c r="F51" s="20" t="n">
        <v>1.85190563</v>
      </c>
      <c r="G51" s="18" t="n">
        <v>29.93313956</v>
      </c>
      <c r="H51" s="20" t="n">
        <v>1.72816329</v>
      </c>
      <c r="I51" s="18" t="n">
        <v>0</v>
      </c>
      <c r="J51" s="20" t="n">
        <v>0</v>
      </c>
      <c r="K51" s="18" t="n">
        <v>0</v>
      </c>
      <c r="L51" s="20" t="n">
        <v>0</v>
      </c>
      <c r="M51" s="18" t="n">
        <v>0</v>
      </c>
      <c r="N51" s="20" t="n">
        <v>0</v>
      </c>
      <c r="O51" s="18" t="n">
        <v>0</v>
      </c>
      <c r="P51" s="20" t="n">
        <v>0</v>
      </c>
      <c r="Q51" s="18" t="n">
        <v>16.71970625</v>
      </c>
      <c r="R51" s="20" t="n">
        <v>1.59085167</v>
      </c>
    </row>
    <row r="52" spans="1:18">
      <c r="A52" s="15" t="s">
        <v>611</v>
      </c>
      <c r="B52" s="17" t="n">
        <v>5571</v>
      </c>
      <c r="C52" s="18">
        <f>(4951.0/B52*100)</f>
        <v/>
      </c>
      <c r="D52" s="19" t="n">
        <v>620</v>
      </c>
      <c r="E52" s="18" t="n">
        <v>65.44236845</v>
      </c>
      <c r="F52" s="20" t="n">
        <v>2.13848677</v>
      </c>
      <c r="G52" s="18" t="n">
        <v>12.51909305</v>
      </c>
      <c r="H52" s="20" t="n">
        <v>1.44184068</v>
      </c>
      <c r="I52" s="18" t="n">
        <v>0</v>
      </c>
      <c r="J52" s="20" t="n">
        <v>0</v>
      </c>
      <c r="K52" s="18" t="n">
        <v>0.10701327</v>
      </c>
      <c r="L52" s="20" t="n">
        <v>0.10804108</v>
      </c>
      <c r="M52" s="18" t="n">
        <v>0</v>
      </c>
      <c r="N52" s="20" t="n">
        <v>0</v>
      </c>
      <c r="O52" s="18" t="n">
        <v>0</v>
      </c>
      <c r="P52" s="20" t="n">
        <v>0</v>
      </c>
      <c r="Q52" s="18" t="n">
        <v>21.93152523</v>
      </c>
      <c r="R52" s="20" t="n">
        <v>1.52771004</v>
      </c>
    </row>
    <row r="53" spans="1:18">
      <c r="A53" s="15" t="s">
        <v>612</v>
      </c>
      <c r="B53" s="17" t="n">
        <v>4740</v>
      </c>
      <c r="C53" s="18">
        <f>(4220.0/B53*100)</f>
        <v/>
      </c>
      <c r="D53" s="19" t="n">
        <v>520</v>
      </c>
      <c r="E53" s="18" t="n">
        <v>69.67141979</v>
      </c>
      <c r="F53" s="20" t="n">
        <v>2.04973733</v>
      </c>
      <c r="G53" s="18" t="n">
        <v>3.49151399</v>
      </c>
      <c r="H53" s="20" t="n">
        <v>0.82131375</v>
      </c>
      <c r="I53" s="18" t="n">
        <v>0</v>
      </c>
      <c r="J53" s="20" t="n">
        <v>0</v>
      </c>
      <c r="K53" s="18" t="n">
        <v>8.276149269999999</v>
      </c>
      <c r="L53" s="20" t="n">
        <v>1.29641866</v>
      </c>
      <c r="M53" s="18" t="n">
        <v>0.40989687</v>
      </c>
      <c r="N53" s="20" t="n">
        <v>0.43113495</v>
      </c>
      <c r="O53" s="18" t="n">
        <v>0</v>
      </c>
      <c r="P53" s="20" t="n">
        <v>0</v>
      </c>
      <c r="Q53" s="18" t="n">
        <v>18.15102008</v>
      </c>
      <c r="R53" s="20" t="n">
        <v>1.89023522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(4773.0/B55*100)</f>
        <v/>
      </c>
      <c r="D55" s="19" t="n">
        <v>586</v>
      </c>
      <c r="E55" s="18" t="n">
        <v>55.72680884</v>
      </c>
      <c r="F55" s="20" t="n">
        <v>1.77222878</v>
      </c>
      <c r="G55" s="18" t="n">
        <v>34.44593644</v>
      </c>
      <c r="H55" s="20" t="n">
        <v>1.76698018</v>
      </c>
      <c r="I55" s="18" t="n">
        <v>0</v>
      </c>
      <c r="J55" s="20" t="n">
        <v>0</v>
      </c>
      <c r="K55" s="18" t="n">
        <v>0.32805568</v>
      </c>
      <c r="L55" s="20" t="n">
        <v>0.31539331</v>
      </c>
      <c r="M55" s="18" t="n">
        <v>0.17981482</v>
      </c>
      <c r="N55" s="20" t="n">
        <v>0.17968688</v>
      </c>
      <c r="O55" s="18" t="n">
        <v>0</v>
      </c>
      <c r="P55" s="20" t="n">
        <v>0</v>
      </c>
      <c r="Q55" s="18" t="n">
        <v>9.31938422</v>
      </c>
      <c r="R55" s="20" t="n">
        <v>1.25267896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(5827.0/B61*100)</f>
        <v/>
      </c>
      <c r="D61" s="19" t="n">
        <v>698</v>
      </c>
      <c r="E61" s="18" t="n">
        <v>60.3607454</v>
      </c>
      <c r="F61" s="20" t="n">
        <v>2.09619527</v>
      </c>
      <c r="G61" s="18" t="n">
        <v>29.50511494</v>
      </c>
      <c r="H61" s="20" t="n">
        <v>2.00048</v>
      </c>
      <c r="I61" s="18" t="n">
        <v>0</v>
      </c>
      <c r="J61" s="20" t="n">
        <v>0</v>
      </c>
      <c r="K61" s="18" t="n">
        <v>0.19612475</v>
      </c>
      <c r="L61" s="20" t="n">
        <v>0.20523611</v>
      </c>
      <c r="M61" s="18" t="n">
        <v>0</v>
      </c>
      <c r="N61" s="20" t="n">
        <v>0</v>
      </c>
      <c r="O61" s="18" t="n">
        <v>0</v>
      </c>
      <c r="P61" s="20" t="n">
        <v>0</v>
      </c>
      <c r="Q61" s="18" t="n">
        <v>9.93801491</v>
      </c>
      <c r="R61" s="20" t="n">
        <v>1.11738746</v>
      </c>
    </row>
    <row r="62" spans="1:18">
      <c r="A62" s="15" t="s">
        <v>622</v>
      </c>
      <c r="B62" s="17" t="n">
        <v>4476</v>
      </c>
      <c r="C62" s="18">
        <f>(3968.0/B62*100)</f>
        <v/>
      </c>
      <c r="D62" s="19" t="n">
        <v>508</v>
      </c>
      <c r="E62" s="18" t="n">
        <v>76.94971396</v>
      </c>
      <c r="F62" s="20" t="n">
        <v>1.88475345</v>
      </c>
      <c r="G62" s="18" t="n">
        <v>18.34290074</v>
      </c>
      <c r="H62" s="20" t="n">
        <v>1.64479164</v>
      </c>
      <c r="I62" s="18" t="n">
        <v>0</v>
      </c>
      <c r="J62" s="20" t="n">
        <v>0</v>
      </c>
      <c r="K62" s="18" t="n">
        <v>0</v>
      </c>
      <c r="L62" s="20" t="n">
        <v>0</v>
      </c>
      <c r="M62" s="18" t="n">
        <v>0</v>
      </c>
      <c r="N62" s="20" t="n">
        <v>0</v>
      </c>
      <c r="O62" s="18" t="n">
        <v>0</v>
      </c>
      <c r="P62" s="20" t="n">
        <v>0</v>
      </c>
      <c r="Q62" s="18" t="n">
        <v>4.7073853</v>
      </c>
      <c r="R62" s="20" t="n">
        <v>0.97783124</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(5074.0/B67*100)</f>
        <v/>
      </c>
      <c r="D67" s="19" t="n">
        <v>591</v>
      </c>
      <c r="E67" s="18" t="n">
        <v>58.46619215</v>
      </c>
      <c r="F67" s="20" t="n">
        <v>1.99045628</v>
      </c>
      <c r="G67" s="18" t="n">
        <v>13.91884954</v>
      </c>
      <c r="H67" s="20" t="n">
        <v>1.50938326</v>
      </c>
      <c r="I67" s="18" t="n">
        <v>0</v>
      </c>
      <c r="J67" s="20" t="n">
        <v>0</v>
      </c>
      <c r="K67" s="18" t="n">
        <v>0.17351281</v>
      </c>
      <c r="L67" s="20" t="n">
        <v>0.17283338</v>
      </c>
      <c r="M67" s="18" t="n">
        <v>1.09980044</v>
      </c>
      <c r="N67" s="20" t="n">
        <v>0.57051323</v>
      </c>
      <c r="O67" s="18" t="n">
        <v>0</v>
      </c>
      <c r="P67" s="20" t="n">
        <v>0</v>
      </c>
      <c r="Q67" s="18" t="n">
        <v>26.34164506</v>
      </c>
      <c r="R67" s="20" t="n">
        <v>1.56568902</v>
      </c>
    </row>
    <row r="68" spans="1:18">
      <c r="A68" s="15" t="s">
        <v>628</v>
      </c>
      <c r="B68" s="17" t="n">
        <v>6971</v>
      </c>
      <c r="C68" s="18">
        <f>(6266.0/B68*100)</f>
        <v/>
      </c>
      <c r="D68" s="19" t="n">
        <v>705</v>
      </c>
      <c r="E68" s="18" t="n">
        <v>81.99125730999999</v>
      </c>
      <c r="F68" s="20" t="n">
        <v>1.33953123</v>
      </c>
      <c r="G68" s="18" t="n">
        <v>9.59091609</v>
      </c>
      <c r="H68" s="20" t="n">
        <v>1.16789121</v>
      </c>
      <c r="I68" s="18" t="n">
        <v>0</v>
      </c>
      <c r="J68" s="20" t="n">
        <v>0</v>
      </c>
      <c r="K68" s="18" t="n">
        <v>0.28034262</v>
      </c>
      <c r="L68" s="20" t="n">
        <v>0.20612867</v>
      </c>
      <c r="M68" s="18" t="n">
        <v>0.40947295</v>
      </c>
      <c r="N68" s="20" t="n">
        <v>0.24122466</v>
      </c>
      <c r="O68" s="18" t="n">
        <v>0</v>
      </c>
      <c r="P68" s="20" t="n">
        <v>0</v>
      </c>
      <c r="Q68" s="18" t="n">
        <v>7.72801104</v>
      </c>
      <c r="R68" s="20" t="n">
        <v>1.01806555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(10747.0/B70*100)</f>
        <v/>
      </c>
      <c r="D70" s="19" t="n">
        <v>1336</v>
      </c>
      <c r="E70" s="18" t="n">
        <v>67.35667546000001</v>
      </c>
      <c r="F70" s="20" t="n">
        <v>1.13436214</v>
      </c>
      <c r="G70" s="18" t="n">
        <v>16.91035426</v>
      </c>
      <c r="H70" s="20" t="n">
        <v>0.8912218</v>
      </c>
      <c r="I70" s="18" t="n">
        <v>0</v>
      </c>
      <c r="J70" s="20" t="n">
        <v>0</v>
      </c>
      <c r="K70" s="18" t="n">
        <v>1.29527917</v>
      </c>
      <c r="L70" s="20" t="n">
        <v>0.35076435</v>
      </c>
      <c r="M70" s="18" t="n">
        <v>0.15341586</v>
      </c>
      <c r="N70" s="20" t="n">
        <v>0.10813817</v>
      </c>
      <c r="O70" s="18" t="n">
        <v>0</v>
      </c>
      <c r="P70" s="20" t="n">
        <v>0</v>
      </c>
      <c r="Q70" s="18" t="n">
        <v>14.28427525</v>
      </c>
      <c r="R70" s="20" t="n">
        <v>0.95799299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(5405.0/B72*100)</f>
        <v/>
      </c>
      <c r="D72" s="19" t="n">
        <v>631</v>
      </c>
      <c r="E72" s="18" t="n">
        <v>48.61076759</v>
      </c>
      <c r="F72" s="20" t="n">
        <v>2.16626926</v>
      </c>
      <c r="G72" s="18" t="n">
        <v>38.18464536</v>
      </c>
      <c r="H72" s="20" t="n">
        <v>2.06229015</v>
      </c>
      <c r="I72" s="18" t="n">
        <v>0</v>
      </c>
      <c r="J72" s="20" t="n">
        <v>0</v>
      </c>
      <c r="K72" s="18" t="n">
        <v>0</v>
      </c>
      <c r="L72" s="20" t="n">
        <v>0</v>
      </c>
      <c r="M72" s="18" t="n">
        <v>0</v>
      </c>
      <c r="N72" s="20" t="n">
        <v>0</v>
      </c>
      <c r="O72" s="18" t="n">
        <v>0</v>
      </c>
      <c r="P72" s="20" t="n">
        <v>0</v>
      </c>
      <c r="Q72" s="18" t="n">
        <v>13.20458705</v>
      </c>
      <c r="R72" s="20" t="n">
        <v>1.74898871</v>
      </c>
    </row>
    <row r="73" spans="1:18">
      <c r="A73" s="15" t="s">
        <v>633</v>
      </c>
      <c r="B73" s="17" t="n">
        <v>6115</v>
      </c>
      <c r="C73" s="18">
        <f>(5427.0/B73*100)</f>
        <v/>
      </c>
      <c r="D73" s="19" t="n">
        <v>688</v>
      </c>
      <c r="E73" s="18" t="n">
        <v>60.06010927</v>
      </c>
      <c r="F73" s="20" t="n">
        <v>1.88070757</v>
      </c>
      <c r="G73" s="18" t="n">
        <v>35.85805397</v>
      </c>
      <c r="H73" s="20" t="n">
        <v>1.94116717</v>
      </c>
      <c r="I73" s="18" t="n">
        <v>0</v>
      </c>
      <c r="J73" s="20" t="n">
        <v>0</v>
      </c>
      <c r="K73" s="18" t="n">
        <v>0</v>
      </c>
      <c r="L73" s="20" t="n">
        <v>0</v>
      </c>
      <c r="M73" s="18" t="n">
        <v>0.08880009</v>
      </c>
      <c r="N73" s="20" t="n">
        <v>0.08911521</v>
      </c>
      <c r="O73" s="18" t="n">
        <v>0</v>
      </c>
      <c r="P73" s="20" t="n">
        <v>0</v>
      </c>
      <c r="Q73" s="18" t="n">
        <v>3.99303667</v>
      </c>
      <c r="R73" s="20" t="n">
        <v>0.8154488</v>
      </c>
    </row>
    <row r="74" spans="1:18">
      <c r="A74" s="15" t="s">
        <v>634</v>
      </c>
      <c r="B74" s="17" t="n">
        <v>7708</v>
      </c>
      <c r="C74" s="18">
        <f>(6812.0/B74*100)</f>
        <v/>
      </c>
      <c r="D74" s="19" t="n">
        <v>896</v>
      </c>
      <c r="E74" s="18" t="n">
        <v>78.39528115</v>
      </c>
      <c r="F74" s="20" t="n">
        <v>1.46865083</v>
      </c>
      <c r="G74" s="18" t="n">
        <v>12.15927864</v>
      </c>
      <c r="H74" s="20" t="n">
        <v>1.06505695</v>
      </c>
      <c r="I74" s="18" t="n">
        <v>0</v>
      </c>
      <c r="J74" s="20" t="n">
        <v>0</v>
      </c>
      <c r="K74" s="18" t="n">
        <v>0.12205302</v>
      </c>
      <c r="L74" s="20" t="n">
        <v>0.12255381</v>
      </c>
      <c r="M74" s="18" t="n">
        <v>0</v>
      </c>
      <c r="N74" s="20" t="n">
        <v>0</v>
      </c>
      <c r="O74" s="18" t="n">
        <v>0</v>
      </c>
      <c r="P74" s="20" t="n">
        <v>0</v>
      </c>
      <c r="Q74" s="18" t="n">
        <v>9.32338719</v>
      </c>
      <c r="R74" s="20" t="n">
        <v>1.05415716</v>
      </c>
    </row>
    <row r="75" spans="1:18">
      <c r="A75" s="15" t="s">
        <v>635</v>
      </c>
      <c r="B75" s="17" t="n">
        <v>8249</v>
      </c>
      <c r="C75" s="18">
        <f>(7349.0/B75*100)</f>
        <v/>
      </c>
      <c r="D75" s="19" t="n">
        <v>900</v>
      </c>
      <c r="E75" s="18" t="n">
        <v>82.34509163</v>
      </c>
      <c r="F75" s="20" t="n">
        <v>1.62602951</v>
      </c>
      <c r="G75" s="18" t="n">
        <v>14.23077291</v>
      </c>
      <c r="H75" s="20" t="n">
        <v>1.53510418</v>
      </c>
      <c r="I75" s="18" t="n">
        <v>0</v>
      </c>
      <c r="J75" s="20" t="n">
        <v>0</v>
      </c>
      <c r="K75" s="18" t="n">
        <v>0</v>
      </c>
      <c r="L75" s="20" t="n">
        <v>0</v>
      </c>
      <c r="M75" s="18" t="n">
        <v>0.18585027</v>
      </c>
      <c r="N75" s="20" t="n">
        <v>0.16849845</v>
      </c>
      <c r="O75" s="18" t="n">
        <v>0</v>
      </c>
      <c r="P75" s="20" t="n">
        <v>0</v>
      </c>
      <c r="Q75" s="18" t="n">
        <v>3.23828519</v>
      </c>
      <c r="R75" s="20" t="n">
        <v>0.77792616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(4844.0/B77*100)</f>
        <v/>
      </c>
      <c r="D77" s="19" t="n">
        <v>531</v>
      </c>
      <c r="E77" s="18" t="n">
        <v>69.19732030999999</v>
      </c>
      <c r="F77" s="20" t="n">
        <v>2.1692201</v>
      </c>
      <c r="G77" s="18" t="n">
        <v>4.44553047</v>
      </c>
      <c r="H77" s="20" t="n">
        <v>1.18186907</v>
      </c>
      <c r="I77" s="18" t="n">
        <v>0</v>
      </c>
      <c r="J77" s="20" t="n">
        <v>0</v>
      </c>
      <c r="K77" s="18" t="n">
        <v>1.9508226</v>
      </c>
      <c r="L77" s="20" t="n">
        <v>0.46742873</v>
      </c>
      <c r="M77" s="18" t="n">
        <v>0.7578659599999999</v>
      </c>
      <c r="N77" s="20" t="n">
        <v>0.46691236</v>
      </c>
      <c r="O77" s="18" t="n">
        <v>0</v>
      </c>
      <c r="P77" s="20" t="n">
        <v>0</v>
      </c>
      <c r="Q77" s="18" t="n">
        <v>23.64846066</v>
      </c>
      <c r="R77" s="20" t="n">
        <v>1.98248009</v>
      </c>
    </row>
    <row r="78" spans="1:18">
      <c r="A78" s="15" t="s">
        <v>638</v>
      </c>
      <c r="B78" s="17" t="n">
        <v>14167</v>
      </c>
      <c r="C78" s="18">
        <f>(12571.0/B78*100)</f>
        <v/>
      </c>
      <c r="D78" s="19" t="n">
        <v>1596</v>
      </c>
      <c r="E78" s="18" t="n">
        <v>76.42709544</v>
      </c>
      <c r="F78" s="20" t="n">
        <v>1.24729069</v>
      </c>
      <c r="G78" s="18" t="n">
        <v>15.40051622</v>
      </c>
      <c r="H78" s="20" t="n">
        <v>1.09803044</v>
      </c>
      <c r="I78" s="18" t="n">
        <v>0</v>
      </c>
      <c r="J78" s="20" t="n">
        <v>0</v>
      </c>
      <c r="K78" s="18" t="n">
        <v>0.8184422</v>
      </c>
      <c r="L78" s="20" t="n">
        <v>0.27807259</v>
      </c>
      <c r="M78" s="18" t="n">
        <v>0.09535936</v>
      </c>
      <c r="N78" s="20" t="n">
        <v>0.06331494999999999</v>
      </c>
      <c r="O78" s="18" t="n">
        <v>0</v>
      </c>
      <c r="P78" s="20" t="n">
        <v>0</v>
      </c>
      <c r="Q78" s="18" t="n">
        <v>7.25858677</v>
      </c>
      <c r="R78" s="20" t="n">
        <v>0.7484361</v>
      </c>
    </row>
    <row r="79" spans="1:18">
      <c r="A79" s="15" t="s">
        <v>639</v>
      </c>
      <c r="B79" s="17" t="n">
        <v>6062</v>
      </c>
      <c r="C79" s="18">
        <f>(5415.0/B79*100)</f>
        <v/>
      </c>
      <c r="D79" s="19" t="n">
        <v>647</v>
      </c>
      <c r="E79" s="18" t="n">
        <v>62.43430728</v>
      </c>
      <c r="F79" s="20" t="n">
        <v>1.86428437</v>
      </c>
      <c r="G79" s="18" t="n">
        <v>14.47212971</v>
      </c>
      <c r="H79" s="20" t="n">
        <v>1.42179224</v>
      </c>
      <c r="I79" s="18" t="n">
        <v>0</v>
      </c>
      <c r="J79" s="20" t="n">
        <v>0</v>
      </c>
      <c r="K79" s="18" t="n">
        <v>0.26885596</v>
      </c>
      <c r="L79" s="20" t="n">
        <v>0.29147977</v>
      </c>
      <c r="M79" s="18" t="n">
        <v>0</v>
      </c>
      <c r="N79" s="20" t="n">
        <v>0</v>
      </c>
      <c r="O79" s="18" t="n">
        <v>0</v>
      </c>
      <c r="P79" s="20" t="n">
        <v>0</v>
      </c>
      <c r="Q79" s="18" t="n">
        <v>22.82470706</v>
      </c>
      <c r="R79" s="20" t="n">
        <v>1.66375478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(28714.0/B82*100)</f>
        <v/>
      </c>
      <c r="D82" s="19" t="n">
        <v>3616</v>
      </c>
      <c r="E82" s="18" t="n">
        <v>56.98854191</v>
      </c>
      <c r="F82" s="20" t="n">
        <v>1.08626877</v>
      </c>
      <c r="G82" s="18" t="n">
        <v>33.61514639</v>
      </c>
      <c r="H82" s="20" t="n">
        <v>1.00585149</v>
      </c>
      <c r="I82" s="18" t="n">
        <v>0</v>
      </c>
      <c r="J82" s="20" t="n">
        <v>0</v>
      </c>
      <c r="K82" s="18" t="n">
        <v>0.03113809</v>
      </c>
      <c r="L82" s="20" t="n">
        <v>0.02278724</v>
      </c>
      <c r="M82" s="18" t="n">
        <v>0</v>
      </c>
      <c r="N82" s="20" t="n">
        <v>0</v>
      </c>
      <c r="O82" s="18" t="n">
        <v>0</v>
      </c>
      <c r="P82" s="20" t="n">
        <v>0</v>
      </c>
      <c r="Q82" s="18" t="n">
        <v>9.365173609999999</v>
      </c>
      <c r="R82" s="20" t="n">
        <v>0.66122289</v>
      </c>
    </row>
    <row r="83" spans="1:18">
      <c r="A83" s="15" t="s">
        <v>643</v>
      </c>
      <c r="B83" s="17" t="n">
        <v>1652</v>
      </c>
      <c r="C83" s="18">
        <f>(1479.0/B83*100)</f>
        <v/>
      </c>
      <c r="D83" s="19" t="n">
        <v>173</v>
      </c>
      <c r="E83" s="18" t="n">
        <v>61.09082694</v>
      </c>
      <c r="F83" s="20" t="n">
        <v>4.05950765</v>
      </c>
      <c r="G83" s="18" t="n">
        <v>36.38654065</v>
      </c>
      <c r="H83" s="20" t="n">
        <v>3.76032009</v>
      </c>
      <c r="I83" s="18" t="n">
        <v>0</v>
      </c>
      <c r="J83" s="20" t="n">
        <v>0</v>
      </c>
      <c r="K83" s="18" t="n">
        <v>0</v>
      </c>
      <c r="L83" s="20" t="n">
        <v>0</v>
      </c>
      <c r="M83" s="18" t="n">
        <v>0</v>
      </c>
      <c r="N83" s="20" t="n">
        <v>0</v>
      </c>
      <c r="O83" s="18" t="n">
        <v>0</v>
      </c>
      <c r="P83" s="20" t="n">
        <v>0</v>
      </c>
      <c r="Q83" s="18" t="n">
        <v>2.52263241</v>
      </c>
      <c r="R83" s="20" t="n">
        <v>1.55163984</v>
      </c>
    </row>
    <row r="84" spans="1:18">
      <c r="A84" s="23" t="s">
        <v>644</v>
      </c>
      <c r="B84" s="24" t="n">
        <v>1887</v>
      </c>
      <c r="C84" s="25">
        <f>(1679.0/B84*100)</f>
        <v/>
      </c>
      <c r="D84" s="19" t="n">
        <v>208</v>
      </c>
      <c r="E84" s="18" t="n">
        <v>70.90759787</v>
      </c>
      <c r="F84" s="20" t="n">
        <v>2.98640217</v>
      </c>
      <c r="G84" s="18" t="n">
        <v>26.65240047</v>
      </c>
      <c r="H84" s="20" t="n">
        <v>2.78005171</v>
      </c>
      <c r="I84" s="18" t="n">
        <v>0</v>
      </c>
      <c r="J84" s="20" t="n">
        <v>0</v>
      </c>
      <c r="K84" s="18" t="n">
        <v>0</v>
      </c>
      <c r="L84" s="20" t="n">
        <v>0</v>
      </c>
      <c r="M84" s="18" t="n">
        <v>0</v>
      </c>
      <c r="N84" s="20" t="n">
        <v>0</v>
      </c>
      <c r="O84" s="18" t="n">
        <v>0</v>
      </c>
      <c r="P84" s="20" t="n">
        <v>0</v>
      </c>
      <c r="Q84" s="18" t="n">
        <v>2.44000167</v>
      </c>
      <c r="R84" s="20" t="n">
        <v>1.10160802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(12899.0/B7*100)</f>
        <v/>
      </c>
      <c r="D7" s="19" t="n">
        <v>1631</v>
      </c>
      <c r="E7" s="18" t="n">
        <v>38.81683776</v>
      </c>
      <c r="F7" s="20" t="n">
        <v>1.45853219</v>
      </c>
      <c r="G7" s="18" t="n">
        <v>60.43039065</v>
      </c>
      <c r="H7" s="20" t="n">
        <v>1.46085603</v>
      </c>
      <c r="I7" s="18" t="n">
        <v>0</v>
      </c>
      <c r="J7" s="20" t="n">
        <v>0</v>
      </c>
      <c r="K7" s="18" t="n">
        <v>0.23944151</v>
      </c>
      <c r="L7" s="20" t="n">
        <v>0.10894977</v>
      </c>
      <c r="M7" s="18" t="n">
        <v>0</v>
      </c>
      <c r="N7" s="20" t="n">
        <v>0</v>
      </c>
      <c r="O7" s="18" t="n">
        <v>0</v>
      </c>
      <c r="P7" s="20" t="n">
        <v>0</v>
      </c>
      <c r="Q7" s="18" t="n">
        <v>0.51333008</v>
      </c>
      <c r="R7" s="20" t="n">
        <v>0.19999057</v>
      </c>
    </row>
    <row r="8" spans="1:18">
      <c r="A8" s="15" t="s">
        <v>566</v>
      </c>
      <c r="B8" s="17" t="n">
        <v>7007</v>
      </c>
      <c r="C8" s="18">
        <f>(6238.0/B8*100)</f>
        <v/>
      </c>
      <c r="D8" s="19" t="n">
        <v>769</v>
      </c>
      <c r="E8" s="18" t="n">
        <v>43.92868084</v>
      </c>
      <c r="F8" s="20" t="n">
        <v>1.90137436</v>
      </c>
      <c r="G8" s="18" t="n">
        <v>54.98755829</v>
      </c>
      <c r="H8" s="20" t="n">
        <v>1.93355653</v>
      </c>
      <c r="I8" s="18" t="n">
        <v>0</v>
      </c>
      <c r="J8" s="20" t="n">
        <v>0</v>
      </c>
      <c r="K8" s="18" t="n">
        <v>0</v>
      </c>
      <c r="L8" s="20" t="n">
        <v>0</v>
      </c>
      <c r="M8" s="18" t="n">
        <v>0</v>
      </c>
      <c r="N8" s="20" t="n">
        <v>0</v>
      </c>
      <c r="O8" s="18" t="n">
        <v>0</v>
      </c>
      <c r="P8" s="20" t="n">
        <v>0</v>
      </c>
      <c r="Q8" s="18" t="n">
        <v>1.08376086</v>
      </c>
      <c r="R8" s="20" t="n">
        <v>0.46354804</v>
      </c>
    </row>
    <row r="9" spans="1:18">
      <c r="A9" s="15" t="s">
        <v>567</v>
      </c>
      <c r="B9" s="17" t="n">
        <v>9651</v>
      </c>
      <c r="C9" s="18">
        <f>(8594.0/B9*100)</f>
        <v/>
      </c>
      <c r="D9" s="19" t="n">
        <v>1057</v>
      </c>
      <c r="E9" s="18" t="n">
        <v>51.78077848</v>
      </c>
      <c r="F9" s="20" t="n">
        <v>1.92595905</v>
      </c>
      <c r="G9" s="18" t="n">
        <v>47.49046152</v>
      </c>
      <c r="H9" s="20" t="n">
        <v>1.91149421</v>
      </c>
      <c r="I9" s="18" t="n">
        <v>0</v>
      </c>
      <c r="J9" s="20" t="n">
        <v>0</v>
      </c>
      <c r="K9" s="18" t="n">
        <v>0</v>
      </c>
      <c r="L9" s="20" t="n">
        <v>0</v>
      </c>
      <c r="M9" s="18" t="n">
        <v>0</v>
      </c>
      <c r="N9" s="20" t="n">
        <v>0</v>
      </c>
      <c r="O9" s="18" t="n">
        <v>0</v>
      </c>
      <c r="P9" s="20" t="n">
        <v>0</v>
      </c>
      <c r="Q9" s="18" t="n">
        <v>0.72876</v>
      </c>
      <c r="R9" s="20" t="n">
        <v>0.29007369</v>
      </c>
    </row>
    <row r="10" spans="1:18">
      <c r="A10" s="15" t="s">
        <v>568</v>
      </c>
      <c r="B10" s="17" t="n">
        <v>20058</v>
      </c>
      <c r="C10" s="18">
        <f>(17827.0/B10*100)</f>
        <v/>
      </c>
      <c r="D10" s="19" t="n">
        <v>2231</v>
      </c>
      <c r="E10" s="18" t="n">
        <v>40.75307927</v>
      </c>
      <c r="F10" s="20" t="n">
        <v>1.64905501</v>
      </c>
      <c r="G10" s="18" t="n">
        <v>58.41339589</v>
      </c>
      <c r="H10" s="20" t="n">
        <v>1.64634776</v>
      </c>
      <c r="I10" s="18" t="n">
        <v>0</v>
      </c>
      <c r="J10" s="20" t="n">
        <v>0</v>
      </c>
      <c r="K10" s="18" t="n">
        <v>0.41755546</v>
      </c>
      <c r="L10" s="20" t="n">
        <v>0.20917702</v>
      </c>
      <c r="M10" s="18" t="n">
        <v>0</v>
      </c>
      <c r="N10" s="20" t="n">
        <v>0</v>
      </c>
      <c r="O10" s="18" t="n">
        <v>0</v>
      </c>
      <c r="P10" s="20" t="n">
        <v>0</v>
      </c>
      <c r="Q10" s="18" t="n">
        <v>0.41596938</v>
      </c>
      <c r="R10" s="20" t="n">
        <v>0.19657453</v>
      </c>
    </row>
    <row r="11" spans="1:18">
      <c r="A11" s="15" t="s">
        <v>569</v>
      </c>
      <c r="B11" s="17" t="n">
        <v>7053</v>
      </c>
      <c r="C11" s="18">
        <f>(6293.0/B11*100)</f>
        <v/>
      </c>
      <c r="D11" s="19" t="n">
        <v>760</v>
      </c>
      <c r="E11" s="18" t="n">
        <v>57.69596948</v>
      </c>
      <c r="F11" s="20" t="n">
        <v>2.07149247</v>
      </c>
      <c r="G11" s="18" t="n">
        <v>40.95816822</v>
      </c>
      <c r="H11" s="20" t="n">
        <v>2.03504993</v>
      </c>
      <c r="I11" s="18" t="n">
        <v>0</v>
      </c>
      <c r="J11" s="20" t="n">
        <v>0</v>
      </c>
      <c r="K11" s="18" t="n">
        <v>0.41261199</v>
      </c>
      <c r="L11" s="20" t="n">
        <v>0.38288414</v>
      </c>
      <c r="M11" s="18" t="n">
        <v>0</v>
      </c>
      <c r="N11" s="20" t="n">
        <v>0</v>
      </c>
      <c r="O11" s="18" t="n">
        <v>0</v>
      </c>
      <c r="P11" s="20" t="n">
        <v>0</v>
      </c>
      <c r="Q11" s="18" t="n">
        <v>0.93325032</v>
      </c>
      <c r="R11" s="20" t="n">
        <v>0.46784081</v>
      </c>
    </row>
    <row r="12" spans="1:18">
      <c r="A12" s="15" t="s">
        <v>570</v>
      </c>
      <c r="B12" s="17" t="n">
        <v>6894</v>
      </c>
      <c r="C12" s="18">
        <f>(6146.0/B12*100)</f>
        <v/>
      </c>
      <c r="D12" s="19" t="n">
        <v>748</v>
      </c>
      <c r="E12" s="18" t="n">
        <v>40.334944</v>
      </c>
      <c r="F12" s="20" t="n">
        <v>2.04364131</v>
      </c>
      <c r="G12" s="18" t="n">
        <v>59.46473474</v>
      </c>
      <c r="H12" s="20" t="n">
        <v>2.03557721</v>
      </c>
      <c r="I12" s="18" t="n">
        <v>0</v>
      </c>
      <c r="J12" s="20" t="n">
        <v>0</v>
      </c>
      <c r="K12" s="18" t="n">
        <v>0.07662784</v>
      </c>
      <c r="L12" s="20" t="n">
        <v>0.07416294</v>
      </c>
      <c r="M12" s="18" t="n">
        <v>0</v>
      </c>
      <c r="N12" s="20" t="n">
        <v>0</v>
      </c>
      <c r="O12" s="18" t="n">
        <v>0</v>
      </c>
      <c r="P12" s="20" t="n">
        <v>0</v>
      </c>
      <c r="Q12" s="18" t="n">
        <v>0.12369342</v>
      </c>
      <c r="R12" s="20" t="n">
        <v>0.12629719</v>
      </c>
    </row>
    <row r="13" spans="1:18">
      <c r="A13" s="15" t="s">
        <v>571</v>
      </c>
      <c r="B13" s="17" t="n">
        <v>7161</v>
      </c>
      <c r="C13" s="18">
        <f>(6423.0/B13*100)</f>
        <v/>
      </c>
      <c r="D13" s="19" t="n">
        <v>738</v>
      </c>
      <c r="E13" s="18" t="n">
        <v>36.09906696</v>
      </c>
      <c r="F13" s="20" t="n">
        <v>1.93098608</v>
      </c>
      <c r="G13" s="18" t="n">
        <v>61.94787925</v>
      </c>
      <c r="H13" s="20" t="n">
        <v>2.02590296</v>
      </c>
      <c r="I13" s="18" t="n">
        <v>0</v>
      </c>
      <c r="J13" s="20" t="n">
        <v>0</v>
      </c>
      <c r="K13" s="18" t="n">
        <v>0.87448824</v>
      </c>
      <c r="L13" s="20" t="n">
        <v>0.45759098</v>
      </c>
      <c r="M13" s="18" t="n">
        <v>0</v>
      </c>
      <c r="N13" s="20" t="n">
        <v>0</v>
      </c>
      <c r="O13" s="18" t="n">
        <v>0</v>
      </c>
      <c r="P13" s="20" t="n">
        <v>0</v>
      </c>
      <c r="Q13" s="18" t="n">
        <v>1.07856555</v>
      </c>
      <c r="R13" s="20" t="n">
        <v>0.51905631</v>
      </c>
    </row>
    <row r="14" spans="1:18">
      <c r="A14" s="15" t="s">
        <v>572</v>
      </c>
      <c r="B14" s="17" t="n">
        <v>5587</v>
      </c>
      <c r="C14" s="18">
        <f>(4960.0/B14*100)</f>
        <v/>
      </c>
      <c r="D14" s="19" t="n">
        <v>627</v>
      </c>
      <c r="E14" s="18" t="n">
        <v>37.18077545</v>
      </c>
      <c r="F14" s="20" t="n">
        <v>2.08943246</v>
      </c>
      <c r="G14" s="18" t="n">
        <v>62.66390318</v>
      </c>
      <c r="H14" s="20" t="n">
        <v>2.08020749</v>
      </c>
      <c r="I14" s="18" t="n">
        <v>0</v>
      </c>
      <c r="J14" s="20" t="n">
        <v>0</v>
      </c>
      <c r="K14" s="18" t="n">
        <v>0.15532137</v>
      </c>
      <c r="L14" s="20" t="n">
        <v>0.15700102</v>
      </c>
      <c r="M14" s="18" t="n">
        <v>0</v>
      </c>
      <c r="N14" s="20" t="n">
        <v>0</v>
      </c>
      <c r="O14" s="18" t="n">
        <v>0</v>
      </c>
      <c r="P14" s="20" t="n">
        <v>0</v>
      </c>
      <c r="Q14" s="18" t="n">
        <v>0</v>
      </c>
      <c r="R14" s="20" t="n">
        <v>0</v>
      </c>
    </row>
    <row r="15" spans="1:18">
      <c r="A15" s="15" t="s">
        <v>573</v>
      </c>
      <c r="B15" s="17" t="n">
        <v>5882</v>
      </c>
      <c r="C15" s="18">
        <f>(5213.0/B15*100)</f>
        <v/>
      </c>
      <c r="D15" s="19" t="n">
        <v>669</v>
      </c>
      <c r="E15" s="18" t="n">
        <v>34.77805054</v>
      </c>
      <c r="F15" s="20" t="n">
        <v>1.97739394</v>
      </c>
      <c r="G15" s="18" t="n">
        <v>64.52858987</v>
      </c>
      <c r="H15" s="20" t="n">
        <v>1.96500903</v>
      </c>
      <c r="I15" s="18" t="n">
        <v>0</v>
      </c>
      <c r="J15" s="20" t="n">
        <v>0</v>
      </c>
      <c r="K15" s="18" t="n">
        <v>0</v>
      </c>
      <c r="L15" s="20" t="n">
        <v>0</v>
      </c>
      <c r="M15" s="18" t="n">
        <v>0</v>
      </c>
      <c r="N15" s="20" t="n">
        <v>0</v>
      </c>
      <c r="O15" s="18" t="n">
        <v>0</v>
      </c>
      <c r="P15" s="20" t="n">
        <v>0</v>
      </c>
      <c r="Q15" s="18" t="n">
        <v>0.69335958</v>
      </c>
      <c r="R15" s="20" t="n">
        <v>0.32093766</v>
      </c>
    </row>
    <row r="16" spans="1:18">
      <c r="A16" s="15" t="s">
        <v>574</v>
      </c>
      <c r="B16" s="17" t="n">
        <v>6108</v>
      </c>
      <c r="C16" s="18">
        <f>(5419.0/B16*100)</f>
        <v/>
      </c>
      <c r="D16" s="19" t="n">
        <v>689</v>
      </c>
      <c r="E16" s="18" t="n">
        <v>49.37137973</v>
      </c>
      <c r="F16" s="20" t="n">
        <v>2.00402301</v>
      </c>
      <c r="G16" s="18" t="n">
        <v>48.82228219</v>
      </c>
      <c r="H16" s="20" t="n">
        <v>1.99375209</v>
      </c>
      <c r="I16" s="18" t="n">
        <v>0</v>
      </c>
      <c r="J16" s="20" t="n">
        <v>0</v>
      </c>
      <c r="K16" s="18" t="n">
        <v>0.30166277</v>
      </c>
      <c r="L16" s="20" t="n">
        <v>0.21800236</v>
      </c>
      <c r="M16" s="18" t="n">
        <v>0</v>
      </c>
      <c r="N16" s="20" t="n">
        <v>0</v>
      </c>
      <c r="O16" s="18" t="n">
        <v>0</v>
      </c>
      <c r="P16" s="20" t="n">
        <v>0</v>
      </c>
      <c r="Q16" s="18" t="n">
        <v>1.50467531</v>
      </c>
      <c r="R16" s="20" t="n">
        <v>0.5359488</v>
      </c>
    </row>
    <row r="17" spans="1:18">
      <c r="A17" s="15" t="s">
        <v>575</v>
      </c>
      <c r="B17" s="17" t="n">
        <v>6504</v>
      </c>
      <c r="C17" s="18">
        <f>(5802.0/B17*100)</f>
        <v/>
      </c>
      <c r="D17" s="19" t="n">
        <v>702</v>
      </c>
      <c r="E17" s="18" t="n">
        <v>42.20919613</v>
      </c>
      <c r="F17" s="20" t="n">
        <v>1.83328367</v>
      </c>
      <c r="G17" s="18" t="n">
        <v>57.23780724</v>
      </c>
      <c r="H17" s="20" t="n">
        <v>1.78584754</v>
      </c>
      <c r="I17" s="18" t="n">
        <v>0</v>
      </c>
      <c r="J17" s="20" t="n">
        <v>0</v>
      </c>
      <c r="K17" s="18" t="n">
        <v>0.22319144</v>
      </c>
      <c r="L17" s="20" t="n">
        <v>0.18314309</v>
      </c>
      <c r="M17" s="18" t="n">
        <v>0</v>
      </c>
      <c r="N17" s="20" t="n">
        <v>0</v>
      </c>
      <c r="O17" s="18" t="n">
        <v>0</v>
      </c>
      <c r="P17" s="20" t="n">
        <v>0</v>
      </c>
      <c r="Q17" s="18" t="n">
        <v>0.32980519</v>
      </c>
      <c r="R17" s="20" t="n">
        <v>0.2646158</v>
      </c>
    </row>
    <row r="18" spans="1:18">
      <c r="A18" s="15" t="s">
        <v>576</v>
      </c>
      <c r="B18" s="17" t="n">
        <v>5532</v>
      </c>
      <c r="C18" s="18">
        <f>(4907.0/B18*100)</f>
        <v/>
      </c>
      <c r="D18" s="19" t="n">
        <v>625</v>
      </c>
      <c r="E18" s="18" t="n">
        <v>61.55082009</v>
      </c>
      <c r="F18" s="20" t="n">
        <v>2.0745055</v>
      </c>
      <c r="G18" s="18" t="n">
        <v>37.60412043</v>
      </c>
      <c r="H18" s="20" t="n">
        <v>2.02652248</v>
      </c>
      <c r="I18" s="18" t="n">
        <v>0</v>
      </c>
      <c r="J18" s="20" t="n">
        <v>0</v>
      </c>
      <c r="K18" s="18" t="n">
        <v>0.08834299</v>
      </c>
      <c r="L18" s="20" t="n">
        <v>0.08998976</v>
      </c>
      <c r="M18" s="18" t="n">
        <v>0</v>
      </c>
      <c r="N18" s="20" t="n">
        <v>0</v>
      </c>
      <c r="O18" s="18" t="n">
        <v>0</v>
      </c>
      <c r="P18" s="20" t="n">
        <v>0</v>
      </c>
      <c r="Q18" s="18" t="n">
        <v>0.7567165</v>
      </c>
      <c r="R18" s="20" t="n">
        <v>0.38119206</v>
      </c>
    </row>
    <row r="19" spans="1:18">
      <c r="A19" s="15" t="s">
        <v>577</v>
      </c>
      <c r="B19" s="17" t="n">
        <v>5658</v>
      </c>
      <c r="C19" s="18">
        <f>(5039.0/B19*100)</f>
        <v/>
      </c>
      <c r="D19" s="19" t="n">
        <v>619</v>
      </c>
      <c r="E19" s="18" t="n">
        <v>59.01661627</v>
      </c>
      <c r="F19" s="20" t="n">
        <v>2.03186287</v>
      </c>
      <c r="G19" s="18" t="n">
        <v>40.8769988</v>
      </c>
      <c r="H19" s="20" t="n">
        <v>2.05022059</v>
      </c>
      <c r="I19" s="18" t="n">
        <v>0</v>
      </c>
      <c r="J19" s="20" t="n">
        <v>0</v>
      </c>
      <c r="K19" s="18" t="n">
        <v>0</v>
      </c>
      <c r="L19" s="20" t="n">
        <v>0</v>
      </c>
      <c r="M19" s="18" t="n">
        <v>0</v>
      </c>
      <c r="N19" s="20" t="n">
        <v>0</v>
      </c>
      <c r="O19" s="18" t="n">
        <v>0</v>
      </c>
      <c r="P19" s="20" t="n">
        <v>0</v>
      </c>
      <c r="Q19" s="18" t="n">
        <v>0.10638493</v>
      </c>
      <c r="R19" s="20" t="n">
        <v>0.10798745</v>
      </c>
    </row>
    <row r="20" spans="1:18">
      <c r="A20" s="15" t="s">
        <v>578</v>
      </c>
      <c r="B20" s="17" t="n">
        <v>3371</v>
      </c>
      <c r="C20" s="18">
        <f>(3009.0/B20*100)</f>
        <v/>
      </c>
      <c r="D20" s="19" t="n">
        <v>362</v>
      </c>
      <c r="E20" s="18" t="n">
        <v>50.92240897</v>
      </c>
      <c r="F20" s="20" t="n">
        <v>2.58645188</v>
      </c>
      <c r="G20" s="18" t="n">
        <v>46.37893041</v>
      </c>
      <c r="H20" s="20" t="n">
        <v>2.63803467</v>
      </c>
      <c r="I20" s="18" t="n">
        <v>0</v>
      </c>
      <c r="J20" s="20" t="n">
        <v>0</v>
      </c>
      <c r="K20" s="18" t="n">
        <v>0.50308511</v>
      </c>
      <c r="L20" s="20" t="n">
        <v>0.35219478</v>
      </c>
      <c r="M20" s="18" t="n">
        <v>0</v>
      </c>
      <c r="N20" s="20" t="n">
        <v>0</v>
      </c>
      <c r="O20" s="18" t="n">
        <v>0</v>
      </c>
      <c r="P20" s="20" t="n">
        <v>0</v>
      </c>
      <c r="Q20" s="18" t="n">
        <v>2.19557551</v>
      </c>
      <c r="R20" s="20" t="n">
        <v>0.79114703</v>
      </c>
    </row>
    <row r="21" spans="1:18">
      <c r="A21" s="15" t="s">
        <v>579</v>
      </c>
      <c r="B21" s="17" t="n">
        <v>5741</v>
      </c>
      <c r="C21" s="18">
        <f>(5076.0/B21*100)</f>
        <v/>
      </c>
      <c r="D21" s="19" t="n">
        <v>665</v>
      </c>
      <c r="E21" s="18" t="n">
        <v>41.76124135</v>
      </c>
      <c r="F21" s="20" t="n">
        <v>2.18182944</v>
      </c>
      <c r="G21" s="18" t="n">
        <v>58.01533586</v>
      </c>
      <c r="H21" s="20" t="n">
        <v>2.19421591</v>
      </c>
      <c r="I21" s="18" t="n">
        <v>0</v>
      </c>
      <c r="J21" s="20" t="n">
        <v>0</v>
      </c>
      <c r="K21" s="18" t="n">
        <v>0</v>
      </c>
      <c r="L21" s="20" t="n">
        <v>0</v>
      </c>
      <c r="M21" s="18" t="n">
        <v>0</v>
      </c>
      <c r="N21" s="20" t="n">
        <v>0</v>
      </c>
      <c r="O21" s="18" t="n">
        <v>0</v>
      </c>
      <c r="P21" s="20" t="n">
        <v>0</v>
      </c>
      <c r="Q21" s="18" t="n">
        <v>0.22342279</v>
      </c>
      <c r="R21" s="20" t="n">
        <v>0.21479833</v>
      </c>
    </row>
    <row r="22" spans="1:18">
      <c r="A22" s="15" t="s">
        <v>580</v>
      </c>
      <c r="B22" s="17" t="n">
        <v>6598</v>
      </c>
      <c r="C22" s="18">
        <f>(5879.0/B22*100)</f>
        <v/>
      </c>
      <c r="D22" s="19" t="n">
        <v>719</v>
      </c>
      <c r="E22" s="18" t="n">
        <v>49.86284652</v>
      </c>
      <c r="F22" s="20" t="n">
        <v>2.19881045</v>
      </c>
      <c r="G22" s="18" t="n">
        <v>47.87413961</v>
      </c>
      <c r="H22" s="20" t="n">
        <v>2.24716799</v>
      </c>
      <c r="I22" s="18" t="n">
        <v>0</v>
      </c>
      <c r="J22" s="20" t="n">
        <v>0</v>
      </c>
      <c r="K22" s="18" t="n">
        <v>1.30435037</v>
      </c>
      <c r="L22" s="20" t="n">
        <v>0.53746002</v>
      </c>
      <c r="M22" s="18" t="n">
        <v>0</v>
      </c>
      <c r="N22" s="20" t="n">
        <v>0</v>
      </c>
      <c r="O22" s="18" t="n">
        <v>0</v>
      </c>
      <c r="P22" s="20" t="n">
        <v>0</v>
      </c>
      <c r="Q22" s="18" t="n">
        <v>0.95866349</v>
      </c>
      <c r="R22" s="20" t="n">
        <v>0.40123257</v>
      </c>
    </row>
    <row r="23" spans="1:18">
      <c r="A23" s="15" t="s">
        <v>581</v>
      </c>
      <c r="B23" s="17" t="n">
        <v>11583</v>
      </c>
      <c r="C23" s="18">
        <f>(10304.0/B23*100)</f>
        <v/>
      </c>
      <c r="D23" s="19" t="n">
        <v>1279</v>
      </c>
      <c r="E23" s="18" t="n">
        <v>52.43550974</v>
      </c>
      <c r="F23" s="20" t="n">
        <v>1.84522184</v>
      </c>
      <c r="G23" s="18" t="n">
        <v>46.34311751</v>
      </c>
      <c r="H23" s="20" t="n">
        <v>2.00477441</v>
      </c>
      <c r="I23" s="18" t="n">
        <v>0</v>
      </c>
      <c r="J23" s="20" t="n">
        <v>0</v>
      </c>
      <c r="K23" s="18" t="n">
        <v>0</v>
      </c>
      <c r="L23" s="20" t="n">
        <v>0</v>
      </c>
      <c r="M23" s="18" t="n">
        <v>0</v>
      </c>
      <c r="N23" s="20" t="n">
        <v>0</v>
      </c>
      <c r="O23" s="18" t="n">
        <v>0</v>
      </c>
      <c r="P23" s="20" t="n">
        <v>0</v>
      </c>
      <c r="Q23" s="18" t="n">
        <v>1.22137274</v>
      </c>
      <c r="R23" s="20" t="n">
        <v>0.5164204</v>
      </c>
    </row>
    <row r="24" spans="1:18">
      <c r="A24" s="15" t="s">
        <v>582</v>
      </c>
      <c r="B24" s="17" t="n">
        <v>6647</v>
      </c>
      <c r="C24" s="18">
        <f>(5914.0/B24*100)</f>
        <v/>
      </c>
      <c r="D24" s="19" t="n">
        <v>733</v>
      </c>
      <c r="E24" s="18" t="n">
        <v>60.10538796</v>
      </c>
      <c r="F24" s="20" t="n">
        <v>1.863297</v>
      </c>
      <c r="G24" s="18" t="n">
        <v>39.0772535</v>
      </c>
      <c r="H24" s="20" t="n">
        <v>1.8491036</v>
      </c>
      <c r="I24" s="18" t="n">
        <v>0</v>
      </c>
      <c r="J24" s="20" t="n">
        <v>0</v>
      </c>
      <c r="K24" s="18" t="n">
        <v>0</v>
      </c>
      <c r="L24" s="20" t="n">
        <v>0</v>
      </c>
      <c r="M24" s="18" t="n">
        <v>0</v>
      </c>
      <c r="N24" s="20" t="n">
        <v>0</v>
      </c>
      <c r="O24" s="18" t="n">
        <v>0</v>
      </c>
      <c r="P24" s="20" t="n">
        <v>0</v>
      </c>
      <c r="Q24" s="18" t="n">
        <v>0.81735854</v>
      </c>
      <c r="R24" s="20" t="n">
        <v>0.32411051</v>
      </c>
    </row>
    <row r="25" spans="1:18">
      <c r="A25" s="15" t="s">
        <v>583</v>
      </c>
      <c r="B25" s="17" t="n">
        <v>5581</v>
      </c>
      <c r="C25" s="18">
        <f>(4964.0/B25*100)</f>
        <v/>
      </c>
      <c r="D25" s="19" t="n">
        <v>617</v>
      </c>
      <c r="E25" s="18" t="n">
        <v>62.04901499</v>
      </c>
      <c r="F25" s="20" t="n">
        <v>2.03719707</v>
      </c>
      <c r="G25" s="18" t="n">
        <v>37.31172679</v>
      </c>
      <c r="H25" s="20" t="n">
        <v>2.07341986</v>
      </c>
      <c r="I25" s="18" t="n">
        <v>0</v>
      </c>
      <c r="J25" s="20" t="n">
        <v>0</v>
      </c>
      <c r="K25" s="18" t="n">
        <v>0.15996681</v>
      </c>
      <c r="L25" s="20" t="n">
        <v>0.16045228</v>
      </c>
      <c r="M25" s="18" t="n">
        <v>0</v>
      </c>
      <c r="N25" s="20" t="n">
        <v>0</v>
      </c>
      <c r="O25" s="18" t="n">
        <v>0</v>
      </c>
      <c r="P25" s="20" t="n">
        <v>0</v>
      </c>
      <c r="Q25" s="18" t="n">
        <v>0.47929141</v>
      </c>
      <c r="R25" s="20" t="n">
        <v>0.28060209</v>
      </c>
    </row>
    <row r="26" spans="1:18">
      <c r="A26" s="15" t="s">
        <v>584</v>
      </c>
      <c r="B26" s="17" t="n">
        <v>4869</v>
      </c>
      <c r="C26" s="18">
        <f>(4322.0/B26*100)</f>
        <v/>
      </c>
      <c r="D26" s="19" t="n">
        <v>547</v>
      </c>
      <c r="E26" s="18" t="n">
        <v>44.38036014</v>
      </c>
      <c r="F26" s="20" t="n">
        <v>2.09948469</v>
      </c>
      <c r="G26" s="18" t="n">
        <v>55.61963986</v>
      </c>
      <c r="H26" s="20" t="n">
        <v>2.09948469</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(4703.0/B27*100)</f>
        <v/>
      </c>
      <c r="D27" s="19" t="n">
        <v>596</v>
      </c>
      <c r="E27" s="18" t="n">
        <v>50.09355592</v>
      </c>
      <c r="F27" s="20" t="n">
        <v>1.98107588</v>
      </c>
      <c r="G27" s="18" t="n">
        <v>48.67083426</v>
      </c>
      <c r="H27" s="20" t="n">
        <v>1.9111159</v>
      </c>
      <c r="I27" s="18" t="n">
        <v>0</v>
      </c>
      <c r="J27" s="20" t="n">
        <v>0</v>
      </c>
      <c r="K27" s="18" t="n">
        <v>0.17820107</v>
      </c>
      <c r="L27" s="20" t="n">
        <v>0.17853054</v>
      </c>
      <c r="M27" s="18" t="n">
        <v>0</v>
      </c>
      <c r="N27" s="20" t="n">
        <v>0</v>
      </c>
      <c r="O27" s="18" t="n">
        <v>0</v>
      </c>
      <c r="P27" s="20" t="n">
        <v>0</v>
      </c>
      <c r="Q27" s="18" t="n">
        <v>1.05740876</v>
      </c>
      <c r="R27" s="20" t="n">
        <v>0.42373929</v>
      </c>
    </row>
    <row r="28" spans="1:18">
      <c r="A28" s="15" t="s">
        <v>586</v>
      </c>
      <c r="B28" s="17" t="n">
        <v>7568</v>
      </c>
      <c r="C28" s="18">
        <f>(6758.0/B28*100)</f>
        <v/>
      </c>
      <c r="D28" s="19" t="n">
        <v>810</v>
      </c>
      <c r="E28" s="18" t="n">
        <v>78.13733489000001</v>
      </c>
      <c r="F28" s="20" t="n">
        <v>1.39029859</v>
      </c>
      <c r="G28" s="18" t="n">
        <v>20.45628481</v>
      </c>
      <c r="H28" s="20" t="n">
        <v>1.33369874</v>
      </c>
      <c r="I28" s="18" t="n">
        <v>0</v>
      </c>
      <c r="J28" s="20" t="n">
        <v>0</v>
      </c>
      <c r="K28" s="18" t="n">
        <v>0.21548078</v>
      </c>
      <c r="L28" s="20" t="n">
        <v>0.21246199</v>
      </c>
      <c r="M28" s="18" t="n">
        <v>0</v>
      </c>
      <c r="N28" s="20" t="n">
        <v>0</v>
      </c>
      <c r="O28" s="18" t="n">
        <v>0</v>
      </c>
      <c r="P28" s="20" t="n">
        <v>0</v>
      </c>
      <c r="Q28" s="18" t="n">
        <v>1.19089952</v>
      </c>
      <c r="R28" s="20" t="n">
        <v>0.45441195</v>
      </c>
    </row>
    <row r="29" spans="1:18">
      <c r="A29" s="15" t="s">
        <v>587</v>
      </c>
      <c r="B29" s="17" t="n">
        <v>5385</v>
      </c>
      <c r="C29" s="18">
        <f>(4804.0/B29*100)</f>
        <v/>
      </c>
      <c r="D29" s="19" t="n">
        <v>581</v>
      </c>
      <c r="E29" s="18" t="n">
        <v>52.51924001</v>
      </c>
      <c r="F29" s="20" t="n">
        <v>2.1060918</v>
      </c>
      <c r="G29" s="18" t="n">
        <v>46.81275584</v>
      </c>
      <c r="H29" s="20" t="n">
        <v>2.0528323</v>
      </c>
      <c r="I29" s="18" t="n">
        <v>0</v>
      </c>
      <c r="J29" s="20" t="n">
        <v>0</v>
      </c>
      <c r="K29" s="18" t="n">
        <v>0.17730321</v>
      </c>
      <c r="L29" s="20" t="n">
        <v>0.17578281</v>
      </c>
      <c r="M29" s="18" t="n">
        <v>0</v>
      </c>
      <c r="N29" s="20" t="n">
        <v>0</v>
      </c>
      <c r="O29" s="18" t="n">
        <v>0</v>
      </c>
      <c r="P29" s="20" t="n">
        <v>0</v>
      </c>
      <c r="Q29" s="18" t="n">
        <v>0.49070093</v>
      </c>
      <c r="R29" s="20" t="n">
        <v>0.30084902</v>
      </c>
    </row>
    <row r="30" spans="1:18">
      <c r="A30" s="15" t="s">
        <v>588</v>
      </c>
      <c r="B30" s="17" t="n">
        <v>4520</v>
      </c>
      <c r="C30" s="18">
        <f>(4002.0/B30*100)</f>
        <v/>
      </c>
      <c r="D30" s="19" t="n">
        <v>518</v>
      </c>
      <c r="E30" s="18" t="n">
        <v>42.06629586</v>
      </c>
      <c r="F30" s="20" t="n">
        <v>2.31212662</v>
      </c>
      <c r="G30" s="18" t="n">
        <v>56.96585868</v>
      </c>
      <c r="H30" s="20" t="n">
        <v>2.42659519</v>
      </c>
      <c r="I30" s="18" t="n">
        <v>0</v>
      </c>
      <c r="J30" s="20" t="n">
        <v>0</v>
      </c>
      <c r="K30" s="18" t="n">
        <v>0.18819691</v>
      </c>
      <c r="L30" s="20" t="n">
        <v>0.18220358</v>
      </c>
      <c r="M30" s="18" t="n">
        <v>0</v>
      </c>
      <c r="N30" s="20" t="n">
        <v>0</v>
      </c>
      <c r="O30" s="18" t="n">
        <v>0</v>
      </c>
      <c r="P30" s="20" t="n">
        <v>0</v>
      </c>
      <c r="Q30" s="18" t="n">
        <v>0.77964855</v>
      </c>
      <c r="R30" s="20" t="n">
        <v>0.41642216</v>
      </c>
    </row>
    <row r="31" spans="1:18">
      <c r="A31" s="15" t="s">
        <v>589</v>
      </c>
      <c r="B31" s="17" t="n">
        <v>5456</v>
      </c>
      <c r="C31" s="18">
        <f>(4853.0/B31*100)</f>
        <v/>
      </c>
      <c r="D31" s="19" t="n">
        <v>603</v>
      </c>
      <c r="E31" s="18" t="n">
        <v>38.7270808</v>
      </c>
      <c r="F31" s="20" t="n">
        <v>2.14785588</v>
      </c>
      <c r="G31" s="18" t="n">
        <v>60.16710895</v>
      </c>
      <c r="H31" s="20" t="n">
        <v>2.10862085</v>
      </c>
      <c r="I31" s="18" t="n">
        <v>0</v>
      </c>
      <c r="J31" s="20" t="n">
        <v>0</v>
      </c>
      <c r="K31" s="18" t="n">
        <v>0.14007587</v>
      </c>
      <c r="L31" s="20" t="n">
        <v>0.13981386</v>
      </c>
      <c r="M31" s="18" t="n">
        <v>0</v>
      </c>
      <c r="N31" s="20" t="n">
        <v>0</v>
      </c>
      <c r="O31" s="18" t="n">
        <v>0</v>
      </c>
      <c r="P31" s="20" t="n">
        <v>0</v>
      </c>
      <c r="Q31" s="18" t="n">
        <v>0.96573438</v>
      </c>
      <c r="R31" s="20" t="n">
        <v>0.40066461</v>
      </c>
    </row>
    <row r="32" spans="1:18">
      <c r="A32" s="15" t="s">
        <v>590</v>
      </c>
      <c r="B32" s="17" t="n">
        <v>4478</v>
      </c>
      <c r="C32" s="18">
        <f>(3985.0/B32*100)</f>
        <v/>
      </c>
      <c r="D32" s="19" t="n">
        <v>493</v>
      </c>
      <c r="E32" s="18" t="n">
        <v>31.6388762</v>
      </c>
      <c r="F32" s="20" t="n">
        <v>1.99951881</v>
      </c>
      <c r="G32" s="18" t="n">
        <v>67.68880983</v>
      </c>
      <c r="H32" s="20" t="n">
        <v>2.00119308</v>
      </c>
      <c r="I32" s="18" t="n">
        <v>0</v>
      </c>
      <c r="J32" s="20" t="n">
        <v>0</v>
      </c>
      <c r="K32" s="18" t="n">
        <v>0.17871208</v>
      </c>
      <c r="L32" s="20" t="n">
        <v>0.17489073</v>
      </c>
      <c r="M32" s="18" t="n">
        <v>0</v>
      </c>
      <c r="N32" s="20" t="n">
        <v>0</v>
      </c>
      <c r="O32" s="18" t="n">
        <v>0</v>
      </c>
      <c r="P32" s="20" t="n">
        <v>0</v>
      </c>
      <c r="Q32" s="18" t="n">
        <v>0.49360189</v>
      </c>
      <c r="R32" s="20" t="n">
        <v>0.36761274</v>
      </c>
    </row>
    <row r="33" spans="1:18">
      <c r="A33" s="15" t="s">
        <v>591</v>
      </c>
      <c r="B33" s="17" t="n">
        <v>7325</v>
      </c>
      <c r="C33" s="18">
        <f>(6522.0/B33*100)</f>
        <v/>
      </c>
      <c r="D33" s="19" t="n">
        <v>803</v>
      </c>
      <c r="E33" s="18" t="n">
        <v>46.12172569</v>
      </c>
      <c r="F33" s="20" t="n">
        <v>2.13355278</v>
      </c>
      <c r="G33" s="18" t="n">
        <v>53.62220958</v>
      </c>
      <c r="H33" s="20" t="n">
        <v>2.14185301</v>
      </c>
      <c r="I33" s="18" t="n">
        <v>0</v>
      </c>
      <c r="J33" s="20" t="n">
        <v>0</v>
      </c>
      <c r="K33" s="18" t="n">
        <v>0</v>
      </c>
      <c r="L33" s="20" t="n">
        <v>0</v>
      </c>
      <c r="M33" s="18" t="n">
        <v>0</v>
      </c>
      <c r="N33" s="20" t="n">
        <v>0</v>
      </c>
      <c r="O33" s="18" t="n">
        <v>0</v>
      </c>
      <c r="P33" s="20" t="n">
        <v>0</v>
      </c>
      <c r="Q33" s="18" t="n">
        <v>0.25606473</v>
      </c>
      <c r="R33" s="20" t="n">
        <v>0.18273956</v>
      </c>
    </row>
    <row r="34" spans="1:18">
      <c r="A34" s="15" t="s">
        <v>592</v>
      </c>
      <c r="B34" s="17" t="n">
        <v>6350</v>
      </c>
      <c r="C34" s="18">
        <f>(5696.0/B34*100)</f>
        <v/>
      </c>
      <c r="D34" s="19" t="n">
        <v>654</v>
      </c>
      <c r="E34" s="18" t="n">
        <v>51.22087752</v>
      </c>
      <c r="F34" s="20" t="n">
        <v>2.3830969</v>
      </c>
      <c r="G34" s="18" t="n">
        <v>48.29657551</v>
      </c>
      <c r="H34" s="20" t="n">
        <v>2.40182906</v>
      </c>
      <c r="I34" s="18" t="n">
        <v>0</v>
      </c>
      <c r="J34" s="20" t="n">
        <v>0</v>
      </c>
      <c r="K34" s="18" t="n">
        <v>0</v>
      </c>
      <c r="L34" s="20" t="n">
        <v>0</v>
      </c>
      <c r="M34" s="18" t="n">
        <v>0</v>
      </c>
      <c r="N34" s="20" t="n">
        <v>0</v>
      </c>
      <c r="O34" s="18" t="n">
        <v>0</v>
      </c>
      <c r="P34" s="20" t="n">
        <v>0</v>
      </c>
      <c r="Q34" s="18" t="n">
        <v>0.48254697</v>
      </c>
      <c r="R34" s="20" t="n">
        <v>0.25739493</v>
      </c>
    </row>
    <row r="35" spans="1:18">
      <c r="A35" s="15" t="s">
        <v>593</v>
      </c>
      <c r="B35" s="17" t="n">
        <v>6406</v>
      </c>
      <c r="C35" s="18">
        <f>(5712.0/B35*100)</f>
        <v/>
      </c>
      <c r="D35" s="19" t="n">
        <v>694</v>
      </c>
      <c r="E35" s="18" t="n">
        <v>36.44807861</v>
      </c>
      <c r="F35" s="20" t="n">
        <v>2.06447084</v>
      </c>
      <c r="G35" s="18" t="n">
        <v>63.06166594</v>
      </c>
      <c r="H35" s="20" t="n">
        <v>2.06456325</v>
      </c>
      <c r="I35" s="18" t="n">
        <v>0</v>
      </c>
      <c r="J35" s="20" t="n">
        <v>0</v>
      </c>
      <c r="K35" s="18" t="n">
        <v>0</v>
      </c>
      <c r="L35" s="20" t="n">
        <v>0</v>
      </c>
      <c r="M35" s="18" t="n">
        <v>0</v>
      </c>
      <c r="N35" s="20" t="n">
        <v>0</v>
      </c>
      <c r="O35" s="18" t="n">
        <v>0</v>
      </c>
      <c r="P35" s="20" t="n">
        <v>0</v>
      </c>
      <c r="Q35" s="18" t="n">
        <v>0.49025545</v>
      </c>
      <c r="R35" s="20" t="n">
        <v>0.26269976</v>
      </c>
    </row>
    <row r="36" spans="1:18">
      <c r="A36" s="15" t="s">
        <v>594</v>
      </c>
      <c r="B36" s="17" t="n">
        <v>6736</v>
      </c>
      <c r="C36" s="18">
        <f>(5970.0/B36*100)</f>
        <v/>
      </c>
      <c r="D36" s="19" t="n">
        <v>766</v>
      </c>
      <c r="E36" s="18" t="n">
        <v>49.79409587</v>
      </c>
      <c r="F36" s="20" t="n">
        <v>1.80123567</v>
      </c>
      <c r="G36" s="18" t="n">
        <v>49.25041388</v>
      </c>
      <c r="H36" s="20" t="n">
        <v>1.83392535</v>
      </c>
      <c r="I36" s="18" t="n">
        <v>0</v>
      </c>
      <c r="J36" s="20" t="n">
        <v>0</v>
      </c>
      <c r="K36" s="18" t="n">
        <v>0.0753846</v>
      </c>
      <c r="L36" s="20" t="n">
        <v>0.06982047</v>
      </c>
      <c r="M36" s="18" t="n">
        <v>0</v>
      </c>
      <c r="N36" s="20" t="n">
        <v>0</v>
      </c>
      <c r="O36" s="18" t="n">
        <v>0</v>
      </c>
      <c r="P36" s="20" t="n">
        <v>0</v>
      </c>
      <c r="Q36" s="18" t="n">
        <v>0.88010565</v>
      </c>
      <c r="R36" s="20" t="n">
        <v>0.26906858</v>
      </c>
    </row>
    <row r="37" spans="1:18">
      <c r="A37" s="15" t="s">
        <v>595</v>
      </c>
      <c r="B37" s="17" t="n">
        <v>5458</v>
      </c>
      <c r="C37" s="18">
        <f>(4859.0/B37*100)</f>
        <v/>
      </c>
      <c r="D37" s="19" t="n">
        <v>599</v>
      </c>
      <c r="E37" s="18" t="n">
        <v>38.74800689</v>
      </c>
      <c r="F37" s="20" t="n">
        <v>2.22524387</v>
      </c>
      <c r="G37" s="18" t="n">
        <v>59.52352252</v>
      </c>
      <c r="H37" s="20" t="n">
        <v>2.24208237</v>
      </c>
      <c r="I37" s="18" t="n">
        <v>0</v>
      </c>
      <c r="J37" s="20" t="n">
        <v>0</v>
      </c>
      <c r="K37" s="18" t="n">
        <v>0</v>
      </c>
      <c r="L37" s="20" t="n">
        <v>0</v>
      </c>
      <c r="M37" s="18" t="n">
        <v>0</v>
      </c>
      <c r="N37" s="20" t="n">
        <v>0</v>
      </c>
      <c r="O37" s="18" t="n">
        <v>0</v>
      </c>
      <c r="P37" s="20" t="n">
        <v>0</v>
      </c>
      <c r="Q37" s="18" t="n">
        <v>1.72847058</v>
      </c>
      <c r="R37" s="20" t="n">
        <v>0.56556341</v>
      </c>
    </row>
    <row r="38" spans="1:18">
      <c r="A38" s="15" t="s">
        <v>596</v>
      </c>
      <c r="B38" s="17" t="n">
        <v>5860</v>
      </c>
      <c r="C38" s="18">
        <f>(5234.0/B38*100)</f>
        <v/>
      </c>
      <c r="D38" s="19" t="n">
        <v>626</v>
      </c>
      <c r="E38" s="18" t="n">
        <v>44.79919264</v>
      </c>
      <c r="F38" s="20" t="n">
        <v>1.80060197</v>
      </c>
      <c r="G38" s="18" t="n">
        <v>54.1466545</v>
      </c>
      <c r="H38" s="20" t="n">
        <v>1.97617388</v>
      </c>
      <c r="I38" s="18" t="n">
        <v>0</v>
      </c>
      <c r="J38" s="20" t="n">
        <v>0</v>
      </c>
      <c r="K38" s="18" t="n">
        <v>0.27657872</v>
      </c>
      <c r="L38" s="20" t="n">
        <v>0.24214133</v>
      </c>
      <c r="M38" s="18" t="n">
        <v>0</v>
      </c>
      <c r="N38" s="20" t="n">
        <v>0</v>
      </c>
      <c r="O38" s="18" t="n">
        <v>0</v>
      </c>
      <c r="P38" s="20" t="n">
        <v>0</v>
      </c>
      <c r="Q38" s="18" t="n">
        <v>0.77757414</v>
      </c>
      <c r="R38" s="20" t="n">
        <v>0.39945874</v>
      </c>
    </row>
    <row r="39" spans="1:18">
      <c r="A39" s="15" t="s">
        <v>597</v>
      </c>
      <c r="B39" s="17" t="n">
        <v>5895</v>
      </c>
      <c r="C39" s="18">
        <f>(5241.0/B39*100)</f>
        <v/>
      </c>
      <c r="D39" s="19" t="n">
        <v>654</v>
      </c>
      <c r="E39" s="18" t="n">
        <v>70.81811623</v>
      </c>
      <c r="F39" s="20" t="n">
        <v>1.71888326</v>
      </c>
      <c r="G39" s="18" t="n">
        <v>28.52717018</v>
      </c>
      <c r="H39" s="20" t="n">
        <v>1.66038971</v>
      </c>
      <c r="I39" s="18" t="n">
        <v>0</v>
      </c>
      <c r="J39" s="20" t="n">
        <v>0</v>
      </c>
      <c r="K39" s="18" t="n">
        <v>0.10849353</v>
      </c>
      <c r="L39" s="20" t="n">
        <v>0.11171036</v>
      </c>
      <c r="M39" s="18" t="n">
        <v>0</v>
      </c>
      <c r="N39" s="20" t="n">
        <v>0</v>
      </c>
      <c r="O39" s="18" t="n">
        <v>0</v>
      </c>
      <c r="P39" s="20" t="n">
        <v>0</v>
      </c>
      <c r="Q39" s="18" t="n">
        <v>0.54622006</v>
      </c>
      <c r="R39" s="20" t="n">
        <v>0.42661493</v>
      </c>
    </row>
    <row r="40" spans="1:18">
      <c r="A40" s="15" t="s">
        <v>598</v>
      </c>
      <c r="B40" s="17" t="n">
        <v>14157</v>
      </c>
      <c r="C40" s="18">
        <f>(12514.0/B40*100)</f>
        <v/>
      </c>
      <c r="D40" s="19" t="n">
        <v>1643</v>
      </c>
      <c r="E40" s="18" t="n">
        <v>40.35976087</v>
      </c>
      <c r="F40" s="20" t="n">
        <v>1.63580446</v>
      </c>
      <c r="G40" s="18" t="n">
        <v>58.97962091</v>
      </c>
      <c r="H40" s="20" t="n">
        <v>1.64435566</v>
      </c>
      <c r="I40" s="18" t="n">
        <v>0</v>
      </c>
      <c r="J40" s="20" t="n">
        <v>0</v>
      </c>
      <c r="K40" s="18" t="n">
        <v>0.04895985</v>
      </c>
      <c r="L40" s="20" t="n">
        <v>0.03236644</v>
      </c>
      <c r="M40" s="18" t="n">
        <v>0</v>
      </c>
      <c r="N40" s="20" t="n">
        <v>0</v>
      </c>
      <c r="O40" s="18" t="n">
        <v>0</v>
      </c>
      <c r="P40" s="20" t="n">
        <v>0</v>
      </c>
      <c r="Q40" s="18" t="n">
        <v>0.61165836</v>
      </c>
      <c r="R40" s="20" t="n">
        <v>0.29397289</v>
      </c>
    </row>
    <row r="41" spans="1:18">
      <c r="A41" s="15" t="s">
        <v>599</v>
      </c>
      <c r="B41" s="17" t="n">
        <v>5712</v>
      </c>
      <c r="C41" s="18">
        <f>(5096.0/B41*100)</f>
        <v/>
      </c>
      <c r="D41" s="19" t="n">
        <v>616</v>
      </c>
      <c r="E41" s="18" t="n">
        <v>42.25059493</v>
      </c>
      <c r="F41" s="20" t="n">
        <v>1.80381977</v>
      </c>
      <c r="G41" s="18" t="n">
        <v>57.19530129</v>
      </c>
      <c r="H41" s="20" t="n">
        <v>1.90037593</v>
      </c>
      <c r="I41" s="18" t="n">
        <v>0</v>
      </c>
      <c r="J41" s="20" t="n">
        <v>0</v>
      </c>
      <c r="K41" s="18" t="n">
        <v>0</v>
      </c>
      <c r="L41" s="20" t="n">
        <v>0</v>
      </c>
      <c r="M41" s="18" t="n">
        <v>0</v>
      </c>
      <c r="N41" s="20" t="n">
        <v>0</v>
      </c>
      <c r="O41" s="18" t="n">
        <v>0</v>
      </c>
      <c r="P41" s="20" t="n">
        <v>0</v>
      </c>
      <c r="Q41" s="18" t="n">
        <v>0.55410378</v>
      </c>
      <c r="R41" s="20" t="n">
        <v>0.26750867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(20901.0/B46*100)</f>
        <v/>
      </c>
      <c r="D46" s="19" t="n">
        <v>2240</v>
      </c>
      <c r="E46" s="18" t="n">
        <v>62.13715929</v>
      </c>
      <c r="F46" s="20" t="n">
        <v>1.34063639</v>
      </c>
      <c r="G46" s="18" t="n">
        <v>35.31428493</v>
      </c>
      <c r="H46" s="20" t="n">
        <v>1.31121971</v>
      </c>
      <c r="I46" s="18" t="n">
        <v>0</v>
      </c>
      <c r="J46" s="20" t="n">
        <v>0</v>
      </c>
      <c r="K46" s="18" t="n">
        <v>0.59191912</v>
      </c>
      <c r="L46" s="20" t="n">
        <v>0.19292051</v>
      </c>
      <c r="M46" s="18" t="n">
        <v>0</v>
      </c>
      <c r="N46" s="20" t="n">
        <v>0</v>
      </c>
      <c r="O46" s="18" t="n">
        <v>0</v>
      </c>
      <c r="P46" s="20" t="n">
        <v>0</v>
      </c>
      <c r="Q46" s="18" t="n">
        <v>1.95663666</v>
      </c>
      <c r="R46" s="20" t="n">
        <v>0.3781237</v>
      </c>
    </row>
    <row r="47" spans="1:18">
      <c r="A47" s="15" t="s">
        <v>606</v>
      </c>
      <c r="B47" s="17" t="n">
        <v>5928</v>
      </c>
      <c r="C47" s="18">
        <f>(5292.0/B47*100)</f>
        <v/>
      </c>
      <c r="D47" s="19" t="n">
        <v>636</v>
      </c>
      <c r="E47" s="18" t="n">
        <v>56.51317078</v>
      </c>
      <c r="F47" s="20" t="n">
        <v>1.71411927</v>
      </c>
      <c r="G47" s="18" t="n">
        <v>42.86039784</v>
      </c>
      <c r="H47" s="20" t="n">
        <v>1.72276947</v>
      </c>
      <c r="I47" s="18" t="n">
        <v>0</v>
      </c>
      <c r="J47" s="20" t="n">
        <v>0</v>
      </c>
      <c r="K47" s="18" t="n">
        <v>0</v>
      </c>
      <c r="L47" s="20" t="n">
        <v>0</v>
      </c>
      <c r="M47" s="18" t="n">
        <v>0</v>
      </c>
      <c r="N47" s="20" t="n">
        <v>0</v>
      </c>
      <c r="O47" s="18" t="n">
        <v>0</v>
      </c>
      <c r="P47" s="20" t="n">
        <v>0</v>
      </c>
      <c r="Q47" s="18" t="n">
        <v>0.62643138</v>
      </c>
      <c r="R47" s="20" t="n">
        <v>0.29174997</v>
      </c>
    </row>
    <row r="48" spans="1:18">
      <c r="A48" s="15" t="s">
        <v>607</v>
      </c>
      <c r="B48" s="17" t="n">
        <v>9841</v>
      </c>
      <c r="C48" s="18">
        <f>(8763.0/B48*100)</f>
        <v/>
      </c>
      <c r="D48" s="19" t="n">
        <v>1078</v>
      </c>
      <c r="E48" s="18" t="n">
        <v>37.99551645</v>
      </c>
      <c r="F48" s="20" t="n">
        <v>2.01108615</v>
      </c>
      <c r="G48" s="18" t="n">
        <v>61.09350217</v>
      </c>
      <c r="H48" s="20" t="n">
        <v>1.98645018</v>
      </c>
      <c r="I48" s="18" t="n">
        <v>0</v>
      </c>
      <c r="J48" s="20" t="n">
        <v>0</v>
      </c>
      <c r="K48" s="18" t="n">
        <v>0.46192717</v>
      </c>
      <c r="L48" s="20" t="n">
        <v>0.268772</v>
      </c>
      <c r="M48" s="18" t="n">
        <v>0</v>
      </c>
      <c r="N48" s="20" t="n">
        <v>0</v>
      </c>
      <c r="O48" s="18" t="n">
        <v>0</v>
      </c>
      <c r="P48" s="20" t="n">
        <v>0</v>
      </c>
      <c r="Q48" s="18" t="n">
        <v>0.4490542</v>
      </c>
      <c r="R48" s="20" t="n">
        <v>0.26067033</v>
      </c>
    </row>
    <row r="49" spans="1:18">
      <c r="A49" s="15" t="s">
        <v>608</v>
      </c>
      <c r="B49" s="17" t="n">
        <v>11795</v>
      </c>
      <c r="C49" s="18">
        <f>(10524.0/B49*100)</f>
        <v/>
      </c>
      <c r="D49" s="19" t="n">
        <v>1271</v>
      </c>
      <c r="E49" s="18" t="n">
        <v>64.58052719</v>
      </c>
      <c r="F49" s="20" t="n">
        <v>1.56013026</v>
      </c>
      <c r="G49" s="18" t="n">
        <v>33.89139056</v>
      </c>
      <c r="H49" s="20" t="n">
        <v>1.50343509</v>
      </c>
      <c r="I49" s="18" t="n">
        <v>0</v>
      </c>
      <c r="J49" s="20" t="n">
        <v>0</v>
      </c>
      <c r="K49" s="18" t="n">
        <v>1.03584243</v>
      </c>
      <c r="L49" s="20" t="n">
        <v>0.48068972</v>
      </c>
      <c r="M49" s="18" t="n">
        <v>0</v>
      </c>
      <c r="N49" s="20" t="n">
        <v>0</v>
      </c>
      <c r="O49" s="18" t="n">
        <v>0</v>
      </c>
      <c r="P49" s="20" t="n">
        <v>0</v>
      </c>
      <c r="Q49" s="18" t="n">
        <v>0.49223982</v>
      </c>
      <c r="R49" s="20" t="n">
        <v>0.20628773</v>
      </c>
    </row>
    <row r="50" spans="1:18">
      <c r="A50" s="15" t="s">
        <v>609</v>
      </c>
      <c r="B50" s="17" t="n">
        <v>6866</v>
      </c>
      <c r="C50" s="18">
        <f>(6181.0/B50*100)</f>
        <v/>
      </c>
      <c r="D50" s="19" t="n">
        <v>685</v>
      </c>
      <c r="E50" s="18" t="n">
        <v>63.24525998</v>
      </c>
      <c r="F50" s="20" t="n">
        <v>1.90979336</v>
      </c>
      <c r="G50" s="18" t="n">
        <v>36.14099504</v>
      </c>
      <c r="H50" s="20" t="n">
        <v>1.91122313</v>
      </c>
      <c r="I50" s="18" t="n">
        <v>0</v>
      </c>
      <c r="J50" s="20" t="n">
        <v>0</v>
      </c>
      <c r="K50" s="18" t="n">
        <v>0.36294838</v>
      </c>
      <c r="L50" s="20" t="n">
        <v>0.31470343</v>
      </c>
      <c r="M50" s="18" t="n">
        <v>0</v>
      </c>
      <c r="N50" s="20" t="n">
        <v>0</v>
      </c>
      <c r="O50" s="18" t="n">
        <v>0</v>
      </c>
      <c r="P50" s="20" t="n">
        <v>0</v>
      </c>
      <c r="Q50" s="18" t="n">
        <v>0.2507966</v>
      </c>
      <c r="R50" s="20" t="n">
        <v>0.14801742</v>
      </c>
    </row>
    <row r="51" spans="1:18">
      <c r="A51" s="15" t="s">
        <v>610</v>
      </c>
      <c r="B51" s="17" t="n">
        <v>5809</v>
      </c>
      <c r="C51" s="18">
        <f>(5196.0/B51*100)</f>
        <v/>
      </c>
      <c r="D51" s="19" t="n">
        <v>613</v>
      </c>
      <c r="E51" s="18" t="n">
        <v>47.02388027</v>
      </c>
      <c r="F51" s="20" t="n">
        <v>2.03100799</v>
      </c>
      <c r="G51" s="18" t="n">
        <v>52.97611973</v>
      </c>
      <c r="H51" s="20" t="n">
        <v>2.03100799</v>
      </c>
      <c r="I51" s="18" t="n">
        <v>0</v>
      </c>
      <c r="J51" s="20" t="n">
        <v>0</v>
      </c>
      <c r="K51" s="18" t="n">
        <v>0</v>
      </c>
      <c r="L51" s="20" t="n">
        <v>0</v>
      </c>
      <c r="M51" s="18" t="n">
        <v>0</v>
      </c>
      <c r="N51" s="20" t="n">
        <v>0</v>
      </c>
      <c r="O51" s="18" t="n">
        <v>0</v>
      </c>
      <c r="P51" s="20" t="n">
        <v>0</v>
      </c>
      <c r="Q51" s="18" t="n">
        <v>0</v>
      </c>
      <c r="R51" s="20" t="n">
        <v>0</v>
      </c>
    </row>
    <row r="52" spans="1:18">
      <c r="A52" s="15" t="s">
        <v>611</v>
      </c>
      <c r="B52" s="17" t="n">
        <v>5571</v>
      </c>
      <c r="C52" s="18">
        <f>(4950.0/B52*100)</f>
        <v/>
      </c>
      <c r="D52" s="19" t="n">
        <v>621</v>
      </c>
      <c r="E52" s="18" t="n">
        <v>61.38586219</v>
      </c>
      <c r="F52" s="20" t="n">
        <v>1.97296071</v>
      </c>
      <c r="G52" s="18" t="n">
        <v>37.87822313</v>
      </c>
      <c r="H52" s="20" t="n">
        <v>1.93976832</v>
      </c>
      <c r="I52" s="18" t="n">
        <v>0</v>
      </c>
      <c r="J52" s="20" t="n">
        <v>0</v>
      </c>
      <c r="K52" s="18" t="n">
        <v>0.10690495</v>
      </c>
      <c r="L52" s="20" t="n">
        <v>0.10792921</v>
      </c>
      <c r="M52" s="18" t="n">
        <v>0</v>
      </c>
      <c r="N52" s="20" t="n">
        <v>0</v>
      </c>
      <c r="O52" s="18" t="n">
        <v>0</v>
      </c>
      <c r="P52" s="20" t="n">
        <v>0</v>
      </c>
      <c r="Q52" s="18" t="n">
        <v>0.62900972</v>
      </c>
      <c r="R52" s="20" t="n">
        <v>0.3154836</v>
      </c>
    </row>
    <row r="53" spans="1:18">
      <c r="A53" s="15" t="s">
        <v>612</v>
      </c>
      <c r="B53" s="17" t="n">
        <v>4740</v>
      </c>
      <c r="C53" s="18">
        <f>(4220.0/B53*100)</f>
        <v/>
      </c>
      <c r="D53" s="19" t="n">
        <v>520</v>
      </c>
      <c r="E53" s="18" t="n">
        <v>73.4471028</v>
      </c>
      <c r="F53" s="20" t="n">
        <v>2.12653841</v>
      </c>
      <c r="G53" s="18" t="n">
        <v>15.52494042</v>
      </c>
      <c r="H53" s="20" t="n">
        <v>1.85788306</v>
      </c>
      <c r="I53" s="18" t="n">
        <v>0</v>
      </c>
      <c r="J53" s="20" t="n">
        <v>0</v>
      </c>
      <c r="K53" s="18" t="n">
        <v>9.26592758</v>
      </c>
      <c r="L53" s="20" t="n">
        <v>1.47420408</v>
      </c>
      <c r="M53" s="18" t="n">
        <v>0</v>
      </c>
      <c r="N53" s="20" t="n">
        <v>0</v>
      </c>
      <c r="O53" s="18" t="n">
        <v>0</v>
      </c>
      <c r="P53" s="20" t="n">
        <v>0</v>
      </c>
      <c r="Q53" s="18" t="n">
        <v>1.7620292</v>
      </c>
      <c r="R53" s="20" t="n">
        <v>0.5979388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(4772.0/B55*100)</f>
        <v/>
      </c>
      <c r="D55" s="19" t="n">
        <v>587</v>
      </c>
      <c r="E55" s="18" t="n">
        <v>49.67633284</v>
      </c>
      <c r="F55" s="20" t="n">
        <v>2.60017787</v>
      </c>
      <c r="G55" s="18" t="n">
        <v>49.99620418</v>
      </c>
      <c r="H55" s="20" t="n">
        <v>2.55445653</v>
      </c>
      <c r="I55" s="18" t="n">
        <v>0</v>
      </c>
      <c r="J55" s="20" t="n">
        <v>0</v>
      </c>
      <c r="K55" s="18" t="n">
        <v>0.32746297</v>
      </c>
      <c r="L55" s="20" t="n">
        <v>0.31483375</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(5827.0/B61*100)</f>
        <v/>
      </c>
      <c r="D61" s="19" t="n">
        <v>698</v>
      </c>
      <c r="E61" s="18" t="n">
        <v>42.19617967</v>
      </c>
      <c r="F61" s="20" t="n">
        <v>2.09977269</v>
      </c>
      <c r="G61" s="18" t="n">
        <v>57.33236341</v>
      </c>
      <c r="H61" s="20" t="n">
        <v>2.11849658</v>
      </c>
      <c r="I61" s="18" t="n">
        <v>0</v>
      </c>
      <c r="J61" s="20" t="n">
        <v>0</v>
      </c>
      <c r="K61" s="18" t="n">
        <v>0.19612475</v>
      </c>
      <c r="L61" s="20" t="n">
        <v>0.20523611</v>
      </c>
      <c r="M61" s="18" t="n">
        <v>0</v>
      </c>
      <c r="N61" s="20" t="n">
        <v>0</v>
      </c>
      <c r="O61" s="18" t="n">
        <v>0</v>
      </c>
      <c r="P61" s="20" t="n">
        <v>0</v>
      </c>
      <c r="Q61" s="18" t="n">
        <v>0.27533217</v>
      </c>
      <c r="R61" s="20" t="n">
        <v>0.16561765</v>
      </c>
    </row>
    <row r="62" spans="1:18">
      <c r="A62" s="15" t="s">
        <v>622</v>
      </c>
      <c r="B62" s="17" t="n">
        <v>4476</v>
      </c>
      <c r="C62" s="18">
        <f>(3968.0/B62*100)</f>
        <v/>
      </c>
      <c r="D62" s="19" t="n">
        <v>508</v>
      </c>
      <c r="E62" s="18" t="n">
        <v>47.10535831</v>
      </c>
      <c r="F62" s="20" t="n">
        <v>2.11413745</v>
      </c>
      <c r="G62" s="18" t="n">
        <v>52.89464169</v>
      </c>
      <c r="H62" s="20" t="n">
        <v>2.11413745</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(5074.0/B67*100)</f>
        <v/>
      </c>
      <c r="D67" s="19" t="n">
        <v>591</v>
      </c>
      <c r="E67" s="18" t="n">
        <v>66.74368244</v>
      </c>
      <c r="F67" s="20" t="n">
        <v>1.77865804</v>
      </c>
      <c r="G67" s="18" t="n">
        <v>31.03359007</v>
      </c>
      <c r="H67" s="20" t="n">
        <v>1.77683098</v>
      </c>
      <c r="I67" s="18" t="n">
        <v>0</v>
      </c>
      <c r="J67" s="20" t="n">
        <v>0</v>
      </c>
      <c r="K67" s="18" t="n">
        <v>0.1733801</v>
      </c>
      <c r="L67" s="20" t="n">
        <v>0.17270027</v>
      </c>
      <c r="M67" s="18" t="n">
        <v>0</v>
      </c>
      <c r="N67" s="20" t="n">
        <v>0</v>
      </c>
      <c r="O67" s="18" t="n">
        <v>0</v>
      </c>
      <c r="P67" s="20" t="n">
        <v>0</v>
      </c>
      <c r="Q67" s="18" t="n">
        <v>2.04934739</v>
      </c>
      <c r="R67" s="20" t="n">
        <v>0.44827797</v>
      </c>
    </row>
    <row r="68" spans="1:18">
      <c r="A68" s="15" t="s">
        <v>628</v>
      </c>
      <c r="B68" s="17" t="n">
        <v>6971</v>
      </c>
      <c r="C68" s="18">
        <f>(6261.0/B68*100)</f>
        <v/>
      </c>
      <c r="D68" s="19" t="n">
        <v>710</v>
      </c>
      <c r="E68" s="18" t="n">
        <v>67.01327169</v>
      </c>
      <c r="F68" s="20" t="n">
        <v>1.68626309</v>
      </c>
      <c r="G68" s="18" t="n">
        <v>32.40487224</v>
      </c>
      <c r="H68" s="20" t="n">
        <v>1.69295443</v>
      </c>
      <c r="I68" s="18" t="n">
        <v>0</v>
      </c>
      <c r="J68" s="20" t="n">
        <v>0</v>
      </c>
      <c r="K68" s="18" t="n">
        <v>0.27848541</v>
      </c>
      <c r="L68" s="20" t="n">
        <v>0.20476601</v>
      </c>
      <c r="M68" s="18" t="n">
        <v>0</v>
      </c>
      <c r="N68" s="20" t="n">
        <v>0</v>
      </c>
      <c r="O68" s="18" t="n">
        <v>0</v>
      </c>
      <c r="P68" s="20" t="n">
        <v>0</v>
      </c>
      <c r="Q68" s="18" t="n">
        <v>0.30337066</v>
      </c>
      <c r="R68" s="20" t="n">
        <v>0.21676489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(10748.0/B70*100)</f>
        <v/>
      </c>
      <c r="D70" s="19" t="n">
        <v>1335</v>
      </c>
      <c r="E70" s="18" t="n">
        <v>62.21606709</v>
      </c>
      <c r="F70" s="20" t="n">
        <v>1.30740363</v>
      </c>
      <c r="G70" s="18" t="n">
        <v>34.37871601</v>
      </c>
      <c r="H70" s="20" t="n">
        <v>1.25313066</v>
      </c>
      <c r="I70" s="18" t="n">
        <v>0</v>
      </c>
      <c r="J70" s="20" t="n">
        <v>0</v>
      </c>
      <c r="K70" s="18" t="n">
        <v>1.36711495</v>
      </c>
      <c r="L70" s="20" t="n">
        <v>0.35886718</v>
      </c>
      <c r="M70" s="18" t="n">
        <v>0</v>
      </c>
      <c r="N70" s="20" t="n">
        <v>0</v>
      </c>
      <c r="O70" s="18" t="n">
        <v>0</v>
      </c>
      <c r="P70" s="20" t="n">
        <v>0</v>
      </c>
      <c r="Q70" s="18" t="n">
        <v>2.03810195</v>
      </c>
      <c r="R70" s="20" t="n">
        <v>0.37461349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(5403.0/B72*100)</f>
        <v/>
      </c>
      <c r="D72" s="19" t="n">
        <v>633</v>
      </c>
      <c r="E72" s="18" t="n">
        <v>47.07263352</v>
      </c>
      <c r="F72" s="20" t="n">
        <v>2.2632847</v>
      </c>
      <c r="G72" s="18" t="n">
        <v>52.44938158</v>
      </c>
      <c r="H72" s="20" t="n">
        <v>2.25473311</v>
      </c>
      <c r="I72" s="18" t="n">
        <v>0</v>
      </c>
      <c r="J72" s="20" t="n">
        <v>0</v>
      </c>
      <c r="K72" s="18" t="n">
        <v>0</v>
      </c>
      <c r="L72" s="20" t="n">
        <v>0</v>
      </c>
      <c r="M72" s="18" t="n">
        <v>0</v>
      </c>
      <c r="N72" s="20" t="n">
        <v>0</v>
      </c>
      <c r="O72" s="18" t="n">
        <v>0</v>
      </c>
      <c r="P72" s="20" t="n">
        <v>0</v>
      </c>
      <c r="Q72" s="18" t="n">
        <v>0.4779849</v>
      </c>
      <c r="R72" s="20" t="n">
        <v>0.22587947</v>
      </c>
    </row>
    <row r="73" spans="1:18">
      <c r="A73" s="15" t="s">
        <v>633</v>
      </c>
      <c r="B73" s="17" t="n">
        <v>6115</v>
      </c>
      <c r="C73" s="18">
        <f>(5426.0/B73*100)</f>
        <v/>
      </c>
      <c r="D73" s="19" t="n">
        <v>689</v>
      </c>
      <c r="E73" s="18" t="n">
        <v>45.90046189</v>
      </c>
      <c r="F73" s="20" t="n">
        <v>2.26621049</v>
      </c>
      <c r="G73" s="18" t="n">
        <v>53.8052822</v>
      </c>
      <c r="H73" s="20" t="n">
        <v>2.27214305</v>
      </c>
      <c r="I73" s="18" t="n">
        <v>0</v>
      </c>
      <c r="J73" s="20" t="n">
        <v>0</v>
      </c>
      <c r="K73" s="18" t="n">
        <v>0</v>
      </c>
      <c r="L73" s="20" t="n">
        <v>0</v>
      </c>
      <c r="M73" s="18" t="n">
        <v>0</v>
      </c>
      <c r="N73" s="20" t="n">
        <v>0</v>
      </c>
      <c r="O73" s="18" t="n">
        <v>0</v>
      </c>
      <c r="P73" s="20" t="n">
        <v>0</v>
      </c>
      <c r="Q73" s="18" t="n">
        <v>0.29425591</v>
      </c>
      <c r="R73" s="20" t="n">
        <v>0.20848288</v>
      </c>
    </row>
    <row r="74" spans="1:18">
      <c r="A74" s="15" t="s">
        <v>634</v>
      </c>
      <c r="B74" s="17" t="n">
        <v>7708</v>
      </c>
      <c r="C74" s="18">
        <f>(6813.0/B74*100)</f>
        <v/>
      </c>
      <c r="D74" s="19" t="n">
        <v>895</v>
      </c>
      <c r="E74" s="18" t="n">
        <v>44.74622085</v>
      </c>
      <c r="F74" s="20" t="n">
        <v>1.5901252</v>
      </c>
      <c r="G74" s="18" t="n">
        <v>54.9119033</v>
      </c>
      <c r="H74" s="20" t="n">
        <v>1.56734696</v>
      </c>
      <c r="I74" s="18" t="n">
        <v>0</v>
      </c>
      <c r="J74" s="20" t="n">
        <v>0</v>
      </c>
      <c r="K74" s="18" t="n">
        <v>0.12216639</v>
      </c>
      <c r="L74" s="20" t="n">
        <v>0.12266837</v>
      </c>
      <c r="M74" s="18" t="n">
        <v>0</v>
      </c>
      <c r="N74" s="20" t="n">
        <v>0</v>
      </c>
      <c r="O74" s="18" t="n">
        <v>0</v>
      </c>
      <c r="P74" s="20" t="n">
        <v>0</v>
      </c>
      <c r="Q74" s="18" t="n">
        <v>0.21970946</v>
      </c>
      <c r="R74" s="20" t="n">
        <v>0.15706167</v>
      </c>
    </row>
    <row r="75" spans="1:18">
      <c r="A75" s="15" t="s">
        <v>635</v>
      </c>
      <c r="B75" s="17" t="n">
        <v>8249</v>
      </c>
      <c r="C75" s="18">
        <f>(7350.0/B75*100)</f>
        <v/>
      </c>
      <c r="D75" s="19" t="n">
        <v>899</v>
      </c>
      <c r="E75" s="18" t="n">
        <v>53.63130742</v>
      </c>
      <c r="F75" s="20" t="n">
        <v>1.94610396</v>
      </c>
      <c r="G75" s="18" t="n">
        <v>46.21008121</v>
      </c>
      <c r="H75" s="20" t="n">
        <v>1.97234861</v>
      </c>
      <c r="I75" s="18" t="n">
        <v>0</v>
      </c>
      <c r="J75" s="20" t="n">
        <v>0</v>
      </c>
      <c r="K75" s="18" t="n">
        <v>0</v>
      </c>
      <c r="L75" s="20" t="n">
        <v>0</v>
      </c>
      <c r="M75" s="18" t="n">
        <v>0</v>
      </c>
      <c r="N75" s="20" t="n">
        <v>0</v>
      </c>
      <c r="O75" s="18" t="n">
        <v>0</v>
      </c>
      <c r="P75" s="20" t="n">
        <v>0</v>
      </c>
      <c r="Q75" s="18" t="n">
        <v>0.15861138</v>
      </c>
      <c r="R75" s="20" t="n">
        <v>0.15888939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(4843.0/B77*100)</f>
        <v/>
      </c>
      <c r="D77" s="19" t="n">
        <v>532</v>
      </c>
      <c r="E77" s="18" t="n">
        <v>64.58156848</v>
      </c>
      <c r="F77" s="20" t="n">
        <v>2.2848377</v>
      </c>
      <c r="G77" s="18" t="n">
        <v>31.14265305</v>
      </c>
      <c r="H77" s="20" t="n">
        <v>2.11169869</v>
      </c>
      <c r="I77" s="18" t="n">
        <v>0</v>
      </c>
      <c r="J77" s="20" t="n">
        <v>0</v>
      </c>
      <c r="K77" s="18" t="n">
        <v>2.21806637</v>
      </c>
      <c r="L77" s="20" t="n">
        <v>0.50903922</v>
      </c>
      <c r="M77" s="18" t="n">
        <v>0</v>
      </c>
      <c r="N77" s="20" t="n">
        <v>0</v>
      </c>
      <c r="O77" s="18" t="n">
        <v>0</v>
      </c>
      <c r="P77" s="20" t="n">
        <v>0</v>
      </c>
      <c r="Q77" s="18" t="n">
        <v>2.0577121</v>
      </c>
      <c r="R77" s="20" t="n">
        <v>0.68502797</v>
      </c>
    </row>
    <row r="78" spans="1:18">
      <c r="A78" s="15" t="s">
        <v>638</v>
      </c>
      <c r="B78" s="17" t="n">
        <v>14167</v>
      </c>
      <c r="C78" s="18">
        <f>(12572.0/B78*100)</f>
        <v/>
      </c>
      <c r="D78" s="19" t="n">
        <v>1595</v>
      </c>
      <c r="E78" s="18" t="n">
        <v>60.67859364</v>
      </c>
      <c r="F78" s="20" t="n">
        <v>1.45648951</v>
      </c>
      <c r="G78" s="18" t="n">
        <v>37.82988756</v>
      </c>
      <c r="H78" s="20" t="n">
        <v>1.4473667</v>
      </c>
      <c r="I78" s="18" t="n">
        <v>0</v>
      </c>
      <c r="J78" s="20" t="n">
        <v>0</v>
      </c>
      <c r="K78" s="18" t="n">
        <v>0.84835502</v>
      </c>
      <c r="L78" s="20" t="n">
        <v>0.27976256</v>
      </c>
      <c r="M78" s="18" t="n">
        <v>0</v>
      </c>
      <c r="N78" s="20" t="n">
        <v>0</v>
      </c>
      <c r="O78" s="18" t="n">
        <v>0</v>
      </c>
      <c r="P78" s="20" t="n">
        <v>0</v>
      </c>
      <c r="Q78" s="18" t="n">
        <v>0.64316378</v>
      </c>
      <c r="R78" s="20" t="n">
        <v>0.17092305</v>
      </c>
    </row>
    <row r="79" spans="1:18">
      <c r="A79" s="15" t="s">
        <v>639</v>
      </c>
      <c r="B79" s="17" t="n">
        <v>6062</v>
      </c>
      <c r="C79" s="18">
        <f>(5413.0/B79*100)</f>
        <v/>
      </c>
      <c r="D79" s="19" t="n">
        <v>649</v>
      </c>
      <c r="E79" s="18" t="n">
        <v>67.71898739</v>
      </c>
      <c r="F79" s="20" t="n">
        <v>1.88959011</v>
      </c>
      <c r="G79" s="18" t="n">
        <v>30.28024633</v>
      </c>
      <c r="H79" s="20" t="n">
        <v>1.91762003</v>
      </c>
      <c r="I79" s="18" t="n">
        <v>0</v>
      </c>
      <c r="J79" s="20" t="n">
        <v>0</v>
      </c>
      <c r="K79" s="18" t="n">
        <v>0.26807969</v>
      </c>
      <c r="L79" s="20" t="n">
        <v>0.29065118</v>
      </c>
      <c r="M79" s="18" t="n">
        <v>0</v>
      </c>
      <c r="N79" s="20" t="n">
        <v>0</v>
      </c>
      <c r="O79" s="18" t="n">
        <v>0</v>
      </c>
      <c r="P79" s="20" t="n">
        <v>0</v>
      </c>
      <c r="Q79" s="18" t="n">
        <v>1.73268659</v>
      </c>
      <c r="R79" s="20" t="n">
        <v>0.61131044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(28713.0/B82*100)</f>
        <v/>
      </c>
      <c r="D82" s="19" t="n">
        <v>3617</v>
      </c>
      <c r="E82" s="18" t="n">
        <v>47.3917326</v>
      </c>
      <c r="F82" s="20" t="n">
        <v>1.28680633</v>
      </c>
      <c r="G82" s="18" t="n">
        <v>51.68037463</v>
      </c>
      <c r="H82" s="20" t="n">
        <v>1.28237642</v>
      </c>
      <c r="I82" s="18" t="n">
        <v>0</v>
      </c>
      <c r="J82" s="20" t="n">
        <v>0</v>
      </c>
      <c r="K82" s="18" t="n">
        <v>0.03112721</v>
      </c>
      <c r="L82" s="20" t="n">
        <v>0.02277936</v>
      </c>
      <c r="M82" s="18" t="n">
        <v>0</v>
      </c>
      <c r="N82" s="20" t="n">
        <v>0</v>
      </c>
      <c r="O82" s="18" t="n">
        <v>0</v>
      </c>
      <c r="P82" s="20" t="n">
        <v>0</v>
      </c>
      <c r="Q82" s="18" t="n">
        <v>0.89676557</v>
      </c>
      <c r="R82" s="20" t="n">
        <v>0.28110384</v>
      </c>
    </row>
    <row r="83" spans="1:18">
      <c r="A83" s="15" t="s">
        <v>643</v>
      </c>
      <c r="B83" s="17" t="n">
        <v>1652</v>
      </c>
      <c r="C83" s="18">
        <f>(1478.0/B83*100)</f>
        <v/>
      </c>
      <c r="D83" s="19" t="n">
        <v>174</v>
      </c>
      <c r="E83" s="18" t="n">
        <v>40.10617499</v>
      </c>
      <c r="F83" s="20" t="n">
        <v>3.27032481</v>
      </c>
      <c r="G83" s="18" t="n">
        <v>59.89382501</v>
      </c>
      <c r="H83" s="20" t="n">
        <v>3.27032481</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(1679.0/B84*100)</f>
        <v/>
      </c>
      <c r="D84" s="19" t="n">
        <v>208</v>
      </c>
      <c r="E84" s="18" t="n">
        <v>44.81803012</v>
      </c>
      <c r="F84" s="20" t="n">
        <v>3.04067142</v>
      </c>
      <c r="G84" s="18" t="n">
        <v>55.18196988</v>
      </c>
      <c r="H84" s="20" t="n">
        <v>3.04067142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(12900.0/B7*100)</f>
        <v/>
      </c>
      <c r="D7" s="19" t="n">
        <v>1630</v>
      </c>
      <c r="E7" s="18" t="n">
        <v>67.46461979</v>
      </c>
      <c r="F7" s="20" t="n">
        <v>1.32906815</v>
      </c>
      <c r="G7" s="18" t="n">
        <v>31.40869868</v>
      </c>
      <c r="H7" s="20" t="n">
        <v>1.30620137</v>
      </c>
      <c r="I7" s="18" t="n">
        <v>0</v>
      </c>
      <c r="J7" s="20" t="n">
        <v>0</v>
      </c>
      <c r="K7" s="18" t="n">
        <v>0.23953034</v>
      </c>
      <c r="L7" s="20" t="n">
        <v>0.10898661</v>
      </c>
      <c r="M7" s="18" t="n">
        <v>0</v>
      </c>
      <c r="N7" s="20" t="n">
        <v>0</v>
      </c>
      <c r="O7" s="18" t="n">
        <v>0</v>
      </c>
      <c r="P7" s="20" t="n">
        <v>0</v>
      </c>
      <c r="Q7" s="18" t="n">
        <v>0.88715119</v>
      </c>
      <c r="R7" s="20" t="n">
        <v>0.25972841</v>
      </c>
    </row>
    <row r="8" spans="1:18">
      <c r="A8" s="15" t="s">
        <v>566</v>
      </c>
      <c r="B8" s="17" t="n">
        <v>7007</v>
      </c>
      <c r="C8" s="18">
        <f>(6239.0/B8*100)</f>
        <v/>
      </c>
      <c r="D8" s="19" t="n">
        <v>768</v>
      </c>
      <c r="E8" s="18" t="n">
        <v>52.06841648</v>
      </c>
      <c r="F8" s="20" t="n">
        <v>2.05243415</v>
      </c>
      <c r="G8" s="18" t="n">
        <v>45.6859871</v>
      </c>
      <c r="H8" s="20" t="n">
        <v>2.03900196</v>
      </c>
      <c r="I8" s="18" t="n">
        <v>0</v>
      </c>
      <c r="J8" s="20" t="n">
        <v>0</v>
      </c>
      <c r="K8" s="18" t="n">
        <v>0</v>
      </c>
      <c r="L8" s="20" t="n">
        <v>0</v>
      </c>
      <c r="M8" s="18" t="n">
        <v>0</v>
      </c>
      <c r="N8" s="20" t="n">
        <v>0</v>
      </c>
      <c r="O8" s="18" t="n">
        <v>0</v>
      </c>
      <c r="P8" s="20" t="n">
        <v>0</v>
      </c>
      <c r="Q8" s="18" t="n">
        <v>2.24559642</v>
      </c>
      <c r="R8" s="20" t="n">
        <v>0.56386486</v>
      </c>
    </row>
    <row r="9" spans="1:18">
      <c r="A9" s="15" t="s">
        <v>567</v>
      </c>
      <c r="B9" s="17" t="n">
        <v>9651</v>
      </c>
      <c r="C9" s="18">
        <f>(8595.0/B9*100)</f>
        <v/>
      </c>
      <c r="D9" s="19" t="n">
        <v>1056</v>
      </c>
      <c r="E9" s="18" t="n">
        <v>61.3356217</v>
      </c>
      <c r="F9" s="20" t="n">
        <v>1.52192401</v>
      </c>
      <c r="G9" s="18" t="n">
        <v>37.83072879</v>
      </c>
      <c r="H9" s="20" t="n">
        <v>1.51328318</v>
      </c>
      <c r="I9" s="18" t="n">
        <v>0</v>
      </c>
      <c r="J9" s="20" t="n">
        <v>0</v>
      </c>
      <c r="K9" s="18" t="n">
        <v>0</v>
      </c>
      <c r="L9" s="20" t="n">
        <v>0</v>
      </c>
      <c r="M9" s="18" t="n">
        <v>0</v>
      </c>
      <c r="N9" s="20" t="n">
        <v>0</v>
      </c>
      <c r="O9" s="18" t="n">
        <v>0</v>
      </c>
      <c r="P9" s="20" t="n">
        <v>0</v>
      </c>
      <c r="Q9" s="18" t="n">
        <v>0.83364951</v>
      </c>
      <c r="R9" s="20" t="n">
        <v>0.2152604</v>
      </c>
    </row>
    <row r="10" spans="1:18">
      <c r="A10" s="15" t="s">
        <v>568</v>
      </c>
      <c r="B10" s="17" t="n">
        <v>20058</v>
      </c>
      <c r="C10" s="18">
        <f>(17829.0/B10*100)</f>
        <v/>
      </c>
      <c r="D10" s="19" t="n">
        <v>2229</v>
      </c>
      <c r="E10" s="18" t="n">
        <v>60.21565771</v>
      </c>
      <c r="F10" s="20" t="n">
        <v>1.48625735</v>
      </c>
      <c r="G10" s="18" t="n">
        <v>38.49999896</v>
      </c>
      <c r="H10" s="20" t="n">
        <v>1.50760775</v>
      </c>
      <c r="I10" s="18" t="n">
        <v>0</v>
      </c>
      <c r="J10" s="20" t="n">
        <v>0</v>
      </c>
      <c r="K10" s="18" t="n">
        <v>0.41773163</v>
      </c>
      <c r="L10" s="20" t="n">
        <v>0.20926963</v>
      </c>
      <c r="M10" s="18" t="n">
        <v>0</v>
      </c>
      <c r="N10" s="20" t="n">
        <v>0</v>
      </c>
      <c r="O10" s="18" t="n">
        <v>0</v>
      </c>
      <c r="P10" s="20" t="n">
        <v>0</v>
      </c>
      <c r="Q10" s="18" t="n">
        <v>0.8666117</v>
      </c>
      <c r="R10" s="20" t="n">
        <v>0.25312094</v>
      </c>
    </row>
    <row r="11" spans="1:18">
      <c r="A11" s="15" t="s">
        <v>569</v>
      </c>
      <c r="B11" s="17" t="n">
        <v>7053</v>
      </c>
      <c r="C11" s="18">
        <f>(6294.0/B11*100)</f>
        <v/>
      </c>
      <c r="D11" s="19" t="n">
        <v>759</v>
      </c>
      <c r="E11" s="18" t="n">
        <v>66.11523126</v>
      </c>
      <c r="F11" s="20" t="n">
        <v>1.85888427</v>
      </c>
      <c r="G11" s="18" t="n">
        <v>31.33589978</v>
      </c>
      <c r="H11" s="20" t="n">
        <v>1.87127856</v>
      </c>
      <c r="I11" s="18" t="n">
        <v>0</v>
      </c>
      <c r="J11" s="20" t="n">
        <v>0</v>
      </c>
      <c r="K11" s="18" t="n">
        <v>0.41269001</v>
      </c>
      <c r="L11" s="20" t="n">
        <v>0.3829558</v>
      </c>
      <c r="M11" s="18" t="n">
        <v>0</v>
      </c>
      <c r="N11" s="20" t="n">
        <v>0</v>
      </c>
      <c r="O11" s="18" t="n">
        <v>0</v>
      </c>
      <c r="P11" s="20" t="n">
        <v>0</v>
      </c>
      <c r="Q11" s="18" t="n">
        <v>2.13617894</v>
      </c>
      <c r="R11" s="20" t="n">
        <v>0.66230058</v>
      </c>
    </row>
    <row r="12" spans="1:18">
      <c r="A12" s="15" t="s">
        <v>570</v>
      </c>
      <c r="B12" s="17" t="n">
        <v>6894</v>
      </c>
      <c r="C12" s="18">
        <f>(6146.0/B12*100)</f>
        <v/>
      </c>
      <c r="D12" s="19" t="n">
        <v>748</v>
      </c>
      <c r="E12" s="18" t="n">
        <v>55.65645307</v>
      </c>
      <c r="F12" s="20" t="n">
        <v>1.97048166</v>
      </c>
      <c r="G12" s="18" t="n">
        <v>44.14322567</v>
      </c>
      <c r="H12" s="20" t="n">
        <v>1.96664783</v>
      </c>
      <c r="I12" s="18" t="n">
        <v>0</v>
      </c>
      <c r="J12" s="20" t="n">
        <v>0</v>
      </c>
      <c r="K12" s="18" t="n">
        <v>0.07662784</v>
      </c>
      <c r="L12" s="20" t="n">
        <v>0.07416294</v>
      </c>
      <c r="M12" s="18" t="n">
        <v>0</v>
      </c>
      <c r="N12" s="20" t="n">
        <v>0</v>
      </c>
      <c r="O12" s="18" t="n">
        <v>0</v>
      </c>
      <c r="P12" s="20" t="n">
        <v>0</v>
      </c>
      <c r="Q12" s="18" t="n">
        <v>0.12369342</v>
      </c>
      <c r="R12" s="20" t="n">
        <v>0.12629719</v>
      </c>
    </row>
    <row r="13" spans="1:18">
      <c r="A13" s="15" t="s">
        <v>571</v>
      </c>
      <c r="B13" s="17" t="n">
        <v>7161</v>
      </c>
      <c r="C13" s="18">
        <f>(6423.0/B13*100)</f>
        <v/>
      </c>
      <c r="D13" s="19" t="n">
        <v>738</v>
      </c>
      <c r="E13" s="18" t="n">
        <v>50.25775793</v>
      </c>
      <c r="F13" s="20" t="n">
        <v>1.99815411</v>
      </c>
      <c r="G13" s="18" t="n">
        <v>47.18918897</v>
      </c>
      <c r="H13" s="20" t="n">
        <v>2.13262141</v>
      </c>
      <c r="I13" s="18" t="n">
        <v>0</v>
      </c>
      <c r="J13" s="20" t="n">
        <v>0</v>
      </c>
      <c r="K13" s="18" t="n">
        <v>0.87448824</v>
      </c>
      <c r="L13" s="20" t="n">
        <v>0.45759098</v>
      </c>
      <c r="M13" s="18" t="n">
        <v>0</v>
      </c>
      <c r="N13" s="20" t="n">
        <v>0</v>
      </c>
      <c r="O13" s="18" t="n">
        <v>0</v>
      </c>
      <c r="P13" s="20" t="n">
        <v>0</v>
      </c>
      <c r="Q13" s="18" t="n">
        <v>1.67856486</v>
      </c>
      <c r="R13" s="20" t="n">
        <v>0.6322955300000001</v>
      </c>
    </row>
    <row r="14" spans="1:18">
      <c r="A14" s="15" t="s">
        <v>572</v>
      </c>
      <c r="B14" s="17" t="n">
        <v>5587</v>
      </c>
      <c r="C14" s="18">
        <f>(4960.0/B14*100)</f>
        <v/>
      </c>
      <c r="D14" s="19" t="n">
        <v>627</v>
      </c>
      <c r="E14" s="18" t="n">
        <v>45.22889749</v>
      </c>
      <c r="F14" s="20" t="n">
        <v>2.08095768</v>
      </c>
      <c r="G14" s="18" t="n">
        <v>54.48165205</v>
      </c>
      <c r="H14" s="20" t="n">
        <v>2.05613546</v>
      </c>
      <c r="I14" s="18" t="n">
        <v>0</v>
      </c>
      <c r="J14" s="20" t="n">
        <v>0</v>
      </c>
      <c r="K14" s="18" t="n">
        <v>0.15532137</v>
      </c>
      <c r="L14" s="20" t="n">
        <v>0.15700102</v>
      </c>
      <c r="M14" s="18" t="n">
        <v>0</v>
      </c>
      <c r="N14" s="20" t="n">
        <v>0</v>
      </c>
      <c r="O14" s="18" t="n">
        <v>0</v>
      </c>
      <c r="P14" s="20" t="n">
        <v>0</v>
      </c>
      <c r="Q14" s="18" t="n">
        <v>0.1341291</v>
      </c>
      <c r="R14" s="20" t="n">
        <v>0.13434706</v>
      </c>
    </row>
    <row r="15" spans="1:18">
      <c r="A15" s="15" t="s">
        <v>573</v>
      </c>
      <c r="B15" s="17" t="n">
        <v>5882</v>
      </c>
      <c r="C15" s="18">
        <f>(5214.0/B15*100)</f>
        <v/>
      </c>
      <c r="D15" s="19" t="n">
        <v>668</v>
      </c>
      <c r="E15" s="18" t="n">
        <v>50.12003983</v>
      </c>
      <c r="F15" s="20" t="n">
        <v>1.96297781</v>
      </c>
      <c r="G15" s="18" t="n">
        <v>49.18550759</v>
      </c>
      <c r="H15" s="20" t="n">
        <v>1.94311681</v>
      </c>
      <c r="I15" s="18" t="n">
        <v>0</v>
      </c>
      <c r="J15" s="20" t="n">
        <v>0</v>
      </c>
      <c r="K15" s="18" t="n">
        <v>0</v>
      </c>
      <c r="L15" s="20" t="n">
        <v>0</v>
      </c>
      <c r="M15" s="18" t="n">
        <v>0</v>
      </c>
      <c r="N15" s="20" t="n">
        <v>0</v>
      </c>
      <c r="O15" s="18" t="n">
        <v>0</v>
      </c>
      <c r="P15" s="20" t="n">
        <v>0</v>
      </c>
      <c r="Q15" s="18" t="n">
        <v>0.69445258</v>
      </c>
      <c r="R15" s="20" t="n">
        <v>0.32144742</v>
      </c>
    </row>
    <row r="16" spans="1:18">
      <c r="A16" s="15" t="s">
        <v>574</v>
      </c>
      <c r="B16" s="17" t="n">
        <v>6108</v>
      </c>
      <c r="C16" s="18">
        <f>(5420.0/B16*100)</f>
        <v/>
      </c>
      <c r="D16" s="19" t="n">
        <v>688</v>
      </c>
      <c r="E16" s="18" t="n">
        <v>52.97251631</v>
      </c>
      <c r="F16" s="20" t="n">
        <v>1.95809967</v>
      </c>
      <c r="G16" s="18" t="n">
        <v>43.86955215</v>
      </c>
      <c r="H16" s="20" t="n">
        <v>1.85227909</v>
      </c>
      <c r="I16" s="18" t="n">
        <v>0</v>
      </c>
      <c r="J16" s="20" t="n">
        <v>0</v>
      </c>
      <c r="K16" s="18" t="n">
        <v>0.30226856</v>
      </c>
      <c r="L16" s="20" t="n">
        <v>0.21842704</v>
      </c>
      <c r="M16" s="18" t="n">
        <v>0</v>
      </c>
      <c r="N16" s="20" t="n">
        <v>0</v>
      </c>
      <c r="O16" s="18" t="n">
        <v>0</v>
      </c>
      <c r="P16" s="20" t="n">
        <v>0</v>
      </c>
      <c r="Q16" s="18" t="n">
        <v>2.85566298</v>
      </c>
      <c r="R16" s="20" t="n">
        <v>0.70516882</v>
      </c>
    </row>
    <row r="17" spans="1:18">
      <c r="A17" s="15" t="s">
        <v>575</v>
      </c>
      <c r="B17" s="17" t="n">
        <v>6504</v>
      </c>
      <c r="C17" s="18">
        <f>(5802.0/B17*100)</f>
        <v/>
      </c>
      <c r="D17" s="19" t="n">
        <v>702</v>
      </c>
      <c r="E17" s="18" t="n">
        <v>49.97585609</v>
      </c>
      <c r="F17" s="20" t="n">
        <v>1.9405101</v>
      </c>
      <c r="G17" s="18" t="n">
        <v>48.87963811</v>
      </c>
      <c r="H17" s="20" t="n">
        <v>1.99077419</v>
      </c>
      <c r="I17" s="18" t="n">
        <v>0</v>
      </c>
      <c r="J17" s="20" t="n">
        <v>0</v>
      </c>
      <c r="K17" s="18" t="n">
        <v>0.22319144</v>
      </c>
      <c r="L17" s="20" t="n">
        <v>0.18314309</v>
      </c>
      <c r="M17" s="18" t="n">
        <v>0</v>
      </c>
      <c r="N17" s="20" t="n">
        <v>0</v>
      </c>
      <c r="O17" s="18" t="n">
        <v>0</v>
      </c>
      <c r="P17" s="20" t="n">
        <v>0</v>
      </c>
      <c r="Q17" s="18" t="n">
        <v>0.92131436</v>
      </c>
      <c r="R17" s="20" t="n">
        <v>0.38273589</v>
      </c>
    </row>
    <row r="18" spans="1:18">
      <c r="A18" s="15" t="s">
        <v>576</v>
      </c>
      <c r="B18" s="17" t="n">
        <v>5532</v>
      </c>
      <c r="C18" s="18">
        <f>(4908.0/B18*100)</f>
        <v/>
      </c>
      <c r="D18" s="19" t="n">
        <v>624</v>
      </c>
      <c r="E18" s="18" t="n">
        <v>62.64642307</v>
      </c>
      <c r="F18" s="20" t="n">
        <v>1.96652178</v>
      </c>
      <c r="G18" s="18" t="n">
        <v>36.20079273</v>
      </c>
      <c r="H18" s="20" t="n">
        <v>1.92779394</v>
      </c>
      <c r="I18" s="18" t="n">
        <v>0</v>
      </c>
      <c r="J18" s="20" t="n">
        <v>0</v>
      </c>
      <c r="K18" s="18" t="n">
        <v>0.08849833999999999</v>
      </c>
      <c r="L18" s="20" t="n">
        <v>0.09014825999999999</v>
      </c>
      <c r="M18" s="18" t="n">
        <v>0</v>
      </c>
      <c r="N18" s="20" t="n">
        <v>0</v>
      </c>
      <c r="O18" s="18" t="n">
        <v>0</v>
      </c>
      <c r="P18" s="20" t="n">
        <v>0</v>
      </c>
      <c r="Q18" s="18" t="n">
        <v>1.06428586</v>
      </c>
      <c r="R18" s="20" t="n">
        <v>0.39495414</v>
      </c>
    </row>
    <row r="19" spans="1:18">
      <c r="A19" s="15" t="s">
        <v>577</v>
      </c>
      <c r="B19" s="17" t="n">
        <v>5658</v>
      </c>
      <c r="C19" s="18">
        <f>(5039.0/B19*100)</f>
        <v/>
      </c>
      <c r="D19" s="19" t="n">
        <v>619</v>
      </c>
      <c r="E19" s="18" t="n">
        <v>64.50242947</v>
      </c>
      <c r="F19" s="20" t="n">
        <v>1.88673642</v>
      </c>
      <c r="G19" s="18" t="n">
        <v>35.49757053</v>
      </c>
      <c r="H19" s="20" t="n">
        <v>1.88673642</v>
      </c>
      <c r="I19" s="18" t="n">
        <v>0</v>
      </c>
      <c r="J19" s="20" t="n">
        <v>0</v>
      </c>
      <c r="K19" s="18" t="n">
        <v>0</v>
      </c>
      <c r="L19" s="20" t="n">
        <v>0</v>
      </c>
      <c r="M19" s="18" t="n">
        <v>0</v>
      </c>
      <c r="N19" s="20" t="n">
        <v>0</v>
      </c>
      <c r="O19" s="18" t="n">
        <v>0</v>
      </c>
      <c r="P19" s="20" t="n">
        <v>0</v>
      </c>
      <c r="Q19" s="18" t="n">
        <v>0</v>
      </c>
      <c r="R19" s="20" t="n">
        <v>0</v>
      </c>
    </row>
    <row r="20" spans="1:18">
      <c r="A20" s="15" t="s">
        <v>578</v>
      </c>
      <c r="B20" s="17" t="n">
        <v>3371</v>
      </c>
      <c r="C20" s="18">
        <f>(3009.0/B20*100)</f>
        <v/>
      </c>
      <c r="D20" s="19" t="n">
        <v>362</v>
      </c>
      <c r="E20" s="18" t="n">
        <v>54.73701066</v>
      </c>
      <c r="F20" s="20" t="n">
        <v>2.93385497</v>
      </c>
      <c r="G20" s="18" t="n">
        <v>42.29317908</v>
      </c>
      <c r="H20" s="20" t="n">
        <v>2.89901768</v>
      </c>
      <c r="I20" s="18" t="n">
        <v>0</v>
      </c>
      <c r="J20" s="20" t="n">
        <v>0</v>
      </c>
      <c r="K20" s="18" t="n">
        <v>0.50308511</v>
      </c>
      <c r="L20" s="20" t="n">
        <v>0.35219478</v>
      </c>
      <c r="M20" s="18" t="n">
        <v>0</v>
      </c>
      <c r="N20" s="20" t="n">
        <v>0</v>
      </c>
      <c r="O20" s="18" t="n">
        <v>0</v>
      </c>
      <c r="P20" s="20" t="n">
        <v>0</v>
      </c>
      <c r="Q20" s="18" t="n">
        <v>2.46672516</v>
      </c>
      <c r="R20" s="20" t="n">
        <v>0.74925165</v>
      </c>
    </row>
    <row r="21" spans="1:18">
      <c r="A21" s="15" t="s">
        <v>579</v>
      </c>
      <c r="B21" s="17" t="n">
        <v>5741</v>
      </c>
      <c r="C21" s="18">
        <f>(5076.0/B21*100)</f>
        <v/>
      </c>
      <c r="D21" s="19" t="n">
        <v>665</v>
      </c>
      <c r="E21" s="18" t="n">
        <v>71.51265055</v>
      </c>
      <c r="F21" s="20" t="n">
        <v>2.03185759</v>
      </c>
      <c r="G21" s="18" t="n">
        <v>27.80277676</v>
      </c>
      <c r="H21" s="20" t="n">
        <v>2.0173679</v>
      </c>
      <c r="I21" s="18" t="n">
        <v>0</v>
      </c>
      <c r="J21" s="20" t="n">
        <v>0</v>
      </c>
      <c r="K21" s="18" t="n">
        <v>0</v>
      </c>
      <c r="L21" s="20" t="n">
        <v>0</v>
      </c>
      <c r="M21" s="18" t="n">
        <v>0</v>
      </c>
      <c r="N21" s="20" t="n">
        <v>0</v>
      </c>
      <c r="O21" s="18" t="n">
        <v>0</v>
      </c>
      <c r="P21" s="20" t="n">
        <v>0</v>
      </c>
      <c r="Q21" s="18" t="n">
        <v>0.68457269</v>
      </c>
      <c r="R21" s="20" t="n">
        <v>0.35176783</v>
      </c>
    </row>
    <row r="22" spans="1:18">
      <c r="A22" s="15" t="s">
        <v>580</v>
      </c>
      <c r="B22" s="17" t="n">
        <v>6598</v>
      </c>
      <c r="C22" s="18">
        <f>(5879.0/B22*100)</f>
        <v/>
      </c>
      <c r="D22" s="19" t="n">
        <v>719</v>
      </c>
      <c r="E22" s="18" t="n">
        <v>67.90042746</v>
      </c>
      <c r="F22" s="20" t="n">
        <v>1.72845668</v>
      </c>
      <c r="G22" s="18" t="n">
        <v>29.19374816</v>
      </c>
      <c r="H22" s="20" t="n">
        <v>1.68104186</v>
      </c>
      <c r="I22" s="18" t="n">
        <v>0</v>
      </c>
      <c r="J22" s="20" t="n">
        <v>0</v>
      </c>
      <c r="K22" s="18" t="n">
        <v>1.30435037</v>
      </c>
      <c r="L22" s="20" t="n">
        <v>0.53746002</v>
      </c>
      <c r="M22" s="18" t="n">
        <v>0</v>
      </c>
      <c r="N22" s="20" t="n">
        <v>0</v>
      </c>
      <c r="O22" s="18" t="n">
        <v>0</v>
      </c>
      <c r="P22" s="20" t="n">
        <v>0</v>
      </c>
      <c r="Q22" s="18" t="n">
        <v>1.60147401</v>
      </c>
      <c r="R22" s="20" t="n">
        <v>0.50950298</v>
      </c>
    </row>
    <row r="23" spans="1:18">
      <c r="A23" s="15" t="s">
        <v>581</v>
      </c>
      <c r="B23" s="17" t="n">
        <v>11583</v>
      </c>
      <c r="C23" s="18">
        <f>(10305.0/B23*100)</f>
        <v/>
      </c>
      <c r="D23" s="19" t="n">
        <v>1278</v>
      </c>
      <c r="E23" s="18" t="n">
        <v>55.4231498</v>
      </c>
      <c r="F23" s="20" t="n">
        <v>2.03262681</v>
      </c>
      <c r="G23" s="18" t="n">
        <v>43.35474388</v>
      </c>
      <c r="H23" s="20" t="n">
        <v>1.95669801</v>
      </c>
      <c r="I23" s="18" t="n">
        <v>0</v>
      </c>
      <c r="J23" s="20" t="n">
        <v>0</v>
      </c>
      <c r="K23" s="18" t="n">
        <v>0</v>
      </c>
      <c r="L23" s="20" t="n">
        <v>0</v>
      </c>
      <c r="M23" s="18" t="n">
        <v>0</v>
      </c>
      <c r="N23" s="20" t="n">
        <v>0</v>
      </c>
      <c r="O23" s="18" t="n">
        <v>0</v>
      </c>
      <c r="P23" s="20" t="n">
        <v>0</v>
      </c>
      <c r="Q23" s="18" t="n">
        <v>1.22210632</v>
      </c>
      <c r="R23" s="20" t="n">
        <v>0.51220679</v>
      </c>
    </row>
    <row r="24" spans="1:18">
      <c r="A24" s="15" t="s">
        <v>582</v>
      </c>
      <c r="B24" s="17" t="n">
        <v>6647</v>
      </c>
      <c r="C24" s="18">
        <f>(5914.0/B24*100)</f>
        <v/>
      </c>
      <c r="D24" s="19" t="n">
        <v>733</v>
      </c>
      <c r="E24" s="18" t="n">
        <v>59.45753535</v>
      </c>
      <c r="F24" s="20" t="n">
        <v>2.12680358</v>
      </c>
      <c r="G24" s="18" t="n">
        <v>39.82228928</v>
      </c>
      <c r="H24" s="20" t="n">
        <v>2.07980556</v>
      </c>
      <c r="I24" s="18" t="n">
        <v>0</v>
      </c>
      <c r="J24" s="20" t="n">
        <v>0</v>
      </c>
      <c r="K24" s="18" t="n">
        <v>0</v>
      </c>
      <c r="L24" s="20" t="n">
        <v>0</v>
      </c>
      <c r="M24" s="18" t="n">
        <v>0</v>
      </c>
      <c r="N24" s="20" t="n">
        <v>0</v>
      </c>
      <c r="O24" s="18" t="n">
        <v>0</v>
      </c>
      <c r="P24" s="20" t="n">
        <v>0</v>
      </c>
      <c r="Q24" s="18" t="n">
        <v>0.72017537</v>
      </c>
      <c r="R24" s="20" t="n">
        <v>0.31736696</v>
      </c>
    </row>
    <row r="25" spans="1:18">
      <c r="A25" s="15" t="s">
        <v>583</v>
      </c>
      <c r="B25" s="17" t="n">
        <v>5581</v>
      </c>
      <c r="C25" s="18">
        <f>(4964.0/B25*100)</f>
        <v/>
      </c>
      <c r="D25" s="19" t="n">
        <v>617</v>
      </c>
      <c r="E25" s="18" t="n">
        <v>39.79989423</v>
      </c>
      <c r="F25" s="20" t="n">
        <v>2.3778644</v>
      </c>
      <c r="G25" s="18" t="n">
        <v>59.13289759</v>
      </c>
      <c r="H25" s="20" t="n">
        <v>2.47235973</v>
      </c>
      <c r="I25" s="18" t="n">
        <v>0</v>
      </c>
      <c r="J25" s="20" t="n">
        <v>0</v>
      </c>
      <c r="K25" s="18" t="n">
        <v>0.15996681</v>
      </c>
      <c r="L25" s="20" t="n">
        <v>0.16045228</v>
      </c>
      <c r="M25" s="18" t="n">
        <v>0</v>
      </c>
      <c r="N25" s="20" t="n">
        <v>0</v>
      </c>
      <c r="O25" s="18" t="n">
        <v>0</v>
      </c>
      <c r="P25" s="20" t="n">
        <v>0</v>
      </c>
      <c r="Q25" s="18" t="n">
        <v>0.90724136</v>
      </c>
      <c r="R25" s="20" t="n">
        <v>0.37548515</v>
      </c>
    </row>
    <row r="26" spans="1:18">
      <c r="A26" s="15" t="s">
        <v>584</v>
      </c>
      <c r="B26" s="17" t="n">
        <v>4869</v>
      </c>
      <c r="C26" s="18">
        <f>(4322.0/B26*100)</f>
        <v/>
      </c>
      <c r="D26" s="19" t="n">
        <v>547</v>
      </c>
      <c r="E26" s="18" t="n">
        <v>51.71214201</v>
      </c>
      <c r="F26" s="20" t="n">
        <v>2.19115692</v>
      </c>
      <c r="G26" s="18" t="n">
        <v>48.28785799</v>
      </c>
      <c r="H26" s="20" t="n">
        <v>2.19115692</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(4703.0/B27*100)</f>
        <v/>
      </c>
      <c r="D27" s="19" t="n">
        <v>596</v>
      </c>
      <c r="E27" s="18" t="n">
        <v>59.0251115</v>
      </c>
      <c r="F27" s="20" t="n">
        <v>2.06966017</v>
      </c>
      <c r="G27" s="18" t="n">
        <v>39.08894126</v>
      </c>
      <c r="H27" s="20" t="n">
        <v>1.96878542</v>
      </c>
      <c r="I27" s="18" t="n">
        <v>0</v>
      </c>
      <c r="J27" s="20" t="n">
        <v>0</v>
      </c>
      <c r="K27" s="18" t="n">
        <v>0.17820107</v>
      </c>
      <c r="L27" s="20" t="n">
        <v>0.17853054</v>
      </c>
      <c r="M27" s="18" t="n">
        <v>0</v>
      </c>
      <c r="N27" s="20" t="n">
        <v>0</v>
      </c>
      <c r="O27" s="18" t="n">
        <v>0</v>
      </c>
      <c r="P27" s="20" t="n">
        <v>0</v>
      </c>
      <c r="Q27" s="18" t="n">
        <v>1.70774618</v>
      </c>
      <c r="R27" s="20" t="n">
        <v>0.58107031</v>
      </c>
    </row>
    <row r="28" spans="1:18">
      <c r="A28" s="15" t="s">
        <v>586</v>
      </c>
      <c r="B28" s="17" t="n">
        <v>7568</v>
      </c>
      <c r="C28" s="18">
        <f>(6763.0/B28*100)</f>
        <v/>
      </c>
      <c r="D28" s="19" t="n">
        <v>805</v>
      </c>
      <c r="E28" s="18" t="n">
        <v>71.86980258</v>
      </c>
      <c r="F28" s="20" t="n">
        <v>1.70855806</v>
      </c>
      <c r="G28" s="18" t="n">
        <v>26.69067127</v>
      </c>
      <c r="H28" s="20" t="n">
        <v>1.71368087</v>
      </c>
      <c r="I28" s="18" t="n">
        <v>0</v>
      </c>
      <c r="J28" s="20" t="n">
        <v>0</v>
      </c>
      <c r="K28" s="18" t="n">
        <v>0.2177107</v>
      </c>
      <c r="L28" s="20" t="n">
        <v>0.21467554</v>
      </c>
      <c r="M28" s="18" t="n">
        <v>0</v>
      </c>
      <c r="N28" s="20" t="n">
        <v>0</v>
      </c>
      <c r="O28" s="18" t="n">
        <v>0</v>
      </c>
      <c r="P28" s="20" t="n">
        <v>0</v>
      </c>
      <c r="Q28" s="18" t="n">
        <v>1.22181545</v>
      </c>
      <c r="R28" s="20" t="n">
        <v>0.35586445</v>
      </c>
    </row>
    <row r="29" spans="1:18">
      <c r="A29" s="15" t="s">
        <v>587</v>
      </c>
      <c r="B29" s="17" t="n">
        <v>5385</v>
      </c>
      <c r="C29" s="18">
        <f>(4803.0/B29*100)</f>
        <v/>
      </c>
      <c r="D29" s="19" t="n">
        <v>582</v>
      </c>
      <c r="E29" s="18" t="n">
        <v>64.01521133999999</v>
      </c>
      <c r="F29" s="20" t="n">
        <v>2.08816279</v>
      </c>
      <c r="G29" s="18" t="n">
        <v>34.89531923</v>
      </c>
      <c r="H29" s="20" t="n">
        <v>1.97381645</v>
      </c>
      <c r="I29" s="18" t="n">
        <v>0</v>
      </c>
      <c r="J29" s="20" t="n">
        <v>0</v>
      </c>
      <c r="K29" s="18" t="n">
        <v>0.17696287</v>
      </c>
      <c r="L29" s="20" t="n">
        <v>0.17544565</v>
      </c>
      <c r="M29" s="18" t="n">
        <v>0</v>
      </c>
      <c r="N29" s="20" t="n">
        <v>0</v>
      </c>
      <c r="O29" s="18" t="n">
        <v>0</v>
      </c>
      <c r="P29" s="20" t="n">
        <v>0</v>
      </c>
      <c r="Q29" s="18" t="n">
        <v>0.91250655</v>
      </c>
      <c r="R29" s="20" t="n">
        <v>0.41874558</v>
      </c>
    </row>
    <row r="30" spans="1:18">
      <c r="A30" s="15" t="s">
        <v>588</v>
      </c>
      <c r="B30" s="17" t="n">
        <v>4520</v>
      </c>
      <c r="C30" s="18">
        <f>(4002.0/B30*100)</f>
        <v/>
      </c>
      <c r="D30" s="19" t="n">
        <v>518</v>
      </c>
      <c r="E30" s="18" t="n">
        <v>66.06318988</v>
      </c>
      <c r="F30" s="20" t="n">
        <v>1.92445076</v>
      </c>
      <c r="G30" s="18" t="n">
        <v>32.67503484</v>
      </c>
      <c r="H30" s="20" t="n">
        <v>1.8703247</v>
      </c>
      <c r="I30" s="18" t="n">
        <v>0</v>
      </c>
      <c r="J30" s="20" t="n">
        <v>0</v>
      </c>
      <c r="K30" s="18" t="n">
        <v>0.18819691</v>
      </c>
      <c r="L30" s="20" t="n">
        <v>0.18220358</v>
      </c>
      <c r="M30" s="18" t="n">
        <v>0</v>
      </c>
      <c r="N30" s="20" t="n">
        <v>0</v>
      </c>
      <c r="O30" s="18" t="n">
        <v>0</v>
      </c>
      <c r="P30" s="20" t="n">
        <v>0</v>
      </c>
      <c r="Q30" s="18" t="n">
        <v>1.07357838</v>
      </c>
      <c r="R30" s="20" t="n">
        <v>0.49819812</v>
      </c>
    </row>
    <row r="31" spans="1:18">
      <c r="A31" s="15" t="s">
        <v>589</v>
      </c>
      <c r="B31" s="17" t="n">
        <v>5456</v>
      </c>
      <c r="C31" s="18">
        <f>(4853.0/B31*100)</f>
        <v/>
      </c>
      <c r="D31" s="19" t="n">
        <v>603</v>
      </c>
      <c r="E31" s="18" t="n">
        <v>46.33646874</v>
      </c>
      <c r="F31" s="20" t="n">
        <v>2.18039282</v>
      </c>
      <c r="G31" s="18" t="n">
        <v>52.04022526</v>
      </c>
      <c r="H31" s="20" t="n">
        <v>2.11693572</v>
      </c>
      <c r="I31" s="18" t="n">
        <v>0</v>
      </c>
      <c r="J31" s="20" t="n">
        <v>0</v>
      </c>
      <c r="K31" s="18" t="n">
        <v>0.14007587</v>
      </c>
      <c r="L31" s="20" t="n">
        <v>0.13981386</v>
      </c>
      <c r="M31" s="18" t="n">
        <v>0</v>
      </c>
      <c r="N31" s="20" t="n">
        <v>0</v>
      </c>
      <c r="O31" s="18" t="n">
        <v>0</v>
      </c>
      <c r="P31" s="20" t="n">
        <v>0</v>
      </c>
      <c r="Q31" s="18" t="n">
        <v>1.48323014</v>
      </c>
      <c r="R31" s="20" t="n">
        <v>0.51263562</v>
      </c>
    </row>
    <row r="32" spans="1:18">
      <c r="A32" s="15" t="s">
        <v>590</v>
      </c>
      <c r="B32" s="17" t="n">
        <v>4478</v>
      </c>
      <c r="C32" s="18">
        <f>(3985.0/B32*100)</f>
        <v/>
      </c>
      <c r="D32" s="19" t="n">
        <v>493</v>
      </c>
      <c r="E32" s="18" t="n">
        <v>56.56212615</v>
      </c>
      <c r="F32" s="20" t="n">
        <v>2.44040207</v>
      </c>
      <c r="G32" s="18" t="n">
        <v>42.76555989</v>
      </c>
      <c r="H32" s="20" t="n">
        <v>2.43440073</v>
      </c>
      <c r="I32" s="18" t="n">
        <v>0</v>
      </c>
      <c r="J32" s="20" t="n">
        <v>0</v>
      </c>
      <c r="K32" s="18" t="n">
        <v>0.17871208</v>
      </c>
      <c r="L32" s="20" t="n">
        <v>0.17489073</v>
      </c>
      <c r="M32" s="18" t="n">
        <v>0</v>
      </c>
      <c r="N32" s="20" t="n">
        <v>0</v>
      </c>
      <c r="O32" s="18" t="n">
        <v>0</v>
      </c>
      <c r="P32" s="20" t="n">
        <v>0</v>
      </c>
      <c r="Q32" s="18" t="n">
        <v>0.49360189</v>
      </c>
      <c r="R32" s="20" t="n">
        <v>0.36761274</v>
      </c>
    </row>
    <row r="33" spans="1:18">
      <c r="A33" s="15" t="s">
        <v>591</v>
      </c>
      <c r="B33" s="17" t="n">
        <v>7325</v>
      </c>
      <c r="C33" s="18">
        <f>(6523.0/B33*100)</f>
        <v/>
      </c>
      <c r="D33" s="19" t="n">
        <v>802</v>
      </c>
      <c r="E33" s="18" t="n">
        <v>58.77558202</v>
      </c>
      <c r="F33" s="20" t="n">
        <v>2.01719341</v>
      </c>
      <c r="G33" s="18" t="n">
        <v>40.11243973</v>
      </c>
      <c r="H33" s="20" t="n">
        <v>2.16159783</v>
      </c>
      <c r="I33" s="18" t="n">
        <v>0</v>
      </c>
      <c r="J33" s="20" t="n">
        <v>0</v>
      </c>
      <c r="K33" s="18" t="n">
        <v>0</v>
      </c>
      <c r="L33" s="20" t="n">
        <v>0</v>
      </c>
      <c r="M33" s="18" t="n">
        <v>0</v>
      </c>
      <c r="N33" s="20" t="n">
        <v>0</v>
      </c>
      <c r="O33" s="18" t="n">
        <v>0</v>
      </c>
      <c r="P33" s="20" t="n">
        <v>0</v>
      </c>
      <c r="Q33" s="18" t="n">
        <v>1.11197824</v>
      </c>
      <c r="R33" s="20" t="n">
        <v>0.5114889500000001</v>
      </c>
    </row>
    <row r="34" spans="1:18">
      <c r="A34" s="15" t="s">
        <v>592</v>
      </c>
      <c r="B34" s="17" t="n">
        <v>6350</v>
      </c>
      <c r="C34" s="18">
        <f>(5696.0/B34*100)</f>
        <v/>
      </c>
      <c r="D34" s="19" t="n">
        <v>654</v>
      </c>
      <c r="E34" s="18" t="n">
        <v>69.20760559</v>
      </c>
      <c r="F34" s="20" t="n">
        <v>2.0387435</v>
      </c>
      <c r="G34" s="18" t="n">
        <v>30.51574243</v>
      </c>
      <c r="H34" s="20" t="n">
        <v>2.02424687</v>
      </c>
      <c r="I34" s="18" t="n">
        <v>0</v>
      </c>
      <c r="J34" s="20" t="n">
        <v>0</v>
      </c>
      <c r="K34" s="18" t="n">
        <v>0</v>
      </c>
      <c r="L34" s="20" t="n">
        <v>0</v>
      </c>
      <c r="M34" s="18" t="n">
        <v>0</v>
      </c>
      <c r="N34" s="20" t="n">
        <v>0</v>
      </c>
      <c r="O34" s="18" t="n">
        <v>0</v>
      </c>
      <c r="P34" s="20" t="n">
        <v>0</v>
      </c>
      <c r="Q34" s="18" t="n">
        <v>0.27665198</v>
      </c>
      <c r="R34" s="20" t="n">
        <v>0.19261192</v>
      </c>
    </row>
    <row r="35" spans="1:18">
      <c r="A35" s="15" t="s">
        <v>593</v>
      </c>
      <c r="B35" s="17" t="n">
        <v>6406</v>
      </c>
      <c r="C35" s="18">
        <f>(5712.0/B35*100)</f>
        <v/>
      </c>
      <c r="D35" s="19" t="n">
        <v>694</v>
      </c>
      <c r="E35" s="18" t="n">
        <v>57.28985519</v>
      </c>
      <c r="F35" s="20" t="n">
        <v>2.52327712</v>
      </c>
      <c r="G35" s="18" t="n">
        <v>41.54317604</v>
      </c>
      <c r="H35" s="20" t="n">
        <v>2.45256407</v>
      </c>
      <c r="I35" s="18" t="n">
        <v>0</v>
      </c>
      <c r="J35" s="20" t="n">
        <v>0</v>
      </c>
      <c r="K35" s="18" t="n">
        <v>0</v>
      </c>
      <c r="L35" s="20" t="n">
        <v>0</v>
      </c>
      <c r="M35" s="18" t="n">
        <v>0</v>
      </c>
      <c r="N35" s="20" t="n">
        <v>0</v>
      </c>
      <c r="O35" s="18" t="n">
        <v>0</v>
      </c>
      <c r="P35" s="20" t="n">
        <v>0</v>
      </c>
      <c r="Q35" s="18" t="n">
        <v>1.16696877</v>
      </c>
      <c r="R35" s="20" t="n">
        <v>0.49288513</v>
      </c>
    </row>
    <row r="36" spans="1:18">
      <c r="A36" s="15" t="s">
        <v>594</v>
      </c>
      <c r="B36" s="17" t="n">
        <v>6736</v>
      </c>
      <c r="C36" s="18">
        <f>(5971.0/B36*100)</f>
        <v/>
      </c>
      <c r="D36" s="19" t="n">
        <v>765</v>
      </c>
      <c r="E36" s="18" t="n">
        <v>62.69958436</v>
      </c>
      <c r="F36" s="20" t="n">
        <v>1.55288672</v>
      </c>
      <c r="G36" s="18" t="n">
        <v>35.70481522</v>
      </c>
      <c r="H36" s="20" t="n">
        <v>1.58000285</v>
      </c>
      <c r="I36" s="18" t="n">
        <v>0</v>
      </c>
      <c r="J36" s="20" t="n">
        <v>0</v>
      </c>
      <c r="K36" s="18" t="n">
        <v>0.07547753</v>
      </c>
      <c r="L36" s="20" t="n">
        <v>0.06990515999999999</v>
      </c>
      <c r="M36" s="18" t="n">
        <v>0</v>
      </c>
      <c r="N36" s="20" t="n">
        <v>0</v>
      </c>
      <c r="O36" s="18" t="n">
        <v>0</v>
      </c>
      <c r="P36" s="20" t="n">
        <v>0</v>
      </c>
      <c r="Q36" s="18" t="n">
        <v>1.52012289</v>
      </c>
      <c r="R36" s="20" t="n">
        <v>0.4157208</v>
      </c>
    </row>
    <row r="37" spans="1:18">
      <c r="A37" s="15" t="s">
        <v>595</v>
      </c>
      <c r="B37" s="17" t="n">
        <v>5458</v>
      </c>
      <c r="C37" s="18">
        <f>(4860.0/B37*100)</f>
        <v/>
      </c>
      <c r="D37" s="19" t="n">
        <v>598</v>
      </c>
      <c r="E37" s="18" t="n">
        <v>56.93941927</v>
      </c>
      <c r="F37" s="20" t="n">
        <v>2.01733372</v>
      </c>
      <c r="G37" s="18" t="n">
        <v>41.4905241</v>
      </c>
      <c r="H37" s="20" t="n">
        <v>2.02257638</v>
      </c>
      <c r="I37" s="18" t="n">
        <v>0</v>
      </c>
      <c r="J37" s="20" t="n">
        <v>0</v>
      </c>
      <c r="K37" s="18" t="n">
        <v>0.18766562</v>
      </c>
      <c r="L37" s="20" t="n">
        <v>0.18498784</v>
      </c>
      <c r="M37" s="18" t="n">
        <v>0</v>
      </c>
      <c r="N37" s="20" t="n">
        <v>0</v>
      </c>
      <c r="O37" s="18" t="n">
        <v>0</v>
      </c>
      <c r="P37" s="20" t="n">
        <v>0</v>
      </c>
      <c r="Q37" s="18" t="n">
        <v>1.38239102</v>
      </c>
      <c r="R37" s="20" t="n">
        <v>0.46784192</v>
      </c>
    </row>
    <row r="38" spans="1:18">
      <c r="A38" s="15" t="s">
        <v>596</v>
      </c>
      <c r="B38" s="17" t="n">
        <v>5860</v>
      </c>
      <c r="C38" s="18">
        <f>(5234.0/B38*100)</f>
        <v/>
      </c>
      <c r="D38" s="19" t="n">
        <v>626</v>
      </c>
      <c r="E38" s="18" t="n">
        <v>51.9348663</v>
      </c>
      <c r="F38" s="20" t="n">
        <v>2.42328362</v>
      </c>
      <c r="G38" s="18" t="n">
        <v>47.01338319</v>
      </c>
      <c r="H38" s="20" t="n">
        <v>2.42358434</v>
      </c>
      <c r="I38" s="18" t="n">
        <v>0</v>
      </c>
      <c r="J38" s="20" t="n">
        <v>0</v>
      </c>
      <c r="K38" s="18" t="n">
        <v>0.27657872</v>
      </c>
      <c r="L38" s="20" t="n">
        <v>0.24214133</v>
      </c>
      <c r="M38" s="18" t="n">
        <v>0</v>
      </c>
      <c r="N38" s="20" t="n">
        <v>0</v>
      </c>
      <c r="O38" s="18" t="n">
        <v>0</v>
      </c>
      <c r="P38" s="20" t="n">
        <v>0</v>
      </c>
      <c r="Q38" s="18" t="n">
        <v>0.77517179</v>
      </c>
      <c r="R38" s="20" t="n">
        <v>0.33377141</v>
      </c>
    </row>
    <row r="39" spans="1:18">
      <c r="A39" s="15" t="s">
        <v>597</v>
      </c>
      <c r="B39" s="17" t="n">
        <v>5895</v>
      </c>
      <c r="C39" s="18">
        <f>(5241.0/B39*100)</f>
        <v/>
      </c>
      <c r="D39" s="19" t="n">
        <v>654</v>
      </c>
      <c r="E39" s="18" t="n">
        <v>80.1123642</v>
      </c>
      <c r="F39" s="20" t="n">
        <v>1.31890132</v>
      </c>
      <c r="G39" s="18" t="n">
        <v>18.73700635</v>
      </c>
      <c r="H39" s="20" t="n">
        <v>1.36765723</v>
      </c>
      <c r="I39" s="18" t="n">
        <v>0</v>
      </c>
      <c r="J39" s="20" t="n">
        <v>0</v>
      </c>
      <c r="K39" s="18" t="n">
        <v>0.10849353</v>
      </c>
      <c r="L39" s="20" t="n">
        <v>0.11171036</v>
      </c>
      <c r="M39" s="18" t="n">
        <v>0</v>
      </c>
      <c r="N39" s="20" t="n">
        <v>0</v>
      </c>
      <c r="O39" s="18" t="n">
        <v>0</v>
      </c>
      <c r="P39" s="20" t="n">
        <v>0</v>
      </c>
      <c r="Q39" s="18" t="n">
        <v>1.04213592</v>
      </c>
      <c r="R39" s="20" t="n">
        <v>0.48904595</v>
      </c>
    </row>
    <row r="40" spans="1:18">
      <c r="A40" s="15" t="s">
        <v>598</v>
      </c>
      <c r="B40" s="17" t="n">
        <v>14157</v>
      </c>
      <c r="C40" s="18">
        <f>(12514.0/B40*100)</f>
        <v/>
      </c>
      <c r="D40" s="19" t="n">
        <v>1643</v>
      </c>
      <c r="E40" s="18" t="n">
        <v>74.94999946999999</v>
      </c>
      <c r="F40" s="20" t="n">
        <v>1.39360828</v>
      </c>
      <c r="G40" s="18" t="n">
        <v>23.54934516</v>
      </c>
      <c r="H40" s="20" t="n">
        <v>1.32902157</v>
      </c>
      <c r="I40" s="18" t="n">
        <v>0</v>
      </c>
      <c r="J40" s="20" t="n">
        <v>0</v>
      </c>
      <c r="K40" s="18" t="n">
        <v>0.04902167</v>
      </c>
      <c r="L40" s="20" t="n">
        <v>0.03241136</v>
      </c>
      <c r="M40" s="18" t="n">
        <v>0</v>
      </c>
      <c r="N40" s="20" t="n">
        <v>0</v>
      </c>
      <c r="O40" s="18" t="n">
        <v>0</v>
      </c>
      <c r="P40" s="20" t="n">
        <v>0</v>
      </c>
      <c r="Q40" s="18" t="n">
        <v>1.4516337</v>
      </c>
      <c r="R40" s="20" t="n">
        <v>0.44557287</v>
      </c>
    </row>
    <row r="41" spans="1:18">
      <c r="A41" s="15" t="s">
        <v>599</v>
      </c>
      <c r="B41" s="17" t="n">
        <v>5712</v>
      </c>
      <c r="C41" s="18">
        <f>(5098.0/B41*100)</f>
        <v/>
      </c>
      <c r="D41" s="19" t="n">
        <v>614</v>
      </c>
      <c r="E41" s="18" t="n">
        <v>71.6926888</v>
      </c>
      <c r="F41" s="20" t="n">
        <v>1.74766274</v>
      </c>
      <c r="G41" s="18" t="n">
        <v>27.45219692</v>
      </c>
      <c r="H41" s="20" t="n">
        <v>1.72144508</v>
      </c>
      <c r="I41" s="18" t="n">
        <v>0</v>
      </c>
      <c r="J41" s="20" t="n">
        <v>0</v>
      </c>
      <c r="K41" s="18" t="n">
        <v>0</v>
      </c>
      <c r="L41" s="20" t="n">
        <v>0</v>
      </c>
      <c r="M41" s="18" t="n">
        <v>0</v>
      </c>
      <c r="N41" s="20" t="n">
        <v>0</v>
      </c>
      <c r="O41" s="18" t="n">
        <v>0</v>
      </c>
      <c r="P41" s="20" t="n">
        <v>0</v>
      </c>
      <c r="Q41" s="18" t="n">
        <v>0.85511428</v>
      </c>
      <c r="R41" s="20" t="n">
        <v>0.34022821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(20926.0/B46*100)</f>
        <v/>
      </c>
      <c r="D46" s="19" t="n">
        <v>2215</v>
      </c>
      <c r="E46" s="18" t="n">
        <v>71.97182339</v>
      </c>
      <c r="F46" s="20" t="n">
        <v>1.42406709</v>
      </c>
      <c r="G46" s="18" t="n">
        <v>25.09272785</v>
      </c>
      <c r="H46" s="20" t="n">
        <v>1.33871984</v>
      </c>
      <c r="I46" s="18" t="n">
        <v>0</v>
      </c>
      <c r="J46" s="20" t="n">
        <v>0</v>
      </c>
      <c r="K46" s="18" t="n">
        <v>0.59803301</v>
      </c>
      <c r="L46" s="20" t="n">
        <v>0.19480293</v>
      </c>
      <c r="M46" s="18" t="n">
        <v>0</v>
      </c>
      <c r="N46" s="20" t="n">
        <v>0</v>
      </c>
      <c r="O46" s="18" t="n">
        <v>0</v>
      </c>
      <c r="P46" s="20" t="n">
        <v>0</v>
      </c>
      <c r="Q46" s="18" t="n">
        <v>2.33741575</v>
      </c>
      <c r="R46" s="20" t="n">
        <v>0.37975921</v>
      </c>
    </row>
    <row r="47" spans="1:18">
      <c r="A47" s="15" t="s">
        <v>606</v>
      </c>
      <c r="B47" s="17" t="n">
        <v>5928</v>
      </c>
      <c r="C47" s="18">
        <f>(5293.0/B47*100)</f>
        <v/>
      </c>
      <c r="D47" s="19" t="n">
        <v>635</v>
      </c>
      <c r="E47" s="18" t="n">
        <v>58.40525584</v>
      </c>
      <c r="F47" s="20" t="n">
        <v>1.72380535</v>
      </c>
      <c r="G47" s="18" t="n">
        <v>40.49617175</v>
      </c>
      <c r="H47" s="20" t="n">
        <v>1.72323919</v>
      </c>
      <c r="I47" s="18" t="n">
        <v>0</v>
      </c>
      <c r="J47" s="20" t="n">
        <v>0</v>
      </c>
      <c r="K47" s="18" t="n">
        <v>0</v>
      </c>
      <c r="L47" s="20" t="n">
        <v>0</v>
      </c>
      <c r="M47" s="18" t="n">
        <v>0</v>
      </c>
      <c r="N47" s="20" t="n">
        <v>0</v>
      </c>
      <c r="O47" s="18" t="n">
        <v>0</v>
      </c>
      <c r="P47" s="20" t="n">
        <v>0</v>
      </c>
      <c r="Q47" s="18" t="n">
        <v>1.09857241</v>
      </c>
      <c r="R47" s="20" t="n">
        <v>0.40224994</v>
      </c>
    </row>
    <row r="48" spans="1:18">
      <c r="A48" s="15" t="s">
        <v>607</v>
      </c>
      <c r="B48" s="17" t="n">
        <v>9841</v>
      </c>
      <c r="C48" s="18">
        <f>(8764.0/B48*100)</f>
        <v/>
      </c>
      <c r="D48" s="19" t="n">
        <v>1077</v>
      </c>
      <c r="E48" s="18" t="n">
        <v>43.12755031</v>
      </c>
      <c r="F48" s="20" t="n">
        <v>2.10697712</v>
      </c>
      <c r="G48" s="18" t="n">
        <v>55.73130214</v>
      </c>
      <c r="H48" s="20" t="n">
        <v>2.07730174</v>
      </c>
      <c r="I48" s="18" t="n">
        <v>0</v>
      </c>
      <c r="J48" s="20" t="n">
        <v>0</v>
      </c>
      <c r="K48" s="18" t="n">
        <v>0.62334667</v>
      </c>
      <c r="L48" s="20" t="n">
        <v>0.392842</v>
      </c>
      <c r="M48" s="18" t="n">
        <v>0</v>
      </c>
      <c r="N48" s="20" t="n">
        <v>0</v>
      </c>
      <c r="O48" s="18" t="n">
        <v>0</v>
      </c>
      <c r="P48" s="20" t="n">
        <v>0</v>
      </c>
      <c r="Q48" s="18" t="n">
        <v>0.51780088</v>
      </c>
      <c r="R48" s="20" t="n">
        <v>0.27709722</v>
      </c>
    </row>
    <row r="49" spans="1:18">
      <c r="A49" s="15" t="s">
        <v>608</v>
      </c>
      <c r="B49" s="17" t="n">
        <v>11795</v>
      </c>
      <c r="C49" s="18">
        <f>(10529.0/B49*100)</f>
        <v/>
      </c>
      <c r="D49" s="19" t="n">
        <v>1266</v>
      </c>
      <c r="E49" s="18" t="n">
        <v>75.01310905</v>
      </c>
      <c r="F49" s="20" t="n">
        <v>1.77597778</v>
      </c>
      <c r="G49" s="18" t="n">
        <v>22.94945135</v>
      </c>
      <c r="H49" s="20" t="n">
        <v>1.62995523</v>
      </c>
      <c r="I49" s="18" t="n">
        <v>0</v>
      </c>
      <c r="J49" s="20" t="n">
        <v>0</v>
      </c>
      <c r="K49" s="18" t="n">
        <v>1.35621247</v>
      </c>
      <c r="L49" s="20" t="n">
        <v>0.58546477</v>
      </c>
      <c r="M49" s="18" t="n">
        <v>0</v>
      </c>
      <c r="N49" s="20" t="n">
        <v>0</v>
      </c>
      <c r="O49" s="18" t="n">
        <v>0</v>
      </c>
      <c r="P49" s="20" t="n">
        <v>0</v>
      </c>
      <c r="Q49" s="18" t="n">
        <v>0.68122713</v>
      </c>
      <c r="R49" s="20" t="n">
        <v>0.23099305</v>
      </c>
    </row>
    <row r="50" spans="1:18">
      <c r="A50" s="15" t="s">
        <v>609</v>
      </c>
      <c r="B50" s="17" t="n">
        <v>6866</v>
      </c>
      <c r="C50" s="18">
        <f>(6183.0/B50*100)</f>
        <v/>
      </c>
      <c r="D50" s="19" t="n">
        <v>683</v>
      </c>
      <c r="E50" s="18" t="n">
        <v>69.71801994</v>
      </c>
      <c r="F50" s="20" t="n">
        <v>1.79661284</v>
      </c>
      <c r="G50" s="18" t="n">
        <v>29.28056776</v>
      </c>
      <c r="H50" s="20" t="n">
        <v>1.70760603</v>
      </c>
      <c r="I50" s="18" t="n">
        <v>0</v>
      </c>
      <c r="J50" s="20" t="n">
        <v>0</v>
      </c>
      <c r="K50" s="18" t="n">
        <v>0.36426688</v>
      </c>
      <c r="L50" s="20" t="n">
        <v>0.31578718</v>
      </c>
      <c r="M50" s="18" t="n">
        <v>0</v>
      </c>
      <c r="N50" s="20" t="n">
        <v>0</v>
      </c>
      <c r="O50" s="18" t="n">
        <v>0</v>
      </c>
      <c r="P50" s="20" t="n">
        <v>0</v>
      </c>
      <c r="Q50" s="18" t="n">
        <v>0.63714543</v>
      </c>
      <c r="R50" s="20" t="n">
        <v>0.31716238</v>
      </c>
    </row>
    <row r="51" spans="1:18">
      <c r="A51" s="15" t="s">
        <v>610</v>
      </c>
      <c r="B51" s="17" t="n">
        <v>5809</v>
      </c>
      <c r="C51" s="18">
        <f>(5197.0/B51*100)</f>
        <v/>
      </c>
      <c r="D51" s="19" t="n">
        <v>612</v>
      </c>
      <c r="E51" s="18" t="n">
        <v>66.45919649</v>
      </c>
      <c r="F51" s="20" t="n">
        <v>1.75656402</v>
      </c>
      <c r="G51" s="18" t="n">
        <v>33.37962779</v>
      </c>
      <c r="H51" s="20" t="n">
        <v>1.77919941</v>
      </c>
      <c r="I51" s="18" t="n">
        <v>0</v>
      </c>
      <c r="J51" s="20" t="n">
        <v>0</v>
      </c>
      <c r="K51" s="18" t="n">
        <v>0</v>
      </c>
      <c r="L51" s="20" t="n">
        <v>0</v>
      </c>
      <c r="M51" s="18" t="n">
        <v>0</v>
      </c>
      <c r="N51" s="20" t="n">
        <v>0</v>
      </c>
      <c r="O51" s="18" t="n">
        <v>0</v>
      </c>
      <c r="P51" s="20" t="n">
        <v>0</v>
      </c>
      <c r="Q51" s="18" t="n">
        <v>0.16117573</v>
      </c>
      <c r="R51" s="20" t="n">
        <v>0.16146745</v>
      </c>
    </row>
    <row r="52" spans="1:18">
      <c r="A52" s="15" t="s">
        <v>611</v>
      </c>
      <c r="B52" s="17" t="n">
        <v>5571</v>
      </c>
      <c r="C52" s="18">
        <f>(4951.0/B52*100)</f>
        <v/>
      </c>
      <c r="D52" s="19" t="n">
        <v>620</v>
      </c>
      <c r="E52" s="18" t="n">
        <v>65.53696662999999</v>
      </c>
      <c r="F52" s="20" t="n">
        <v>2.09703712</v>
      </c>
      <c r="G52" s="18" t="n">
        <v>33.50323758</v>
      </c>
      <c r="H52" s="20" t="n">
        <v>2.08660702</v>
      </c>
      <c r="I52" s="18" t="n">
        <v>0</v>
      </c>
      <c r="J52" s="20" t="n">
        <v>0</v>
      </c>
      <c r="K52" s="18" t="n">
        <v>0.10703069</v>
      </c>
      <c r="L52" s="20" t="n">
        <v>0.10805786</v>
      </c>
      <c r="M52" s="18" t="n">
        <v>0</v>
      </c>
      <c r="N52" s="20" t="n">
        <v>0</v>
      </c>
      <c r="O52" s="18" t="n">
        <v>0</v>
      </c>
      <c r="P52" s="20" t="n">
        <v>0</v>
      </c>
      <c r="Q52" s="18" t="n">
        <v>0.8527651000000001</v>
      </c>
      <c r="R52" s="20" t="n">
        <v>0.34687934</v>
      </c>
    </row>
    <row r="53" spans="1:18">
      <c r="A53" s="15" t="s">
        <v>612</v>
      </c>
      <c r="B53" s="17" t="n">
        <v>4740</v>
      </c>
      <c r="C53" s="18">
        <f>(4220.0/B53*100)</f>
        <v/>
      </c>
      <c r="D53" s="19" t="n">
        <v>520</v>
      </c>
      <c r="E53" s="18" t="n">
        <v>72.43915592</v>
      </c>
      <c r="F53" s="20" t="n">
        <v>2.04055855</v>
      </c>
      <c r="G53" s="18" t="n">
        <v>12.91646798</v>
      </c>
      <c r="H53" s="20" t="n">
        <v>1.57653724</v>
      </c>
      <c r="I53" s="18" t="n">
        <v>0</v>
      </c>
      <c r="J53" s="20" t="n">
        <v>0</v>
      </c>
      <c r="K53" s="18" t="n">
        <v>10.2403163</v>
      </c>
      <c r="L53" s="20" t="n">
        <v>1.58729355</v>
      </c>
      <c r="M53" s="18" t="n">
        <v>0</v>
      </c>
      <c r="N53" s="20" t="n">
        <v>0</v>
      </c>
      <c r="O53" s="18" t="n">
        <v>0</v>
      </c>
      <c r="P53" s="20" t="n">
        <v>0</v>
      </c>
      <c r="Q53" s="18" t="n">
        <v>4.40405979</v>
      </c>
      <c r="R53" s="20" t="n">
        <v>0.96430962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(4773.0/B55*100)</f>
        <v/>
      </c>
      <c r="D55" s="19" t="n">
        <v>586</v>
      </c>
      <c r="E55" s="18" t="n">
        <v>56.97877796</v>
      </c>
      <c r="F55" s="20" t="n">
        <v>1.98779756</v>
      </c>
      <c r="G55" s="18" t="n">
        <v>42.36274816</v>
      </c>
      <c r="H55" s="20" t="n">
        <v>1.87687448</v>
      </c>
      <c r="I55" s="18" t="n">
        <v>0</v>
      </c>
      <c r="J55" s="20" t="n">
        <v>0</v>
      </c>
      <c r="K55" s="18" t="n">
        <v>0.32820702</v>
      </c>
      <c r="L55" s="20" t="n">
        <v>0.31553779</v>
      </c>
      <c r="M55" s="18" t="n">
        <v>0</v>
      </c>
      <c r="N55" s="20" t="n">
        <v>0</v>
      </c>
      <c r="O55" s="18" t="n">
        <v>0</v>
      </c>
      <c r="P55" s="20" t="n">
        <v>0</v>
      </c>
      <c r="Q55" s="18" t="n">
        <v>0.33026686</v>
      </c>
      <c r="R55" s="20" t="n">
        <v>0.23433229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(5827.0/B61*100)</f>
        <v/>
      </c>
      <c r="D61" s="19" t="n">
        <v>698</v>
      </c>
      <c r="E61" s="18" t="n">
        <v>48.97111467</v>
      </c>
      <c r="F61" s="20" t="n">
        <v>2.13216901</v>
      </c>
      <c r="G61" s="18" t="n">
        <v>50.22954957</v>
      </c>
      <c r="H61" s="20" t="n">
        <v>2.12990709</v>
      </c>
      <c r="I61" s="18" t="n">
        <v>0</v>
      </c>
      <c r="J61" s="20" t="n">
        <v>0</v>
      </c>
      <c r="K61" s="18" t="n">
        <v>0.19612475</v>
      </c>
      <c r="L61" s="20" t="n">
        <v>0.20523611</v>
      </c>
      <c r="M61" s="18" t="n">
        <v>0</v>
      </c>
      <c r="N61" s="20" t="n">
        <v>0</v>
      </c>
      <c r="O61" s="18" t="n">
        <v>0</v>
      </c>
      <c r="P61" s="20" t="n">
        <v>0</v>
      </c>
      <c r="Q61" s="18" t="n">
        <v>0.60321102</v>
      </c>
      <c r="R61" s="20" t="n">
        <v>0.27971255</v>
      </c>
    </row>
    <row r="62" spans="1:18">
      <c r="A62" s="15" t="s">
        <v>622</v>
      </c>
      <c r="B62" s="17" t="n">
        <v>4476</v>
      </c>
      <c r="C62" s="18">
        <f>(3968.0/B62*100)</f>
        <v/>
      </c>
      <c r="D62" s="19" t="n">
        <v>508</v>
      </c>
      <c r="E62" s="18" t="n">
        <v>61.03016867</v>
      </c>
      <c r="F62" s="20" t="n">
        <v>2.25463464</v>
      </c>
      <c r="G62" s="18" t="n">
        <v>38.77449774</v>
      </c>
      <c r="H62" s="20" t="n">
        <v>2.26697035</v>
      </c>
      <c r="I62" s="18" t="n">
        <v>0</v>
      </c>
      <c r="J62" s="20" t="n">
        <v>0</v>
      </c>
      <c r="K62" s="18" t="n">
        <v>0</v>
      </c>
      <c r="L62" s="20" t="n">
        <v>0</v>
      </c>
      <c r="M62" s="18" t="n">
        <v>0</v>
      </c>
      <c r="N62" s="20" t="n">
        <v>0</v>
      </c>
      <c r="O62" s="18" t="n">
        <v>0</v>
      </c>
      <c r="P62" s="20" t="n">
        <v>0</v>
      </c>
      <c r="Q62" s="18" t="n">
        <v>0.19533359</v>
      </c>
      <c r="R62" s="20" t="n">
        <v>0.19513371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(5075.0/B67*100)</f>
        <v/>
      </c>
      <c r="D67" s="19" t="n">
        <v>590</v>
      </c>
      <c r="E67" s="18" t="n">
        <v>68.86670106</v>
      </c>
      <c r="F67" s="20" t="n">
        <v>2.11308038</v>
      </c>
      <c r="G67" s="18" t="n">
        <v>28.10164364</v>
      </c>
      <c r="H67" s="20" t="n">
        <v>1.91436941</v>
      </c>
      <c r="I67" s="18" t="n">
        <v>0</v>
      </c>
      <c r="J67" s="20" t="n">
        <v>0</v>
      </c>
      <c r="K67" s="18" t="n">
        <v>0.17377293</v>
      </c>
      <c r="L67" s="20" t="n">
        <v>0.17309452</v>
      </c>
      <c r="M67" s="18" t="n">
        <v>0</v>
      </c>
      <c r="N67" s="20" t="n">
        <v>0</v>
      </c>
      <c r="O67" s="18" t="n">
        <v>0</v>
      </c>
      <c r="P67" s="20" t="n">
        <v>0</v>
      </c>
      <c r="Q67" s="18" t="n">
        <v>2.85788238</v>
      </c>
      <c r="R67" s="20" t="n">
        <v>0.7189649</v>
      </c>
    </row>
    <row r="68" spans="1:18">
      <c r="A68" s="15" t="s">
        <v>628</v>
      </c>
      <c r="B68" s="17" t="n">
        <v>6971</v>
      </c>
      <c r="C68" s="18">
        <f>(6264.0/B68*100)</f>
        <v/>
      </c>
      <c r="D68" s="19" t="n">
        <v>707</v>
      </c>
      <c r="E68" s="18" t="n">
        <v>70.15706132</v>
      </c>
      <c r="F68" s="20" t="n">
        <v>1.87342165</v>
      </c>
      <c r="G68" s="18" t="n">
        <v>28.60154541</v>
      </c>
      <c r="H68" s="20" t="n">
        <v>1.81897856</v>
      </c>
      <c r="I68" s="18" t="n">
        <v>0</v>
      </c>
      <c r="J68" s="20" t="n">
        <v>0</v>
      </c>
      <c r="K68" s="18" t="n">
        <v>0.27961799</v>
      </c>
      <c r="L68" s="20" t="n">
        <v>0.20558729</v>
      </c>
      <c r="M68" s="18" t="n">
        <v>0</v>
      </c>
      <c r="N68" s="20" t="n">
        <v>0</v>
      </c>
      <c r="O68" s="18" t="n">
        <v>0</v>
      </c>
      <c r="P68" s="20" t="n">
        <v>0</v>
      </c>
      <c r="Q68" s="18" t="n">
        <v>0.9617752899999999</v>
      </c>
      <c r="R68" s="20" t="n">
        <v>0.37531032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(10748.0/B70*100)</f>
        <v/>
      </c>
      <c r="D70" s="19" t="n">
        <v>1335</v>
      </c>
      <c r="E70" s="18" t="n">
        <v>71.22008735</v>
      </c>
      <c r="F70" s="20" t="n">
        <v>1.14017189</v>
      </c>
      <c r="G70" s="18" t="n">
        <v>23.79062995</v>
      </c>
      <c r="H70" s="20" t="n">
        <v>1.05930347</v>
      </c>
      <c r="I70" s="18" t="n">
        <v>0</v>
      </c>
      <c r="J70" s="20" t="n">
        <v>0</v>
      </c>
      <c r="K70" s="18" t="n">
        <v>1.36711495</v>
      </c>
      <c r="L70" s="20" t="n">
        <v>0.35886718</v>
      </c>
      <c r="M70" s="18" t="n">
        <v>0</v>
      </c>
      <c r="N70" s="20" t="n">
        <v>0</v>
      </c>
      <c r="O70" s="18" t="n">
        <v>0</v>
      </c>
      <c r="P70" s="20" t="n">
        <v>0</v>
      </c>
      <c r="Q70" s="18" t="n">
        <v>3.62216776</v>
      </c>
      <c r="R70" s="20" t="n">
        <v>0.49321125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(5405.0/B72*100)</f>
        <v/>
      </c>
      <c r="D72" s="19" t="n">
        <v>631</v>
      </c>
      <c r="E72" s="18" t="n">
        <v>45.14295764</v>
      </c>
      <c r="F72" s="20" t="n">
        <v>2.05923208</v>
      </c>
      <c r="G72" s="18" t="n">
        <v>53.71374722</v>
      </c>
      <c r="H72" s="20" t="n">
        <v>2.11518316</v>
      </c>
      <c r="I72" s="18" t="n">
        <v>0</v>
      </c>
      <c r="J72" s="20" t="n">
        <v>0</v>
      </c>
      <c r="K72" s="18" t="n">
        <v>0</v>
      </c>
      <c r="L72" s="20" t="n">
        <v>0</v>
      </c>
      <c r="M72" s="18" t="n">
        <v>0</v>
      </c>
      <c r="N72" s="20" t="n">
        <v>0</v>
      </c>
      <c r="O72" s="18" t="n">
        <v>0</v>
      </c>
      <c r="P72" s="20" t="n">
        <v>0</v>
      </c>
      <c r="Q72" s="18" t="n">
        <v>1.14329514</v>
      </c>
      <c r="R72" s="20" t="n">
        <v>0.50662843</v>
      </c>
    </row>
    <row r="73" spans="1:18">
      <c r="A73" s="15" t="s">
        <v>633</v>
      </c>
      <c r="B73" s="17" t="n">
        <v>6115</v>
      </c>
      <c r="C73" s="18">
        <f>(5427.0/B73*100)</f>
        <v/>
      </c>
      <c r="D73" s="19" t="n">
        <v>688</v>
      </c>
      <c r="E73" s="18" t="n">
        <v>54.94387292</v>
      </c>
      <c r="F73" s="20" t="n">
        <v>2.14426817</v>
      </c>
      <c r="G73" s="18" t="n">
        <v>44.39822661</v>
      </c>
      <c r="H73" s="20" t="n">
        <v>2.12154543</v>
      </c>
      <c r="I73" s="18" t="n">
        <v>0</v>
      </c>
      <c r="J73" s="20" t="n">
        <v>0</v>
      </c>
      <c r="K73" s="18" t="n">
        <v>0</v>
      </c>
      <c r="L73" s="20" t="n">
        <v>0</v>
      </c>
      <c r="M73" s="18" t="n">
        <v>0</v>
      </c>
      <c r="N73" s="20" t="n">
        <v>0</v>
      </c>
      <c r="O73" s="18" t="n">
        <v>0</v>
      </c>
      <c r="P73" s="20" t="n">
        <v>0</v>
      </c>
      <c r="Q73" s="18" t="n">
        <v>0.65790047</v>
      </c>
      <c r="R73" s="20" t="n">
        <v>0.29904336</v>
      </c>
    </row>
    <row r="74" spans="1:18">
      <c r="A74" s="15" t="s">
        <v>634</v>
      </c>
      <c r="B74" s="17" t="n">
        <v>7708</v>
      </c>
      <c r="C74" s="18">
        <f>(6813.0/B74*100)</f>
        <v/>
      </c>
      <c r="D74" s="19" t="n">
        <v>895</v>
      </c>
      <c r="E74" s="18" t="n">
        <v>48.23194189</v>
      </c>
      <c r="F74" s="20" t="n">
        <v>1.82538596</v>
      </c>
      <c r="G74" s="18" t="n">
        <v>51.42618226</v>
      </c>
      <c r="H74" s="20" t="n">
        <v>1.87533601</v>
      </c>
      <c r="I74" s="18" t="n">
        <v>0</v>
      </c>
      <c r="J74" s="20" t="n">
        <v>0</v>
      </c>
      <c r="K74" s="18" t="n">
        <v>0.12216639</v>
      </c>
      <c r="L74" s="20" t="n">
        <v>0.12266837</v>
      </c>
      <c r="M74" s="18" t="n">
        <v>0</v>
      </c>
      <c r="N74" s="20" t="n">
        <v>0</v>
      </c>
      <c r="O74" s="18" t="n">
        <v>0</v>
      </c>
      <c r="P74" s="20" t="n">
        <v>0</v>
      </c>
      <c r="Q74" s="18" t="n">
        <v>0.21970946</v>
      </c>
      <c r="R74" s="20" t="n">
        <v>0.15706167</v>
      </c>
    </row>
    <row r="75" spans="1:18">
      <c r="A75" s="15" t="s">
        <v>635</v>
      </c>
      <c r="B75" s="17" t="n">
        <v>8249</v>
      </c>
      <c r="C75" s="18">
        <f>(7351.0/B75*100)</f>
        <v/>
      </c>
      <c r="D75" s="19" t="n">
        <v>898</v>
      </c>
      <c r="E75" s="18" t="n">
        <v>73.89934341</v>
      </c>
      <c r="F75" s="20" t="n">
        <v>1.70681283</v>
      </c>
      <c r="G75" s="18" t="n">
        <v>25.77300637</v>
      </c>
      <c r="H75" s="20" t="n">
        <v>1.679767</v>
      </c>
      <c r="I75" s="18" t="n">
        <v>0</v>
      </c>
      <c r="J75" s="20" t="n">
        <v>0</v>
      </c>
      <c r="K75" s="18" t="n">
        <v>0</v>
      </c>
      <c r="L75" s="20" t="n">
        <v>0</v>
      </c>
      <c r="M75" s="18" t="n">
        <v>0</v>
      </c>
      <c r="N75" s="20" t="n">
        <v>0</v>
      </c>
      <c r="O75" s="18" t="n">
        <v>0</v>
      </c>
      <c r="P75" s="20" t="n">
        <v>0</v>
      </c>
      <c r="Q75" s="18" t="n">
        <v>0.32765022</v>
      </c>
      <c r="R75" s="20" t="n">
        <v>0.22036234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(4843.0/B77*100)</f>
        <v/>
      </c>
      <c r="D77" s="19" t="n">
        <v>532</v>
      </c>
      <c r="E77" s="18" t="n">
        <v>57.65172386</v>
      </c>
      <c r="F77" s="20" t="n">
        <v>2.00388108</v>
      </c>
      <c r="G77" s="18" t="n">
        <v>37.95662101</v>
      </c>
      <c r="H77" s="20" t="n">
        <v>1.90186947</v>
      </c>
      <c r="I77" s="18" t="n">
        <v>0</v>
      </c>
      <c r="J77" s="20" t="n">
        <v>0</v>
      </c>
      <c r="K77" s="18" t="n">
        <v>2.23565119</v>
      </c>
      <c r="L77" s="20" t="n">
        <v>0.50895589</v>
      </c>
      <c r="M77" s="18" t="n">
        <v>0</v>
      </c>
      <c r="N77" s="20" t="n">
        <v>0</v>
      </c>
      <c r="O77" s="18" t="n">
        <v>0</v>
      </c>
      <c r="P77" s="20" t="n">
        <v>0</v>
      </c>
      <c r="Q77" s="18" t="n">
        <v>2.15600395</v>
      </c>
      <c r="R77" s="20" t="n">
        <v>0.63373415</v>
      </c>
    </row>
    <row r="78" spans="1:18">
      <c r="A78" s="15" t="s">
        <v>638</v>
      </c>
      <c r="B78" s="17" t="n">
        <v>14167</v>
      </c>
      <c r="C78" s="18">
        <f>(12573.0/B78*100)</f>
        <v/>
      </c>
      <c r="D78" s="19" t="n">
        <v>1594</v>
      </c>
      <c r="E78" s="18" t="n">
        <v>72.74758557</v>
      </c>
      <c r="F78" s="20" t="n">
        <v>1.39070594</v>
      </c>
      <c r="G78" s="18" t="n">
        <v>25.33992326</v>
      </c>
      <c r="H78" s="20" t="n">
        <v>1.43137961</v>
      </c>
      <c r="I78" s="18" t="n">
        <v>0</v>
      </c>
      <c r="J78" s="20" t="n">
        <v>0</v>
      </c>
      <c r="K78" s="18" t="n">
        <v>0.8486073</v>
      </c>
      <c r="L78" s="20" t="n">
        <v>0.27985339</v>
      </c>
      <c r="M78" s="18" t="n">
        <v>0</v>
      </c>
      <c r="N78" s="20" t="n">
        <v>0</v>
      </c>
      <c r="O78" s="18" t="n">
        <v>0</v>
      </c>
      <c r="P78" s="20" t="n">
        <v>0</v>
      </c>
      <c r="Q78" s="18" t="n">
        <v>1.06388387</v>
      </c>
      <c r="R78" s="20" t="n">
        <v>0.26460851</v>
      </c>
    </row>
    <row r="79" spans="1:18">
      <c r="A79" s="15" t="s">
        <v>639</v>
      </c>
      <c r="B79" s="17" t="n">
        <v>6062</v>
      </c>
      <c r="C79" s="18">
        <f>(5415.0/B79*100)</f>
        <v/>
      </c>
      <c r="D79" s="19" t="n">
        <v>647</v>
      </c>
      <c r="E79" s="18" t="n">
        <v>61.85684467</v>
      </c>
      <c r="F79" s="20" t="n">
        <v>2.07809075</v>
      </c>
      <c r="G79" s="18" t="n">
        <v>34.74815054</v>
      </c>
      <c r="H79" s="20" t="n">
        <v>2.1137736</v>
      </c>
      <c r="I79" s="18" t="n">
        <v>0</v>
      </c>
      <c r="J79" s="20" t="n">
        <v>0</v>
      </c>
      <c r="K79" s="18" t="n">
        <v>0.40666954</v>
      </c>
      <c r="L79" s="20" t="n">
        <v>0.32065851</v>
      </c>
      <c r="M79" s="18" t="n">
        <v>0</v>
      </c>
      <c r="N79" s="20" t="n">
        <v>0</v>
      </c>
      <c r="O79" s="18" t="n">
        <v>0</v>
      </c>
      <c r="P79" s="20" t="n">
        <v>0</v>
      </c>
      <c r="Q79" s="18" t="n">
        <v>2.98833525</v>
      </c>
      <c r="R79" s="20" t="n">
        <v>0.60243251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(28714.0/B82*100)</f>
        <v/>
      </c>
      <c r="D82" s="19" t="n">
        <v>3616</v>
      </c>
      <c r="E82" s="18" t="n">
        <v>60.78524817</v>
      </c>
      <c r="F82" s="20" t="n">
        <v>1.23017625</v>
      </c>
      <c r="G82" s="18" t="n">
        <v>38.03303344</v>
      </c>
      <c r="H82" s="20" t="n">
        <v>1.27439106</v>
      </c>
      <c r="I82" s="18" t="n">
        <v>0</v>
      </c>
      <c r="J82" s="20" t="n">
        <v>0</v>
      </c>
      <c r="K82" s="18" t="n">
        <v>0.03113809</v>
      </c>
      <c r="L82" s="20" t="n">
        <v>0.02278724</v>
      </c>
      <c r="M82" s="18" t="n">
        <v>0</v>
      </c>
      <c r="N82" s="20" t="n">
        <v>0</v>
      </c>
      <c r="O82" s="18" t="n">
        <v>0</v>
      </c>
      <c r="P82" s="20" t="n">
        <v>0</v>
      </c>
      <c r="Q82" s="18" t="n">
        <v>1.15058029</v>
      </c>
      <c r="R82" s="20" t="n">
        <v>0.29962</v>
      </c>
    </row>
    <row r="83" spans="1:18">
      <c r="A83" s="15" t="s">
        <v>643</v>
      </c>
      <c r="B83" s="17" t="n">
        <v>1652</v>
      </c>
      <c r="C83" s="18">
        <f>(1479.0/B83*100)</f>
        <v/>
      </c>
      <c r="D83" s="19" t="n">
        <v>173</v>
      </c>
      <c r="E83" s="18" t="n">
        <v>65.26929312</v>
      </c>
      <c r="F83" s="20" t="n">
        <v>3.88917121</v>
      </c>
      <c r="G83" s="18" t="n">
        <v>34.73070688</v>
      </c>
      <c r="H83" s="20" t="n">
        <v>3.88917121</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(1679.0/B84*100)</f>
        <v/>
      </c>
      <c r="D84" s="19" t="n">
        <v>208</v>
      </c>
      <c r="E84" s="18" t="n">
        <v>73.79216138</v>
      </c>
      <c r="F84" s="20" t="n">
        <v>3.42254409</v>
      </c>
      <c r="G84" s="18" t="n">
        <v>26.20783862</v>
      </c>
      <c r="H84" s="20" t="n">
        <v>3.42254409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(12905.0/B7*100)</f>
        <v/>
      </c>
      <c r="D7" s="19" t="n">
        <v>1625</v>
      </c>
      <c r="E7" s="18" t="n">
        <v>42.59699995</v>
      </c>
      <c r="F7" s="20" t="n">
        <v>1.59136563</v>
      </c>
      <c r="G7" s="18" t="n">
        <v>56.28296758</v>
      </c>
      <c r="H7" s="20" t="n">
        <v>1.56604621</v>
      </c>
      <c r="I7" s="18" t="n">
        <v>0</v>
      </c>
      <c r="J7" s="20" t="n">
        <v>0</v>
      </c>
      <c r="K7" s="18" t="n">
        <v>0.25682522</v>
      </c>
      <c r="L7" s="20" t="n">
        <v>0.11083535</v>
      </c>
      <c r="M7" s="18" t="n">
        <v>0</v>
      </c>
      <c r="N7" s="20" t="n">
        <v>0</v>
      </c>
      <c r="O7" s="18" t="n">
        <v>0</v>
      </c>
      <c r="P7" s="20" t="n">
        <v>0</v>
      </c>
      <c r="Q7" s="18" t="n">
        <v>0.86320726</v>
      </c>
      <c r="R7" s="20" t="n">
        <v>0.2607731</v>
      </c>
    </row>
    <row r="8" spans="1:18">
      <c r="A8" s="15" t="s">
        <v>566</v>
      </c>
      <c r="B8" s="17" t="n">
        <v>7007</v>
      </c>
      <c r="C8" s="18">
        <f>(6239.0/B8*100)</f>
        <v/>
      </c>
      <c r="D8" s="19" t="n">
        <v>768</v>
      </c>
      <c r="E8" s="18" t="n">
        <v>38.39781626</v>
      </c>
      <c r="F8" s="20" t="n">
        <v>1.979455</v>
      </c>
      <c r="G8" s="18" t="n">
        <v>61.05685766</v>
      </c>
      <c r="H8" s="20" t="n">
        <v>1.95574443</v>
      </c>
      <c r="I8" s="18" t="n">
        <v>0</v>
      </c>
      <c r="J8" s="20" t="n">
        <v>0</v>
      </c>
      <c r="K8" s="18" t="n">
        <v>0</v>
      </c>
      <c r="L8" s="20" t="n">
        <v>0</v>
      </c>
      <c r="M8" s="18" t="n">
        <v>0</v>
      </c>
      <c r="N8" s="20" t="n">
        <v>0</v>
      </c>
      <c r="O8" s="18" t="n">
        <v>0</v>
      </c>
      <c r="P8" s="20" t="n">
        <v>0</v>
      </c>
      <c r="Q8" s="18" t="n">
        <v>0.54532608</v>
      </c>
      <c r="R8" s="20" t="n">
        <v>0.26626392</v>
      </c>
    </row>
    <row r="9" spans="1:18">
      <c r="A9" s="15" t="s">
        <v>567</v>
      </c>
      <c r="B9" s="17" t="n">
        <v>9651</v>
      </c>
      <c r="C9" s="18">
        <f>(8596.0/B9*100)</f>
        <v/>
      </c>
      <c r="D9" s="19" t="n">
        <v>1055</v>
      </c>
      <c r="E9" s="18" t="n">
        <v>46.50890408</v>
      </c>
      <c r="F9" s="20" t="n">
        <v>1.61524503</v>
      </c>
      <c r="G9" s="18" t="n">
        <v>52.86167403</v>
      </c>
      <c r="H9" s="20" t="n">
        <v>1.63224185</v>
      </c>
      <c r="I9" s="18" t="n">
        <v>0</v>
      </c>
      <c r="J9" s="20" t="n">
        <v>0</v>
      </c>
      <c r="K9" s="18" t="n">
        <v>0</v>
      </c>
      <c r="L9" s="20" t="n">
        <v>0</v>
      </c>
      <c r="M9" s="18" t="n">
        <v>0</v>
      </c>
      <c r="N9" s="20" t="n">
        <v>0</v>
      </c>
      <c r="O9" s="18" t="n">
        <v>0</v>
      </c>
      <c r="P9" s="20" t="n">
        <v>0</v>
      </c>
      <c r="Q9" s="18" t="n">
        <v>0.62942189</v>
      </c>
      <c r="R9" s="20" t="n">
        <v>0.25926799</v>
      </c>
    </row>
    <row r="10" spans="1:18">
      <c r="A10" s="15" t="s">
        <v>568</v>
      </c>
      <c r="B10" s="17" t="n">
        <v>20058</v>
      </c>
      <c r="C10" s="18">
        <f>(17830.0/B10*100)</f>
        <v/>
      </c>
      <c r="D10" s="19" t="n">
        <v>2228</v>
      </c>
      <c r="E10" s="18" t="n">
        <v>42.56363853</v>
      </c>
      <c r="F10" s="20" t="n">
        <v>1.37119807</v>
      </c>
      <c r="G10" s="18" t="n">
        <v>56.66866201</v>
      </c>
      <c r="H10" s="20" t="n">
        <v>1.35488814</v>
      </c>
      <c r="I10" s="18" t="n">
        <v>0</v>
      </c>
      <c r="J10" s="20" t="n">
        <v>0</v>
      </c>
      <c r="K10" s="18" t="n">
        <v>0.41751563</v>
      </c>
      <c r="L10" s="20" t="n">
        <v>0.20916197</v>
      </c>
      <c r="M10" s="18" t="n">
        <v>0</v>
      </c>
      <c r="N10" s="20" t="n">
        <v>0</v>
      </c>
      <c r="O10" s="18" t="n">
        <v>0</v>
      </c>
      <c r="P10" s="20" t="n">
        <v>0</v>
      </c>
      <c r="Q10" s="18" t="n">
        <v>0.35018382</v>
      </c>
      <c r="R10" s="20" t="n">
        <v>0.15370734</v>
      </c>
    </row>
    <row r="11" spans="1:18">
      <c r="A11" s="15" t="s">
        <v>569</v>
      </c>
      <c r="B11" s="17" t="n">
        <v>7053</v>
      </c>
      <c r="C11" s="18">
        <f>(6297.0/B11*100)</f>
        <v/>
      </c>
      <c r="D11" s="19" t="n">
        <v>756</v>
      </c>
      <c r="E11" s="18" t="n">
        <v>52.17098687</v>
      </c>
      <c r="F11" s="20" t="n">
        <v>2.06728056</v>
      </c>
      <c r="G11" s="18" t="n">
        <v>45.38548036</v>
      </c>
      <c r="H11" s="20" t="n">
        <v>2.0911153</v>
      </c>
      <c r="I11" s="18" t="n">
        <v>0</v>
      </c>
      <c r="J11" s="20" t="n">
        <v>0</v>
      </c>
      <c r="K11" s="18" t="n">
        <v>0.41458629</v>
      </c>
      <c r="L11" s="20" t="n">
        <v>0.38466873</v>
      </c>
      <c r="M11" s="18" t="n">
        <v>0</v>
      </c>
      <c r="N11" s="20" t="n">
        <v>0</v>
      </c>
      <c r="O11" s="18" t="n">
        <v>0</v>
      </c>
      <c r="P11" s="20" t="n">
        <v>0</v>
      </c>
      <c r="Q11" s="18" t="n">
        <v>2.02894647</v>
      </c>
      <c r="R11" s="20" t="n">
        <v>1.11363804</v>
      </c>
    </row>
    <row r="12" spans="1:18">
      <c r="A12" s="15" t="s">
        <v>570</v>
      </c>
      <c r="B12" s="17" t="n">
        <v>6894</v>
      </c>
      <c r="C12" s="18">
        <f>(6146.0/B12*100)</f>
        <v/>
      </c>
      <c r="D12" s="19" t="n">
        <v>748</v>
      </c>
      <c r="E12" s="18" t="n">
        <v>48.81487928</v>
      </c>
      <c r="F12" s="20" t="n">
        <v>1.76153299</v>
      </c>
      <c r="G12" s="18" t="n">
        <v>51.10849289</v>
      </c>
      <c r="H12" s="20" t="n">
        <v>1.76268189</v>
      </c>
      <c r="I12" s="18" t="n">
        <v>0</v>
      </c>
      <c r="J12" s="20" t="n">
        <v>0</v>
      </c>
      <c r="K12" s="18" t="n">
        <v>0.07662784</v>
      </c>
      <c r="L12" s="20" t="n">
        <v>0.07416294</v>
      </c>
      <c r="M12" s="18" t="n">
        <v>0</v>
      </c>
      <c r="N12" s="20" t="n">
        <v>0</v>
      </c>
      <c r="O12" s="18" t="n">
        <v>0</v>
      </c>
      <c r="P12" s="20" t="n">
        <v>0</v>
      </c>
      <c r="Q12" s="18" t="n">
        <v>0</v>
      </c>
      <c r="R12" s="20" t="n">
        <v>0</v>
      </c>
    </row>
    <row r="13" spans="1:18">
      <c r="A13" s="15" t="s">
        <v>571</v>
      </c>
      <c r="B13" s="17" t="n">
        <v>7161</v>
      </c>
      <c r="C13" s="18">
        <f>(6423.0/B13*100)</f>
        <v/>
      </c>
      <c r="D13" s="19" t="n">
        <v>738</v>
      </c>
      <c r="E13" s="18" t="n">
        <v>32.78708279</v>
      </c>
      <c r="F13" s="20" t="n">
        <v>1.886718</v>
      </c>
      <c r="G13" s="18" t="n">
        <v>65.67680188999999</v>
      </c>
      <c r="H13" s="20" t="n">
        <v>1.99150039</v>
      </c>
      <c r="I13" s="18" t="n">
        <v>0</v>
      </c>
      <c r="J13" s="20" t="n">
        <v>0</v>
      </c>
      <c r="K13" s="18" t="n">
        <v>0.87448824</v>
      </c>
      <c r="L13" s="20" t="n">
        <v>0.45759098</v>
      </c>
      <c r="M13" s="18" t="n">
        <v>0</v>
      </c>
      <c r="N13" s="20" t="n">
        <v>0</v>
      </c>
      <c r="O13" s="18" t="n">
        <v>0</v>
      </c>
      <c r="P13" s="20" t="n">
        <v>0</v>
      </c>
      <c r="Q13" s="18" t="n">
        <v>0.66162708</v>
      </c>
      <c r="R13" s="20" t="n">
        <v>0.44039182</v>
      </c>
    </row>
    <row r="14" spans="1:18">
      <c r="A14" s="15" t="s">
        <v>572</v>
      </c>
      <c r="B14" s="17" t="n">
        <v>5587</v>
      </c>
      <c r="C14" s="18">
        <f>(4960.0/B14*100)</f>
        <v/>
      </c>
      <c r="D14" s="19" t="n">
        <v>627</v>
      </c>
      <c r="E14" s="18" t="n">
        <v>59.46211422</v>
      </c>
      <c r="F14" s="20" t="n">
        <v>2.24476272</v>
      </c>
      <c r="G14" s="18" t="n">
        <v>40.38256441</v>
      </c>
      <c r="H14" s="20" t="n">
        <v>2.23573853</v>
      </c>
      <c r="I14" s="18" t="n">
        <v>0</v>
      </c>
      <c r="J14" s="20" t="n">
        <v>0</v>
      </c>
      <c r="K14" s="18" t="n">
        <v>0.15532137</v>
      </c>
      <c r="L14" s="20" t="n">
        <v>0.15700102</v>
      </c>
      <c r="M14" s="18" t="n">
        <v>0</v>
      </c>
      <c r="N14" s="20" t="n">
        <v>0</v>
      </c>
      <c r="O14" s="18" t="n">
        <v>0</v>
      </c>
      <c r="P14" s="20" t="n">
        <v>0</v>
      </c>
      <c r="Q14" s="18" t="n">
        <v>0</v>
      </c>
      <c r="R14" s="20" t="n">
        <v>0</v>
      </c>
    </row>
    <row r="15" spans="1:18">
      <c r="A15" s="15" t="s">
        <v>573</v>
      </c>
      <c r="B15" s="17" t="n">
        <v>5882</v>
      </c>
      <c r="C15" s="18">
        <f>(5214.0/B15*100)</f>
        <v/>
      </c>
      <c r="D15" s="19" t="n">
        <v>668</v>
      </c>
      <c r="E15" s="18" t="n">
        <v>45.71803093</v>
      </c>
      <c r="F15" s="20" t="n">
        <v>1.99049756</v>
      </c>
      <c r="G15" s="18" t="n">
        <v>54.01266022</v>
      </c>
      <c r="H15" s="20" t="n">
        <v>1.9838019</v>
      </c>
      <c r="I15" s="18" t="n">
        <v>0</v>
      </c>
      <c r="J15" s="20" t="n">
        <v>0</v>
      </c>
      <c r="K15" s="18" t="n">
        <v>0</v>
      </c>
      <c r="L15" s="20" t="n">
        <v>0</v>
      </c>
      <c r="M15" s="18" t="n">
        <v>0</v>
      </c>
      <c r="N15" s="20" t="n">
        <v>0</v>
      </c>
      <c r="O15" s="18" t="n">
        <v>0</v>
      </c>
      <c r="P15" s="20" t="n">
        <v>0</v>
      </c>
      <c r="Q15" s="18" t="n">
        <v>0.26930885</v>
      </c>
      <c r="R15" s="20" t="n">
        <v>0.19013406</v>
      </c>
    </row>
    <row r="16" spans="1:18">
      <c r="A16" s="15" t="s">
        <v>574</v>
      </c>
      <c r="B16" s="17" t="n">
        <v>6108</v>
      </c>
      <c r="C16" s="18">
        <f>(5420.0/B16*100)</f>
        <v/>
      </c>
      <c r="D16" s="19" t="n">
        <v>688</v>
      </c>
      <c r="E16" s="18" t="n">
        <v>41.59409325</v>
      </c>
      <c r="F16" s="20" t="n">
        <v>1.77978121</v>
      </c>
      <c r="G16" s="18" t="n">
        <v>56.55330962</v>
      </c>
      <c r="H16" s="20" t="n">
        <v>1.84157943</v>
      </c>
      <c r="I16" s="18" t="n">
        <v>0</v>
      </c>
      <c r="J16" s="20" t="n">
        <v>0</v>
      </c>
      <c r="K16" s="18" t="n">
        <v>0.30226856</v>
      </c>
      <c r="L16" s="20" t="n">
        <v>0.21842704</v>
      </c>
      <c r="M16" s="18" t="n">
        <v>0</v>
      </c>
      <c r="N16" s="20" t="n">
        <v>0</v>
      </c>
      <c r="O16" s="18" t="n">
        <v>0</v>
      </c>
      <c r="P16" s="20" t="n">
        <v>0</v>
      </c>
      <c r="Q16" s="18" t="n">
        <v>1.55032857</v>
      </c>
      <c r="R16" s="20" t="n">
        <v>0.53400766</v>
      </c>
    </row>
    <row r="17" spans="1:18">
      <c r="A17" s="15" t="s">
        <v>575</v>
      </c>
      <c r="B17" s="17" t="n">
        <v>6504</v>
      </c>
      <c r="C17" s="18">
        <f>(5802.0/B17*100)</f>
        <v/>
      </c>
      <c r="D17" s="19" t="n">
        <v>702</v>
      </c>
      <c r="E17" s="18" t="n">
        <v>39.6123628</v>
      </c>
      <c r="F17" s="20" t="n">
        <v>2.14811449</v>
      </c>
      <c r="G17" s="18" t="n">
        <v>59.77349186</v>
      </c>
      <c r="H17" s="20" t="n">
        <v>2.12901203</v>
      </c>
      <c r="I17" s="18" t="n">
        <v>0</v>
      </c>
      <c r="J17" s="20" t="n">
        <v>0</v>
      </c>
      <c r="K17" s="18" t="n">
        <v>0.36589506</v>
      </c>
      <c r="L17" s="20" t="n">
        <v>0.22660589</v>
      </c>
      <c r="M17" s="18" t="n">
        <v>0</v>
      </c>
      <c r="N17" s="20" t="n">
        <v>0</v>
      </c>
      <c r="O17" s="18" t="n">
        <v>0</v>
      </c>
      <c r="P17" s="20" t="n">
        <v>0</v>
      </c>
      <c r="Q17" s="18" t="n">
        <v>0.24825028</v>
      </c>
      <c r="R17" s="20" t="n">
        <v>0.18478799</v>
      </c>
    </row>
    <row r="18" spans="1:18">
      <c r="A18" s="15" t="s">
        <v>576</v>
      </c>
      <c r="B18" s="17" t="n">
        <v>5532</v>
      </c>
      <c r="C18" s="18">
        <f>(4909.0/B18*100)</f>
        <v/>
      </c>
      <c r="D18" s="19" t="n">
        <v>623</v>
      </c>
      <c r="E18" s="18" t="n">
        <v>54.28972488</v>
      </c>
      <c r="F18" s="20" t="n">
        <v>2.38337556</v>
      </c>
      <c r="G18" s="18" t="n">
        <v>44.1040262</v>
      </c>
      <c r="H18" s="20" t="n">
        <v>2.26890483</v>
      </c>
      <c r="I18" s="18" t="n">
        <v>0</v>
      </c>
      <c r="J18" s="20" t="n">
        <v>0</v>
      </c>
      <c r="K18" s="18" t="n">
        <v>0.08861325</v>
      </c>
      <c r="L18" s="20" t="n">
        <v>0.09026642999999999</v>
      </c>
      <c r="M18" s="18" t="n">
        <v>0</v>
      </c>
      <c r="N18" s="20" t="n">
        <v>0</v>
      </c>
      <c r="O18" s="18" t="n">
        <v>0</v>
      </c>
      <c r="P18" s="20" t="n">
        <v>0</v>
      </c>
      <c r="Q18" s="18" t="n">
        <v>1.51763567</v>
      </c>
      <c r="R18" s="20" t="n">
        <v>0.5298513</v>
      </c>
    </row>
    <row r="19" spans="1:18">
      <c r="A19" s="15" t="s">
        <v>577</v>
      </c>
      <c r="B19" s="17" t="n">
        <v>5658</v>
      </c>
      <c r="C19" s="18">
        <f>(5039.0/B19*100)</f>
        <v/>
      </c>
      <c r="D19" s="19" t="n">
        <v>619</v>
      </c>
      <c r="E19" s="18" t="n">
        <v>27.00298547</v>
      </c>
      <c r="F19" s="20" t="n">
        <v>2.36418801</v>
      </c>
      <c r="G19" s="18" t="n">
        <v>72.99701453</v>
      </c>
      <c r="H19" s="20" t="n">
        <v>2.36418801</v>
      </c>
      <c r="I19" s="18" t="n">
        <v>0</v>
      </c>
      <c r="J19" s="20" t="n">
        <v>0</v>
      </c>
      <c r="K19" s="18" t="n">
        <v>0</v>
      </c>
      <c r="L19" s="20" t="n">
        <v>0</v>
      </c>
      <c r="M19" s="18" t="n">
        <v>0</v>
      </c>
      <c r="N19" s="20" t="n">
        <v>0</v>
      </c>
      <c r="O19" s="18" t="n">
        <v>0</v>
      </c>
      <c r="P19" s="20" t="n">
        <v>0</v>
      </c>
      <c r="Q19" s="18" t="n">
        <v>0</v>
      </c>
      <c r="R19" s="20" t="n">
        <v>0</v>
      </c>
    </row>
    <row r="20" spans="1:18">
      <c r="A20" s="15" t="s">
        <v>578</v>
      </c>
      <c r="B20" s="17" t="n">
        <v>3371</v>
      </c>
      <c r="C20" s="18">
        <f>(3010.0/B20*100)</f>
        <v/>
      </c>
      <c r="D20" s="19" t="n">
        <v>361</v>
      </c>
      <c r="E20" s="18" t="n">
        <v>40.01697261</v>
      </c>
      <c r="F20" s="20" t="n">
        <v>2.66385557</v>
      </c>
      <c r="G20" s="18" t="n">
        <v>58.90168317</v>
      </c>
      <c r="H20" s="20" t="n">
        <v>2.69674336</v>
      </c>
      <c r="I20" s="18" t="n">
        <v>0</v>
      </c>
      <c r="J20" s="20" t="n">
        <v>0</v>
      </c>
      <c r="K20" s="18" t="n">
        <v>0.50461877</v>
      </c>
      <c r="L20" s="20" t="n">
        <v>0.35329557</v>
      </c>
      <c r="M20" s="18" t="n">
        <v>0</v>
      </c>
      <c r="N20" s="20" t="n">
        <v>0</v>
      </c>
      <c r="O20" s="18" t="n">
        <v>0</v>
      </c>
      <c r="P20" s="20" t="n">
        <v>0</v>
      </c>
      <c r="Q20" s="18" t="n">
        <v>0.57672545</v>
      </c>
      <c r="R20" s="20" t="n">
        <v>0.41119485</v>
      </c>
    </row>
    <row r="21" spans="1:18">
      <c r="A21" s="15" t="s">
        <v>579</v>
      </c>
      <c r="B21" s="17" t="n">
        <v>5741</v>
      </c>
      <c r="C21" s="18">
        <f>(5076.0/B21*100)</f>
        <v/>
      </c>
      <c r="D21" s="19" t="n">
        <v>665</v>
      </c>
      <c r="E21" s="18" t="n">
        <v>37.53272433</v>
      </c>
      <c r="F21" s="20" t="n">
        <v>2.07608623</v>
      </c>
      <c r="G21" s="18" t="n">
        <v>62.31725075</v>
      </c>
      <c r="H21" s="20" t="n">
        <v>2.07673524</v>
      </c>
      <c r="I21" s="18" t="n">
        <v>0</v>
      </c>
      <c r="J21" s="20" t="n">
        <v>0</v>
      </c>
      <c r="K21" s="18" t="n">
        <v>0</v>
      </c>
      <c r="L21" s="20" t="n">
        <v>0</v>
      </c>
      <c r="M21" s="18" t="n">
        <v>0</v>
      </c>
      <c r="N21" s="20" t="n">
        <v>0</v>
      </c>
      <c r="O21" s="18" t="n">
        <v>0</v>
      </c>
      <c r="P21" s="20" t="n">
        <v>0</v>
      </c>
      <c r="Q21" s="18" t="n">
        <v>0.15002492</v>
      </c>
      <c r="R21" s="20" t="n">
        <v>0.1492706</v>
      </c>
    </row>
    <row r="22" spans="1:18">
      <c r="A22" s="15" t="s">
        <v>580</v>
      </c>
      <c r="B22" s="17" t="n">
        <v>6598</v>
      </c>
      <c r="C22" s="18">
        <f>(5938.0/B22*100)</f>
        <v/>
      </c>
      <c r="D22" s="19" t="n">
        <v>660</v>
      </c>
      <c r="E22" s="18" t="n">
        <v>61.76862612</v>
      </c>
      <c r="F22" s="20" t="n">
        <v>1.75500844</v>
      </c>
      <c r="G22" s="18" t="n">
        <v>36.25713723</v>
      </c>
      <c r="H22" s="20" t="n">
        <v>1.70907845</v>
      </c>
      <c r="I22" s="18" t="n">
        <v>0</v>
      </c>
      <c r="J22" s="20" t="n">
        <v>0</v>
      </c>
      <c r="K22" s="18" t="n">
        <v>1.56726799</v>
      </c>
      <c r="L22" s="20" t="n">
        <v>0.60106994</v>
      </c>
      <c r="M22" s="18" t="n">
        <v>0</v>
      </c>
      <c r="N22" s="20" t="n">
        <v>0</v>
      </c>
      <c r="O22" s="18" t="n">
        <v>0</v>
      </c>
      <c r="P22" s="20" t="n">
        <v>0</v>
      </c>
      <c r="Q22" s="18" t="n">
        <v>0.40696867</v>
      </c>
      <c r="R22" s="20" t="n">
        <v>0.21409417</v>
      </c>
    </row>
    <row r="23" spans="1:18">
      <c r="A23" s="15" t="s">
        <v>581</v>
      </c>
      <c r="B23" s="17" t="n">
        <v>11583</v>
      </c>
      <c r="C23" s="18">
        <f>(10308.0/B23*100)</f>
        <v/>
      </c>
      <c r="D23" s="19" t="n">
        <v>1275</v>
      </c>
      <c r="E23" s="18" t="n">
        <v>40.33255519</v>
      </c>
      <c r="F23" s="20" t="n">
        <v>1.87932417</v>
      </c>
      <c r="G23" s="18" t="n">
        <v>59.07603249</v>
      </c>
      <c r="H23" s="20" t="n">
        <v>1.95578744</v>
      </c>
      <c r="I23" s="18" t="n">
        <v>0</v>
      </c>
      <c r="J23" s="20" t="n">
        <v>0</v>
      </c>
      <c r="K23" s="18" t="n">
        <v>0</v>
      </c>
      <c r="L23" s="20" t="n">
        <v>0</v>
      </c>
      <c r="M23" s="18" t="n">
        <v>0</v>
      </c>
      <c r="N23" s="20" t="n">
        <v>0</v>
      </c>
      <c r="O23" s="18" t="n">
        <v>0</v>
      </c>
      <c r="P23" s="20" t="n">
        <v>0</v>
      </c>
      <c r="Q23" s="18" t="n">
        <v>0.59141232</v>
      </c>
      <c r="R23" s="20" t="n">
        <v>0.39240108</v>
      </c>
    </row>
    <row r="24" spans="1:18">
      <c r="A24" s="15" t="s">
        <v>582</v>
      </c>
      <c r="B24" s="17" t="n">
        <v>6647</v>
      </c>
      <c r="C24" s="18">
        <f>(5914.0/B24*100)</f>
        <v/>
      </c>
      <c r="D24" s="19" t="n">
        <v>733</v>
      </c>
      <c r="E24" s="18" t="n">
        <v>48.96330751</v>
      </c>
      <c r="F24" s="20" t="n">
        <v>1.95188153</v>
      </c>
      <c r="G24" s="18" t="n">
        <v>50.62133791</v>
      </c>
      <c r="H24" s="20" t="n">
        <v>1.95510689</v>
      </c>
      <c r="I24" s="18" t="n">
        <v>0</v>
      </c>
      <c r="J24" s="20" t="n">
        <v>0</v>
      </c>
      <c r="K24" s="18" t="n">
        <v>0</v>
      </c>
      <c r="L24" s="20" t="n">
        <v>0</v>
      </c>
      <c r="M24" s="18" t="n">
        <v>0</v>
      </c>
      <c r="N24" s="20" t="n">
        <v>0</v>
      </c>
      <c r="O24" s="18" t="n">
        <v>0</v>
      </c>
      <c r="P24" s="20" t="n">
        <v>0</v>
      </c>
      <c r="Q24" s="18" t="n">
        <v>0.41535458</v>
      </c>
      <c r="R24" s="20" t="n">
        <v>0.23479746</v>
      </c>
    </row>
    <row r="25" spans="1:18">
      <c r="A25" s="15" t="s">
        <v>583</v>
      </c>
      <c r="B25" s="17" t="n">
        <v>5581</v>
      </c>
      <c r="C25" s="18">
        <f>(4965.0/B25*100)</f>
        <v/>
      </c>
      <c r="D25" s="19" t="n">
        <v>616</v>
      </c>
      <c r="E25" s="18" t="n">
        <v>49.93498123</v>
      </c>
      <c r="F25" s="20" t="n">
        <v>2.30876178</v>
      </c>
      <c r="G25" s="18" t="n">
        <v>49.39715849</v>
      </c>
      <c r="H25" s="20" t="n">
        <v>2.32982149</v>
      </c>
      <c r="I25" s="18" t="n">
        <v>0</v>
      </c>
      <c r="J25" s="20" t="n">
        <v>0</v>
      </c>
      <c r="K25" s="18" t="n">
        <v>0.16018638</v>
      </c>
      <c r="L25" s="20" t="n">
        <v>0.16067484</v>
      </c>
      <c r="M25" s="18" t="n">
        <v>0</v>
      </c>
      <c r="N25" s="20" t="n">
        <v>0</v>
      </c>
      <c r="O25" s="18" t="n">
        <v>0</v>
      </c>
      <c r="P25" s="20" t="n">
        <v>0</v>
      </c>
      <c r="Q25" s="18" t="n">
        <v>0.5076739</v>
      </c>
      <c r="R25" s="20" t="n">
        <v>0.29351566</v>
      </c>
    </row>
    <row r="26" spans="1:18">
      <c r="A26" s="15" t="s">
        <v>584</v>
      </c>
      <c r="B26" s="17" t="n">
        <v>4869</v>
      </c>
      <c r="C26" s="18">
        <f>(4323.0/B26*100)</f>
        <v/>
      </c>
      <c r="D26" s="19" t="n">
        <v>546</v>
      </c>
      <c r="E26" s="18" t="n">
        <v>42.53757994</v>
      </c>
      <c r="F26" s="20" t="n">
        <v>2.52979302</v>
      </c>
      <c r="G26" s="18" t="n">
        <v>57.32771958</v>
      </c>
      <c r="H26" s="20" t="n">
        <v>2.54842262</v>
      </c>
      <c r="I26" s="18" t="n">
        <v>0</v>
      </c>
      <c r="J26" s="20" t="n">
        <v>0</v>
      </c>
      <c r="K26" s="18" t="n">
        <v>0</v>
      </c>
      <c r="L26" s="20" t="n">
        <v>0</v>
      </c>
      <c r="M26" s="18" t="n">
        <v>0</v>
      </c>
      <c r="N26" s="20" t="n">
        <v>0</v>
      </c>
      <c r="O26" s="18" t="n">
        <v>0</v>
      </c>
      <c r="P26" s="20" t="n">
        <v>0</v>
      </c>
      <c r="Q26" s="18" t="n">
        <v>0.13470048</v>
      </c>
      <c r="R26" s="20" t="n">
        <v>0.1398421</v>
      </c>
    </row>
    <row r="27" spans="1:18">
      <c r="A27" s="15" t="s">
        <v>585</v>
      </c>
      <c r="B27" s="17" t="n">
        <v>5299</v>
      </c>
      <c r="C27" s="18">
        <f>(4703.0/B27*100)</f>
        <v/>
      </c>
      <c r="D27" s="19" t="n">
        <v>596</v>
      </c>
      <c r="E27" s="18" t="n">
        <v>47.62981805</v>
      </c>
      <c r="F27" s="20" t="n">
        <v>2.10435547</v>
      </c>
      <c r="G27" s="18" t="n">
        <v>50.46065066</v>
      </c>
      <c r="H27" s="20" t="n">
        <v>2.06278175</v>
      </c>
      <c r="I27" s="18" t="n">
        <v>0</v>
      </c>
      <c r="J27" s="20" t="n">
        <v>0</v>
      </c>
      <c r="K27" s="18" t="n">
        <v>0.17820107</v>
      </c>
      <c r="L27" s="20" t="n">
        <v>0.17853054</v>
      </c>
      <c r="M27" s="18" t="n">
        <v>0</v>
      </c>
      <c r="N27" s="20" t="n">
        <v>0</v>
      </c>
      <c r="O27" s="18" t="n">
        <v>0</v>
      </c>
      <c r="P27" s="20" t="n">
        <v>0</v>
      </c>
      <c r="Q27" s="18" t="n">
        <v>1.73133022</v>
      </c>
      <c r="R27" s="20" t="n">
        <v>0.59242219</v>
      </c>
    </row>
    <row r="28" spans="1:18">
      <c r="A28" s="15" t="s">
        <v>586</v>
      </c>
      <c r="B28" s="17" t="n">
        <v>7568</v>
      </c>
      <c r="C28" s="18">
        <f>(6767.0/B28*100)</f>
        <v/>
      </c>
      <c r="D28" s="19" t="n">
        <v>801</v>
      </c>
      <c r="E28" s="18" t="n">
        <v>56.26764469</v>
      </c>
      <c r="F28" s="20" t="n">
        <v>2.32350786</v>
      </c>
      <c r="G28" s="18" t="n">
        <v>42.93401713</v>
      </c>
      <c r="H28" s="20" t="n">
        <v>2.37460627</v>
      </c>
      <c r="I28" s="18" t="n">
        <v>0</v>
      </c>
      <c r="J28" s="20" t="n">
        <v>0</v>
      </c>
      <c r="K28" s="18" t="n">
        <v>0.21894582</v>
      </c>
      <c r="L28" s="20" t="n">
        <v>0.21588488</v>
      </c>
      <c r="M28" s="18" t="n">
        <v>0</v>
      </c>
      <c r="N28" s="20" t="n">
        <v>0</v>
      </c>
      <c r="O28" s="18" t="n">
        <v>0</v>
      </c>
      <c r="P28" s="20" t="n">
        <v>0</v>
      </c>
      <c r="Q28" s="18" t="n">
        <v>0.57939237</v>
      </c>
      <c r="R28" s="20" t="n">
        <v>0.3508165</v>
      </c>
    </row>
    <row r="29" spans="1:18">
      <c r="A29" s="15" t="s">
        <v>587</v>
      </c>
      <c r="B29" s="17" t="n">
        <v>5385</v>
      </c>
      <c r="C29" s="18">
        <f>(4803.0/B29*100)</f>
        <v/>
      </c>
      <c r="D29" s="19" t="n">
        <v>582</v>
      </c>
      <c r="E29" s="18" t="n">
        <v>38.05510327</v>
      </c>
      <c r="F29" s="20" t="n">
        <v>2.26909624</v>
      </c>
      <c r="G29" s="18" t="n">
        <v>61.45442449</v>
      </c>
      <c r="H29" s="20" t="n">
        <v>2.28624281</v>
      </c>
      <c r="I29" s="18" t="n">
        <v>0</v>
      </c>
      <c r="J29" s="20" t="n">
        <v>0</v>
      </c>
      <c r="K29" s="18" t="n">
        <v>0.17696287</v>
      </c>
      <c r="L29" s="20" t="n">
        <v>0.17544565</v>
      </c>
      <c r="M29" s="18" t="n">
        <v>0</v>
      </c>
      <c r="N29" s="20" t="n">
        <v>0</v>
      </c>
      <c r="O29" s="18" t="n">
        <v>0</v>
      </c>
      <c r="P29" s="20" t="n">
        <v>0</v>
      </c>
      <c r="Q29" s="18" t="n">
        <v>0.31350937</v>
      </c>
      <c r="R29" s="20" t="n">
        <v>0.22907276</v>
      </c>
    </row>
    <row r="30" spans="1:18">
      <c r="A30" s="15" t="s">
        <v>588</v>
      </c>
      <c r="B30" s="17" t="n">
        <v>4520</v>
      </c>
      <c r="C30" s="18">
        <f>(4003.0/B30*100)</f>
        <v/>
      </c>
      <c r="D30" s="19" t="n">
        <v>517</v>
      </c>
      <c r="E30" s="18" t="n">
        <v>41.34525289</v>
      </c>
      <c r="F30" s="20" t="n">
        <v>2.00024588</v>
      </c>
      <c r="G30" s="18" t="n">
        <v>57.18486501</v>
      </c>
      <c r="H30" s="20" t="n">
        <v>2.05717042</v>
      </c>
      <c r="I30" s="18" t="n">
        <v>0</v>
      </c>
      <c r="J30" s="20" t="n">
        <v>0</v>
      </c>
      <c r="K30" s="18" t="n">
        <v>0.18852224</v>
      </c>
      <c r="L30" s="20" t="n">
        <v>0.18252419</v>
      </c>
      <c r="M30" s="18" t="n">
        <v>0</v>
      </c>
      <c r="N30" s="20" t="n">
        <v>0</v>
      </c>
      <c r="O30" s="18" t="n">
        <v>0</v>
      </c>
      <c r="P30" s="20" t="n">
        <v>0</v>
      </c>
      <c r="Q30" s="18" t="n">
        <v>1.28135987</v>
      </c>
      <c r="R30" s="20" t="n">
        <v>0.56280796</v>
      </c>
    </row>
    <row r="31" spans="1:18">
      <c r="A31" s="15" t="s">
        <v>589</v>
      </c>
      <c r="B31" s="17" t="n">
        <v>5456</v>
      </c>
      <c r="C31" s="18">
        <f>(4854.0/B31*100)</f>
        <v/>
      </c>
      <c r="D31" s="19" t="n">
        <v>602</v>
      </c>
      <c r="E31" s="18" t="n">
        <v>44.58956763</v>
      </c>
      <c r="F31" s="20" t="n">
        <v>2.43552835</v>
      </c>
      <c r="G31" s="18" t="n">
        <v>54.65935533</v>
      </c>
      <c r="H31" s="20" t="n">
        <v>2.47286312</v>
      </c>
      <c r="I31" s="18" t="n">
        <v>0</v>
      </c>
      <c r="J31" s="20" t="n">
        <v>0</v>
      </c>
      <c r="K31" s="18" t="n">
        <v>0.14030938</v>
      </c>
      <c r="L31" s="20" t="n">
        <v>0.14004027</v>
      </c>
      <c r="M31" s="18" t="n">
        <v>0</v>
      </c>
      <c r="N31" s="20" t="n">
        <v>0</v>
      </c>
      <c r="O31" s="18" t="n">
        <v>0</v>
      </c>
      <c r="P31" s="20" t="n">
        <v>0</v>
      </c>
      <c r="Q31" s="18" t="n">
        <v>0.61076767</v>
      </c>
      <c r="R31" s="20" t="n">
        <v>0.30057153</v>
      </c>
    </row>
    <row r="32" spans="1:18">
      <c r="A32" s="15" t="s">
        <v>590</v>
      </c>
      <c r="B32" s="17" t="n">
        <v>4478</v>
      </c>
      <c r="C32" s="18">
        <f>(3985.0/B32*100)</f>
        <v/>
      </c>
      <c r="D32" s="19" t="n">
        <v>493</v>
      </c>
      <c r="E32" s="18" t="n">
        <v>60.41137388</v>
      </c>
      <c r="F32" s="20" t="n">
        <v>2.04021815</v>
      </c>
      <c r="G32" s="18" t="n">
        <v>39.02276517</v>
      </c>
      <c r="H32" s="20" t="n">
        <v>2.08547496</v>
      </c>
      <c r="I32" s="18" t="n">
        <v>0</v>
      </c>
      <c r="J32" s="20" t="n">
        <v>0</v>
      </c>
      <c r="K32" s="18" t="n">
        <v>0.17871208</v>
      </c>
      <c r="L32" s="20" t="n">
        <v>0.17489073</v>
      </c>
      <c r="M32" s="18" t="n">
        <v>0</v>
      </c>
      <c r="N32" s="20" t="n">
        <v>0</v>
      </c>
      <c r="O32" s="18" t="n">
        <v>0</v>
      </c>
      <c r="P32" s="20" t="n">
        <v>0</v>
      </c>
      <c r="Q32" s="18" t="n">
        <v>0.38714887</v>
      </c>
      <c r="R32" s="20" t="n">
        <v>0.28215545</v>
      </c>
    </row>
    <row r="33" spans="1:18">
      <c r="A33" s="15" t="s">
        <v>591</v>
      </c>
      <c r="B33" s="17" t="n">
        <v>7325</v>
      </c>
      <c r="C33" s="18">
        <f>(6526.0/B33*100)</f>
        <v/>
      </c>
      <c r="D33" s="19" t="n">
        <v>799</v>
      </c>
      <c r="E33" s="18" t="n">
        <v>47.17399252</v>
      </c>
      <c r="F33" s="20" t="n">
        <v>1.84901878</v>
      </c>
      <c r="G33" s="18" t="n">
        <v>52.61822112</v>
      </c>
      <c r="H33" s="20" t="n">
        <v>1.84647687</v>
      </c>
      <c r="I33" s="18" t="n">
        <v>0</v>
      </c>
      <c r="J33" s="20" t="n">
        <v>0</v>
      </c>
      <c r="K33" s="18" t="n">
        <v>0</v>
      </c>
      <c r="L33" s="20" t="n">
        <v>0</v>
      </c>
      <c r="M33" s="18" t="n">
        <v>0</v>
      </c>
      <c r="N33" s="20" t="n">
        <v>0</v>
      </c>
      <c r="O33" s="18" t="n">
        <v>0</v>
      </c>
      <c r="P33" s="20" t="n">
        <v>0</v>
      </c>
      <c r="Q33" s="18" t="n">
        <v>0.20778636</v>
      </c>
      <c r="R33" s="20" t="n">
        <v>0.16246309</v>
      </c>
    </row>
    <row r="34" spans="1:18">
      <c r="A34" s="15" t="s">
        <v>592</v>
      </c>
      <c r="B34" s="17" t="n">
        <v>6350</v>
      </c>
      <c r="C34" s="18">
        <f>(5699.0/B34*100)</f>
        <v/>
      </c>
      <c r="D34" s="19" t="n">
        <v>651</v>
      </c>
      <c r="E34" s="18" t="n">
        <v>52.37450059</v>
      </c>
      <c r="F34" s="20" t="n">
        <v>2.2355355</v>
      </c>
      <c r="G34" s="18" t="n">
        <v>47.10640205</v>
      </c>
      <c r="H34" s="20" t="n">
        <v>2.17753008</v>
      </c>
      <c r="I34" s="18" t="n">
        <v>0</v>
      </c>
      <c r="J34" s="20" t="n">
        <v>0</v>
      </c>
      <c r="K34" s="18" t="n">
        <v>0</v>
      </c>
      <c r="L34" s="20" t="n">
        <v>0</v>
      </c>
      <c r="M34" s="18" t="n">
        <v>0</v>
      </c>
      <c r="N34" s="20" t="n">
        <v>0</v>
      </c>
      <c r="O34" s="18" t="n">
        <v>0</v>
      </c>
      <c r="P34" s="20" t="n">
        <v>0</v>
      </c>
      <c r="Q34" s="18" t="n">
        <v>0.51909736</v>
      </c>
      <c r="R34" s="20" t="n">
        <v>0.30941263</v>
      </c>
    </row>
    <row r="35" spans="1:18">
      <c r="A35" s="15" t="s">
        <v>593</v>
      </c>
      <c r="B35" s="17" t="n">
        <v>6406</v>
      </c>
      <c r="C35" s="18">
        <f>(5713.0/B35*100)</f>
        <v/>
      </c>
      <c r="D35" s="19" t="n">
        <v>693</v>
      </c>
      <c r="E35" s="18" t="n">
        <v>57.6742342</v>
      </c>
      <c r="F35" s="20" t="n">
        <v>2.50890348</v>
      </c>
      <c r="G35" s="18" t="n">
        <v>41.7525089</v>
      </c>
      <c r="H35" s="20" t="n">
        <v>2.48839422</v>
      </c>
      <c r="I35" s="18" t="n">
        <v>0</v>
      </c>
      <c r="J35" s="20" t="n">
        <v>0</v>
      </c>
      <c r="K35" s="18" t="n">
        <v>0</v>
      </c>
      <c r="L35" s="20" t="n">
        <v>0</v>
      </c>
      <c r="M35" s="18" t="n">
        <v>0</v>
      </c>
      <c r="N35" s="20" t="n">
        <v>0</v>
      </c>
      <c r="O35" s="18" t="n">
        <v>0</v>
      </c>
      <c r="P35" s="20" t="n">
        <v>0</v>
      </c>
      <c r="Q35" s="18" t="n">
        <v>0.5732569</v>
      </c>
      <c r="R35" s="20" t="n">
        <v>0.28233157</v>
      </c>
    </row>
    <row r="36" spans="1:18">
      <c r="A36" s="15" t="s">
        <v>594</v>
      </c>
      <c r="B36" s="17" t="n">
        <v>6736</v>
      </c>
      <c r="C36" s="18">
        <f>(5974.0/B36*100)</f>
        <v/>
      </c>
      <c r="D36" s="19" t="n">
        <v>762</v>
      </c>
      <c r="E36" s="18" t="n">
        <v>48.62646647</v>
      </c>
      <c r="F36" s="20" t="n">
        <v>1.9215297</v>
      </c>
      <c r="G36" s="18" t="n">
        <v>50.42943272</v>
      </c>
      <c r="H36" s="20" t="n">
        <v>1.9215916</v>
      </c>
      <c r="I36" s="18" t="n">
        <v>0</v>
      </c>
      <c r="J36" s="20" t="n">
        <v>0</v>
      </c>
      <c r="K36" s="18" t="n">
        <v>0.11010057</v>
      </c>
      <c r="L36" s="20" t="n">
        <v>0.07871686999999999</v>
      </c>
      <c r="M36" s="18" t="n">
        <v>0</v>
      </c>
      <c r="N36" s="20" t="n">
        <v>0</v>
      </c>
      <c r="O36" s="18" t="n">
        <v>0</v>
      </c>
      <c r="P36" s="20" t="n">
        <v>0</v>
      </c>
      <c r="Q36" s="18" t="n">
        <v>0.8340002399999999</v>
      </c>
      <c r="R36" s="20" t="n">
        <v>0.23912717</v>
      </c>
    </row>
    <row r="37" spans="1:18">
      <c r="A37" s="15" t="s">
        <v>595</v>
      </c>
      <c r="B37" s="17" t="n">
        <v>5458</v>
      </c>
      <c r="C37" s="18">
        <f>(4862.0/B37*100)</f>
        <v/>
      </c>
      <c r="D37" s="19" t="n">
        <v>596</v>
      </c>
      <c r="E37" s="18" t="n">
        <v>37.28464714</v>
      </c>
      <c r="F37" s="20" t="n">
        <v>2.08031326</v>
      </c>
      <c r="G37" s="18" t="n">
        <v>61.76952049</v>
      </c>
      <c r="H37" s="20" t="n">
        <v>2.0089948</v>
      </c>
      <c r="I37" s="18" t="n">
        <v>0</v>
      </c>
      <c r="J37" s="20" t="n">
        <v>0</v>
      </c>
      <c r="K37" s="18" t="n">
        <v>0.18866705</v>
      </c>
      <c r="L37" s="20" t="n">
        <v>0.18597991</v>
      </c>
      <c r="M37" s="18" t="n">
        <v>0</v>
      </c>
      <c r="N37" s="20" t="n">
        <v>0</v>
      </c>
      <c r="O37" s="18" t="n">
        <v>0</v>
      </c>
      <c r="P37" s="20" t="n">
        <v>0</v>
      </c>
      <c r="Q37" s="18" t="n">
        <v>0.75716532</v>
      </c>
      <c r="R37" s="20" t="n">
        <v>0.34341845</v>
      </c>
    </row>
    <row r="38" spans="1:18">
      <c r="A38" s="15" t="s">
        <v>596</v>
      </c>
      <c r="B38" s="17" t="n">
        <v>5860</v>
      </c>
      <c r="C38" s="18">
        <f>(5234.0/B38*100)</f>
        <v/>
      </c>
      <c r="D38" s="19" t="n">
        <v>626</v>
      </c>
      <c r="E38" s="18" t="n">
        <v>41.25850178</v>
      </c>
      <c r="F38" s="20" t="n">
        <v>2.1885822</v>
      </c>
      <c r="G38" s="18" t="n">
        <v>57.74354954</v>
      </c>
      <c r="H38" s="20" t="n">
        <v>2.24549475</v>
      </c>
      <c r="I38" s="18" t="n">
        <v>0</v>
      </c>
      <c r="J38" s="20" t="n">
        <v>0</v>
      </c>
      <c r="K38" s="18" t="n">
        <v>0.27657872</v>
      </c>
      <c r="L38" s="20" t="n">
        <v>0.24214133</v>
      </c>
      <c r="M38" s="18" t="n">
        <v>0</v>
      </c>
      <c r="N38" s="20" t="n">
        <v>0</v>
      </c>
      <c r="O38" s="18" t="n">
        <v>0</v>
      </c>
      <c r="P38" s="20" t="n">
        <v>0</v>
      </c>
      <c r="Q38" s="18" t="n">
        <v>0.72136996</v>
      </c>
      <c r="R38" s="20" t="n">
        <v>0.39447405</v>
      </c>
    </row>
    <row r="39" spans="1:18">
      <c r="A39" s="15" t="s">
        <v>597</v>
      </c>
      <c r="B39" s="17" t="n">
        <v>5895</v>
      </c>
      <c r="C39" s="18">
        <f>(5240.0/B39*100)</f>
        <v/>
      </c>
      <c r="D39" s="19" t="n">
        <v>655</v>
      </c>
      <c r="E39" s="18" t="n">
        <v>56.82805484</v>
      </c>
      <c r="F39" s="20" t="n">
        <v>2.04697929</v>
      </c>
      <c r="G39" s="18" t="n">
        <v>41.92774652</v>
      </c>
      <c r="H39" s="20" t="n">
        <v>1.98527194</v>
      </c>
      <c r="I39" s="18" t="n">
        <v>0</v>
      </c>
      <c r="J39" s="20" t="n">
        <v>0</v>
      </c>
      <c r="K39" s="18" t="n">
        <v>0.10841926</v>
      </c>
      <c r="L39" s="20" t="n">
        <v>0.111631</v>
      </c>
      <c r="M39" s="18" t="n">
        <v>0</v>
      </c>
      <c r="N39" s="20" t="n">
        <v>0</v>
      </c>
      <c r="O39" s="18" t="n">
        <v>0</v>
      </c>
      <c r="P39" s="20" t="n">
        <v>0</v>
      </c>
      <c r="Q39" s="18" t="n">
        <v>1.13577939</v>
      </c>
      <c r="R39" s="20" t="n">
        <v>0.58040144</v>
      </c>
    </row>
    <row r="40" spans="1:18">
      <c r="A40" s="15" t="s">
        <v>598</v>
      </c>
      <c r="B40" s="17" t="n">
        <v>14157</v>
      </c>
      <c r="C40" s="18">
        <f>(12514.0/B40*100)</f>
        <v/>
      </c>
      <c r="D40" s="19" t="n">
        <v>1643</v>
      </c>
      <c r="E40" s="18" t="n">
        <v>37.44061678</v>
      </c>
      <c r="F40" s="20" t="n">
        <v>2.02770504</v>
      </c>
      <c r="G40" s="18" t="n">
        <v>61.76361045</v>
      </c>
      <c r="H40" s="20" t="n">
        <v>2.00381633</v>
      </c>
      <c r="I40" s="18" t="n">
        <v>0</v>
      </c>
      <c r="J40" s="20" t="n">
        <v>0</v>
      </c>
      <c r="K40" s="18" t="n">
        <v>0.06338676</v>
      </c>
      <c r="L40" s="20" t="n">
        <v>0.03551399</v>
      </c>
      <c r="M40" s="18" t="n">
        <v>0</v>
      </c>
      <c r="N40" s="20" t="n">
        <v>0</v>
      </c>
      <c r="O40" s="18" t="n">
        <v>0</v>
      </c>
      <c r="P40" s="20" t="n">
        <v>0</v>
      </c>
      <c r="Q40" s="18" t="n">
        <v>0.73238601</v>
      </c>
      <c r="R40" s="20" t="n">
        <v>0.34795992</v>
      </c>
    </row>
    <row r="41" spans="1:18">
      <c r="A41" s="15" t="s">
        <v>599</v>
      </c>
      <c r="B41" s="17" t="n">
        <v>5712</v>
      </c>
      <c r="C41" s="18">
        <f>(5098.0/B41*100)</f>
        <v/>
      </c>
      <c r="D41" s="19" t="n">
        <v>614</v>
      </c>
      <c r="E41" s="18" t="n">
        <v>48.72619246</v>
      </c>
      <c r="F41" s="20" t="n">
        <v>1.9744831</v>
      </c>
      <c r="G41" s="18" t="n">
        <v>50.81407089</v>
      </c>
      <c r="H41" s="20" t="n">
        <v>1.91556232</v>
      </c>
      <c r="I41" s="18" t="n">
        <v>0</v>
      </c>
      <c r="J41" s="20" t="n">
        <v>0</v>
      </c>
      <c r="K41" s="18" t="n">
        <v>0</v>
      </c>
      <c r="L41" s="20" t="n">
        <v>0</v>
      </c>
      <c r="M41" s="18" t="n">
        <v>0</v>
      </c>
      <c r="N41" s="20" t="n">
        <v>0</v>
      </c>
      <c r="O41" s="18" t="n">
        <v>0</v>
      </c>
      <c r="P41" s="20" t="n">
        <v>0</v>
      </c>
      <c r="Q41" s="18" t="n">
        <v>0.45973665</v>
      </c>
      <c r="R41" s="20" t="n">
        <v>0.28222183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(20967.0/B46*100)</f>
        <v/>
      </c>
      <c r="D46" s="19" t="n">
        <v>2174</v>
      </c>
      <c r="E46" s="18" t="n">
        <v>64.43350174</v>
      </c>
      <c r="F46" s="20" t="n">
        <v>1.54770653</v>
      </c>
      <c r="G46" s="18" t="n">
        <v>33.88275842</v>
      </c>
      <c r="H46" s="20" t="n">
        <v>1.51122234</v>
      </c>
      <c r="I46" s="18" t="n">
        <v>0</v>
      </c>
      <c r="J46" s="20" t="n">
        <v>0</v>
      </c>
      <c r="K46" s="18" t="n">
        <v>0.6727607799999999</v>
      </c>
      <c r="L46" s="20" t="n">
        <v>0.20810692</v>
      </c>
      <c r="M46" s="18" t="n">
        <v>0</v>
      </c>
      <c r="N46" s="20" t="n">
        <v>0</v>
      </c>
      <c r="O46" s="18" t="n">
        <v>0</v>
      </c>
      <c r="P46" s="20" t="n">
        <v>0</v>
      </c>
      <c r="Q46" s="18" t="n">
        <v>1.01097906</v>
      </c>
      <c r="R46" s="20" t="n">
        <v>0.27638611</v>
      </c>
    </row>
    <row r="47" spans="1:18">
      <c r="A47" s="15" t="s">
        <v>606</v>
      </c>
      <c r="B47" s="17" t="n">
        <v>5928</v>
      </c>
      <c r="C47" s="18">
        <f>(5294.0/B47*100)</f>
        <v/>
      </c>
      <c r="D47" s="19" t="n">
        <v>634</v>
      </c>
      <c r="E47" s="18" t="n">
        <v>58.00773678</v>
      </c>
      <c r="F47" s="20" t="n">
        <v>1.74663827</v>
      </c>
      <c r="G47" s="18" t="n">
        <v>41.5246511</v>
      </c>
      <c r="H47" s="20" t="n">
        <v>1.72836265</v>
      </c>
      <c r="I47" s="18" t="n">
        <v>0</v>
      </c>
      <c r="J47" s="20" t="n">
        <v>0</v>
      </c>
      <c r="K47" s="18" t="n">
        <v>0</v>
      </c>
      <c r="L47" s="20" t="n">
        <v>0</v>
      </c>
      <c r="M47" s="18" t="n">
        <v>0</v>
      </c>
      <c r="N47" s="20" t="n">
        <v>0</v>
      </c>
      <c r="O47" s="18" t="n">
        <v>0</v>
      </c>
      <c r="P47" s="20" t="n">
        <v>0</v>
      </c>
      <c r="Q47" s="18" t="n">
        <v>0.46761212</v>
      </c>
      <c r="R47" s="20" t="n">
        <v>0.25037914</v>
      </c>
    </row>
    <row r="48" spans="1:18">
      <c r="A48" s="15" t="s">
        <v>607</v>
      </c>
      <c r="B48" s="17" t="n">
        <v>9841</v>
      </c>
      <c r="C48" s="18">
        <f>(8764.0/B48*100)</f>
        <v/>
      </c>
      <c r="D48" s="19" t="n">
        <v>1077</v>
      </c>
      <c r="E48" s="18" t="n">
        <v>28.61254952</v>
      </c>
      <c r="F48" s="20" t="n">
        <v>1.66287053</v>
      </c>
      <c r="G48" s="18" t="n">
        <v>70.49018086</v>
      </c>
      <c r="H48" s="20" t="n">
        <v>1.68194796</v>
      </c>
      <c r="I48" s="18" t="n">
        <v>0</v>
      </c>
      <c r="J48" s="20" t="n">
        <v>0</v>
      </c>
      <c r="K48" s="18" t="n">
        <v>0.62334667</v>
      </c>
      <c r="L48" s="20" t="n">
        <v>0.392842</v>
      </c>
      <c r="M48" s="18" t="n">
        <v>0</v>
      </c>
      <c r="N48" s="20" t="n">
        <v>0</v>
      </c>
      <c r="O48" s="18" t="n">
        <v>0</v>
      </c>
      <c r="P48" s="20" t="n">
        <v>0</v>
      </c>
      <c r="Q48" s="18" t="n">
        <v>0.27392295</v>
      </c>
      <c r="R48" s="20" t="n">
        <v>0.17949365</v>
      </c>
    </row>
    <row r="49" spans="1:18">
      <c r="A49" s="15" t="s">
        <v>608</v>
      </c>
      <c r="B49" s="17" t="n">
        <v>11795</v>
      </c>
      <c r="C49" s="18">
        <f>(10530.0/B49*100)</f>
        <v/>
      </c>
      <c r="D49" s="19" t="n">
        <v>1265</v>
      </c>
      <c r="E49" s="18" t="n">
        <v>63.9584314</v>
      </c>
      <c r="F49" s="20" t="n">
        <v>1.66048963</v>
      </c>
      <c r="G49" s="18" t="n">
        <v>33.84581244</v>
      </c>
      <c r="H49" s="20" t="n">
        <v>1.5870054</v>
      </c>
      <c r="I49" s="18" t="n">
        <v>0</v>
      </c>
      <c r="J49" s="20" t="n">
        <v>0</v>
      </c>
      <c r="K49" s="18" t="n">
        <v>1.35818783</v>
      </c>
      <c r="L49" s="20" t="n">
        <v>0.58630342</v>
      </c>
      <c r="M49" s="18" t="n">
        <v>0</v>
      </c>
      <c r="N49" s="20" t="n">
        <v>0</v>
      </c>
      <c r="O49" s="18" t="n">
        <v>0</v>
      </c>
      <c r="P49" s="20" t="n">
        <v>0</v>
      </c>
      <c r="Q49" s="18" t="n">
        <v>0.83756833</v>
      </c>
      <c r="R49" s="20" t="n">
        <v>0.32797881</v>
      </c>
    </row>
    <row r="50" spans="1:18">
      <c r="A50" s="15" t="s">
        <v>609</v>
      </c>
      <c r="B50" s="17" t="n">
        <v>6866</v>
      </c>
      <c r="C50" s="18">
        <f>(6190.0/B50*100)</f>
        <v/>
      </c>
      <c r="D50" s="19" t="n">
        <v>676</v>
      </c>
      <c r="E50" s="18" t="n">
        <v>59.26249527</v>
      </c>
      <c r="F50" s="20" t="n">
        <v>1.96556383</v>
      </c>
      <c r="G50" s="18" t="n">
        <v>39.94076034</v>
      </c>
      <c r="H50" s="20" t="n">
        <v>1.97759791</v>
      </c>
      <c r="I50" s="18" t="n">
        <v>0</v>
      </c>
      <c r="J50" s="20" t="n">
        <v>0</v>
      </c>
      <c r="K50" s="18" t="n">
        <v>0.36861567</v>
      </c>
      <c r="L50" s="20" t="n">
        <v>0.31981635</v>
      </c>
      <c r="M50" s="18" t="n">
        <v>0</v>
      </c>
      <c r="N50" s="20" t="n">
        <v>0</v>
      </c>
      <c r="O50" s="18" t="n">
        <v>0</v>
      </c>
      <c r="P50" s="20" t="n">
        <v>0</v>
      </c>
      <c r="Q50" s="18" t="n">
        <v>0.42812872</v>
      </c>
      <c r="R50" s="20" t="n">
        <v>0.19767522</v>
      </c>
    </row>
    <row r="51" spans="1:18">
      <c r="A51" s="15" t="s">
        <v>610</v>
      </c>
      <c r="B51" s="17" t="n">
        <v>5809</v>
      </c>
      <c r="C51" s="18">
        <f>(5197.0/B51*100)</f>
        <v/>
      </c>
      <c r="D51" s="19" t="n">
        <v>612</v>
      </c>
      <c r="E51" s="18" t="n">
        <v>64.92035534</v>
      </c>
      <c r="F51" s="20" t="n">
        <v>1.87202249</v>
      </c>
      <c r="G51" s="18" t="n">
        <v>34.94135106</v>
      </c>
      <c r="H51" s="20" t="n">
        <v>1.86591587</v>
      </c>
      <c r="I51" s="18" t="n">
        <v>0</v>
      </c>
      <c r="J51" s="20" t="n">
        <v>0</v>
      </c>
      <c r="K51" s="18" t="n">
        <v>0</v>
      </c>
      <c r="L51" s="20" t="n">
        <v>0</v>
      </c>
      <c r="M51" s="18" t="n">
        <v>0</v>
      </c>
      <c r="N51" s="20" t="n">
        <v>0</v>
      </c>
      <c r="O51" s="18" t="n">
        <v>0</v>
      </c>
      <c r="P51" s="20" t="n">
        <v>0</v>
      </c>
      <c r="Q51" s="18" t="n">
        <v>0.1382936</v>
      </c>
      <c r="R51" s="20" t="n">
        <v>0.1379926</v>
      </c>
    </row>
    <row r="52" spans="1:18">
      <c r="A52" s="15" t="s">
        <v>611</v>
      </c>
      <c r="B52" s="17" t="n">
        <v>5571</v>
      </c>
      <c r="C52" s="18">
        <f>(4951.0/B52*100)</f>
        <v/>
      </c>
      <c r="D52" s="19" t="n">
        <v>620</v>
      </c>
      <c r="E52" s="18" t="n">
        <v>55.13788712</v>
      </c>
      <c r="F52" s="20" t="n">
        <v>2.00597769</v>
      </c>
      <c r="G52" s="18" t="n">
        <v>44.29188239</v>
      </c>
      <c r="H52" s="20" t="n">
        <v>2.05521385</v>
      </c>
      <c r="I52" s="18" t="n">
        <v>0</v>
      </c>
      <c r="J52" s="20" t="n">
        <v>0</v>
      </c>
      <c r="K52" s="18" t="n">
        <v>0.10703069</v>
      </c>
      <c r="L52" s="20" t="n">
        <v>0.10805786</v>
      </c>
      <c r="M52" s="18" t="n">
        <v>0</v>
      </c>
      <c r="N52" s="20" t="n">
        <v>0</v>
      </c>
      <c r="O52" s="18" t="n">
        <v>0</v>
      </c>
      <c r="P52" s="20" t="n">
        <v>0</v>
      </c>
      <c r="Q52" s="18" t="n">
        <v>0.4631998</v>
      </c>
      <c r="R52" s="20" t="n">
        <v>0.27283841</v>
      </c>
    </row>
    <row r="53" spans="1:18">
      <c r="A53" s="15" t="s">
        <v>612</v>
      </c>
      <c r="B53" s="17" t="n">
        <v>4740</v>
      </c>
      <c r="C53" s="18">
        <f>(4220.0/B53*100)</f>
        <v/>
      </c>
      <c r="D53" s="19" t="n">
        <v>520</v>
      </c>
      <c r="E53" s="18" t="n">
        <v>64.18448934</v>
      </c>
      <c r="F53" s="20" t="n">
        <v>2.25426429</v>
      </c>
      <c r="G53" s="18" t="n">
        <v>22.10313152</v>
      </c>
      <c r="H53" s="20" t="n">
        <v>1.88505451</v>
      </c>
      <c r="I53" s="18" t="n">
        <v>0</v>
      </c>
      <c r="J53" s="20" t="n">
        <v>0</v>
      </c>
      <c r="K53" s="18" t="n">
        <v>11.16916333</v>
      </c>
      <c r="L53" s="20" t="n">
        <v>1.52156987</v>
      </c>
      <c r="M53" s="18" t="n">
        <v>0</v>
      </c>
      <c r="N53" s="20" t="n">
        <v>0</v>
      </c>
      <c r="O53" s="18" t="n">
        <v>0</v>
      </c>
      <c r="P53" s="20" t="n">
        <v>0</v>
      </c>
      <c r="Q53" s="18" t="n">
        <v>2.54321582</v>
      </c>
      <c r="R53" s="20" t="n">
        <v>0.7484226899999999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(4773.0/B55*100)</f>
        <v/>
      </c>
      <c r="D55" s="19" t="n">
        <v>586</v>
      </c>
      <c r="E55" s="18" t="n">
        <v>31.83286928</v>
      </c>
      <c r="F55" s="20" t="n">
        <v>2.22799506</v>
      </c>
      <c r="G55" s="18" t="n">
        <v>67.83907504</v>
      </c>
      <c r="H55" s="20" t="n">
        <v>2.17198052</v>
      </c>
      <c r="I55" s="18" t="n">
        <v>0</v>
      </c>
      <c r="J55" s="20" t="n">
        <v>0</v>
      </c>
      <c r="K55" s="18" t="n">
        <v>0.32805568</v>
      </c>
      <c r="L55" s="20" t="n">
        <v>0.31539331</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(5827.0/B61*100)</f>
        <v/>
      </c>
      <c r="D61" s="19" t="n">
        <v>698</v>
      </c>
      <c r="E61" s="18" t="n">
        <v>52.01226996</v>
      </c>
      <c r="F61" s="20" t="n">
        <v>2.30452071</v>
      </c>
      <c r="G61" s="18" t="n">
        <v>47.12143444</v>
      </c>
      <c r="H61" s="20" t="n">
        <v>2.24929785</v>
      </c>
      <c r="I61" s="18" t="n">
        <v>0</v>
      </c>
      <c r="J61" s="20" t="n">
        <v>0</v>
      </c>
      <c r="K61" s="18" t="n">
        <v>0.19612475</v>
      </c>
      <c r="L61" s="20" t="n">
        <v>0.20523611</v>
      </c>
      <c r="M61" s="18" t="n">
        <v>0</v>
      </c>
      <c r="N61" s="20" t="n">
        <v>0</v>
      </c>
      <c r="O61" s="18" t="n">
        <v>0</v>
      </c>
      <c r="P61" s="20" t="n">
        <v>0</v>
      </c>
      <c r="Q61" s="18" t="n">
        <v>0.67017085</v>
      </c>
      <c r="R61" s="20" t="n">
        <v>0.32456568</v>
      </c>
    </row>
    <row r="62" spans="1:18">
      <c r="A62" s="15" t="s">
        <v>622</v>
      </c>
      <c r="B62" s="17" t="n">
        <v>4476</v>
      </c>
      <c r="C62" s="18">
        <f>(3968.0/B62*100)</f>
        <v/>
      </c>
      <c r="D62" s="19" t="n">
        <v>508</v>
      </c>
      <c r="E62" s="18" t="n">
        <v>39.18875341</v>
      </c>
      <c r="F62" s="20" t="n">
        <v>2.19343959</v>
      </c>
      <c r="G62" s="18" t="n">
        <v>60.615913</v>
      </c>
      <c r="H62" s="20" t="n">
        <v>2.20543336</v>
      </c>
      <c r="I62" s="18" t="n">
        <v>0</v>
      </c>
      <c r="J62" s="20" t="n">
        <v>0</v>
      </c>
      <c r="K62" s="18" t="n">
        <v>0</v>
      </c>
      <c r="L62" s="20" t="n">
        <v>0</v>
      </c>
      <c r="M62" s="18" t="n">
        <v>0</v>
      </c>
      <c r="N62" s="20" t="n">
        <v>0</v>
      </c>
      <c r="O62" s="18" t="n">
        <v>0</v>
      </c>
      <c r="P62" s="20" t="n">
        <v>0</v>
      </c>
      <c r="Q62" s="18" t="n">
        <v>0.19533359</v>
      </c>
      <c r="R62" s="20" t="n">
        <v>0.19468397</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(5076.0/B67*100)</f>
        <v/>
      </c>
      <c r="D67" s="19" t="n">
        <v>589</v>
      </c>
      <c r="E67" s="18" t="n">
        <v>74.26161552000001</v>
      </c>
      <c r="F67" s="20" t="n">
        <v>1.78470174</v>
      </c>
      <c r="G67" s="18" t="n">
        <v>24.02237842</v>
      </c>
      <c r="H67" s="20" t="n">
        <v>1.71296354</v>
      </c>
      <c r="I67" s="18" t="n">
        <v>0</v>
      </c>
      <c r="J67" s="20" t="n">
        <v>0</v>
      </c>
      <c r="K67" s="18" t="n">
        <v>0.17411146</v>
      </c>
      <c r="L67" s="20" t="n">
        <v>0.17342104</v>
      </c>
      <c r="M67" s="18" t="n">
        <v>0</v>
      </c>
      <c r="N67" s="20" t="n">
        <v>0</v>
      </c>
      <c r="O67" s="18" t="n">
        <v>0</v>
      </c>
      <c r="P67" s="20" t="n">
        <v>0</v>
      </c>
      <c r="Q67" s="18" t="n">
        <v>1.5418946</v>
      </c>
      <c r="R67" s="20" t="n">
        <v>0.45358838</v>
      </c>
    </row>
    <row r="68" spans="1:18">
      <c r="A68" s="15" t="s">
        <v>628</v>
      </c>
      <c r="B68" s="17" t="n">
        <v>6971</v>
      </c>
      <c r="C68" s="18">
        <f>(6273.0/B68*100)</f>
        <v/>
      </c>
      <c r="D68" s="19" t="n">
        <v>698</v>
      </c>
      <c r="E68" s="18" t="n">
        <v>71.66283073</v>
      </c>
      <c r="F68" s="20" t="n">
        <v>1.51634638</v>
      </c>
      <c r="G68" s="18" t="n">
        <v>27.07019933</v>
      </c>
      <c r="H68" s="20" t="n">
        <v>1.58183342</v>
      </c>
      <c r="I68" s="18" t="n">
        <v>0</v>
      </c>
      <c r="J68" s="20" t="n">
        <v>0</v>
      </c>
      <c r="K68" s="18" t="n">
        <v>0.28367461</v>
      </c>
      <c r="L68" s="20" t="n">
        <v>0.20855699</v>
      </c>
      <c r="M68" s="18" t="n">
        <v>0</v>
      </c>
      <c r="N68" s="20" t="n">
        <v>0</v>
      </c>
      <c r="O68" s="18" t="n">
        <v>0</v>
      </c>
      <c r="P68" s="20" t="n">
        <v>0</v>
      </c>
      <c r="Q68" s="18" t="n">
        <v>0.98329533</v>
      </c>
      <c r="R68" s="20" t="n">
        <v>0.49220497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(10749.0/B70*100)</f>
        <v/>
      </c>
      <c r="D70" s="19" t="n">
        <v>1334</v>
      </c>
      <c r="E70" s="18" t="n">
        <v>60.25762608</v>
      </c>
      <c r="F70" s="20" t="n">
        <v>1.24433812</v>
      </c>
      <c r="G70" s="18" t="n">
        <v>36.79963587</v>
      </c>
      <c r="H70" s="20" t="n">
        <v>1.22991129</v>
      </c>
      <c r="I70" s="18" t="n">
        <v>0</v>
      </c>
      <c r="J70" s="20" t="n">
        <v>0</v>
      </c>
      <c r="K70" s="18" t="n">
        <v>1.66093469</v>
      </c>
      <c r="L70" s="20" t="n">
        <v>0.38647945</v>
      </c>
      <c r="M70" s="18" t="n">
        <v>0</v>
      </c>
      <c r="N70" s="20" t="n">
        <v>0</v>
      </c>
      <c r="O70" s="18" t="n">
        <v>0</v>
      </c>
      <c r="P70" s="20" t="n">
        <v>0</v>
      </c>
      <c r="Q70" s="18" t="n">
        <v>1.28180336</v>
      </c>
      <c r="R70" s="20" t="n">
        <v>0.30732586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(5408.0/B72*100)</f>
        <v/>
      </c>
      <c r="D72" s="19" t="n">
        <v>628</v>
      </c>
      <c r="E72" s="18" t="n">
        <v>63.83261051</v>
      </c>
      <c r="F72" s="20" t="n">
        <v>2.18750012</v>
      </c>
      <c r="G72" s="18" t="n">
        <v>35.74354929</v>
      </c>
      <c r="H72" s="20" t="n">
        <v>2.11760451</v>
      </c>
      <c r="I72" s="18" t="n">
        <v>0</v>
      </c>
      <c r="J72" s="20" t="n">
        <v>0</v>
      </c>
      <c r="K72" s="18" t="n">
        <v>0.10591067</v>
      </c>
      <c r="L72" s="20" t="n">
        <v>0.08982815</v>
      </c>
      <c r="M72" s="18" t="n">
        <v>0</v>
      </c>
      <c r="N72" s="20" t="n">
        <v>0</v>
      </c>
      <c r="O72" s="18" t="n">
        <v>0</v>
      </c>
      <c r="P72" s="20" t="n">
        <v>0</v>
      </c>
      <c r="Q72" s="18" t="n">
        <v>0.31792953</v>
      </c>
      <c r="R72" s="20" t="n">
        <v>0.31747281</v>
      </c>
    </row>
    <row r="73" spans="1:18">
      <c r="A73" s="15" t="s">
        <v>633</v>
      </c>
      <c r="B73" s="17" t="n">
        <v>6115</v>
      </c>
      <c r="C73" s="18">
        <f>(5428.0/B73*100)</f>
        <v/>
      </c>
      <c r="D73" s="19" t="n">
        <v>687</v>
      </c>
      <c r="E73" s="18" t="n">
        <v>38.29244365</v>
      </c>
      <c r="F73" s="20" t="n">
        <v>2.1328511</v>
      </c>
      <c r="G73" s="18" t="n">
        <v>61.50448788</v>
      </c>
      <c r="H73" s="20" t="n">
        <v>2.1560098</v>
      </c>
      <c r="I73" s="18" t="n">
        <v>0</v>
      </c>
      <c r="J73" s="20" t="n">
        <v>0</v>
      </c>
      <c r="K73" s="18" t="n">
        <v>0</v>
      </c>
      <c r="L73" s="20" t="n">
        <v>0</v>
      </c>
      <c r="M73" s="18" t="n">
        <v>0</v>
      </c>
      <c r="N73" s="20" t="n">
        <v>0</v>
      </c>
      <c r="O73" s="18" t="n">
        <v>0</v>
      </c>
      <c r="P73" s="20" t="n">
        <v>0</v>
      </c>
      <c r="Q73" s="18" t="n">
        <v>0.20306847</v>
      </c>
      <c r="R73" s="20" t="n">
        <v>0.14908189</v>
      </c>
    </row>
    <row r="74" spans="1:18">
      <c r="A74" s="15" t="s">
        <v>634</v>
      </c>
      <c r="B74" s="17" t="n">
        <v>7708</v>
      </c>
      <c r="C74" s="18">
        <f>(6813.0/B74*100)</f>
        <v/>
      </c>
      <c r="D74" s="19" t="n">
        <v>895</v>
      </c>
      <c r="E74" s="18" t="n">
        <v>32.07004964</v>
      </c>
      <c r="F74" s="20" t="n">
        <v>1.54354741</v>
      </c>
      <c r="G74" s="18" t="n">
        <v>67.53543827999999</v>
      </c>
      <c r="H74" s="20" t="n">
        <v>1.55721278</v>
      </c>
      <c r="I74" s="18" t="n">
        <v>0</v>
      </c>
      <c r="J74" s="20" t="n">
        <v>0</v>
      </c>
      <c r="K74" s="18" t="n">
        <v>0.12216639</v>
      </c>
      <c r="L74" s="20" t="n">
        <v>0.12266837</v>
      </c>
      <c r="M74" s="18" t="n">
        <v>0</v>
      </c>
      <c r="N74" s="20" t="n">
        <v>0</v>
      </c>
      <c r="O74" s="18" t="n">
        <v>0</v>
      </c>
      <c r="P74" s="20" t="n">
        <v>0</v>
      </c>
      <c r="Q74" s="18" t="n">
        <v>0.27234568</v>
      </c>
      <c r="R74" s="20" t="n">
        <v>0.15818546</v>
      </c>
    </row>
    <row r="75" spans="1:18">
      <c r="A75" s="15" t="s">
        <v>635</v>
      </c>
      <c r="B75" s="17" t="n">
        <v>8249</v>
      </c>
      <c r="C75" s="18">
        <f>(7352.0/B75*100)</f>
        <v/>
      </c>
      <c r="D75" s="19" t="n">
        <v>897</v>
      </c>
      <c r="E75" s="18" t="n">
        <v>50.60355392</v>
      </c>
      <c r="F75" s="20" t="n">
        <v>1.93655161</v>
      </c>
      <c r="G75" s="18" t="n">
        <v>49.18880023</v>
      </c>
      <c r="H75" s="20" t="n">
        <v>1.98011641</v>
      </c>
      <c r="I75" s="18" t="n">
        <v>0</v>
      </c>
      <c r="J75" s="20" t="n">
        <v>0</v>
      </c>
      <c r="K75" s="18" t="n">
        <v>0</v>
      </c>
      <c r="L75" s="20" t="n">
        <v>0</v>
      </c>
      <c r="M75" s="18" t="n">
        <v>0</v>
      </c>
      <c r="N75" s="20" t="n">
        <v>0</v>
      </c>
      <c r="O75" s="18" t="n">
        <v>0</v>
      </c>
      <c r="P75" s="20" t="n">
        <v>0</v>
      </c>
      <c r="Q75" s="18" t="n">
        <v>0.20764585</v>
      </c>
      <c r="R75" s="20" t="n">
        <v>0.16509815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(4846.0/B77*100)</f>
        <v/>
      </c>
      <c r="D77" s="19" t="n">
        <v>529</v>
      </c>
      <c r="E77" s="18" t="n">
        <v>43.07417759</v>
      </c>
      <c r="F77" s="20" t="n">
        <v>2.21151803</v>
      </c>
      <c r="G77" s="18" t="n">
        <v>52.67186918</v>
      </c>
      <c r="H77" s="20" t="n">
        <v>2.27797763</v>
      </c>
      <c r="I77" s="18" t="n">
        <v>0</v>
      </c>
      <c r="J77" s="20" t="n">
        <v>0</v>
      </c>
      <c r="K77" s="18" t="n">
        <v>2.46460285</v>
      </c>
      <c r="L77" s="20" t="n">
        <v>0.56242193</v>
      </c>
      <c r="M77" s="18" t="n">
        <v>0</v>
      </c>
      <c r="N77" s="20" t="n">
        <v>0</v>
      </c>
      <c r="O77" s="18" t="n">
        <v>0</v>
      </c>
      <c r="P77" s="20" t="n">
        <v>0</v>
      </c>
      <c r="Q77" s="18" t="n">
        <v>1.78935038</v>
      </c>
      <c r="R77" s="20" t="n">
        <v>0.65209067</v>
      </c>
    </row>
    <row r="78" spans="1:18">
      <c r="A78" s="15" t="s">
        <v>638</v>
      </c>
      <c r="B78" s="17" t="n">
        <v>14167</v>
      </c>
      <c r="C78" s="18">
        <f>(12572.0/B78*100)</f>
        <v/>
      </c>
      <c r="D78" s="19" t="n">
        <v>1595</v>
      </c>
      <c r="E78" s="18" t="n">
        <v>61.26385562</v>
      </c>
      <c r="F78" s="20" t="n">
        <v>1.72425933</v>
      </c>
      <c r="G78" s="18" t="n">
        <v>36.91658615</v>
      </c>
      <c r="H78" s="20" t="n">
        <v>1.63677135</v>
      </c>
      <c r="I78" s="18" t="n">
        <v>0</v>
      </c>
      <c r="J78" s="20" t="n">
        <v>0</v>
      </c>
      <c r="K78" s="18" t="n">
        <v>0.84841963</v>
      </c>
      <c r="L78" s="20" t="n">
        <v>0.27978777</v>
      </c>
      <c r="M78" s="18" t="n">
        <v>0</v>
      </c>
      <c r="N78" s="20" t="n">
        <v>0</v>
      </c>
      <c r="O78" s="18" t="n">
        <v>0</v>
      </c>
      <c r="P78" s="20" t="n">
        <v>0</v>
      </c>
      <c r="Q78" s="18" t="n">
        <v>0.9711386</v>
      </c>
      <c r="R78" s="20" t="n">
        <v>0.30125887</v>
      </c>
    </row>
    <row r="79" spans="1:18">
      <c r="A79" s="15" t="s">
        <v>639</v>
      </c>
      <c r="B79" s="17" t="n">
        <v>6062</v>
      </c>
      <c r="C79" s="18">
        <f>(5419.0/B79*100)</f>
        <v/>
      </c>
      <c r="D79" s="19" t="n">
        <v>643</v>
      </c>
      <c r="E79" s="18" t="n">
        <v>56.81014648</v>
      </c>
      <c r="F79" s="20" t="n">
        <v>1.86956571</v>
      </c>
      <c r="G79" s="18" t="n">
        <v>42.47782926</v>
      </c>
      <c r="H79" s="20" t="n">
        <v>1.9302261</v>
      </c>
      <c r="I79" s="18" t="n">
        <v>0</v>
      </c>
      <c r="J79" s="20" t="n">
        <v>0</v>
      </c>
      <c r="K79" s="18" t="n">
        <v>0.40906995</v>
      </c>
      <c r="L79" s="20" t="n">
        <v>0.32254817</v>
      </c>
      <c r="M79" s="18" t="n">
        <v>0</v>
      </c>
      <c r="N79" s="20" t="n">
        <v>0</v>
      </c>
      <c r="O79" s="18" t="n">
        <v>0</v>
      </c>
      <c r="P79" s="20" t="n">
        <v>0</v>
      </c>
      <c r="Q79" s="18" t="n">
        <v>0.30295431</v>
      </c>
      <c r="R79" s="20" t="n">
        <v>0.20637376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(28719.0/B82*100)</f>
        <v/>
      </c>
      <c r="D82" s="19" t="n">
        <v>3611</v>
      </c>
      <c r="E82" s="18" t="n">
        <v>46.49351742</v>
      </c>
      <c r="F82" s="20" t="n">
        <v>1.16246344</v>
      </c>
      <c r="G82" s="18" t="n">
        <v>52.95080523</v>
      </c>
      <c r="H82" s="20" t="n">
        <v>1.17139128</v>
      </c>
      <c r="I82" s="18" t="n">
        <v>0</v>
      </c>
      <c r="J82" s="20" t="n">
        <v>0</v>
      </c>
      <c r="K82" s="18" t="n">
        <v>0.06612954</v>
      </c>
      <c r="L82" s="20" t="n">
        <v>0.03058334</v>
      </c>
      <c r="M82" s="18" t="n">
        <v>0</v>
      </c>
      <c r="N82" s="20" t="n">
        <v>0</v>
      </c>
      <c r="O82" s="18" t="n">
        <v>0</v>
      </c>
      <c r="P82" s="20" t="n">
        <v>0</v>
      </c>
      <c r="Q82" s="18" t="n">
        <v>0.48954781</v>
      </c>
      <c r="R82" s="20" t="n">
        <v>0.16933998</v>
      </c>
    </row>
    <row r="83" spans="1:18">
      <c r="A83" s="15" t="s">
        <v>643</v>
      </c>
      <c r="B83" s="17" t="n">
        <v>1652</v>
      </c>
      <c r="C83" s="18">
        <f>(1479.0/B83*100)</f>
        <v/>
      </c>
      <c r="D83" s="19" t="n">
        <v>173</v>
      </c>
      <c r="E83" s="18" t="n">
        <v>48.69184139</v>
      </c>
      <c r="F83" s="20" t="n">
        <v>3.19569492</v>
      </c>
      <c r="G83" s="18" t="n">
        <v>50.64568228</v>
      </c>
      <c r="H83" s="20" t="n">
        <v>3.25963431</v>
      </c>
      <c r="I83" s="18" t="n">
        <v>0</v>
      </c>
      <c r="J83" s="20" t="n">
        <v>0</v>
      </c>
      <c r="K83" s="18" t="n">
        <v>0</v>
      </c>
      <c r="L83" s="20" t="n">
        <v>0</v>
      </c>
      <c r="M83" s="18" t="n">
        <v>0</v>
      </c>
      <c r="N83" s="20" t="n">
        <v>0</v>
      </c>
      <c r="O83" s="18" t="n">
        <v>0</v>
      </c>
      <c r="P83" s="20" t="n">
        <v>0</v>
      </c>
      <c r="Q83" s="18" t="n">
        <v>0.66247634</v>
      </c>
      <c r="R83" s="20" t="n">
        <v>0.59667836</v>
      </c>
    </row>
    <row r="84" spans="1:18">
      <c r="A84" s="23" t="s">
        <v>644</v>
      </c>
      <c r="B84" s="24" t="n">
        <v>1887</v>
      </c>
      <c r="C84" s="25">
        <f>(1681.0/B84*100)</f>
        <v/>
      </c>
      <c r="D84" s="19" t="n">
        <v>206</v>
      </c>
      <c r="E84" s="18" t="n">
        <v>45.78496555</v>
      </c>
      <c r="F84" s="20" t="n">
        <v>3.2332502</v>
      </c>
      <c r="G84" s="18" t="n">
        <v>53.72687416</v>
      </c>
      <c r="H84" s="20" t="n">
        <v>3.3922122</v>
      </c>
      <c r="I84" s="18" t="n">
        <v>0</v>
      </c>
      <c r="J84" s="20" t="n">
        <v>0</v>
      </c>
      <c r="K84" s="18" t="n">
        <v>0</v>
      </c>
      <c r="L84" s="20" t="n">
        <v>0</v>
      </c>
      <c r="M84" s="18" t="n">
        <v>0</v>
      </c>
      <c r="N84" s="20" t="n">
        <v>0</v>
      </c>
      <c r="O84" s="18" t="n">
        <v>0</v>
      </c>
      <c r="P84" s="20" t="n">
        <v>0</v>
      </c>
      <c r="Q84" s="18" t="n">
        <v>0.48816029</v>
      </c>
      <c r="R84" s="20" t="n">
        <v>0.49469818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667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(12904.0/B7*100)</f>
        <v/>
      </c>
      <c r="D7" s="19" t="n">
        <v>1626</v>
      </c>
      <c r="E7" s="18" t="n">
        <v>11.61453968</v>
      </c>
      <c r="F7" s="20" t="n">
        <v>0.98351976</v>
      </c>
      <c r="G7" s="18" t="n">
        <v>87.55104104999999</v>
      </c>
      <c r="H7" s="20" t="n">
        <v>0.96045682</v>
      </c>
      <c r="I7" s="18" t="n">
        <v>0</v>
      </c>
      <c r="J7" s="20" t="n">
        <v>0</v>
      </c>
      <c r="K7" s="18" t="n">
        <v>0.25662704</v>
      </c>
      <c r="L7" s="20" t="n">
        <v>0.11075099</v>
      </c>
      <c r="M7" s="18" t="n">
        <v>0</v>
      </c>
      <c r="N7" s="20" t="n">
        <v>0</v>
      </c>
      <c r="O7" s="18" t="n">
        <v>0</v>
      </c>
      <c r="P7" s="20" t="n">
        <v>0</v>
      </c>
      <c r="Q7" s="18" t="n">
        <v>0.57779223</v>
      </c>
      <c r="R7" s="20" t="n">
        <v>0.20217588</v>
      </c>
    </row>
    <row r="8" spans="1:18">
      <c r="A8" s="15" t="s">
        <v>566</v>
      </c>
      <c r="B8" s="17" t="n">
        <v>7007</v>
      </c>
      <c r="C8" s="18">
        <f>(6239.0/B8*100)</f>
        <v/>
      </c>
      <c r="D8" s="19" t="n">
        <v>768</v>
      </c>
      <c r="E8" s="18" t="n">
        <v>7.93395457</v>
      </c>
      <c r="F8" s="20" t="n">
        <v>1.1735117</v>
      </c>
      <c r="G8" s="18" t="n">
        <v>91.38058002</v>
      </c>
      <c r="H8" s="20" t="n">
        <v>1.18782028</v>
      </c>
      <c r="I8" s="18" t="n">
        <v>0</v>
      </c>
      <c r="J8" s="20" t="n">
        <v>0</v>
      </c>
      <c r="K8" s="18" t="n">
        <v>0</v>
      </c>
      <c r="L8" s="20" t="n">
        <v>0</v>
      </c>
      <c r="M8" s="18" t="n">
        <v>0</v>
      </c>
      <c r="N8" s="20" t="n">
        <v>0</v>
      </c>
      <c r="O8" s="18" t="n">
        <v>0</v>
      </c>
      <c r="P8" s="20" t="n">
        <v>0</v>
      </c>
      <c r="Q8" s="18" t="n">
        <v>0.6854654100000001</v>
      </c>
      <c r="R8" s="20" t="n">
        <v>0.3198745</v>
      </c>
    </row>
    <row r="9" spans="1:18">
      <c r="A9" s="15" t="s">
        <v>567</v>
      </c>
      <c r="B9" s="17" t="n">
        <v>9651</v>
      </c>
      <c r="C9" s="18">
        <f>(8597.0/B9*100)</f>
        <v/>
      </c>
      <c r="D9" s="19" t="n">
        <v>1054</v>
      </c>
      <c r="E9" s="18" t="n">
        <v>10.87372826</v>
      </c>
      <c r="F9" s="20" t="n">
        <v>1.16628186</v>
      </c>
      <c r="G9" s="18" t="n">
        <v>88.48034706999999</v>
      </c>
      <c r="H9" s="20" t="n">
        <v>1.20497082</v>
      </c>
      <c r="I9" s="18" t="n">
        <v>0</v>
      </c>
      <c r="J9" s="20" t="n">
        <v>0</v>
      </c>
      <c r="K9" s="18" t="n">
        <v>0.08692936</v>
      </c>
      <c r="L9" s="20" t="n">
        <v>0.08695124</v>
      </c>
      <c r="M9" s="18" t="n">
        <v>0</v>
      </c>
      <c r="N9" s="20" t="n">
        <v>0</v>
      </c>
      <c r="O9" s="18" t="n">
        <v>0</v>
      </c>
      <c r="P9" s="20" t="n">
        <v>0</v>
      </c>
      <c r="Q9" s="18" t="n">
        <v>0.55899532</v>
      </c>
      <c r="R9" s="20" t="n">
        <v>0.26304054</v>
      </c>
    </row>
    <row r="10" spans="1:18">
      <c r="A10" s="15" t="s">
        <v>568</v>
      </c>
      <c r="B10" s="17" t="n">
        <v>20058</v>
      </c>
      <c r="C10" s="18">
        <f>(17831.0/B10*100)</f>
        <v/>
      </c>
      <c r="D10" s="19" t="n">
        <v>2227</v>
      </c>
      <c r="E10" s="18" t="n">
        <v>6.12252454</v>
      </c>
      <c r="F10" s="20" t="n">
        <v>0.62708804</v>
      </c>
      <c r="G10" s="18" t="n">
        <v>93.03679758</v>
      </c>
      <c r="H10" s="20" t="n">
        <v>0.66788595</v>
      </c>
      <c r="I10" s="18" t="n">
        <v>0</v>
      </c>
      <c r="J10" s="20" t="n">
        <v>0</v>
      </c>
      <c r="K10" s="18" t="n">
        <v>0.41757225</v>
      </c>
      <c r="L10" s="20" t="n">
        <v>0.20919077</v>
      </c>
      <c r="M10" s="18" t="n">
        <v>0</v>
      </c>
      <c r="N10" s="20" t="n">
        <v>0</v>
      </c>
      <c r="O10" s="18" t="n">
        <v>0</v>
      </c>
      <c r="P10" s="20" t="n">
        <v>0</v>
      </c>
      <c r="Q10" s="18" t="n">
        <v>0.42310564</v>
      </c>
      <c r="R10" s="20" t="n">
        <v>0.21057624</v>
      </c>
    </row>
    <row r="11" spans="1:18">
      <c r="A11" s="15" t="s">
        <v>569</v>
      </c>
      <c r="B11" s="17" t="n">
        <v>7053</v>
      </c>
      <c r="C11" s="18">
        <f>(6300.0/B11*100)</f>
        <v/>
      </c>
      <c r="D11" s="19" t="n">
        <v>753</v>
      </c>
      <c r="E11" s="18" t="n">
        <v>7.92659655</v>
      </c>
      <c r="F11" s="20" t="n">
        <v>1.19215202</v>
      </c>
      <c r="G11" s="18" t="n">
        <v>90.39073902</v>
      </c>
      <c r="H11" s="20" t="n">
        <v>1.30418199</v>
      </c>
      <c r="I11" s="18" t="n">
        <v>0</v>
      </c>
      <c r="J11" s="20" t="n">
        <v>0</v>
      </c>
      <c r="K11" s="18" t="n">
        <v>0.54584756</v>
      </c>
      <c r="L11" s="20" t="n">
        <v>0.40494755</v>
      </c>
      <c r="M11" s="18" t="n">
        <v>0</v>
      </c>
      <c r="N11" s="20" t="n">
        <v>0</v>
      </c>
      <c r="O11" s="18" t="n">
        <v>0</v>
      </c>
      <c r="P11" s="20" t="n">
        <v>0</v>
      </c>
      <c r="Q11" s="18" t="n">
        <v>1.13681687</v>
      </c>
      <c r="R11" s="20" t="n">
        <v>0.4468832</v>
      </c>
    </row>
    <row r="12" spans="1:18">
      <c r="A12" s="15" t="s">
        <v>570</v>
      </c>
      <c r="B12" s="17" t="n">
        <v>6894</v>
      </c>
      <c r="C12" s="18">
        <f>(6147.0/B12*100)</f>
        <v/>
      </c>
      <c r="D12" s="19" t="n">
        <v>747</v>
      </c>
      <c r="E12" s="18" t="n">
        <v>6.60514984</v>
      </c>
      <c r="F12" s="20" t="n">
        <v>1.05231555</v>
      </c>
      <c r="G12" s="18" t="n">
        <v>93.07904535</v>
      </c>
      <c r="H12" s="20" t="n">
        <v>1.09991579</v>
      </c>
      <c r="I12" s="18" t="n">
        <v>0</v>
      </c>
      <c r="J12" s="20" t="n">
        <v>0</v>
      </c>
      <c r="K12" s="18" t="n">
        <v>0.07683437999999999</v>
      </c>
      <c r="L12" s="20" t="n">
        <v>0.07436616</v>
      </c>
      <c r="M12" s="18" t="n">
        <v>0</v>
      </c>
      <c r="N12" s="20" t="n">
        <v>0</v>
      </c>
      <c r="O12" s="18" t="n">
        <v>0</v>
      </c>
      <c r="P12" s="20" t="n">
        <v>0</v>
      </c>
      <c r="Q12" s="18" t="n">
        <v>0.23897043</v>
      </c>
      <c r="R12" s="20" t="n">
        <v>0.2329549</v>
      </c>
    </row>
    <row r="13" spans="1:18">
      <c r="A13" s="15" t="s">
        <v>571</v>
      </c>
      <c r="B13" s="17" t="n">
        <v>7161</v>
      </c>
      <c r="C13" s="18">
        <f>(6423.0/B13*100)</f>
        <v/>
      </c>
      <c r="D13" s="19" t="n">
        <v>738</v>
      </c>
      <c r="E13" s="18" t="n">
        <v>8.378610610000001</v>
      </c>
      <c r="F13" s="20" t="n">
        <v>1.12410819</v>
      </c>
      <c r="G13" s="18" t="n">
        <v>90.09829836999999</v>
      </c>
      <c r="H13" s="20" t="n">
        <v>1.22514298</v>
      </c>
      <c r="I13" s="18" t="n">
        <v>0</v>
      </c>
      <c r="J13" s="20" t="n">
        <v>0</v>
      </c>
      <c r="K13" s="18" t="n">
        <v>0.89085053</v>
      </c>
      <c r="L13" s="20" t="n">
        <v>0.45805653</v>
      </c>
      <c r="M13" s="18" t="n">
        <v>0</v>
      </c>
      <c r="N13" s="20" t="n">
        <v>0</v>
      </c>
      <c r="O13" s="18" t="n">
        <v>0</v>
      </c>
      <c r="P13" s="20" t="n">
        <v>0</v>
      </c>
      <c r="Q13" s="18" t="n">
        <v>0.63224049</v>
      </c>
      <c r="R13" s="20" t="n">
        <v>0.4413382</v>
      </c>
    </row>
    <row r="14" spans="1:18">
      <c r="A14" s="15" t="s">
        <v>572</v>
      </c>
      <c r="B14" s="17" t="n">
        <v>5587</v>
      </c>
      <c r="C14" s="18">
        <f>(4960.0/B14*100)</f>
        <v/>
      </c>
      <c r="D14" s="19" t="n">
        <v>627</v>
      </c>
      <c r="E14" s="18" t="n">
        <v>5.50925386</v>
      </c>
      <c r="F14" s="20" t="n">
        <v>1.07185508</v>
      </c>
      <c r="G14" s="18" t="n">
        <v>94.08007345</v>
      </c>
      <c r="H14" s="20" t="n">
        <v>1.07766602</v>
      </c>
      <c r="I14" s="18" t="n">
        <v>0</v>
      </c>
      <c r="J14" s="20" t="n">
        <v>0</v>
      </c>
      <c r="K14" s="18" t="n">
        <v>0.15532137</v>
      </c>
      <c r="L14" s="20" t="n">
        <v>0.15700102</v>
      </c>
      <c r="M14" s="18" t="n">
        <v>0</v>
      </c>
      <c r="N14" s="20" t="n">
        <v>0</v>
      </c>
      <c r="O14" s="18" t="n">
        <v>0</v>
      </c>
      <c r="P14" s="20" t="n">
        <v>0</v>
      </c>
      <c r="Q14" s="18" t="n">
        <v>0.25535132</v>
      </c>
      <c r="R14" s="20" t="n">
        <v>0.18050927</v>
      </c>
    </row>
    <row r="15" spans="1:18">
      <c r="A15" s="15" t="s">
        <v>573</v>
      </c>
      <c r="B15" s="17" t="n">
        <v>5882</v>
      </c>
      <c r="C15" s="18">
        <f>(5214.0/B15*100)</f>
        <v/>
      </c>
      <c r="D15" s="19" t="n">
        <v>668</v>
      </c>
      <c r="E15" s="18" t="n">
        <v>4.03780769</v>
      </c>
      <c r="F15" s="20" t="n">
        <v>0.76409056</v>
      </c>
      <c r="G15" s="18" t="n">
        <v>95.82674185</v>
      </c>
      <c r="H15" s="20" t="n">
        <v>0.79670874</v>
      </c>
      <c r="I15" s="18" t="n">
        <v>0</v>
      </c>
      <c r="J15" s="20" t="n">
        <v>0</v>
      </c>
      <c r="K15" s="18" t="n">
        <v>0</v>
      </c>
      <c r="L15" s="20" t="n">
        <v>0</v>
      </c>
      <c r="M15" s="18" t="n">
        <v>0</v>
      </c>
      <c r="N15" s="20" t="n">
        <v>0</v>
      </c>
      <c r="O15" s="18" t="n">
        <v>0</v>
      </c>
      <c r="P15" s="20" t="n">
        <v>0</v>
      </c>
      <c r="Q15" s="18" t="n">
        <v>0.13545045</v>
      </c>
      <c r="R15" s="20" t="n">
        <v>0.13538206</v>
      </c>
    </row>
    <row r="16" spans="1:18">
      <c r="A16" s="15" t="s">
        <v>574</v>
      </c>
      <c r="B16" s="17" t="n">
        <v>6108</v>
      </c>
      <c r="C16" s="18">
        <f>(5421.0/B16*100)</f>
        <v/>
      </c>
      <c r="D16" s="19" t="n">
        <v>687</v>
      </c>
      <c r="E16" s="18" t="n">
        <v>8.55188506</v>
      </c>
      <c r="F16" s="20" t="n">
        <v>1.23488049</v>
      </c>
      <c r="G16" s="18" t="n">
        <v>90.19487654</v>
      </c>
      <c r="H16" s="20" t="n">
        <v>1.25752525</v>
      </c>
      <c r="I16" s="18" t="n">
        <v>0</v>
      </c>
      <c r="J16" s="20" t="n">
        <v>0</v>
      </c>
      <c r="K16" s="18" t="n">
        <v>0.30270291</v>
      </c>
      <c r="L16" s="20" t="n">
        <v>0.21873136</v>
      </c>
      <c r="M16" s="18" t="n">
        <v>0</v>
      </c>
      <c r="N16" s="20" t="n">
        <v>0</v>
      </c>
      <c r="O16" s="18" t="n">
        <v>0</v>
      </c>
      <c r="P16" s="20" t="n">
        <v>0</v>
      </c>
      <c r="Q16" s="18" t="n">
        <v>0.95053549</v>
      </c>
      <c r="R16" s="20" t="n">
        <v>0.37831037</v>
      </c>
    </row>
    <row r="17" spans="1:18">
      <c r="A17" s="15" t="s">
        <v>575</v>
      </c>
      <c r="B17" s="17" t="n">
        <v>6504</v>
      </c>
      <c r="C17" s="18">
        <f>(5802.0/B17*100)</f>
        <v/>
      </c>
      <c r="D17" s="19" t="n">
        <v>702</v>
      </c>
      <c r="E17" s="18" t="n">
        <v>5.59039179</v>
      </c>
      <c r="F17" s="20" t="n">
        <v>1.10433483</v>
      </c>
      <c r="G17" s="18" t="n">
        <v>93.90348213</v>
      </c>
      <c r="H17" s="20" t="n">
        <v>1.12856512</v>
      </c>
      <c r="I17" s="18" t="n">
        <v>0</v>
      </c>
      <c r="J17" s="20" t="n">
        <v>0</v>
      </c>
      <c r="K17" s="18" t="n">
        <v>0.36589506</v>
      </c>
      <c r="L17" s="20" t="n">
        <v>0.22660589</v>
      </c>
      <c r="M17" s="18" t="n">
        <v>0</v>
      </c>
      <c r="N17" s="20" t="n">
        <v>0</v>
      </c>
      <c r="O17" s="18" t="n">
        <v>0</v>
      </c>
      <c r="P17" s="20" t="n">
        <v>0</v>
      </c>
      <c r="Q17" s="18" t="n">
        <v>0.14023103</v>
      </c>
      <c r="R17" s="20" t="n">
        <v>0.14063702</v>
      </c>
    </row>
    <row r="18" spans="1:18">
      <c r="A18" s="15" t="s">
        <v>576</v>
      </c>
      <c r="B18" s="17" t="n">
        <v>5532</v>
      </c>
      <c r="C18" s="18">
        <f>(4909.0/B18*100)</f>
        <v/>
      </c>
      <c r="D18" s="19" t="n">
        <v>623</v>
      </c>
      <c r="E18" s="18" t="n">
        <v>15.57861892</v>
      </c>
      <c r="F18" s="20" t="n">
        <v>1.74060671</v>
      </c>
      <c r="G18" s="18" t="n">
        <v>83.05454414</v>
      </c>
      <c r="H18" s="20" t="n">
        <v>1.81539446</v>
      </c>
      <c r="I18" s="18" t="n">
        <v>0</v>
      </c>
      <c r="J18" s="20" t="n">
        <v>0</v>
      </c>
      <c r="K18" s="18" t="n">
        <v>0.08861325</v>
      </c>
      <c r="L18" s="20" t="n">
        <v>0.09026642999999999</v>
      </c>
      <c r="M18" s="18" t="n">
        <v>0</v>
      </c>
      <c r="N18" s="20" t="n">
        <v>0</v>
      </c>
      <c r="O18" s="18" t="n">
        <v>0</v>
      </c>
      <c r="P18" s="20" t="n">
        <v>0</v>
      </c>
      <c r="Q18" s="18" t="n">
        <v>1.2782237</v>
      </c>
      <c r="R18" s="20" t="n">
        <v>0.47359455</v>
      </c>
    </row>
    <row r="19" spans="1:18">
      <c r="A19" s="15" t="s">
        <v>577</v>
      </c>
      <c r="B19" s="17" t="n">
        <v>5658</v>
      </c>
      <c r="C19" s="18">
        <f>(5039.0/B19*100)</f>
        <v/>
      </c>
      <c r="D19" s="19" t="n">
        <v>619</v>
      </c>
      <c r="E19" s="18" t="n">
        <v>9.602801850000001</v>
      </c>
      <c r="F19" s="20" t="n">
        <v>1.27356464</v>
      </c>
      <c r="G19" s="18" t="n">
        <v>89.54281063000001</v>
      </c>
      <c r="H19" s="20" t="n">
        <v>1.3740757</v>
      </c>
      <c r="I19" s="18" t="n">
        <v>0</v>
      </c>
      <c r="J19" s="20" t="n">
        <v>0</v>
      </c>
      <c r="K19" s="18" t="n">
        <v>0</v>
      </c>
      <c r="L19" s="20" t="n">
        <v>0</v>
      </c>
      <c r="M19" s="18" t="n">
        <v>0</v>
      </c>
      <c r="N19" s="20" t="n">
        <v>0</v>
      </c>
      <c r="O19" s="18" t="n">
        <v>0</v>
      </c>
      <c r="P19" s="20" t="n">
        <v>0</v>
      </c>
      <c r="Q19" s="18" t="n">
        <v>0.85438752</v>
      </c>
      <c r="R19" s="20" t="n">
        <v>0.50257271</v>
      </c>
    </row>
    <row r="20" spans="1:18">
      <c r="A20" s="15" t="s">
        <v>578</v>
      </c>
      <c r="B20" s="17" t="n">
        <v>3371</v>
      </c>
      <c r="C20" s="18">
        <f>(3011.0/B20*100)</f>
        <v/>
      </c>
      <c r="D20" s="19" t="n">
        <v>360</v>
      </c>
      <c r="E20" s="18" t="n">
        <v>16.51184481</v>
      </c>
      <c r="F20" s="20" t="n">
        <v>1.95263928</v>
      </c>
      <c r="G20" s="18" t="n">
        <v>82.16607811</v>
      </c>
      <c r="H20" s="20" t="n">
        <v>2.05007857</v>
      </c>
      <c r="I20" s="18" t="n">
        <v>0</v>
      </c>
      <c r="J20" s="20" t="n">
        <v>0</v>
      </c>
      <c r="K20" s="18" t="n">
        <v>0.50679296</v>
      </c>
      <c r="L20" s="20" t="n">
        <v>0.35475856</v>
      </c>
      <c r="M20" s="18" t="n">
        <v>0</v>
      </c>
      <c r="N20" s="20" t="n">
        <v>0</v>
      </c>
      <c r="O20" s="18" t="n">
        <v>0</v>
      </c>
      <c r="P20" s="20" t="n">
        <v>0</v>
      </c>
      <c r="Q20" s="18" t="n">
        <v>0.8152841199999999</v>
      </c>
      <c r="R20" s="20" t="n">
        <v>0.4819499</v>
      </c>
    </row>
    <row r="21" spans="1:18">
      <c r="A21" s="15" t="s">
        <v>579</v>
      </c>
      <c r="B21" s="17" t="n">
        <v>5741</v>
      </c>
      <c r="C21" s="18">
        <f>(5077.0/B21*100)</f>
        <v/>
      </c>
      <c r="D21" s="19" t="n">
        <v>664</v>
      </c>
      <c r="E21" s="18" t="n">
        <v>7.32847783</v>
      </c>
      <c r="F21" s="20" t="n">
        <v>1.27872199</v>
      </c>
      <c r="G21" s="18" t="n">
        <v>92.33478857</v>
      </c>
      <c r="H21" s="20" t="n">
        <v>1.26160918</v>
      </c>
      <c r="I21" s="18" t="n">
        <v>0</v>
      </c>
      <c r="J21" s="20" t="n">
        <v>0</v>
      </c>
      <c r="K21" s="18" t="n">
        <v>0</v>
      </c>
      <c r="L21" s="20" t="n">
        <v>0</v>
      </c>
      <c r="M21" s="18" t="n">
        <v>0</v>
      </c>
      <c r="N21" s="20" t="n">
        <v>0</v>
      </c>
      <c r="O21" s="18" t="n">
        <v>0</v>
      </c>
      <c r="P21" s="20" t="n">
        <v>0</v>
      </c>
      <c r="Q21" s="18" t="n">
        <v>0.3367336</v>
      </c>
      <c r="R21" s="20" t="n">
        <v>0.24376791</v>
      </c>
    </row>
    <row r="22" spans="1:18">
      <c r="A22" s="15" t="s">
        <v>580</v>
      </c>
      <c r="B22" s="17" t="n">
        <v>6598</v>
      </c>
      <c r="C22" s="18">
        <f>(5938.0/B22*100)</f>
        <v/>
      </c>
      <c r="D22" s="19" t="n">
        <v>660</v>
      </c>
      <c r="E22" s="18" t="n">
        <v>18.90578586</v>
      </c>
      <c r="F22" s="20" t="n">
        <v>2.0850559</v>
      </c>
      <c r="G22" s="18" t="n">
        <v>78.84661573</v>
      </c>
      <c r="H22" s="20" t="n">
        <v>2.24056487</v>
      </c>
      <c r="I22" s="18" t="n">
        <v>0</v>
      </c>
      <c r="J22" s="20" t="n">
        <v>0</v>
      </c>
      <c r="K22" s="18" t="n">
        <v>1.56726799</v>
      </c>
      <c r="L22" s="20" t="n">
        <v>0.60106994</v>
      </c>
      <c r="M22" s="18" t="n">
        <v>0</v>
      </c>
      <c r="N22" s="20" t="n">
        <v>0</v>
      </c>
      <c r="O22" s="18" t="n">
        <v>0</v>
      </c>
      <c r="P22" s="20" t="n">
        <v>0</v>
      </c>
      <c r="Q22" s="18" t="n">
        <v>0.68033042</v>
      </c>
      <c r="R22" s="20" t="n">
        <v>0.30449828</v>
      </c>
    </row>
    <row r="23" spans="1:18">
      <c r="A23" s="15" t="s">
        <v>581</v>
      </c>
      <c r="B23" s="17" t="n">
        <v>11583</v>
      </c>
      <c r="C23" s="18">
        <f>(10308.0/B23*100)</f>
        <v/>
      </c>
      <c r="D23" s="19" t="n">
        <v>1275</v>
      </c>
      <c r="E23" s="18" t="n">
        <v>7.58690112</v>
      </c>
      <c r="F23" s="20" t="n">
        <v>1.08045362</v>
      </c>
      <c r="G23" s="18" t="n">
        <v>92.18673979</v>
      </c>
      <c r="H23" s="20" t="n">
        <v>1.08942441</v>
      </c>
      <c r="I23" s="18" t="n">
        <v>0</v>
      </c>
      <c r="J23" s="20" t="n">
        <v>0</v>
      </c>
      <c r="K23" s="18" t="n">
        <v>0</v>
      </c>
      <c r="L23" s="20" t="n">
        <v>0</v>
      </c>
      <c r="M23" s="18" t="n">
        <v>0</v>
      </c>
      <c r="N23" s="20" t="n">
        <v>0</v>
      </c>
      <c r="O23" s="18" t="n">
        <v>0</v>
      </c>
      <c r="P23" s="20" t="n">
        <v>0</v>
      </c>
      <c r="Q23" s="18" t="n">
        <v>0.22635909</v>
      </c>
      <c r="R23" s="20" t="n">
        <v>0.16411013</v>
      </c>
    </row>
    <row r="24" spans="1:18">
      <c r="A24" s="15" t="s">
        <v>582</v>
      </c>
      <c r="B24" s="17" t="n">
        <v>6647</v>
      </c>
      <c r="C24" s="18">
        <f>(5914.0/B24*100)</f>
        <v/>
      </c>
      <c r="D24" s="19" t="n">
        <v>733</v>
      </c>
      <c r="E24" s="18" t="n">
        <v>17.44058658</v>
      </c>
      <c r="F24" s="20" t="n">
        <v>1.35521469</v>
      </c>
      <c r="G24" s="18" t="n">
        <v>81.78407487</v>
      </c>
      <c r="H24" s="20" t="n">
        <v>1.3302531</v>
      </c>
      <c r="I24" s="18" t="n">
        <v>0</v>
      </c>
      <c r="J24" s="20" t="n">
        <v>0</v>
      </c>
      <c r="K24" s="18" t="n">
        <v>0</v>
      </c>
      <c r="L24" s="20" t="n">
        <v>0</v>
      </c>
      <c r="M24" s="18" t="n">
        <v>0</v>
      </c>
      <c r="N24" s="20" t="n">
        <v>0</v>
      </c>
      <c r="O24" s="18" t="n">
        <v>0</v>
      </c>
      <c r="P24" s="20" t="n">
        <v>0</v>
      </c>
      <c r="Q24" s="18" t="n">
        <v>0.77533855</v>
      </c>
      <c r="R24" s="20" t="n">
        <v>0.22266316</v>
      </c>
    </row>
    <row r="25" spans="1:18">
      <c r="A25" s="15" t="s">
        <v>583</v>
      </c>
      <c r="B25" s="17" t="n">
        <v>5581</v>
      </c>
      <c r="C25" s="18">
        <f>(4964.0/B25*100)</f>
        <v/>
      </c>
      <c r="D25" s="19" t="n">
        <v>617</v>
      </c>
      <c r="E25" s="18" t="n">
        <v>15.38218898</v>
      </c>
      <c r="F25" s="20" t="n">
        <v>1.51887843</v>
      </c>
      <c r="G25" s="18" t="n">
        <v>83.9785528</v>
      </c>
      <c r="H25" s="20" t="n">
        <v>1.59303359</v>
      </c>
      <c r="I25" s="18" t="n">
        <v>0</v>
      </c>
      <c r="J25" s="20" t="n">
        <v>0</v>
      </c>
      <c r="K25" s="18" t="n">
        <v>0.29703701</v>
      </c>
      <c r="L25" s="20" t="n">
        <v>0.2120158</v>
      </c>
      <c r="M25" s="18" t="n">
        <v>0</v>
      </c>
      <c r="N25" s="20" t="n">
        <v>0</v>
      </c>
      <c r="O25" s="18" t="n">
        <v>0</v>
      </c>
      <c r="P25" s="20" t="n">
        <v>0</v>
      </c>
      <c r="Q25" s="18" t="n">
        <v>0.34222121</v>
      </c>
      <c r="R25" s="20" t="n">
        <v>0.24315001</v>
      </c>
    </row>
    <row r="26" spans="1:18">
      <c r="A26" s="15" t="s">
        <v>584</v>
      </c>
      <c r="B26" s="17" t="n">
        <v>4869</v>
      </c>
      <c r="C26" s="18">
        <f>(4323.0/B26*100)</f>
        <v/>
      </c>
      <c r="D26" s="19" t="n">
        <v>546</v>
      </c>
      <c r="E26" s="18" t="n">
        <v>7.34261783</v>
      </c>
      <c r="F26" s="20" t="n">
        <v>1.29469353</v>
      </c>
      <c r="G26" s="18" t="n">
        <v>92.65738217000001</v>
      </c>
      <c r="H26" s="20" t="n">
        <v>1.29469353</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(4703.0/B27*100)</f>
        <v/>
      </c>
      <c r="D27" s="19" t="n">
        <v>596</v>
      </c>
      <c r="E27" s="18" t="n">
        <v>11.4215735</v>
      </c>
      <c r="F27" s="20" t="n">
        <v>1.29390695</v>
      </c>
      <c r="G27" s="18" t="n">
        <v>87.18364323</v>
      </c>
      <c r="H27" s="20" t="n">
        <v>1.34149926</v>
      </c>
      <c r="I27" s="18" t="n">
        <v>0</v>
      </c>
      <c r="J27" s="20" t="n">
        <v>0</v>
      </c>
      <c r="K27" s="18" t="n">
        <v>0.17820107</v>
      </c>
      <c r="L27" s="20" t="n">
        <v>0.17853054</v>
      </c>
      <c r="M27" s="18" t="n">
        <v>0</v>
      </c>
      <c r="N27" s="20" t="n">
        <v>0</v>
      </c>
      <c r="O27" s="18" t="n">
        <v>0</v>
      </c>
      <c r="P27" s="20" t="n">
        <v>0</v>
      </c>
      <c r="Q27" s="18" t="n">
        <v>1.21658221</v>
      </c>
      <c r="R27" s="20" t="n">
        <v>0.45127373</v>
      </c>
    </row>
    <row r="28" spans="1:18">
      <c r="A28" s="15" t="s">
        <v>586</v>
      </c>
      <c r="B28" s="17" t="n">
        <v>7568</v>
      </c>
      <c r="C28" s="18">
        <f>(6769.0/B28*100)</f>
        <v/>
      </c>
      <c r="D28" s="19" t="n">
        <v>799</v>
      </c>
      <c r="E28" s="18" t="n">
        <v>14.97244355</v>
      </c>
      <c r="F28" s="20" t="n">
        <v>1.51928178</v>
      </c>
      <c r="G28" s="18" t="n">
        <v>84.02131665</v>
      </c>
      <c r="H28" s="20" t="n">
        <v>1.51407464</v>
      </c>
      <c r="I28" s="18" t="n">
        <v>0</v>
      </c>
      <c r="J28" s="20" t="n">
        <v>0</v>
      </c>
      <c r="K28" s="18" t="n">
        <v>0.34301773</v>
      </c>
      <c r="L28" s="20" t="n">
        <v>0.24970804</v>
      </c>
      <c r="M28" s="18" t="n">
        <v>0</v>
      </c>
      <c r="N28" s="20" t="n">
        <v>0</v>
      </c>
      <c r="O28" s="18" t="n">
        <v>0</v>
      </c>
      <c r="P28" s="20" t="n">
        <v>0</v>
      </c>
      <c r="Q28" s="18" t="n">
        <v>0.66322207</v>
      </c>
      <c r="R28" s="20" t="n">
        <v>0.29717826</v>
      </c>
    </row>
    <row r="29" spans="1:18">
      <c r="A29" s="15" t="s">
        <v>587</v>
      </c>
      <c r="B29" s="17" t="n">
        <v>5385</v>
      </c>
      <c r="C29" s="18">
        <f>(4803.0/B29*100)</f>
        <v/>
      </c>
      <c r="D29" s="19" t="n">
        <v>582</v>
      </c>
      <c r="E29" s="18" t="n">
        <v>20.00194086</v>
      </c>
      <c r="F29" s="20" t="n">
        <v>1.80076408</v>
      </c>
      <c r="G29" s="18" t="n">
        <v>78.70220959</v>
      </c>
      <c r="H29" s="20" t="n">
        <v>1.84653246</v>
      </c>
      <c r="I29" s="18" t="n">
        <v>0</v>
      </c>
      <c r="J29" s="20" t="n">
        <v>0</v>
      </c>
      <c r="K29" s="18" t="n">
        <v>0.17696287</v>
      </c>
      <c r="L29" s="20" t="n">
        <v>0.17544565</v>
      </c>
      <c r="M29" s="18" t="n">
        <v>0</v>
      </c>
      <c r="N29" s="20" t="n">
        <v>0</v>
      </c>
      <c r="O29" s="18" t="n">
        <v>0</v>
      </c>
      <c r="P29" s="20" t="n">
        <v>0</v>
      </c>
      <c r="Q29" s="18" t="n">
        <v>1.11888667</v>
      </c>
      <c r="R29" s="20" t="n">
        <v>0.44550202</v>
      </c>
    </row>
    <row r="30" spans="1:18">
      <c r="A30" s="15" t="s">
        <v>588</v>
      </c>
      <c r="B30" s="17" t="n">
        <v>4520</v>
      </c>
      <c r="C30" s="18">
        <f>(4003.0/B30*100)</f>
        <v/>
      </c>
      <c r="D30" s="19" t="n">
        <v>517</v>
      </c>
      <c r="E30" s="18" t="n">
        <v>10.78822698</v>
      </c>
      <c r="F30" s="20" t="n">
        <v>1.41651659</v>
      </c>
      <c r="G30" s="18" t="n">
        <v>87.20906773999999</v>
      </c>
      <c r="H30" s="20" t="n">
        <v>1.53523505</v>
      </c>
      <c r="I30" s="18" t="n">
        <v>0</v>
      </c>
      <c r="J30" s="20" t="n">
        <v>0</v>
      </c>
      <c r="K30" s="18" t="n">
        <v>0.18852224</v>
      </c>
      <c r="L30" s="20" t="n">
        <v>0.18252419</v>
      </c>
      <c r="M30" s="18" t="n">
        <v>0</v>
      </c>
      <c r="N30" s="20" t="n">
        <v>0</v>
      </c>
      <c r="O30" s="18" t="n">
        <v>0</v>
      </c>
      <c r="P30" s="20" t="n">
        <v>0</v>
      </c>
      <c r="Q30" s="18" t="n">
        <v>1.81418304</v>
      </c>
      <c r="R30" s="20" t="n">
        <v>0.58551157</v>
      </c>
    </row>
    <row r="31" spans="1:18">
      <c r="A31" s="15" t="s">
        <v>589</v>
      </c>
      <c r="B31" s="17" t="n">
        <v>5456</v>
      </c>
      <c r="C31" s="18">
        <f>(4854.0/B31*100)</f>
        <v/>
      </c>
      <c r="D31" s="19" t="n">
        <v>602</v>
      </c>
      <c r="E31" s="18" t="n">
        <v>15.12713607</v>
      </c>
      <c r="F31" s="20" t="n">
        <v>1.45993243</v>
      </c>
      <c r="G31" s="18" t="n">
        <v>84.25842595</v>
      </c>
      <c r="H31" s="20" t="n">
        <v>1.5022297</v>
      </c>
      <c r="I31" s="18" t="n">
        <v>0</v>
      </c>
      <c r="J31" s="20" t="n">
        <v>0</v>
      </c>
      <c r="K31" s="18" t="n">
        <v>0.14030938</v>
      </c>
      <c r="L31" s="20" t="n">
        <v>0.14004027</v>
      </c>
      <c r="M31" s="18" t="n">
        <v>0</v>
      </c>
      <c r="N31" s="20" t="n">
        <v>0</v>
      </c>
      <c r="O31" s="18" t="n">
        <v>0</v>
      </c>
      <c r="P31" s="20" t="n">
        <v>0</v>
      </c>
      <c r="Q31" s="18" t="n">
        <v>0.4741286</v>
      </c>
      <c r="R31" s="20" t="n">
        <v>0.28703263</v>
      </c>
    </row>
    <row r="32" spans="1:18">
      <c r="A32" s="15" t="s">
        <v>590</v>
      </c>
      <c r="B32" s="17" t="n">
        <v>4478</v>
      </c>
      <c r="C32" s="18">
        <f>(3985.0/B32*100)</f>
        <v/>
      </c>
      <c r="D32" s="19" t="n">
        <v>493</v>
      </c>
      <c r="E32" s="18" t="n">
        <v>4.82672405</v>
      </c>
      <c r="F32" s="20" t="n">
        <v>0.94262133</v>
      </c>
      <c r="G32" s="18" t="n">
        <v>94.42653598</v>
      </c>
      <c r="H32" s="20" t="n">
        <v>0.99386663</v>
      </c>
      <c r="I32" s="18" t="n">
        <v>0</v>
      </c>
      <c r="J32" s="20" t="n">
        <v>0</v>
      </c>
      <c r="K32" s="18" t="n">
        <v>0.17871208</v>
      </c>
      <c r="L32" s="20" t="n">
        <v>0.17489073</v>
      </c>
      <c r="M32" s="18" t="n">
        <v>0</v>
      </c>
      <c r="N32" s="20" t="n">
        <v>0</v>
      </c>
      <c r="O32" s="18" t="n">
        <v>0</v>
      </c>
      <c r="P32" s="20" t="n">
        <v>0</v>
      </c>
      <c r="Q32" s="18" t="n">
        <v>0.56802789</v>
      </c>
      <c r="R32" s="20" t="n">
        <v>0.33750301</v>
      </c>
    </row>
    <row r="33" spans="1:18">
      <c r="A33" s="15" t="s">
        <v>591</v>
      </c>
      <c r="B33" s="17" t="n">
        <v>7325</v>
      </c>
      <c r="C33" s="18">
        <f>(6527.0/B33*100)</f>
        <v/>
      </c>
      <c r="D33" s="19" t="n">
        <v>798</v>
      </c>
      <c r="E33" s="18" t="n">
        <v>7.12435554</v>
      </c>
      <c r="F33" s="20" t="n">
        <v>1.40416808</v>
      </c>
      <c r="G33" s="18" t="n">
        <v>92.58457159</v>
      </c>
      <c r="H33" s="20" t="n">
        <v>1.35562887</v>
      </c>
      <c r="I33" s="18" t="n">
        <v>0</v>
      </c>
      <c r="J33" s="20" t="n">
        <v>0</v>
      </c>
      <c r="K33" s="18" t="n">
        <v>0</v>
      </c>
      <c r="L33" s="20" t="n">
        <v>0</v>
      </c>
      <c r="M33" s="18" t="n">
        <v>0</v>
      </c>
      <c r="N33" s="20" t="n">
        <v>0</v>
      </c>
      <c r="O33" s="18" t="n">
        <v>0</v>
      </c>
      <c r="P33" s="20" t="n">
        <v>0</v>
      </c>
      <c r="Q33" s="18" t="n">
        <v>0.29107287</v>
      </c>
      <c r="R33" s="20" t="n">
        <v>0.22754829</v>
      </c>
    </row>
    <row r="34" spans="1:18">
      <c r="A34" s="15" t="s">
        <v>592</v>
      </c>
      <c r="B34" s="17" t="n">
        <v>6350</v>
      </c>
      <c r="C34" s="18">
        <f>(5700.0/B34*100)</f>
        <v/>
      </c>
      <c r="D34" s="19" t="n">
        <v>650</v>
      </c>
      <c r="E34" s="18" t="n">
        <v>8.533744499999999</v>
      </c>
      <c r="F34" s="20" t="n">
        <v>1.25476077</v>
      </c>
      <c r="G34" s="18" t="n">
        <v>90.81135042</v>
      </c>
      <c r="H34" s="20" t="n">
        <v>1.30142138</v>
      </c>
      <c r="I34" s="18" t="n">
        <v>0</v>
      </c>
      <c r="J34" s="20" t="n">
        <v>0</v>
      </c>
      <c r="K34" s="18" t="n">
        <v>0</v>
      </c>
      <c r="L34" s="20" t="n">
        <v>0</v>
      </c>
      <c r="M34" s="18" t="n">
        <v>0</v>
      </c>
      <c r="N34" s="20" t="n">
        <v>0</v>
      </c>
      <c r="O34" s="18" t="n">
        <v>0</v>
      </c>
      <c r="P34" s="20" t="n">
        <v>0</v>
      </c>
      <c r="Q34" s="18" t="n">
        <v>0.65490508</v>
      </c>
      <c r="R34" s="20" t="n">
        <v>0.40286071</v>
      </c>
    </row>
    <row r="35" spans="1:18">
      <c r="A35" s="15" t="s">
        <v>593</v>
      </c>
      <c r="B35" s="17" t="n">
        <v>6406</v>
      </c>
      <c r="C35" s="18">
        <f>(5714.0/B35*100)</f>
        <v/>
      </c>
      <c r="D35" s="19" t="n">
        <v>692</v>
      </c>
      <c r="E35" s="18" t="n">
        <v>3.34022227</v>
      </c>
      <c r="F35" s="20" t="n">
        <v>0.79921304</v>
      </c>
      <c r="G35" s="18" t="n">
        <v>96.05235919</v>
      </c>
      <c r="H35" s="20" t="n">
        <v>0.83514479</v>
      </c>
      <c r="I35" s="18" t="n">
        <v>0</v>
      </c>
      <c r="J35" s="20" t="n">
        <v>0</v>
      </c>
      <c r="K35" s="18" t="n">
        <v>0</v>
      </c>
      <c r="L35" s="20" t="n">
        <v>0</v>
      </c>
      <c r="M35" s="18" t="n">
        <v>0</v>
      </c>
      <c r="N35" s="20" t="n">
        <v>0</v>
      </c>
      <c r="O35" s="18" t="n">
        <v>0</v>
      </c>
      <c r="P35" s="20" t="n">
        <v>0</v>
      </c>
      <c r="Q35" s="18" t="n">
        <v>0.60741855</v>
      </c>
      <c r="R35" s="20" t="n">
        <v>0.31199582</v>
      </c>
    </row>
    <row r="36" spans="1:18">
      <c r="A36" s="15" t="s">
        <v>594</v>
      </c>
      <c r="B36" s="17" t="n">
        <v>6736</v>
      </c>
      <c r="C36" s="18">
        <f>(5975.0/B36*100)</f>
        <v/>
      </c>
      <c r="D36" s="19" t="n">
        <v>761</v>
      </c>
      <c r="E36" s="18" t="n">
        <v>7.36222295</v>
      </c>
      <c r="F36" s="20" t="n">
        <v>1.07910953</v>
      </c>
      <c r="G36" s="18" t="n">
        <v>91.07382822</v>
      </c>
      <c r="H36" s="20" t="n">
        <v>1.2012475</v>
      </c>
      <c r="I36" s="18" t="n">
        <v>0</v>
      </c>
      <c r="J36" s="20" t="n">
        <v>0</v>
      </c>
      <c r="K36" s="18" t="n">
        <v>0.1102047</v>
      </c>
      <c r="L36" s="20" t="n">
        <v>0.07879216999999999</v>
      </c>
      <c r="M36" s="18" t="n">
        <v>0</v>
      </c>
      <c r="N36" s="20" t="n">
        <v>0</v>
      </c>
      <c r="O36" s="18" t="n">
        <v>0</v>
      </c>
      <c r="P36" s="20" t="n">
        <v>0</v>
      </c>
      <c r="Q36" s="18" t="n">
        <v>1.45374413</v>
      </c>
      <c r="R36" s="20" t="n">
        <v>0.38427281</v>
      </c>
    </row>
    <row r="37" spans="1:18">
      <c r="A37" s="15" t="s">
        <v>595</v>
      </c>
      <c r="B37" s="17" t="n">
        <v>5458</v>
      </c>
      <c r="C37" s="18">
        <f>(4863.0/B37*100)</f>
        <v/>
      </c>
      <c r="D37" s="19" t="n">
        <v>595</v>
      </c>
      <c r="E37" s="18" t="n">
        <v>8.92979768</v>
      </c>
      <c r="F37" s="20" t="n">
        <v>1.41809272</v>
      </c>
      <c r="G37" s="18" t="n">
        <v>89.37184591</v>
      </c>
      <c r="H37" s="20" t="n">
        <v>1.49291188</v>
      </c>
      <c r="I37" s="18" t="n">
        <v>0</v>
      </c>
      <c r="J37" s="20" t="n">
        <v>0</v>
      </c>
      <c r="K37" s="18" t="n">
        <v>0.18897656</v>
      </c>
      <c r="L37" s="20" t="n">
        <v>0.18628244</v>
      </c>
      <c r="M37" s="18" t="n">
        <v>0</v>
      </c>
      <c r="N37" s="20" t="n">
        <v>0</v>
      </c>
      <c r="O37" s="18" t="n">
        <v>0</v>
      </c>
      <c r="P37" s="20" t="n">
        <v>0</v>
      </c>
      <c r="Q37" s="18" t="n">
        <v>1.50937985</v>
      </c>
      <c r="R37" s="20" t="n">
        <v>0.51746068</v>
      </c>
    </row>
    <row r="38" spans="1:18">
      <c r="A38" s="15" t="s">
        <v>596</v>
      </c>
      <c r="B38" s="17" t="n">
        <v>5860</v>
      </c>
      <c r="C38" s="18">
        <f>(5234.0/B38*100)</f>
        <v/>
      </c>
      <c r="D38" s="19" t="n">
        <v>626</v>
      </c>
      <c r="E38" s="18" t="n">
        <v>11.61793505</v>
      </c>
      <c r="F38" s="20" t="n">
        <v>1.40240298</v>
      </c>
      <c r="G38" s="18" t="n">
        <v>86.65344061</v>
      </c>
      <c r="H38" s="20" t="n">
        <v>1.53328767</v>
      </c>
      <c r="I38" s="18" t="n">
        <v>0</v>
      </c>
      <c r="J38" s="20" t="n">
        <v>0</v>
      </c>
      <c r="K38" s="18" t="n">
        <v>0.42860536</v>
      </c>
      <c r="L38" s="20" t="n">
        <v>0.28480906</v>
      </c>
      <c r="M38" s="18" t="n">
        <v>0</v>
      </c>
      <c r="N38" s="20" t="n">
        <v>0</v>
      </c>
      <c r="O38" s="18" t="n">
        <v>0</v>
      </c>
      <c r="P38" s="20" t="n">
        <v>0</v>
      </c>
      <c r="Q38" s="18" t="n">
        <v>1.30001898</v>
      </c>
      <c r="R38" s="20" t="n">
        <v>0.40509014</v>
      </c>
    </row>
    <row r="39" spans="1:18">
      <c r="A39" s="15" t="s">
        <v>597</v>
      </c>
      <c r="B39" s="17" t="n">
        <v>5895</v>
      </c>
      <c r="C39" s="18">
        <f>(5240.0/B39*100)</f>
        <v/>
      </c>
      <c r="D39" s="19" t="n">
        <v>655</v>
      </c>
      <c r="E39" s="18" t="n">
        <v>17.05475801</v>
      </c>
      <c r="F39" s="20" t="n">
        <v>1.60482695</v>
      </c>
      <c r="G39" s="18" t="n">
        <v>82.15735026999999</v>
      </c>
      <c r="H39" s="20" t="n">
        <v>1.65244864</v>
      </c>
      <c r="I39" s="18" t="n">
        <v>0</v>
      </c>
      <c r="J39" s="20" t="n">
        <v>0</v>
      </c>
      <c r="K39" s="18" t="n">
        <v>0.10841926</v>
      </c>
      <c r="L39" s="20" t="n">
        <v>0.111631</v>
      </c>
      <c r="M39" s="18" t="n">
        <v>0</v>
      </c>
      <c r="N39" s="20" t="n">
        <v>0</v>
      </c>
      <c r="O39" s="18" t="n">
        <v>0</v>
      </c>
      <c r="P39" s="20" t="n">
        <v>0</v>
      </c>
      <c r="Q39" s="18" t="n">
        <v>0.6794724599999999</v>
      </c>
      <c r="R39" s="20" t="n">
        <v>0.44290413</v>
      </c>
    </row>
    <row r="40" spans="1:18">
      <c r="A40" s="15" t="s">
        <v>598</v>
      </c>
      <c r="B40" s="17" t="n">
        <v>14157</v>
      </c>
      <c r="C40" s="18">
        <f>(12515.0/B40*100)</f>
        <v/>
      </c>
      <c r="D40" s="19" t="n">
        <v>1642</v>
      </c>
      <c r="E40" s="18" t="n">
        <v>11.51875851</v>
      </c>
      <c r="F40" s="20" t="n">
        <v>1.06078383</v>
      </c>
      <c r="G40" s="18" t="n">
        <v>88.06144402</v>
      </c>
      <c r="H40" s="20" t="n">
        <v>1.08842872</v>
      </c>
      <c r="I40" s="18" t="n">
        <v>0</v>
      </c>
      <c r="J40" s="20" t="n">
        <v>0</v>
      </c>
      <c r="K40" s="18" t="n">
        <v>0.09318539000000001</v>
      </c>
      <c r="L40" s="20" t="n">
        <v>0.04125617</v>
      </c>
      <c r="M40" s="18" t="n">
        <v>0</v>
      </c>
      <c r="N40" s="20" t="n">
        <v>0</v>
      </c>
      <c r="O40" s="18" t="n">
        <v>0</v>
      </c>
      <c r="P40" s="20" t="n">
        <v>0</v>
      </c>
      <c r="Q40" s="18" t="n">
        <v>0.32661208</v>
      </c>
      <c r="R40" s="20" t="n">
        <v>0.22068633</v>
      </c>
    </row>
    <row r="41" spans="1:18">
      <c r="A41" s="15" t="s">
        <v>599</v>
      </c>
      <c r="B41" s="17" t="n">
        <v>5712</v>
      </c>
      <c r="C41" s="18">
        <f>(5099.0/B41*100)</f>
        <v/>
      </c>
      <c r="D41" s="19" t="n">
        <v>613</v>
      </c>
      <c r="E41" s="18" t="n">
        <v>13.04480414</v>
      </c>
      <c r="F41" s="20" t="n">
        <v>1.37729748</v>
      </c>
      <c r="G41" s="18" t="n">
        <v>86.42380617000001</v>
      </c>
      <c r="H41" s="20" t="n">
        <v>1.42129964</v>
      </c>
      <c r="I41" s="18" t="n">
        <v>0</v>
      </c>
      <c r="J41" s="20" t="n">
        <v>0</v>
      </c>
      <c r="K41" s="18" t="n">
        <v>0</v>
      </c>
      <c r="L41" s="20" t="n">
        <v>0</v>
      </c>
      <c r="M41" s="18" t="n">
        <v>0</v>
      </c>
      <c r="N41" s="20" t="n">
        <v>0</v>
      </c>
      <c r="O41" s="18" t="n">
        <v>0</v>
      </c>
      <c r="P41" s="20" t="n">
        <v>0</v>
      </c>
      <c r="Q41" s="18" t="n">
        <v>0.53138969</v>
      </c>
      <c r="R41" s="20" t="n">
        <v>0.26567785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(20992.0/B46*100)</f>
        <v/>
      </c>
      <c r="D46" s="19" t="n">
        <v>2149</v>
      </c>
      <c r="E46" s="18" t="n">
        <v>25.22905962</v>
      </c>
      <c r="F46" s="20" t="n">
        <v>1.3181426</v>
      </c>
      <c r="G46" s="18" t="n">
        <v>72.35416771</v>
      </c>
      <c r="H46" s="20" t="n">
        <v>1.35707618</v>
      </c>
      <c r="I46" s="18" t="n">
        <v>0</v>
      </c>
      <c r="J46" s="20" t="n">
        <v>0</v>
      </c>
      <c r="K46" s="18" t="n">
        <v>0.71106524</v>
      </c>
      <c r="L46" s="20" t="n">
        <v>0.21330813</v>
      </c>
      <c r="M46" s="18" t="n">
        <v>0</v>
      </c>
      <c r="N46" s="20" t="n">
        <v>0</v>
      </c>
      <c r="O46" s="18" t="n">
        <v>0</v>
      </c>
      <c r="P46" s="20" t="n">
        <v>0</v>
      </c>
      <c r="Q46" s="18" t="n">
        <v>1.70570744</v>
      </c>
      <c r="R46" s="20" t="n">
        <v>0.35743511</v>
      </c>
    </row>
    <row r="47" spans="1:18">
      <c r="A47" s="15" t="s">
        <v>606</v>
      </c>
      <c r="B47" s="17" t="n">
        <v>5928</v>
      </c>
      <c r="C47" s="18">
        <f>(5294.0/B47*100)</f>
        <v/>
      </c>
      <c r="D47" s="19" t="n">
        <v>634</v>
      </c>
      <c r="E47" s="18" t="n">
        <v>18.9138908</v>
      </c>
      <c r="F47" s="20" t="n">
        <v>1.65780363</v>
      </c>
      <c r="G47" s="18" t="n">
        <v>80.3115762</v>
      </c>
      <c r="H47" s="20" t="n">
        <v>1.70181572</v>
      </c>
      <c r="I47" s="18" t="n">
        <v>0</v>
      </c>
      <c r="J47" s="20" t="n">
        <v>0</v>
      </c>
      <c r="K47" s="18" t="n">
        <v>0</v>
      </c>
      <c r="L47" s="20" t="n">
        <v>0</v>
      </c>
      <c r="M47" s="18" t="n">
        <v>0</v>
      </c>
      <c r="N47" s="20" t="n">
        <v>0</v>
      </c>
      <c r="O47" s="18" t="n">
        <v>0</v>
      </c>
      <c r="P47" s="20" t="n">
        <v>0</v>
      </c>
      <c r="Q47" s="18" t="n">
        <v>0.774533</v>
      </c>
      <c r="R47" s="20" t="n">
        <v>0.30981714</v>
      </c>
    </row>
    <row r="48" spans="1:18">
      <c r="A48" s="15" t="s">
        <v>607</v>
      </c>
      <c r="B48" s="17" t="n">
        <v>9841</v>
      </c>
      <c r="C48" s="18">
        <f>(8764.0/B48*100)</f>
        <v/>
      </c>
      <c r="D48" s="19" t="n">
        <v>1077</v>
      </c>
      <c r="E48" s="18" t="n">
        <v>8.151110600000001</v>
      </c>
      <c r="F48" s="20" t="n">
        <v>1.09191553</v>
      </c>
      <c r="G48" s="18" t="n">
        <v>90.75763600000001</v>
      </c>
      <c r="H48" s="20" t="n">
        <v>1.20049792</v>
      </c>
      <c r="I48" s="18" t="n">
        <v>0</v>
      </c>
      <c r="J48" s="20" t="n">
        <v>0</v>
      </c>
      <c r="K48" s="18" t="n">
        <v>0.62334667</v>
      </c>
      <c r="L48" s="20" t="n">
        <v>0.392842</v>
      </c>
      <c r="M48" s="18" t="n">
        <v>0</v>
      </c>
      <c r="N48" s="20" t="n">
        <v>0</v>
      </c>
      <c r="O48" s="18" t="n">
        <v>0</v>
      </c>
      <c r="P48" s="20" t="n">
        <v>0</v>
      </c>
      <c r="Q48" s="18" t="n">
        <v>0.46790674</v>
      </c>
      <c r="R48" s="20" t="n">
        <v>0.26984316</v>
      </c>
    </row>
    <row r="49" spans="1:18">
      <c r="A49" s="15" t="s">
        <v>608</v>
      </c>
      <c r="B49" s="17" t="n">
        <v>11795</v>
      </c>
      <c r="C49" s="18">
        <f>(10530.0/B49*100)</f>
        <v/>
      </c>
      <c r="D49" s="19" t="n">
        <v>1265</v>
      </c>
      <c r="E49" s="18" t="n">
        <v>16.33713091</v>
      </c>
      <c r="F49" s="20" t="n">
        <v>1.28017304</v>
      </c>
      <c r="G49" s="18" t="n">
        <v>81.61599448</v>
      </c>
      <c r="H49" s="20" t="n">
        <v>1.41891095</v>
      </c>
      <c r="I49" s="18" t="n">
        <v>0</v>
      </c>
      <c r="J49" s="20" t="n">
        <v>0</v>
      </c>
      <c r="K49" s="18" t="n">
        <v>1.35818783</v>
      </c>
      <c r="L49" s="20" t="n">
        <v>0.58630342</v>
      </c>
      <c r="M49" s="18" t="n">
        <v>0</v>
      </c>
      <c r="N49" s="20" t="n">
        <v>0</v>
      </c>
      <c r="O49" s="18" t="n">
        <v>0</v>
      </c>
      <c r="P49" s="20" t="n">
        <v>0</v>
      </c>
      <c r="Q49" s="18" t="n">
        <v>0.6886867800000001</v>
      </c>
      <c r="R49" s="20" t="n">
        <v>0.25182219</v>
      </c>
    </row>
    <row r="50" spans="1:18">
      <c r="A50" s="15" t="s">
        <v>609</v>
      </c>
      <c r="B50" s="17" t="n">
        <v>6866</v>
      </c>
      <c r="C50" s="18">
        <f>(6190.0/B50*100)</f>
        <v/>
      </c>
      <c r="D50" s="19" t="n">
        <v>676</v>
      </c>
      <c r="E50" s="18" t="n">
        <v>13.36011879</v>
      </c>
      <c r="F50" s="20" t="n">
        <v>1.25043334</v>
      </c>
      <c r="G50" s="18" t="n">
        <v>85.0638419</v>
      </c>
      <c r="H50" s="20" t="n">
        <v>1.28278517</v>
      </c>
      <c r="I50" s="18" t="n">
        <v>0</v>
      </c>
      <c r="J50" s="20" t="n">
        <v>0</v>
      </c>
      <c r="K50" s="18" t="n">
        <v>0.50452794</v>
      </c>
      <c r="L50" s="20" t="n">
        <v>0.33248038</v>
      </c>
      <c r="M50" s="18" t="n">
        <v>0</v>
      </c>
      <c r="N50" s="20" t="n">
        <v>0</v>
      </c>
      <c r="O50" s="18" t="n">
        <v>0</v>
      </c>
      <c r="P50" s="20" t="n">
        <v>0</v>
      </c>
      <c r="Q50" s="18" t="n">
        <v>1.07151136</v>
      </c>
      <c r="R50" s="20" t="n">
        <v>0.3518426</v>
      </c>
    </row>
    <row r="51" spans="1:18">
      <c r="A51" s="15" t="s">
        <v>610</v>
      </c>
      <c r="B51" s="17" t="n">
        <v>5809</v>
      </c>
      <c r="C51" s="18">
        <f>(5198.0/B51*100)</f>
        <v/>
      </c>
      <c r="D51" s="19" t="n">
        <v>611</v>
      </c>
      <c r="E51" s="18" t="n">
        <v>5.21390044</v>
      </c>
      <c r="F51" s="20" t="n">
        <v>0.95449467</v>
      </c>
      <c r="G51" s="18" t="n">
        <v>94.25244244</v>
      </c>
      <c r="H51" s="20" t="n">
        <v>1.0838216</v>
      </c>
      <c r="I51" s="18" t="n">
        <v>0</v>
      </c>
      <c r="J51" s="20" t="n">
        <v>0</v>
      </c>
      <c r="K51" s="18" t="n">
        <v>0</v>
      </c>
      <c r="L51" s="20" t="n">
        <v>0</v>
      </c>
      <c r="M51" s="18" t="n">
        <v>0</v>
      </c>
      <c r="N51" s="20" t="n">
        <v>0</v>
      </c>
      <c r="O51" s="18" t="n">
        <v>0</v>
      </c>
      <c r="P51" s="20" t="n">
        <v>0</v>
      </c>
      <c r="Q51" s="18" t="n">
        <v>0.53365713</v>
      </c>
      <c r="R51" s="20" t="n">
        <v>0.31958022</v>
      </c>
    </row>
    <row r="52" spans="1:18">
      <c r="A52" s="15" t="s">
        <v>611</v>
      </c>
      <c r="B52" s="17" t="n">
        <v>5571</v>
      </c>
      <c r="C52" s="18">
        <f>(4952.0/B52*100)</f>
        <v/>
      </c>
      <c r="D52" s="19" t="n">
        <v>619</v>
      </c>
      <c r="E52" s="18" t="n">
        <v>23.17981385</v>
      </c>
      <c r="F52" s="20" t="n">
        <v>1.56592989</v>
      </c>
      <c r="G52" s="18" t="n">
        <v>75.92673664</v>
      </c>
      <c r="H52" s="20" t="n">
        <v>1.57758404</v>
      </c>
      <c r="I52" s="18" t="n">
        <v>0</v>
      </c>
      <c r="J52" s="20" t="n">
        <v>0</v>
      </c>
      <c r="K52" s="18" t="n">
        <v>0.1071445</v>
      </c>
      <c r="L52" s="20" t="n">
        <v>0.1081746</v>
      </c>
      <c r="M52" s="18" t="n">
        <v>0</v>
      </c>
      <c r="N52" s="20" t="n">
        <v>0</v>
      </c>
      <c r="O52" s="18" t="n">
        <v>0</v>
      </c>
      <c r="P52" s="20" t="n">
        <v>0</v>
      </c>
      <c r="Q52" s="18" t="n">
        <v>0.786305</v>
      </c>
      <c r="R52" s="20" t="n">
        <v>0.37478034</v>
      </c>
    </row>
    <row r="53" spans="1:18">
      <c r="A53" s="15" t="s">
        <v>612</v>
      </c>
      <c r="B53" s="17" t="n">
        <v>4740</v>
      </c>
      <c r="C53" s="18">
        <f>(4220.0/B53*100)</f>
        <v/>
      </c>
      <c r="D53" s="19" t="n">
        <v>520</v>
      </c>
      <c r="E53" s="18" t="n">
        <v>33.19789792</v>
      </c>
      <c r="F53" s="20" t="n">
        <v>2.04009265</v>
      </c>
      <c r="G53" s="18" t="n">
        <v>52.86003697</v>
      </c>
      <c r="H53" s="20" t="n">
        <v>2.15606585</v>
      </c>
      <c r="I53" s="18" t="n">
        <v>0</v>
      </c>
      <c r="J53" s="20" t="n">
        <v>0</v>
      </c>
      <c r="K53" s="18" t="n">
        <v>11.83774286</v>
      </c>
      <c r="L53" s="20" t="n">
        <v>1.54293323</v>
      </c>
      <c r="M53" s="18" t="n">
        <v>0</v>
      </c>
      <c r="N53" s="20" t="n">
        <v>0</v>
      </c>
      <c r="O53" s="18" t="n">
        <v>0</v>
      </c>
      <c r="P53" s="20" t="n">
        <v>0</v>
      </c>
      <c r="Q53" s="18" t="n">
        <v>2.10432226</v>
      </c>
      <c r="R53" s="20" t="n">
        <v>0.6912233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(4773.0/B55*100)</f>
        <v/>
      </c>
      <c r="D55" s="19" t="n">
        <v>586</v>
      </c>
      <c r="E55" s="18" t="n">
        <v>9.579909799999999</v>
      </c>
      <c r="F55" s="20" t="n">
        <v>1.25660446</v>
      </c>
      <c r="G55" s="18" t="n">
        <v>89.76857381000001</v>
      </c>
      <c r="H55" s="20" t="n">
        <v>1.29012614</v>
      </c>
      <c r="I55" s="18" t="n">
        <v>0</v>
      </c>
      <c r="J55" s="20" t="n">
        <v>0</v>
      </c>
      <c r="K55" s="18" t="n">
        <v>0.32805568</v>
      </c>
      <c r="L55" s="20" t="n">
        <v>0.31539331</v>
      </c>
      <c r="M55" s="18" t="n">
        <v>0</v>
      </c>
      <c r="N55" s="20" t="n">
        <v>0</v>
      </c>
      <c r="O55" s="18" t="n">
        <v>0</v>
      </c>
      <c r="P55" s="20" t="n">
        <v>0</v>
      </c>
      <c r="Q55" s="18" t="n">
        <v>0.32346071</v>
      </c>
      <c r="R55" s="20" t="n">
        <v>0.22969725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(5827.0/B61*100)</f>
        <v/>
      </c>
      <c r="D61" s="19" t="n">
        <v>698</v>
      </c>
      <c r="E61" s="18" t="n">
        <v>5.75509917</v>
      </c>
      <c r="F61" s="20" t="n">
        <v>0.7962555</v>
      </c>
      <c r="G61" s="18" t="n">
        <v>93.70067043</v>
      </c>
      <c r="H61" s="20" t="n">
        <v>0.8451538</v>
      </c>
      <c r="I61" s="18" t="n">
        <v>0</v>
      </c>
      <c r="J61" s="20" t="n">
        <v>0</v>
      </c>
      <c r="K61" s="18" t="n">
        <v>0.19612475</v>
      </c>
      <c r="L61" s="20" t="n">
        <v>0.20523611</v>
      </c>
      <c r="M61" s="18" t="n">
        <v>0</v>
      </c>
      <c r="N61" s="20" t="n">
        <v>0</v>
      </c>
      <c r="O61" s="18" t="n">
        <v>0</v>
      </c>
      <c r="P61" s="20" t="n">
        <v>0</v>
      </c>
      <c r="Q61" s="18" t="n">
        <v>0.34810565</v>
      </c>
      <c r="R61" s="20" t="n">
        <v>0.17250106</v>
      </c>
    </row>
    <row r="62" spans="1:18">
      <c r="A62" s="15" t="s">
        <v>622</v>
      </c>
      <c r="B62" s="17" t="n">
        <v>4476</v>
      </c>
      <c r="C62" s="18">
        <f>(3968.0/B62*100)</f>
        <v/>
      </c>
      <c r="D62" s="19" t="n">
        <v>508</v>
      </c>
      <c r="E62" s="18" t="n">
        <v>7.26579439</v>
      </c>
      <c r="F62" s="20" t="n">
        <v>1.20561146</v>
      </c>
      <c r="G62" s="18" t="n">
        <v>92.33423664</v>
      </c>
      <c r="H62" s="20" t="n">
        <v>1.225136</v>
      </c>
      <c r="I62" s="18" t="n">
        <v>0</v>
      </c>
      <c r="J62" s="20" t="n">
        <v>0</v>
      </c>
      <c r="K62" s="18" t="n">
        <v>0</v>
      </c>
      <c r="L62" s="20" t="n">
        <v>0</v>
      </c>
      <c r="M62" s="18" t="n">
        <v>0</v>
      </c>
      <c r="N62" s="20" t="n">
        <v>0</v>
      </c>
      <c r="O62" s="18" t="n">
        <v>0</v>
      </c>
      <c r="P62" s="20" t="n">
        <v>0</v>
      </c>
      <c r="Q62" s="18" t="n">
        <v>0.39996897</v>
      </c>
      <c r="R62" s="20" t="n">
        <v>0.2814884</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(5076.0/B67*100)</f>
        <v/>
      </c>
      <c r="D67" s="19" t="n">
        <v>589</v>
      </c>
      <c r="E67" s="18" t="n">
        <v>12.81559742</v>
      </c>
      <c r="F67" s="20" t="n">
        <v>1.21493568</v>
      </c>
      <c r="G67" s="18" t="n">
        <v>82.87204058</v>
      </c>
      <c r="H67" s="20" t="n">
        <v>1.45019656</v>
      </c>
      <c r="I67" s="18" t="n">
        <v>0</v>
      </c>
      <c r="J67" s="20" t="n">
        <v>0</v>
      </c>
      <c r="K67" s="18" t="n">
        <v>0.17411146</v>
      </c>
      <c r="L67" s="20" t="n">
        <v>0.17342104</v>
      </c>
      <c r="M67" s="18" t="n">
        <v>0</v>
      </c>
      <c r="N67" s="20" t="n">
        <v>0</v>
      </c>
      <c r="O67" s="18" t="n">
        <v>0</v>
      </c>
      <c r="P67" s="20" t="n">
        <v>0</v>
      </c>
      <c r="Q67" s="18" t="n">
        <v>4.13825053</v>
      </c>
      <c r="R67" s="20" t="n">
        <v>0.81349256</v>
      </c>
    </row>
    <row r="68" spans="1:18">
      <c r="A68" s="15" t="s">
        <v>628</v>
      </c>
      <c r="B68" s="17" t="n">
        <v>6971</v>
      </c>
      <c r="C68" s="18">
        <f>(6276.0/B68*100)</f>
        <v/>
      </c>
      <c r="D68" s="19" t="n">
        <v>695</v>
      </c>
      <c r="E68" s="18" t="n">
        <v>18.86067472</v>
      </c>
      <c r="F68" s="20" t="n">
        <v>1.48935744</v>
      </c>
      <c r="G68" s="18" t="n">
        <v>79.98497912000001</v>
      </c>
      <c r="H68" s="20" t="n">
        <v>1.49980298</v>
      </c>
      <c r="I68" s="18" t="n">
        <v>0</v>
      </c>
      <c r="J68" s="20" t="n">
        <v>0</v>
      </c>
      <c r="K68" s="18" t="n">
        <v>0.2850857</v>
      </c>
      <c r="L68" s="20" t="n">
        <v>0.20960132</v>
      </c>
      <c r="M68" s="18" t="n">
        <v>0</v>
      </c>
      <c r="N68" s="20" t="n">
        <v>0</v>
      </c>
      <c r="O68" s="18" t="n">
        <v>0</v>
      </c>
      <c r="P68" s="20" t="n">
        <v>0</v>
      </c>
      <c r="Q68" s="18" t="n">
        <v>0.86926046</v>
      </c>
      <c r="R68" s="20" t="n">
        <v>0.35597558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(10750.0/B70*100)</f>
        <v/>
      </c>
      <c r="D70" s="19" t="n">
        <v>1333</v>
      </c>
      <c r="E70" s="18" t="n">
        <v>24.09971876</v>
      </c>
      <c r="F70" s="20" t="n">
        <v>1.32006122</v>
      </c>
      <c r="G70" s="18" t="n">
        <v>72.12519263</v>
      </c>
      <c r="H70" s="20" t="n">
        <v>1.32520806</v>
      </c>
      <c r="I70" s="18" t="n">
        <v>0</v>
      </c>
      <c r="J70" s="20" t="n">
        <v>0</v>
      </c>
      <c r="K70" s="18" t="n">
        <v>1.89402329</v>
      </c>
      <c r="L70" s="20" t="n">
        <v>0.41148145</v>
      </c>
      <c r="M70" s="18" t="n">
        <v>0</v>
      </c>
      <c r="N70" s="20" t="n">
        <v>0</v>
      </c>
      <c r="O70" s="18" t="n">
        <v>0</v>
      </c>
      <c r="P70" s="20" t="n">
        <v>0</v>
      </c>
      <c r="Q70" s="18" t="n">
        <v>1.88106533</v>
      </c>
      <c r="R70" s="20" t="n">
        <v>0.35979146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(5411.0/B72*100)</f>
        <v/>
      </c>
      <c r="D72" s="19" t="n">
        <v>625</v>
      </c>
      <c r="E72" s="18" t="n">
        <v>5.34787449</v>
      </c>
      <c r="F72" s="20" t="n">
        <v>0.97423374</v>
      </c>
      <c r="G72" s="18" t="n">
        <v>94.34243626999999</v>
      </c>
      <c r="H72" s="20" t="n">
        <v>1.0014431</v>
      </c>
      <c r="I72" s="18" t="n">
        <v>0</v>
      </c>
      <c r="J72" s="20" t="n">
        <v>0</v>
      </c>
      <c r="K72" s="18" t="n">
        <v>0.10633006</v>
      </c>
      <c r="L72" s="20" t="n">
        <v>0.09018661</v>
      </c>
      <c r="M72" s="18" t="n">
        <v>0</v>
      </c>
      <c r="N72" s="20" t="n">
        <v>0</v>
      </c>
      <c r="O72" s="18" t="n">
        <v>0</v>
      </c>
      <c r="P72" s="20" t="n">
        <v>0</v>
      </c>
      <c r="Q72" s="18" t="n">
        <v>0.20335919</v>
      </c>
      <c r="R72" s="20" t="n">
        <v>0.13970481</v>
      </c>
    </row>
    <row r="73" spans="1:18">
      <c r="A73" s="15" t="s">
        <v>633</v>
      </c>
      <c r="B73" s="17" t="n">
        <v>6115</v>
      </c>
      <c r="C73" s="18">
        <f>(5428.0/B73*100)</f>
        <v/>
      </c>
      <c r="D73" s="19" t="n">
        <v>687</v>
      </c>
      <c r="E73" s="18" t="n">
        <v>8.940380169999999</v>
      </c>
      <c r="F73" s="20" t="n">
        <v>1.04661419</v>
      </c>
      <c r="G73" s="18" t="n">
        <v>90.36501797</v>
      </c>
      <c r="H73" s="20" t="n">
        <v>1.05506494</v>
      </c>
      <c r="I73" s="18" t="n">
        <v>0</v>
      </c>
      <c r="J73" s="20" t="n">
        <v>0</v>
      </c>
      <c r="K73" s="18" t="n">
        <v>0</v>
      </c>
      <c r="L73" s="20" t="n">
        <v>0</v>
      </c>
      <c r="M73" s="18" t="n">
        <v>0</v>
      </c>
      <c r="N73" s="20" t="n">
        <v>0</v>
      </c>
      <c r="O73" s="18" t="n">
        <v>0</v>
      </c>
      <c r="P73" s="20" t="n">
        <v>0</v>
      </c>
      <c r="Q73" s="18" t="n">
        <v>0.69460186</v>
      </c>
      <c r="R73" s="20" t="n">
        <v>0.31815271</v>
      </c>
    </row>
    <row r="74" spans="1:18">
      <c r="A74" s="15" t="s">
        <v>634</v>
      </c>
      <c r="B74" s="17" t="n">
        <v>7708</v>
      </c>
      <c r="C74" s="18">
        <f>(6813.0/B74*100)</f>
        <v/>
      </c>
      <c r="D74" s="19" t="n">
        <v>895</v>
      </c>
      <c r="E74" s="18" t="n">
        <v>8.35306351</v>
      </c>
      <c r="F74" s="20" t="n">
        <v>1.0280222</v>
      </c>
      <c r="G74" s="18" t="n">
        <v>90.84336756</v>
      </c>
      <c r="H74" s="20" t="n">
        <v>1.03494538</v>
      </c>
      <c r="I74" s="18" t="n">
        <v>0</v>
      </c>
      <c r="J74" s="20" t="n">
        <v>0</v>
      </c>
      <c r="K74" s="18" t="n">
        <v>0.12216639</v>
      </c>
      <c r="L74" s="20" t="n">
        <v>0.12266837</v>
      </c>
      <c r="M74" s="18" t="n">
        <v>0</v>
      </c>
      <c r="N74" s="20" t="n">
        <v>0</v>
      </c>
      <c r="O74" s="18" t="n">
        <v>0</v>
      </c>
      <c r="P74" s="20" t="n">
        <v>0</v>
      </c>
      <c r="Q74" s="18" t="n">
        <v>0.68140254</v>
      </c>
      <c r="R74" s="20" t="n">
        <v>0.32328229</v>
      </c>
    </row>
    <row r="75" spans="1:18">
      <c r="A75" s="15" t="s">
        <v>635</v>
      </c>
      <c r="B75" s="17" t="n">
        <v>8249</v>
      </c>
      <c r="C75" s="18">
        <f>(7354.0/B75*100)</f>
        <v/>
      </c>
      <c r="D75" s="19" t="n">
        <v>895</v>
      </c>
      <c r="E75" s="18" t="n">
        <v>31.73036647</v>
      </c>
      <c r="F75" s="20" t="n">
        <v>1.88207517</v>
      </c>
      <c r="G75" s="18" t="n">
        <v>68.22004729</v>
      </c>
      <c r="H75" s="20" t="n">
        <v>1.88991237</v>
      </c>
      <c r="I75" s="18" t="n">
        <v>0</v>
      </c>
      <c r="J75" s="20" t="n">
        <v>0</v>
      </c>
      <c r="K75" s="18" t="n">
        <v>0</v>
      </c>
      <c r="L75" s="20" t="n">
        <v>0</v>
      </c>
      <c r="M75" s="18" t="n">
        <v>0</v>
      </c>
      <c r="N75" s="20" t="n">
        <v>0</v>
      </c>
      <c r="O75" s="18" t="n">
        <v>0</v>
      </c>
      <c r="P75" s="20" t="n">
        <v>0</v>
      </c>
      <c r="Q75" s="18" t="n">
        <v>0.04958624</v>
      </c>
      <c r="R75" s="20" t="n">
        <v>0.04698151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(4848.0/B77*100)</f>
        <v/>
      </c>
      <c r="D77" s="19" t="n">
        <v>527</v>
      </c>
      <c r="E77" s="18" t="n">
        <v>24.78944577</v>
      </c>
      <c r="F77" s="20" t="n">
        <v>1.78173955</v>
      </c>
      <c r="G77" s="18" t="n">
        <v>70.03023206</v>
      </c>
      <c r="H77" s="20" t="n">
        <v>1.95549752</v>
      </c>
      <c r="I77" s="18" t="n">
        <v>0</v>
      </c>
      <c r="J77" s="20" t="n">
        <v>0</v>
      </c>
      <c r="K77" s="18" t="n">
        <v>2.66420996</v>
      </c>
      <c r="L77" s="20" t="n">
        <v>0.64267105</v>
      </c>
      <c r="M77" s="18" t="n">
        <v>0</v>
      </c>
      <c r="N77" s="20" t="n">
        <v>0</v>
      </c>
      <c r="O77" s="18" t="n">
        <v>0</v>
      </c>
      <c r="P77" s="20" t="n">
        <v>0</v>
      </c>
      <c r="Q77" s="18" t="n">
        <v>2.5161122</v>
      </c>
      <c r="R77" s="20" t="n">
        <v>0.59268477</v>
      </c>
    </row>
    <row r="78" spans="1:18">
      <c r="A78" s="15" t="s">
        <v>638</v>
      </c>
      <c r="B78" s="17" t="n">
        <v>14167</v>
      </c>
      <c r="C78" s="18">
        <f>(12572.0/B78*100)</f>
        <v/>
      </c>
      <c r="D78" s="19" t="n">
        <v>1595</v>
      </c>
      <c r="E78" s="18" t="n">
        <v>17.95571945</v>
      </c>
      <c r="F78" s="20" t="n">
        <v>1.20552751</v>
      </c>
      <c r="G78" s="18" t="n">
        <v>79.92678386999999</v>
      </c>
      <c r="H78" s="20" t="n">
        <v>1.16594515</v>
      </c>
      <c r="I78" s="18" t="n">
        <v>0</v>
      </c>
      <c r="J78" s="20" t="n">
        <v>0</v>
      </c>
      <c r="K78" s="18" t="n">
        <v>0.89688088</v>
      </c>
      <c r="L78" s="20" t="n">
        <v>0.28401566</v>
      </c>
      <c r="M78" s="18" t="n">
        <v>0</v>
      </c>
      <c r="N78" s="20" t="n">
        <v>0</v>
      </c>
      <c r="O78" s="18" t="n">
        <v>0</v>
      </c>
      <c r="P78" s="20" t="n">
        <v>0</v>
      </c>
      <c r="Q78" s="18" t="n">
        <v>1.2206158</v>
      </c>
      <c r="R78" s="20" t="n">
        <v>0.31271688</v>
      </c>
    </row>
    <row r="79" spans="1:18">
      <c r="A79" s="15" t="s">
        <v>639</v>
      </c>
      <c r="B79" s="17" t="n">
        <v>6062</v>
      </c>
      <c r="C79" s="18">
        <f>(5420.0/B79*100)</f>
        <v/>
      </c>
      <c r="D79" s="19" t="n">
        <v>642</v>
      </c>
      <c r="E79" s="18" t="n">
        <v>10.42022779</v>
      </c>
      <c r="F79" s="20" t="n">
        <v>0.95756597</v>
      </c>
      <c r="G79" s="18" t="n">
        <v>87.88442986</v>
      </c>
      <c r="H79" s="20" t="n">
        <v>1.25692448</v>
      </c>
      <c r="I79" s="18" t="n">
        <v>0</v>
      </c>
      <c r="J79" s="20" t="n">
        <v>0</v>
      </c>
      <c r="K79" s="18" t="n">
        <v>0.87223584</v>
      </c>
      <c r="L79" s="20" t="n">
        <v>0.45985493</v>
      </c>
      <c r="M79" s="18" t="n">
        <v>0</v>
      </c>
      <c r="N79" s="20" t="n">
        <v>0</v>
      </c>
      <c r="O79" s="18" t="n">
        <v>0</v>
      </c>
      <c r="P79" s="20" t="n">
        <v>0</v>
      </c>
      <c r="Q79" s="18" t="n">
        <v>0.82310652</v>
      </c>
      <c r="R79" s="20" t="n">
        <v>0.33607521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(28720.0/B82*100)</f>
        <v/>
      </c>
      <c r="D82" s="19" t="n">
        <v>3610</v>
      </c>
      <c r="E82" s="18" t="n">
        <v>6.1357477</v>
      </c>
      <c r="F82" s="20" t="n">
        <v>0.65215874</v>
      </c>
      <c r="G82" s="18" t="n">
        <v>92.75402984999999</v>
      </c>
      <c r="H82" s="20" t="n">
        <v>0.72759378</v>
      </c>
      <c r="I82" s="18" t="n">
        <v>0</v>
      </c>
      <c r="J82" s="20" t="n">
        <v>0</v>
      </c>
      <c r="K82" s="18" t="n">
        <v>0.07133266000000001</v>
      </c>
      <c r="L82" s="20" t="n">
        <v>0.03101192</v>
      </c>
      <c r="M82" s="18" t="n">
        <v>0</v>
      </c>
      <c r="N82" s="20" t="n">
        <v>0</v>
      </c>
      <c r="O82" s="18" t="n">
        <v>0</v>
      </c>
      <c r="P82" s="20" t="n">
        <v>0</v>
      </c>
      <c r="Q82" s="18" t="n">
        <v>1.03888979</v>
      </c>
      <c r="R82" s="20" t="n">
        <v>0.25858552</v>
      </c>
    </row>
    <row r="83" spans="1:18">
      <c r="A83" s="15" t="s">
        <v>643</v>
      </c>
      <c r="B83" s="17" t="n">
        <v>1652</v>
      </c>
      <c r="C83" s="18">
        <f>(1480.0/B83*100)</f>
        <v/>
      </c>
      <c r="D83" s="19" t="n">
        <v>172</v>
      </c>
      <c r="E83" s="18" t="n">
        <v>6.79447933</v>
      </c>
      <c r="F83" s="20" t="n">
        <v>1.94274122</v>
      </c>
      <c r="G83" s="18" t="n">
        <v>92.71402187</v>
      </c>
      <c r="H83" s="20" t="n">
        <v>1.98692663</v>
      </c>
      <c r="I83" s="18" t="n">
        <v>0</v>
      </c>
      <c r="J83" s="20" t="n">
        <v>0</v>
      </c>
      <c r="K83" s="18" t="n">
        <v>0</v>
      </c>
      <c r="L83" s="20" t="n">
        <v>0</v>
      </c>
      <c r="M83" s="18" t="n">
        <v>0</v>
      </c>
      <c r="N83" s="20" t="n">
        <v>0</v>
      </c>
      <c r="O83" s="18" t="n">
        <v>0</v>
      </c>
      <c r="P83" s="20" t="n">
        <v>0</v>
      </c>
      <c r="Q83" s="18" t="n">
        <v>0.4914988</v>
      </c>
      <c r="R83" s="20" t="n">
        <v>0.51854051</v>
      </c>
    </row>
    <row r="84" spans="1:18">
      <c r="A84" s="23" t="s">
        <v>644</v>
      </c>
      <c r="B84" s="24" t="n">
        <v>1887</v>
      </c>
      <c r="C84" s="25">
        <f>(1681.0/B84*100)</f>
        <v/>
      </c>
      <c r="D84" s="19" t="n">
        <v>206</v>
      </c>
      <c r="E84" s="18" t="n">
        <v>10.95951755</v>
      </c>
      <c r="F84" s="20" t="n">
        <v>2.40554413</v>
      </c>
      <c r="G84" s="18" t="n">
        <v>89.04048245</v>
      </c>
      <c r="H84" s="20" t="n">
        <v>2.40554413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668</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(12919.0/B7*100)</f>
        <v/>
      </c>
      <c r="D7" s="19" t="n">
        <v>1611</v>
      </c>
      <c r="E7" s="18" t="n">
        <v>43.38148696</v>
      </c>
      <c r="F7" s="20" t="n">
        <v>1.63542133</v>
      </c>
      <c r="G7" s="18" t="n">
        <v>23.10953909</v>
      </c>
      <c r="H7" s="20" t="n">
        <v>1.25479304</v>
      </c>
      <c r="I7" s="18" t="n">
        <v>26.7515235</v>
      </c>
      <c r="J7" s="20" t="n">
        <v>1.19137444</v>
      </c>
      <c r="K7" s="18" t="n">
        <v>0</v>
      </c>
      <c r="L7" s="20" t="n">
        <v>0</v>
      </c>
      <c r="M7" s="18" t="n">
        <v>0.25924692</v>
      </c>
      <c r="N7" s="20" t="n">
        <v>0.1119316</v>
      </c>
      <c r="O7" s="18" t="n">
        <v>0.00634875</v>
      </c>
      <c r="P7" s="20" t="n">
        <v>0.00643255</v>
      </c>
      <c r="Q7" s="18" t="n">
        <v>0</v>
      </c>
      <c r="R7" s="20" t="n">
        <v>0</v>
      </c>
      <c r="S7" s="18" t="n">
        <v>6.49185478</v>
      </c>
      <c r="T7" s="20" t="n">
        <v>0.78028759</v>
      </c>
    </row>
    <row r="8" spans="1:20">
      <c r="A8" s="15" t="s">
        <v>566</v>
      </c>
      <c r="B8" s="17" t="n">
        <v>7007</v>
      </c>
      <c r="C8" s="18">
        <f>(6243.0/B8*100)</f>
        <v/>
      </c>
      <c r="D8" s="19" t="n">
        <v>764</v>
      </c>
      <c r="E8" s="18" t="n">
        <v>52.30117085</v>
      </c>
      <c r="F8" s="20" t="n">
        <v>1.58529899</v>
      </c>
      <c r="G8" s="18" t="n">
        <v>18.81274623</v>
      </c>
      <c r="H8" s="20" t="n">
        <v>1.57319246</v>
      </c>
      <c r="I8" s="18" t="n">
        <v>20.32278225</v>
      </c>
      <c r="J8" s="20" t="n">
        <v>1.36902379</v>
      </c>
      <c r="K8" s="18" t="n">
        <v>0</v>
      </c>
      <c r="L8" s="20" t="n">
        <v>0</v>
      </c>
      <c r="M8" s="18" t="n">
        <v>0.47884128</v>
      </c>
      <c r="N8" s="20" t="n">
        <v>0.26776159</v>
      </c>
      <c r="O8" s="18" t="n">
        <v>0</v>
      </c>
      <c r="P8" s="20" t="n">
        <v>0</v>
      </c>
      <c r="Q8" s="18" t="n">
        <v>0</v>
      </c>
      <c r="R8" s="20" t="n">
        <v>0</v>
      </c>
      <c r="S8" s="18" t="n">
        <v>8.084459389999999</v>
      </c>
      <c r="T8" s="20" t="n">
        <v>0.98574364</v>
      </c>
    </row>
    <row r="9" spans="1:20">
      <c r="A9" s="15" t="s">
        <v>567</v>
      </c>
      <c r="B9" s="17" t="n">
        <v>9651</v>
      </c>
      <c r="C9" s="18">
        <f>(8615.0/B9*100)</f>
        <v/>
      </c>
      <c r="D9" s="19" t="n">
        <v>1036</v>
      </c>
      <c r="E9" s="18" t="n">
        <v>43.2493044</v>
      </c>
      <c r="F9" s="20" t="n">
        <v>1.41147798</v>
      </c>
      <c r="G9" s="18" t="n">
        <v>21.69285425</v>
      </c>
      <c r="H9" s="20" t="n">
        <v>1.2037596</v>
      </c>
      <c r="I9" s="18" t="n">
        <v>26.71582367</v>
      </c>
      <c r="J9" s="20" t="n">
        <v>1.2404623</v>
      </c>
      <c r="K9" s="18" t="n">
        <v>0</v>
      </c>
      <c r="L9" s="20" t="n">
        <v>0</v>
      </c>
      <c r="M9" s="18" t="n">
        <v>0.16787938</v>
      </c>
      <c r="N9" s="20" t="n">
        <v>0.11917191</v>
      </c>
      <c r="O9" s="18" t="n">
        <v>0.26760325</v>
      </c>
      <c r="P9" s="20" t="n">
        <v>0.15563872</v>
      </c>
      <c r="Q9" s="18" t="n">
        <v>0</v>
      </c>
      <c r="R9" s="20" t="n">
        <v>0</v>
      </c>
      <c r="S9" s="18" t="n">
        <v>7.90653504</v>
      </c>
      <c r="T9" s="20" t="n">
        <v>0.77544886</v>
      </c>
    </row>
    <row r="10" spans="1:20">
      <c r="A10" s="15" t="s">
        <v>568</v>
      </c>
      <c r="B10" s="17" t="n">
        <v>20058</v>
      </c>
      <c r="C10" s="18">
        <f>(17838.0/B10*100)</f>
        <v/>
      </c>
      <c r="D10" s="19" t="n">
        <v>2220</v>
      </c>
      <c r="E10" s="18" t="n">
        <v>45.10207736</v>
      </c>
      <c r="F10" s="20" t="n">
        <v>1.41624319</v>
      </c>
      <c r="G10" s="18" t="n">
        <v>17.49084387</v>
      </c>
      <c r="H10" s="20" t="n">
        <v>0.98473077</v>
      </c>
      <c r="I10" s="18" t="n">
        <v>33.1043541</v>
      </c>
      <c r="J10" s="20" t="n">
        <v>1.58105479</v>
      </c>
      <c r="K10" s="18" t="n">
        <v>0</v>
      </c>
      <c r="L10" s="20" t="n">
        <v>0</v>
      </c>
      <c r="M10" s="18" t="n">
        <v>0.42572441</v>
      </c>
      <c r="N10" s="20" t="n">
        <v>0.21014857</v>
      </c>
      <c r="O10" s="18" t="n">
        <v>0</v>
      </c>
      <c r="P10" s="20" t="n">
        <v>0</v>
      </c>
      <c r="Q10" s="18" t="n">
        <v>0</v>
      </c>
      <c r="R10" s="20" t="n">
        <v>0</v>
      </c>
      <c r="S10" s="18" t="n">
        <v>3.87700026</v>
      </c>
      <c r="T10" s="20" t="n">
        <v>0.60650068</v>
      </c>
    </row>
    <row r="11" spans="1:20">
      <c r="A11" s="15" t="s">
        <v>569</v>
      </c>
      <c r="B11" s="17" t="n">
        <v>7053</v>
      </c>
      <c r="C11" s="18">
        <f>(6309.0/B11*100)</f>
        <v/>
      </c>
      <c r="D11" s="19" t="n">
        <v>744</v>
      </c>
      <c r="E11" s="18" t="n">
        <v>59.62655556</v>
      </c>
      <c r="F11" s="20" t="n">
        <v>2.14230552</v>
      </c>
      <c r="G11" s="18" t="n">
        <v>15.12714289</v>
      </c>
      <c r="H11" s="20" t="n">
        <v>1.50042704</v>
      </c>
      <c r="I11" s="18" t="n">
        <v>13.59612723</v>
      </c>
      <c r="J11" s="20" t="n">
        <v>1.31731953</v>
      </c>
      <c r="K11" s="18" t="n">
        <v>0</v>
      </c>
      <c r="L11" s="20" t="n">
        <v>0</v>
      </c>
      <c r="M11" s="18" t="n">
        <v>0.58705037</v>
      </c>
      <c r="N11" s="20" t="n">
        <v>0.41079266</v>
      </c>
      <c r="O11" s="18" t="n">
        <v>0.20463728</v>
      </c>
      <c r="P11" s="20" t="n">
        <v>0.19353437</v>
      </c>
      <c r="Q11" s="18" t="n">
        <v>0</v>
      </c>
      <c r="R11" s="20" t="n">
        <v>0</v>
      </c>
      <c r="S11" s="18" t="n">
        <v>10.85848666</v>
      </c>
      <c r="T11" s="20" t="n">
        <v>1.20022809</v>
      </c>
    </row>
    <row r="12" spans="1:20">
      <c r="A12" s="15" t="s">
        <v>570</v>
      </c>
      <c r="B12" s="17" t="n">
        <v>6894</v>
      </c>
      <c r="C12" s="18">
        <f>(6151.0/B12*100)</f>
        <v/>
      </c>
      <c r="D12" s="19" t="n">
        <v>743</v>
      </c>
      <c r="E12" s="18" t="n">
        <v>53.05439483</v>
      </c>
      <c r="F12" s="20" t="n">
        <v>1.93939236</v>
      </c>
      <c r="G12" s="18" t="n">
        <v>24.08257238</v>
      </c>
      <c r="H12" s="20" t="n">
        <v>1.84676565</v>
      </c>
      <c r="I12" s="18" t="n">
        <v>15.17507798</v>
      </c>
      <c r="J12" s="20" t="n">
        <v>1.45201133</v>
      </c>
      <c r="K12" s="18" t="n">
        <v>0</v>
      </c>
      <c r="L12" s="20" t="n">
        <v>0</v>
      </c>
      <c r="M12" s="18" t="n">
        <v>0.07737945</v>
      </c>
      <c r="N12" s="20" t="n">
        <v>0.07489316</v>
      </c>
      <c r="O12" s="18" t="n">
        <v>0.12978582</v>
      </c>
      <c r="P12" s="20" t="n">
        <v>0.12950397</v>
      </c>
      <c r="Q12" s="18" t="n">
        <v>0</v>
      </c>
      <c r="R12" s="20" t="n">
        <v>0</v>
      </c>
      <c r="S12" s="18" t="n">
        <v>7.48078955</v>
      </c>
      <c r="T12" s="20" t="n">
        <v>1.0336684</v>
      </c>
    </row>
    <row r="13" spans="1:20">
      <c r="A13" s="15" t="s">
        <v>571</v>
      </c>
      <c r="B13" s="17" t="n">
        <v>7161</v>
      </c>
      <c r="C13" s="18">
        <f>(6428.0/B13*100)</f>
        <v/>
      </c>
      <c r="D13" s="19" t="n">
        <v>733</v>
      </c>
      <c r="E13" s="18" t="n">
        <v>49.26517865</v>
      </c>
      <c r="F13" s="20" t="n">
        <v>1.97685148</v>
      </c>
      <c r="G13" s="18" t="n">
        <v>18.88875717</v>
      </c>
      <c r="H13" s="20" t="n">
        <v>1.73691426</v>
      </c>
      <c r="I13" s="18" t="n">
        <v>20.24686279</v>
      </c>
      <c r="J13" s="20" t="n">
        <v>1.55440752</v>
      </c>
      <c r="K13" s="18" t="n">
        <v>0</v>
      </c>
      <c r="L13" s="20" t="n">
        <v>0</v>
      </c>
      <c r="M13" s="18" t="n">
        <v>1.38169359</v>
      </c>
      <c r="N13" s="20" t="n">
        <v>0.59426478</v>
      </c>
      <c r="O13" s="18" t="n">
        <v>0</v>
      </c>
      <c r="P13" s="20" t="n">
        <v>0</v>
      </c>
      <c r="Q13" s="18" t="n">
        <v>0</v>
      </c>
      <c r="R13" s="20" t="n">
        <v>0</v>
      </c>
      <c r="S13" s="18" t="n">
        <v>10.2175078</v>
      </c>
      <c r="T13" s="20" t="n">
        <v>1.42926329</v>
      </c>
    </row>
    <row r="14" spans="1:20">
      <c r="A14" s="15" t="s">
        <v>572</v>
      </c>
      <c r="B14" s="17" t="n">
        <v>5587</v>
      </c>
      <c r="C14" s="18">
        <f>(4961.0/B14*100)</f>
        <v/>
      </c>
      <c r="D14" s="19" t="n">
        <v>626</v>
      </c>
      <c r="E14" s="18" t="n">
        <v>28.28380264</v>
      </c>
      <c r="F14" s="20" t="n">
        <v>1.98756796</v>
      </c>
      <c r="G14" s="18" t="n">
        <v>20.62194028</v>
      </c>
      <c r="H14" s="20" t="n">
        <v>1.8000551</v>
      </c>
      <c r="I14" s="18" t="n">
        <v>47.94805527</v>
      </c>
      <c r="J14" s="20" t="n">
        <v>1.92991977</v>
      </c>
      <c r="K14" s="18" t="n">
        <v>0</v>
      </c>
      <c r="L14" s="20" t="n">
        <v>0</v>
      </c>
      <c r="M14" s="18" t="n">
        <v>0.27390576</v>
      </c>
      <c r="N14" s="20" t="n">
        <v>0.19850719</v>
      </c>
      <c r="O14" s="18" t="n">
        <v>0</v>
      </c>
      <c r="P14" s="20" t="n">
        <v>0</v>
      </c>
      <c r="Q14" s="18" t="n">
        <v>0</v>
      </c>
      <c r="R14" s="20" t="n">
        <v>0</v>
      </c>
      <c r="S14" s="18" t="n">
        <v>2.87229606</v>
      </c>
      <c r="T14" s="20" t="n">
        <v>0.68689576</v>
      </c>
    </row>
    <row r="15" spans="1:20">
      <c r="A15" s="15" t="s">
        <v>573</v>
      </c>
      <c r="B15" s="17" t="n">
        <v>5882</v>
      </c>
      <c r="C15" s="18">
        <f>(5217.0/B15*100)</f>
        <v/>
      </c>
      <c r="D15" s="19" t="n">
        <v>665</v>
      </c>
      <c r="E15" s="18" t="n">
        <v>39.17095366</v>
      </c>
      <c r="F15" s="20" t="n">
        <v>1.78761405</v>
      </c>
      <c r="G15" s="18" t="n">
        <v>21.10169792</v>
      </c>
      <c r="H15" s="20" t="n">
        <v>1.81084332</v>
      </c>
      <c r="I15" s="18" t="n">
        <v>37.56966502</v>
      </c>
      <c r="J15" s="20" t="n">
        <v>2.06351996</v>
      </c>
      <c r="K15" s="18" t="n">
        <v>0</v>
      </c>
      <c r="L15" s="20" t="n">
        <v>0</v>
      </c>
      <c r="M15" s="18" t="n">
        <v>0.13442144</v>
      </c>
      <c r="N15" s="20" t="n">
        <v>0.1343134</v>
      </c>
      <c r="O15" s="18" t="n">
        <v>0</v>
      </c>
      <c r="P15" s="20" t="n">
        <v>0</v>
      </c>
      <c r="Q15" s="18" t="n">
        <v>0</v>
      </c>
      <c r="R15" s="20" t="n">
        <v>0</v>
      </c>
      <c r="S15" s="18" t="n">
        <v>2.02326196</v>
      </c>
      <c r="T15" s="20" t="n">
        <v>0.56547894</v>
      </c>
    </row>
    <row r="16" spans="1:20">
      <c r="A16" s="15" t="s">
        <v>574</v>
      </c>
      <c r="B16" s="17" t="n">
        <v>6108</v>
      </c>
      <c r="C16" s="18">
        <f>(5431.0/B16*100)</f>
        <v/>
      </c>
      <c r="D16" s="19" t="n">
        <v>677</v>
      </c>
      <c r="E16" s="18" t="n">
        <v>29.82212711</v>
      </c>
      <c r="F16" s="20" t="n">
        <v>1.91534951</v>
      </c>
      <c r="G16" s="18" t="n">
        <v>17.42614083</v>
      </c>
      <c r="H16" s="20" t="n">
        <v>1.73502876</v>
      </c>
      <c r="I16" s="18" t="n">
        <v>36.96437762</v>
      </c>
      <c r="J16" s="20" t="n">
        <v>2.05803463</v>
      </c>
      <c r="K16" s="18" t="n">
        <v>0</v>
      </c>
      <c r="L16" s="20" t="n">
        <v>0</v>
      </c>
      <c r="M16" s="18" t="n">
        <v>0.6304703</v>
      </c>
      <c r="N16" s="20" t="n">
        <v>0.29810358</v>
      </c>
      <c r="O16" s="18" t="n">
        <v>0</v>
      </c>
      <c r="P16" s="20" t="n">
        <v>0</v>
      </c>
      <c r="Q16" s="18" t="n">
        <v>0</v>
      </c>
      <c r="R16" s="20" t="n">
        <v>0</v>
      </c>
      <c r="S16" s="18" t="n">
        <v>15.15688414</v>
      </c>
      <c r="T16" s="20" t="n">
        <v>1.61738482</v>
      </c>
    </row>
    <row r="17" spans="1:20">
      <c r="A17" s="15" t="s">
        <v>575</v>
      </c>
      <c r="B17" s="17" t="n">
        <v>6504</v>
      </c>
      <c r="C17" s="18">
        <f>(5803.0/B17*100)</f>
        <v/>
      </c>
      <c r="D17" s="19" t="n">
        <v>701</v>
      </c>
      <c r="E17" s="18" t="n">
        <v>59.14608522</v>
      </c>
      <c r="F17" s="20" t="n">
        <v>1.89199651</v>
      </c>
      <c r="G17" s="18" t="n">
        <v>12.21021559</v>
      </c>
      <c r="H17" s="20" t="n">
        <v>1.24746319</v>
      </c>
      <c r="I17" s="18" t="n">
        <v>21.45823645</v>
      </c>
      <c r="J17" s="20" t="n">
        <v>1.7217335</v>
      </c>
      <c r="K17" s="18" t="n">
        <v>0</v>
      </c>
      <c r="L17" s="20" t="n">
        <v>0</v>
      </c>
      <c r="M17" s="18" t="n">
        <v>0.36642273</v>
      </c>
      <c r="N17" s="20" t="n">
        <v>0.2269304</v>
      </c>
      <c r="O17" s="18" t="n">
        <v>0</v>
      </c>
      <c r="P17" s="20" t="n">
        <v>0</v>
      </c>
      <c r="Q17" s="18" t="n">
        <v>0</v>
      </c>
      <c r="R17" s="20" t="n">
        <v>0</v>
      </c>
      <c r="S17" s="18" t="n">
        <v>6.81904001</v>
      </c>
      <c r="T17" s="20" t="n">
        <v>0.97242174</v>
      </c>
    </row>
    <row r="18" spans="1:20">
      <c r="A18" s="15" t="s">
        <v>576</v>
      </c>
      <c r="B18" s="17" t="n">
        <v>5532</v>
      </c>
      <c r="C18" s="18">
        <f>(4911.0/B18*100)</f>
        <v/>
      </c>
      <c r="D18" s="19" t="n">
        <v>621</v>
      </c>
      <c r="E18" s="18" t="n">
        <v>52.54987158</v>
      </c>
      <c r="F18" s="20" t="n">
        <v>2.26949842</v>
      </c>
      <c r="G18" s="18" t="n">
        <v>17.23486403</v>
      </c>
      <c r="H18" s="20" t="n">
        <v>1.7302149</v>
      </c>
      <c r="I18" s="18" t="n">
        <v>14.37749999</v>
      </c>
      <c r="J18" s="20" t="n">
        <v>1.46634774</v>
      </c>
      <c r="K18" s="18" t="n">
        <v>0</v>
      </c>
      <c r="L18" s="20" t="n">
        <v>0</v>
      </c>
      <c r="M18" s="18" t="n">
        <v>0.08893904</v>
      </c>
      <c r="N18" s="20" t="n">
        <v>0.09060285999999999</v>
      </c>
      <c r="O18" s="18" t="n">
        <v>0</v>
      </c>
      <c r="P18" s="20" t="n">
        <v>0</v>
      </c>
      <c r="Q18" s="18" t="n">
        <v>0</v>
      </c>
      <c r="R18" s="20" t="n">
        <v>0</v>
      </c>
      <c r="S18" s="18" t="n">
        <v>15.74882536</v>
      </c>
      <c r="T18" s="20" t="n">
        <v>2.0171793</v>
      </c>
    </row>
    <row r="19" spans="1:20">
      <c r="A19" s="15" t="s">
        <v>577</v>
      </c>
      <c r="B19" s="17" t="n">
        <v>5658</v>
      </c>
      <c r="C19" s="18">
        <f>(5041.0/B19*100)</f>
        <v/>
      </c>
      <c r="D19" s="19" t="n">
        <v>617</v>
      </c>
      <c r="E19" s="18" t="n">
        <v>53.58520034</v>
      </c>
      <c r="F19" s="20" t="n">
        <v>2.10815439</v>
      </c>
      <c r="G19" s="18" t="n">
        <v>19.238891</v>
      </c>
      <c r="H19" s="20" t="n">
        <v>1.49905111</v>
      </c>
      <c r="I19" s="18" t="n">
        <v>15.96558785</v>
      </c>
      <c r="J19" s="20" t="n">
        <v>1.36494789</v>
      </c>
      <c r="K19" s="18" t="n">
        <v>0</v>
      </c>
      <c r="L19" s="20" t="n">
        <v>0</v>
      </c>
      <c r="M19" s="18" t="n">
        <v>0</v>
      </c>
      <c r="N19" s="20" t="n">
        <v>0</v>
      </c>
      <c r="O19" s="18" t="n">
        <v>0.14014696</v>
      </c>
      <c r="P19" s="20" t="n">
        <v>0.13902972</v>
      </c>
      <c r="Q19" s="18" t="n">
        <v>0</v>
      </c>
      <c r="R19" s="20" t="n">
        <v>0</v>
      </c>
      <c r="S19" s="18" t="n">
        <v>11.07017384</v>
      </c>
      <c r="T19" s="20" t="n">
        <v>1.64211951</v>
      </c>
    </row>
    <row r="20" spans="1:20">
      <c r="A20" s="15" t="s">
        <v>578</v>
      </c>
      <c r="B20" s="17" t="n">
        <v>3371</v>
      </c>
      <c r="C20" s="18">
        <f>(3014.0/B20*100)</f>
        <v/>
      </c>
      <c r="D20" s="19" t="n">
        <v>357</v>
      </c>
      <c r="E20" s="18" t="n">
        <v>52.48409866</v>
      </c>
      <c r="F20" s="20" t="n">
        <v>2.75541934</v>
      </c>
      <c r="G20" s="18" t="n">
        <v>19.88494113</v>
      </c>
      <c r="H20" s="20" t="n">
        <v>1.86568569</v>
      </c>
      <c r="I20" s="18" t="n">
        <v>17.50177215</v>
      </c>
      <c r="J20" s="20" t="n">
        <v>1.92592285</v>
      </c>
      <c r="K20" s="18" t="n">
        <v>0</v>
      </c>
      <c r="L20" s="20" t="n">
        <v>0</v>
      </c>
      <c r="M20" s="18" t="n">
        <v>0.5107027200000001</v>
      </c>
      <c r="N20" s="20" t="n">
        <v>0.35740151</v>
      </c>
      <c r="O20" s="18" t="n">
        <v>0.3417691</v>
      </c>
      <c r="P20" s="20" t="n">
        <v>0.34805499</v>
      </c>
      <c r="Q20" s="18" t="n">
        <v>0</v>
      </c>
      <c r="R20" s="20" t="n">
        <v>0</v>
      </c>
      <c r="S20" s="18" t="n">
        <v>9.27671625</v>
      </c>
      <c r="T20" s="20" t="n">
        <v>1.66513099</v>
      </c>
    </row>
    <row r="21" spans="1:20">
      <c r="A21" s="15" t="s">
        <v>579</v>
      </c>
      <c r="B21" s="17" t="n">
        <v>5741</v>
      </c>
      <c r="C21" s="18">
        <f>(5077.0/B21*100)</f>
        <v/>
      </c>
      <c r="D21" s="19" t="n">
        <v>664</v>
      </c>
      <c r="E21" s="18" t="n">
        <v>37.72969002</v>
      </c>
      <c r="F21" s="20" t="n">
        <v>2.09250815</v>
      </c>
      <c r="G21" s="18" t="n">
        <v>20.48623449</v>
      </c>
      <c r="H21" s="20" t="n">
        <v>1.58910534</v>
      </c>
      <c r="I21" s="18" t="n">
        <v>36.90471346</v>
      </c>
      <c r="J21" s="20" t="n">
        <v>1.97583432</v>
      </c>
      <c r="K21" s="18" t="n">
        <v>0</v>
      </c>
      <c r="L21" s="20" t="n">
        <v>0</v>
      </c>
      <c r="M21" s="18" t="n">
        <v>0</v>
      </c>
      <c r="N21" s="20" t="n">
        <v>0</v>
      </c>
      <c r="O21" s="18" t="n">
        <v>0</v>
      </c>
      <c r="P21" s="20" t="n">
        <v>0</v>
      </c>
      <c r="Q21" s="18" t="n">
        <v>0</v>
      </c>
      <c r="R21" s="20" t="n">
        <v>0</v>
      </c>
      <c r="S21" s="18" t="n">
        <v>4.87936202</v>
      </c>
      <c r="T21" s="20" t="n">
        <v>0.99115336</v>
      </c>
    </row>
    <row r="22" spans="1:20">
      <c r="A22" s="15" t="s">
        <v>580</v>
      </c>
      <c r="B22" s="17" t="n">
        <v>6598</v>
      </c>
      <c r="C22" s="18">
        <f>(5885.0/B22*100)</f>
        <v/>
      </c>
      <c r="D22" s="19" t="n">
        <v>713</v>
      </c>
      <c r="E22" s="18" t="n">
        <v>37.48306939</v>
      </c>
      <c r="F22" s="20" t="n">
        <v>1.71074955</v>
      </c>
      <c r="G22" s="18" t="n">
        <v>19.834979</v>
      </c>
      <c r="H22" s="20" t="n">
        <v>1.61492716</v>
      </c>
      <c r="I22" s="18" t="n">
        <v>26.75531079</v>
      </c>
      <c r="J22" s="20" t="n">
        <v>2.02308858</v>
      </c>
      <c r="K22" s="18" t="n">
        <v>0</v>
      </c>
      <c r="L22" s="20" t="n">
        <v>0</v>
      </c>
      <c r="M22" s="18" t="n">
        <v>1.55315797</v>
      </c>
      <c r="N22" s="20" t="n">
        <v>0.56167819</v>
      </c>
      <c r="O22" s="18" t="n">
        <v>0</v>
      </c>
      <c r="P22" s="20" t="n">
        <v>0</v>
      </c>
      <c r="Q22" s="18" t="n">
        <v>0</v>
      </c>
      <c r="R22" s="20" t="n">
        <v>0</v>
      </c>
      <c r="S22" s="18" t="n">
        <v>14.37348286</v>
      </c>
      <c r="T22" s="20" t="n">
        <v>1.53940024</v>
      </c>
    </row>
    <row r="23" spans="1:20">
      <c r="A23" s="15" t="s">
        <v>581</v>
      </c>
      <c r="B23" s="17" t="n">
        <v>11583</v>
      </c>
      <c r="C23" s="18">
        <f>(10317.0/B23*100)</f>
        <v/>
      </c>
      <c r="D23" s="19" t="n">
        <v>1266</v>
      </c>
      <c r="E23" s="18" t="n">
        <v>39.86944949</v>
      </c>
      <c r="F23" s="20" t="n">
        <v>1.75274238</v>
      </c>
      <c r="G23" s="18" t="n">
        <v>22.12934592</v>
      </c>
      <c r="H23" s="20" t="n">
        <v>1.66852499</v>
      </c>
      <c r="I23" s="18" t="n">
        <v>24.67187696</v>
      </c>
      <c r="J23" s="20" t="n">
        <v>1.87977987</v>
      </c>
      <c r="K23" s="18" t="n">
        <v>0</v>
      </c>
      <c r="L23" s="20" t="n">
        <v>0</v>
      </c>
      <c r="M23" s="18" t="n">
        <v>0.00234148</v>
      </c>
      <c r="N23" s="20" t="n">
        <v>0.0023534</v>
      </c>
      <c r="O23" s="18" t="n">
        <v>0.09922884</v>
      </c>
      <c r="P23" s="20" t="n">
        <v>0.10300181</v>
      </c>
      <c r="Q23" s="18" t="n">
        <v>0</v>
      </c>
      <c r="R23" s="20" t="n">
        <v>0</v>
      </c>
      <c r="S23" s="18" t="n">
        <v>13.22775731</v>
      </c>
      <c r="T23" s="20" t="n">
        <v>1.32939532</v>
      </c>
    </row>
    <row r="24" spans="1:20">
      <c r="A24" s="15" t="s">
        <v>582</v>
      </c>
      <c r="B24" s="17" t="n">
        <v>6647</v>
      </c>
      <c r="C24" s="18">
        <f>(5923.0/B24*100)</f>
        <v/>
      </c>
      <c r="D24" s="19" t="n">
        <v>724</v>
      </c>
      <c r="E24" s="18" t="n">
        <v>17.03094806</v>
      </c>
      <c r="F24" s="20" t="n">
        <v>1.39477982</v>
      </c>
      <c r="G24" s="18" t="n">
        <v>30.52713006</v>
      </c>
      <c r="H24" s="20" t="n">
        <v>2.0262205</v>
      </c>
      <c r="I24" s="18" t="n">
        <v>42.1655201</v>
      </c>
      <c r="J24" s="20" t="n">
        <v>1.94548385</v>
      </c>
      <c r="K24" s="18" t="n">
        <v>0</v>
      </c>
      <c r="L24" s="20" t="n">
        <v>0</v>
      </c>
      <c r="M24" s="18" t="n">
        <v>0</v>
      </c>
      <c r="N24" s="20" t="n">
        <v>0</v>
      </c>
      <c r="O24" s="18" t="n">
        <v>0</v>
      </c>
      <c r="P24" s="20" t="n">
        <v>0</v>
      </c>
      <c r="Q24" s="18" t="n">
        <v>0</v>
      </c>
      <c r="R24" s="20" t="n">
        <v>0</v>
      </c>
      <c r="S24" s="18" t="n">
        <v>10.27640178</v>
      </c>
      <c r="T24" s="20" t="n">
        <v>1.26769159</v>
      </c>
    </row>
    <row r="25" spans="1:20">
      <c r="A25" s="15" t="s">
        <v>583</v>
      </c>
      <c r="B25" s="17" t="n">
        <v>5581</v>
      </c>
      <c r="C25" s="18">
        <f>(4966.0/B25*100)</f>
        <v/>
      </c>
      <c r="D25" s="19" t="n">
        <v>615</v>
      </c>
      <c r="E25" s="18" t="n">
        <v>37.6224728</v>
      </c>
      <c r="F25" s="20" t="n">
        <v>1.69691238</v>
      </c>
      <c r="G25" s="18" t="n">
        <v>41.56318442</v>
      </c>
      <c r="H25" s="20" t="n">
        <v>1.83759144</v>
      </c>
      <c r="I25" s="18" t="n">
        <v>16.34028544</v>
      </c>
      <c r="J25" s="20" t="n">
        <v>1.52410371</v>
      </c>
      <c r="K25" s="18" t="n">
        <v>0</v>
      </c>
      <c r="L25" s="20" t="n">
        <v>0</v>
      </c>
      <c r="M25" s="18" t="n">
        <v>0.29803489</v>
      </c>
      <c r="N25" s="20" t="n">
        <v>0.21272998</v>
      </c>
      <c r="O25" s="18" t="n">
        <v>0</v>
      </c>
      <c r="P25" s="20" t="n">
        <v>0</v>
      </c>
      <c r="Q25" s="18" t="n">
        <v>0</v>
      </c>
      <c r="R25" s="20" t="n">
        <v>0</v>
      </c>
      <c r="S25" s="18" t="n">
        <v>4.17602244</v>
      </c>
      <c r="T25" s="20" t="n">
        <v>0.89189576</v>
      </c>
    </row>
    <row r="26" spans="1:20">
      <c r="A26" s="15" t="s">
        <v>584</v>
      </c>
      <c r="B26" s="17" t="n">
        <v>4869</v>
      </c>
      <c r="C26" s="18">
        <f>(4325.0/B26*100)</f>
        <v/>
      </c>
      <c r="D26" s="19" t="n">
        <v>544</v>
      </c>
      <c r="E26" s="18" t="n">
        <v>47.36936359</v>
      </c>
      <c r="F26" s="20" t="n">
        <v>2.29449129</v>
      </c>
      <c r="G26" s="18" t="n">
        <v>27.07108161</v>
      </c>
      <c r="H26" s="20" t="n">
        <v>2.06215256</v>
      </c>
      <c r="I26" s="18" t="n">
        <v>19.02757395</v>
      </c>
      <c r="J26" s="20" t="n">
        <v>1.74093154</v>
      </c>
      <c r="K26" s="18" t="n">
        <v>0</v>
      </c>
      <c r="L26" s="20" t="n">
        <v>0</v>
      </c>
      <c r="M26" s="18" t="n">
        <v>0</v>
      </c>
      <c r="N26" s="20" t="n">
        <v>0</v>
      </c>
      <c r="O26" s="18" t="n">
        <v>0.16497388</v>
      </c>
      <c r="P26" s="20" t="n">
        <v>0.1648821</v>
      </c>
      <c r="Q26" s="18" t="n">
        <v>0</v>
      </c>
      <c r="R26" s="20" t="n">
        <v>0</v>
      </c>
      <c r="S26" s="18" t="n">
        <v>6.36700697</v>
      </c>
      <c r="T26" s="20" t="n">
        <v>1.04505699</v>
      </c>
    </row>
    <row r="27" spans="1:20">
      <c r="A27" s="15" t="s">
        <v>585</v>
      </c>
      <c r="B27" s="17" t="n">
        <v>5299</v>
      </c>
      <c r="C27" s="18">
        <f>(4712.0/B27*100)</f>
        <v/>
      </c>
      <c r="D27" s="19" t="n">
        <v>587</v>
      </c>
      <c r="E27" s="18" t="n">
        <v>50.38561265</v>
      </c>
      <c r="F27" s="20" t="n">
        <v>2.11199926</v>
      </c>
      <c r="G27" s="18" t="n">
        <v>12.48734344</v>
      </c>
      <c r="H27" s="20" t="n">
        <v>1.19739481</v>
      </c>
      <c r="I27" s="18" t="n">
        <v>26.69505822</v>
      </c>
      <c r="J27" s="20" t="n">
        <v>1.9153164</v>
      </c>
      <c r="K27" s="18" t="n">
        <v>0</v>
      </c>
      <c r="L27" s="20" t="n">
        <v>0</v>
      </c>
      <c r="M27" s="18" t="n">
        <v>0.3497845</v>
      </c>
      <c r="N27" s="20" t="n">
        <v>0.24699634</v>
      </c>
      <c r="O27" s="18" t="n">
        <v>0</v>
      </c>
      <c r="P27" s="20" t="n">
        <v>0</v>
      </c>
      <c r="Q27" s="18" t="n">
        <v>0</v>
      </c>
      <c r="R27" s="20" t="n">
        <v>0</v>
      </c>
      <c r="S27" s="18" t="n">
        <v>10.08220119</v>
      </c>
      <c r="T27" s="20" t="n">
        <v>0.93451189</v>
      </c>
    </row>
    <row r="28" spans="1:20">
      <c r="A28" s="15" t="s">
        <v>586</v>
      </c>
      <c r="B28" s="17" t="n">
        <v>7568</v>
      </c>
      <c r="C28" s="18">
        <f>(6801.0/B28*100)</f>
        <v/>
      </c>
      <c r="D28" s="19" t="n">
        <v>767</v>
      </c>
      <c r="E28" s="18" t="n">
        <v>74.79950526</v>
      </c>
      <c r="F28" s="20" t="n">
        <v>1.93111269</v>
      </c>
      <c r="G28" s="18" t="n">
        <v>13.63791066</v>
      </c>
      <c r="H28" s="20" t="n">
        <v>1.4749038</v>
      </c>
      <c r="I28" s="18" t="n">
        <v>6.75987441</v>
      </c>
      <c r="J28" s="20" t="n">
        <v>1.07995768</v>
      </c>
      <c r="K28" s="18" t="n">
        <v>0</v>
      </c>
      <c r="L28" s="20" t="n">
        <v>0</v>
      </c>
      <c r="M28" s="18" t="n">
        <v>0.35863743</v>
      </c>
      <c r="N28" s="20" t="n">
        <v>0.26082725</v>
      </c>
      <c r="O28" s="18" t="n">
        <v>0</v>
      </c>
      <c r="P28" s="20" t="n">
        <v>0</v>
      </c>
      <c r="Q28" s="18" t="n">
        <v>0</v>
      </c>
      <c r="R28" s="20" t="n">
        <v>0</v>
      </c>
      <c r="S28" s="18" t="n">
        <v>4.44407225</v>
      </c>
      <c r="T28" s="20" t="n">
        <v>0.72054818</v>
      </c>
    </row>
    <row r="29" spans="1:20">
      <c r="A29" s="15" t="s">
        <v>587</v>
      </c>
      <c r="B29" s="17" t="n">
        <v>5385</v>
      </c>
      <c r="C29" s="18">
        <f>(4803.0/B29*100)</f>
        <v/>
      </c>
      <c r="D29" s="19" t="n">
        <v>582</v>
      </c>
      <c r="E29" s="18" t="n">
        <v>43.66926129</v>
      </c>
      <c r="F29" s="20" t="n">
        <v>1.90697008</v>
      </c>
      <c r="G29" s="18" t="n">
        <v>25.64982455</v>
      </c>
      <c r="H29" s="20" t="n">
        <v>1.83629355</v>
      </c>
      <c r="I29" s="18" t="n">
        <v>25.96563639</v>
      </c>
      <c r="J29" s="20" t="n">
        <v>1.65941247</v>
      </c>
      <c r="K29" s="18" t="n">
        <v>0</v>
      </c>
      <c r="L29" s="20" t="n">
        <v>0</v>
      </c>
      <c r="M29" s="18" t="n">
        <v>0.17696287</v>
      </c>
      <c r="N29" s="20" t="n">
        <v>0.17544565</v>
      </c>
      <c r="O29" s="18" t="n">
        <v>0</v>
      </c>
      <c r="P29" s="20" t="n">
        <v>0</v>
      </c>
      <c r="Q29" s="18" t="n">
        <v>0</v>
      </c>
      <c r="R29" s="20" t="n">
        <v>0</v>
      </c>
      <c r="S29" s="18" t="n">
        <v>4.5383149</v>
      </c>
      <c r="T29" s="20" t="n">
        <v>0.99538675</v>
      </c>
    </row>
    <row r="30" spans="1:20">
      <c r="A30" s="15" t="s">
        <v>588</v>
      </c>
      <c r="B30" s="17" t="n">
        <v>4520</v>
      </c>
      <c r="C30" s="18">
        <f>(4014.0/B30*100)</f>
        <v/>
      </c>
      <c r="D30" s="19" t="n">
        <v>506</v>
      </c>
      <c r="E30" s="18" t="n">
        <v>36.31300017</v>
      </c>
      <c r="F30" s="20" t="n">
        <v>1.94702871</v>
      </c>
      <c r="G30" s="18" t="n">
        <v>18.82637858</v>
      </c>
      <c r="H30" s="20" t="n">
        <v>1.97103017</v>
      </c>
      <c r="I30" s="18" t="n">
        <v>35.42973347</v>
      </c>
      <c r="J30" s="20" t="n">
        <v>2.52416426</v>
      </c>
      <c r="K30" s="18" t="n">
        <v>0</v>
      </c>
      <c r="L30" s="20" t="n">
        <v>0</v>
      </c>
      <c r="M30" s="18" t="n">
        <v>0.19263922</v>
      </c>
      <c r="N30" s="20" t="n">
        <v>0.18653395</v>
      </c>
      <c r="O30" s="18" t="n">
        <v>0.14269704</v>
      </c>
      <c r="P30" s="20" t="n">
        <v>0.14378826</v>
      </c>
      <c r="Q30" s="18" t="n">
        <v>0</v>
      </c>
      <c r="R30" s="20" t="n">
        <v>0</v>
      </c>
      <c r="S30" s="18" t="n">
        <v>9.09555151</v>
      </c>
      <c r="T30" s="20" t="n">
        <v>1.22847407</v>
      </c>
    </row>
    <row r="31" spans="1:20">
      <c r="A31" s="15" t="s">
        <v>589</v>
      </c>
      <c r="B31" s="17" t="n">
        <v>5456</v>
      </c>
      <c r="C31" s="18">
        <f>(4856.0/B31*100)</f>
        <v/>
      </c>
      <c r="D31" s="19" t="n">
        <v>600</v>
      </c>
      <c r="E31" s="18" t="n">
        <v>49.36389757</v>
      </c>
      <c r="F31" s="20" t="n">
        <v>1.98457607</v>
      </c>
      <c r="G31" s="18" t="n">
        <v>17.09111184</v>
      </c>
      <c r="H31" s="20" t="n">
        <v>1.68371259</v>
      </c>
      <c r="I31" s="18" t="n">
        <v>20.19453336</v>
      </c>
      <c r="J31" s="20" t="n">
        <v>1.59475478</v>
      </c>
      <c r="K31" s="18" t="n">
        <v>0</v>
      </c>
      <c r="L31" s="20" t="n">
        <v>0</v>
      </c>
      <c r="M31" s="18" t="n">
        <v>0.14077244</v>
      </c>
      <c r="N31" s="20" t="n">
        <v>0.1405019</v>
      </c>
      <c r="O31" s="18" t="n">
        <v>0.17240456</v>
      </c>
      <c r="P31" s="20" t="n">
        <v>0.18682274</v>
      </c>
      <c r="Q31" s="18" t="n">
        <v>0</v>
      </c>
      <c r="R31" s="20" t="n">
        <v>0</v>
      </c>
      <c r="S31" s="18" t="n">
        <v>13.03728022</v>
      </c>
      <c r="T31" s="20" t="n">
        <v>1.4447517</v>
      </c>
    </row>
    <row r="32" spans="1:20">
      <c r="A32" s="15" t="s">
        <v>590</v>
      </c>
      <c r="B32" s="17" t="n">
        <v>4478</v>
      </c>
      <c r="C32" s="18">
        <f>(3987.0/B32*100)</f>
        <v/>
      </c>
      <c r="D32" s="19" t="n">
        <v>491</v>
      </c>
      <c r="E32" s="18" t="n">
        <v>54.59335379</v>
      </c>
      <c r="F32" s="20" t="n">
        <v>2.3854085</v>
      </c>
      <c r="G32" s="18" t="n">
        <v>19.98167659</v>
      </c>
      <c r="H32" s="20" t="n">
        <v>1.91531738</v>
      </c>
      <c r="I32" s="18" t="n">
        <v>17.27630067</v>
      </c>
      <c r="J32" s="20" t="n">
        <v>1.70264951</v>
      </c>
      <c r="K32" s="18" t="n">
        <v>0</v>
      </c>
      <c r="L32" s="20" t="n">
        <v>0</v>
      </c>
      <c r="M32" s="18" t="n">
        <v>0.17943454</v>
      </c>
      <c r="N32" s="20" t="n">
        <v>0.17560746</v>
      </c>
      <c r="O32" s="18" t="n">
        <v>0</v>
      </c>
      <c r="P32" s="20" t="n">
        <v>0</v>
      </c>
      <c r="Q32" s="18" t="n">
        <v>0</v>
      </c>
      <c r="R32" s="20" t="n">
        <v>0</v>
      </c>
      <c r="S32" s="18" t="n">
        <v>7.96923441</v>
      </c>
      <c r="T32" s="20" t="n">
        <v>1.1808648</v>
      </c>
    </row>
    <row r="33" spans="1:20">
      <c r="A33" s="15" t="s">
        <v>591</v>
      </c>
      <c r="B33" s="17" t="n">
        <v>7325</v>
      </c>
      <c r="C33" s="18">
        <f>(6562.0/B33*100)</f>
        <v/>
      </c>
      <c r="D33" s="19" t="n">
        <v>763</v>
      </c>
      <c r="E33" s="18" t="n">
        <v>44.60309813</v>
      </c>
      <c r="F33" s="20" t="n">
        <v>2.03026142</v>
      </c>
      <c r="G33" s="18" t="n">
        <v>19.84569601</v>
      </c>
      <c r="H33" s="20" t="n">
        <v>1.60467879</v>
      </c>
      <c r="I33" s="18" t="n">
        <v>26.80143333</v>
      </c>
      <c r="J33" s="20" t="n">
        <v>1.89458164</v>
      </c>
      <c r="K33" s="18" t="n">
        <v>0</v>
      </c>
      <c r="L33" s="20" t="n">
        <v>0</v>
      </c>
      <c r="M33" s="18" t="n">
        <v>0.23196526</v>
      </c>
      <c r="N33" s="20" t="n">
        <v>0.24376176</v>
      </c>
      <c r="O33" s="18" t="n">
        <v>0</v>
      </c>
      <c r="P33" s="20" t="n">
        <v>0</v>
      </c>
      <c r="Q33" s="18" t="n">
        <v>0</v>
      </c>
      <c r="R33" s="20" t="n">
        <v>0</v>
      </c>
      <c r="S33" s="18" t="n">
        <v>8.51780727</v>
      </c>
      <c r="T33" s="20" t="n">
        <v>1.27922216</v>
      </c>
    </row>
    <row r="34" spans="1:20">
      <c r="A34" s="15" t="s">
        <v>592</v>
      </c>
      <c r="B34" s="17" t="n">
        <v>6350</v>
      </c>
      <c r="C34" s="18">
        <f>(5707.0/B34*100)</f>
        <v/>
      </c>
      <c r="D34" s="19" t="n">
        <v>643</v>
      </c>
      <c r="E34" s="18" t="n">
        <v>54.70009117</v>
      </c>
      <c r="F34" s="20" t="n">
        <v>2.07660995</v>
      </c>
      <c r="G34" s="18" t="n">
        <v>18.30781264</v>
      </c>
      <c r="H34" s="20" t="n">
        <v>1.73908359</v>
      </c>
      <c r="I34" s="18" t="n">
        <v>14.31543194</v>
      </c>
      <c r="J34" s="20" t="n">
        <v>1.41742962</v>
      </c>
      <c r="K34" s="18" t="n">
        <v>0</v>
      </c>
      <c r="L34" s="20" t="n">
        <v>0</v>
      </c>
      <c r="M34" s="18" t="n">
        <v>0.22818778</v>
      </c>
      <c r="N34" s="20" t="n">
        <v>0.23039876</v>
      </c>
      <c r="O34" s="18" t="n">
        <v>0.2816735</v>
      </c>
      <c r="P34" s="20" t="n">
        <v>0.20023916</v>
      </c>
      <c r="Q34" s="18" t="n">
        <v>0</v>
      </c>
      <c r="R34" s="20" t="n">
        <v>0</v>
      </c>
      <c r="S34" s="18" t="n">
        <v>12.16680298</v>
      </c>
      <c r="T34" s="20" t="n">
        <v>1.68707317</v>
      </c>
    </row>
    <row r="35" spans="1:20">
      <c r="A35" s="15" t="s">
        <v>593</v>
      </c>
      <c r="B35" s="17" t="n">
        <v>6406</v>
      </c>
      <c r="C35" s="18">
        <f>(5714.0/B35*100)</f>
        <v/>
      </c>
      <c r="D35" s="19" t="n">
        <v>692</v>
      </c>
      <c r="E35" s="18" t="n">
        <v>49.91967044</v>
      </c>
      <c r="F35" s="20" t="n">
        <v>2.39185137</v>
      </c>
      <c r="G35" s="18" t="n">
        <v>28.64494575</v>
      </c>
      <c r="H35" s="20" t="n">
        <v>2.13481489</v>
      </c>
      <c r="I35" s="18" t="n">
        <v>13.45375366</v>
      </c>
      <c r="J35" s="20" t="n">
        <v>1.7901602</v>
      </c>
      <c r="K35" s="18" t="n">
        <v>0</v>
      </c>
      <c r="L35" s="20" t="n">
        <v>0</v>
      </c>
      <c r="M35" s="18" t="n">
        <v>0</v>
      </c>
      <c r="N35" s="20" t="n">
        <v>0</v>
      </c>
      <c r="O35" s="18" t="n">
        <v>0.31030227</v>
      </c>
      <c r="P35" s="20" t="n">
        <v>0.24640508</v>
      </c>
      <c r="Q35" s="18" t="n">
        <v>0</v>
      </c>
      <c r="R35" s="20" t="n">
        <v>0</v>
      </c>
      <c r="S35" s="18" t="n">
        <v>7.67132787</v>
      </c>
      <c r="T35" s="20" t="n">
        <v>1.06486991</v>
      </c>
    </row>
    <row r="36" spans="1:20">
      <c r="A36" s="15" t="s">
        <v>594</v>
      </c>
      <c r="B36" s="17" t="n">
        <v>6736</v>
      </c>
      <c r="C36" s="18">
        <f>(5981.0/B36*100)</f>
        <v/>
      </c>
      <c r="D36" s="19" t="n">
        <v>755</v>
      </c>
      <c r="E36" s="18" t="n">
        <v>48.91711037</v>
      </c>
      <c r="F36" s="20" t="n">
        <v>2.27419845</v>
      </c>
      <c r="G36" s="18" t="n">
        <v>19.63680398</v>
      </c>
      <c r="H36" s="20" t="n">
        <v>1.53425033</v>
      </c>
      <c r="I36" s="18" t="n">
        <v>23.33257688</v>
      </c>
      <c r="J36" s="20" t="n">
        <v>1.68675034</v>
      </c>
      <c r="K36" s="18" t="n">
        <v>0</v>
      </c>
      <c r="L36" s="20" t="n">
        <v>0</v>
      </c>
      <c r="M36" s="18" t="n">
        <v>0.1110952</v>
      </c>
      <c r="N36" s="20" t="n">
        <v>0.07944893</v>
      </c>
      <c r="O36" s="18" t="n">
        <v>0</v>
      </c>
      <c r="P36" s="20" t="n">
        <v>0</v>
      </c>
      <c r="Q36" s="18" t="n">
        <v>0</v>
      </c>
      <c r="R36" s="20" t="n">
        <v>0</v>
      </c>
      <c r="S36" s="18" t="n">
        <v>8.00241357</v>
      </c>
      <c r="T36" s="20" t="n">
        <v>1.08177894</v>
      </c>
    </row>
    <row r="37" spans="1:20">
      <c r="A37" s="15" t="s">
        <v>595</v>
      </c>
      <c r="B37" s="17" t="n">
        <v>5458</v>
      </c>
      <c r="C37" s="18">
        <f>(4871.0/B37*100)</f>
        <v/>
      </c>
      <c r="D37" s="19" t="n">
        <v>587</v>
      </c>
      <c r="E37" s="18" t="n">
        <v>38.36039485</v>
      </c>
      <c r="F37" s="20" t="n">
        <v>2.01616839</v>
      </c>
      <c r="G37" s="18" t="n">
        <v>22.28579211</v>
      </c>
      <c r="H37" s="20" t="n">
        <v>2.04236054</v>
      </c>
      <c r="I37" s="18" t="n">
        <v>22.65064424</v>
      </c>
      <c r="J37" s="20" t="n">
        <v>1.96998733</v>
      </c>
      <c r="K37" s="18" t="n">
        <v>0</v>
      </c>
      <c r="L37" s="20" t="n">
        <v>0</v>
      </c>
      <c r="M37" s="18" t="n">
        <v>0.19154614</v>
      </c>
      <c r="N37" s="20" t="n">
        <v>0.18882882</v>
      </c>
      <c r="O37" s="18" t="n">
        <v>0</v>
      </c>
      <c r="P37" s="20" t="n">
        <v>0</v>
      </c>
      <c r="Q37" s="18" t="n">
        <v>0</v>
      </c>
      <c r="R37" s="20" t="n">
        <v>0</v>
      </c>
      <c r="S37" s="18" t="n">
        <v>16.51162267</v>
      </c>
      <c r="T37" s="20" t="n">
        <v>1.79289667</v>
      </c>
    </row>
    <row r="38" spans="1:20">
      <c r="A38" s="15" t="s">
        <v>596</v>
      </c>
      <c r="B38" s="17" t="n">
        <v>5860</v>
      </c>
      <c r="C38" s="18">
        <f>(5237.0/B38*100)</f>
        <v/>
      </c>
      <c r="D38" s="19" t="n">
        <v>623</v>
      </c>
      <c r="E38" s="18" t="n">
        <v>48.96228371</v>
      </c>
      <c r="F38" s="20" t="n">
        <v>2.52092896</v>
      </c>
      <c r="G38" s="18" t="n">
        <v>21.15961354</v>
      </c>
      <c r="H38" s="20" t="n">
        <v>2.22403183</v>
      </c>
      <c r="I38" s="18" t="n">
        <v>19.75095773</v>
      </c>
      <c r="J38" s="20" t="n">
        <v>2.00298993</v>
      </c>
      <c r="K38" s="18" t="n">
        <v>0</v>
      </c>
      <c r="L38" s="20" t="n">
        <v>0</v>
      </c>
      <c r="M38" s="18" t="n">
        <v>0.43033816</v>
      </c>
      <c r="N38" s="20" t="n">
        <v>0.28595765</v>
      </c>
      <c r="O38" s="18" t="n">
        <v>3.11418658</v>
      </c>
      <c r="P38" s="20" t="n">
        <v>0.78993535</v>
      </c>
      <c r="Q38" s="18" t="n">
        <v>0</v>
      </c>
      <c r="R38" s="20" t="n">
        <v>0</v>
      </c>
      <c r="S38" s="18" t="n">
        <v>6.58262028</v>
      </c>
      <c r="T38" s="20" t="n">
        <v>1.28618374</v>
      </c>
    </row>
    <row r="39" spans="1:20">
      <c r="A39" s="15" t="s">
        <v>597</v>
      </c>
      <c r="B39" s="17" t="n">
        <v>5895</v>
      </c>
      <c r="C39" s="18">
        <f>(5241.0/B39*100)</f>
        <v/>
      </c>
      <c r="D39" s="19" t="n">
        <v>654</v>
      </c>
      <c r="E39" s="18" t="n">
        <v>61.57515917</v>
      </c>
      <c r="F39" s="20" t="n">
        <v>2.01745802</v>
      </c>
      <c r="G39" s="18" t="n">
        <v>13.48028305</v>
      </c>
      <c r="H39" s="20" t="n">
        <v>1.55196349</v>
      </c>
      <c r="I39" s="18" t="n">
        <v>13.43303292</v>
      </c>
      <c r="J39" s="20" t="n">
        <v>1.28512461</v>
      </c>
      <c r="K39" s="18" t="n">
        <v>0</v>
      </c>
      <c r="L39" s="20" t="n">
        <v>0</v>
      </c>
      <c r="M39" s="18" t="n">
        <v>0.10861117</v>
      </c>
      <c r="N39" s="20" t="n">
        <v>0.11182883</v>
      </c>
      <c r="O39" s="18" t="n">
        <v>0</v>
      </c>
      <c r="P39" s="20" t="n">
        <v>0</v>
      </c>
      <c r="Q39" s="18" t="n">
        <v>0</v>
      </c>
      <c r="R39" s="20" t="n">
        <v>0</v>
      </c>
      <c r="S39" s="18" t="n">
        <v>11.40291369</v>
      </c>
      <c r="T39" s="20" t="n">
        <v>1.38540309</v>
      </c>
    </row>
    <row r="40" spans="1:20">
      <c r="A40" s="15" t="s">
        <v>598</v>
      </c>
      <c r="B40" s="17" t="n">
        <v>14157</v>
      </c>
      <c r="C40" s="18">
        <f>(12522.0/B40*100)</f>
        <v/>
      </c>
      <c r="D40" s="19" t="n">
        <v>1635</v>
      </c>
      <c r="E40" s="18" t="n">
        <v>34.14429934</v>
      </c>
      <c r="F40" s="20" t="n">
        <v>1.84437641</v>
      </c>
      <c r="G40" s="18" t="n">
        <v>15.72745358</v>
      </c>
      <c r="H40" s="20" t="n">
        <v>1.31481512</v>
      </c>
      <c r="I40" s="18" t="n">
        <v>42.35976752</v>
      </c>
      <c r="J40" s="20" t="n">
        <v>1.92867656</v>
      </c>
      <c r="K40" s="18" t="n">
        <v>0</v>
      </c>
      <c r="L40" s="20" t="n">
        <v>0</v>
      </c>
      <c r="M40" s="18" t="n">
        <v>0.21034557</v>
      </c>
      <c r="N40" s="20" t="n">
        <v>0.11735936</v>
      </c>
      <c r="O40" s="18" t="n">
        <v>0.04736917</v>
      </c>
      <c r="P40" s="20" t="n">
        <v>0.04525576</v>
      </c>
      <c r="Q40" s="18" t="n">
        <v>0</v>
      </c>
      <c r="R40" s="20" t="n">
        <v>0</v>
      </c>
      <c r="S40" s="18" t="n">
        <v>7.51076483</v>
      </c>
      <c r="T40" s="20" t="n">
        <v>0.90057698</v>
      </c>
    </row>
    <row r="41" spans="1:20">
      <c r="A41" s="15" t="s">
        <v>599</v>
      </c>
      <c r="B41" s="17" t="n">
        <v>5712</v>
      </c>
      <c r="C41" s="18">
        <f>(5107.0/B41*100)</f>
        <v/>
      </c>
      <c r="D41" s="19" t="n">
        <v>605</v>
      </c>
      <c r="E41" s="18" t="n">
        <v>48.91200262</v>
      </c>
      <c r="F41" s="20" t="n">
        <v>2.10403743</v>
      </c>
      <c r="G41" s="18" t="n">
        <v>18.41964584</v>
      </c>
      <c r="H41" s="20" t="n">
        <v>1.7072873</v>
      </c>
      <c r="I41" s="18" t="n">
        <v>29.59459668</v>
      </c>
      <c r="J41" s="20" t="n">
        <v>1.85620932</v>
      </c>
      <c r="K41" s="18" t="n">
        <v>0</v>
      </c>
      <c r="L41" s="20" t="n">
        <v>0</v>
      </c>
      <c r="M41" s="18" t="n">
        <v>0</v>
      </c>
      <c r="N41" s="20" t="n">
        <v>0</v>
      </c>
      <c r="O41" s="18" t="n">
        <v>0</v>
      </c>
      <c r="P41" s="20" t="n">
        <v>0</v>
      </c>
      <c r="Q41" s="18" t="n">
        <v>0</v>
      </c>
      <c r="R41" s="20" t="n">
        <v>0</v>
      </c>
      <c r="S41" s="18" t="n">
        <v>3.07375485</v>
      </c>
      <c r="T41" s="20" t="n">
        <v>0.67346997</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(21175.0/B46*100)</f>
        <v/>
      </c>
      <c r="D46" s="19" t="n">
        <v>1966</v>
      </c>
      <c r="E46" s="18" t="n">
        <v>56.17216778</v>
      </c>
      <c r="F46" s="20" t="n">
        <v>1.44225731</v>
      </c>
      <c r="G46" s="18" t="n">
        <v>16.42489062</v>
      </c>
      <c r="H46" s="20" t="n">
        <v>1.17433853</v>
      </c>
      <c r="I46" s="18" t="n">
        <v>8.99145517</v>
      </c>
      <c r="J46" s="20" t="n">
        <v>0.91434168</v>
      </c>
      <c r="K46" s="18" t="n">
        <v>0</v>
      </c>
      <c r="L46" s="20" t="n">
        <v>0</v>
      </c>
      <c r="M46" s="18" t="n">
        <v>1.03128408</v>
      </c>
      <c r="N46" s="20" t="n">
        <v>0.27979849</v>
      </c>
      <c r="O46" s="18" t="n">
        <v>0.50724323</v>
      </c>
      <c r="P46" s="20" t="n">
        <v>0.19902654</v>
      </c>
      <c r="Q46" s="18" t="n">
        <v>0</v>
      </c>
      <c r="R46" s="20" t="n">
        <v>0</v>
      </c>
      <c r="S46" s="18" t="n">
        <v>16.87295912</v>
      </c>
      <c r="T46" s="20" t="n">
        <v>1.13481053</v>
      </c>
    </row>
    <row r="47" spans="1:20">
      <c r="A47" s="15" t="s">
        <v>606</v>
      </c>
      <c r="B47" s="17" t="n">
        <v>5928</v>
      </c>
      <c r="C47" s="18">
        <f>(5305.0/B47*100)</f>
        <v/>
      </c>
      <c r="D47" s="19" t="n">
        <v>623</v>
      </c>
      <c r="E47" s="18" t="n">
        <v>47.15080934</v>
      </c>
      <c r="F47" s="20" t="n">
        <v>1.83338635</v>
      </c>
      <c r="G47" s="18" t="n">
        <v>14.62109366</v>
      </c>
      <c r="H47" s="20" t="n">
        <v>1.40920939</v>
      </c>
      <c r="I47" s="18" t="n">
        <v>18.8599488</v>
      </c>
      <c r="J47" s="20" t="n">
        <v>1.73665528</v>
      </c>
      <c r="K47" s="18" t="n">
        <v>0</v>
      </c>
      <c r="L47" s="20" t="n">
        <v>0</v>
      </c>
      <c r="M47" s="18" t="n">
        <v>0</v>
      </c>
      <c r="N47" s="20" t="n">
        <v>0</v>
      </c>
      <c r="O47" s="18" t="n">
        <v>0.15613898</v>
      </c>
      <c r="P47" s="20" t="n">
        <v>0.15518092</v>
      </c>
      <c r="Q47" s="18" t="n">
        <v>0</v>
      </c>
      <c r="R47" s="20" t="n">
        <v>0</v>
      </c>
      <c r="S47" s="18" t="n">
        <v>19.21200922</v>
      </c>
      <c r="T47" s="20" t="n">
        <v>1.98791797</v>
      </c>
    </row>
    <row r="48" spans="1:20">
      <c r="A48" s="15" t="s">
        <v>607</v>
      </c>
      <c r="B48" s="17" t="n">
        <v>9841</v>
      </c>
      <c r="C48" s="18">
        <f>(8766.0/B48*100)</f>
        <v/>
      </c>
      <c r="D48" s="19" t="n">
        <v>1075</v>
      </c>
      <c r="E48" s="18" t="n">
        <v>39.9893312</v>
      </c>
      <c r="F48" s="20" t="n">
        <v>2.0573085</v>
      </c>
      <c r="G48" s="18" t="n">
        <v>22.655577</v>
      </c>
      <c r="H48" s="20" t="n">
        <v>1.8891877</v>
      </c>
      <c r="I48" s="18" t="n">
        <v>27.35717431</v>
      </c>
      <c r="J48" s="20" t="n">
        <v>1.98577554</v>
      </c>
      <c r="K48" s="18" t="n">
        <v>0</v>
      </c>
      <c r="L48" s="20" t="n">
        <v>0</v>
      </c>
      <c r="M48" s="18" t="n">
        <v>0.62439769</v>
      </c>
      <c r="N48" s="20" t="n">
        <v>0.39348479</v>
      </c>
      <c r="O48" s="18" t="n">
        <v>0</v>
      </c>
      <c r="P48" s="20" t="n">
        <v>0</v>
      </c>
      <c r="Q48" s="18" t="n">
        <v>0</v>
      </c>
      <c r="R48" s="20" t="n">
        <v>0</v>
      </c>
      <c r="S48" s="18" t="n">
        <v>9.37351979</v>
      </c>
      <c r="T48" s="20" t="n">
        <v>1.39607883</v>
      </c>
    </row>
    <row r="49" spans="1:20">
      <c r="A49" s="15" t="s">
        <v>608</v>
      </c>
      <c r="B49" s="17" t="n">
        <v>11795</v>
      </c>
      <c r="C49" s="18">
        <f>(10546.0/B49*100)</f>
        <v/>
      </c>
      <c r="D49" s="19" t="n">
        <v>1249</v>
      </c>
      <c r="E49" s="18" t="n">
        <v>66.43710111</v>
      </c>
      <c r="F49" s="20" t="n">
        <v>1.92735443</v>
      </c>
      <c r="G49" s="18" t="n">
        <v>11.31734861</v>
      </c>
      <c r="H49" s="20" t="n">
        <v>1.15299555</v>
      </c>
      <c r="I49" s="18" t="n">
        <v>15.1367786</v>
      </c>
      <c r="J49" s="20" t="n">
        <v>1.4257822</v>
      </c>
      <c r="K49" s="18" t="n">
        <v>0</v>
      </c>
      <c r="L49" s="20" t="n">
        <v>0</v>
      </c>
      <c r="M49" s="18" t="n">
        <v>1.52011396</v>
      </c>
      <c r="N49" s="20" t="n">
        <v>0.61354046</v>
      </c>
      <c r="O49" s="18" t="n">
        <v>0.23242491</v>
      </c>
      <c r="P49" s="20" t="n">
        <v>0.12523355</v>
      </c>
      <c r="Q49" s="18" t="n">
        <v>0</v>
      </c>
      <c r="R49" s="20" t="n">
        <v>0</v>
      </c>
      <c r="S49" s="18" t="n">
        <v>5.35623281</v>
      </c>
      <c r="T49" s="20" t="n">
        <v>0.9088556800000001</v>
      </c>
    </row>
    <row r="50" spans="1:20">
      <c r="A50" s="15" t="s">
        <v>609</v>
      </c>
      <c r="B50" s="17" t="n">
        <v>6866</v>
      </c>
      <c r="C50" s="18">
        <f>(6210.0/B50*100)</f>
        <v/>
      </c>
      <c r="D50" s="19" t="n">
        <v>656</v>
      </c>
      <c r="E50" s="18" t="n">
        <v>69.63919376</v>
      </c>
      <c r="F50" s="20" t="n">
        <v>1.85768681</v>
      </c>
      <c r="G50" s="18" t="n">
        <v>12.70760364</v>
      </c>
      <c r="H50" s="20" t="n">
        <v>1.43022047</v>
      </c>
      <c r="I50" s="18" t="n">
        <v>10.39986148</v>
      </c>
      <c r="J50" s="20" t="n">
        <v>1.14724721</v>
      </c>
      <c r="K50" s="18" t="n">
        <v>0</v>
      </c>
      <c r="L50" s="20" t="n">
        <v>0</v>
      </c>
      <c r="M50" s="18" t="n">
        <v>0.52182173</v>
      </c>
      <c r="N50" s="20" t="n">
        <v>0.34261251</v>
      </c>
      <c r="O50" s="18" t="n">
        <v>0</v>
      </c>
      <c r="P50" s="20" t="n">
        <v>0</v>
      </c>
      <c r="Q50" s="18" t="n">
        <v>0</v>
      </c>
      <c r="R50" s="20" t="n">
        <v>0</v>
      </c>
      <c r="S50" s="18" t="n">
        <v>6.73151938</v>
      </c>
      <c r="T50" s="20" t="n">
        <v>1.23961174</v>
      </c>
    </row>
    <row r="51" spans="1:20">
      <c r="A51" s="15" t="s">
        <v>610</v>
      </c>
      <c r="B51" s="17" t="n">
        <v>5809</v>
      </c>
      <c r="C51" s="18">
        <f>(5199.0/B51*100)</f>
        <v/>
      </c>
      <c r="D51" s="19" t="n">
        <v>610</v>
      </c>
      <c r="E51" s="18" t="n">
        <v>46.68545583</v>
      </c>
      <c r="F51" s="20" t="n">
        <v>1.93906533</v>
      </c>
      <c r="G51" s="18" t="n">
        <v>27.58686214</v>
      </c>
      <c r="H51" s="20" t="n">
        <v>1.98562597</v>
      </c>
      <c r="I51" s="18" t="n">
        <v>13.97210731</v>
      </c>
      <c r="J51" s="20" t="n">
        <v>1.47227793</v>
      </c>
      <c r="K51" s="18" t="n">
        <v>0</v>
      </c>
      <c r="L51" s="20" t="n">
        <v>0</v>
      </c>
      <c r="M51" s="18" t="n">
        <v>0</v>
      </c>
      <c r="N51" s="20" t="n">
        <v>0</v>
      </c>
      <c r="O51" s="18" t="n">
        <v>0</v>
      </c>
      <c r="P51" s="20" t="n">
        <v>0</v>
      </c>
      <c r="Q51" s="18" t="n">
        <v>0</v>
      </c>
      <c r="R51" s="20" t="n">
        <v>0</v>
      </c>
      <c r="S51" s="18" t="n">
        <v>11.75557472</v>
      </c>
      <c r="T51" s="20" t="n">
        <v>1.35903329</v>
      </c>
    </row>
    <row r="52" spans="1:20">
      <c r="A52" s="15" t="s">
        <v>611</v>
      </c>
      <c r="B52" s="17" t="n">
        <v>5571</v>
      </c>
      <c r="C52" s="18">
        <f>(4959.0/B52*100)</f>
        <v/>
      </c>
      <c r="D52" s="19" t="n">
        <v>612</v>
      </c>
      <c r="E52" s="18" t="n">
        <v>52.92511073</v>
      </c>
      <c r="F52" s="20" t="n">
        <v>2.11240313</v>
      </c>
      <c r="G52" s="18" t="n">
        <v>15.54412483</v>
      </c>
      <c r="H52" s="20" t="n">
        <v>1.46388395</v>
      </c>
      <c r="I52" s="18" t="n">
        <v>15.00726666</v>
      </c>
      <c r="J52" s="20" t="n">
        <v>1.62858906</v>
      </c>
      <c r="K52" s="18" t="n">
        <v>0</v>
      </c>
      <c r="L52" s="20" t="n">
        <v>0</v>
      </c>
      <c r="M52" s="18" t="n">
        <v>0.10840448</v>
      </c>
      <c r="N52" s="20" t="n">
        <v>0.10946568</v>
      </c>
      <c r="O52" s="18" t="n">
        <v>0</v>
      </c>
      <c r="P52" s="20" t="n">
        <v>0</v>
      </c>
      <c r="Q52" s="18" t="n">
        <v>0</v>
      </c>
      <c r="R52" s="20" t="n">
        <v>0</v>
      </c>
      <c r="S52" s="18" t="n">
        <v>16.4150933</v>
      </c>
      <c r="T52" s="20" t="n">
        <v>1.42315727</v>
      </c>
    </row>
    <row r="53" spans="1:20">
      <c r="A53" s="15" t="s">
        <v>612</v>
      </c>
      <c r="B53" s="17" t="n">
        <v>4740</v>
      </c>
      <c r="C53" s="18">
        <f>(4223.0/B53*100)</f>
        <v/>
      </c>
      <c r="D53" s="19" t="n">
        <v>517</v>
      </c>
      <c r="E53" s="18" t="n">
        <v>61.493176</v>
      </c>
      <c r="F53" s="20" t="n">
        <v>2.58600184</v>
      </c>
      <c r="G53" s="18" t="n">
        <v>3.67596439</v>
      </c>
      <c r="H53" s="20" t="n">
        <v>0.78246637</v>
      </c>
      <c r="I53" s="18" t="n">
        <v>3.15127565</v>
      </c>
      <c r="J53" s="20" t="n">
        <v>0.78692931</v>
      </c>
      <c r="K53" s="18" t="n">
        <v>0</v>
      </c>
      <c r="L53" s="20" t="n">
        <v>0</v>
      </c>
      <c r="M53" s="18" t="n">
        <v>14.05074701</v>
      </c>
      <c r="N53" s="20" t="n">
        <v>1.65791639</v>
      </c>
      <c r="O53" s="18" t="n">
        <v>0.41251977</v>
      </c>
      <c r="P53" s="20" t="n">
        <v>0.43306444</v>
      </c>
      <c r="Q53" s="18" t="n">
        <v>0</v>
      </c>
      <c r="R53" s="20" t="n">
        <v>0</v>
      </c>
      <c r="S53" s="18" t="n">
        <v>17.21631719</v>
      </c>
      <c r="T53" s="20" t="n">
        <v>2.07114322</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(4774.0/B55*100)</f>
        <v/>
      </c>
      <c r="D55" s="19" t="n">
        <v>585</v>
      </c>
      <c r="E55" s="18" t="n">
        <v>35.89725998</v>
      </c>
      <c r="F55" s="20" t="n">
        <v>2.44234064</v>
      </c>
      <c r="G55" s="18" t="n">
        <v>26.96239409</v>
      </c>
      <c r="H55" s="20" t="n">
        <v>1.63004543</v>
      </c>
      <c r="I55" s="18" t="n">
        <v>28.24740248</v>
      </c>
      <c r="J55" s="20" t="n">
        <v>1.99849621</v>
      </c>
      <c r="K55" s="18" t="n">
        <v>0</v>
      </c>
      <c r="L55" s="20" t="n">
        <v>0</v>
      </c>
      <c r="M55" s="18" t="n">
        <v>0.32860195</v>
      </c>
      <c r="N55" s="20" t="n">
        <v>0.31590524</v>
      </c>
      <c r="O55" s="18" t="n">
        <v>0</v>
      </c>
      <c r="P55" s="20" t="n">
        <v>0</v>
      </c>
      <c r="Q55" s="18" t="n">
        <v>0</v>
      </c>
      <c r="R55" s="20" t="n">
        <v>0</v>
      </c>
      <c r="S55" s="18" t="n">
        <v>8.564341499999999</v>
      </c>
      <c r="T55" s="20" t="n">
        <v>1.36096942</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(5830.0/B61*100)</f>
        <v/>
      </c>
      <c r="D61" s="19" t="n">
        <v>695</v>
      </c>
      <c r="E61" s="18" t="n">
        <v>57.63149182</v>
      </c>
      <c r="F61" s="20" t="n">
        <v>2.03680286</v>
      </c>
      <c r="G61" s="18" t="n">
        <v>21.58932484</v>
      </c>
      <c r="H61" s="20" t="n">
        <v>1.76248711</v>
      </c>
      <c r="I61" s="18" t="n">
        <v>13.11496918</v>
      </c>
      <c r="J61" s="20" t="n">
        <v>1.35876852</v>
      </c>
      <c r="K61" s="18" t="n">
        <v>0</v>
      </c>
      <c r="L61" s="20" t="n">
        <v>0</v>
      </c>
      <c r="M61" s="18" t="n">
        <v>0.19724012</v>
      </c>
      <c r="N61" s="20" t="n">
        <v>0.20637406</v>
      </c>
      <c r="O61" s="18" t="n">
        <v>0</v>
      </c>
      <c r="P61" s="20" t="n">
        <v>0</v>
      </c>
      <c r="Q61" s="18" t="n">
        <v>0</v>
      </c>
      <c r="R61" s="20" t="n">
        <v>0</v>
      </c>
      <c r="S61" s="18" t="n">
        <v>7.46697404</v>
      </c>
      <c r="T61" s="20" t="n">
        <v>1.06965188</v>
      </c>
    </row>
    <row r="62" spans="1:20">
      <c r="A62" s="15" t="s">
        <v>622</v>
      </c>
      <c r="B62" s="17" t="n">
        <v>4476</v>
      </c>
      <c r="C62" s="18">
        <f>(3975.0/B62*100)</f>
        <v/>
      </c>
      <c r="D62" s="19" t="n">
        <v>501</v>
      </c>
      <c r="E62" s="18" t="n">
        <v>36.4906031</v>
      </c>
      <c r="F62" s="20" t="n">
        <v>2.41695396</v>
      </c>
      <c r="G62" s="18" t="n">
        <v>31.12695447</v>
      </c>
      <c r="H62" s="20" t="n">
        <v>2.32853537</v>
      </c>
      <c r="I62" s="18" t="n">
        <v>28.77310666</v>
      </c>
      <c r="J62" s="20" t="n">
        <v>2.2035654</v>
      </c>
      <c r="K62" s="18" t="n">
        <v>0</v>
      </c>
      <c r="L62" s="20" t="n">
        <v>0</v>
      </c>
      <c r="M62" s="18" t="n">
        <v>0</v>
      </c>
      <c r="N62" s="20" t="n">
        <v>0</v>
      </c>
      <c r="O62" s="18" t="n">
        <v>0</v>
      </c>
      <c r="P62" s="20" t="n">
        <v>0</v>
      </c>
      <c r="Q62" s="18" t="n">
        <v>0</v>
      </c>
      <c r="R62" s="20" t="n">
        <v>0</v>
      </c>
      <c r="S62" s="18" t="n">
        <v>3.60933576</v>
      </c>
      <c r="T62" s="20" t="n">
        <v>0.87817654</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(5086.0/B67*100)</f>
        <v/>
      </c>
      <c r="D67" s="19" t="n">
        <v>579</v>
      </c>
      <c r="E67" s="18" t="n">
        <v>44.34707792</v>
      </c>
      <c r="F67" s="20" t="n">
        <v>1.9425452</v>
      </c>
      <c r="G67" s="18" t="n">
        <v>18.20299379</v>
      </c>
      <c r="H67" s="20" t="n">
        <v>1.58467742</v>
      </c>
      <c r="I67" s="18" t="n">
        <v>13.54629206</v>
      </c>
      <c r="J67" s="20" t="n">
        <v>1.43792483</v>
      </c>
      <c r="K67" s="18" t="n">
        <v>0</v>
      </c>
      <c r="L67" s="20" t="n">
        <v>0</v>
      </c>
      <c r="M67" s="18" t="n">
        <v>0.17761884</v>
      </c>
      <c r="N67" s="20" t="n">
        <v>0.17721857</v>
      </c>
      <c r="O67" s="18" t="n">
        <v>0.292872</v>
      </c>
      <c r="P67" s="20" t="n">
        <v>0.20552045</v>
      </c>
      <c r="Q67" s="18" t="n">
        <v>0</v>
      </c>
      <c r="R67" s="20" t="n">
        <v>0</v>
      </c>
      <c r="S67" s="18" t="n">
        <v>23.43314538</v>
      </c>
      <c r="T67" s="20" t="n">
        <v>1.85564413</v>
      </c>
    </row>
    <row r="68" spans="1:20">
      <c r="A68" s="15" t="s">
        <v>628</v>
      </c>
      <c r="B68" s="17" t="n">
        <v>6971</v>
      </c>
      <c r="C68" s="18">
        <f>(6316.0/B68*100)</f>
        <v/>
      </c>
      <c r="D68" s="19" t="n">
        <v>655</v>
      </c>
      <c r="E68" s="18" t="n">
        <v>67.75179713</v>
      </c>
      <c r="F68" s="20" t="n">
        <v>1.99114502</v>
      </c>
      <c r="G68" s="18" t="n">
        <v>8.525928199999999</v>
      </c>
      <c r="H68" s="20" t="n">
        <v>1.08943805</v>
      </c>
      <c r="I68" s="18" t="n">
        <v>12.70405407</v>
      </c>
      <c r="J68" s="20" t="n">
        <v>1.56229199</v>
      </c>
      <c r="K68" s="18" t="n">
        <v>0</v>
      </c>
      <c r="L68" s="20" t="n">
        <v>0</v>
      </c>
      <c r="M68" s="18" t="n">
        <v>0.30278319</v>
      </c>
      <c r="N68" s="20" t="n">
        <v>0.22239204</v>
      </c>
      <c r="O68" s="18" t="n">
        <v>0.44225001</v>
      </c>
      <c r="P68" s="20" t="n">
        <v>0.26083376</v>
      </c>
      <c r="Q68" s="18" t="n">
        <v>0</v>
      </c>
      <c r="R68" s="20" t="n">
        <v>0</v>
      </c>
      <c r="S68" s="18" t="n">
        <v>10.27318739</v>
      </c>
      <c r="T68" s="20" t="n">
        <v>1.18639221</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(10749.0/B70*100)</f>
        <v/>
      </c>
      <c r="D70" s="19" t="n">
        <v>1334</v>
      </c>
      <c r="E70" s="18" t="n">
        <v>52.19222318</v>
      </c>
      <c r="F70" s="20" t="n">
        <v>1.49525179</v>
      </c>
      <c r="G70" s="18" t="n">
        <v>11.26596579</v>
      </c>
      <c r="H70" s="20" t="n">
        <v>0.8999601</v>
      </c>
      <c r="I70" s="18" t="n">
        <v>14.62413967</v>
      </c>
      <c r="J70" s="20" t="n">
        <v>1.0974989</v>
      </c>
      <c r="K70" s="18" t="n">
        <v>0</v>
      </c>
      <c r="L70" s="20" t="n">
        <v>0</v>
      </c>
      <c r="M70" s="18" t="n">
        <v>2.43738016</v>
      </c>
      <c r="N70" s="20" t="n">
        <v>0.45808373</v>
      </c>
      <c r="O70" s="18" t="n">
        <v>0.1536427</v>
      </c>
      <c r="P70" s="20" t="n">
        <v>0.10825759</v>
      </c>
      <c r="Q70" s="18" t="n">
        <v>0</v>
      </c>
      <c r="R70" s="20" t="n">
        <v>0</v>
      </c>
      <c r="S70" s="18" t="n">
        <v>19.3266485</v>
      </c>
      <c r="T70" s="20" t="n">
        <v>0.98442935</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(5427.0/B72*100)</f>
        <v/>
      </c>
      <c r="D72" s="19" t="n">
        <v>609</v>
      </c>
      <c r="E72" s="18" t="n">
        <v>34.27801142</v>
      </c>
      <c r="F72" s="20" t="n">
        <v>2.1664263</v>
      </c>
      <c r="G72" s="18" t="n">
        <v>36.59155664</v>
      </c>
      <c r="H72" s="20" t="n">
        <v>2.06270523</v>
      </c>
      <c r="I72" s="18" t="n">
        <v>17.23233871</v>
      </c>
      <c r="J72" s="20" t="n">
        <v>1.72071248</v>
      </c>
      <c r="K72" s="18" t="n">
        <v>0</v>
      </c>
      <c r="L72" s="20" t="n">
        <v>0</v>
      </c>
      <c r="M72" s="18" t="n">
        <v>0.10929476</v>
      </c>
      <c r="N72" s="20" t="n">
        <v>0.09270057</v>
      </c>
      <c r="O72" s="18" t="n">
        <v>0</v>
      </c>
      <c r="P72" s="20" t="n">
        <v>0</v>
      </c>
      <c r="Q72" s="18" t="n">
        <v>0</v>
      </c>
      <c r="R72" s="20" t="n">
        <v>0</v>
      </c>
      <c r="S72" s="18" t="n">
        <v>11.78879847</v>
      </c>
      <c r="T72" s="20" t="n">
        <v>1.5793886</v>
      </c>
    </row>
    <row r="73" spans="1:20">
      <c r="A73" s="15" t="s">
        <v>633</v>
      </c>
      <c r="B73" s="17" t="n">
        <v>6115</v>
      </c>
      <c r="C73" s="18">
        <f>(5431.0/B73*100)</f>
        <v/>
      </c>
      <c r="D73" s="19" t="n">
        <v>684</v>
      </c>
      <c r="E73" s="18" t="n">
        <v>23.69568903</v>
      </c>
      <c r="F73" s="20" t="n">
        <v>1.66135141</v>
      </c>
      <c r="G73" s="18" t="n">
        <v>24.3127278</v>
      </c>
      <c r="H73" s="20" t="n">
        <v>1.75025617</v>
      </c>
      <c r="I73" s="18" t="n">
        <v>50.54365735</v>
      </c>
      <c r="J73" s="20" t="n">
        <v>1.9356909</v>
      </c>
      <c r="K73" s="18" t="n">
        <v>0</v>
      </c>
      <c r="L73" s="20" t="n">
        <v>0</v>
      </c>
      <c r="M73" s="18" t="n">
        <v>0</v>
      </c>
      <c r="N73" s="20" t="n">
        <v>0</v>
      </c>
      <c r="O73" s="18" t="n">
        <v>0.08915226</v>
      </c>
      <c r="P73" s="20" t="n">
        <v>0.08947321</v>
      </c>
      <c r="Q73" s="18" t="n">
        <v>0</v>
      </c>
      <c r="R73" s="20" t="n">
        <v>0</v>
      </c>
      <c r="S73" s="18" t="n">
        <v>1.35877356</v>
      </c>
      <c r="T73" s="20" t="n">
        <v>0.43052772</v>
      </c>
    </row>
    <row r="74" spans="1:20">
      <c r="A74" s="15" t="s">
        <v>634</v>
      </c>
      <c r="B74" s="17" t="n">
        <v>7708</v>
      </c>
      <c r="C74" s="18">
        <f>(6814.0/B74*100)</f>
        <v/>
      </c>
      <c r="D74" s="19" t="n">
        <v>894</v>
      </c>
      <c r="E74" s="18" t="n">
        <v>61.96319594</v>
      </c>
      <c r="F74" s="20" t="n">
        <v>2.04201223</v>
      </c>
      <c r="G74" s="18" t="n">
        <v>12.48823967</v>
      </c>
      <c r="H74" s="20" t="n">
        <v>1.35673275</v>
      </c>
      <c r="I74" s="18" t="n">
        <v>18.3462413</v>
      </c>
      <c r="J74" s="20" t="n">
        <v>1.52292479</v>
      </c>
      <c r="K74" s="18" t="n">
        <v>0</v>
      </c>
      <c r="L74" s="20" t="n">
        <v>0</v>
      </c>
      <c r="M74" s="18" t="n">
        <v>0.12232105</v>
      </c>
      <c r="N74" s="20" t="n">
        <v>0.1228233</v>
      </c>
      <c r="O74" s="18" t="n">
        <v>0</v>
      </c>
      <c r="P74" s="20" t="n">
        <v>0</v>
      </c>
      <c r="Q74" s="18" t="n">
        <v>0</v>
      </c>
      <c r="R74" s="20" t="n">
        <v>0</v>
      </c>
      <c r="S74" s="18" t="n">
        <v>7.08000204</v>
      </c>
      <c r="T74" s="20" t="n">
        <v>0.86509314</v>
      </c>
    </row>
    <row r="75" spans="1:20">
      <c r="A75" s="15" t="s">
        <v>635</v>
      </c>
      <c r="B75" s="17" t="n">
        <v>8249</v>
      </c>
      <c r="C75" s="18">
        <f>(7374.0/B75*100)</f>
        <v/>
      </c>
      <c r="D75" s="19" t="n">
        <v>875</v>
      </c>
      <c r="E75" s="18" t="n">
        <v>74.41924229</v>
      </c>
      <c r="F75" s="20" t="n">
        <v>1.79688783</v>
      </c>
      <c r="G75" s="18" t="n">
        <v>13.36697203</v>
      </c>
      <c r="H75" s="20" t="n">
        <v>1.66800585</v>
      </c>
      <c r="I75" s="18" t="n">
        <v>9.151247789999999</v>
      </c>
      <c r="J75" s="20" t="n">
        <v>0.98884872</v>
      </c>
      <c r="K75" s="18" t="n">
        <v>0</v>
      </c>
      <c r="L75" s="20" t="n">
        <v>0</v>
      </c>
      <c r="M75" s="18" t="n">
        <v>0</v>
      </c>
      <c r="N75" s="20" t="n">
        <v>0</v>
      </c>
      <c r="O75" s="18" t="n">
        <v>0.25484039</v>
      </c>
      <c r="P75" s="20" t="n">
        <v>0.18614308</v>
      </c>
      <c r="Q75" s="18" t="n">
        <v>0</v>
      </c>
      <c r="R75" s="20" t="n">
        <v>0</v>
      </c>
      <c r="S75" s="18" t="n">
        <v>2.80769751</v>
      </c>
      <c r="T75" s="20" t="n">
        <v>0.64802427</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(4861.0/B77*100)</f>
        <v/>
      </c>
      <c r="D77" s="19" t="n">
        <v>514</v>
      </c>
      <c r="E77" s="18" t="n">
        <v>57.09104852</v>
      </c>
      <c r="F77" s="20" t="n">
        <v>2.25553122</v>
      </c>
      <c r="G77" s="18" t="n">
        <v>4.78302141</v>
      </c>
      <c r="H77" s="20" t="n">
        <v>0.80576938</v>
      </c>
      <c r="I77" s="18" t="n">
        <v>4.63756125</v>
      </c>
      <c r="J77" s="20" t="n">
        <v>0.98829405</v>
      </c>
      <c r="K77" s="18" t="n">
        <v>0</v>
      </c>
      <c r="L77" s="20" t="n">
        <v>0</v>
      </c>
      <c r="M77" s="18" t="n">
        <v>3.73096295</v>
      </c>
      <c r="N77" s="20" t="n">
        <v>0.80061452</v>
      </c>
      <c r="O77" s="18" t="n">
        <v>0.6029724</v>
      </c>
      <c r="P77" s="20" t="n">
        <v>0.44886121</v>
      </c>
      <c r="Q77" s="18" t="n">
        <v>0</v>
      </c>
      <c r="R77" s="20" t="n">
        <v>0</v>
      </c>
      <c r="S77" s="18" t="n">
        <v>29.15443347</v>
      </c>
      <c r="T77" s="20" t="n">
        <v>2.13977095</v>
      </c>
    </row>
    <row r="78" spans="1:20">
      <c r="A78" s="15" t="s">
        <v>638</v>
      </c>
      <c r="B78" s="17" t="n">
        <v>14167</v>
      </c>
      <c r="C78" s="18">
        <f>(12573.0/B78*100)</f>
        <v/>
      </c>
      <c r="D78" s="19" t="n">
        <v>1594</v>
      </c>
      <c r="E78" s="18" t="n">
        <v>58.46408103</v>
      </c>
      <c r="F78" s="20" t="n">
        <v>1.70829448</v>
      </c>
      <c r="G78" s="18" t="n">
        <v>14.85280695</v>
      </c>
      <c r="H78" s="20" t="n">
        <v>0.96530779</v>
      </c>
      <c r="I78" s="18" t="n">
        <v>15.10218957</v>
      </c>
      <c r="J78" s="20" t="n">
        <v>1.35854736</v>
      </c>
      <c r="K78" s="18" t="n">
        <v>0</v>
      </c>
      <c r="L78" s="20" t="n">
        <v>0</v>
      </c>
      <c r="M78" s="18" t="n">
        <v>0.89891223</v>
      </c>
      <c r="N78" s="20" t="n">
        <v>0.28462234</v>
      </c>
      <c r="O78" s="18" t="n">
        <v>0.04245838</v>
      </c>
      <c r="P78" s="20" t="n">
        <v>0.03057666</v>
      </c>
      <c r="Q78" s="18" t="n">
        <v>0</v>
      </c>
      <c r="R78" s="20" t="n">
        <v>0</v>
      </c>
      <c r="S78" s="18" t="n">
        <v>10.63955183</v>
      </c>
      <c r="T78" s="20" t="n">
        <v>1.20579135</v>
      </c>
    </row>
    <row r="79" spans="1:20">
      <c r="A79" s="15" t="s">
        <v>639</v>
      </c>
      <c r="B79" s="17" t="n">
        <v>6062</v>
      </c>
      <c r="C79" s="18">
        <f>(5433.0/B79*100)</f>
        <v/>
      </c>
      <c r="D79" s="19" t="n">
        <v>629</v>
      </c>
      <c r="E79" s="18" t="n">
        <v>43.60579096</v>
      </c>
      <c r="F79" s="20" t="n">
        <v>2.18483816</v>
      </c>
      <c r="G79" s="18" t="n">
        <v>15.16763552</v>
      </c>
      <c r="H79" s="20" t="n">
        <v>1.66025366</v>
      </c>
      <c r="I79" s="18" t="n">
        <v>21.35981732</v>
      </c>
      <c r="J79" s="20" t="n">
        <v>1.54652081</v>
      </c>
      <c r="K79" s="18" t="n">
        <v>0</v>
      </c>
      <c r="L79" s="20" t="n">
        <v>0</v>
      </c>
      <c r="M79" s="18" t="n">
        <v>1.34431956</v>
      </c>
      <c r="N79" s="20" t="n">
        <v>0.55514757</v>
      </c>
      <c r="O79" s="18" t="n">
        <v>0</v>
      </c>
      <c r="P79" s="20" t="n">
        <v>0</v>
      </c>
      <c r="Q79" s="18" t="n">
        <v>0</v>
      </c>
      <c r="R79" s="20" t="n">
        <v>0</v>
      </c>
      <c r="S79" s="18" t="n">
        <v>18.52243665</v>
      </c>
      <c r="T79" s="20" t="n">
        <v>1.72960456</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(28760.0/B82*100)</f>
        <v/>
      </c>
      <c r="D82" s="19" t="n">
        <v>3570</v>
      </c>
      <c r="E82" s="18" t="n">
        <v>49.23683469</v>
      </c>
      <c r="F82" s="20" t="n">
        <v>1.15303194</v>
      </c>
      <c r="G82" s="18" t="n">
        <v>20.10797403</v>
      </c>
      <c r="H82" s="20" t="n">
        <v>1.00286511</v>
      </c>
      <c r="I82" s="18" t="n">
        <v>22.8419669</v>
      </c>
      <c r="J82" s="20" t="n">
        <v>0.96039157</v>
      </c>
      <c r="K82" s="18" t="n">
        <v>0</v>
      </c>
      <c r="L82" s="20" t="n">
        <v>0</v>
      </c>
      <c r="M82" s="18" t="n">
        <v>0.07201657</v>
      </c>
      <c r="N82" s="20" t="n">
        <v>0.03132959</v>
      </c>
      <c r="O82" s="18" t="n">
        <v>0</v>
      </c>
      <c r="P82" s="20" t="n">
        <v>0</v>
      </c>
      <c r="Q82" s="18" t="n">
        <v>0</v>
      </c>
      <c r="R82" s="20" t="n">
        <v>0</v>
      </c>
      <c r="S82" s="18" t="n">
        <v>7.7412078</v>
      </c>
      <c r="T82" s="20" t="n">
        <v>0.66058747</v>
      </c>
    </row>
    <row r="83" spans="1:20">
      <c r="A83" s="15" t="s">
        <v>643</v>
      </c>
      <c r="B83" s="17" t="n">
        <v>1652</v>
      </c>
      <c r="C83" s="18">
        <f>(1484.0/B83*100)</f>
        <v/>
      </c>
      <c r="D83" s="19" t="n">
        <v>168</v>
      </c>
      <c r="E83" s="18" t="n">
        <v>47.16668798</v>
      </c>
      <c r="F83" s="20" t="n">
        <v>4.63003238</v>
      </c>
      <c r="G83" s="18" t="n">
        <v>20.86198007</v>
      </c>
      <c r="H83" s="20" t="n">
        <v>2.98614885</v>
      </c>
      <c r="I83" s="18" t="n">
        <v>30.65553914</v>
      </c>
      <c r="J83" s="20" t="n">
        <v>3.61048451</v>
      </c>
      <c r="K83" s="18" t="n">
        <v>0</v>
      </c>
      <c r="L83" s="20" t="n">
        <v>0</v>
      </c>
      <c r="M83" s="18" t="n">
        <v>0</v>
      </c>
      <c r="N83" s="20" t="n">
        <v>0</v>
      </c>
      <c r="O83" s="18" t="n">
        <v>0</v>
      </c>
      <c r="P83" s="20" t="n">
        <v>0</v>
      </c>
      <c r="Q83" s="18" t="n">
        <v>0</v>
      </c>
      <c r="R83" s="20" t="n">
        <v>0</v>
      </c>
      <c r="S83" s="18" t="n">
        <v>1.31579281</v>
      </c>
      <c r="T83" s="20" t="n">
        <v>0.8200792</v>
      </c>
    </row>
    <row r="84" spans="1:20">
      <c r="A84" s="23" t="s">
        <v>644</v>
      </c>
      <c r="B84" s="24" t="n">
        <v>1887</v>
      </c>
      <c r="C84" s="25">
        <f>(1683.0/B84*100)</f>
        <v/>
      </c>
      <c r="D84" s="19" t="n">
        <v>204</v>
      </c>
      <c r="E84" s="18" t="n">
        <v>51.26109365</v>
      </c>
      <c r="F84" s="20" t="n">
        <v>3.27182756</v>
      </c>
      <c r="G84" s="18" t="n">
        <v>15.91359203</v>
      </c>
      <c r="H84" s="20" t="n">
        <v>2.73779127</v>
      </c>
      <c r="I84" s="18" t="n">
        <v>29.22980893</v>
      </c>
      <c r="J84" s="20" t="n">
        <v>3.37555184</v>
      </c>
      <c r="K84" s="18" t="n">
        <v>0</v>
      </c>
      <c r="L84" s="20" t="n">
        <v>0</v>
      </c>
      <c r="M84" s="18" t="n">
        <v>0</v>
      </c>
      <c r="N84" s="20" t="n">
        <v>0</v>
      </c>
      <c r="O84" s="18" t="n">
        <v>0</v>
      </c>
      <c r="P84" s="20" t="n">
        <v>0</v>
      </c>
      <c r="Q84" s="18" t="n">
        <v>0</v>
      </c>
      <c r="R84" s="20" t="n">
        <v>0</v>
      </c>
      <c r="S84" s="18" t="n">
        <v>3.59550539</v>
      </c>
      <c r="T84" s="20" t="n">
        <v>1.36203192</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(12915.0/B7*100)</f>
        <v/>
      </c>
      <c r="D7" s="19" t="n">
        <v>1615</v>
      </c>
      <c r="E7" s="18" t="n">
        <v>40.3843394</v>
      </c>
      <c r="F7" s="20" t="n">
        <v>1.40814383</v>
      </c>
      <c r="G7" s="18" t="n">
        <v>58.79888587</v>
      </c>
      <c r="H7" s="20" t="n">
        <v>1.42264235</v>
      </c>
      <c r="I7" s="18" t="n">
        <v>0</v>
      </c>
      <c r="J7" s="20" t="n">
        <v>0</v>
      </c>
      <c r="K7" s="18" t="n">
        <v>0.25817631</v>
      </c>
      <c r="L7" s="20" t="n">
        <v>0.11145291</v>
      </c>
      <c r="M7" s="18" t="n">
        <v>0</v>
      </c>
      <c r="N7" s="20" t="n">
        <v>0</v>
      </c>
      <c r="O7" s="18" t="n">
        <v>0</v>
      </c>
      <c r="P7" s="20" t="n">
        <v>0</v>
      </c>
      <c r="Q7" s="18" t="n">
        <v>0.55859841</v>
      </c>
      <c r="R7" s="20" t="n">
        <v>0.2079575</v>
      </c>
    </row>
    <row r="8" spans="1:18">
      <c r="A8" s="15" t="s">
        <v>566</v>
      </c>
      <c r="B8" s="17" t="n">
        <v>7007</v>
      </c>
      <c r="C8" s="18">
        <f>(6241.0/B8*100)</f>
        <v/>
      </c>
      <c r="D8" s="19" t="n">
        <v>766</v>
      </c>
      <c r="E8" s="18" t="n">
        <v>45.66084084</v>
      </c>
      <c r="F8" s="20" t="n">
        <v>1.93866759</v>
      </c>
      <c r="G8" s="18" t="n">
        <v>52.58081402</v>
      </c>
      <c r="H8" s="20" t="n">
        <v>2.08693924</v>
      </c>
      <c r="I8" s="18" t="n">
        <v>0</v>
      </c>
      <c r="J8" s="20" t="n">
        <v>0</v>
      </c>
      <c r="K8" s="18" t="n">
        <v>0.47796904</v>
      </c>
      <c r="L8" s="20" t="n">
        <v>0.267268</v>
      </c>
      <c r="M8" s="18" t="n">
        <v>0</v>
      </c>
      <c r="N8" s="20" t="n">
        <v>0</v>
      </c>
      <c r="O8" s="18" t="n">
        <v>0</v>
      </c>
      <c r="P8" s="20" t="n">
        <v>0</v>
      </c>
      <c r="Q8" s="18" t="n">
        <v>1.28037611</v>
      </c>
      <c r="R8" s="20" t="n">
        <v>0.41260266</v>
      </c>
    </row>
    <row r="9" spans="1:18">
      <c r="A9" s="15" t="s">
        <v>567</v>
      </c>
      <c r="B9" s="17" t="n">
        <v>9651</v>
      </c>
      <c r="C9" s="18">
        <f>(8609.0/B9*100)</f>
        <v/>
      </c>
      <c r="D9" s="19" t="n">
        <v>1042</v>
      </c>
      <c r="E9" s="18" t="n">
        <v>52.72987079</v>
      </c>
      <c r="F9" s="20" t="n">
        <v>1.56906414</v>
      </c>
      <c r="G9" s="18" t="n">
        <v>46.64226804</v>
      </c>
      <c r="H9" s="20" t="n">
        <v>1.5530228</v>
      </c>
      <c r="I9" s="18" t="n">
        <v>0</v>
      </c>
      <c r="J9" s="20" t="n">
        <v>0</v>
      </c>
      <c r="K9" s="18" t="n">
        <v>0.16684463</v>
      </c>
      <c r="L9" s="20" t="n">
        <v>0.11842883</v>
      </c>
      <c r="M9" s="18" t="n">
        <v>0</v>
      </c>
      <c r="N9" s="20" t="n">
        <v>0</v>
      </c>
      <c r="O9" s="18" t="n">
        <v>0</v>
      </c>
      <c r="P9" s="20" t="n">
        <v>0</v>
      </c>
      <c r="Q9" s="18" t="n">
        <v>0.46101654</v>
      </c>
      <c r="R9" s="20" t="n">
        <v>0.2034017</v>
      </c>
    </row>
    <row r="10" spans="1:18">
      <c r="A10" s="15" t="s">
        <v>568</v>
      </c>
      <c r="B10" s="17" t="n">
        <v>20058</v>
      </c>
      <c r="C10" s="18">
        <f>(17835.0/B10*100)</f>
        <v/>
      </c>
      <c r="D10" s="19" t="n">
        <v>2223</v>
      </c>
      <c r="E10" s="18" t="n">
        <v>46.98270963</v>
      </c>
      <c r="F10" s="20" t="n">
        <v>1.61458805</v>
      </c>
      <c r="G10" s="18" t="n">
        <v>51.88400898</v>
      </c>
      <c r="H10" s="20" t="n">
        <v>1.59832641</v>
      </c>
      <c r="I10" s="18" t="n">
        <v>0</v>
      </c>
      <c r="J10" s="20" t="n">
        <v>0</v>
      </c>
      <c r="K10" s="18" t="n">
        <v>0.56655718</v>
      </c>
      <c r="L10" s="20" t="n">
        <v>0.23026926</v>
      </c>
      <c r="M10" s="18" t="n">
        <v>0</v>
      </c>
      <c r="N10" s="20" t="n">
        <v>0</v>
      </c>
      <c r="O10" s="18" t="n">
        <v>0</v>
      </c>
      <c r="P10" s="20" t="n">
        <v>0</v>
      </c>
      <c r="Q10" s="18" t="n">
        <v>0.56672421</v>
      </c>
      <c r="R10" s="20" t="n">
        <v>0.21950911</v>
      </c>
    </row>
    <row r="11" spans="1:18">
      <c r="A11" s="15" t="s">
        <v>569</v>
      </c>
      <c r="B11" s="17" t="n">
        <v>7053</v>
      </c>
      <c r="C11" s="18">
        <f>(6306.0/B11*100)</f>
        <v/>
      </c>
      <c r="D11" s="19" t="n">
        <v>747</v>
      </c>
      <c r="E11" s="18" t="n">
        <v>55.95095362</v>
      </c>
      <c r="F11" s="20" t="n">
        <v>2.15657858</v>
      </c>
      <c r="G11" s="18" t="n">
        <v>41.18460475</v>
      </c>
      <c r="H11" s="20" t="n">
        <v>2.23408851</v>
      </c>
      <c r="I11" s="18" t="n">
        <v>0</v>
      </c>
      <c r="J11" s="20" t="n">
        <v>0</v>
      </c>
      <c r="K11" s="18" t="n">
        <v>0.62367355</v>
      </c>
      <c r="L11" s="20" t="n">
        <v>0.41070462</v>
      </c>
      <c r="M11" s="18" t="n">
        <v>0</v>
      </c>
      <c r="N11" s="20" t="n">
        <v>0</v>
      </c>
      <c r="O11" s="18" t="n">
        <v>0</v>
      </c>
      <c r="P11" s="20" t="n">
        <v>0</v>
      </c>
      <c r="Q11" s="18" t="n">
        <v>2.24076808</v>
      </c>
      <c r="R11" s="20" t="n">
        <v>0.5508359900000001</v>
      </c>
    </row>
    <row r="12" spans="1:18">
      <c r="A12" s="15" t="s">
        <v>570</v>
      </c>
      <c r="B12" s="17" t="n">
        <v>6894</v>
      </c>
      <c r="C12" s="18">
        <f>(6149.0/B12*100)</f>
        <v/>
      </c>
      <c r="D12" s="19" t="n">
        <v>745</v>
      </c>
      <c r="E12" s="18" t="n">
        <v>43.23362301</v>
      </c>
      <c r="F12" s="20" t="n">
        <v>1.95125219</v>
      </c>
      <c r="G12" s="18" t="n">
        <v>56.52082587</v>
      </c>
      <c r="H12" s="20" t="n">
        <v>1.95417871</v>
      </c>
      <c r="I12" s="18" t="n">
        <v>0</v>
      </c>
      <c r="J12" s="20" t="n">
        <v>0</v>
      </c>
      <c r="K12" s="18" t="n">
        <v>0.18642251</v>
      </c>
      <c r="L12" s="20" t="n">
        <v>0.1656935</v>
      </c>
      <c r="M12" s="18" t="n">
        <v>0</v>
      </c>
      <c r="N12" s="20" t="n">
        <v>0</v>
      </c>
      <c r="O12" s="18" t="n">
        <v>0</v>
      </c>
      <c r="P12" s="20" t="n">
        <v>0</v>
      </c>
      <c r="Q12" s="18" t="n">
        <v>0.05912862</v>
      </c>
      <c r="R12" s="20" t="n">
        <v>0.05948759</v>
      </c>
    </row>
    <row r="13" spans="1:18">
      <c r="A13" s="15" t="s">
        <v>571</v>
      </c>
      <c r="B13" s="17" t="n">
        <v>7161</v>
      </c>
      <c r="C13" s="18">
        <f>(6428.0/B13*100)</f>
        <v/>
      </c>
      <c r="D13" s="19" t="n">
        <v>733</v>
      </c>
      <c r="E13" s="18" t="n">
        <v>48.21690778</v>
      </c>
      <c r="F13" s="20" t="n">
        <v>2.21223267</v>
      </c>
      <c r="G13" s="18" t="n">
        <v>49.55114923</v>
      </c>
      <c r="H13" s="20" t="n">
        <v>2.16834652</v>
      </c>
      <c r="I13" s="18" t="n">
        <v>0</v>
      </c>
      <c r="J13" s="20" t="n">
        <v>0</v>
      </c>
      <c r="K13" s="18" t="n">
        <v>1.38169359</v>
      </c>
      <c r="L13" s="20" t="n">
        <v>0.59426478</v>
      </c>
      <c r="M13" s="18" t="n">
        <v>0</v>
      </c>
      <c r="N13" s="20" t="n">
        <v>0</v>
      </c>
      <c r="O13" s="18" t="n">
        <v>0</v>
      </c>
      <c r="P13" s="20" t="n">
        <v>0</v>
      </c>
      <c r="Q13" s="18" t="n">
        <v>0.85024941</v>
      </c>
      <c r="R13" s="20" t="n">
        <v>0.46415832</v>
      </c>
    </row>
    <row r="14" spans="1:18">
      <c r="A14" s="15" t="s">
        <v>572</v>
      </c>
      <c r="B14" s="17" t="n">
        <v>5587</v>
      </c>
      <c r="C14" s="18">
        <f>(4960.0/B14*100)</f>
        <v/>
      </c>
      <c r="D14" s="19" t="n">
        <v>627</v>
      </c>
      <c r="E14" s="18" t="n">
        <v>31.15032039</v>
      </c>
      <c r="F14" s="20" t="n">
        <v>1.87512313</v>
      </c>
      <c r="G14" s="18" t="n">
        <v>68.39438860999999</v>
      </c>
      <c r="H14" s="20" t="n">
        <v>1.85393328</v>
      </c>
      <c r="I14" s="18" t="n">
        <v>0</v>
      </c>
      <c r="J14" s="20" t="n">
        <v>0</v>
      </c>
      <c r="K14" s="18" t="n">
        <v>0.27348895</v>
      </c>
      <c r="L14" s="20" t="n">
        <v>0.1982151</v>
      </c>
      <c r="M14" s="18" t="n">
        <v>0</v>
      </c>
      <c r="N14" s="20" t="n">
        <v>0</v>
      </c>
      <c r="O14" s="18" t="n">
        <v>0</v>
      </c>
      <c r="P14" s="20" t="n">
        <v>0</v>
      </c>
      <c r="Q14" s="18" t="n">
        <v>0.18180204</v>
      </c>
      <c r="R14" s="20" t="n">
        <v>0.18107419</v>
      </c>
    </row>
    <row r="15" spans="1:18">
      <c r="A15" s="15" t="s">
        <v>573</v>
      </c>
      <c r="B15" s="17" t="n">
        <v>5882</v>
      </c>
      <c r="C15" s="18">
        <f>(5216.0/B15*100)</f>
        <v/>
      </c>
      <c r="D15" s="19" t="n">
        <v>666</v>
      </c>
      <c r="E15" s="18" t="n">
        <v>42.97928643</v>
      </c>
      <c r="F15" s="20" t="n">
        <v>2.15834781</v>
      </c>
      <c r="G15" s="18" t="n">
        <v>56.62108261</v>
      </c>
      <c r="H15" s="20" t="n">
        <v>2.13046255</v>
      </c>
      <c r="I15" s="18" t="n">
        <v>0</v>
      </c>
      <c r="J15" s="20" t="n">
        <v>0</v>
      </c>
      <c r="K15" s="18" t="n">
        <v>0.13422865</v>
      </c>
      <c r="L15" s="20" t="n">
        <v>0.13412045</v>
      </c>
      <c r="M15" s="18" t="n">
        <v>0</v>
      </c>
      <c r="N15" s="20" t="n">
        <v>0</v>
      </c>
      <c r="O15" s="18" t="n">
        <v>0</v>
      </c>
      <c r="P15" s="20" t="n">
        <v>0</v>
      </c>
      <c r="Q15" s="18" t="n">
        <v>0.26540231</v>
      </c>
      <c r="R15" s="20" t="n">
        <v>0.18878472</v>
      </c>
    </row>
    <row r="16" spans="1:18">
      <c r="A16" s="15" t="s">
        <v>574</v>
      </c>
      <c r="B16" s="17" t="n">
        <v>6108</v>
      </c>
      <c r="C16" s="18">
        <f>(5426.0/B16*100)</f>
        <v/>
      </c>
      <c r="D16" s="19" t="n">
        <v>682</v>
      </c>
      <c r="E16" s="18" t="n">
        <v>0</v>
      </c>
      <c r="F16" s="20" t="n">
        <v>0</v>
      </c>
      <c r="G16" s="18" t="n">
        <v>0</v>
      </c>
      <c r="H16" s="20" t="n">
        <v>0</v>
      </c>
      <c r="I16" s="18" t="n">
        <v>0</v>
      </c>
      <c r="J16" s="20" t="n">
        <v>0</v>
      </c>
      <c r="K16" s="18" t="n">
        <v>0</v>
      </c>
      <c r="L16" s="20" t="n">
        <v>0</v>
      </c>
      <c r="M16" s="18" t="n">
        <v>100</v>
      </c>
      <c r="N16" s="20" t="n">
        <v>0</v>
      </c>
      <c r="O16" s="18" t="n">
        <v>0</v>
      </c>
      <c r="P16" s="20" t="n">
        <v>0</v>
      </c>
      <c r="Q16" s="18" t="n">
        <v>0</v>
      </c>
      <c r="R16" s="20" t="n">
        <v>0</v>
      </c>
    </row>
    <row r="17" spans="1:18">
      <c r="A17" s="15" t="s">
        <v>575</v>
      </c>
      <c r="B17" s="17" t="n">
        <v>6504</v>
      </c>
      <c r="C17" s="18">
        <f>(5803.0/B17*100)</f>
        <v/>
      </c>
      <c r="D17" s="19" t="n">
        <v>701</v>
      </c>
      <c r="E17" s="18" t="n">
        <v>45.68589917</v>
      </c>
      <c r="F17" s="20" t="n">
        <v>1.87297042</v>
      </c>
      <c r="G17" s="18" t="n">
        <v>53.65392901</v>
      </c>
      <c r="H17" s="20" t="n">
        <v>1.87367251</v>
      </c>
      <c r="I17" s="18" t="n">
        <v>0</v>
      </c>
      <c r="J17" s="20" t="n">
        <v>0</v>
      </c>
      <c r="K17" s="18" t="n">
        <v>0.54136701</v>
      </c>
      <c r="L17" s="20" t="n">
        <v>0.28803375</v>
      </c>
      <c r="M17" s="18" t="n">
        <v>0</v>
      </c>
      <c r="N17" s="20" t="n">
        <v>0</v>
      </c>
      <c r="O17" s="18" t="n">
        <v>0</v>
      </c>
      <c r="P17" s="20" t="n">
        <v>0</v>
      </c>
      <c r="Q17" s="18" t="n">
        <v>0.1188048</v>
      </c>
      <c r="R17" s="20" t="n">
        <v>0.10971714</v>
      </c>
    </row>
    <row r="18" spans="1:18">
      <c r="A18" s="15" t="s">
        <v>576</v>
      </c>
      <c r="B18" s="17" t="n">
        <v>5532</v>
      </c>
      <c r="C18" s="18">
        <f>(4909.0/B18*100)</f>
        <v/>
      </c>
      <c r="D18" s="19" t="n">
        <v>623</v>
      </c>
      <c r="E18" s="18" t="n">
        <v>51.15350086</v>
      </c>
      <c r="F18" s="20" t="n">
        <v>2.14311163</v>
      </c>
      <c r="G18" s="18" t="n">
        <v>46.16433525</v>
      </c>
      <c r="H18" s="20" t="n">
        <v>2.10186887</v>
      </c>
      <c r="I18" s="18" t="n">
        <v>0</v>
      </c>
      <c r="J18" s="20" t="n">
        <v>0</v>
      </c>
      <c r="K18" s="18" t="n">
        <v>0.12618374</v>
      </c>
      <c r="L18" s="20" t="n">
        <v>0.09851282</v>
      </c>
      <c r="M18" s="18" t="n">
        <v>0</v>
      </c>
      <c r="N18" s="20" t="n">
        <v>0</v>
      </c>
      <c r="O18" s="18" t="n">
        <v>0</v>
      </c>
      <c r="P18" s="20" t="n">
        <v>0</v>
      </c>
      <c r="Q18" s="18" t="n">
        <v>2.55598015</v>
      </c>
      <c r="R18" s="20" t="n">
        <v>0.79751605</v>
      </c>
    </row>
    <row r="19" spans="1:18">
      <c r="A19" s="15" t="s">
        <v>577</v>
      </c>
      <c r="B19" s="17" t="n">
        <v>5658</v>
      </c>
      <c r="C19" s="18">
        <f>(5041.0/B19*100)</f>
        <v/>
      </c>
      <c r="D19" s="19" t="n">
        <v>617</v>
      </c>
      <c r="E19" s="18" t="n">
        <v>39.9294108</v>
      </c>
      <c r="F19" s="20" t="n">
        <v>2.14994051</v>
      </c>
      <c r="G19" s="18" t="n">
        <v>60.0705892</v>
      </c>
      <c r="H19" s="20" t="n">
        <v>2.14994051</v>
      </c>
      <c r="I19" s="18" t="n">
        <v>0</v>
      </c>
      <c r="J19" s="20" t="n">
        <v>0</v>
      </c>
      <c r="K19" s="18" t="n">
        <v>0</v>
      </c>
      <c r="L19" s="20" t="n">
        <v>0</v>
      </c>
      <c r="M19" s="18" t="n">
        <v>0</v>
      </c>
      <c r="N19" s="20" t="n">
        <v>0</v>
      </c>
      <c r="O19" s="18" t="n">
        <v>0</v>
      </c>
      <c r="P19" s="20" t="n">
        <v>0</v>
      </c>
      <c r="Q19" s="18" t="n">
        <v>0</v>
      </c>
      <c r="R19" s="20" t="n">
        <v>0</v>
      </c>
    </row>
    <row r="20" spans="1:18">
      <c r="A20" s="15" t="s">
        <v>578</v>
      </c>
      <c r="B20" s="17" t="n">
        <v>3371</v>
      </c>
      <c r="C20" s="18">
        <f>(3013.0/B20*100)</f>
        <v/>
      </c>
      <c r="D20" s="19" t="n">
        <v>358</v>
      </c>
      <c r="E20" s="18" t="n">
        <v>68.89345371</v>
      </c>
      <c r="F20" s="20" t="n">
        <v>2.57915309</v>
      </c>
      <c r="G20" s="18" t="n">
        <v>28.59701641</v>
      </c>
      <c r="H20" s="20" t="n">
        <v>2.35276554</v>
      </c>
      <c r="I20" s="18" t="n">
        <v>0</v>
      </c>
      <c r="J20" s="20" t="n">
        <v>0</v>
      </c>
      <c r="K20" s="18" t="n">
        <v>0.50939092</v>
      </c>
      <c r="L20" s="20" t="n">
        <v>0.35653106</v>
      </c>
      <c r="M20" s="18" t="n">
        <v>0</v>
      </c>
      <c r="N20" s="20" t="n">
        <v>0</v>
      </c>
      <c r="O20" s="18" t="n">
        <v>0</v>
      </c>
      <c r="P20" s="20" t="n">
        <v>0</v>
      </c>
      <c r="Q20" s="18" t="n">
        <v>2.00013897</v>
      </c>
      <c r="R20" s="20" t="n">
        <v>0.76142997</v>
      </c>
    </row>
    <row r="21" spans="1:18">
      <c r="A21" s="15" t="s">
        <v>579</v>
      </c>
      <c r="B21" s="17" t="n">
        <v>5741</v>
      </c>
      <c r="C21" s="18">
        <f>(5076.0/B21*100)</f>
        <v/>
      </c>
      <c r="D21" s="19" t="n">
        <v>665</v>
      </c>
      <c r="E21" s="18" t="n">
        <v>53.00049029</v>
      </c>
      <c r="F21" s="20" t="n">
        <v>2.00053258</v>
      </c>
      <c r="G21" s="18" t="n">
        <v>46.25396177</v>
      </c>
      <c r="H21" s="20" t="n">
        <v>1.93890339</v>
      </c>
      <c r="I21" s="18" t="n">
        <v>0</v>
      </c>
      <c r="J21" s="20" t="n">
        <v>0</v>
      </c>
      <c r="K21" s="18" t="n">
        <v>0</v>
      </c>
      <c r="L21" s="20" t="n">
        <v>0</v>
      </c>
      <c r="M21" s="18" t="n">
        <v>0</v>
      </c>
      <c r="N21" s="20" t="n">
        <v>0</v>
      </c>
      <c r="O21" s="18" t="n">
        <v>0</v>
      </c>
      <c r="P21" s="20" t="n">
        <v>0</v>
      </c>
      <c r="Q21" s="18" t="n">
        <v>0.74554794</v>
      </c>
      <c r="R21" s="20" t="n">
        <v>0.35867693</v>
      </c>
    </row>
    <row r="22" spans="1:18">
      <c r="A22" s="15" t="s">
        <v>580</v>
      </c>
      <c r="B22" s="17" t="n">
        <v>6598</v>
      </c>
      <c r="C22" s="18">
        <f>(5885.0/B22*100)</f>
        <v/>
      </c>
      <c r="D22" s="19" t="n">
        <v>713</v>
      </c>
      <c r="E22" s="18" t="n">
        <v>46.62385579</v>
      </c>
      <c r="F22" s="20" t="n">
        <v>1.94758536</v>
      </c>
      <c r="G22" s="18" t="n">
        <v>50.32578108</v>
      </c>
      <c r="H22" s="20" t="n">
        <v>1.83970401</v>
      </c>
      <c r="I22" s="18" t="n">
        <v>0</v>
      </c>
      <c r="J22" s="20" t="n">
        <v>0</v>
      </c>
      <c r="K22" s="18" t="n">
        <v>1.55369272</v>
      </c>
      <c r="L22" s="20" t="n">
        <v>0.56183243</v>
      </c>
      <c r="M22" s="18" t="n">
        <v>0</v>
      </c>
      <c r="N22" s="20" t="n">
        <v>0</v>
      </c>
      <c r="O22" s="18" t="n">
        <v>0</v>
      </c>
      <c r="P22" s="20" t="n">
        <v>0</v>
      </c>
      <c r="Q22" s="18" t="n">
        <v>1.4966704</v>
      </c>
      <c r="R22" s="20" t="n">
        <v>0.50208518</v>
      </c>
    </row>
    <row r="23" spans="1:18">
      <c r="A23" s="15" t="s">
        <v>581</v>
      </c>
      <c r="B23" s="17" t="n">
        <v>11583</v>
      </c>
      <c r="C23" s="18">
        <f>(10314.0/B23*100)</f>
        <v/>
      </c>
      <c r="D23" s="19" t="n">
        <v>1269</v>
      </c>
      <c r="E23" s="18" t="n">
        <v>54.19845733</v>
      </c>
      <c r="F23" s="20" t="n">
        <v>1.9305568</v>
      </c>
      <c r="G23" s="18" t="n">
        <v>45.31619886</v>
      </c>
      <c r="H23" s="20" t="n">
        <v>1.90289472</v>
      </c>
      <c r="I23" s="18" t="n">
        <v>0</v>
      </c>
      <c r="J23" s="20" t="n">
        <v>0</v>
      </c>
      <c r="K23" s="18" t="n">
        <v>0.1454682</v>
      </c>
      <c r="L23" s="20" t="n">
        <v>0.14874821</v>
      </c>
      <c r="M23" s="18" t="n">
        <v>0</v>
      </c>
      <c r="N23" s="20" t="n">
        <v>0</v>
      </c>
      <c r="O23" s="18" t="n">
        <v>0</v>
      </c>
      <c r="P23" s="20" t="n">
        <v>0</v>
      </c>
      <c r="Q23" s="18" t="n">
        <v>0.33987562</v>
      </c>
      <c r="R23" s="20" t="n">
        <v>0.19569264</v>
      </c>
    </row>
    <row r="24" spans="1:18">
      <c r="A24" s="15" t="s">
        <v>582</v>
      </c>
      <c r="B24" s="17" t="n">
        <v>6647</v>
      </c>
      <c r="C24" s="18">
        <f>(5920.0/B24*100)</f>
        <v/>
      </c>
      <c r="D24" s="19" t="n">
        <v>727</v>
      </c>
      <c r="E24" s="18" t="n">
        <v>45.92549183</v>
      </c>
      <c r="F24" s="20" t="n">
        <v>1.66528629</v>
      </c>
      <c r="G24" s="18" t="n">
        <v>53.38892537</v>
      </c>
      <c r="H24" s="20" t="n">
        <v>1.6237821</v>
      </c>
      <c r="I24" s="18" t="n">
        <v>0</v>
      </c>
      <c r="J24" s="20" t="n">
        <v>0</v>
      </c>
      <c r="K24" s="18" t="n">
        <v>0</v>
      </c>
      <c r="L24" s="20" t="n">
        <v>0</v>
      </c>
      <c r="M24" s="18" t="n">
        <v>0</v>
      </c>
      <c r="N24" s="20" t="n">
        <v>0</v>
      </c>
      <c r="O24" s="18" t="n">
        <v>0</v>
      </c>
      <c r="P24" s="20" t="n">
        <v>0</v>
      </c>
      <c r="Q24" s="18" t="n">
        <v>0.68558281</v>
      </c>
      <c r="R24" s="20" t="n">
        <v>0.28643851</v>
      </c>
    </row>
    <row r="25" spans="1:18">
      <c r="A25" s="15" t="s">
        <v>583</v>
      </c>
      <c r="B25" s="17" t="n">
        <v>5581</v>
      </c>
      <c r="C25" s="18">
        <f>(4965.0/B25*100)</f>
        <v/>
      </c>
      <c r="D25" s="19" t="n">
        <v>616</v>
      </c>
      <c r="E25" s="18" t="n">
        <v>61.92147598</v>
      </c>
      <c r="F25" s="20" t="n">
        <v>2.2370042</v>
      </c>
      <c r="G25" s="18" t="n">
        <v>37.43818232</v>
      </c>
      <c r="H25" s="20" t="n">
        <v>2.17317081</v>
      </c>
      <c r="I25" s="18" t="n">
        <v>0</v>
      </c>
      <c r="J25" s="20" t="n">
        <v>0</v>
      </c>
      <c r="K25" s="18" t="n">
        <v>0.29754046</v>
      </c>
      <c r="L25" s="20" t="n">
        <v>0.21238169</v>
      </c>
      <c r="M25" s="18" t="n">
        <v>0</v>
      </c>
      <c r="N25" s="20" t="n">
        <v>0</v>
      </c>
      <c r="O25" s="18" t="n">
        <v>0</v>
      </c>
      <c r="P25" s="20" t="n">
        <v>0</v>
      </c>
      <c r="Q25" s="18" t="n">
        <v>0.34280125</v>
      </c>
      <c r="R25" s="20" t="n">
        <v>0.24356906</v>
      </c>
    </row>
    <row r="26" spans="1:18">
      <c r="A26" s="15" t="s">
        <v>584</v>
      </c>
      <c r="B26" s="17" t="n">
        <v>4869</v>
      </c>
      <c r="C26" s="18">
        <f>(4324.0/B26*100)</f>
        <v/>
      </c>
      <c r="D26" s="19" t="n">
        <v>545</v>
      </c>
      <c r="E26" s="18" t="n">
        <v>52.35628048</v>
      </c>
      <c r="F26" s="20" t="n">
        <v>2.0854455</v>
      </c>
      <c r="G26" s="18" t="n">
        <v>47.32116034</v>
      </c>
      <c r="H26" s="20" t="n">
        <v>2.08714231</v>
      </c>
      <c r="I26" s="18" t="n">
        <v>0</v>
      </c>
      <c r="J26" s="20" t="n">
        <v>0</v>
      </c>
      <c r="K26" s="18" t="n">
        <v>0</v>
      </c>
      <c r="L26" s="20" t="n">
        <v>0</v>
      </c>
      <c r="M26" s="18" t="n">
        <v>0</v>
      </c>
      <c r="N26" s="20" t="n">
        <v>0</v>
      </c>
      <c r="O26" s="18" t="n">
        <v>0</v>
      </c>
      <c r="P26" s="20" t="n">
        <v>0</v>
      </c>
      <c r="Q26" s="18" t="n">
        <v>0.32255918</v>
      </c>
      <c r="R26" s="20" t="n">
        <v>0.22689909</v>
      </c>
    </row>
    <row r="27" spans="1:18">
      <c r="A27" s="15" t="s">
        <v>585</v>
      </c>
      <c r="B27" s="17" t="n">
        <v>5299</v>
      </c>
      <c r="C27" s="18">
        <f>(4711.0/B27*100)</f>
        <v/>
      </c>
      <c r="D27" s="19" t="n">
        <v>588</v>
      </c>
      <c r="E27" s="18" t="n">
        <v>49.48534682</v>
      </c>
      <c r="F27" s="20" t="n">
        <v>2.00701425</v>
      </c>
      <c r="G27" s="18" t="n">
        <v>48.99408852</v>
      </c>
      <c r="H27" s="20" t="n">
        <v>1.95719794</v>
      </c>
      <c r="I27" s="18" t="n">
        <v>0</v>
      </c>
      <c r="J27" s="20" t="n">
        <v>0</v>
      </c>
      <c r="K27" s="18" t="n">
        <v>0.51171826</v>
      </c>
      <c r="L27" s="20" t="n">
        <v>0.29566544</v>
      </c>
      <c r="M27" s="18" t="n">
        <v>0</v>
      </c>
      <c r="N27" s="20" t="n">
        <v>0</v>
      </c>
      <c r="O27" s="18" t="n">
        <v>0</v>
      </c>
      <c r="P27" s="20" t="n">
        <v>0</v>
      </c>
      <c r="Q27" s="18" t="n">
        <v>1.0088464</v>
      </c>
      <c r="R27" s="20" t="n">
        <v>0.41076703</v>
      </c>
    </row>
    <row r="28" spans="1:18">
      <c r="A28" s="15" t="s">
        <v>586</v>
      </c>
      <c r="B28" s="17" t="n">
        <v>7568</v>
      </c>
      <c r="C28" s="18">
        <f>(6791.0/B28*100)</f>
        <v/>
      </c>
      <c r="D28" s="19" t="n">
        <v>777</v>
      </c>
      <c r="E28" s="18" t="n">
        <v>52.37627261</v>
      </c>
      <c r="F28" s="20" t="n">
        <v>1.92676018</v>
      </c>
      <c r="G28" s="18" t="n">
        <v>46.78521875</v>
      </c>
      <c r="H28" s="20" t="n">
        <v>2.02150976</v>
      </c>
      <c r="I28" s="18" t="n">
        <v>0</v>
      </c>
      <c r="J28" s="20" t="n">
        <v>0</v>
      </c>
      <c r="K28" s="18" t="n">
        <v>0.35434748</v>
      </c>
      <c r="L28" s="20" t="n">
        <v>0.2577076</v>
      </c>
      <c r="M28" s="18" t="n">
        <v>0</v>
      </c>
      <c r="N28" s="20" t="n">
        <v>0</v>
      </c>
      <c r="O28" s="18" t="n">
        <v>0</v>
      </c>
      <c r="P28" s="20" t="n">
        <v>0</v>
      </c>
      <c r="Q28" s="18" t="n">
        <v>0.48416116</v>
      </c>
      <c r="R28" s="20" t="n">
        <v>0.24128442</v>
      </c>
    </row>
    <row r="29" spans="1:18">
      <c r="A29" s="15" t="s">
        <v>587</v>
      </c>
      <c r="B29" s="17" t="n">
        <v>5385</v>
      </c>
      <c r="C29" s="18">
        <f>(4803.0/B29*100)</f>
        <v/>
      </c>
      <c r="D29" s="19" t="n">
        <v>582</v>
      </c>
      <c r="E29" s="18" t="n">
        <v>46.96443989</v>
      </c>
      <c r="F29" s="20" t="n">
        <v>2.22667093</v>
      </c>
      <c r="G29" s="18" t="n">
        <v>52.28988772</v>
      </c>
      <c r="H29" s="20" t="n">
        <v>2.26028041</v>
      </c>
      <c r="I29" s="18" t="n">
        <v>0</v>
      </c>
      <c r="J29" s="20" t="n">
        <v>0</v>
      </c>
      <c r="K29" s="18" t="n">
        <v>0.17696287</v>
      </c>
      <c r="L29" s="20" t="n">
        <v>0.17544565</v>
      </c>
      <c r="M29" s="18" t="n">
        <v>0</v>
      </c>
      <c r="N29" s="20" t="n">
        <v>0</v>
      </c>
      <c r="O29" s="18" t="n">
        <v>0</v>
      </c>
      <c r="P29" s="20" t="n">
        <v>0</v>
      </c>
      <c r="Q29" s="18" t="n">
        <v>0.56870952</v>
      </c>
      <c r="R29" s="20" t="n">
        <v>0.32223601</v>
      </c>
    </row>
    <row r="30" spans="1:18">
      <c r="A30" s="15" t="s">
        <v>588</v>
      </c>
      <c r="B30" s="17" t="n">
        <v>4520</v>
      </c>
      <c r="C30" s="18">
        <f>(4008.0/B30*100)</f>
        <v/>
      </c>
      <c r="D30" s="19" t="n">
        <v>512</v>
      </c>
      <c r="E30" s="18" t="n">
        <v>40.73883437</v>
      </c>
      <c r="F30" s="20" t="n">
        <v>1.92760692</v>
      </c>
      <c r="G30" s="18" t="n">
        <v>57.13295934</v>
      </c>
      <c r="H30" s="20" t="n">
        <v>1.86489648</v>
      </c>
      <c r="I30" s="18" t="n">
        <v>0</v>
      </c>
      <c r="J30" s="20" t="n">
        <v>0</v>
      </c>
      <c r="K30" s="18" t="n">
        <v>0.19038718</v>
      </c>
      <c r="L30" s="20" t="n">
        <v>0.18434122</v>
      </c>
      <c r="M30" s="18" t="n">
        <v>0</v>
      </c>
      <c r="N30" s="20" t="n">
        <v>0</v>
      </c>
      <c r="O30" s="18" t="n">
        <v>0</v>
      </c>
      <c r="P30" s="20" t="n">
        <v>0</v>
      </c>
      <c r="Q30" s="18" t="n">
        <v>1.93781911</v>
      </c>
      <c r="R30" s="20" t="n">
        <v>0.69102344</v>
      </c>
    </row>
    <row r="31" spans="1:18">
      <c r="A31" s="15" t="s">
        <v>589</v>
      </c>
      <c r="B31" s="17" t="n">
        <v>5456</v>
      </c>
      <c r="C31" s="18">
        <f>(4855.0/B31*100)</f>
        <v/>
      </c>
      <c r="D31" s="19" t="n">
        <v>601</v>
      </c>
      <c r="E31" s="18" t="n">
        <v>48.56516791</v>
      </c>
      <c r="F31" s="20" t="n">
        <v>2.178166</v>
      </c>
      <c r="G31" s="18" t="n">
        <v>49.78105044</v>
      </c>
      <c r="H31" s="20" t="n">
        <v>2.00693261</v>
      </c>
      <c r="I31" s="18" t="n">
        <v>0</v>
      </c>
      <c r="J31" s="20" t="n">
        <v>0</v>
      </c>
      <c r="K31" s="18" t="n">
        <v>0.14055278</v>
      </c>
      <c r="L31" s="20" t="n">
        <v>0.14028138</v>
      </c>
      <c r="M31" s="18" t="n">
        <v>0</v>
      </c>
      <c r="N31" s="20" t="n">
        <v>0</v>
      </c>
      <c r="O31" s="18" t="n">
        <v>0</v>
      </c>
      <c r="P31" s="20" t="n">
        <v>0</v>
      </c>
      <c r="Q31" s="18" t="n">
        <v>1.51322888</v>
      </c>
      <c r="R31" s="20" t="n">
        <v>0.50894989</v>
      </c>
    </row>
    <row r="32" spans="1:18">
      <c r="A32" s="15" t="s">
        <v>590</v>
      </c>
      <c r="B32" s="17" t="n">
        <v>4478</v>
      </c>
      <c r="C32" s="18">
        <f>(3987.0/B32*100)</f>
        <v/>
      </c>
      <c r="D32" s="19" t="n">
        <v>491</v>
      </c>
      <c r="E32" s="18" t="n">
        <v>39.27266176</v>
      </c>
      <c r="F32" s="20" t="n">
        <v>2.25178449</v>
      </c>
      <c r="G32" s="18" t="n">
        <v>60.14743224</v>
      </c>
      <c r="H32" s="20" t="n">
        <v>2.30813635</v>
      </c>
      <c r="I32" s="18" t="n">
        <v>0</v>
      </c>
      <c r="J32" s="20" t="n">
        <v>0</v>
      </c>
      <c r="K32" s="18" t="n">
        <v>0.17943454</v>
      </c>
      <c r="L32" s="20" t="n">
        <v>0.17560746</v>
      </c>
      <c r="M32" s="18" t="n">
        <v>0</v>
      </c>
      <c r="N32" s="20" t="n">
        <v>0</v>
      </c>
      <c r="O32" s="18" t="n">
        <v>0</v>
      </c>
      <c r="P32" s="20" t="n">
        <v>0</v>
      </c>
      <c r="Q32" s="18" t="n">
        <v>0.40047146</v>
      </c>
      <c r="R32" s="20" t="n">
        <v>0.28075381</v>
      </c>
    </row>
    <row r="33" spans="1:18">
      <c r="A33" s="15" t="s">
        <v>591</v>
      </c>
      <c r="B33" s="17" t="n">
        <v>7325</v>
      </c>
      <c r="C33" s="18">
        <f>(6549.0/B33*100)</f>
        <v/>
      </c>
      <c r="D33" s="19" t="n">
        <v>776</v>
      </c>
      <c r="E33" s="18" t="n">
        <v>49.45022621</v>
      </c>
      <c r="F33" s="20" t="n">
        <v>2.22244138</v>
      </c>
      <c r="G33" s="18" t="n">
        <v>49.40863965</v>
      </c>
      <c r="H33" s="20" t="n">
        <v>2.19119717</v>
      </c>
      <c r="I33" s="18" t="n">
        <v>0</v>
      </c>
      <c r="J33" s="20" t="n">
        <v>0</v>
      </c>
      <c r="K33" s="18" t="n">
        <v>0.22725789</v>
      </c>
      <c r="L33" s="20" t="n">
        <v>0.23877325</v>
      </c>
      <c r="M33" s="18" t="n">
        <v>0</v>
      </c>
      <c r="N33" s="20" t="n">
        <v>0</v>
      </c>
      <c r="O33" s="18" t="n">
        <v>0</v>
      </c>
      <c r="P33" s="20" t="n">
        <v>0</v>
      </c>
      <c r="Q33" s="18" t="n">
        <v>0.9138762499999999</v>
      </c>
      <c r="R33" s="20" t="n">
        <v>0.3021449</v>
      </c>
    </row>
    <row r="34" spans="1:18">
      <c r="A34" s="15" t="s">
        <v>592</v>
      </c>
      <c r="B34" s="17" t="n">
        <v>6350</v>
      </c>
      <c r="C34" s="18">
        <f>(5703.0/B34*100)</f>
        <v/>
      </c>
      <c r="D34" s="19" t="n">
        <v>647</v>
      </c>
      <c r="E34" s="18" t="n">
        <v>45.05286858</v>
      </c>
      <c r="F34" s="20" t="n">
        <v>2.00697073</v>
      </c>
      <c r="G34" s="18" t="n">
        <v>54.20484369</v>
      </c>
      <c r="H34" s="20" t="n">
        <v>2.0539977</v>
      </c>
      <c r="I34" s="18" t="n">
        <v>0</v>
      </c>
      <c r="J34" s="20" t="n">
        <v>0</v>
      </c>
      <c r="K34" s="18" t="n">
        <v>0.22708812</v>
      </c>
      <c r="L34" s="20" t="n">
        <v>0.22930632</v>
      </c>
      <c r="M34" s="18" t="n">
        <v>0</v>
      </c>
      <c r="N34" s="20" t="n">
        <v>0</v>
      </c>
      <c r="O34" s="18" t="n">
        <v>0</v>
      </c>
      <c r="P34" s="20" t="n">
        <v>0</v>
      </c>
      <c r="Q34" s="18" t="n">
        <v>0.51519961</v>
      </c>
      <c r="R34" s="20" t="n">
        <v>0.24356302</v>
      </c>
    </row>
    <row r="35" spans="1:18">
      <c r="A35" s="15" t="s">
        <v>593</v>
      </c>
      <c r="B35" s="17" t="n">
        <v>6406</v>
      </c>
      <c r="C35" s="18">
        <f>(5714.0/B35*100)</f>
        <v/>
      </c>
      <c r="D35" s="19" t="n">
        <v>692</v>
      </c>
      <c r="E35" s="18" t="n">
        <v>35.87893308</v>
      </c>
      <c r="F35" s="20" t="n">
        <v>1.98989771</v>
      </c>
      <c r="G35" s="18" t="n">
        <v>62.94607212</v>
      </c>
      <c r="H35" s="20" t="n">
        <v>2.02596294</v>
      </c>
      <c r="I35" s="18" t="n">
        <v>0</v>
      </c>
      <c r="J35" s="20" t="n">
        <v>0</v>
      </c>
      <c r="K35" s="18" t="n">
        <v>0</v>
      </c>
      <c r="L35" s="20" t="n">
        <v>0</v>
      </c>
      <c r="M35" s="18" t="n">
        <v>0</v>
      </c>
      <c r="N35" s="20" t="n">
        <v>0</v>
      </c>
      <c r="O35" s="18" t="n">
        <v>0</v>
      </c>
      <c r="P35" s="20" t="n">
        <v>0</v>
      </c>
      <c r="Q35" s="18" t="n">
        <v>1.1749948</v>
      </c>
      <c r="R35" s="20" t="n">
        <v>0.42496374</v>
      </c>
    </row>
    <row r="36" spans="1:18">
      <c r="A36" s="15" t="s">
        <v>594</v>
      </c>
      <c r="B36" s="17" t="n">
        <v>6736</v>
      </c>
      <c r="C36" s="18">
        <f>(5978.0/B36*100)</f>
        <v/>
      </c>
      <c r="D36" s="19" t="n">
        <v>758</v>
      </c>
      <c r="E36" s="18" t="n">
        <v>44.78830676</v>
      </c>
      <c r="F36" s="20" t="n">
        <v>1.9575047</v>
      </c>
      <c r="G36" s="18" t="n">
        <v>54.01382448</v>
      </c>
      <c r="H36" s="20" t="n">
        <v>2.0116956</v>
      </c>
      <c r="I36" s="18" t="n">
        <v>0</v>
      </c>
      <c r="J36" s="20" t="n">
        <v>0</v>
      </c>
      <c r="K36" s="18" t="n">
        <v>0.24787304</v>
      </c>
      <c r="L36" s="20" t="n">
        <v>0.16179802</v>
      </c>
      <c r="M36" s="18" t="n">
        <v>0</v>
      </c>
      <c r="N36" s="20" t="n">
        <v>0</v>
      </c>
      <c r="O36" s="18" t="n">
        <v>0</v>
      </c>
      <c r="P36" s="20" t="n">
        <v>0</v>
      </c>
      <c r="Q36" s="18" t="n">
        <v>0.94999572</v>
      </c>
      <c r="R36" s="20" t="n">
        <v>0.28124355</v>
      </c>
    </row>
    <row r="37" spans="1:18">
      <c r="A37" s="15" t="s">
        <v>595</v>
      </c>
      <c r="B37" s="17" t="n">
        <v>5458</v>
      </c>
      <c r="C37" s="18">
        <f>(4870.0/B37*100)</f>
        <v/>
      </c>
      <c r="D37" s="19" t="n">
        <v>588</v>
      </c>
      <c r="E37" s="18" t="n">
        <v>53.81035809</v>
      </c>
      <c r="F37" s="20" t="n">
        <v>2.32737588</v>
      </c>
      <c r="G37" s="18" t="n">
        <v>44.07089083</v>
      </c>
      <c r="H37" s="20" t="n">
        <v>2.33206795</v>
      </c>
      <c r="I37" s="18" t="n">
        <v>0</v>
      </c>
      <c r="J37" s="20" t="n">
        <v>0</v>
      </c>
      <c r="K37" s="18" t="n">
        <v>0.19118762</v>
      </c>
      <c r="L37" s="20" t="n">
        <v>0.18847125</v>
      </c>
      <c r="M37" s="18" t="n">
        <v>0</v>
      </c>
      <c r="N37" s="20" t="n">
        <v>0</v>
      </c>
      <c r="O37" s="18" t="n">
        <v>0</v>
      </c>
      <c r="P37" s="20" t="n">
        <v>0</v>
      </c>
      <c r="Q37" s="18" t="n">
        <v>1.92756346</v>
      </c>
      <c r="R37" s="20" t="n">
        <v>0.56454824</v>
      </c>
    </row>
    <row r="38" spans="1:18">
      <c r="A38" s="15" t="s">
        <v>596</v>
      </c>
      <c r="B38" s="17" t="n">
        <v>5860</v>
      </c>
      <c r="C38" s="18">
        <f>(5235.0/B38*100)</f>
        <v/>
      </c>
      <c r="D38" s="19" t="n">
        <v>625</v>
      </c>
      <c r="E38" s="18" t="n">
        <v>50.21613117</v>
      </c>
      <c r="F38" s="20" t="n">
        <v>2.42102938</v>
      </c>
      <c r="G38" s="18" t="n">
        <v>48.66534447</v>
      </c>
      <c r="H38" s="20" t="n">
        <v>2.44777041</v>
      </c>
      <c r="I38" s="18" t="n">
        <v>0</v>
      </c>
      <c r="J38" s="20" t="n">
        <v>0</v>
      </c>
      <c r="K38" s="18" t="n">
        <v>0.42867511</v>
      </c>
      <c r="L38" s="20" t="n">
        <v>0.28485528</v>
      </c>
      <c r="M38" s="18" t="n">
        <v>0</v>
      </c>
      <c r="N38" s="20" t="n">
        <v>0</v>
      </c>
      <c r="O38" s="18" t="n">
        <v>0</v>
      </c>
      <c r="P38" s="20" t="n">
        <v>0</v>
      </c>
      <c r="Q38" s="18" t="n">
        <v>0.68984925</v>
      </c>
      <c r="R38" s="20" t="n">
        <v>0.29965249</v>
      </c>
    </row>
    <row r="39" spans="1:18">
      <c r="A39" s="15" t="s">
        <v>597</v>
      </c>
      <c r="B39" s="17" t="n">
        <v>5895</v>
      </c>
      <c r="C39" s="18">
        <f>(5240.0/B39*100)</f>
        <v/>
      </c>
      <c r="D39" s="19" t="n">
        <v>655</v>
      </c>
      <c r="E39" s="18" t="n">
        <v>66.96762404</v>
      </c>
      <c r="F39" s="20" t="n">
        <v>1.82624191</v>
      </c>
      <c r="G39" s="18" t="n">
        <v>31.87479707</v>
      </c>
      <c r="H39" s="20" t="n">
        <v>1.74406057</v>
      </c>
      <c r="I39" s="18" t="n">
        <v>0</v>
      </c>
      <c r="J39" s="20" t="n">
        <v>0</v>
      </c>
      <c r="K39" s="18" t="n">
        <v>0.10841926</v>
      </c>
      <c r="L39" s="20" t="n">
        <v>0.111631</v>
      </c>
      <c r="M39" s="18" t="n">
        <v>0</v>
      </c>
      <c r="N39" s="20" t="n">
        <v>0</v>
      </c>
      <c r="O39" s="18" t="n">
        <v>0</v>
      </c>
      <c r="P39" s="20" t="n">
        <v>0</v>
      </c>
      <c r="Q39" s="18" t="n">
        <v>1.04915962</v>
      </c>
      <c r="R39" s="20" t="n">
        <v>0.52960244</v>
      </c>
    </row>
    <row r="40" spans="1:18">
      <c r="A40" s="15" t="s">
        <v>598</v>
      </c>
      <c r="B40" s="17" t="n">
        <v>14157</v>
      </c>
      <c r="C40" s="18">
        <f>(12520.0/B40*100)</f>
        <v/>
      </c>
      <c r="D40" s="19" t="n">
        <v>1637</v>
      </c>
      <c r="E40" s="18" t="n">
        <v>42.50135539</v>
      </c>
      <c r="F40" s="20" t="n">
        <v>1.81166973</v>
      </c>
      <c r="G40" s="18" t="n">
        <v>56.60489683</v>
      </c>
      <c r="H40" s="20" t="n">
        <v>1.76147172</v>
      </c>
      <c r="I40" s="18" t="n">
        <v>0</v>
      </c>
      <c r="J40" s="20" t="n">
        <v>0</v>
      </c>
      <c r="K40" s="18" t="n">
        <v>0.23184329</v>
      </c>
      <c r="L40" s="20" t="n">
        <v>0.11620857</v>
      </c>
      <c r="M40" s="18" t="n">
        <v>0</v>
      </c>
      <c r="N40" s="20" t="n">
        <v>0</v>
      </c>
      <c r="O40" s="18" t="n">
        <v>0</v>
      </c>
      <c r="P40" s="20" t="n">
        <v>0</v>
      </c>
      <c r="Q40" s="18" t="n">
        <v>0.66190449</v>
      </c>
      <c r="R40" s="20" t="n">
        <v>0.30839237</v>
      </c>
    </row>
    <row r="41" spans="1:18">
      <c r="A41" s="15" t="s">
        <v>599</v>
      </c>
      <c r="B41" s="17" t="n">
        <v>5712</v>
      </c>
      <c r="C41" s="18">
        <f>(5103.0/B41*100)</f>
        <v/>
      </c>
      <c r="D41" s="19" t="n">
        <v>609</v>
      </c>
      <c r="E41" s="18" t="n">
        <v>45.62246601</v>
      </c>
      <c r="F41" s="20" t="n">
        <v>2.26815002</v>
      </c>
      <c r="G41" s="18" t="n">
        <v>53.80933136</v>
      </c>
      <c r="H41" s="20" t="n">
        <v>2.24786497</v>
      </c>
      <c r="I41" s="18" t="n">
        <v>0</v>
      </c>
      <c r="J41" s="20" t="n">
        <v>0</v>
      </c>
      <c r="K41" s="18" t="n">
        <v>0</v>
      </c>
      <c r="L41" s="20" t="n">
        <v>0</v>
      </c>
      <c r="M41" s="18" t="n">
        <v>0</v>
      </c>
      <c r="N41" s="20" t="n">
        <v>0</v>
      </c>
      <c r="O41" s="18" t="n">
        <v>0</v>
      </c>
      <c r="P41" s="20" t="n">
        <v>0</v>
      </c>
      <c r="Q41" s="18" t="n">
        <v>0.56820263</v>
      </c>
      <c r="R41" s="20" t="n">
        <v>0.30476804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(21124.0/B46*100)</f>
        <v/>
      </c>
      <c r="D46" s="19" t="n">
        <v>2017</v>
      </c>
      <c r="E46" s="18" t="n">
        <v>50.03320443</v>
      </c>
      <c r="F46" s="20" t="n">
        <v>1.48339793</v>
      </c>
      <c r="G46" s="18" t="n">
        <v>46.99939575</v>
      </c>
      <c r="H46" s="20" t="n">
        <v>1.53564682</v>
      </c>
      <c r="I46" s="18" t="n">
        <v>0</v>
      </c>
      <c r="J46" s="20" t="n">
        <v>0</v>
      </c>
      <c r="K46" s="18" t="n">
        <v>1.00492832</v>
      </c>
      <c r="L46" s="20" t="n">
        <v>0.27341053</v>
      </c>
      <c r="M46" s="18" t="n">
        <v>0</v>
      </c>
      <c r="N46" s="20" t="n">
        <v>0</v>
      </c>
      <c r="O46" s="18" t="n">
        <v>0</v>
      </c>
      <c r="P46" s="20" t="n">
        <v>0</v>
      </c>
      <c r="Q46" s="18" t="n">
        <v>1.9624715</v>
      </c>
      <c r="R46" s="20" t="n">
        <v>0.37414329</v>
      </c>
    </row>
    <row r="47" spans="1:18">
      <c r="A47" s="15" t="s">
        <v>606</v>
      </c>
      <c r="B47" s="17" t="n">
        <v>5928</v>
      </c>
      <c r="C47" s="18">
        <f>(5301.0/B47*100)</f>
        <v/>
      </c>
      <c r="D47" s="19" t="n">
        <v>627</v>
      </c>
      <c r="E47" s="18" t="n">
        <v>52.57179675</v>
      </c>
      <c r="F47" s="20" t="n">
        <v>1.97789704</v>
      </c>
      <c r="G47" s="18" t="n">
        <v>45.73322613</v>
      </c>
      <c r="H47" s="20" t="n">
        <v>2.08230056</v>
      </c>
      <c r="I47" s="18" t="n">
        <v>0</v>
      </c>
      <c r="J47" s="20" t="n">
        <v>0</v>
      </c>
      <c r="K47" s="18" t="n">
        <v>0.15590135</v>
      </c>
      <c r="L47" s="20" t="n">
        <v>0.11030119</v>
      </c>
      <c r="M47" s="18" t="n">
        <v>0</v>
      </c>
      <c r="N47" s="20" t="n">
        <v>0</v>
      </c>
      <c r="O47" s="18" t="n">
        <v>0</v>
      </c>
      <c r="P47" s="20" t="n">
        <v>0</v>
      </c>
      <c r="Q47" s="18" t="n">
        <v>1.53907577</v>
      </c>
      <c r="R47" s="20" t="n">
        <v>0.52840597</v>
      </c>
    </row>
    <row r="48" spans="1:18">
      <c r="A48" s="15" t="s">
        <v>607</v>
      </c>
      <c r="B48" s="17" t="n">
        <v>9841</v>
      </c>
      <c r="C48" s="18">
        <f>(8765.0/B48*100)</f>
        <v/>
      </c>
      <c r="D48" s="19" t="n">
        <v>1076</v>
      </c>
      <c r="E48" s="18" t="n">
        <v>51.26940627</v>
      </c>
      <c r="F48" s="20" t="n">
        <v>1.85365637</v>
      </c>
      <c r="G48" s="18" t="n">
        <v>47.52496736</v>
      </c>
      <c r="H48" s="20" t="n">
        <v>1.8507571</v>
      </c>
      <c r="I48" s="18" t="n">
        <v>0</v>
      </c>
      <c r="J48" s="20" t="n">
        <v>0</v>
      </c>
      <c r="K48" s="18" t="n">
        <v>0.62425405</v>
      </c>
      <c r="L48" s="20" t="n">
        <v>0.39340051</v>
      </c>
      <c r="M48" s="18" t="n">
        <v>0</v>
      </c>
      <c r="N48" s="20" t="n">
        <v>0</v>
      </c>
      <c r="O48" s="18" t="n">
        <v>0</v>
      </c>
      <c r="P48" s="20" t="n">
        <v>0</v>
      </c>
      <c r="Q48" s="18" t="n">
        <v>0.5813723200000001</v>
      </c>
      <c r="R48" s="20" t="n">
        <v>0.23086944</v>
      </c>
    </row>
    <row r="49" spans="1:18">
      <c r="A49" s="15" t="s">
        <v>608</v>
      </c>
      <c r="B49" s="17" t="n">
        <v>11795</v>
      </c>
      <c r="C49" s="18">
        <f>(10540.0/B49*100)</f>
        <v/>
      </c>
      <c r="D49" s="19" t="n">
        <v>1255</v>
      </c>
      <c r="E49" s="18" t="n">
        <v>50.67379731</v>
      </c>
      <c r="F49" s="20" t="n">
        <v>1.75221831</v>
      </c>
      <c r="G49" s="18" t="n">
        <v>47.28590132</v>
      </c>
      <c r="H49" s="20" t="n">
        <v>1.7395187</v>
      </c>
      <c r="I49" s="18" t="n">
        <v>0</v>
      </c>
      <c r="J49" s="20" t="n">
        <v>0</v>
      </c>
      <c r="K49" s="18" t="n">
        <v>1.62636389</v>
      </c>
      <c r="L49" s="20" t="n">
        <v>0.6182328</v>
      </c>
      <c r="M49" s="18" t="n">
        <v>0</v>
      </c>
      <c r="N49" s="20" t="n">
        <v>0</v>
      </c>
      <c r="O49" s="18" t="n">
        <v>0</v>
      </c>
      <c r="P49" s="20" t="n">
        <v>0</v>
      </c>
      <c r="Q49" s="18" t="n">
        <v>0.41393748</v>
      </c>
      <c r="R49" s="20" t="n">
        <v>0.20312863</v>
      </c>
    </row>
    <row r="50" spans="1:18">
      <c r="A50" s="15" t="s">
        <v>609</v>
      </c>
      <c r="B50" s="17" t="n">
        <v>6866</v>
      </c>
      <c r="C50" s="18">
        <f>(6203.0/B50*100)</f>
        <v/>
      </c>
      <c r="D50" s="19" t="n">
        <v>663</v>
      </c>
      <c r="E50" s="18" t="n">
        <v>63.03107779</v>
      </c>
      <c r="F50" s="20" t="n">
        <v>2.16195323</v>
      </c>
      <c r="G50" s="18" t="n">
        <v>35.40480367</v>
      </c>
      <c r="H50" s="20" t="n">
        <v>2.0433316</v>
      </c>
      <c r="I50" s="18" t="n">
        <v>0</v>
      </c>
      <c r="J50" s="20" t="n">
        <v>0</v>
      </c>
      <c r="K50" s="18" t="n">
        <v>0.51595424</v>
      </c>
      <c r="L50" s="20" t="n">
        <v>0.33883735</v>
      </c>
      <c r="M50" s="18" t="n">
        <v>0</v>
      </c>
      <c r="N50" s="20" t="n">
        <v>0</v>
      </c>
      <c r="O50" s="18" t="n">
        <v>0</v>
      </c>
      <c r="P50" s="20" t="n">
        <v>0</v>
      </c>
      <c r="Q50" s="18" t="n">
        <v>1.0481643</v>
      </c>
      <c r="R50" s="20" t="n">
        <v>0.41595663</v>
      </c>
    </row>
    <row r="51" spans="1:18">
      <c r="A51" s="15" t="s">
        <v>610</v>
      </c>
      <c r="B51" s="17" t="n">
        <v>5809</v>
      </c>
      <c r="C51" s="18">
        <f>(5198.0/B51*100)</f>
        <v/>
      </c>
      <c r="D51" s="19" t="n">
        <v>611</v>
      </c>
      <c r="E51" s="18" t="n">
        <v>55.39231382</v>
      </c>
      <c r="F51" s="20" t="n">
        <v>1.97344825</v>
      </c>
      <c r="G51" s="18" t="n">
        <v>43.729915</v>
      </c>
      <c r="H51" s="20" t="n">
        <v>2.00602457</v>
      </c>
      <c r="I51" s="18" t="n">
        <v>0</v>
      </c>
      <c r="J51" s="20" t="n">
        <v>0</v>
      </c>
      <c r="K51" s="18" t="n">
        <v>0</v>
      </c>
      <c r="L51" s="20" t="n">
        <v>0</v>
      </c>
      <c r="M51" s="18" t="n">
        <v>0</v>
      </c>
      <c r="N51" s="20" t="n">
        <v>0</v>
      </c>
      <c r="O51" s="18" t="n">
        <v>0</v>
      </c>
      <c r="P51" s="20" t="n">
        <v>0</v>
      </c>
      <c r="Q51" s="18" t="n">
        <v>0.87777117</v>
      </c>
      <c r="R51" s="20" t="n">
        <v>0.39278823</v>
      </c>
    </row>
    <row r="52" spans="1:18">
      <c r="A52" s="15" t="s">
        <v>611</v>
      </c>
      <c r="B52" s="17" t="n">
        <v>5571</v>
      </c>
      <c r="C52" s="18">
        <f>(4958.0/B52*100)</f>
        <v/>
      </c>
      <c r="D52" s="19" t="n">
        <v>613</v>
      </c>
      <c r="E52" s="18" t="n">
        <v>48.42092041</v>
      </c>
      <c r="F52" s="20" t="n">
        <v>2.1448452</v>
      </c>
      <c r="G52" s="18" t="n">
        <v>50.46454655</v>
      </c>
      <c r="H52" s="20" t="n">
        <v>2.13987264</v>
      </c>
      <c r="I52" s="18" t="n">
        <v>0</v>
      </c>
      <c r="J52" s="20" t="n">
        <v>0</v>
      </c>
      <c r="K52" s="18" t="n">
        <v>0.1082974</v>
      </c>
      <c r="L52" s="20" t="n">
        <v>0.10934681</v>
      </c>
      <c r="M52" s="18" t="n">
        <v>0</v>
      </c>
      <c r="N52" s="20" t="n">
        <v>0</v>
      </c>
      <c r="O52" s="18" t="n">
        <v>0</v>
      </c>
      <c r="P52" s="20" t="n">
        <v>0</v>
      </c>
      <c r="Q52" s="18" t="n">
        <v>1.00623564</v>
      </c>
      <c r="R52" s="20" t="n">
        <v>0.35610839</v>
      </c>
    </row>
    <row r="53" spans="1:18">
      <c r="A53" s="15" t="s">
        <v>612</v>
      </c>
      <c r="B53" s="17" t="n">
        <v>4740</v>
      </c>
      <c r="C53" s="18">
        <f>(4222.0/B53*100)</f>
        <v/>
      </c>
      <c r="D53" s="19" t="n">
        <v>518</v>
      </c>
      <c r="E53" s="18" t="n">
        <v>52.41198646</v>
      </c>
      <c r="F53" s="20" t="n">
        <v>2.45389443</v>
      </c>
      <c r="G53" s="18" t="n">
        <v>28.8504951</v>
      </c>
      <c r="H53" s="20" t="n">
        <v>1.96540503</v>
      </c>
      <c r="I53" s="18" t="n">
        <v>0</v>
      </c>
      <c r="J53" s="20" t="n">
        <v>0</v>
      </c>
      <c r="K53" s="18" t="n">
        <v>14.99773637</v>
      </c>
      <c r="L53" s="20" t="n">
        <v>1.67427469</v>
      </c>
      <c r="M53" s="18" t="n">
        <v>0</v>
      </c>
      <c r="N53" s="20" t="n">
        <v>0</v>
      </c>
      <c r="O53" s="18" t="n">
        <v>0</v>
      </c>
      <c r="P53" s="20" t="n">
        <v>0</v>
      </c>
      <c r="Q53" s="18" t="n">
        <v>3.73978207</v>
      </c>
      <c r="R53" s="20" t="n">
        <v>1.00262674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(4773.0/B55*100)</f>
        <v/>
      </c>
      <c r="D55" s="19" t="n">
        <v>586</v>
      </c>
      <c r="E55" s="18" t="n">
        <v>55.08882388</v>
      </c>
      <c r="F55" s="20" t="n">
        <v>2.2467054</v>
      </c>
      <c r="G55" s="18" t="n">
        <v>44.44123995</v>
      </c>
      <c r="H55" s="20" t="n">
        <v>2.2574941</v>
      </c>
      <c r="I55" s="18" t="n">
        <v>0</v>
      </c>
      <c r="J55" s="20" t="n">
        <v>0</v>
      </c>
      <c r="K55" s="18" t="n">
        <v>0.32805568</v>
      </c>
      <c r="L55" s="20" t="n">
        <v>0.31539331</v>
      </c>
      <c r="M55" s="18" t="n">
        <v>0</v>
      </c>
      <c r="N55" s="20" t="n">
        <v>0</v>
      </c>
      <c r="O55" s="18" t="n">
        <v>0</v>
      </c>
      <c r="P55" s="20" t="n">
        <v>0</v>
      </c>
      <c r="Q55" s="18" t="n">
        <v>0.14188049</v>
      </c>
      <c r="R55" s="20" t="n">
        <v>0.14453648</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(5829.0/B61*100)</f>
        <v/>
      </c>
      <c r="D61" s="19" t="n">
        <v>696</v>
      </c>
      <c r="E61" s="18" t="n">
        <v>53.75109805</v>
      </c>
      <c r="F61" s="20" t="n">
        <v>1.71377639</v>
      </c>
      <c r="G61" s="18" t="n">
        <v>45.44148117</v>
      </c>
      <c r="H61" s="20" t="n">
        <v>1.68654475</v>
      </c>
      <c r="I61" s="18" t="n">
        <v>0</v>
      </c>
      <c r="J61" s="20" t="n">
        <v>0</v>
      </c>
      <c r="K61" s="18" t="n">
        <v>0.19693649</v>
      </c>
      <c r="L61" s="20" t="n">
        <v>0.20605294</v>
      </c>
      <c r="M61" s="18" t="n">
        <v>0</v>
      </c>
      <c r="N61" s="20" t="n">
        <v>0</v>
      </c>
      <c r="O61" s="18" t="n">
        <v>0</v>
      </c>
      <c r="P61" s="20" t="n">
        <v>0</v>
      </c>
      <c r="Q61" s="18" t="n">
        <v>0.61048429</v>
      </c>
      <c r="R61" s="20" t="n">
        <v>0.25556415</v>
      </c>
    </row>
    <row r="62" spans="1:18">
      <c r="A62" s="15" t="s">
        <v>622</v>
      </c>
      <c r="B62" s="17" t="n">
        <v>4476</v>
      </c>
      <c r="C62" s="18">
        <f>(3973.0/B62*100)</f>
        <v/>
      </c>
      <c r="D62" s="19" t="n">
        <v>503</v>
      </c>
      <c r="E62" s="18" t="n">
        <v>59.57629581</v>
      </c>
      <c r="F62" s="20" t="n">
        <v>2.25911135</v>
      </c>
      <c r="G62" s="18" t="n">
        <v>40.42370419</v>
      </c>
      <c r="H62" s="20" t="n">
        <v>2.25911135</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(5086.0/B67*100)</f>
        <v/>
      </c>
      <c r="D67" s="19" t="n">
        <v>579</v>
      </c>
      <c r="E67" s="18" t="n">
        <v>67.64395716999999</v>
      </c>
      <c r="F67" s="20" t="n">
        <v>2.07463996</v>
      </c>
      <c r="G67" s="18" t="n">
        <v>29.95216057</v>
      </c>
      <c r="H67" s="20" t="n">
        <v>2.00917384</v>
      </c>
      <c r="I67" s="18" t="n">
        <v>0</v>
      </c>
      <c r="J67" s="20" t="n">
        <v>0</v>
      </c>
      <c r="K67" s="18" t="n">
        <v>0.33573489</v>
      </c>
      <c r="L67" s="20" t="n">
        <v>0.23606621</v>
      </c>
      <c r="M67" s="18" t="n">
        <v>0</v>
      </c>
      <c r="N67" s="20" t="n">
        <v>0</v>
      </c>
      <c r="O67" s="18" t="n">
        <v>0</v>
      </c>
      <c r="P67" s="20" t="n">
        <v>0</v>
      </c>
      <c r="Q67" s="18" t="n">
        <v>2.06814738</v>
      </c>
      <c r="R67" s="20" t="n">
        <v>0.64346375</v>
      </c>
    </row>
    <row r="68" spans="1:18">
      <c r="A68" s="15" t="s">
        <v>628</v>
      </c>
      <c r="B68" s="17" t="n">
        <v>6971</v>
      </c>
      <c r="C68" s="18">
        <f>(6307.0/B68*100)</f>
        <v/>
      </c>
      <c r="D68" s="19" t="n">
        <v>664</v>
      </c>
      <c r="E68" s="18" t="n">
        <v>45.36768407</v>
      </c>
      <c r="F68" s="20" t="n">
        <v>1.83138354</v>
      </c>
      <c r="G68" s="18" t="n">
        <v>53.52581091</v>
      </c>
      <c r="H68" s="20" t="n">
        <v>1.95518664</v>
      </c>
      <c r="I68" s="18" t="n">
        <v>0</v>
      </c>
      <c r="J68" s="20" t="n">
        <v>0</v>
      </c>
      <c r="K68" s="18" t="n">
        <v>0.29876302</v>
      </c>
      <c r="L68" s="20" t="n">
        <v>0.21964054</v>
      </c>
      <c r="M68" s="18" t="n">
        <v>0</v>
      </c>
      <c r="N68" s="20" t="n">
        <v>0</v>
      </c>
      <c r="O68" s="18" t="n">
        <v>0</v>
      </c>
      <c r="P68" s="20" t="n">
        <v>0</v>
      </c>
      <c r="Q68" s="18" t="n">
        <v>0.807742</v>
      </c>
      <c r="R68" s="20" t="n">
        <v>0.33614181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(10750.0/B70*100)</f>
        <v/>
      </c>
      <c r="D70" s="19" t="n">
        <v>1333</v>
      </c>
      <c r="E70" s="18" t="n">
        <v>48.50048324</v>
      </c>
      <c r="F70" s="20" t="n">
        <v>1.31956961</v>
      </c>
      <c r="G70" s="18" t="n">
        <v>45.38201909</v>
      </c>
      <c r="H70" s="20" t="n">
        <v>1.32385445</v>
      </c>
      <c r="I70" s="18" t="n">
        <v>0</v>
      </c>
      <c r="J70" s="20" t="n">
        <v>0</v>
      </c>
      <c r="K70" s="18" t="n">
        <v>2.59374388</v>
      </c>
      <c r="L70" s="20" t="n">
        <v>0.47997859</v>
      </c>
      <c r="M70" s="18" t="n">
        <v>0</v>
      </c>
      <c r="N70" s="20" t="n">
        <v>0</v>
      </c>
      <c r="O70" s="18" t="n">
        <v>0</v>
      </c>
      <c r="P70" s="20" t="n">
        <v>0</v>
      </c>
      <c r="Q70" s="18" t="n">
        <v>3.5237538</v>
      </c>
      <c r="R70" s="20" t="n">
        <v>0.5758302199999999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(5424.0/B72*100)</f>
        <v/>
      </c>
      <c r="D72" s="19" t="n">
        <v>612</v>
      </c>
      <c r="E72" s="18" t="n">
        <v>49.35251473</v>
      </c>
      <c r="F72" s="20" t="n">
        <v>2.20408638</v>
      </c>
      <c r="G72" s="18" t="n">
        <v>49.52438738</v>
      </c>
      <c r="H72" s="20" t="n">
        <v>2.23766962</v>
      </c>
      <c r="I72" s="18" t="n">
        <v>0</v>
      </c>
      <c r="J72" s="20" t="n">
        <v>0</v>
      </c>
      <c r="K72" s="18" t="n">
        <v>0.10876568</v>
      </c>
      <c r="L72" s="20" t="n">
        <v>0.09224572</v>
      </c>
      <c r="M72" s="18" t="n">
        <v>0</v>
      </c>
      <c r="N72" s="20" t="n">
        <v>0</v>
      </c>
      <c r="O72" s="18" t="n">
        <v>0</v>
      </c>
      <c r="P72" s="20" t="n">
        <v>0</v>
      </c>
      <c r="Q72" s="18" t="n">
        <v>1.01433221</v>
      </c>
      <c r="R72" s="20" t="n">
        <v>0.56516006</v>
      </c>
    </row>
    <row r="73" spans="1:18">
      <c r="A73" s="15" t="s">
        <v>633</v>
      </c>
      <c r="B73" s="17" t="n">
        <v>6115</v>
      </c>
      <c r="C73" s="18">
        <f>(5429.0/B73*100)</f>
        <v/>
      </c>
      <c r="D73" s="19" t="n">
        <v>686</v>
      </c>
      <c r="E73" s="18" t="n">
        <v>44.01767886</v>
      </c>
      <c r="F73" s="20" t="n">
        <v>1.94589575</v>
      </c>
      <c r="G73" s="18" t="n">
        <v>55.85327149</v>
      </c>
      <c r="H73" s="20" t="n">
        <v>1.95196127</v>
      </c>
      <c r="I73" s="18" t="n">
        <v>0</v>
      </c>
      <c r="J73" s="20" t="n">
        <v>0</v>
      </c>
      <c r="K73" s="18" t="n">
        <v>0</v>
      </c>
      <c r="L73" s="20" t="n">
        <v>0</v>
      </c>
      <c r="M73" s="18" t="n">
        <v>0</v>
      </c>
      <c r="N73" s="20" t="n">
        <v>0</v>
      </c>
      <c r="O73" s="18" t="n">
        <v>0</v>
      </c>
      <c r="P73" s="20" t="n">
        <v>0</v>
      </c>
      <c r="Q73" s="18" t="n">
        <v>0.12904965</v>
      </c>
      <c r="R73" s="20" t="n">
        <v>0.13005784</v>
      </c>
    </row>
    <row r="74" spans="1:18">
      <c r="A74" s="15" t="s">
        <v>634</v>
      </c>
      <c r="B74" s="17" t="n">
        <v>7708</v>
      </c>
      <c r="C74" s="18">
        <f>(6814.0/B74*100)</f>
        <v/>
      </c>
      <c r="D74" s="19" t="n">
        <v>894</v>
      </c>
      <c r="E74" s="18" t="n">
        <v>61.64461507</v>
      </c>
      <c r="F74" s="20" t="n">
        <v>1.66020125</v>
      </c>
      <c r="G74" s="18" t="n">
        <v>37.93342072</v>
      </c>
      <c r="H74" s="20" t="n">
        <v>1.66148069</v>
      </c>
      <c r="I74" s="18" t="n">
        <v>0</v>
      </c>
      <c r="J74" s="20" t="n">
        <v>0</v>
      </c>
      <c r="K74" s="18" t="n">
        <v>0.12232261</v>
      </c>
      <c r="L74" s="20" t="n">
        <v>0.12282541</v>
      </c>
      <c r="M74" s="18" t="n">
        <v>0</v>
      </c>
      <c r="N74" s="20" t="n">
        <v>0</v>
      </c>
      <c r="O74" s="18" t="n">
        <v>0</v>
      </c>
      <c r="P74" s="20" t="n">
        <v>0</v>
      </c>
      <c r="Q74" s="18" t="n">
        <v>0.2996416</v>
      </c>
      <c r="R74" s="20" t="n">
        <v>0.17707157</v>
      </c>
    </row>
    <row r="75" spans="1:18">
      <c r="A75" s="15" t="s">
        <v>635</v>
      </c>
      <c r="B75" s="17" t="n">
        <v>8249</v>
      </c>
      <c r="C75" s="18">
        <f>(7366.0/B75*100)</f>
        <v/>
      </c>
      <c r="D75" s="19" t="n">
        <v>883</v>
      </c>
      <c r="E75" s="18" t="n">
        <v>63.17425372</v>
      </c>
      <c r="F75" s="20" t="n">
        <v>1.86460428</v>
      </c>
      <c r="G75" s="18" t="n">
        <v>36.65713435</v>
      </c>
      <c r="H75" s="20" t="n">
        <v>1.85451439</v>
      </c>
      <c r="I75" s="18" t="n">
        <v>0</v>
      </c>
      <c r="J75" s="20" t="n">
        <v>0</v>
      </c>
      <c r="K75" s="18" t="n">
        <v>0</v>
      </c>
      <c r="L75" s="20" t="n">
        <v>0</v>
      </c>
      <c r="M75" s="18" t="n">
        <v>0</v>
      </c>
      <c r="N75" s="20" t="n">
        <v>0</v>
      </c>
      <c r="O75" s="18" t="n">
        <v>0</v>
      </c>
      <c r="P75" s="20" t="n">
        <v>0</v>
      </c>
      <c r="Q75" s="18" t="n">
        <v>0.16861193</v>
      </c>
      <c r="R75" s="20" t="n">
        <v>0.16810338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(4858.0/B77*100)</f>
        <v/>
      </c>
      <c r="D77" s="19" t="n">
        <v>517</v>
      </c>
      <c r="E77" s="18" t="n">
        <v>50.32221677</v>
      </c>
      <c r="F77" s="20" t="n">
        <v>2.18870907</v>
      </c>
      <c r="G77" s="18" t="n">
        <v>42.99674457</v>
      </c>
      <c r="H77" s="20" t="n">
        <v>2.26356567</v>
      </c>
      <c r="I77" s="18" t="n">
        <v>0</v>
      </c>
      <c r="J77" s="20" t="n">
        <v>0</v>
      </c>
      <c r="K77" s="18" t="n">
        <v>4.28374377</v>
      </c>
      <c r="L77" s="20" t="n">
        <v>0.7852314500000001</v>
      </c>
      <c r="M77" s="18" t="n">
        <v>0</v>
      </c>
      <c r="N77" s="20" t="n">
        <v>0</v>
      </c>
      <c r="O77" s="18" t="n">
        <v>0</v>
      </c>
      <c r="P77" s="20" t="n">
        <v>0</v>
      </c>
      <c r="Q77" s="18" t="n">
        <v>2.39729489</v>
      </c>
      <c r="R77" s="20" t="n">
        <v>0.79219723</v>
      </c>
    </row>
    <row r="78" spans="1:18">
      <c r="A78" s="15" t="s">
        <v>638</v>
      </c>
      <c r="B78" s="17" t="n">
        <v>14167</v>
      </c>
      <c r="C78" s="18">
        <f>(12575.0/B78*100)</f>
        <v/>
      </c>
      <c r="D78" s="19" t="n">
        <v>1592</v>
      </c>
      <c r="E78" s="18" t="n">
        <v>46.80323517</v>
      </c>
      <c r="F78" s="20" t="n">
        <v>1.449253</v>
      </c>
      <c r="G78" s="18" t="n">
        <v>51.25001199</v>
      </c>
      <c r="H78" s="20" t="n">
        <v>1.48318916</v>
      </c>
      <c r="I78" s="18" t="n">
        <v>0</v>
      </c>
      <c r="J78" s="20" t="n">
        <v>0</v>
      </c>
      <c r="K78" s="18" t="n">
        <v>0.89942415</v>
      </c>
      <c r="L78" s="20" t="n">
        <v>0.28477023</v>
      </c>
      <c r="M78" s="18" t="n">
        <v>0</v>
      </c>
      <c r="N78" s="20" t="n">
        <v>0</v>
      </c>
      <c r="O78" s="18" t="n">
        <v>0</v>
      </c>
      <c r="P78" s="20" t="n">
        <v>0</v>
      </c>
      <c r="Q78" s="18" t="n">
        <v>1.0473287</v>
      </c>
      <c r="R78" s="20" t="n">
        <v>0.29844414</v>
      </c>
    </row>
    <row r="79" spans="1:18">
      <c r="A79" s="15" t="s">
        <v>639</v>
      </c>
      <c r="B79" s="17" t="n">
        <v>6062</v>
      </c>
      <c r="C79" s="18">
        <f>(5429.0/B79*100)</f>
        <v/>
      </c>
      <c r="D79" s="19" t="n">
        <v>633</v>
      </c>
      <c r="E79" s="18" t="n">
        <v>54.30060586</v>
      </c>
      <c r="F79" s="20" t="n">
        <v>2.10536121</v>
      </c>
      <c r="G79" s="18" t="n">
        <v>42.17630429</v>
      </c>
      <c r="H79" s="20" t="n">
        <v>1.90257124</v>
      </c>
      <c r="I79" s="18" t="n">
        <v>0</v>
      </c>
      <c r="J79" s="20" t="n">
        <v>0</v>
      </c>
      <c r="K79" s="18" t="n">
        <v>1.33547191</v>
      </c>
      <c r="L79" s="20" t="n">
        <v>0.55165382</v>
      </c>
      <c r="M79" s="18" t="n">
        <v>0</v>
      </c>
      <c r="N79" s="20" t="n">
        <v>0</v>
      </c>
      <c r="O79" s="18" t="n">
        <v>0</v>
      </c>
      <c r="P79" s="20" t="n">
        <v>0</v>
      </c>
      <c r="Q79" s="18" t="n">
        <v>2.18761794</v>
      </c>
      <c r="R79" s="20" t="n">
        <v>0.54213579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(28748.0/B82*100)</f>
        <v/>
      </c>
      <c r="D82" s="19" t="n">
        <v>3582</v>
      </c>
      <c r="E82" s="18" t="n">
        <v>45.07406621</v>
      </c>
      <c r="F82" s="20" t="n">
        <v>1.28995588</v>
      </c>
      <c r="G82" s="18" t="n">
        <v>53.65384301</v>
      </c>
      <c r="H82" s="20" t="n">
        <v>1.35142556</v>
      </c>
      <c r="I82" s="18" t="n">
        <v>0</v>
      </c>
      <c r="J82" s="20" t="n">
        <v>0</v>
      </c>
      <c r="K82" s="18" t="n">
        <v>0.1663433</v>
      </c>
      <c r="L82" s="20" t="n">
        <v>0.09065898999999999</v>
      </c>
      <c r="M82" s="18" t="n">
        <v>0</v>
      </c>
      <c r="N82" s="20" t="n">
        <v>0</v>
      </c>
      <c r="O82" s="18" t="n">
        <v>0</v>
      </c>
      <c r="P82" s="20" t="n">
        <v>0</v>
      </c>
      <c r="Q82" s="18" t="n">
        <v>1.10574748</v>
      </c>
      <c r="R82" s="20" t="n">
        <v>0.26664092</v>
      </c>
    </row>
    <row r="83" spans="1:18">
      <c r="A83" s="15" t="s">
        <v>643</v>
      </c>
      <c r="B83" s="17" t="n">
        <v>1652</v>
      </c>
      <c r="C83" s="18">
        <f>(1482.0/B83*100)</f>
        <v/>
      </c>
      <c r="D83" s="19" t="n">
        <v>170</v>
      </c>
      <c r="E83" s="18" t="n">
        <v>42.16325036</v>
      </c>
      <c r="F83" s="20" t="n">
        <v>3.58014939</v>
      </c>
      <c r="G83" s="18" t="n">
        <v>57.83674964</v>
      </c>
      <c r="H83" s="20" t="n">
        <v>3.58014939</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(1683.0/B84*100)</f>
        <v/>
      </c>
      <c r="D84" s="19" t="n">
        <v>204</v>
      </c>
      <c r="E84" s="18" t="n">
        <v>51.24149571</v>
      </c>
      <c r="F84" s="20" t="n">
        <v>3.14905</v>
      </c>
      <c r="G84" s="18" t="n">
        <v>48.75850429</v>
      </c>
      <c r="H84" s="20" t="n">
        <v>3.14905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(12919.0/B7*100)</f>
        <v/>
      </c>
      <c r="D7" s="19" t="n">
        <v>1611</v>
      </c>
      <c r="E7" s="18" t="n">
        <v>68.90520452</v>
      </c>
      <c r="F7" s="20" t="n">
        <v>1.37664495</v>
      </c>
      <c r="G7" s="18" t="n">
        <v>23.53079288</v>
      </c>
      <c r="H7" s="20" t="n">
        <v>1.20438311</v>
      </c>
      <c r="I7" s="18" t="n">
        <v>0</v>
      </c>
      <c r="J7" s="20" t="n">
        <v>0</v>
      </c>
      <c r="K7" s="18" t="n">
        <v>0.43081054</v>
      </c>
      <c r="L7" s="20" t="n">
        <v>0.16215337</v>
      </c>
      <c r="M7" s="18" t="n">
        <v>0.09143979000000001</v>
      </c>
      <c r="N7" s="20" t="n">
        <v>0.07786789</v>
      </c>
      <c r="O7" s="18" t="n">
        <v>0</v>
      </c>
      <c r="P7" s="20" t="n">
        <v>0</v>
      </c>
      <c r="Q7" s="18" t="n">
        <v>7.04175228</v>
      </c>
      <c r="R7" s="20" t="n">
        <v>0.74051342</v>
      </c>
    </row>
    <row r="8" spans="1:18">
      <c r="A8" s="15" t="s">
        <v>566</v>
      </c>
      <c r="B8" s="17" t="n">
        <v>7007</v>
      </c>
      <c r="C8" s="18">
        <f>(6243.0/B8*100)</f>
        <v/>
      </c>
      <c r="D8" s="19" t="n">
        <v>764</v>
      </c>
      <c r="E8" s="18" t="n">
        <v>58.00677421</v>
      </c>
      <c r="F8" s="20" t="n">
        <v>1.95987812</v>
      </c>
      <c r="G8" s="18" t="n">
        <v>27.54429929</v>
      </c>
      <c r="H8" s="20" t="n">
        <v>1.96511268</v>
      </c>
      <c r="I8" s="18" t="n">
        <v>0</v>
      </c>
      <c r="J8" s="20" t="n">
        <v>0</v>
      </c>
      <c r="K8" s="18" t="n">
        <v>0.47884128</v>
      </c>
      <c r="L8" s="20" t="n">
        <v>0.26776159</v>
      </c>
      <c r="M8" s="18" t="n">
        <v>0</v>
      </c>
      <c r="N8" s="20" t="n">
        <v>0</v>
      </c>
      <c r="O8" s="18" t="n">
        <v>0</v>
      </c>
      <c r="P8" s="20" t="n">
        <v>0</v>
      </c>
      <c r="Q8" s="18" t="n">
        <v>13.97008522</v>
      </c>
      <c r="R8" s="20" t="n">
        <v>1.35176047</v>
      </c>
    </row>
    <row r="9" spans="1:18">
      <c r="A9" s="15" t="s">
        <v>567</v>
      </c>
      <c r="B9" s="17" t="n">
        <v>9651</v>
      </c>
      <c r="C9" s="18">
        <f>(8615.0/B9*100)</f>
        <v/>
      </c>
      <c r="D9" s="19" t="n">
        <v>1036</v>
      </c>
      <c r="E9" s="18" t="n">
        <v>59.58154141</v>
      </c>
      <c r="F9" s="20" t="n">
        <v>1.75915189</v>
      </c>
      <c r="G9" s="18" t="n">
        <v>30.81564547</v>
      </c>
      <c r="H9" s="20" t="n">
        <v>1.5383797</v>
      </c>
      <c r="I9" s="18" t="n">
        <v>0</v>
      </c>
      <c r="J9" s="20" t="n">
        <v>0</v>
      </c>
      <c r="K9" s="18" t="n">
        <v>0.68783499</v>
      </c>
      <c r="L9" s="20" t="n">
        <v>0.27364956</v>
      </c>
      <c r="M9" s="18" t="n">
        <v>0.26760325</v>
      </c>
      <c r="N9" s="20" t="n">
        <v>0.15563872</v>
      </c>
      <c r="O9" s="18" t="n">
        <v>0</v>
      </c>
      <c r="P9" s="20" t="n">
        <v>0</v>
      </c>
      <c r="Q9" s="18" t="n">
        <v>8.64737487</v>
      </c>
      <c r="R9" s="20" t="n">
        <v>0.83232123</v>
      </c>
    </row>
    <row r="10" spans="1:18">
      <c r="A10" s="15" t="s">
        <v>568</v>
      </c>
      <c r="B10" s="17" t="n">
        <v>20058</v>
      </c>
      <c r="C10" s="18">
        <f>(17838.0/B10*100)</f>
        <v/>
      </c>
      <c r="D10" s="19" t="n">
        <v>2220</v>
      </c>
      <c r="E10" s="18" t="n">
        <v>67.7081994</v>
      </c>
      <c r="F10" s="20" t="n">
        <v>1.48592074</v>
      </c>
      <c r="G10" s="18" t="n">
        <v>27.90067723</v>
      </c>
      <c r="H10" s="20" t="n">
        <v>1.41778542</v>
      </c>
      <c r="I10" s="18" t="n">
        <v>0</v>
      </c>
      <c r="J10" s="20" t="n">
        <v>0</v>
      </c>
      <c r="K10" s="18" t="n">
        <v>0.57509048</v>
      </c>
      <c r="L10" s="20" t="n">
        <v>0.23081747</v>
      </c>
      <c r="M10" s="18" t="n">
        <v>0</v>
      </c>
      <c r="N10" s="20" t="n">
        <v>0</v>
      </c>
      <c r="O10" s="18" t="n">
        <v>0</v>
      </c>
      <c r="P10" s="20" t="n">
        <v>0</v>
      </c>
      <c r="Q10" s="18" t="n">
        <v>3.81603288</v>
      </c>
      <c r="R10" s="20" t="n">
        <v>0.52597977</v>
      </c>
    </row>
    <row r="11" spans="1:18">
      <c r="A11" s="15" t="s">
        <v>569</v>
      </c>
      <c r="B11" s="17" t="n">
        <v>7053</v>
      </c>
      <c r="C11" s="18">
        <f>(6309.0/B11*100)</f>
        <v/>
      </c>
      <c r="D11" s="19" t="n">
        <v>744</v>
      </c>
      <c r="E11" s="18" t="n">
        <v>70.03692563</v>
      </c>
      <c r="F11" s="20" t="n">
        <v>1.98538496</v>
      </c>
      <c r="G11" s="18" t="n">
        <v>15.25654312</v>
      </c>
      <c r="H11" s="20" t="n">
        <v>1.47705303</v>
      </c>
      <c r="I11" s="18" t="n">
        <v>0</v>
      </c>
      <c r="J11" s="20" t="n">
        <v>0</v>
      </c>
      <c r="K11" s="18" t="n">
        <v>0.62606214</v>
      </c>
      <c r="L11" s="20" t="n">
        <v>0.41225702</v>
      </c>
      <c r="M11" s="18" t="n">
        <v>0.20463728</v>
      </c>
      <c r="N11" s="20" t="n">
        <v>0.19353437</v>
      </c>
      <c r="O11" s="18" t="n">
        <v>0</v>
      </c>
      <c r="P11" s="20" t="n">
        <v>0</v>
      </c>
      <c r="Q11" s="18" t="n">
        <v>13.87583183</v>
      </c>
      <c r="R11" s="20" t="n">
        <v>1.63177734</v>
      </c>
    </row>
    <row r="12" spans="1:18">
      <c r="A12" s="15" t="s">
        <v>570</v>
      </c>
      <c r="B12" s="17" t="n">
        <v>6894</v>
      </c>
      <c r="C12" s="18">
        <f>(6151.0/B12*100)</f>
        <v/>
      </c>
      <c r="D12" s="19" t="n">
        <v>743</v>
      </c>
      <c r="E12" s="18" t="n">
        <v>59.69549793</v>
      </c>
      <c r="F12" s="20" t="n">
        <v>2.0727973</v>
      </c>
      <c r="G12" s="18" t="n">
        <v>27.31545403</v>
      </c>
      <c r="H12" s="20" t="n">
        <v>1.53472067</v>
      </c>
      <c r="I12" s="18" t="n">
        <v>0</v>
      </c>
      <c r="J12" s="20" t="n">
        <v>0</v>
      </c>
      <c r="K12" s="18" t="n">
        <v>0.32175627</v>
      </c>
      <c r="L12" s="20" t="n">
        <v>0.21859535</v>
      </c>
      <c r="M12" s="18" t="n">
        <v>0.12978582</v>
      </c>
      <c r="N12" s="20" t="n">
        <v>0.12950397</v>
      </c>
      <c r="O12" s="18" t="n">
        <v>0</v>
      </c>
      <c r="P12" s="20" t="n">
        <v>0</v>
      </c>
      <c r="Q12" s="18" t="n">
        <v>12.53750595</v>
      </c>
      <c r="R12" s="20" t="n">
        <v>1.31530246</v>
      </c>
    </row>
    <row r="13" spans="1:18">
      <c r="A13" s="15" t="s">
        <v>571</v>
      </c>
      <c r="B13" s="17" t="n">
        <v>7161</v>
      </c>
      <c r="C13" s="18">
        <f>(6428.0/B13*100)</f>
        <v/>
      </c>
      <c r="D13" s="19" t="n">
        <v>733</v>
      </c>
      <c r="E13" s="18" t="n">
        <v>53.24858644</v>
      </c>
      <c r="F13" s="20" t="n">
        <v>2.33688041</v>
      </c>
      <c r="G13" s="18" t="n">
        <v>37.34908992</v>
      </c>
      <c r="H13" s="20" t="n">
        <v>2.00568124</v>
      </c>
      <c r="I13" s="18" t="n">
        <v>0</v>
      </c>
      <c r="J13" s="20" t="n">
        <v>0</v>
      </c>
      <c r="K13" s="18" t="n">
        <v>1.38169359</v>
      </c>
      <c r="L13" s="20" t="n">
        <v>0.59426478</v>
      </c>
      <c r="M13" s="18" t="n">
        <v>0</v>
      </c>
      <c r="N13" s="20" t="n">
        <v>0</v>
      </c>
      <c r="O13" s="18" t="n">
        <v>0</v>
      </c>
      <c r="P13" s="20" t="n">
        <v>0</v>
      </c>
      <c r="Q13" s="18" t="n">
        <v>8.020630049999999</v>
      </c>
      <c r="R13" s="20" t="n">
        <v>1.45298231</v>
      </c>
    </row>
    <row r="14" spans="1:18">
      <c r="A14" s="15" t="s">
        <v>572</v>
      </c>
      <c r="B14" s="17" t="n">
        <v>5587</v>
      </c>
      <c r="C14" s="18">
        <f>(4961.0/B14*100)</f>
        <v/>
      </c>
      <c r="D14" s="19" t="n">
        <v>626</v>
      </c>
      <c r="E14" s="18" t="n">
        <v>75.59896089999999</v>
      </c>
      <c r="F14" s="20" t="n">
        <v>1.83379427</v>
      </c>
      <c r="G14" s="18" t="n">
        <v>19.32063867</v>
      </c>
      <c r="H14" s="20" t="n">
        <v>1.74076633</v>
      </c>
      <c r="I14" s="18" t="n">
        <v>0</v>
      </c>
      <c r="J14" s="20" t="n">
        <v>0</v>
      </c>
      <c r="K14" s="18" t="n">
        <v>0.27390576</v>
      </c>
      <c r="L14" s="20" t="n">
        <v>0.19850719</v>
      </c>
      <c r="M14" s="18" t="n">
        <v>0</v>
      </c>
      <c r="N14" s="20" t="n">
        <v>0</v>
      </c>
      <c r="O14" s="18" t="n">
        <v>0</v>
      </c>
      <c r="P14" s="20" t="n">
        <v>0</v>
      </c>
      <c r="Q14" s="18" t="n">
        <v>4.80649467</v>
      </c>
      <c r="R14" s="20" t="n">
        <v>0.95230089</v>
      </c>
    </row>
    <row r="15" spans="1:18">
      <c r="A15" s="15" t="s">
        <v>573</v>
      </c>
      <c r="B15" s="17" t="n">
        <v>5882</v>
      </c>
      <c r="C15" s="18">
        <f>(5217.0/B15*100)</f>
        <v/>
      </c>
      <c r="D15" s="19" t="n">
        <v>665</v>
      </c>
      <c r="E15" s="18" t="n">
        <v>60.19385851</v>
      </c>
      <c r="F15" s="20" t="n">
        <v>2.05532691</v>
      </c>
      <c r="G15" s="18" t="n">
        <v>32.14207412</v>
      </c>
      <c r="H15" s="20" t="n">
        <v>2.01526489</v>
      </c>
      <c r="I15" s="18" t="n">
        <v>0</v>
      </c>
      <c r="J15" s="20" t="n">
        <v>0</v>
      </c>
      <c r="K15" s="18" t="n">
        <v>0.27044164</v>
      </c>
      <c r="L15" s="20" t="n">
        <v>0.19092894</v>
      </c>
      <c r="M15" s="18" t="n">
        <v>0.27580439</v>
      </c>
      <c r="N15" s="20" t="n">
        <v>0.19275081</v>
      </c>
      <c r="O15" s="18" t="n">
        <v>0</v>
      </c>
      <c r="P15" s="20" t="n">
        <v>0</v>
      </c>
      <c r="Q15" s="18" t="n">
        <v>7.11782135</v>
      </c>
      <c r="R15" s="20" t="n">
        <v>0.95726488</v>
      </c>
    </row>
    <row r="16" spans="1:18">
      <c r="A16" s="15" t="s">
        <v>574</v>
      </c>
      <c r="B16" s="17" t="n">
        <v>6108</v>
      </c>
      <c r="C16" s="18">
        <f>(5431.0/B16*100)</f>
        <v/>
      </c>
      <c r="D16" s="19" t="n">
        <v>677</v>
      </c>
      <c r="E16" s="18" t="n">
        <v>50.3098554</v>
      </c>
      <c r="F16" s="20" t="n">
        <v>2.05789672</v>
      </c>
      <c r="G16" s="18" t="n">
        <v>32.14561311</v>
      </c>
      <c r="H16" s="20" t="n">
        <v>1.68864511</v>
      </c>
      <c r="I16" s="18" t="n">
        <v>0</v>
      </c>
      <c r="J16" s="20" t="n">
        <v>0</v>
      </c>
      <c r="K16" s="18" t="n">
        <v>1.25841711</v>
      </c>
      <c r="L16" s="20" t="n">
        <v>0.43955922</v>
      </c>
      <c r="M16" s="18" t="n">
        <v>0</v>
      </c>
      <c r="N16" s="20" t="n">
        <v>0</v>
      </c>
      <c r="O16" s="18" t="n">
        <v>0</v>
      </c>
      <c r="P16" s="20" t="n">
        <v>0</v>
      </c>
      <c r="Q16" s="18" t="n">
        <v>16.28611438</v>
      </c>
      <c r="R16" s="20" t="n">
        <v>1.63811108</v>
      </c>
    </row>
    <row r="17" spans="1:18">
      <c r="A17" s="15" t="s">
        <v>575</v>
      </c>
      <c r="B17" s="17" t="n">
        <v>6504</v>
      </c>
      <c r="C17" s="18">
        <f>(5803.0/B17*100)</f>
        <v/>
      </c>
      <c r="D17" s="19" t="n">
        <v>701</v>
      </c>
      <c r="E17" s="18" t="n">
        <v>53.44863642</v>
      </c>
      <c r="F17" s="20" t="n">
        <v>1.83598997</v>
      </c>
      <c r="G17" s="18" t="n">
        <v>36.23695432</v>
      </c>
      <c r="H17" s="20" t="n">
        <v>1.71270175</v>
      </c>
      <c r="I17" s="18" t="n">
        <v>0</v>
      </c>
      <c r="J17" s="20" t="n">
        <v>0</v>
      </c>
      <c r="K17" s="18" t="n">
        <v>0.54136701</v>
      </c>
      <c r="L17" s="20" t="n">
        <v>0.28803375</v>
      </c>
      <c r="M17" s="18" t="n">
        <v>0</v>
      </c>
      <c r="N17" s="20" t="n">
        <v>0</v>
      </c>
      <c r="O17" s="18" t="n">
        <v>0</v>
      </c>
      <c r="P17" s="20" t="n">
        <v>0</v>
      </c>
      <c r="Q17" s="18" t="n">
        <v>9.773042240000001</v>
      </c>
      <c r="R17" s="20" t="n">
        <v>1.25878569</v>
      </c>
    </row>
    <row r="18" spans="1:18">
      <c r="A18" s="15" t="s">
        <v>576</v>
      </c>
      <c r="B18" s="17" t="n">
        <v>5532</v>
      </c>
      <c r="C18" s="18">
        <f>(4911.0/B18*100)</f>
        <v/>
      </c>
      <c r="D18" s="19" t="n">
        <v>621</v>
      </c>
      <c r="E18" s="18" t="n">
        <v>57.25268976</v>
      </c>
      <c r="F18" s="20" t="n">
        <v>2.01337436</v>
      </c>
      <c r="G18" s="18" t="n">
        <v>26.41369437</v>
      </c>
      <c r="H18" s="20" t="n">
        <v>1.94600139</v>
      </c>
      <c r="I18" s="18" t="n">
        <v>0</v>
      </c>
      <c r="J18" s="20" t="n">
        <v>0</v>
      </c>
      <c r="K18" s="18" t="n">
        <v>0.12664766</v>
      </c>
      <c r="L18" s="20" t="n">
        <v>0.09888086</v>
      </c>
      <c r="M18" s="18" t="n">
        <v>0</v>
      </c>
      <c r="N18" s="20" t="n">
        <v>0</v>
      </c>
      <c r="O18" s="18" t="n">
        <v>0</v>
      </c>
      <c r="P18" s="20" t="n">
        <v>0</v>
      </c>
      <c r="Q18" s="18" t="n">
        <v>16.20696821</v>
      </c>
      <c r="R18" s="20" t="n">
        <v>1.86802119</v>
      </c>
    </row>
    <row r="19" spans="1:18">
      <c r="A19" s="15" t="s">
        <v>577</v>
      </c>
      <c r="B19" s="17" t="n">
        <v>5658</v>
      </c>
      <c r="C19" s="18">
        <f>(5041.0/B19*100)</f>
        <v/>
      </c>
      <c r="D19" s="19" t="n">
        <v>617</v>
      </c>
      <c r="E19" s="18" t="n">
        <v>47.81163199</v>
      </c>
      <c r="F19" s="20" t="n">
        <v>2.3067373</v>
      </c>
      <c r="G19" s="18" t="n">
        <v>34.86686007</v>
      </c>
      <c r="H19" s="20" t="n">
        <v>2.03819384</v>
      </c>
      <c r="I19" s="18" t="n">
        <v>0</v>
      </c>
      <c r="J19" s="20" t="n">
        <v>0</v>
      </c>
      <c r="K19" s="18" t="n">
        <v>0</v>
      </c>
      <c r="L19" s="20" t="n">
        <v>0</v>
      </c>
      <c r="M19" s="18" t="n">
        <v>0.14014696</v>
      </c>
      <c r="N19" s="20" t="n">
        <v>0.13902972</v>
      </c>
      <c r="O19" s="18" t="n">
        <v>0</v>
      </c>
      <c r="P19" s="20" t="n">
        <v>0</v>
      </c>
      <c r="Q19" s="18" t="n">
        <v>17.18136098</v>
      </c>
      <c r="R19" s="20" t="n">
        <v>1.66336546</v>
      </c>
    </row>
    <row r="20" spans="1:18">
      <c r="A20" s="15" t="s">
        <v>578</v>
      </c>
      <c r="B20" s="17" t="n">
        <v>3371</v>
      </c>
      <c r="C20" s="18">
        <f>(3014.0/B20*100)</f>
        <v/>
      </c>
      <c r="D20" s="19" t="n">
        <v>357</v>
      </c>
      <c r="E20" s="18" t="n">
        <v>62.09265181</v>
      </c>
      <c r="F20" s="20" t="n">
        <v>2.59312896</v>
      </c>
      <c r="G20" s="18" t="n">
        <v>27.65371378</v>
      </c>
      <c r="H20" s="20" t="n">
        <v>2.63573988</v>
      </c>
      <c r="I20" s="18" t="n">
        <v>0</v>
      </c>
      <c r="J20" s="20" t="n">
        <v>0</v>
      </c>
      <c r="K20" s="18" t="n">
        <v>0.5107027200000001</v>
      </c>
      <c r="L20" s="20" t="n">
        <v>0.35740151</v>
      </c>
      <c r="M20" s="18" t="n">
        <v>0.3417691</v>
      </c>
      <c r="N20" s="20" t="n">
        <v>0.34805499</v>
      </c>
      <c r="O20" s="18" t="n">
        <v>0</v>
      </c>
      <c r="P20" s="20" t="n">
        <v>0</v>
      </c>
      <c r="Q20" s="18" t="n">
        <v>9.40116259</v>
      </c>
      <c r="R20" s="20" t="n">
        <v>1.40900221</v>
      </c>
    </row>
    <row r="21" spans="1:18">
      <c r="A21" s="15" t="s">
        <v>579</v>
      </c>
      <c r="B21" s="17" t="n">
        <v>5741</v>
      </c>
      <c r="C21" s="18">
        <f>(5077.0/B21*100)</f>
        <v/>
      </c>
      <c r="D21" s="19" t="n">
        <v>664</v>
      </c>
      <c r="E21" s="18" t="n">
        <v>64.14178326</v>
      </c>
      <c r="F21" s="20" t="n">
        <v>1.81203727</v>
      </c>
      <c r="G21" s="18" t="n">
        <v>30.64730678</v>
      </c>
      <c r="H21" s="20" t="n">
        <v>1.74398742</v>
      </c>
      <c r="I21" s="18" t="n">
        <v>0</v>
      </c>
      <c r="J21" s="20" t="n">
        <v>0</v>
      </c>
      <c r="K21" s="18" t="n">
        <v>0.17686663</v>
      </c>
      <c r="L21" s="20" t="n">
        <v>0.17659677</v>
      </c>
      <c r="M21" s="18" t="n">
        <v>0</v>
      </c>
      <c r="N21" s="20" t="n">
        <v>0</v>
      </c>
      <c r="O21" s="18" t="n">
        <v>0</v>
      </c>
      <c r="P21" s="20" t="n">
        <v>0</v>
      </c>
      <c r="Q21" s="18" t="n">
        <v>5.03404333</v>
      </c>
      <c r="R21" s="20" t="n">
        <v>0.97995365</v>
      </c>
    </row>
    <row r="22" spans="1:18">
      <c r="A22" s="15" t="s">
        <v>580</v>
      </c>
      <c r="B22" s="17" t="n">
        <v>6598</v>
      </c>
      <c r="C22" s="18">
        <f>(5885.0/B22*100)</f>
        <v/>
      </c>
      <c r="D22" s="19" t="n">
        <v>713</v>
      </c>
      <c r="E22" s="18" t="n">
        <v>68.56853829000001</v>
      </c>
      <c r="F22" s="20" t="n">
        <v>2.18688551</v>
      </c>
      <c r="G22" s="18" t="n">
        <v>13.0099458</v>
      </c>
      <c r="H22" s="20" t="n">
        <v>1.37516077</v>
      </c>
      <c r="I22" s="18" t="n">
        <v>0</v>
      </c>
      <c r="J22" s="20" t="n">
        <v>0</v>
      </c>
      <c r="K22" s="18" t="n">
        <v>1.55315797</v>
      </c>
      <c r="L22" s="20" t="n">
        <v>0.56167819</v>
      </c>
      <c r="M22" s="18" t="n">
        <v>0</v>
      </c>
      <c r="N22" s="20" t="n">
        <v>0</v>
      </c>
      <c r="O22" s="18" t="n">
        <v>0</v>
      </c>
      <c r="P22" s="20" t="n">
        <v>0</v>
      </c>
      <c r="Q22" s="18" t="n">
        <v>16.86835795</v>
      </c>
      <c r="R22" s="20" t="n">
        <v>2.02905582</v>
      </c>
    </row>
    <row r="23" spans="1:18">
      <c r="A23" s="15" t="s">
        <v>581</v>
      </c>
      <c r="B23" s="17" t="n">
        <v>11583</v>
      </c>
      <c r="C23" s="18">
        <f>(10317.0/B23*100)</f>
        <v/>
      </c>
      <c r="D23" s="19" t="n">
        <v>1266</v>
      </c>
      <c r="E23" s="18" t="n">
        <v>59.23694417</v>
      </c>
      <c r="F23" s="20" t="n">
        <v>2.0016279</v>
      </c>
      <c r="G23" s="18" t="n">
        <v>25.47062818</v>
      </c>
      <c r="H23" s="20" t="n">
        <v>1.64426566</v>
      </c>
      <c r="I23" s="18" t="n">
        <v>0</v>
      </c>
      <c r="J23" s="20" t="n">
        <v>0</v>
      </c>
      <c r="K23" s="18" t="n">
        <v>0.41280757</v>
      </c>
      <c r="L23" s="20" t="n">
        <v>0.31772146</v>
      </c>
      <c r="M23" s="18" t="n">
        <v>0.09922884</v>
      </c>
      <c r="N23" s="20" t="n">
        <v>0.10300181</v>
      </c>
      <c r="O23" s="18" t="n">
        <v>0</v>
      </c>
      <c r="P23" s="20" t="n">
        <v>0</v>
      </c>
      <c r="Q23" s="18" t="n">
        <v>14.78039124</v>
      </c>
      <c r="R23" s="20" t="n">
        <v>1.66009332</v>
      </c>
    </row>
    <row r="24" spans="1:18">
      <c r="A24" s="15" t="s">
        <v>582</v>
      </c>
      <c r="B24" s="17" t="n">
        <v>6647</v>
      </c>
      <c r="C24" s="18">
        <f>(5923.0/B24*100)</f>
        <v/>
      </c>
      <c r="D24" s="19" t="n">
        <v>724</v>
      </c>
      <c r="E24" s="18" t="n">
        <v>43.73513944</v>
      </c>
      <c r="F24" s="20" t="n">
        <v>1.87089562</v>
      </c>
      <c r="G24" s="18" t="n">
        <v>41.21926167</v>
      </c>
      <c r="H24" s="20" t="n">
        <v>1.98939231</v>
      </c>
      <c r="I24" s="18" t="n">
        <v>0</v>
      </c>
      <c r="J24" s="20" t="n">
        <v>0</v>
      </c>
      <c r="K24" s="18" t="n">
        <v>0.40937834</v>
      </c>
      <c r="L24" s="20" t="n">
        <v>0.22971568</v>
      </c>
      <c r="M24" s="18" t="n">
        <v>0</v>
      </c>
      <c r="N24" s="20" t="n">
        <v>0</v>
      </c>
      <c r="O24" s="18" t="n">
        <v>0</v>
      </c>
      <c r="P24" s="20" t="n">
        <v>0</v>
      </c>
      <c r="Q24" s="18" t="n">
        <v>14.63622055</v>
      </c>
      <c r="R24" s="20" t="n">
        <v>1.4145875</v>
      </c>
    </row>
    <row r="25" spans="1:18">
      <c r="A25" s="15" t="s">
        <v>583</v>
      </c>
      <c r="B25" s="17" t="n">
        <v>5581</v>
      </c>
      <c r="C25" s="18">
        <f>(4966.0/B25*100)</f>
        <v/>
      </c>
      <c r="D25" s="19" t="n">
        <v>615</v>
      </c>
      <c r="E25" s="18" t="n">
        <v>71.33055414</v>
      </c>
      <c r="F25" s="20" t="n">
        <v>1.93735303</v>
      </c>
      <c r="G25" s="18" t="n">
        <v>17.55874115</v>
      </c>
      <c r="H25" s="20" t="n">
        <v>1.38879145</v>
      </c>
      <c r="I25" s="18" t="n">
        <v>0</v>
      </c>
      <c r="J25" s="20" t="n">
        <v>0</v>
      </c>
      <c r="K25" s="18" t="n">
        <v>0.29803489</v>
      </c>
      <c r="L25" s="20" t="n">
        <v>0.21272998</v>
      </c>
      <c r="M25" s="18" t="n">
        <v>0</v>
      </c>
      <c r="N25" s="20" t="n">
        <v>0</v>
      </c>
      <c r="O25" s="18" t="n">
        <v>0</v>
      </c>
      <c r="P25" s="20" t="n">
        <v>0</v>
      </c>
      <c r="Q25" s="18" t="n">
        <v>10.81266981</v>
      </c>
      <c r="R25" s="20" t="n">
        <v>1.39725667</v>
      </c>
    </row>
    <row r="26" spans="1:18">
      <c r="A26" s="15" t="s">
        <v>584</v>
      </c>
      <c r="B26" s="17" t="n">
        <v>4869</v>
      </c>
      <c r="C26" s="18">
        <f>(4325.0/B26*100)</f>
        <v/>
      </c>
      <c r="D26" s="19" t="n">
        <v>544</v>
      </c>
      <c r="E26" s="18" t="n">
        <v>69.54639107</v>
      </c>
      <c r="F26" s="20" t="n">
        <v>1.90596939</v>
      </c>
      <c r="G26" s="18" t="n">
        <v>23.31567026</v>
      </c>
      <c r="H26" s="20" t="n">
        <v>1.73835125</v>
      </c>
      <c r="I26" s="18" t="n">
        <v>0</v>
      </c>
      <c r="J26" s="20" t="n">
        <v>0</v>
      </c>
      <c r="K26" s="18" t="n">
        <v>0</v>
      </c>
      <c r="L26" s="20" t="n">
        <v>0</v>
      </c>
      <c r="M26" s="18" t="n">
        <v>0.16497388</v>
      </c>
      <c r="N26" s="20" t="n">
        <v>0.1648821</v>
      </c>
      <c r="O26" s="18" t="n">
        <v>0</v>
      </c>
      <c r="P26" s="20" t="n">
        <v>0</v>
      </c>
      <c r="Q26" s="18" t="n">
        <v>6.97296478</v>
      </c>
      <c r="R26" s="20" t="n">
        <v>1.09881292</v>
      </c>
    </row>
    <row r="27" spans="1:18">
      <c r="A27" s="15" t="s">
        <v>585</v>
      </c>
      <c r="B27" s="17" t="n">
        <v>5299</v>
      </c>
      <c r="C27" s="18">
        <f>(4712.0/B27*100)</f>
        <v/>
      </c>
      <c r="D27" s="19" t="n">
        <v>587</v>
      </c>
      <c r="E27" s="18" t="n">
        <v>57.99765011</v>
      </c>
      <c r="F27" s="20" t="n">
        <v>2.11890875</v>
      </c>
      <c r="G27" s="18" t="n">
        <v>27.97580813</v>
      </c>
      <c r="H27" s="20" t="n">
        <v>1.71426545</v>
      </c>
      <c r="I27" s="18" t="n">
        <v>0</v>
      </c>
      <c r="J27" s="20" t="n">
        <v>0</v>
      </c>
      <c r="K27" s="18" t="n">
        <v>0.5125620400000001</v>
      </c>
      <c r="L27" s="20" t="n">
        <v>0.29611989</v>
      </c>
      <c r="M27" s="18" t="n">
        <v>0</v>
      </c>
      <c r="N27" s="20" t="n">
        <v>0</v>
      </c>
      <c r="O27" s="18" t="n">
        <v>0</v>
      </c>
      <c r="P27" s="20" t="n">
        <v>0</v>
      </c>
      <c r="Q27" s="18" t="n">
        <v>13.51397972</v>
      </c>
      <c r="R27" s="20" t="n">
        <v>1.28064587</v>
      </c>
    </row>
    <row r="28" spans="1:18">
      <c r="A28" s="15" t="s">
        <v>586</v>
      </c>
      <c r="B28" s="17" t="n">
        <v>7568</v>
      </c>
      <c r="C28" s="18">
        <f>(6801.0/B28*100)</f>
        <v/>
      </c>
      <c r="D28" s="19" t="n">
        <v>767</v>
      </c>
      <c r="E28" s="18" t="n">
        <v>84.69757782000001</v>
      </c>
      <c r="F28" s="20" t="n">
        <v>1.31270572</v>
      </c>
      <c r="G28" s="18" t="n">
        <v>9.597161939999999</v>
      </c>
      <c r="H28" s="20" t="n">
        <v>1.04471856</v>
      </c>
      <c r="I28" s="18" t="n">
        <v>0</v>
      </c>
      <c r="J28" s="20" t="n">
        <v>0</v>
      </c>
      <c r="K28" s="18" t="n">
        <v>0.4433009</v>
      </c>
      <c r="L28" s="20" t="n">
        <v>0.27503198</v>
      </c>
      <c r="M28" s="18" t="n">
        <v>0</v>
      </c>
      <c r="N28" s="20" t="n">
        <v>0</v>
      </c>
      <c r="O28" s="18" t="n">
        <v>0</v>
      </c>
      <c r="P28" s="20" t="n">
        <v>0</v>
      </c>
      <c r="Q28" s="18" t="n">
        <v>5.26195934</v>
      </c>
      <c r="R28" s="20" t="n">
        <v>0.94542735</v>
      </c>
    </row>
    <row r="29" spans="1:18">
      <c r="A29" s="15" t="s">
        <v>587</v>
      </c>
      <c r="B29" s="17" t="n">
        <v>5385</v>
      </c>
      <c r="C29" s="18">
        <f>(4803.0/B29*100)</f>
        <v/>
      </c>
      <c r="D29" s="19" t="n">
        <v>582</v>
      </c>
      <c r="E29" s="18" t="n">
        <v>69.55747863000001</v>
      </c>
      <c r="F29" s="20" t="n">
        <v>1.91011506</v>
      </c>
      <c r="G29" s="18" t="n">
        <v>26.38555103</v>
      </c>
      <c r="H29" s="20" t="n">
        <v>1.87833802</v>
      </c>
      <c r="I29" s="18" t="n">
        <v>0</v>
      </c>
      <c r="J29" s="20" t="n">
        <v>0</v>
      </c>
      <c r="K29" s="18" t="n">
        <v>0.17696287</v>
      </c>
      <c r="L29" s="20" t="n">
        <v>0.17544565</v>
      </c>
      <c r="M29" s="18" t="n">
        <v>0</v>
      </c>
      <c r="N29" s="20" t="n">
        <v>0</v>
      </c>
      <c r="O29" s="18" t="n">
        <v>0</v>
      </c>
      <c r="P29" s="20" t="n">
        <v>0</v>
      </c>
      <c r="Q29" s="18" t="n">
        <v>3.88000747</v>
      </c>
      <c r="R29" s="20" t="n">
        <v>0.90762868</v>
      </c>
    </row>
    <row r="30" spans="1:18">
      <c r="A30" s="15" t="s">
        <v>588</v>
      </c>
      <c r="B30" s="17" t="n">
        <v>4520</v>
      </c>
      <c r="C30" s="18">
        <f>(4014.0/B30*100)</f>
        <v/>
      </c>
      <c r="D30" s="19" t="n">
        <v>506</v>
      </c>
      <c r="E30" s="18" t="n">
        <v>59.65735035</v>
      </c>
      <c r="F30" s="20" t="n">
        <v>2.08345678</v>
      </c>
      <c r="G30" s="18" t="n">
        <v>28.16970957</v>
      </c>
      <c r="H30" s="20" t="n">
        <v>1.92847838</v>
      </c>
      <c r="I30" s="18" t="n">
        <v>0</v>
      </c>
      <c r="J30" s="20" t="n">
        <v>0</v>
      </c>
      <c r="K30" s="18" t="n">
        <v>0.40978308</v>
      </c>
      <c r="L30" s="20" t="n">
        <v>0.28913645</v>
      </c>
      <c r="M30" s="18" t="n">
        <v>0.4581049</v>
      </c>
      <c r="N30" s="20" t="n">
        <v>0.32433119</v>
      </c>
      <c r="O30" s="18" t="n">
        <v>0</v>
      </c>
      <c r="P30" s="20" t="n">
        <v>0</v>
      </c>
      <c r="Q30" s="18" t="n">
        <v>11.30505211</v>
      </c>
      <c r="R30" s="20" t="n">
        <v>1.29865471</v>
      </c>
    </row>
    <row r="31" spans="1:18">
      <c r="A31" s="15" t="s">
        <v>589</v>
      </c>
      <c r="B31" s="17" t="n">
        <v>5456</v>
      </c>
      <c r="C31" s="18">
        <f>(4856.0/B31*100)</f>
        <v/>
      </c>
      <c r="D31" s="19" t="n">
        <v>600</v>
      </c>
      <c r="E31" s="18" t="n">
        <v>64.14078671</v>
      </c>
      <c r="F31" s="20" t="n">
        <v>1.8821534</v>
      </c>
      <c r="G31" s="18" t="n">
        <v>22.14524643</v>
      </c>
      <c r="H31" s="20" t="n">
        <v>1.56238592</v>
      </c>
      <c r="I31" s="18" t="n">
        <v>0</v>
      </c>
      <c r="J31" s="20" t="n">
        <v>0</v>
      </c>
      <c r="K31" s="18" t="n">
        <v>0.30265118</v>
      </c>
      <c r="L31" s="20" t="n">
        <v>0.20306535</v>
      </c>
      <c r="M31" s="18" t="n">
        <v>0</v>
      </c>
      <c r="N31" s="20" t="n">
        <v>0</v>
      </c>
      <c r="O31" s="18" t="n">
        <v>0</v>
      </c>
      <c r="P31" s="20" t="n">
        <v>0</v>
      </c>
      <c r="Q31" s="18" t="n">
        <v>13.41131568</v>
      </c>
      <c r="R31" s="20" t="n">
        <v>1.34141709</v>
      </c>
    </row>
    <row r="32" spans="1:18">
      <c r="A32" s="15" t="s">
        <v>590</v>
      </c>
      <c r="B32" s="17" t="n">
        <v>4478</v>
      </c>
      <c r="C32" s="18">
        <f>(3987.0/B32*100)</f>
        <v/>
      </c>
      <c r="D32" s="19" t="n">
        <v>491</v>
      </c>
      <c r="E32" s="18" t="n">
        <v>61.20238486</v>
      </c>
      <c r="F32" s="20" t="n">
        <v>2.18677584</v>
      </c>
      <c r="G32" s="18" t="n">
        <v>31.22739127</v>
      </c>
      <c r="H32" s="20" t="n">
        <v>2.14865785</v>
      </c>
      <c r="I32" s="18" t="n">
        <v>0</v>
      </c>
      <c r="J32" s="20" t="n">
        <v>0</v>
      </c>
      <c r="K32" s="18" t="n">
        <v>0.36622883</v>
      </c>
      <c r="L32" s="20" t="n">
        <v>0.25995947</v>
      </c>
      <c r="M32" s="18" t="n">
        <v>0</v>
      </c>
      <c r="N32" s="20" t="n">
        <v>0</v>
      </c>
      <c r="O32" s="18" t="n">
        <v>0</v>
      </c>
      <c r="P32" s="20" t="n">
        <v>0</v>
      </c>
      <c r="Q32" s="18" t="n">
        <v>7.20399505</v>
      </c>
      <c r="R32" s="20" t="n">
        <v>1.24782069</v>
      </c>
    </row>
    <row r="33" spans="1:18">
      <c r="A33" s="15" t="s">
        <v>591</v>
      </c>
      <c r="B33" s="17" t="n">
        <v>7325</v>
      </c>
      <c r="C33" s="18">
        <f>(6562.0/B33*100)</f>
        <v/>
      </c>
      <c r="D33" s="19" t="n">
        <v>763</v>
      </c>
      <c r="E33" s="18" t="n">
        <v>62.73102494</v>
      </c>
      <c r="F33" s="20" t="n">
        <v>1.80277194</v>
      </c>
      <c r="G33" s="18" t="n">
        <v>23.5224605</v>
      </c>
      <c r="H33" s="20" t="n">
        <v>1.45418884</v>
      </c>
      <c r="I33" s="18" t="n">
        <v>0</v>
      </c>
      <c r="J33" s="20" t="n">
        <v>0</v>
      </c>
      <c r="K33" s="18" t="n">
        <v>0.23196526</v>
      </c>
      <c r="L33" s="20" t="n">
        <v>0.24376176</v>
      </c>
      <c r="M33" s="18" t="n">
        <v>0</v>
      </c>
      <c r="N33" s="20" t="n">
        <v>0</v>
      </c>
      <c r="O33" s="18" t="n">
        <v>0</v>
      </c>
      <c r="P33" s="20" t="n">
        <v>0</v>
      </c>
      <c r="Q33" s="18" t="n">
        <v>13.5145493</v>
      </c>
      <c r="R33" s="20" t="n">
        <v>1.40043008</v>
      </c>
    </row>
    <row r="34" spans="1:18">
      <c r="A34" s="15" t="s">
        <v>592</v>
      </c>
      <c r="B34" s="17" t="n">
        <v>6350</v>
      </c>
      <c r="C34" s="18">
        <f>(5707.0/B34*100)</f>
        <v/>
      </c>
      <c r="D34" s="19" t="n">
        <v>643</v>
      </c>
      <c r="E34" s="18" t="n">
        <v>62.18186868</v>
      </c>
      <c r="F34" s="20" t="n">
        <v>1.93410234</v>
      </c>
      <c r="G34" s="18" t="n">
        <v>22.56638583</v>
      </c>
      <c r="H34" s="20" t="n">
        <v>1.67673966</v>
      </c>
      <c r="I34" s="18" t="n">
        <v>0</v>
      </c>
      <c r="J34" s="20" t="n">
        <v>0</v>
      </c>
      <c r="K34" s="18" t="n">
        <v>0.38453192</v>
      </c>
      <c r="L34" s="20" t="n">
        <v>0.2779772</v>
      </c>
      <c r="M34" s="18" t="n">
        <v>0.28179764</v>
      </c>
      <c r="N34" s="20" t="n">
        <v>0.2002988</v>
      </c>
      <c r="O34" s="18" t="n">
        <v>0</v>
      </c>
      <c r="P34" s="20" t="n">
        <v>0</v>
      </c>
      <c r="Q34" s="18" t="n">
        <v>14.58541593</v>
      </c>
      <c r="R34" s="20" t="n">
        <v>1.45869352</v>
      </c>
    </row>
    <row r="35" spans="1:18">
      <c r="A35" s="15" t="s">
        <v>593</v>
      </c>
      <c r="B35" s="17" t="n">
        <v>6406</v>
      </c>
      <c r="C35" s="18">
        <f>(5714.0/B35*100)</f>
        <v/>
      </c>
      <c r="D35" s="19" t="n">
        <v>692</v>
      </c>
      <c r="E35" s="18" t="n">
        <v>57.01699567</v>
      </c>
      <c r="F35" s="20" t="n">
        <v>2.41310317</v>
      </c>
      <c r="G35" s="18" t="n">
        <v>32.48817871</v>
      </c>
      <c r="H35" s="20" t="n">
        <v>2.20331897</v>
      </c>
      <c r="I35" s="18" t="n">
        <v>0</v>
      </c>
      <c r="J35" s="20" t="n">
        <v>0</v>
      </c>
      <c r="K35" s="18" t="n">
        <v>0</v>
      </c>
      <c r="L35" s="20" t="n">
        <v>0</v>
      </c>
      <c r="M35" s="18" t="n">
        <v>0.31030227</v>
      </c>
      <c r="N35" s="20" t="n">
        <v>0.24640508</v>
      </c>
      <c r="O35" s="18" t="n">
        <v>0</v>
      </c>
      <c r="P35" s="20" t="n">
        <v>0</v>
      </c>
      <c r="Q35" s="18" t="n">
        <v>10.18452334</v>
      </c>
      <c r="R35" s="20" t="n">
        <v>1.26342334</v>
      </c>
    </row>
    <row r="36" spans="1:18">
      <c r="A36" s="15" t="s">
        <v>594</v>
      </c>
      <c r="B36" s="17" t="n">
        <v>6736</v>
      </c>
      <c r="C36" s="18">
        <f>(5981.0/B36*100)</f>
        <v/>
      </c>
      <c r="D36" s="19" t="n">
        <v>755</v>
      </c>
      <c r="E36" s="18" t="n">
        <v>68.81202911</v>
      </c>
      <c r="F36" s="20" t="n">
        <v>1.71328744</v>
      </c>
      <c r="G36" s="18" t="n">
        <v>20.93558642</v>
      </c>
      <c r="H36" s="20" t="n">
        <v>1.3081412</v>
      </c>
      <c r="I36" s="18" t="n">
        <v>0</v>
      </c>
      <c r="J36" s="20" t="n">
        <v>0</v>
      </c>
      <c r="K36" s="18" t="n">
        <v>0.24880728</v>
      </c>
      <c r="L36" s="20" t="n">
        <v>0.16240805</v>
      </c>
      <c r="M36" s="18" t="n">
        <v>0</v>
      </c>
      <c r="N36" s="20" t="n">
        <v>0</v>
      </c>
      <c r="O36" s="18" t="n">
        <v>0</v>
      </c>
      <c r="P36" s="20" t="n">
        <v>0</v>
      </c>
      <c r="Q36" s="18" t="n">
        <v>10.0035772</v>
      </c>
      <c r="R36" s="20" t="n">
        <v>1.29056018</v>
      </c>
    </row>
    <row r="37" spans="1:18">
      <c r="A37" s="15" t="s">
        <v>595</v>
      </c>
      <c r="B37" s="17" t="n">
        <v>5458</v>
      </c>
      <c r="C37" s="18">
        <f>(4871.0/B37*100)</f>
        <v/>
      </c>
      <c r="D37" s="19" t="n">
        <v>587</v>
      </c>
      <c r="E37" s="18" t="n">
        <v>60.22636333</v>
      </c>
      <c r="F37" s="20" t="n">
        <v>2.1417759</v>
      </c>
      <c r="G37" s="18" t="n">
        <v>22.57689688</v>
      </c>
      <c r="H37" s="20" t="n">
        <v>1.84925537</v>
      </c>
      <c r="I37" s="18" t="n">
        <v>0</v>
      </c>
      <c r="J37" s="20" t="n">
        <v>0</v>
      </c>
      <c r="K37" s="18" t="n">
        <v>0.19154614</v>
      </c>
      <c r="L37" s="20" t="n">
        <v>0.18882882</v>
      </c>
      <c r="M37" s="18" t="n">
        <v>0</v>
      </c>
      <c r="N37" s="20" t="n">
        <v>0</v>
      </c>
      <c r="O37" s="18" t="n">
        <v>0</v>
      </c>
      <c r="P37" s="20" t="n">
        <v>0</v>
      </c>
      <c r="Q37" s="18" t="n">
        <v>17.00519366</v>
      </c>
      <c r="R37" s="20" t="n">
        <v>1.77771818</v>
      </c>
    </row>
    <row r="38" spans="1:18">
      <c r="A38" s="15" t="s">
        <v>596</v>
      </c>
      <c r="B38" s="17" t="n">
        <v>5860</v>
      </c>
      <c r="C38" s="18">
        <f>(5237.0/B38*100)</f>
        <v/>
      </c>
      <c r="D38" s="19" t="n">
        <v>623</v>
      </c>
      <c r="E38" s="18" t="n">
        <v>57.45871663</v>
      </c>
      <c r="F38" s="20" t="n">
        <v>2.22501531</v>
      </c>
      <c r="G38" s="18" t="n">
        <v>28.33017358</v>
      </c>
      <c r="H38" s="20" t="n">
        <v>2.17921515</v>
      </c>
      <c r="I38" s="18" t="n">
        <v>0</v>
      </c>
      <c r="J38" s="20" t="n">
        <v>0</v>
      </c>
      <c r="K38" s="18" t="n">
        <v>0.43033816</v>
      </c>
      <c r="L38" s="20" t="n">
        <v>0.28595765</v>
      </c>
      <c r="M38" s="18" t="n">
        <v>2.65226963</v>
      </c>
      <c r="N38" s="20" t="n">
        <v>0.70701287</v>
      </c>
      <c r="O38" s="18" t="n">
        <v>0</v>
      </c>
      <c r="P38" s="20" t="n">
        <v>0</v>
      </c>
      <c r="Q38" s="18" t="n">
        <v>11.12850201</v>
      </c>
      <c r="R38" s="20" t="n">
        <v>1.36539053</v>
      </c>
    </row>
    <row r="39" spans="1:18">
      <c r="A39" s="15" t="s">
        <v>597</v>
      </c>
      <c r="B39" s="17" t="n">
        <v>5895</v>
      </c>
      <c r="C39" s="18">
        <f>(5241.0/B39*100)</f>
        <v/>
      </c>
      <c r="D39" s="19" t="n">
        <v>654</v>
      </c>
      <c r="E39" s="18" t="n">
        <v>63.47234509</v>
      </c>
      <c r="F39" s="20" t="n">
        <v>1.82346901</v>
      </c>
      <c r="G39" s="18" t="n">
        <v>25.84606909</v>
      </c>
      <c r="H39" s="20" t="n">
        <v>1.57684827</v>
      </c>
      <c r="I39" s="18" t="n">
        <v>0</v>
      </c>
      <c r="J39" s="20" t="n">
        <v>0</v>
      </c>
      <c r="K39" s="18" t="n">
        <v>0.10861117</v>
      </c>
      <c r="L39" s="20" t="n">
        <v>0.11182883</v>
      </c>
      <c r="M39" s="18" t="n">
        <v>0</v>
      </c>
      <c r="N39" s="20" t="n">
        <v>0</v>
      </c>
      <c r="O39" s="18" t="n">
        <v>0</v>
      </c>
      <c r="P39" s="20" t="n">
        <v>0</v>
      </c>
      <c r="Q39" s="18" t="n">
        <v>10.57297466</v>
      </c>
      <c r="R39" s="20" t="n">
        <v>1.50539549</v>
      </c>
    </row>
    <row r="40" spans="1:18">
      <c r="A40" s="15" t="s">
        <v>598</v>
      </c>
      <c r="B40" s="17" t="n">
        <v>14157</v>
      </c>
      <c r="C40" s="18">
        <f>(12522.0/B40*100)</f>
        <v/>
      </c>
      <c r="D40" s="19" t="n">
        <v>1635</v>
      </c>
      <c r="E40" s="18" t="n">
        <v>65.13217667000001</v>
      </c>
      <c r="F40" s="20" t="n">
        <v>1.92001583</v>
      </c>
      <c r="G40" s="18" t="n">
        <v>27.10473837</v>
      </c>
      <c r="H40" s="20" t="n">
        <v>1.9223682</v>
      </c>
      <c r="I40" s="18" t="n">
        <v>0</v>
      </c>
      <c r="J40" s="20" t="n">
        <v>0</v>
      </c>
      <c r="K40" s="18" t="n">
        <v>0.43426331</v>
      </c>
      <c r="L40" s="20" t="n">
        <v>0.2187513</v>
      </c>
      <c r="M40" s="18" t="n">
        <v>0.04736917</v>
      </c>
      <c r="N40" s="20" t="n">
        <v>0.04525576</v>
      </c>
      <c r="O40" s="18" t="n">
        <v>0</v>
      </c>
      <c r="P40" s="20" t="n">
        <v>0</v>
      </c>
      <c r="Q40" s="18" t="n">
        <v>7.28145247</v>
      </c>
      <c r="R40" s="20" t="n">
        <v>0.93694219</v>
      </c>
    </row>
    <row r="41" spans="1:18">
      <c r="A41" s="15" t="s">
        <v>599</v>
      </c>
      <c r="B41" s="17" t="n">
        <v>5712</v>
      </c>
      <c r="C41" s="18">
        <f>(5107.0/B41*100)</f>
        <v/>
      </c>
      <c r="D41" s="19" t="n">
        <v>605</v>
      </c>
      <c r="E41" s="18" t="n">
        <v>77.35403918999999</v>
      </c>
      <c r="F41" s="20" t="n">
        <v>1.82958854</v>
      </c>
      <c r="G41" s="18" t="n">
        <v>19.40872625</v>
      </c>
      <c r="H41" s="20" t="n">
        <v>1.73001964</v>
      </c>
      <c r="I41" s="18" t="n">
        <v>0</v>
      </c>
      <c r="J41" s="20" t="n">
        <v>0</v>
      </c>
      <c r="K41" s="18" t="n">
        <v>0.15979537</v>
      </c>
      <c r="L41" s="20" t="n">
        <v>0.1687687</v>
      </c>
      <c r="M41" s="18" t="n">
        <v>0</v>
      </c>
      <c r="N41" s="20" t="n">
        <v>0</v>
      </c>
      <c r="O41" s="18" t="n">
        <v>0</v>
      </c>
      <c r="P41" s="20" t="n">
        <v>0</v>
      </c>
      <c r="Q41" s="18" t="n">
        <v>3.07743919</v>
      </c>
      <c r="R41" s="20" t="n">
        <v>0.7053289700000001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(21175.0/B46*100)</f>
        <v/>
      </c>
      <c r="D46" s="19" t="n">
        <v>1966</v>
      </c>
      <c r="E46" s="18" t="n">
        <v>60.72292257</v>
      </c>
      <c r="F46" s="20" t="n">
        <v>1.72312485</v>
      </c>
      <c r="G46" s="18" t="n">
        <v>10.21174158</v>
      </c>
      <c r="H46" s="20" t="n">
        <v>0.92839982</v>
      </c>
      <c r="I46" s="18" t="n">
        <v>0</v>
      </c>
      <c r="J46" s="20" t="n">
        <v>0</v>
      </c>
      <c r="K46" s="18" t="n">
        <v>1.36915831</v>
      </c>
      <c r="L46" s="20" t="n">
        <v>0.36476347</v>
      </c>
      <c r="M46" s="18" t="n">
        <v>0.50724323</v>
      </c>
      <c r="N46" s="20" t="n">
        <v>0.19902654</v>
      </c>
      <c r="O46" s="18" t="n">
        <v>0</v>
      </c>
      <c r="P46" s="20" t="n">
        <v>0</v>
      </c>
      <c r="Q46" s="18" t="n">
        <v>27.1889343</v>
      </c>
      <c r="R46" s="20" t="n">
        <v>1.53154758</v>
      </c>
    </row>
    <row r="47" spans="1:18">
      <c r="A47" s="15" t="s">
        <v>606</v>
      </c>
      <c r="B47" s="17" t="n">
        <v>5928</v>
      </c>
      <c r="C47" s="18">
        <f>(5305.0/B47*100)</f>
        <v/>
      </c>
      <c r="D47" s="19" t="n">
        <v>623</v>
      </c>
      <c r="E47" s="18" t="n">
        <v>66.20798492999999</v>
      </c>
      <c r="F47" s="20" t="n">
        <v>2.29858464</v>
      </c>
      <c r="G47" s="18" t="n">
        <v>10.54293491</v>
      </c>
      <c r="H47" s="20" t="n">
        <v>1.27996033</v>
      </c>
      <c r="I47" s="18" t="n">
        <v>0</v>
      </c>
      <c r="J47" s="20" t="n">
        <v>0</v>
      </c>
      <c r="K47" s="18" t="n">
        <v>0.46680228</v>
      </c>
      <c r="L47" s="20" t="n">
        <v>0.24399447</v>
      </c>
      <c r="M47" s="18" t="n">
        <v>0.15613898</v>
      </c>
      <c r="N47" s="20" t="n">
        <v>0.15518092</v>
      </c>
      <c r="O47" s="18" t="n">
        <v>0</v>
      </c>
      <c r="P47" s="20" t="n">
        <v>0</v>
      </c>
      <c r="Q47" s="18" t="n">
        <v>22.6261389</v>
      </c>
      <c r="R47" s="20" t="n">
        <v>2.08514699</v>
      </c>
    </row>
    <row r="48" spans="1:18">
      <c r="A48" s="15" t="s">
        <v>607</v>
      </c>
      <c r="B48" s="17" t="n">
        <v>9841</v>
      </c>
      <c r="C48" s="18">
        <f>(8766.0/B48*100)</f>
        <v/>
      </c>
      <c r="D48" s="19" t="n">
        <v>1075</v>
      </c>
      <c r="E48" s="18" t="n">
        <v>39.13839621</v>
      </c>
      <c r="F48" s="20" t="n">
        <v>1.86056337</v>
      </c>
      <c r="G48" s="18" t="n">
        <v>50.00716395</v>
      </c>
      <c r="H48" s="20" t="n">
        <v>2.24990759</v>
      </c>
      <c r="I48" s="18" t="n">
        <v>0</v>
      </c>
      <c r="J48" s="20" t="n">
        <v>0</v>
      </c>
      <c r="K48" s="18" t="n">
        <v>0.62439769</v>
      </c>
      <c r="L48" s="20" t="n">
        <v>0.39348479</v>
      </c>
      <c r="M48" s="18" t="n">
        <v>0</v>
      </c>
      <c r="N48" s="20" t="n">
        <v>0</v>
      </c>
      <c r="O48" s="18" t="n">
        <v>0</v>
      </c>
      <c r="P48" s="20" t="n">
        <v>0</v>
      </c>
      <c r="Q48" s="18" t="n">
        <v>10.23004215</v>
      </c>
      <c r="R48" s="20" t="n">
        <v>1.27323423</v>
      </c>
    </row>
    <row r="49" spans="1:18">
      <c r="A49" s="15" t="s">
        <v>608</v>
      </c>
      <c r="B49" s="17" t="n">
        <v>11795</v>
      </c>
      <c r="C49" s="18">
        <f>(10546.0/B49*100)</f>
        <v/>
      </c>
      <c r="D49" s="19" t="n">
        <v>1249</v>
      </c>
      <c r="E49" s="18" t="n">
        <v>78.00264261</v>
      </c>
      <c r="F49" s="20" t="n">
        <v>1.60036637</v>
      </c>
      <c r="G49" s="18" t="n">
        <v>10.91469691</v>
      </c>
      <c r="H49" s="20" t="n">
        <v>0.99919258</v>
      </c>
      <c r="I49" s="18" t="n">
        <v>0</v>
      </c>
      <c r="J49" s="20" t="n">
        <v>0</v>
      </c>
      <c r="K49" s="18" t="n">
        <v>1.89381999</v>
      </c>
      <c r="L49" s="20" t="n">
        <v>0.66903822</v>
      </c>
      <c r="M49" s="18" t="n">
        <v>0.23242491</v>
      </c>
      <c r="N49" s="20" t="n">
        <v>0.12523355</v>
      </c>
      <c r="O49" s="18" t="n">
        <v>0</v>
      </c>
      <c r="P49" s="20" t="n">
        <v>0</v>
      </c>
      <c r="Q49" s="18" t="n">
        <v>8.956415570000001</v>
      </c>
      <c r="R49" s="20" t="n">
        <v>1.30541808</v>
      </c>
    </row>
    <row r="50" spans="1:18">
      <c r="A50" s="15" t="s">
        <v>609</v>
      </c>
      <c r="B50" s="17" t="n">
        <v>6866</v>
      </c>
      <c r="C50" s="18">
        <f>(6210.0/B50*100)</f>
        <v/>
      </c>
      <c r="D50" s="19" t="n">
        <v>656</v>
      </c>
      <c r="E50" s="18" t="n">
        <v>73.22168628999999</v>
      </c>
      <c r="F50" s="20" t="n">
        <v>1.67953992</v>
      </c>
      <c r="G50" s="18" t="n">
        <v>17.89595651</v>
      </c>
      <c r="H50" s="20" t="n">
        <v>1.41652115</v>
      </c>
      <c r="I50" s="18" t="n">
        <v>0</v>
      </c>
      <c r="J50" s="20" t="n">
        <v>0</v>
      </c>
      <c r="K50" s="18" t="n">
        <v>0.82332253</v>
      </c>
      <c r="L50" s="20" t="n">
        <v>0.40674019</v>
      </c>
      <c r="M50" s="18" t="n">
        <v>0</v>
      </c>
      <c r="N50" s="20" t="n">
        <v>0</v>
      </c>
      <c r="O50" s="18" t="n">
        <v>0</v>
      </c>
      <c r="P50" s="20" t="n">
        <v>0</v>
      </c>
      <c r="Q50" s="18" t="n">
        <v>8.05903466</v>
      </c>
      <c r="R50" s="20" t="n">
        <v>1.2560458</v>
      </c>
    </row>
    <row r="51" spans="1:18">
      <c r="A51" s="15" t="s">
        <v>610</v>
      </c>
      <c r="B51" s="17" t="n">
        <v>5809</v>
      </c>
      <c r="C51" s="18">
        <f>(5199.0/B51*100)</f>
        <v/>
      </c>
      <c r="D51" s="19" t="n">
        <v>610</v>
      </c>
      <c r="E51" s="18" t="n">
        <v>66.68778087</v>
      </c>
      <c r="F51" s="20" t="n">
        <v>1.88819925</v>
      </c>
      <c r="G51" s="18" t="n">
        <v>22.14893829</v>
      </c>
      <c r="H51" s="20" t="n">
        <v>1.83395016</v>
      </c>
      <c r="I51" s="18" t="n">
        <v>0</v>
      </c>
      <c r="J51" s="20" t="n">
        <v>0</v>
      </c>
      <c r="K51" s="18" t="n">
        <v>0</v>
      </c>
      <c r="L51" s="20" t="n">
        <v>0</v>
      </c>
      <c r="M51" s="18" t="n">
        <v>0</v>
      </c>
      <c r="N51" s="20" t="n">
        <v>0</v>
      </c>
      <c r="O51" s="18" t="n">
        <v>0</v>
      </c>
      <c r="P51" s="20" t="n">
        <v>0</v>
      </c>
      <c r="Q51" s="18" t="n">
        <v>11.16328084</v>
      </c>
      <c r="R51" s="20" t="n">
        <v>1.16771272</v>
      </c>
    </row>
    <row r="52" spans="1:18">
      <c r="A52" s="15" t="s">
        <v>611</v>
      </c>
      <c r="B52" s="17" t="n">
        <v>5571</v>
      </c>
      <c r="C52" s="18">
        <f>(4959.0/B52*100)</f>
        <v/>
      </c>
      <c r="D52" s="19" t="n">
        <v>612</v>
      </c>
      <c r="E52" s="18" t="n">
        <v>64.68803909</v>
      </c>
      <c r="F52" s="20" t="n">
        <v>2.04709107</v>
      </c>
      <c r="G52" s="18" t="n">
        <v>14.41947774</v>
      </c>
      <c r="H52" s="20" t="n">
        <v>1.47156576</v>
      </c>
      <c r="I52" s="18" t="n">
        <v>0</v>
      </c>
      <c r="J52" s="20" t="n">
        <v>0</v>
      </c>
      <c r="K52" s="18" t="n">
        <v>0.10840448</v>
      </c>
      <c r="L52" s="20" t="n">
        <v>0.10946568</v>
      </c>
      <c r="M52" s="18" t="n">
        <v>0</v>
      </c>
      <c r="N52" s="20" t="n">
        <v>0</v>
      </c>
      <c r="O52" s="18" t="n">
        <v>0</v>
      </c>
      <c r="P52" s="20" t="n">
        <v>0</v>
      </c>
      <c r="Q52" s="18" t="n">
        <v>20.78407869</v>
      </c>
      <c r="R52" s="20" t="n">
        <v>1.74169259</v>
      </c>
    </row>
    <row r="53" spans="1:18">
      <c r="A53" s="15" t="s">
        <v>612</v>
      </c>
      <c r="B53" s="17" t="n">
        <v>4740</v>
      </c>
      <c r="C53" s="18">
        <f>(4223.0/B53*100)</f>
        <v/>
      </c>
      <c r="D53" s="19" t="n">
        <v>517</v>
      </c>
      <c r="E53" s="18" t="n">
        <v>63.40927955</v>
      </c>
      <c r="F53" s="20" t="n">
        <v>2.2550503</v>
      </c>
      <c r="G53" s="18" t="n">
        <v>2.46709132</v>
      </c>
      <c r="H53" s="20" t="n">
        <v>0.61659219</v>
      </c>
      <c r="I53" s="18" t="n">
        <v>0</v>
      </c>
      <c r="J53" s="20" t="n">
        <v>0</v>
      </c>
      <c r="K53" s="18" t="n">
        <v>17.4611553</v>
      </c>
      <c r="L53" s="20" t="n">
        <v>1.7279926</v>
      </c>
      <c r="M53" s="18" t="n">
        <v>0.41251977</v>
      </c>
      <c r="N53" s="20" t="n">
        <v>0.43306444</v>
      </c>
      <c r="O53" s="18" t="n">
        <v>0</v>
      </c>
      <c r="P53" s="20" t="n">
        <v>0</v>
      </c>
      <c r="Q53" s="18" t="n">
        <v>16.24995406</v>
      </c>
      <c r="R53" s="20" t="n">
        <v>1.94578068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(4774.0/B55*100)</f>
        <v/>
      </c>
      <c r="D55" s="19" t="n">
        <v>585</v>
      </c>
      <c r="E55" s="18" t="n">
        <v>44.91174153</v>
      </c>
      <c r="F55" s="20" t="n">
        <v>2.18958895</v>
      </c>
      <c r="G55" s="18" t="n">
        <v>46.29193209</v>
      </c>
      <c r="H55" s="20" t="n">
        <v>1.79207774</v>
      </c>
      <c r="I55" s="18" t="n">
        <v>0</v>
      </c>
      <c r="J55" s="20" t="n">
        <v>0</v>
      </c>
      <c r="K55" s="18" t="n">
        <v>0.32860195</v>
      </c>
      <c r="L55" s="20" t="n">
        <v>0.31590524</v>
      </c>
      <c r="M55" s="18" t="n">
        <v>0</v>
      </c>
      <c r="N55" s="20" t="n">
        <v>0</v>
      </c>
      <c r="O55" s="18" t="n">
        <v>0</v>
      </c>
      <c r="P55" s="20" t="n">
        <v>0</v>
      </c>
      <c r="Q55" s="18" t="n">
        <v>8.467724430000001</v>
      </c>
      <c r="R55" s="20" t="n">
        <v>1.29638796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(5830.0/B61*100)</f>
        <v/>
      </c>
      <c r="D61" s="19" t="n">
        <v>695</v>
      </c>
      <c r="E61" s="18" t="n">
        <v>69.21759523999999</v>
      </c>
      <c r="F61" s="20" t="n">
        <v>1.73905849</v>
      </c>
      <c r="G61" s="18" t="n">
        <v>17.91395127</v>
      </c>
      <c r="H61" s="20" t="n">
        <v>1.58935285</v>
      </c>
      <c r="I61" s="18" t="n">
        <v>0</v>
      </c>
      <c r="J61" s="20" t="n">
        <v>0</v>
      </c>
      <c r="K61" s="18" t="n">
        <v>0.19724012</v>
      </c>
      <c r="L61" s="20" t="n">
        <v>0.20637406</v>
      </c>
      <c r="M61" s="18" t="n">
        <v>0</v>
      </c>
      <c r="N61" s="20" t="n">
        <v>0</v>
      </c>
      <c r="O61" s="18" t="n">
        <v>0</v>
      </c>
      <c r="P61" s="20" t="n">
        <v>0</v>
      </c>
      <c r="Q61" s="18" t="n">
        <v>12.67121337</v>
      </c>
      <c r="R61" s="20" t="n">
        <v>1.29466803</v>
      </c>
    </row>
    <row r="62" spans="1:18">
      <c r="A62" s="15" t="s">
        <v>622</v>
      </c>
      <c r="B62" s="17" t="n">
        <v>4476</v>
      </c>
      <c r="C62" s="18">
        <f>(3975.0/B62*100)</f>
        <v/>
      </c>
      <c r="D62" s="19" t="n">
        <v>501</v>
      </c>
      <c r="E62" s="18" t="n">
        <v>70.11164846</v>
      </c>
      <c r="F62" s="20" t="n">
        <v>1.73080323</v>
      </c>
      <c r="G62" s="18" t="n">
        <v>26.08907221</v>
      </c>
      <c r="H62" s="20" t="n">
        <v>1.75732465</v>
      </c>
      <c r="I62" s="18" t="n">
        <v>0</v>
      </c>
      <c r="J62" s="20" t="n">
        <v>0</v>
      </c>
      <c r="K62" s="18" t="n">
        <v>0</v>
      </c>
      <c r="L62" s="20" t="n">
        <v>0</v>
      </c>
      <c r="M62" s="18" t="n">
        <v>0</v>
      </c>
      <c r="N62" s="20" t="n">
        <v>0</v>
      </c>
      <c r="O62" s="18" t="n">
        <v>0</v>
      </c>
      <c r="P62" s="20" t="n">
        <v>0</v>
      </c>
      <c r="Q62" s="18" t="n">
        <v>3.79927933</v>
      </c>
      <c r="R62" s="20" t="n">
        <v>0.83228482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(5086.0/B67*100)</f>
        <v/>
      </c>
      <c r="D67" s="19" t="n">
        <v>579</v>
      </c>
      <c r="E67" s="18" t="n">
        <v>63.17391159</v>
      </c>
      <c r="F67" s="20" t="n">
        <v>1.84360779</v>
      </c>
      <c r="G67" s="18" t="n">
        <v>7.8797637</v>
      </c>
      <c r="H67" s="20" t="n">
        <v>1.02258253</v>
      </c>
      <c r="I67" s="18" t="n">
        <v>0</v>
      </c>
      <c r="J67" s="20" t="n">
        <v>0</v>
      </c>
      <c r="K67" s="18" t="n">
        <v>0.48371308</v>
      </c>
      <c r="L67" s="20" t="n">
        <v>0.27447787</v>
      </c>
      <c r="M67" s="18" t="n">
        <v>0.292872</v>
      </c>
      <c r="N67" s="20" t="n">
        <v>0.20552045</v>
      </c>
      <c r="O67" s="18" t="n">
        <v>0</v>
      </c>
      <c r="P67" s="20" t="n">
        <v>0</v>
      </c>
      <c r="Q67" s="18" t="n">
        <v>28.16973964</v>
      </c>
      <c r="R67" s="20" t="n">
        <v>1.74821611</v>
      </c>
    </row>
    <row r="68" spans="1:18">
      <c r="A68" s="15" t="s">
        <v>628</v>
      </c>
      <c r="B68" s="17" t="n">
        <v>6971</v>
      </c>
      <c r="C68" s="18">
        <f>(6316.0/B68*100)</f>
        <v/>
      </c>
      <c r="D68" s="19" t="n">
        <v>655</v>
      </c>
      <c r="E68" s="18" t="n">
        <v>69.50884241</v>
      </c>
      <c r="F68" s="20" t="n">
        <v>1.67588744</v>
      </c>
      <c r="G68" s="18" t="n">
        <v>17.58865439</v>
      </c>
      <c r="H68" s="20" t="n">
        <v>1.57019789</v>
      </c>
      <c r="I68" s="18" t="n">
        <v>0</v>
      </c>
      <c r="J68" s="20" t="n">
        <v>0</v>
      </c>
      <c r="K68" s="18" t="n">
        <v>0.30278319</v>
      </c>
      <c r="L68" s="20" t="n">
        <v>0.22239204</v>
      </c>
      <c r="M68" s="18" t="n">
        <v>0.44225001</v>
      </c>
      <c r="N68" s="20" t="n">
        <v>0.26083376</v>
      </c>
      <c r="O68" s="18" t="n">
        <v>0</v>
      </c>
      <c r="P68" s="20" t="n">
        <v>0</v>
      </c>
      <c r="Q68" s="18" t="n">
        <v>12.15746999</v>
      </c>
      <c r="R68" s="20" t="n">
        <v>1.13992432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(10749.0/B70*100)</f>
        <v/>
      </c>
      <c r="D70" s="19" t="n">
        <v>1334</v>
      </c>
      <c r="E70" s="18" t="n">
        <v>58.12265933</v>
      </c>
      <c r="F70" s="20" t="n">
        <v>1.31677662</v>
      </c>
      <c r="G70" s="18" t="n">
        <v>16.30035328</v>
      </c>
      <c r="H70" s="20" t="n">
        <v>1.00576246</v>
      </c>
      <c r="I70" s="18" t="n">
        <v>0</v>
      </c>
      <c r="J70" s="20" t="n">
        <v>0</v>
      </c>
      <c r="K70" s="18" t="n">
        <v>3.5548102</v>
      </c>
      <c r="L70" s="20" t="n">
        <v>0.56570455</v>
      </c>
      <c r="M70" s="18" t="n">
        <v>0.1536427</v>
      </c>
      <c r="N70" s="20" t="n">
        <v>0.10825759</v>
      </c>
      <c r="O70" s="18" t="n">
        <v>0</v>
      </c>
      <c r="P70" s="20" t="n">
        <v>0</v>
      </c>
      <c r="Q70" s="18" t="n">
        <v>21.86853448</v>
      </c>
      <c r="R70" s="20" t="n">
        <v>1.24218775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(5427.0/B72*100)</f>
        <v/>
      </c>
      <c r="D72" s="19" t="n">
        <v>609</v>
      </c>
      <c r="E72" s="18" t="n">
        <v>54.65713037</v>
      </c>
      <c r="F72" s="20" t="n">
        <v>2.28504803</v>
      </c>
      <c r="G72" s="18" t="n">
        <v>31.42877401</v>
      </c>
      <c r="H72" s="20" t="n">
        <v>2.17149394</v>
      </c>
      <c r="I72" s="18" t="n">
        <v>0</v>
      </c>
      <c r="J72" s="20" t="n">
        <v>0</v>
      </c>
      <c r="K72" s="18" t="n">
        <v>0.10929476</v>
      </c>
      <c r="L72" s="20" t="n">
        <v>0.09270057</v>
      </c>
      <c r="M72" s="18" t="n">
        <v>0</v>
      </c>
      <c r="N72" s="20" t="n">
        <v>0</v>
      </c>
      <c r="O72" s="18" t="n">
        <v>0</v>
      </c>
      <c r="P72" s="20" t="n">
        <v>0</v>
      </c>
      <c r="Q72" s="18" t="n">
        <v>13.80480085</v>
      </c>
      <c r="R72" s="20" t="n">
        <v>1.58755017</v>
      </c>
    </row>
    <row r="73" spans="1:18">
      <c r="A73" s="15" t="s">
        <v>633</v>
      </c>
      <c r="B73" s="17" t="n">
        <v>6115</v>
      </c>
      <c r="C73" s="18">
        <f>(5431.0/B73*100)</f>
        <v/>
      </c>
      <c r="D73" s="19" t="n">
        <v>684</v>
      </c>
      <c r="E73" s="18" t="n">
        <v>61.68317154</v>
      </c>
      <c r="F73" s="20" t="n">
        <v>1.94291939</v>
      </c>
      <c r="G73" s="18" t="n">
        <v>33.66734771</v>
      </c>
      <c r="H73" s="20" t="n">
        <v>1.6036544</v>
      </c>
      <c r="I73" s="18" t="n">
        <v>0</v>
      </c>
      <c r="J73" s="20" t="n">
        <v>0</v>
      </c>
      <c r="K73" s="18" t="n">
        <v>0</v>
      </c>
      <c r="L73" s="20" t="n">
        <v>0</v>
      </c>
      <c r="M73" s="18" t="n">
        <v>0.08915226</v>
      </c>
      <c r="N73" s="20" t="n">
        <v>0.08947321</v>
      </c>
      <c r="O73" s="18" t="n">
        <v>0</v>
      </c>
      <c r="P73" s="20" t="n">
        <v>0</v>
      </c>
      <c r="Q73" s="18" t="n">
        <v>4.5603285</v>
      </c>
      <c r="R73" s="20" t="n">
        <v>1.13229412</v>
      </c>
    </row>
    <row r="74" spans="1:18">
      <c r="A74" s="15" t="s">
        <v>634</v>
      </c>
      <c r="B74" s="17" t="n">
        <v>7708</v>
      </c>
      <c r="C74" s="18">
        <f>(6814.0/B74*100)</f>
        <v/>
      </c>
      <c r="D74" s="19" t="n">
        <v>894</v>
      </c>
      <c r="E74" s="18" t="n">
        <v>61.73895818</v>
      </c>
      <c r="F74" s="20" t="n">
        <v>1.85376812</v>
      </c>
      <c r="G74" s="18" t="n">
        <v>29.8333323</v>
      </c>
      <c r="H74" s="20" t="n">
        <v>1.64414897</v>
      </c>
      <c r="I74" s="18" t="n">
        <v>0</v>
      </c>
      <c r="J74" s="20" t="n">
        <v>0</v>
      </c>
      <c r="K74" s="18" t="n">
        <v>0.12232105</v>
      </c>
      <c r="L74" s="20" t="n">
        <v>0.1228233</v>
      </c>
      <c r="M74" s="18" t="n">
        <v>0</v>
      </c>
      <c r="N74" s="20" t="n">
        <v>0</v>
      </c>
      <c r="O74" s="18" t="n">
        <v>0</v>
      </c>
      <c r="P74" s="20" t="n">
        <v>0</v>
      </c>
      <c r="Q74" s="18" t="n">
        <v>8.30538847</v>
      </c>
      <c r="R74" s="20" t="n">
        <v>1.03623259</v>
      </c>
    </row>
    <row r="75" spans="1:18">
      <c r="A75" s="15" t="s">
        <v>635</v>
      </c>
      <c r="B75" s="17" t="n">
        <v>8249</v>
      </c>
      <c r="C75" s="18">
        <f>(7373.0/B75*100)</f>
        <v/>
      </c>
      <c r="D75" s="19" t="n">
        <v>876</v>
      </c>
      <c r="E75" s="18" t="n">
        <v>90.58333489</v>
      </c>
      <c r="F75" s="20" t="n">
        <v>1.15967255</v>
      </c>
      <c r="G75" s="18" t="n">
        <v>5.83571715</v>
      </c>
      <c r="H75" s="20" t="n">
        <v>0.93149962</v>
      </c>
      <c r="I75" s="18" t="n">
        <v>0</v>
      </c>
      <c r="J75" s="20" t="n">
        <v>0</v>
      </c>
      <c r="K75" s="18" t="n">
        <v>0</v>
      </c>
      <c r="L75" s="20" t="n">
        <v>0</v>
      </c>
      <c r="M75" s="18" t="n">
        <v>0.18463706</v>
      </c>
      <c r="N75" s="20" t="n">
        <v>0.17243032</v>
      </c>
      <c r="O75" s="18" t="n">
        <v>0</v>
      </c>
      <c r="P75" s="20" t="n">
        <v>0</v>
      </c>
      <c r="Q75" s="18" t="n">
        <v>3.39631091</v>
      </c>
      <c r="R75" s="20" t="n">
        <v>0.86205854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(4862.0/B77*100)</f>
        <v/>
      </c>
      <c r="D77" s="19" t="n">
        <v>513</v>
      </c>
      <c r="E77" s="18" t="n">
        <v>56.70215349</v>
      </c>
      <c r="F77" s="20" t="n">
        <v>2.06179648</v>
      </c>
      <c r="G77" s="18" t="n">
        <v>12.46084441</v>
      </c>
      <c r="H77" s="20" t="n">
        <v>1.5690283</v>
      </c>
      <c r="I77" s="18" t="n">
        <v>0</v>
      </c>
      <c r="J77" s="20" t="n">
        <v>0</v>
      </c>
      <c r="K77" s="18" t="n">
        <v>4.83076946</v>
      </c>
      <c r="L77" s="20" t="n">
        <v>0.79775295</v>
      </c>
      <c r="M77" s="18" t="n">
        <v>0.39434067</v>
      </c>
      <c r="N77" s="20" t="n">
        <v>0.39331334</v>
      </c>
      <c r="O77" s="18" t="n">
        <v>0</v>
      </c>
      <c r="P77" s="20" t="n">
        <v>0</v>
      </c>
      <c r="Q77" s="18" t="n">
        <v>25.61189198</v>
      </c>
      <c r="R77" s="20" t="n">
        <v>1.99097975</v>
      </c>
    </row>
    <row r="78" spans="1:18">
      <c r="A78" s="15" t="s">
        <v>638</v>
      </c>
      <c r="B78" s="17" t="n">
        <v>14167</v>
      </c>
      <c r="C78" s="18">
        <f>(12573.0/B78*100)</f>
        <v/>
      </c>
      <c r="D78" s="19" t="n">
        <v>1594</v>
      </c>
      <c r="E78" s="18" t="n">
        <v>70.00733959999999</v>
      </c>
      <c r="F78" s="20" t="n">
        <v>1.43217807</v>
      </c>
      <c r="G78" s="18" t="n">
        <v>16.79611571</v>
      </c>
      <c r="H78" s="20" t="n">
        <v>1.1654899</v>
      </c>
      <c r="I78" s="18" t="n">
        <v>0</v>
      </c>
      <c r="J78" s="20" t="n">
        <v>0</v>
      </c>
      <c r="K78" s="18" t="n">
        <v>1.04001106</v>
      </c>
      <c r="L78" s="20" t="n">
        <v>0.30708421</v>
      </c>
      <c r="M78" s="18" t="n">
        <v>0.04245838</v>
      </c>
      <c r="N78" s="20" t="n">
        <v>0.03057666</v>
      </c>
      <c r="O78" s="18" t="n">
        <v>0</v>
      </c>
      <c r="P78" s="20" t="n">
        <v>0</v>
      </c>
      <c r="Q78" s="18" t="n">
        <v>12.11407524</v>
      </c>
      <c r="R78" s="20" t="n">
        <v>0.92481997</v>
      </c>
    </row>
    <row r="79" spans="1:18">
      <c r="A79" s="15" t="s">
        <v>639</v>
      </c>
      <c r="B79" s="17" t="n">
        <v>6062</v>
      </c>
      <c r="C79" s="18">
        <f>(5433.0/B79*100)</f>
        <v/>
      </c>
      <c r="D79" s="19" t="n">
        <v>629</v>
      </c>
      <c r="E79" s="18" t="n">
        <v>57.93205232</v>
      </c>
      <c r="F79" s="20" t="n">
        <v>2.20944929</v>
      </c>
      <c r="G79" s="18" t="n">
        <v>10.08416866</v>
      </c>
      <c r="H79" s="20" t="n">
        <v>1.24042988</v>
      </c>
      <c r="I79" s="18" t="n">
        <v>0</v>
      </c>
      <c r="J79" s="20" t="n">
        <v>0</v>
      </c>
      <c r="K79" s="18" t="n">
        <v>1.69451737</v>
      </c>
      <c r="L79" s="20" t="n">
        <v>0.6046967</v>
      </c>
      <c r="M79" s="18" t="n">
        <v>0</v>
      </c>
      <c r="N79" s="20" t="n">
        <v>0</v>
      </c>
      <c r="O79" s="18" t="n">
        <v>0</v>
      </c>
      <c r="P79" s="20" t="n">
        <v>0</v>
      </c>
      <c r="Q79" s="18" t="n">
        <v>30.28926164</v>
      </c>
      <c r="R79" s="20" t="n">
        <v>2.05612865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(28759.0/B82*100)</f>
        <v/>
      </c>
      <c r="D82" s="19" t="n">
        <v>3571</v>
      </c>
      <c r="E82" s="18" t="n">
        <v>67.29022403</v>
      </c>
      <c r="F82" s="20" t="n">
        <v>1.33567752</v>
      </c>
      <c r="G82" s="18" t="n">
        <v>23.14617923</v>
      </c>
      <c r="H82" s="20" t="n">
        <v>1.03495152</v>
      </c>
      <c r="I82" s="18" t="n">
        <v>0</v>
      </c>
      <c r="J82" s="20" t="n">
        <v>0</v>
      </c>
      <c r="K82" s="18" t="n">
        <v>0.1796451</v>
      </c>
      <c r="L82" s="20" t="n">
        <v>0.09178343</v>
      </c>
      <c r="M82" s="18" t="n">
        <v>0.18134393</v>
      </c>
      <c r="N82" s="20" t="n">
        <v>0.12997779</v>
      </c>
      <c r="O82" s="18" t="n">
        <v>0</v>
      </c>
      <c r="P82" s="20" t="n">
        <v>0</v>
      </c>
      <c r="Q82" s="18" t="n">
        <v>9.202607710000001</v>
      </c>
      <c r="R82" s="20" t="n">
        <v>0.7750658499999999</v>
      </c>
    </row>
    <row r="83" spans="1:18">
      <c r="A83" s="15" t="s">
        <v>643</v>
      </c>
      <c r="B83" s="17" t="n">
        <v>1652</v>
      </c>
      <c r="C83" s="18">
        <f>(1483.0/B83*100)</f>
        <v/>
      </c>
      <c r="D83" s="19" t="n">
        <v>169</v>
      </c>
      <c r="E83" s="18" t="n">
        <v>74.31732972</v>
      </c>
      <c r="F83" s="20" t="n">
        <v>3.61432997</v>
      </c>
      <c r="G83" s="18" t="n">
        <v>23.6250372</v>
      </c>
      <c r="H83" s="20" t="n">
        <v>3.83825249</v>
      </c>
      <c r="I83" s="18" t="n">
        <v>0</v>
      </c>
      <c r="J83" s="20" t="n">
        <v>0</v>
      </c>
      <c r="K83" s="18" t="n">
        <v>0</v>
      </c>
      <c r="L83" s="20" t="n">
        <v>0</v>
      </c>
      <c r="M83" s="18" t="n">
        <v>0</v>
      </c>
      <c r="N83" s="20" t="n">
        <v>0</v>
      </c>
      <c r="O83" s="18" t="n">
        <v>0</v>
      </c>
      <c r="P83" s="20" t="n">
        <v>0</v>
      </c>
      <c r="Q83" s="18" t="n">
        <v>2.05763308</v>
      </c>
      <c r="R83" s="20" t="n">
        <v>1.07992005</v>
      </c>
    </row>
    <row r="84" spans="1:18">
      <c r="A84" s="23" t="s">
        <v>644</v>
      </c>
      <c r="B84" s="24" t="n">
        <v>1887</v>
      </c>
      <c r="C84" s="25">
        <f>(1683.0/B84*100)</f>
        <v/>
      </c>
      <c r="D84" s="19" t="n">
        <v>204</v>
      </c>
      <c r="E84" s="18" t="n">
        <v>79.73849204</v>
      </c>
      <c r="F84" s="20" t="n">
        <v>2.85286674</v>
      </c>
      <c r="G84" s="18" t="n">
        <v>17.70870782</v>
      </c>
      <c r="H84" s="20" t="n">
        <v>2.82558369</v>
      </c>
      <c r="I84" s="18" t="n">
        <v>0</v>
      </c>
      <c r="J84" s="20" t="n">
        <v>0</v>
      </c>
      <c r="K84" s="18" t="n">
        <v>0</v>
      </c>
      <c r="L84" s="20" t="n">
        <v>0</v>
      </c>
      <c r="M84" s="18" t="n">
        <v>0</v>
      </c>
      <c r="N84" s="20" t="n">
        <v>0</v>
      </c>
      <c r="O84" s="18" t="n">
        <v>0</v>
      </c>
      <c r="P84" s="20" t="n">
        <v>0</v>
      </c>
      <c r="Q84" s="18" t="n">
        <v>2.55280014</v>
      </c>
      <c r="R84" s="20" t="n">
        <v>1.11059298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(12942.0/B7*100)</f>
        <v/>
      </c>
      <c r="D7" s="19" t="n">
        <v>1588</v>
      </c>
      <c r="E7" s="18" t="n">
        <v>80.22907441</v>
      </c>
      <c r="F7" s="20" t="n">
        <v>1.31459213</v>
      </c>
      <c r="G7" s="18" t="n">
        <v>18.3342211</v>
      </c>
      <c r="H7" s="20" t="n">
        <v>1.26220891</v>
      </c>
      <c r="I7" s="18" t="n">
        <v>0</v>
      </c>
      <c r="J7" s="20" t="n">
        <v>0</v>
      </c>
      <c r="K7" s="18" t="n">
        <v>0.43740156</v>
      </c>
      <c r="L7" s="20" t="n">
        <v>0.16474152</v>
      </c>
      <c r="M7" s="18" t="n">
        <v>0</v>
      </c>
      <c r="N7" s="20" t="n">
        <v>0</v>
      </c>
      <c r="O7" s="18" t="n">
        <v>0</v>
      </c>
      <c r="P7" s="20" t="n">
        <v>0</v>
      </c>
      <c r="Q7" s="18" t="n">
        <v>0.99930293</v>
      </c>
      <c r="R7" s="20" t="n">
        <v>0.27953661</v>
      </c>
    </row>
    <row r="8" spans="1:18">
      <c r="A8" s="15" t="s">
        <v>566</v>
      </c>
      <c r="B8" s="17" t="n">
        <v>7007</v>
      </c>
      <c r="C8" s="18">
        <f>(6245.0/B8*100)</f>
        <v/>
      </c>
      <c r="D8" s="19" t="n">
        <v>762</v>
      </c>
      <c r="E8" s="18" t="n">
        <v>85.82154556</v>
      </c>
      <c r="F8" s="20" t="n">
        <v>1.23436741</v>
      </c>
      <c r="G8" s="18" t="n">
        <v>12.76119036</v>
      </c>
      <c r="H8" s="20" t="n">
        <v>1.23565071</v>
      </c>
      <c r="I8" s="18" t="n">
        <v>0</v>
      </c>
      <c r="J8" s="20" t="n">
        <v>0</v>
      </c>
      <c r="K8" s="18" t="n">
        <v>0.47988958</v>
      </c>
      <c r="L8" s="20" t="n">
        <v>0.26834958</v>
      </c>
      <c r="M8" s="18" t="n">
        <v>0</v>
      </c>
      <c r="N8" s="20" t="n">
        <v>0</v>
      </c>
      <c r="O8" s="18" t="n">
        <v>0</v>
      </c>
      <c r="P8" s="20" t="n">
        <v>0</v>
      </c>
      <c r="Q8" s="18" t="n">
        <v>0.9373745</v>
      </c>
      <c r="R8" s="20" t="n">
        <v>0.47822295</v>
      </c>
    </row>
    <row r="9" spans="1:18">
      <c r="A9" s="15" t="s">
        <v>567</v>
      </c>
      <c r="B9" s="17" t="n">
        <v>9651</v>
      </c>
      <c r="C9" s="18">
        <f>(8621.0/B9*100)</f>
        <v/>
      </c>
      <c r="D9" s="19" t="n">
        <v>1030</v>
      </c>
      <c r="E9" s="18" t="n">
        <v>87.88357440999999</v>
      </c>
      <c r="F9" s="20" t="n">
        <v>1.12460533</v>
      </c>
      <c r="G9" s="18" t="n">
        <v>10.25243879</v>
      </c>
      <c r="H9" s="20" t="n">
        <v>1.03966998</v>
      </c>
      <c r="I9" s="18" t="n">
        <v>0</v>
      </c>
      <c r="J9" s="20" t="n">
        <v>0</v>
      </c>
      <c r="K9" s="18" t="n">
        <v>0.77078085</v>
      </c>
      <c r="L9" s="20" t="n">
        <v>0.2867407</v>
      </c>
      <c r="M9" s="18" t="n">
        <v>0</v>
      </c>
      <c r="N9" s="20" t="n">
        <v>0</v>
      </c>
      <c r="O9" s="18" t="n">
        <v>0</v>
      </c>
      <c r="P9" s="20" t="n">
        <v>0</v>
      </c>
      <c r="Q9" s="18" t="n">
        <v>1.09320595</v>
      </c>
      <c r="R9" s="20" t="n">
        <v>0.41263146</v>
      </c>
    </row>
    <row r="10" spans="1:18">
      <c r="A10" s="15" t="s">
        <v>568</v>
      </c>
      <c r="B10" s="17" t="n">
        <v>20058</v>
      </c>
      <c r="C10" s="18">
        <f>(17842.0/B10*100)</f>
        <v/>
      </c>
      <c r="D10" s="19" t="n">
        <v>2216</v>
      </c>
      <c r="E10" s="18" t="n">
        <v>80.30900618</v>
      </c>
      <c r="F10" s="20" t="n">
        <v>1.36848404</v>
      </c>
      <c r="G10" s="18" t="n">
        <v>18.57783986</v>
      </c>
      <c r="H10" s="20" t="n">
        <v>1.34592897</v>
      </c>
      <c r="I10" s="18" t="n">
        <v>0</v>
      </c>
      <c r="J10" s="20" t="n">
        <v>0</v>
      </c>
      <c r="K10" s="18" t="n">
        <v>0.83786994</v>
      </c>
      <c r="L10" s="20" t="n">
        <v>0.28421893</v>
      </c>
      <c r="M10" s="18" t="n">
        <v>0</v>
      </c>
      <c r="N10" s="20" t="n">
        <v>0</v>
      </c>
      <c r="O10" s="18" t="n">
        <v>0</v>
      </c>
      <c r="P10" s="20" t="n">
        <v>0</v>
      </c>
      <c r="Q10" s="18" t="n">
        <v>0.27528401</v>
      </c>
      <c r="R10" s="20" t="n">
        <v>0.11583229</v>
      </c>
    </row>
    <row r="11" spans="1:18">
      <c r="A11" s="15" t="s">
        <v>569</v>
      </c>
      <c r="B11" s="17" t="n">
        <v>7053</v>
      </c>
      <c r="C11" s="18">
        <f>(6317.0/B11*100)</f>
        <v/>
      </c>
      <c r="D11" s="19" t="n">
        <v>736</v>
      </c>
      <c r="E11" s="18" t="n">
        <v>87.36578363</v>
      </c>
      <c r="F11" s="20" t="n">
        <v>1.31961925</v>
      </c>
      <c r="G11" s="18" t="n">
        <v>10.92849461</v>
      </c>
      <c r="H11" s="20" t="n">
        <v>1.22014596</v>
      </c>
      <c r="I11" s="18" t="n">
        <v>0</v>
      </c>
      <c r="J11" s="20" t="n">
        <v>0</v>
      </c>
      <c r="K11" s="18" t="n">
        <v>0.63429264</v>
      </c>
      <c r="L11" s="20" t="n">
        <v>0.41733298</v>
      </c>
      <c r="M11" s="18" t="n">
        <v>0</v>
      </c>
      <c r="N11" s="20" t="n">
        <v>0</v>
      </c>
      <c r="O11" s="18" t="n">
        <v>0</v>
      </c>
      <c r="P11" s="20" t="n">
        <v>0</v>
      </c>
      <c r="Q11" s="18" t="n">
        <v>1.07142912</v>
      </c>
      <c r="R11" s="20" t="n">
        <v>0.38955236</v>
      </c>
    </row>
    <row r="12" spans="1:18">
      <c r="A12" s="15" t="s">
        <v>570</v>
      </c>
      <c r="B12" s="17" t="n">
        <v>6894</v>
      </c>
      <c r="C12" s="18">
        <f>(6154.0/B12*100)</f>
        <v/>
      </c>
      <c r="D12" s="19" t="n">
        <v>740</v>
      </c>
      <c r="E12" s="18" t="n">
        <v>81.94048897</v>
      </c>
      <c r="F12" s="20" t="n">
        <v>1.44366982</v>
      </c>
      <c r="G12" s="18" t="n">
        <v>17.13783786</v>
      </c>
      <c r="H12" s="20" t="n">
        <v>1.4005602</v>
      </c>
      <c r="I12" s="18" t="n">
        <v>0</v>
      </c>
      <c r="J12" s="20" t="n">
        <v>0</v>
      </c>
      <c r="K12" s="18" t="n">
        <v>0.32303911</v>
      </c>
      <c r="L12" s="20" t="n">
        <v>0.21941206</v>
      </c>
      <c r="M12" s="18" t="n">
        <v>0</v>
      </c>
      <c r="N12" s="20" t="n">
        <v>0</v>
      </c>
      <c r="O12" s="18" t="n">
        <v>0</v>
      </c>
      <c r="P12" s="20" t="n">
        <v>0</v>
      </c>
      <c r="Q12" s="18" t="n">
        <v>0.59863406</v>
      </c>
      <c r="R12" s="20" t="n">
        <v>0.37411676</v>
      </c>
    </row>
    <row r="13" spans="1:18">
      <c r="A13" s="15" t="s">
        <v>571</v>
      </c>
      <c r="B13" s="17" t="n">
        <v>7161</v>
      </c>
      <c r="C13" s="18">
        <f>(6430.0/B13*100)</f>
        <v/>
      </c>
      <c r="D13" s="19" t="n">
        <v>731</v>
      </c>
      <c r="E13" s="18" t="n">
        <v>80.95053830000001</v>
      </c>
      <c r="F13" s="20" t="n">
        <v>1.66753119</v>
      </c>
      <c r="G13" s="18" t="n">
        <v>16.06589183</v>
      </c>
      <c r="H13" s="20" t="n">
        <v>1.51722169</v>
      </c>
      <c r="I13" s="18" t="n">
        <v>0</v>
      </c>
      <c r="J13" s="20" t="n">
        <v>0</v>
      </c>
      <c r="K13" s="18" t="n">
        <v>1.40995415</v>
      </c>
      <c r="L13" s="20" t="n">
        <v>0.59574624</v>
      </c>
      <c r="M13" s="18" t="n">
        <v>0</v>
      </c>
      <c r="N13" s="20" t="n">
        <v>0</v>
      </c>
      <c r="O13" s="18" t="n">
        <v>0</v>
      </c>
      <c r="P13" s="20" t="n">
        <v>0</v>
      </c>
      <c r="Q13" s="18" t="n">
        <v>1.57361571</v>
      </c>
      <c r="R13" s="20" t="n">
        <v>0.70912231</v>
      </c>
    </row>
    <row r="14" spans="1:18">
      <c r="A14" s="15" t="s">
        <v>572</v>
      </c>
      <c r="B14" s="17" t="n">
        <v>5587</v>
      </c>
      <c r="C14" s="18">
        <f>(4965.0/B14*100)</f>
        <v/>
      </c>
      <c r="D14" s="19" t="n">
        <v>622</v>
      </c>
      <c r="E14" s="18" t="n">
        <v>78.43457965</v>
      </c>
      <c r="F14" s="20" t="n">
        <v>1.78224243</v>
      </c>
      <c r="G14" s="18" t="n">
        <v>21.04331921</v>
      </c>
      <c r="H14" s="20" t="n">
        <v>1.7524352</v>
      </c>
      <c r="I14" s="18" t="n">
        <v>0</v>
      </c>
      <c r="J14" s="20" t="n">
        <v>0</v>
      </c>
      <c r="K14" s="18" t="n">
        <v>0.39875992</v>
      </c>
      <c r="L14" s="20" t="n">
        <v>0.23445093</v>
      </c>
      <c r="M14" s="18" t="n">
        <v>0</v>
      </c>
      <c r="N14" s="20" t="n">
        <v>0</v>
      </c>
      <c r="O14" s="18" t="n">
        <v>0</v>
      </c>
      <c r="P14" s="20" t="n">
        <v>0</v>
      </c>
      <c r="Q14" s="18" t="n">
        <v>0.12334121</v>
      </c>
      <c r="R14" s="20" t="n">
        <v>0.1231732</v>
      </c>
    </row>
    <row r="15" spans="1:18">
      <c r="A15" s="15" t="s">
        <v>573</v>
      </c>
      <c r="B15" s="17" t="n">
        <v>5882</v>
      </c>
      <c r="C15" s="18">
        <f>(5219.0/B15*100)</f>
        <v/>
      </c>
      <c r="D15" s="19" t="n">
        <v>663</v>
      </c>
      <c r="E15" s="18" t="n">
        <v>75.02120098</v>
      </c>
      <c r="F15" s="20" t="n">
        <v>1.61096537</v>
      </c>
      <c r="G15" s="18" t="n">
        <v>24.26674067</v>
      </c>
      <c r="H15" s="20" t="n">
        <v>1.59088088</v>
      </c>
      <c r="I15" s="18" t="n">
        <v>0</v>
      </c>
      <c r="J15" s="20" t="n">
        <v>0</v>
      </c>
      <c r="K15" s="18" t="n">
        <v>0.42225965</v>
      </c>
      <c r="L15" s="20" t="n">
        <v>0.24316165</v>
      </c>
      <c r="M15" s="18" t="n">
        <v>0</v>
      </c>
      <c r="N15" s="20" t="n">
        <v>0</v>
      </c>
      <c r="O15" s="18" t="n">
        <v>0</v>
      </c>
      <c r="P15" s="20" t="n">
        <v>0</v>
      </c>
      <c r="Q15" s="18" t="n">
        <v>0.28979869</v>
      </c>
      <c r="R15" s="20" t="n">
        <v>0.22029757</v>
      </c>
    </row>
    <row r="16" spans="1:18">
      <c r="A16" s="15" t="s">
        <v>574</v>
      </c>
      <c r="B16" s="17" t="n">
        <v>6108</v>
      </c>
      <c r="C16" s="18">
        <f>(5434.0/B16*100)</f>
        <v/>
      </c>
      <c r="D16" s="19" t="n">
        <v>674</v>
      </c>
      <c r="E16" s="18" t="n">
        <v>85.88562999</v>
      </c>
      <c r="F16" s="20" t="n">
        <v>1.24602497</v>
      </c>
      <c r="G16" s="18" t="n">
        <v>10.93683018</v>
      </c>
      <c r="H16" s="20" t="n">
        <v>1.04854439</v>
      </c>
      <c r="I16" s="18" t="n">
        <v>0</v>
      </c>
      <c r="J16" s="20" t="n">
        <v>0</v>
      </c>
      <c r="K16" s="18" t="n">
        <v>1.92912123</v>
      </c>
      <c r="L16" s="20" t="n">
        <v>0.5694796</v>
      </c>
      <c r="M16" s="18" t="n">
        <v>0</v>
      </c>
      <c r="N16" s="20" t="n">
        <v>0</v>
      </c>
      <c r="O16" s="18" t="n">
        <v>0</v>
      </c>
      <c r="P16" s="20" t="n">
        <v>0</v>
      </c>
      <c r="Q16" s="18" t="n">
        <v>1.24841861</v>
      </c>
      <c r="R16" s="20" t="n">
        <v>0.45838742</v>
      </c>
    </row>
    <row r="17" spans="1:18">
      <c r="A17" s="15" t="s">
        <v>575</v>
      </c>
      <c r="B17" s="17" t="n">
        <v>6504</v>
      </c>
      <c r="C17" s="18">
        <f>(5806.0/B17*100)</f>
        <v/>
      </c>
      <c r="D17" s="19" t="n">
        <v>698</v>
      </c>
      <c r="E17" s="18" t="n">
        <v>82.67582693</v>
      </c>
      <c r="F17" s="20" t="n">
        <v>1.28166851</v>
      </c>
      <c r="G17" s="18" t="n">
        <v>15.78385851</v>
      </c>
      <c r="H17" s="20" t="n">
        <v>1.22694329</v>
      </c>
      <c r="I17" s="18" t="n">
        <v>0</v>
      </c>
      <c r="J17" s="20" t="n">
        <v>0</v>
      </c>
      <c r="K17" s="18" t="n">
        <v>0.54368929</v>
      </c>
      <c r="L17" s="20" t="n">
        <v>0.28922698</v>
      </c>
      <c r="M17" s="18" t="n">
        <v>0</v>
      </c>
      <c r="N17" s="20" t="n">
        <v>0</v>
      </c>
      <c r="O17" s="18" t="n">
        <v>0</v>
      </c>
      <c r="P17" s="20" t="n">
        <v>0</v>
      </c>
      <c r="Q17" s="18" t="n">
        <v>0.9966252799999999</v>
      </c>
      <c r="R17" s="20" t="n">
        <v>0.26535823</v>
      </c>
    </row>
    <row r="18" spans="1:18">
      <c r="A18" s="15" t="s">
        <v>576</v>
      </c>
      <c r="B18" s="17" t="n">
        <v>5532</v>
      </c>
      <c r="C18" s="18">
        <f>(4913.0/B18*100)</f>
        <v/>
      </c>
      <c r="D18" s="19" t="n">
        <v>619</v>
      </c>
      <c r="E18" s="18" t="n">
        <v>89.59087217</v>
      </c>
      <c r="F18" s="20" t="n">
        <v>1.41480608</v>
      </c>
      <c r="G18" s="18" t="n">
        <v>8.56713966</v>
      </c>
      <c r="H18" s="20" t="n">
        <v>1.27252921</v>
      </c>
      <c r="I18" s="18" t="n">
        <v>0</v>
      </c>
      <c r="J18" s="20" t="n">
        <v>0</v>
      </c>
      <c r="K18" s="18" t="n">
        <v>0.27580276</v>
      </c>
      <c r="L18" s="20" t="n">
        <v>0.17971433</v>
      </c>
      <c r="M18" s="18" t="n">
        <v>0</v>
      </c>
      <c r="N18" s="20" t="n">
        <v>0</v>
      </c>
      <c r="O18" s="18" t="n">
        <v>0</v>
      </c>
      <c r="P18" s="20" t="n">
        <v>0</v>
      </c>
      <c r="Q18" s="18" t="n">
        <v>1.56618541</v>
      </c>
      <c r="R18" s="20" t="n">
        <v>0.64140953</v>
      </c>
    </row>
    <row r="19" spans="1:18">
      <c r="A19" s="15" t="s">
        <v>577</v>
      </c>
      <c r="B19" s="17" t="n">
        <v>5658</v>
      </c>
      <c r="C19" s="18">
        <f>(5045.0/B19*100)</f>
        <v/>
      </c>
      <c r="D19" s="19" t="n">
        <v>613</v>
      </c>
      <c r="E19" s="18" t="n">
        <v>90.37045941</v>
      </c>
      <c r="F19" s="20" t="n">
        <v>1.12118576</v>
      </c>
      <c r="G19" s="18" t="n">
        <v>9.33168599</v>
      </c>
      <c r="H19" s="20" t="n">
        <v>1.07058577</v>
      </c>
      <c r="I19" s="18" t="n">
        <v>0</v>
      </c>
      <c r="J19" s="20" t="n">
        <v>0</v>
      </c>
      <c r="K19" s="18" t="n">
        <v>0</v>
      </c>
      <c r="L19" s="20" t="n">
        <v>0</v>
      </c>
      <c r="M19" s="18" t="n">
        <v>0</v>
      </c>
      <c r="N19" s="20" t="n">
        <v>0</v>
      </c>
      <c r="O19" s="18" t="n">
        <v>0</v>
      </c>
      <c r="P19" s="20" t="n">
        <v>0</v>
      </c>
      <c r="Q19" s="18" t="n">
        <v>0.2978546</v>
      </c>
      <c r="R19" s="20" t="n">
        <v>0.19726807</v>
      </c>
    </row>
    <row r="20" spans="1:18">
      <c r="A20" s="15" t="s">
        <v>578</v>
      </c>
      <c r="B20" s="17" t="n">
        <v>3371</v>
      </c>
      <c r="C20" s="18">
        <f>(3015.0/B20*100)</f>
        <v/>
      </c>
      <c r="D20" s="19" t="n">
        <v>356</v>
      </c>
      <c r="E20" s="18" t="n">
        <v>85.80180627999999</v>
      </c>
      <c r="F20" s="20" t="n">
        <v>1.6313001</v>
      </c>
      <c r="G20" s="18" t="n">
        <v>12.2906762</v>
      </c>
      <c r="H20" s="20" t="n">
        <v>1.51651801</v>
      </c>
      <c r="I20" s="18" t="n">
        <v>0</v>
      </c>
      <c r="J20" s="20" t="n">
        <v>0</v>
      </c>
      <c r="K20" s="18" t="n">
        <v>0.76287457</v>
      </c>
      <c r="L20" s="20" t="n">
        <v>0.43587358</v>
      </c>
      <c r="M20" s="18" t="n">
        <v>0</v>
      </c>
      <c r="N20" s="20" t="n">
        <v>0</v>
      </c>
      <c r="O20" s="18" t="n">
        <v>0</v>
      </c>
      <c r="P20" s="20" t="n">
        <v>0</v>
      </c>
      <c r="Q20" s="18" t="n">
        <v>1.14464294</v>
      </c>
      <c r="R20" s="20" t="n">
        <v>0.57975038</v>
      </c>
    </row>
    <row r="21" spans="1:18">
      <c r="A21" s="15" t="s">
        <v>579</v>
      </c>
      <c r="B21" s="17" t="n">
        <v>5741</v>
      </c>
      <c r="C21" s="18">
        <f>(5079.0/B21*100)</f>
        <v/>
      </c>
      <c r="D21" s="19" t="n">
        <v>662</v>
      </c>
      <c r="E21" s="18" t="n">
        <v>82.59699541000001</v>
      </c>
      <c r="F21" s="20" t="n">
        <v>1.46390068</v>
      </c>
      <c r="G21" s="18" t="n">
        <v>16.17372487</v>
      </c>
      <c r="H21" s="20" t="n">
        <v>1.43326444</v>
      </c>
      <c r="I21" s="18" t="n">
        <v>0</v>
      </c>
      <c r="J21" s="20" t="n">
        <v>0</v>
      </c>
      <c r="K21" s="18" t="n">
        <v>0.46741508</v>
      </c>
      <c r="L21" s="20" t="n">
        <v>0.27690074</v>
      </c>
      <c r="M21" s="18" t="n">
        <v>0</v>
      </c>
      <c r="N21" s="20" t="n">
        <v>0</v>
      </c>
      <c r="O21" s="18" t="n">
        <v>0</v>
      </c>
      <c r="P21" s="20" t="n">
        <v>0</v>
      </c>
      <c r="Q21" s="18" t="n">
        <v>0.76186464</v>
      </c>
      <c r="R21" s="20" t="n">
        <v>0.33747204</v>
      </c>
    </row>
    <row r="22" spans="1:18">
      <c r="A22" s="15" t="s">
        <v>580</v>
      </c>
      <c r="B22" s="17" t="n">
        <v>6598</v>
      </c>
      <c r="C22" s="18">
        <f>(5946.0/B22*100)</f>
        <v/>
      </c>
      <c r="D22" s="19" t="n">
        <v>652</v>
      </c>
      <c r="E22" s="18" t="n">
        <v>88.12442891000001</v>
      </c>
      <c r="F22" s="20" t="n">
        <v>1.28285177</v>
      </c>
      <c r="G22" s="18" t="n">
        <v>9.56103066</v>
      </c>
      <c r="H22" s="20" t="n">
        <v>1.14184683</v>
      </c>
      <c r="I22" s="18" t="n">
        <v>0</v>
      </c>
      <c r="J22" s="20" t="n">
        <v>0</v>
      </c>
      <c r="K22" s="18" t="n">
        <v>1.70604473</v>
      </c>
      <c r="L22" s="20" t="n">
        <v>0.6172022</v>
      </c>
      <c r="M22" s="18" t="n">
        <v>0</v>
      </c>
      <c r="N22" s="20" t="n">
        <v>0</v>
      </c>
      <c r="O22" s="18" t="n">
        <v>0</v>
      </c>
      <c r="P22" s="20" t="n">
        <v>0</v>
      </c>
      <c r="Q22" s="18" t="n">
        <v>0.60849569</v>
      </c>
      <c r="R22" s="20" t="n">
        <v>0.29581299</v>
      </c>
    </row>
    <row r="23" spans="1:18">
      <c r="A23" s="15" t="s">
        <v>581</v>
      </c>
      <c r="B23" s="17" t="n">
        <v>11583</v>
      </c>
      <c r="C23" s="18">
        <f>(10321.0/B23*100)</f>
        <v/>
      </c>
      <c r="D23" s="19" t="n">
        <v>1262</v>
      </c>
      <c r="E23" s="18" t="n">
        <v>88.89416349</v>
      </c>
      <c r="F23" s="20" t="n">
        <v>1.17327681</v>
      </c>
      <c r="G23" s="18" t="n">
        <v>9.87744835</v>
      </c>
      <c r="H23" s="20" t="n">
        <v>1.25580632</v>
      </c>
      <c r="I23" s="18" t="n">
        <v>0</v>
      </c>
      <c r="J23" s="20" t="n">
        <v>0</v>
      </c>
      <c r="K23" s="18" t="n">
        <v>0.67840827</v>
      </c>
      <c r="L23" s="20" t="n">
        <v>0.39482425</v>
      </c>
      <c r="M23" s="18" t="n">
        <v>0</v>
      </c>
      <c r="N23" s="20" t="n">
        <v>0</v>
      </c>
      <c r="O23" s="18" t="n">
        <v>0</v>
      </c>
      <c r="P23" s="20" t="n">
        <v>0</v>
      </c>
      <c r="Q23" s="18" t="n">
        <v>0.54997989</v>
      </c>
      <c r="R23" s="20" t="n">
        <v>0.40099186</v>
      </c>
    </row>
    <row r="24" spans="1:18">
      <c r="A24" s="15" t="s">
        <v>582</v>
      </c>
      <c r="B24" s="17" t="n">
        <v>6647</v>
      </c>
      <c r="C24" s="18">
        <f>(5926.0/B24*100)</f>
        <v/>
      </c>
      <c r="D24" s="19" t="n">
        <v>721</v>
      </c>
      <c r="E24" s="18" t="n">
        <v>81.67901144</v>
      </c>
      <c r="F24" s="20" t="n">
        <v>1.37567584</v>
      </c>
      <c r="G24" s="18" t="n">
        <v>17.35270093</v>
      </c>
      <c r="H24" s="20" t="n">
        <v>1.34420611</v>
      </c>
      <c r="I24" s="18" t="n">
        <v>0</v>
      </c>
      <c r="J24" s="20" t="n">
        <v>0</v>
      </c>
      <c r="K24" s="18" t="n">
        <v>0.41087988</v>
      </c>
      <c r="L24" s="20" t="n">
        <v>0.23055524</v>
      </c>
      <c r="M24" s="18" t="n">
        <v>0</v>
      </c>
      <c r="N24" s="20" t="n">
        <v>0</v>
      </c>
      <c r="O24" s="18" t="n">
        <v>0</v>
      </c>
      <c r="P24" s="20" t="n">
        <v>0</v>
      </c>
      <c r="Q24" s="18" t="n">
        <v>0.55740774</v>
      </c>
      <c r="R24" s="20" t="n">
        <v>0.27505787</v>
      </c>
    </row>
    <row r="25" spans="1:18">
      <c r="A25" s="15" t="s">
        <v>583</v>
      </c>
      <c r="B25" s="17" t="n">
        <v>5581</v>
      </c>
      <c r="C25" s="18">
        <f>(4966.0/B25*100)</f>
        <v/>
      </c>
      <c r="D25" s="19" t="n">
        <v>615</v>
      </c>
      <c r="E25" s="18" t="n">
        <v>89.35166402999999</v>
      </c>
      <c r="F25" s="20" t="n">
        <v>1.21351705</v>
      </c>
      <c r="G25" s="18" t="n">
        <v>10.04501887</v>
      </c>
      <c r="H25" s="20" t="n">
        <v>1.18662812</v>
      </c>
      <c r="I25" s="18" t="n">
        <v>0</v>
      </c>
      <c r="J25" s="20" t="n">
        <v>0</v>
      </c>
      <c r="K25" s="18" t="n">
        <v>0.42807223</v>
      </c>
      <c r="L25" s="20" t="n">
        <v>0.25037646</v>
      </c>
      <c r="M25" s="18" t="n">
        <v>0</v>
      </c>
      <c r="N25" s="20" t="n">
        <v>0</v>
      </c>
      <c r="O25" s="18" t="n">
        <v>0</v>
      </c>
      <c r="P25" s="20" t="n">
        <v>0</v>
      </c>
      <c r="Q25" s="18" t="n">
        <v>0.17524487</v>
      </c>
      <c r="R25" s="20" t="n">
        <v>0.17567022</v>
      </c>
    </row>
    <row r="26" spans="1:18">
      <c r="A26" s="15" t="s">
        <v>584</v>
      </c>
      <c r="B26" s="17" t="n">
        <v>4869</v>
      </c>
      <c r="C26" s="18">
        <f>(4326.0/B26*100)</f>
        <v/>
      </c>
      <c r="D26" s="19" t="n">
        <v>543</v>
      </c>
      <c r="E26" s="18" t="n">
        <v>87.78667389</v>
      </c>
      <c r="F26" s="20" t="n">
        <v>1.44374677</v>
      </c>
      <c r="G26" s="18" t="n">
        <v>12.21332611</v>
      </c>
      <c r="H26" s="20" t="n">
        <v>1.44374677</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(4718.0/B27*100)</f>
        <v/>
      </c>
      <c r="D27" s="19" t="n">
        <v>581</v>
      </c>
      <c r="E27" s="18" t="n">
        <v>85.87502641</v>
      </c>
      <c r="F27" s="20" t="n">
        <v>1.65274059</v>
      </c>
      <c r="G27" s="18" t="n">
        <v>13.26883328</v>
      </c>
      <c r="H27" s="20" t="n">
        <v>1.63497205</v>
      </c>
      <c r="I27" s="18" t="n">
        <v>0</v>
      </c>
      <c r="J27" s="20" t="n">
        <v>0</v>
      </c>
      <c r="K27" s="18" t="n">
        <v>0.51771331</v>
      </c>
      <c r="L27" s="20" t="n">
        <v>0.29902194</v>
      </c>
      <c r="M27" s="18" t="n">
        <v>0</v>
      </c>
      <c r="N27" s="20" t="n">
        <v>0</v>
      </c>
      <c r="O27" s="18" t="n">
        <v>0</v>
      </c>
      <c r="P27" s="20" t="n">
        <v>0</v>
      </c>
      <c r="Q27" s="18" t="n">
        <v>0.33842701</v>
      </c>
      <c r="R27" s="20" t="n">
        <v>0.23987528</v>
      </c>
    </row>
    <row r="28" spans="1:18">
      <c r="A28" s="15" t="s">
        <v>586</v>
      </c>
      <c r="B28" s="17" t="n">
        <v>7568</v>
      </c>
      <c r="C28" s="18">
        <f>(6817.0/B28*100)</f>
        <v/>
      </c>
      <c r="D28" s="19" t="n">
        <v>751</v>
      </c>
      <c r="E28" s="18" t="n">
        <v>94.2910992</v>
      </c>
      <c r="F28" s="20" t="n">
        <v>0.9389381</v>
      </c>
      <c r="G28" s="18" t="n">
        <v>4.54642657</v>
      </c>
      <c r="H28" s="20" t="n">
        <v>0.8341028</v>
      </c>
      <c r="I28" s="18" t="n">
        <v>0</v>
      </c>
      <c r="J28" s="20" t="n">
        <v>0</v>
      </c>
      <c r="K28" s="18" t="n">
        <v>0.78114339</v>
      </c>
      <c r="L28" s="20" t="n">
        <v>0.38372789</v>
      </c>
      <c r="M28" s="18" t="n">
        <v>0</v>
      </c>
      <c r="N28" s="20" t="n">
        <v>0</v>
      </c>
      <c r="O28" s="18" t="n">
        <v>0</v>
      </c>
      <c r="P28" s="20" t="n">
        <v>0</v>
      </c>
      <c r="Q28" s="18" t="n">
        <v>0.38133084</v>
      </c>
      <c r="R28" s="20" t="n">
        <v>0.22530405</v>
      </c>
    </row>
    <row r="29" spans="1:18">
      <c r="A29" s="15" t="s">
        <v>587</v>
      </c>
      <c r="B29" s="17" t="n">
        <v>5385</v>
      </c>
      <c r="C29" s="18">
        <f>(4803.0/B29*100)</f>
        <v/>
      </c>
      <c r="D29" s="19" t="n">
        <v>582</v>
      </c>
      <c r="E29" s="18" t="n">
        <v>87.88381558</v>
      </c>
      <c r="F29" s="20" t="n">
        <v>1.28213578</v>
      </c>
      <c r="G29" s="18" t="n">
        <v>11.36666292</v>
      </c>
      <c r="H29" s="20" t="n">
        <v>1.2250323</v>
      </c>
      <c r="I29" s="18" t="n">
        <v>0</v>
      </c>
      <c r="J29" s="20" t="n">
        <v>0</v>
      </c>
      <c r="K29" s="18" t="n">
        <v>0.17696287</v>
      </c>
      <c r="L29" s="20" t="n">
        <v>0.17544565</v>
      </c>
      <c r="M29" s="18" t="n">
        <v>0</v>
      </c>
      <c r="N29" s="20" t="n">
        <v>0</v>
      </c>
      <c r="O29" s="18" t="n">
        <v>0</v>
      </c>
      <c r="P29" s="20" t="n">
        <v>0</v>
      </c>
      <c r="Q29" s="18" t="n">
        <v>0.57255863</v>
      </c>
      <c r="R29" s="20" t="n">
        <v>0.34706341</v>
      </c>
    </row>
    <row r="30" spans="1:18">
      <c r="A30" s="15" t="s">
        <v>588</v>
      </c>
      <c r="B30" s="17" t="n">
        <v>4520</v>
      </c>
      <c r="C30" s="18">
        <f>(4016.0/B30*100)</f>
        <v/>
      </c>
      <c r="D30" s="19" t="n">
        <v>504</v>
      </c>
      <c r="E30" s="18" t="n">
        <v>80.70002298999999</v>
      </c>
      <c r="F30" s="20" t="n">
        <v>1.64209582</v>
      </c>
      <c r="G30" s="18" t="n">
        <v>17.33984178</v>
      </c>
      <c r="H30" s="20" t="n">
        <v>1.54997331</v>
      </c>
      <c r="I30" s="18" t="n">
        <v>0</v>
      </c>
      <c r="J30" s="20" t="n">
        <v>0</v>
      </c>
      <c r="K30" s="18" t="n">
        <v>0.62317975</v>
      </c>
      <c r="L30" s="20" t="n">
        <v>0.36093001</v>
      </c>
      <c r="M30" s="18" t="n">
        <v>0</v>
      </c>
      <c r="N30" s="20" t="n">
        <v>0</v>
      </c>
      <c r="O30" s="18" t="n">
        <v>0</v>
      </c>
      <c r="P30" s="20" t="n">
        <v>0</v>
      </c>
      <c r="Q30" s="18" t="n">
        <v>1.33695548</v>
      </c>
      <c r="R30" s="20" t="n">
        <v>0.52175234</v>
      </c>
    </row>
    <row r="31" spans="1:18">
      <c r="A31" s="15" t="s">
        <v>589</v>
      </c>
      <c r="B31" s="17" t="n">
        <v>5456</v>
      </c>
      <c r="C31" s="18">
        <f>(4859.0/B31*100)</f>
        <v/>
      </c>
      <c r="D31" s="19" t="n">
        <v>597</v>
      </c>
      <c r="E31" s="18" t="n">
        <v>82.63756999</v>
      </c>
      <c r="F31" s="20" t="n">
        <v>1.66655991</v>
      </c>
      <c r="G31" s="18" t="n">
        <v>14.92769942</v>
      </c>
      <c r="H31" s="20" t="n">
        <v>1.55952349</v>
      </c>
      <c r="I31" s="18" t="n">
        <v>0</v>
      </c>
      <c r="J31" s="20" t="n">
        <v>0</v>
      </c>
      <c r="K31" s="18" t="n">
        <v>0.64159339</v>
      </c>
      <c r="L31" s="20" t="n">
        <v>0.30072616</v>
      </c>
      <c r="M31" s="18" t="n">
        <v>0</v>
      </c>
      <c r="N31" s="20" t="n">
        <v>0</v>
      </c>
      <c r="O31" s="18" t="n">
        <v>0</v>
      </c>
      <c r="P31" s="20" t="n">
        <v>0</v>
      </c>
      <c r="Q31" s="18" t="n">
        <v>1.7931372</v>
      </c>
      <c r="R31" s="20" t="n">
        <v>0.54340313</v>
      </c>
    </row>
    <row r="32" spans="1:18">
      <c r="A32" s="15" t="s">
        <v>590</v>
      </c>
      <c r="B32" s="17" t="n">
        <v>4478</v>
      </c>
      <c r="C32" s="18">
        <f>(3988.0/B32*100)</f>
        <v/>
      </c>
      <c r="D32" s="19" t="n">
        <v>490</v>
      </c>
      <c r="E32" s="18" t="n">
        <v>83.38449943000001</v>
      </c>
      <c r="F32" s="20" t="n">
        <v>1.82809304</v>
      </c>
      <c r="G32" s="18" t="n">
        <v>15.68428961</v>
      </c>
      <c r="H32" s="20" t="n">
        <v>1.75951391</v>
      </c>
      <c r="I32" s="18" t="n">
        <v>0</v>
      </c>
      <c r="J32" s="20" t="n">
        <v>0</v>
      </c>
      <c r="K32" s="18" t="n">
        <v>0.36705976</v>
      </c>
      <c r="L32" s="20" t="n">
        <v>0.26054739</v>
      </c>
      <c r="M32" s="18" t="n">
        <v>0</v>
      </c>
      <c r="N32" s="20" t="n">
        <v>0</v>
      </c>
      <c r="O32" s="18" t="n">
        <v>0</v>
      </c>
      <c r="P32" s="20" t="n">
        <v>0</v>
      </c>
      <c r="Q32" s="18" t="n">
        <v>0.5641512</v>
      </c>
      <c r="R32" s="20" t="n">
        <v>0.3358734</v>
      </c>
    </row>
    <row r="33" spans="1:18">
      <c r="A33" s="15" t="s">
        <v>591</v>
      </c>
      <c r="B33" s="17" t="n">
        <v>7325</v>
      </c>
      <c r="C33" s="18">
        <f>(6575.0/B33*100)</f>
        <v/>
      </c>
      <c r="D33" s="19" t="n">
        <v>750</v>
      </c>
      <c r="E33" s="18" t="n">
        <v>88.77135005</v>
      </c>
      <c r="F33" s="20" t="n">
        <v>1.32823438</v>
      </c>
      <c r="G33" s="18" t="n">
        <v>10.98103204</v>
      </c>
      <c r="H33" s="20" t="n">
        <v>1.2989681</v>
      </c>
      <c r="I33" s="18" t="n">
        <v>0</v>
      </c>
      <c r="J33" s="20" t="n">
        <v>0</v>
      </c>
      <c r="K33" s="18" t="n">
        <v>0.23587284</v>
      </c>
      <c r="L33" s="20" t="n">
        <v>0.24803261</v>
      </c>
      <c r="M33" s="18" t="n">
        <v>0</v>
      </c>
      <c r="N33" s="20" t="n">
        <v>0</v>
      </c>
      <c r="O33" s="18" t="n">
        <v>0</v>
      </c>
      <c r="P33" s="20" t="n">
        <v>0</v>
      </c>
      <c r="Q33" s="18" t="n">
        <v>0.01174507</v>
      </c>
      <c r="R33" s="20" t="n">
        <v>0.01169831</v>
      </c>
    </row>
    <row r="34" spans="1:18">
      <c r="A34" s="15" t="s">
        <v>592</v>
      </c>
      <c r="B34" s="17" t="n">
        <v>6350</v>
      </c>
      <c r="C34" s="18">
        <f>(5710.0/B34*100)</f>
        <v/>
      </c>
      <c r="D34" s="19" t="n">
        <v>640</v>
      </c>
      <c r="E34" s="18" t="n">
        <v>89.66758809</v>
      </c>
      <c r="F34" s="20" t="n">
        <v>1.30440415</v>
      </c>
      <c r="G34" s="18" t="n">
        <v>9.59628159</v>
      </c>
      <c r="H34" s="20" t="n">
        <v>1.15418681</v>
      </c>
      <c r="I34" s="18" t="n">
        <v>0</v>
      </c>
      <c r="J34" s="20" t="n">
        <v>0</v>
      </c>
      <c r="K34" s="18" t="n">
        <v>0.38739145</v>
      </c>
      <c r="L34" s="20" t="n">
        <v>0.28001559</v>
      </c>
      <c r="M34" s="18" t="n">
        <v>0</v>
      </c>
      <c r="N34" s="20" t="n">
        <v>0</v>
      </c>
      <c r="O34" s="18" t="n">
        <v>0</v>
      </c>
      <c r="P34" s="20" t="n">
        <v>0</v>
      </c>
      <c r="Q34" s="18" t="n">
        <v>0.34873886</v>
      </c>
      <c r="R34" s="20" t="n">
        <v>0.25810733</v>
      </c>
    </row>
    <row r="35" spans="1:18">
      <c r="A35" s="15" t="s">
        <v>593</v>
      </c>
      <c r="B35" s="17" t="n">
        <v>6406</v>
      </c>
      <c r="C35" s="18">
        <f>(5716.0/B35*100)</f>
        <v/>
      </c>
      <c r="D35" s="19" t="n">
        <v>690</v>
      </c>
      <c r="E35" s="18" t="n">
        <v>85.88961494</v>
      </c>
      <c r="F35" s="20" t="n">
        <v>1.81279739</v>
      </c>
      <c r="G35" s="18" t="n">
        <v>13.70572624</v>
      </c>
      <c r="H35" s="20" t="n">
        <v>1.79473707</v>
      </c>
      <c r="I35" s="18" t="n">
        <v>0</v>
      </c>
      <c r="J35" s="20" t="n">
        <v>0</v>
      </c>
      <c r="K35" s="18" t="n">
        <v>0</v>
      </c>
      <c r="L35" s="20" t="n">
        <v>0</v>
      </c>
      <c r="M35" s="18" t="n">
        <v>0</v>
      </c>
      <c r="N35" s="20" t="n">
        <v>0</v>
      </c>
      <c r="O35" s="18" t="n">
        <v>0</v>
      </c>
      <c r="P35" s="20" t="n">
        <v>0</v>
      </c>
      <c r="Q35" s="18" t="n">
        <v>0.40465882</v>
      </c>
      <c r="R35" s="20" t="n">
        <v>0.3089487</v>
      </c>
    </row>
    <row r="36" spans="1:18">
      <c r="A36" s="15" t="s">
        <v>594</v>
      </c>
      <c r="B36" s="17" t="n">
        <v>6736</v>
      </c>
      <c r="C36" s="18">
        <f>(5989.0/B36*100)</f>
        <v/>
      </c>
      <c r="D36" s="19" t="n">
        <v>747</v>
      </c>
      <c r="E36" s="18" t="n">
        <v>88.02702385000001</v>
      </c>
      <c r="F36" s="20" t="n">
        <v>1.30408061</v>
      </c>
      <c r="G36" s="18" t="n">
        <v>10.74498333</v>
      </c>
      <c r="H36" s="20" t="n">
        <v>1.2502568</v>
      </c>
      <c r="I36" s="18" t="n">
        <v>0</v>
      </c>
      <c r="J36" s="20" t="n">
        <v>0</v>
      </c>
      <c r="K36" s="18" t="n">
        <v>0.3518685</v>
      </c>
      <c r="L36" s="20" t="n">
        <v>0.19180388</v>
      </c>
      <c r="M36" s="18" t="n">
        <v>0</v>
      </c>
      <c r="N36" s="20" t="n">
        <v>0</v>
      </c>
      <c r="O36" s="18" t="n">
        <v>0</v>
      </c>
      <c r="P36" s="20" t="n">
        <v>0</v>
      </c>
      <c r="Q36" s="18" t="n">
        <v>0.87612433</v>
      </c>
      <c r="R36" s="20" t="n">
        <v>0.25520877</v>
      </c>
    </row>
    <row r="37" spans="1:18">
      <c r="A37" s="15" t="s">
        <v>595</v>
      </c>
      <c r="B37" s="17" t="n">
        <v>5458</v>
      </c>
      <c r="C37" s="18">
        <f>(4878.0/B37*100)</f>
        <v/>
      </c>
      <c r="D37" s="19" t="n">
        <v>580</v>
      </c>
      <c r="E37" s="18" t="n">
        <v>77.03561645000001</v>
      </c>
      <c r="F37" s="20" t="n">
        <v>1.87821107</v>
      </c>
      <c r="G37" s="18" t="n">
        <v>21.02660785</v>
      </c>
      <c r="H37" s="20" t="n">
        <v>1.88541546</v>
      </c>
      <c r="I37" s="18" t="n">
        <v>0</v>
      </c>
      <c r="J37" s="20" t="n">
        <v>0</v>
      </c>
      <c r="K37" s="18" t="n">
        <v>0.19368447</v>
      </c>
      <c r="L37" s="20" t="n">
        <v>0.19095408</v>
      </c>
      <c r="M37" s="18" t="n">
        <v>0</v>
      </c>
      <c r="N37" s="20" t="n">
        <v>0</v>
      </c>
      <c r="O37" s="18" t="n">
        <v>0</v>
      </c>
      <c r="P37" s="20" t="n">
        <v>0</v>
      </c>
      <c r="Q37" s="18" t="n">
        <v>1.74409123</v>
      </c>
      <c r="R37" s="20" t="n">
        <v>0.52366886</v>
      </c>
    </row>
    <row r="38" spans="1:18">
      <c r="A38" s="15" t="s">
        <v>596</v>
      </c>
      <c r="B38" s="17" t="n">
        <v>5860</v>
      </c>
      <c r="C38" s="18">
        <f>(5242.0/B38*100)</f>
        <v/>
      </c>
      <c r="D38" s="19" t="n">
        <v>618</v>
      </c>
      <c r="E38" s="18" t="n">
        <v>85.49173797</v>
      </c>
      <c r="F38" s="20" t="n">
        <v>1.54483576</v>
      </c>
      <c r="G38" s="18" t="n">
        <v>12.66510972</v>
      </c>
      <c r="H38" s="20" t="n">
        <v>1.46819401</v>
      </c>
      <c r="I38" s="18" t="n">
        <v>0</v>
      </c>
      <c r="J38" s="20" t="n">
        <v>0</v>
      </c>
      <c r="K38" s="18" t="n">
        <v>0.59732892</v>
      </c>
      <c r="L38" s="20" t="n">
        <v>0.33426697</v>
      </c>
      <c r="M38" s="18" t="n">
        <v>0</v>
      </c>
      <c r="N38" s="20" t="n">
        <v>0</v>
      </c>
      <c r="O38" s="18" t="n">
        <v>0</v>
      </c>
      <c r="P38" s="20" t="n">
        <v>0</v>
      </c>
      <c r="Q38" s="18" t="n">
        <v>1.24582339</v>
      </c>
      <c r="R38" s="20" t="n">
        <v>0.5239211499999999</v>
      </c>
    </row>
    <row r="39" spans="1:18">
      <c r="A39" s="15" t="s">
        <v>597</v>
      </c>
      <c r="B39" s="17" t="n">
        <v>5895</v>
      </c>
      <c r="C39" s="18">
        <f>(5241.0/B39*100)</f>
        <v/>
      </c>
      <c r="D39" s="19" t="n">
        <v>654</v>
      </c>
      <c r="E39" s="18" t="n">
        <v>92.95846330000001</v>
      </c>
      <c r="F39" s="20" t="n">
        <v>1.18039947</v>
      </c>
      <c r="G39" s="18" t="n">
        <v>5.72727996</v>
      </c>
      <c r="H39" s="20" t="n">
        <v>1.03307382</v>
      </c>
      <c r="I39" s="18" t="n">
        <v>0</v>
      </c>
      <c r="J39" s="20" t="n">
        <v>0</v>
      </c>
      <c r="K39" s="18" t="n">
        <v>0.20788982</v>
      </c>
      <c r="L39" s="20" t="n">
        <v>0.13312457</v>
      </c>
      <c r="M39" s="18" t="n">
        <v>0</v>
      </c>
      <c r="N39" s="20" t="n">
        <v>0</v>
      </c>
      <c r="O39" s="18" t="n">
        <v>0</v>
      </c>
      <c r="P39" s="20" t="n">
        <v>0</v>
      </c>
      <c r="Q39" s="18" t="n">
        <v>1.10636692</v>
      </c>
      <c r="R39" s="20" t="n">
        <v>0.54723174</v>
      </c>
    </row>
    <row r="40" spans="1:18">
      <c r="A40" s="15" t="s">
        <v>598</v>
      </c>
      <c r="B40" s="17" t="n">
        <v>14157</v>
      </c>
      <c r="C40" s="18">
        <f>(12527.0/B40*100)</f>
        <v/>
      </c>
      <c r="D40" s="19" t="n">
        <v>1630</v>
      </c>
      <c r="E40" s="18" t="n">
        <v>84.33615904</v>
      </c>
      <c r="F40" s="20" t="n">
        <v>1.24690348</v>
      </c>
      <c r="G40" s="18" t="n">
        <v>13.8610908</v>
      </c>
      <c r="H40" s="20" t="n">
        <v>1.16102966</v>
      </c>
      <c r="I40" s="18" t="n">
        <v>0</v>
      </c>
      <c r="J40" s="20" t="n">
        <v>0</v>
      </c>
      <c r="K40" s="18" t="n">
        <v>0.45658121</v>
      </c>
      <c r="L40" s="20" t="n">
        <v>0.22051996</v>
      </c>
      <c r="M40" s="18" t="n">
        <v>0</v>
      </c>
      <c r="N40" s="20" t="n">
        <v>0</v>
      </c>
      <c r="O40" s="18" t="n">
        <v>0</v>
      </c>
      <c r="P40" s="20" t="n">
        <v>0</v>
      </c>
      <c r="Q40" s="18" t="n">
        <v>1.34616895</v>
      </c>
      <c r="R40" s="20" t="n">
        <v>0.39875944</v>
      </c>
    </row>
    <row r="41" spans="1:18">
      <c r="A41" s="15" t="s">
        <v>599</v>
      </c>
      <c r="B41" s="17" t="n">
        <v>5712</v>
      </c>
      <c r="C41" s="18">
        <f>(5112.0/B41*100)</f>
        <v/>
      </c>
      <c r="D41" s="19" t="n">
        <v>600</v>
      </c>
      <c r="E41" s="18" t="n">
        <v>83.14676742</v>
      </c>
      <c r="F41" s="20" t="n">
        <v>1.67406518</v>
      </c>
      <c r="G41" s="18" t="n">
        <v>16.69214563</v>
      </c>
      <c r="H41" s="20" t="n">
        <v>1.6573986</v>
      </c>
      <c r="I41" s="18" t="n">
        <v>0</v>
      </c>
      <c r="J41" s="20" t="n">
        <v>0</v>
      </c>
      <c r="K41" s="18" t="n">
        <v>0.16108696</v>
      </c>
      <c r="L41" s="20" t="n">
        <v>0.1702426</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(21245.0/B46*100)</f>
        <v/>
      </c>
      <c r="D46" s="19" t="n">
        <v>1896</v>
      </c>
      <c r="E46" s="18" t="n">
        <v>91.45251333</v>
      </c>
      <c r="F46" s="20" t="n">
        <v>0.91597454</v>
      </c>
      <c r="G46" s="18" t="n">
        <v>5.05385738</v>
      </c>
      <c r="H46" s="20" t="n">
        <v>0.64266505</v>
      </c>
      <c r="I46" s="18" t="n">
        <v>0</v>
      </c>
      <c r="J46" s="20" t="n">
        <v>0</v>
      </c>
      <c r="K46" s="18" t="n">
        <v>1.6352046</v>
      </c>
      <c r="L46" s="20" t="n">
        <v>0.39772439</v>
      </c>
      <c r="M46" s="18" t="n">
        <v>0</v>
      </c>
      <c r="N46" s="20" t="n">
        <v>0</v>
      </c>
      <c r="O46" s="18" t="n">
        <v>0</v>
      </c>
      <c r="P46" s="20" t="n">
        <v>0</v>
      </c>
      <c r="Q46" s="18" t="n">
        <v>1.85842469</v>
      </c>
      <c r="R46" s="20" t="n">
        <v>0.44582206</v>
      </c>
    </row>
    <row r="47" spans="1:18">
      <c r="A47" s="15" t="s">
        <v>606</v>
      </c>
      <c r="B47" s="17" t="n">
        <v>5928</v>
      </c>
      <c r="C47" s="18">
        <f>(5310.0/B47*100)</f>
        <v/>
      </c>
      <c r="D47" s="19" t="n">
        <v>618</v>
      </c>
      <c r="E47" s="18" t="n">
        <v>89.72732677</v>
      </c>
      <c r="F47" s="20" t="n">
        <v>1.23108744</v>
      </c>
      <c r="G47" s="18" t="n">
        <v>8.710756809999999</v>
      </c>
      <c r="H47" s="20" t="n">
        <v>1.1606659</v>
      </c>
      <c r="I47" s="18" t="n">
        <v>0</v>
      </c>
      <c r="J47" s="20" t="n">
        <v>0</v>
      </c>
      <c r="K47" s="18" t="n">
        <v>0.47036957</v>
      </c>
      <c r="L47" s="20" t="n">
        <v>0.24591719</v>
      </c>
      <c r="M47" s="18" t="n">
        <v>0</v>
      </c>
      <c r="N47" s="20" t="n">
        <v>0</v>
      </c>
      <c r="O47" s="18" t="n">
        <v>0</v>
      </c>
      <c r="P47" s="20" t="n">
        <v>0</v>
      </c>
      <c r="Q47" s="18" t="n">
        <v>1.09154685</v>
      </c>
      <c r="R47" s="20" t="n">
        <v>0.4427382</v>
      </c>
    </row>
    <row r="48" spans="1:18">
      <c r="A48" s="15" t="s">
        <v>607</v>
      </c>
      <c r="B48" s="17" t="n">
        <v>9841</v>
      </c>
      <c r="C48" s="18">
        <f>(8769.0/B48*100)</f>
        <v/>
      </c>
      <c r="D48" s="19" t="n">
        <v>1072</v>
      </c>
      <c r="E48" s="18" t="n">
        <v>89.24815624</v>
      </c>
      <c r="F48" s="20" t="n">
        <v>1.09943135</v>
      </c>
      <c r="G48" s="18" t="n">
        <v>9.95464584</v>
      </c>
      <c r="H48" s="20" t="n">
        <v>1.03365515</v>
      </c>
      <c r="I48" s="18" t="n">
        <v>0</v>
      </c>
      <c r="J48" s="20" t="n">
        <v>0</v>
      </c>
      <c r="K48" s="18" t="n">
        <v>0.62625127</v>
      </c>
      <c r="L48" s="20" t="n">
        <v>0.39460112</v>
      </c>
      <c r="M48" s="18" t="n">
        <v>0</v>
      </c>
      <c r="N48" s="20" t="n">
        <v>0</v>
      </c>
      <c r="O48" s="18" t="n">
        <v>0</v>
      </c>
      <c r="P48" s="20" t="n">
        <v>0</v>
      </c>
      <c r="Q48" s="18" t="n">
        <v>0.17094665</v>
      </c>
      <c r="R48" s="20" t="n">
        <v>0.17687528</v>
      </c>
    </row>
    <row r="49" spans="1:18">
      <c r="A49" s="15" t="s">
        <v>608</v>
      </c>
      <c r="B49" s="17" t="n">
        <v>11795</v>
      </c>
      <c r="C49" s="18">
        <f>(10555.0/B49*100)</f>
        <v/>
      </c>
      <c r="D49" s="19" t="n">
        <v>1240</v>
      </c>
      <c r="E49" s="18" t="n">
        <v>90.21469707999999</v>
      </c>
      <c r="F49" s="20" t="n">
        <v>1.09007827</v>
      </c>
      <c r="G49" s="18" t="n">
        <v>6.8032348</v>
      </c>
      <c r="H49" s="20" t="n">
        <v>0.8182365</v>
      </c>
      <c r="I49" s="18" t="n">
        <v>0</v>
      </c>
      <c r="J49" s="20" t="n">
        <v>0</v>
      </c>
      <c r="K49" s="18" t="n">
        <v>2.13418391</v>
      </c>
      <c r="L49" s="20" t="n">
        <v>0.69576419</v>
      </c>
      <c r="M49" s="18" t="n">
        <v>0</v>
      </c>
      <c r="N49" s="20" t="n">
        <v>0</v>
      </c>
      <c r="O49" s="18" t="n">
        <v>0</v>
      </c>
      <c r="P49" s="20" t="n">
        <v>0</v>
      </c>
      <c r="Q49" s="18" t="n">
        <v>0.84788421</v>
      </c>
      <c r="R49" s="20" t="n">
        <v>0.3565536</v>
      </c>
    </row>
    <row r="50" spans="1:18">
      <c r="A50" s="15" t="s">
        <v>609</v>
      </c>
      <c r="B50" s="17" t="n">
        <v>6866</v>
      </c>
      <c r="C50" s="18">
        <f>(6217.0/B50*100)</f>
        <v/>
      </c>
      <c r="D50" s="19" t="n">
        <v>649</v>
      </c>
      <c r="E50" s="18" t="n">
        <v>87.25402613999999</v>
      </c>
      <c r="F50" s="20" t="n">
        <v>1.60636301</v>
      </c>
      <c r="G50" s="18" t="n">
        <v>10.02519031</v>
      </c>
      <c r="H50" s="20" t="n">
        <v>1.37991486</v>
      </c>
      <c r="I50" s="18" t="n">
        <v>0</v>
      </c>
      <c r="J50" s="20" t="n">
        <v>0</v>
      </c>
      <c r="K50" s="18" t="n">
        <v>1.16192614</v>
      </c>
      <c r="L50" s="20" t="n">
        <v>0.47379271</v>
      </c>
      <c r="M50" s="18" t="n">
        <v>0</v>
      </c>
      <c r="N50" s="20" t="n">
        <v>0</v>
      </c>
      <c r="O50" s="18" t="n">
        <v>0</v>
      </c>
      <c r="P50" s="20" t="n">
        <v>0</v>
      </c>
      <c r="Q50" s="18" t="n">
        <v>1.55885741</v>
      </c>
      <c r="R50" s="20" t="n">
        <v>0.55796293</v>
      </c>
    </row>
    <row r="51" spans="1:18">
      <c r="A51" s="15" t="s">
        <v>610</v>
      </c>
      <c r="B51" s="17" t="n">
        <v>5809</v>
      </c>
      <c r="C51" s="18">
        <f>(5200.0/B51*100)</f>
        <v/>
      </c>
      <c r="D51" s="19" t="n">
        <v>609</v>
      </c>
      <c r="E51" s="18" t="n">
        <v>89.0173432</v>
      </c>
      <c r="F51" s="20" t="n">
        <v>1.33548991</v>
      </c>
      <c r="G51" s="18" t="n">
        <v>9.94553475</v>
      </c>
      <c r="H51" s="20" t="n">
        <v>1.29035009</v>
      </c>
      <c r="I51" s="18" t="n">
        <v>0</v>
      </c>
      <c r="J51" s="20" t="n">
        <v>0</v>
      </c>
      <c r="K51" s="18" t="n">
        <v>0</v>
      </c>
      <c r="L51" s="20" t="n">
        <v>0</v>
      </c>
      <c r="M51" s="18" t="n">
        <v>0</v>
      </c>
      <c r="N51" s="20" t="n">
        <v>0</v>
      </c>
      <c r="O51" s="18" t="n">
        <v>0</v>
      </c>
      <c r="P51" s="20" t="n">
        <v>0</v>
      </c>
      <c r="Q51" s="18" t="n">
        <v>1.03712205</v>
      </c>
      <c r="R51" s="20" t="n">
        <v>0.42420993</v>
      </c>
    </row>
    <row r="52" spans="1:18">
      <c r="A52" s="15" t="s">
        <v>611</v>
      </c>
      <c r="B52" s="17" t="n">
        <v>5571</v>
      </c>
      <c r="C52" s="18">
        <f>(4963.0/B52*100)</f>
        <v/>
      </c>
      <c r="D52" s="19" t="n">
        <v>608</v>
      </c>
      <c r="E52" s="18" t="n">
        <v>92.97289624</v>
      </c>
      <c r="F52" s="20" t="n">
        <v>1.1603454</v>
      </c>
      <c r="G52" s="18" t="n">
        <v>6.10508268</v>
      </c>
      <c r="H52" s="20" t="n">
        <v>1.09635139</v>
      </c>
      <c r="I52" s="18" t="n">
        <v>0</v>
      </c>
      <c r="J52" s="20" t="n">
        <v>0</v>
      </c>
      <c r="K52" s="18" t="n">
        <v>0.22568318</v>
      </c>
      <c r="L52" s="20" t="n">
        <v>0.16137839</v>
      </c>
      <c r="M52" s="18" t="n">
        <v>0</v>
      </c>
      <c r="N52" s="20" t="n">
        <v>0</v>
      </c>
      <c r="O52" s="18" t="n">
        <v>0</v>
      </c>
      <c r="P52" s="20" t="n">
        <v>0</v>
      </c>
      <c r="Q52" s="18" t="n">
        <v>0.6963379</v>
      </c>
      <c r="R52" s="20" t="n">
        <v>0.30873326</v>
      </c>
    </row>
    <row r="53" spans="1:18">
      <c r="A53" s="15" t="s">
        <v>612</v>
      </c>
      <c r="B53" s="17" t="n">
        <v>4740</v>
      </c>
      <c r="C53" s="18">
        <f>(4224.0/B53*100)</f>
        <v/>
      </c>
      <c r="D53" s="19" t="n">
        <v>516</v>
      </c>
      <c r="E53" s="18" t="n">
        <v>76.67939859000001</v>
      </c>
      <c r="F53" s="20" t="n">
        <v>1.90753291</v>
      </c>
      <c r="G53" s="18" t="n">
        <v>1.73771523</v>
      </c>
      <c r="H53" s="20" t="n">
        <v>0.58029084</v>
      </c>
      <c r="I53" s="18" t="n">
        <v>0</v>
      </c>
      <c r="J53" s="20" t="n">
        <v>0</v>
      </c>
      <c r="K53" s="18" t="n">
        <v>18.87844611</v>
      </c>
      <c r="L53" s="20" t="n">
        <v>1.77862466</v>
      </c>
      <c r="M53" s="18" t="n">
        <v>0</v>
      </c>
      <c r="N53" s="20" t="n">
        <v>0</v>
      </c>
      <c r="O53" s="18" t="n">
        <v>0</v>
      </c>
      <c r="P53" s="20" t="n">
        <v>0</v>
      </c>
      <c r="Q53" s="18" t="n">
        <v>2.70444008</v>
      </c>
      <c r="R53" s="20" t="n">
        <v>0.83025607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(4775.0/B55*100)</f>
        <v/>
      </c>
      <c r="D55" s="19" t="n">
        <v>584</v>
      </c>
      <c r="E55" s="18" t="n">
        <v>85.13002727</v>
      </c>
      <c r="F55" s="20" t="n">
        <v>1.55873324</v>
      </c>
      <c r="G55" s="18" t="n">
        <v>14.54078902</v>
      </c>
      <c r="H55" s="20" t="n">
        <v>1.5643111</v>
      </c>
      <c r="I55" s="18" t="n">
        <v>0</v>
      </c>
      <c r="J55" s="20" t="n">
        <v>0</v>
      </c>
      <c r="K55" s="18" t="n">
        <v>0.32918371</v>
      </c>
      <c r="L55" s="20" t="n">
        <v>0.31645098</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(5832.0/B61*100)</f>
        <v/>
      </c>
      <c r="D61" s="19" t="n">
        <v>693</v>
      </c>
      <c r="E61" s="18" t="n">
        <v>90.46233182</v>
      </c>
      <c r="F61" s="20" t="n">
        <v>1.2510884</v>
      </c>
      <c r="G61" s="18" t="n">
        <v>8.705953170000001</v>
      </c>
      <c r="H61" s="20" t="n">
        <v>1.23459731</v>
      </c>
      <c r="I61" s="18" t="n">
        <v>0</v>
      </c>
      <c r="J61" s="20" t="n">
        <v>0</v>
      </c>
      <c r="K61" s="18" t="n">
        <v>0.19759882</v>
      </c>
      <c r="L61" s="20" t="n">
        <v>0.2067504</v>
      </c>
      <c r="M61" s="18" t="n">
        <v>0</v>
      </c>
      <c r="N61" s="20" t="n">
        <v>0</v>
      </c>
      <c r="O61" s="18" t="n">
        <v>0</v>
      </c>
      <c r="P61" s="20" t="n">
        <v>0</v>
      </c>
      <c r="Q61" s="18" t="n">
        <v>0.63411618</v>
      </c>
      <c r="R61" s="20" t="n">
        <v>0.29186353</v>
      </c>
    </row>
    <row r="62" spans="1:18">
      <c r="A62" s="15" t="s">
        <v>622</v>
      </c>
      <c r="B62" s="17" t="n">
        <v>4476</v>
      </c>
      <c r="C62" s="18">
        <f>(3977.0/B62*100)</f>
        <v/>
      </c>
      <c r="D62" s="19" t="n">
        <v>499</v>
      </c>
      <c r="E62" s="18" t="n">
        <v>89.58676591</v>
      </c>
      <c r="F62" s="20" t="n">
        <v>1.36066176</v>
      </c>
      <c r="G62" s="18" t="n">
        <v>10.41323409</v>
      </c>
      <c r="H62" s="20" t="n">
        <v>1.36066176</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(5088.0/B67*100)</f>
        <v/>
      </c>
      <c r="D67" s="19" t="n">
        <v>577</v>
      </c>
      <c r="E67" s="18" t="n">
        <v>92.10204312</v>
      </c>
      <c r="F67" s="20" t="n">
        <v>1.16030364</v>
      </c>
      <c r="G67" s="18" t="n">
        <v>3.93535308</v>
      </c>
      <c r="H67" s="20" t="n">
        <v>0.84939278</v>
      </c>
      <c r="I67" s="18" t="n">
        <v>0</v>
      </c>
      <c r="J67" s="20" t="n">
        <v>0</v>
      </c>
      <c r="K67" s="18" t="n">
        <v>0.67552505</v>
      </c>
      <c r="L67" s="20" t="n">
        <v>0.33311276</v>
      </c>
      <c r="M67" s="18" t="n">
        <v>0</v>
      </c>
      <c r="N67" s="20" t="n">
        <v>0</v>
      </c>
      <c r="O67" s="18" t="n">
        <v>0</v>
      </c>
      <c r="P67" s="20" t="n">
        <v>0</v>
      </c>
      <c r="Q67" s="18" t="n">
        <v>3.28707875</v>
      </c>
      <c r="R67" s="20" t="n">
        <v>0.72129041</v>
      </c>
    </row>
    <row r="68" spans="1:18">
      <c r="A68" s="15" t="s">
        <v>628</v>
      </c>
      <c r="B68" s="17" t="n">
        <v>6971</v>
      </c>
      <c r="C68" s="18">
        <f>(6335.0/B68*100)</f>
        <v/>
      </c>
      <c r="D68" s="19" t="n">
        <v>636</v>
      </c>
      <c r="E68" s="18" t="n">
        <v>91.36411373</v>
      </c>
      <c r="F68" s="20" t="n">
        <v>1.15833003</v>
      </c>
      <c r="G68" s="18" t="n">
        <v>7.68176507</v>
      </c>
      <c r="H68" s="20" t="n">
        <v>1.12682799</v>
      </c>
      <c r="I68" s="18" t="n">
        <v>0</v>
      </c>
      <c r="J68" s="20" t="n">
        <v>0</v>
      </c>
      <c r="K68" s="18" t="n">
        <v>0.31123173</v>
      </c>
      <c r="L68" s="20" t="n">
        <v>0.22847472</v>
      </c>
      <c r="M68" s="18" t="n">
        <v>0</v>
      </c>
      <c r="N68" s="20" t="n">
        <v>0</v>
      </c>
      <c r="O68" s="18" t="n">
        <v>0</v>
      </c>
      <c r="P68" s="20" t="n">
        <v>0</v>
      </c>
      <c r="Q68" s="18" t="n">
        <v>0.64288947</v>
      </c>
      <c r="R68" s="20" t="n">
        <v>0.36353529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(10752.0/B70*100)</f>
        <v/>
      </c>
      <c r="D70" s="19" t="n">
        <v>1331</v>
      </c>
      <c r="E70" s="18" t="n">
        <v>87.84757903000001</v>
      </c>
      <c r="F70" s="20" t="n">
        <v>0.95407752</v>
      </c>
      <c r="G70" s="18" t="n">
        <v>6.76901956</v>
      </c>
      <c r="H70" s="20" t="n">
        <v>0.6281736999999999</v>
      </c>
      <c r="I70" s="18" t="n">
        <v>0</v>
      </c>
      <c r="J70" s="20" t="n">
        <v>0</v>
      </c>
      <c r="K70" s="18" t="n">
        <v>4.01043856</v>
      </c>
      <c r="L70" s="20" t="n">
        <v>0.62548504</v>
      </c>
      <c r="M70" s="18" t="n">
        <v>0</v>
      </c>
      <c r="N70" s="20" t="n">
        <v>0</v>
      </c>
      <c r="O70" s="18" t="n">
        <v>0</v>
      </c>
      <c r="P70" s="20" t="n">
        <v>0</v>
      </c>
      <c r="Q70" s="18" t="n">
        <v>1.37296286</v>
      </c>
      <c r="R70" s="20" t="n">
        <v>0.31858785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(5429.0/B72*100)</f>
        <v/>
      </c>
      <c r="D72" s="19" t="n">
        <v>607</v>
      </c>
      <c r="E72" s="18" t="n">
        <v>87.03150126</v>
      </c>
      <c r="F72" s="20" t="n">
        <v>1.33648106</v>
      </c>
      <c r="G72" s="18" t="n">
        <v>12.24029272</v>
      </c>
      <c r="H72" s="20" t="n">
        <v>1.30257245</v>
      </c>
      <c r="I72" s="18" t="n">
        <v>0</v>
      </c>
      <c r="J72" s="20" t="n">
        <v>0</v>
      </c>
      <c r="K72" s="18" t="n">
        <v>0.10985664</v>
      </c>
      <c r="L72" s="20" t="n">
        <v>0.09316049999999999</v>
      </c>
      <c r="M72" s="18" t="n">
        <v>0</v>
      </c>
      <c r="N72" s="20" t="n">
        <v>0</v>
      </c>
      <c r="O72" s="18" t="n">
        <v>0</v>
      </c>
      <c r="P72" s="20" t="n">
        <v>0</v>
      </c>
      <c r="Q72" s="18" t="n">
        <v>0.61834937</v>
      </c>
      <c r="R72" s="20" t="n">
        <v>0.32524379</v>
      </c>
    </row>
    <row r="73" spans="1:18">
      <c r="A73" s="15" t="s">
        <v>633</v>
      </c>
      <c r="B73" s="17" t="n">
        <v>6115</v>
      </c>
      <c r="C73" s="18">
        <f>(5432.0/B73*100)</f>
        <v/>
      </c>
      <c r="D73" s="19" t="n">
        <v>683</v>
      </c>
      <c r="E73" s="18" t="n">
        <v>79.04314659000001</v>
      </c>
      <c r="F73" s="20" t="n">
        <v>1.73308932</v>
      </c>
      <c r="G73" s="18" t="n">
        <v>20.50968333</v>
      </c>
      <c r="H73" s="20" t="n">
        <v>1.73991973</v>
      </c>
      <c r="I73" s="18" t="n">
        <v>0</v>
      </c>
      <c r="J73" s="20" t="n">
        <v>0</v>
      </c>
      <c r="K73" s="18" t="n">
        <v>0</v>
      </c>
      <c r="L73" s="20" t="n">
        <v>0</v>
      </c>
      <c r="M73" s="18" t="n">
        <v>0</v>
      </c>
      <c r="N73" s="20" t="n">
        <v>0</v>
      </c>
      <c r="O73" s="18" t="n">
        <v>0</v>
      </c>
      <c r="P73" s="20" t="n">
        <v>0</v>
      </c>
      <c r="Q73" s="18" t="n">
        <v>0.44717008</v>
      </c>
      <c r="R73" s="20" t="n">
        <v>0.25990649</v>
      </c>
    </row>
    <row r="74" spans="1:18">
      <c r="A74" s="15" t="s">
        <v>634</v>
      </c>
      <c r="B74" s="17" t="n">
        <v>7708</v>
      </c>
      <c r="C74" s="18">
        <f>(6816.0/B74*100)</f>
        <v/>
      </c>
      <c r="D74" s="19" t="n">
        <v>892</v>
      </c>
      <c r="E74" s="18" t="n">
        <v>87.37301273</v>
      </c>
      <c r="F74" s="20" t="n">
        <v>1.19338347</v>
      </c>
      <c r="G74" s="18" t="n">
        <v>12.5043673</v>
      </c>
      <c r="H74" s="20" t="n">
        <v>1.18473672</v>
      </c>
      <c r="I74" s="18" t="n">
        <v>0</v>
      </c>
      <c r="J74" s="20" t="n">
        <v>0</v>
      </c>
      <c r="K74" s="18" t="n">
        <v>0.12261996</v>
      </c>
      <c r="L74" s="20" t="n">
        <v>0.12312546</v>
      </c>
      <c r="M74" s="18" t="n">
        <v>0</v>
      </c>
      <c r="N74" s="20" t="n">
        <v>0</v>
      </c>
      <c r="O74" s="18" t="n">
        <v>0</v>
      </c>
      <c r="P74" s="20" t="n">
        <v>0</v>
      </c>
      <c r="Q74" s="18" t="n">
        <v>0</v>
      </c>
      <c r="R74" s="20" t="n">
        <v>0</v>
      </c>
    </row>
    <row r="75" spans="1:18">
      <c r="A75" s="15" t="s">
        <v>635</v>
      </c>
      <c r="B75" s="17" t="n">
        <v>8249</v>
      </c>
      <c r="C75" s="18">
        <f>(7382.0/B75*100)</f>
        <v/>
      </c>
      <c r="D75" s="19" t="n">
        <v>867</v>
      </c>
      <c r="E75" s="18" t="n">
        <v>91.19563706</v>
      </c>
      <c r="F75" s="20" t="n">
        <v>1.14051966</v>
      </c>
      <c r="G75" s="18" t="n">
        <v>8.403769240000001</v>
      </c>
      <c r="H75" s="20" t="n">
        <v>1.08163228</v>
      </c>
      <c r="I75" s="18" t="n">
        <v>0</v>
      </c>
      <c r="J75" s="20" t="n">
        <v>0</v>
      </c>
      <c r="K75" s="18" t="n">
        <v>0</v>
      </c>
      <c r="L75" s="20" t="n">
        <v>0</v>
      </c>
      <c r="M75" s="18" t="n">
        <v>0</v>
      </c>
      <c r="N75" s="20" t="n">
        <v>0</v>
      </c>
      <c r="O75" s="18" t="n">
        <v>0</v>
      </c>
      <c r="P75" s="20" t="n">
        <v>0</v>
      </c>
      <c r="Q75" s="18" t="n">
        <v>0.4005937</v>
      </c>
      <c r="R75" s="20" t="n">
        <v>0.24764766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(4865.0/B77*100)</f>
        <v/>
      </c>
      <c r="D77" s="19" t="n">
        <v>510</v>
      </c>
      <c r="E77" s="18" t="n">
        <v>87.94844329999999</v>
      </c>
      <c r="F77" s="20" t="n">
        <v>1.42701274</v>
      </c>
      <c r="G77" s="18" t="n">
        <v>3.62677771</v>
      </c>
      <c r="H77" s="20" t="n">
        <v>0.88273272</v>
      </c>
      <c r="I77" s="18" t="n">
        <v>0</v>
      </c>
      <c r="J77" s="20" t="n">
        <v>0</v>
      </c>
      <c r="K77" s="18" t="n">
        <v>5.4035691</v>
      </c>
      <c r="L77" s="20" t="n">
        <v>0.86726271</v>
      </c>
      <c r="M77" s="18" t="n">
        <v>0</v>
      </c>
      <c r="N77" s="20" t="n">
        <v>0</v>
      </c>
      <c r="O77" s="18" t="n">
        <v>0</v>
      </c>
      <c r="P77" s="20" t="n">
        <v>0</v>
      </c>
      <c r="Q77" s="18" t="n">
        <v>3.02120989</v>
      </c>
      <c r="R77" s="20" t="n">
        <v>0.82989922</v>
      </c>
    </row>
    <row r="78" spans="1:18">
      <c r="A78" s="15" t="s">
        <v>638</v>
      </c>
      <c r="B78" s="17" t="n">
        <v>14167</v>
      </c>
      <c r="C78" s="18">
        <f>(12578.0/B78*100)</f>
        <v/>
      </c>
      <c r="D78" s="19" t="n">
        <v>1589</v>
      </c>
      <c r="E78" s="18" t="n">
        <v>91.69846788</v>
      </c>
      <c r="F78" s="20" t="n">
        <v>0.81465044</v>
      </c>
      <c r="G78" s="18" t="n">
        <v>6.71654099</v>
      </c>
      <c r="H78" s="20" t="n">
        <v>0.7280472</v>
      </c>
      <c r="I78" s="18" t="n">
        <v>0</v>
      </c>
      <c r="J78" s="20" t="n">
        <v>0</v>
      </c>
      <c r="K78" s="18" t="n">
        <v>1.04319972</v>
      </c>
      <c r="L78" s="20" t="n">
        <v>0.30799258</v>
      </c>
      <c r="M78" s="18" t="n">
        <v>0</v>
      </c>
      <c r="N78" s="20" t="n">
        <v>0</v>
      </c>
      <c r="O78" s="18" t="n">
        <v>0</v>
      </c>
      <c r="P78" s="20" t="n">
        <v>0</v>
      </c>
      <c r="Q78" s="18" t="n">
        <v>0.54179141</v>
      </c>
      <c r="R78" s="20" t="n">
        <v>0.19172886</v>
      </c>
    </row>
    <row r="79" spans="1:18">
      <c r="A79" s="15" t="s">
        <v>639</v>
      </c>
      <c r="B79" s="17" t="n">
        <v>6062</v>
      </c>
      <c r="C79" s="18">
        <f>(5442.0/B79*100)</f>
        <v/>
      </c>
      <c r="D79" s="19" t="n">
        <v>620</v>
      </c>
      <c r="E79" s="18" t="n">
        <v>87.05671608999999</v>
      </c>
      <c r="F79" s="20" t="n">
        <v>1.27813395</v>
      </c>
      <c r="G79" s="18" t="n">
        <v>8.890642850000001</v>
      </c>
      <c r="H79" s="20" t="n">
        <v>0.93066896</v>
      </c>
      <c r="I79" s="18" t="n">
        <v>0</v>
      </c>
      <c r="J79" s="20" t="n">
        <v>0</v>
      </c>
      <c r="K79" s="18" t="n">
        <v>1.71843864</v>
      </c>
      <c r="L79" s="20" t="n">
        <v>0.6130000799999999</v>
      </c>
      <c r="M79" s="18" t="n">
        <v>0</v>
      </c>
      <c r="N79" s="20" t="n">
        <v>0</v>
      </c>
      <c r="O79" s="18" t="n">
        <v>0</v>
      </c>
      <c r="P79" s="20" t="n">
        <v>0</v>
      </c>
      <c r="Q79" s="18" t="n">
        <v>2.33420242</v>
      </c>
      <c r="R79" s="20" t="n">
        <v>0.5572338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(28787.0/B82*100)</f>
        <v/>
      </c>
      <c r="D82" s="19" t="n">
        <v>3543</v>
      </c>
      <c r="E82" s="18" t="n">
        <v>86.89797442</v>
      </c>
      <c r="F82" s="20" t="n">
        <v>0.71110209</v>
      </c>
      <c r="G82" s="18" t="n">
        <v>12.16421991</v>
      </c>
      <c r="H82" s="20" t="n">
        <v>0.70053172</v>
      </c>
      <c r="I82" s="18" t="n">
        <v>0</v>
      </c>
      <c r="J82" s="20" t="n">
        <v>0</v>
      </c>
      <c r="K82" s="18" t="n">
        <v>0.22874061</v>
      </c>
      <c r="L82" s="20" t="n">
        <v>0.0970176</v>
      </c>
      <c r="M82" s="18" t="n">
        <v>0</v>
      </c>
      <c r="N82" s="20" t="n">
        <v>0</v>
      </c>
      <c r="O82" s="18" t="n">
        <v>0</v>
      </c>
      <c r="P82" s="20" t="n">
        <v>0</v>
      </c>
      <c r="Q82" s="18" t="n">
        <v>0.70906506</v>
      </c>
      <c r="R82" s="20" t="n">
        <v>0.21509819</v>
      </c>
    </row>
    <row r="83" spans="1:18">
      <c r="A83" s="15" t="s">
        <v>643</v>
      </c>
      <c r="B83" s="17" t="n">
        <v>1652</v>
      </c>
      <c r="C83" s="18">
        <f>(1485.0/B83*100)</f>
        <v/>
      </c>
      <c r="D83" s="19" t="n">
        <v>167</v>
      </c>
      <c r="E83" s="18" t="n">
        <v>82.88943062</v>
      </c>
      <c r="F83" s="20" t="n">
        <v>2.6934248</v>
      </c>
      <c r="G83" s="18" t="n">
        <v>16.5424505</v>
      </c>
      <c r="H83" s="20" t="n">
        <v>2.63777269</v>
      </c>
      <c r="I83" s="18" t="n">
        <v>0</v>
      </c>
      <c r="J83" s="20" t="n">
        <v>0</v>
      </c>
      <c r="K83" s="18" t="n">
        <v>0.56811888</v>
      </c>
      <c r="L83" s="20" t="n">
        <v>0.57252152</v>
      </c>
      <c r="M83" s="18" t="n">
        <v>0</v>
      </c>
      <c r="N83" s="20" t="n">
        <v>0</v>
      </c>
      <c r="O83" s="18" t="n">
        <v>0</v>
      </c>
      <c r="P83" s="20" t="n">
        <v>0</v>
      </c>
      <c r="Q83" s="18" t="n">
        <v>0</v>
      </c>
      <c r="R83" s="20" t="n">
        <v>0</v>
      </c>
    </row>
    <row r="84" spans="1:18">
      <c r="A84" s="23" t="s">
        <v>644</v>
      </c>
      <c r="B84" s="24" t="n">
        <v>1887</v>
      </c>
      <c r="C84" s="25">
        <f>(1684.0/B84*100)</f>
        <v/>
      </c>
      <c r="D84" s="19" t="n">
        <v>203</v>
      </c>
      <c r="E84" s="18" t="n">
        <v>81.99020631</v>
      </c>
      <c r="F84" s="20" t="n">
        <v>3.33671284</v>
      </c>
      <c r="G84" s="18" t="n">
        <v>17.49239853</v>
      </c>
      <c r="H84" s="20" t="n">
        <v>3.40119478</v>
      </c>
      <c r="I84" s="18" t="n">
        <v>0</v>
      </c>
      <c r="J84" s="20" t="n">
        <v>0</v>
      </c>
      <c r="K84" s="18" t="n">
        <v>0</v>
      </c>
      <c r="L84" s="20" t="n">
        <v>0</v>
      </c>
      <c r="M84" s="18" t="n">
        <v>0</v>
      </c>
      <c r="N84" s="20" t="n">
        <v>0</v>
      </c>
      <c r="O84" s="18" t="n">
        <v>0</v>
      </c>
      <c r="P84" s="20" t="n">
        <v>0</v>
      </c>
      <c r="Q84" s="18" t="n">
        <v>0.51739516</v>
      </c>
      <c r="R84" s="20" t="n">
        <v>0.51341737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(12942.0/B7*100)</f>
        <v/>
      </c>
      <c r="D7" s="19" t="n">
        <v>1588</v>
      </c>
      <c r="E7" s="18" t="n">
        <v>40.70427208</v>
      </c>
      <c r="F7" s="20" t="n">
        <v>1.4805947</v>
      </c>
      <c r="G7" s="18" t="n">
        <v>57.94193005</v>
      </c>
      <c r="H7" s="20" t="n">
        <v>1.45081813</v>
      </c>
      <c r="I7" s="18" t="n">
        <v>0</v>
      </c>
      <c r="J7" s="20" t="n">
        <v>0</v>
      </c>
      <c r="K7" s="18" t="n">
        <v>0.45698521</v>
      </c>
      <c r="L7" s="20" t="n">
        <v>0.1664577</v>
      </c>
      <c r="M7" s="18" t="n">
        <v>0</v>
      </c>
      <c r="N7" s="20" t="n">
        <v>0</v>
      </c>
      <c r="O7" s="18" t="n">
        <v>0</v>
      </c>
      <c r="P7" s="20" t="n">
        <v>0</v>
      </c>
      <c r="Q7" s="18" t="n">
        <v>0.89681267</v>
      </c>
      <c r="R7" s="20" t="n">
        <v>0.28064378</v>
      </c>
    </row>
    <row r="8" spans="1:18">
      <c r="A8" s="15" t="s">
        <v>566</v>
      </c>
      <c r="B8" s="17" t="n">
        <v>7007</v>
      </c>
      <c r="C8" s="18">
        <f>(6246.0/B8*100)</f>
        <v/>
      </c>
      <c r="D8" s="19" t="n">
        <v>761</v>
      </c>
      <c r="E8" s="18" t="n">
        <v>43.50457143</v>
      </c>
      <c r="F8" s="20" t="n">
        <v>2.00588818</v>
      </c>
      <c r="G8" s="18" t="n">
        <v>55.09465741</v>
      </c>
      <c r="H8" s="20" t="n">
        <v>2.10076351</v>
      </c>
      <c r="I8" s="18" t="n">
        <v>0</v>
      </c>
      <c r="J8" s="20" t="n">
        <v>0</v>
      </c>
      <c r="K8" s="18" t="n">
        <v>0.48047889</v>
      </c>
      <c r="L8" s="20" t="n">
        <v>0.26867596</v>
      </c>
      <c r="M8" s="18" t="n">
        <v>0</v>
      </c>
      <c r="N8" s="20" t="n">
        <v>0</v>
      </c>
      <c r="O8" s="18" t="n">
        <v>0</v>
      </c>
      <c r="P8" s="20" t="n">
        <v>0</v>
      </c>
      <c r="Q8" s="18" t="n">
        <v>0.92029227</v>
      </c>
      <c r="R8" s="20" t="n">
        <v>0.47959469</v>
      </c>
    </row>
    <row r="9" spans="1:18">
      <c r="A9" s="15" t="s">
        <v>567</v>
      </c>
      <c r="B9" s="17" t="n">
        <v>9651</v>
      </c>
      <c r="C9" s="18">
        <f>(8625.0/B9*100)</f>
        <v/>
      </c>
      <c r="D9" s="19" t="n">
        <v>1026</v>
      </c>
      <c r="E9" s="18" t="n">
        <v>44.06753732</v>
      </c>
      <c r="F9" s="20" t="n">
        <v>1.27719682</v>
      </c>
      <c r="G9" s="18" t="n">
        <v>54.14055566</v>
      </c>
      <c r="H9" s="20" t="n">
        <v>1.36979287</v>
      </c>
      <c r="I9" s="18" t="n">
        <v>0</v>
      </c>
      <c r="J9" s="20" t="n">
        <v>0</v>
      </c>
      <c r="K9" s="18" t="n">
        <v>0.7749912</v>
      </c>
      <c r="L9" s="20" t="n">
        <v>0.28826251</v>
      </c>
      <c r="M9" s="18" t="n">
        <v>0</v>
      </c>
      <c r="N9" s="20" t="n">
        <v>0</v>
      </c>
      <c r="O9" s="18" t="n">
        <v>0</v>
      </c>
      <c r="P9" s="20" t="n">
        <v>0</v>
      </c>
      <c r="Q9" s="18" t="n">
        <v>1.01691581</v>
      </c>
      <c r="R9" s="20" t="n">
        <v>0.31255178</v>
      </c>
    </row>
    <row r="10" spans="1:18">
      <c r="A10" s="15" t="s">
        <v>568</v>
      </c>
      <c r="B10" s="17" t="n">
        <v>20058</v>
      </c>
      <c r="C10" s="18">
        <f>(17846.0/B10*100)</f>
        <v/>
      </c>
      <c r="D10" s="19" t="n">
        <v>2212</v>
      </c>
      <c r="E10" s="18" t="n">
        <v>30.99037288</v>
      </c>
      <c r="F10" s="20" t="n">
        <v>1.68931307</v>
      </c>
      <c r="G10" s="18" t="n">
        <v>67.78942069</v>
      </c>
      <c r="H10" s="20" t="n">
        <v>1.63165942</v>
      </c>
      <c r="I10" s="18" t="n">
        <v>0</v>
      </c>
      <c r="J10" s="20" t="n">
        <v>0</v>
      </c>
      <c r="K10" s="18" t="n">
        <v>0.90421578</v>
      </c>
      <c r="L10" s="20" t="n">
        <v>0.28861208</v>
      </c>
      <c r="M10" s="18" t="n">
        <v>0</v>
      </c>
      <c r="N10" s="20" t="n">
        <v>0</v>
      </c>
      <c r="O10" s="18" t="n">
        <v>0</v>
      </c>
      <c r="P10" s="20" t="n">
        <v>0</v>
      </c>
      <c r="Q10" s="18" t="n">
        <v>0.31599064</v>
      </c>
      <c r="R10" s="20" t="n">
        <v>0.12449095</v>
      </c>
    </row>
    <row r="11" spans="1:18">
      <c r="A11" s="15" t="s">
        <v>569</v>
      </c>
      <c r="B11" s="17" t="n">
        <v>7053</v>
      </c>
      <c r="C11" s="18">
        <f>(6317.0/B11*100)</f>
        <v/>
      </c>
      <c r="D11" s="19" t="n">
        <v>736</v>
      </c>
      <c r="E11" s="18" t="n">
        <v>64.14226162</v>
      </c>
      <c r="F11" s="20" t="n">
        <v>1.90001397</v>
      </c>
      <c r="G11" s="18" t="n">
        <v>33.6912965</v>
      </c>
      <c r="H11" s="20" t="n">
        <v>1.81336743</v>
      </c>
      <c r="I11" s="18" t="n">
        <v>0</v>
      </c>
      <c r="J11" s="20" t="n">
        <v>0</v>
      </c>
      <c r="K11" s="18" t="n">
        <v>1.03094835</v>
      </c>
      <c r="L11" s="20" t="n">
        <v>0.79928234</v>
      </c>
      <c r="M11" s="18" t="n">
        <v>0</v>
      </c>
      <c r="N11" s="20" t="n">
        <v>0</v>
      </c>
      <c r="O11" s="18" t="n">
        <v>0</v>
      </c>
      <c r="P11" s="20" t="n">
        <v>0</v>
      </c>
      <c r="Q11" s="18" t="n">
        <v>1.13549353</v>
      </c>
      <c r="R11" s="20" t="n">
        <v>0.40424925</v>
      </c>
    </row>
    <row r="12" spans="1:18">
      <c r="A12" s="15" t="s">
        <v>570</v>
      </c>
      <c r="B12" s="17" t="n">
        <v>6894</v>
      </c>
      <c r="C12" s="18">
        <f>(6154.0/B12*100)</f>
        <v/>
      </c>
      <c r="D12" s="19" t="n">
        <v>740</v>
      </c>
      <c r="E12" s="18" t="n">
        <v>47.77746529</v>
      </c>
      <c r="F12" s="20" t="n">
        <v>1.94046406</v>
      </c>
      <c r="G12" s="18" t="n">
        <v>51.56531002</v>
      </c>
      <c r="H12" s="20" t="n">
        <v>1.97186361</v>
      </c>
      <c r="I12" s="18" t="n">
        <v>0</v>
      </c>
      <c r="J12" s="20" t="n">
        <v>0</v>
      </c>
      <c r="K12" s="18" t="n">
        <v>0.32278156</v>
      </c>
      <c r="L12" s="20" t="n">
        <v>0.219243</v>
      </c>
      <c r="M12" s="18" t="n">
        <v>0</v>
      </c>
      <c r="N12" s="20" t="n">
        <v>0</v>
      </c>
      <c r="O12" s="18" t="n">
        <v>0</v>
      </c>
      <c r="P12" s="20" t="n">
        <v>0</v>
      </c>
      <c r="Q12" s="18" t="n">
        <v>0.33444312</v>
      </c>
      <c r="R12" s="20" t="n">
        <v>0.35428354</v>
      </c>
    </row>
    <row r="13" spans="1:18">
      <c r="A13" s="15" t="s">
        <v>571</v>
      </c>
      <c r="B13" s="17" t="n">
        <v>7161</v>
      </c>
      <c r="C13" s="18">
        <f>(6434.0/B13*100)</f>
        <v/>
      </c>
      <c r="D13" s="19" t="n">
        <v>727</v>
      </c>
      <c r="E13" s="18" t="n">
        <v>46.93076197</v>
      </c>
      <c r="F13" s="20" t="n">
        <v>2.10847034</v>
      </c>
      <c r="G13" s="18" t="n">
        <v>49.58596544</v>
      </c>
      <c r="H13" s="20" t="n">
        <v>2.22379807</v>
      </c>
      <c r="I13" s="18" t="n">
        <v>0</v>
      </c>
      <c r="J13" s="20" t="n">
        <v>0</v>
      </c>
      <c r="K13" s="18" t="n">
        <v>1.41876783</v>
      </c>
      <c r="L13" s="20" t="n">
        <v>0.59944415</v>
      </c>
      <c r="M13" s="18" t="n">
        <v>0</v>
      </c>
      <c r="N13" s="20" t="n">
        <v>0</v>
      </c>
      <c r="O13" s="18" t="n">
        <v>0</v>
      </c>
      <c r="P13" s="20" t="n">
        <v>0</v>
      </c>
      <c r="Q13" s="18" t="n">
        <v>2.06450476</v>
      </c>
      <c r="R13" s="20" t="n">
        <v>0.81697332</v>
      </c>
    </row>
    <row r="14" spans="1:18">
      <c r="A14" s="15" t="s">
        <v>572</v>
      </c>
      <c r="B14" s="17" t="n">
        <v>5587</v>
      </c>
      <c r="C14" s="18">
        <f>(4965.0/B14*100)</f>
        <v/>
      </c>
      <c r="D14" s="19" t="n">
        <v>622</v>
      </c>
      <c r="E14" s="18" t="n">
        <v>40.88523858</v>
      </c>
      <c r="F14" s="20" t="n">
        <v>1.95603137</v>
      </c>
      <c r="G14" s="18" t="n">
        <v>58.46424459</v>
      </c>
      <c r="H14" s="20" t="n">
        <v>2.01216803</v>
      </c>
      <c r="I14" s="18" t="n">
        <v>0</v>
      </c>
      <c r="J14" s="20" t="n">
        <v>0</v>
      </c>
      <c r="K14" s="18" t="n">
        <v>0.52717561</v>
      </c>
      <c r="L14" s="20" t="n">
        <v>0.26880141</v>
      </c>
      <c r="M14" s="18" t="n">
        <v>0</v>
      </c>
      <c r="N14" s="20" t="n">
        <v>0</v>
      </c>
      <c r="O14" s="18" t="n">
        <v>0</v>
      </c>
      <c r="P14" s="20" t="n">
        <v>0</v>
      </c>
      <c r="Q14" s="18" t="n">
        <v>0.12334121</v>
      </c>
      <c r="R14" s="20" t="n">
        <v>0.1231732</v>
      </c>
    </row>
    <row r="15" spans="1:18">
      <c r="A15" s="15" t="s">
        <v>573</v>
      </c>
      <c r="B15" s="17" t="n">
        <v>5882</v>
      </c>
      <c r="C15" s="18">
        <f>(5220.0/B15*100)</f>
        <v/>
      </c>
      <c r="D15" s="19" t="n">
        <v>662</v>
      </c>
      <c r="E15" s="18" t="n">
        <v>41.22713043</v>
      </c>
      <c r="F15" s="20" t="n">
        <v>2.11760383</v>
      </c>
      <c r="G15" s="18" t="n">
        <v>57.87754609</v>
      </c>
      <c r="H15" s="20" t="n">
        <v>2.11180535</v>
      </c>
      <c r="I15" s="18" t="n">
        <v>0</v>
      </c>
      <c r="J15" s="20" t="n">
        <v>0</v>
      </c>
      <c r="K15" s="18" t="n">
        <v>0.76353665</v>
      </c>
      <c r="L15" s="20" t="n">
        <v>0.32184782</v>
      </c>
      <c r="M15" s="18" t="n">
        <v>0</v>
      </c>
      <c r="N15" s="20" t="n">
        <v>0</v>
      </c>
      <c r="O15" s="18" t="n">
        <v>0</v>
      </c>
      <c r="P15" s="20" t="n">
        <v>0</v>
      </c>
      <c r="Q15" s="18" t="n">
        <v>0.13178683</v>
      </c>
      <c r="R15" s="20" t="n">
        <v>0.1343085</v>
      </c>
    </row>
    <row r="16" spans="1:18">
      <c r="A16" s="15" t="s">
        <v>574</v>
      </c>
      <c r="B16" s="17" t="n">
        <v>6108</v>
      </c>
      <c r="C16" s="18">
        <f>(5434.0/B16*100)</f>
        <v/>
      </c>
      <c r="D16" s="19" t="n">
        <v>674</v>
      </c>
      <c r="E16" s="18" t="n">
        <v>43.13442004</v>
      </c>
      <c r="F16" s="20" t="n">
        <v>1.73390599</v>
      </c>
      <c r="G16" s="18" t="n">
        <v>53.12050751</v>
      </c>
      <c r="H16" s="20" t="n">
        <v>1.79776003</v>
      </c>
      <c r="I16" s="18" t="n">
        <v>0</v>
      </c>
      <c r="J16" s="20" t="n">
        <v>0</v>
      </c>
      <c r="K16" s="18" t="n">
        <v>2.19256155</v>
      </c>
      <c r="L16" s="20" t="n">
        <v>0.56183319</v>
      </c>
      <c r="M16" s="18" t="n">
        <v>0</v>
      </c>
      <c r="N16" s="20" t="n">
        <v>0</v>
      </c>
      <c r="O16" s="18" t="n">
        <v>0</v>
      </c>
      <c r="P16" s="20" t="n">
        <v>0</v>
      </c>
      <c r="Q16" s="18" t="n">
        <v>1.5525109</v>
      </c>
      <c r="R16" s="20" t="n">
        <v>0.49295175</v>
      </c>
    </row>
    <row r="17" spans="1:18">
      <c r="A17" s="15" t="s">
        <v>575</v>
      </c>
      <c r="B17" s="17" t="n">
        <v>6504</v>
      </c>
      <c r="C17" s="18">
        <f>(5810.0/B17*100)</f>
        <v/>
      </c>
      <c r="D17" s="19" t="n">
        <v>694</v>
      </c>
      <c r="E17" s="18" t="n">
        <v>39.76451243</v>
      </c>
      <c r="F17" s="20" t="n">
        <v>1.92082804</v>
      </c>
      <c r="G17" s="18" t="n">
        <v>59.24278562</v>
      </c>
      <c r="H17" s="20" t="n">
        <v>1.97398905</v>
      </c>
      <c r="I17" s="18" t="n">
        <v>0</v>
      </c>
      <c r="J17" s="20" t="n">
        <v>0</v>
      </c>
      <c r="K17" s="18" t="n">
        <v>0.68887387</v>
      </c>
      <c r="L17" s="20" t="n">
        <v>0.32377112</v>
      </c>
      <c r="M17" s="18" t="n">
        <v>0</v>
      </c>
      <c r="N17" s="20" t="n">
        <v>0</v>
      </c>
      <c r="O17" s="18" t="n">
        <v>0</v>
      </c>
      <c r="P17" s="20" t="n">
        <v>0</v>
      </c>
      <c r="Q17" s="18" t="n">
        <v>0.30382808</v>
      </c>
      <c r="R17" s="20" t="n">
        <v>0.23342257</v>
      </c>
    </row>
    <row r="18" spans="1:18">
      <c r="A18" s="15" t="s">
        <v>576</v>
      </c>
      <c r="B18" s="17" t="n">
        <v>5532</v>
      </c>
      <c r="C18" s="18">
        <f>(4914.0/B18*100)</f>
        <v/>
      </c>
      <c r="D18" s="19" t="n">
        <v>618</v>
      </c>
      <c r="E18" s="18" t="n">
        <v>58.92662966</v>
      </c>
      <c r="F18" s="20" t="n">
        <v>2.31723756</v>
      </c>
      <c r="G18" s="18" t="n">
        <v>38.96463778</v>
      </c>
      <c r="H18" s="20" t="n">
        <v>2.36220379</v>
      </c>
      <c r="I18" s="18" t="n">
        <v>0</v>
      </c>
      <c r="J18" s="20" t="n">
        <v>0</v>
      </c>
      <c r="K18" s="18" t="n">
        <v>0.58035442</v>
      </c>
      <c r="L18" s="20" t="n">
        <v>0.28191038</v>
      </c>
      <c r="M18" s="18" t="n">
        <v>0</v>
      </c>
      <c r="N18" s="20" t="n">
        <v>0</v>
      </c>
      <c r="O18" s="18" t="n">
        <v>0</v>
      </c>
      <c r="P18" s="20" t="n">
        <v>0</v>
      </c>
      <c r="Q18" s="18" t="n">
        <v>1.52837814</v>
      </c>
      <c r="R18" s="20" t="n">
        <v>0.79065518</v>
      </c>
    </row>
    <row r="19" spans="1:18">
      <c r="A19" s="15" t="s">
        <v>577</v>
      </c>
      <c r="B19" s="17" t="n">
        <v>5658</v>
      </c>
      <c r="C19" s="18">
        <f>(5046.0/B19*100)</f>
        <v/>
      </c>
      <c r="D19" s="19" t="n">
        <v>612</v>
      </c>
      <c r="E19" s="18" t="n">
        <v>54.91020313</v>
      </c>
      <c r="F19" s="20" t="n">
        <v>2.29275104</v>
      </c>
      <c r="G19" s="18" t="n">
        <v>44.7640833</v>
      </c>
      <c r="H19" s="20" t="n">
        <v>2.24777881</v>
      </c>
      <c r="I19" s="18" t="n">
        <v>0</v>
      </c>
      <c r="J19" s="20" t="n">
        <v>0</v>
      </c>
      <c r="K19" s="18" t="n">
        <v>0</v>
      </c>
      <c r="L19" s="20" t="n">
        <v>0</v>
      </c>
      <c r="M19" s="18" t="n">
        <v>0</v>
      </c>
      <c r="N19" s="20" t="n">
        <v>0</v>
      </c>
      <c r="O19" s="18" t="n">
        <v>0</v>
      </c>
      <c r="P19" s="20" t="n">
        <v>0</v>
      </c>
      <c r="Q19" s="18" t="n">
        <v>0.32571357</v>
      </c>
      <c r="R19" s="20" t="n">
        <v>0.22341278</v>
      </c>
    </row>
    <row r="20" spans="1:18">
      <c r="A20" s="15" t="s">
        <v>578</v>
      </c>
      <c r="B20" s="17" t="n">
        <v>3371</v>
      </c>
      <c r="C20" s="18">
        <f>(3016.0/B20*100)</f>
        <v/>
      </c>
      <c r="D20" s="19" t="n">
        <v>355</v>
      </c>
      <c r="E20" s="18" t="n">
        <v>40.95428826</v>
      </c>
      <c r="F20" s="20" t="n">
        <v>3.08617485</v>
      </c>
      <c r="G20" s="18" t="n">
        <v>56.64286213</v>
      </c>
      <c r="H20" s="20" t="n">
        <v>3.06060839</v>
      </c>
      <c r="I20" s="18" t="n">
        <v>0</v>
      </c>
      <c r="J20" s="20" t="n">
        <v>0</v>
      </c>
      <c r="K20" s="18" t="n">
        <v>1.00637749</v>
      </c>
      <c r="L20" s="20" t="n">
        <v>0.49108962</v>
      </c>
      <c r="M20" s="18" t="n">
        <v>0</v>
      </c>
      <c r="N20" s="20" t="n">
        <v>0</v>
      </c>
      <c r="O20" s="18" t="n">
        <v>0</v>
      </c>
      <c r="P20" s="20" t="n">
        <v>0</v>
      </c>
      <c r="Q20" s="18" t="n">
        <v>1.39647212</v>
      </c>
      <c r="R20" s="20" t="n">
        <v>0.6347283</v>
      </c>
    </row>
    <row r="21" spans="1:18">
      <c r="A21" s="15" t="s">
        <v>579</v>
      </c>
      <c r="B21" s="17" t="n">
        <v>5741</v>
      </c>
      <c r="C21" s="18">
        <f>(5079.0/B21*100)</f>
        <v/>
      </c>
      <c r="D21" s="19" t="n">
        <v>662</v>
      </c>
      <c r="E21" s="18" t="n">
        <v>38.9706372</v>
      </c>
      <c r="F21" s="20" t="n">
        <v>1.87947379</v>
      </c>
      <c r="G21" s="18" t="n">
        <v>59.48223384</v>
      </c>
      <c r="H21" s="20" t="n">
        <v>1.90105724</v>
      </c>
      <c r="I21" s="18" t="n">
        <v>0</v>
      </c>
      <c r="J21" s="20" t="n">
        <v>0</v>
      </c>
      <c r="K21" s="18" t="n">
        <v>0.58875375</v>
      </c>
      <c r="L21" s="20" t="n">
        <v>0.28998289</v>
      </c>
      <c r="M21" s="18" t="n">
        <v>0</v>
      </c>
      <c r="N21" s="20" t="n">
        <v>0</v>
      </c>
      <c r="O21" s="18" t="n">
        <v>0</v>
      </c>
      <c r="P21" s="20" t="n">
        <v>0</v>
      </c>
      <c r="Q21" s="18" t="n">
        <v>0.95837521</v>
      </c>
      <c r="R21" s="20" t="n">
        <v>0.38391366</v>
      </c>
    </row>
    <row r="22" spans="1:18">
      <c r="A22" s="15" t="s">
        <v>580</v>
      </c>
      <c r="B22" s="17" t="n">
        <v>6598</v>
      </c>
      <c r="C22" s="18">
        <f>(5946.0/B22*100)</f>
        <v/>
      </c>
      <c r="D22" s="19" t="n">
        <v>652</v>
      </c>
      <c r="E22" s="18" t="n">
        <v>58.78096025</v>
      </c>
      <c r="F22" s="20" t="n">
        <v>1.96773738</v>
      </c>
      <c r="G22" s="18" t="n">
        <v>38.53257221</v>
      </c>
      <c r="H22" s="20" t="n">
        <v>1.99734583</v>
      </c>
      <c r="I22" s="18" t="n">
        <v>0</v>
      </c>
      <c r="J22" s="20" t="n">
        <v>0</v>
      </c>
      <c r="K22" s="18" t="n">
        <v>1.84484449</v>
      </c>
      <c r="L22" s="20" t="n">
        <v>0.62933697</v>
      </c>
      <c r="M22" s="18" t="n">
        <v>0</v>
      </c>
      <c r="N22" s="20" t="n">
        <v>0</v>
      </c>
      <c r="O22" s="18" t="n">
        <v>0</v>
      </c>
      <c r="P22" s="20" t="n">
        <v>0</v>
      </c>
      <c r="Q22" s="18" t="n">
        <v>0.84162306</v>
      </c>
      <c r="R22" s="20" t="n">
        <v>0.33820098</v>
      </c>
    </row>
    <row r="23" spans="1:18">
      <c r="A23" s="15" t="s">
        <v>581</v>
      </c>
      <c r="B23" s="17" t="n">
        <v>11583</v>
      </c>
      <c r="C23" s="18">
        <f>(10325.0/B23*100)</f>
        <v/>
      </c>
      <c r="D23" s="19" t="n">
        <v>1258</v>
      </c>
      <c r="E23" s="18" t="n">
        <v>45.12069126</v>
      </c>
      <c r="F23" s="20" t="n">
        <v>1.80900241</v>
      </c>
      <c r="G23" s="18" t="n">
        <v>53.70101951</v>
      </c>
      <c r="H23" s="20" t="n">
        <v>1.83921608</v>
      </c>
      <c r="I23" s="18" t="n">
        <v>0</v>
      </c>
      <c r="J23" s="20" t="n">
        <v>0</v>
      </c>
      <c r="K23" s="18" t="n">
        <v>0.84241499</v>
      </c>
      <c r="L23" s="20" t="n">
        <v>0.42925441</v>
      </c>
      <c r="M23" s="18" t="n">
        <v>0</v>
      </c>
      <c r="N23" s="20" t="n">
        <v>0</v>
      </c>
      <c r="O23" s="18" t="n">
        <v>0</v>
      </c>
      <c r="P23" s="20" t="n">
        <v>0</v>
      </c>
      <c r="Q23" s="18" t="n">
        <v>0.33587424</v>
      </c>
      <c r="R23" s="20" t="n">
        <v>0.24816951</v>
      </c>
    </row>
    <row r="24" spans="1:18">
      <c r="A24" s="15" t="s">
        <v>582</v>
      </c>
      <c r="B24" s="17" t="n">
        <v>6647</v>
      </c>
      <c r="C24" s="18">
        <f>(5928.0/B24*100)</f>
        <v/>
      </c>
      <c r="D24" s="19" t="n">
        <v>719</v>
      </c>
      <c r="E24" s="18" t="n">
        <v>31.84959126</v>
      </c>
      <c r="F24" s="20" t="n">
        <v>1.80489683</v>
      </c>
      <c r="G24" s="18" t="n">
        <v>67.47191008999999</v>
      </c>
      <c r="H24" s="20" t="n">
        <v>1.75480174</v>
      </c>
      <c r="I24" s="18" t="n">
        <v>0</v>
      </c>
      <c r="J24" s="20" t="n">
        <v>0</v>
      </c>
      <c r="K24" s="18" t="n">
        <v>0.41194022</v>
      </c>
      <c r="L24" s="20" t="n">
        <v>0.2311576</v>
      </c>
      <c r="M24" s="18" t="n">
        <v>0</v>
      </c>
      <c r="N24" s="20" t="n">
        <v>0</v>
      </c>
      <c r="O24" s="18" t="n">
        <v>0</v>
      </c>
      <c r="P24" s="20" t="n">
        <v>0</v>
      </c>
      <c r="Q24" s="18" t="n">
        <v>0.26655843</v>
      </c>
      <c r="R24" s="20" t="n">
        <v>0.18798868</v>
      </c>
    </row>
    <row r="25" spans="1:18">
      <c r="A25" s="15" t="s">
        <v>583</v>
      </c>
      <c r="B25" s="17" t="n">
        <v>5581</v>
      </c>
      <c r="C25" s="18">
        <f>(4966.0/B25*100)</f>
        <v/>
      </c>
      <c r="D25" s="19" t="n">
        <v>615</v>
      </c>
      <c r="E25" s="18" t="n">
        <v>32.96930643</v>
      </c>
      <c r="F25" s="20" t="n">
        <v>1.79397373</v>
      </c>
      <c r="G25" s="18" t="n">
        <v>66.42737648000001</v>
      </c>
      <c r="H25" s="20" t="n">
        <v>1.87089487</v>
      </c>
      <c r="I25" s="18" t="n">
        <v>0</v>
      </c>
      <c r="J25" s="20" t="n">
        <v>0</v>
      </c>
      <c r="K25" s="18" t="n">
        <v>0.42807223</v>
      </c>
      <c r="L25" s="20" t="n">
        <v>0.25037646</v>
      </c>
      <c r="M25" s="18" t="n">
        <v>0</v>
      </c>
      <c r="N25" s="20" t="n">
        <v>0</v>
      </c>
      <c r="O25" s="18" t="n">
        <v>0</v>
      </c>
      <c r="P25" s="20" t="n">
        <v>0</v>
      </c>
      <c r="Q25" s="18" t="n">
        <v>0.17524487</v>
      </c>
      <c r="R25" s="20" t="n">
        <v>0.17567022</v>
      </c>
    </row>
    <row r="26" spans="1:18">
      <c r="A26" s="15" t="s">
        <v>584</v>
      </c>
      <c r="B26" s="17" t="n">
        <v>4869</v>
      </c>
      <c r="C26" s="18">
        <f>(4327.0/B26*100)</f>
        <v/>
      </c>
      <c r="D26" s="19" t="n">
        <v>542</v>
      </c>
      <c r="E26" s="18" t="n">
        <v>51.93682914</v>
      </c>
      <c r="F26" s="20" t="n">
        <v>2.5273602</v>
      </c>
      <c r="G26" s="18" t="n">
        <v>48.06317086</v>
      </c>
      <c r="H26" s="20" t="n">
        <v>2.5273602</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(4725.0/B27*100)</f>
        <v/>
      </c>
      <c r="D27" s="19" t="n">
        <v>574</v>
      </c>
      <c r="E27" s="18" t="n">
        <v>50.82822299</v>
      </c>
      <c r="F27" s="20" t="n">
        <v>1.92680518</v>
      </c>
      <c r="G27" s="18" t="n">
        <v>48.30344973</v>
      </c>
      <c r="H27" s="20" t="n">
        <v>1.90736429</v>
      </c>
      <c r="I27" s="18" t="n">
        <v>0</v>
      </c>
      <c r="J27" s="20" t="n">
        <v>0</v>
      </c>
      <c r="K27" s="18" t="n">
        <v>0.52408042</v>
      </c>
      <c r="L27" s="20" t="n">
        <v>0.30232091</v>
      </c>
      <c r="M27" s="18" t="n">
        <v>0</v>
      </c>
      <c r="N27" s="20" t="n">
        <v>0</v>
      </c>
      <c r="O27" s="18" t="n">
        <v>0</v>
      </c>
      <c r="P27" s="20" t="n">
        <v>0</v>
      </c>
      <c r="Q27" s="18" t="n">
        <v>0.34424686</v>
      </c>
      <c r="R27" s="20" t="n">
        <v>0.24361012</v>
      </c>
    </row>
    <row r="28" spans="1:18">
      <c r="A28" s="15" t="s">
        <v>586</v>
      </c>
      <c r="B28" s="17" t="n">
        <v>7568</v>
      </c>
      <c r="C28" s="18">
        <f>(6822.0/B28*100)</f>
        <v/>
      </c>
      <c r="D28" s="19" t="n">
        <v>746</v>
      </c>
      <c r="E28" s="18" t="n">
        <v>62.38392825</v>
      </c>
      <c r="F28" s="20" t="n">
        <v>2.09861998</v>
      </c>
      <c r="G28" s="18" t="n">
        <v>36.47593276</v>
      </c>
      <c r="H28" s="20" t="n">
        <v>2.15031404</v>
      </c>
      <c r="I28" s="18" t="n">
        <v>0</v>
      </c>
      <c r="J28" s="20" t="n">
        <v>0</v>
      </c>
      <c r="K28" s="18" t="n">
        <v>0.7871858900000001</v>
      </c>
      <c r="L28" s="20" t="n">
        <v>0.38618705</v>
      </c>
      <c r="M28" s="18" t="n">
        <v>0</v>
      </c>
      <c r="N28" s="20" t="n">
        <v>0</v>
      </c>
      <c r="O28" s="18" t="n">
        <v>0</v>
      </c>
      <c r="P28" s="20" t="n">
        <v>0</v>
      </c>
      <c r="Q28" s="18" t="n">
        <v>0.3529531</v>
      </c>
      <c r="R28" s="20" t="n">
        <v>0.21243944</v>
      </c>
    </row>
    <row r="29" spans="1:18">
      <c r="A29" s="15" t="s">
        <v>587</v>
      </c>
      <c r="B29" s="17" t="n">
        <v>5385</v>
      </c>
      <c r="C29" s="18">
        <f>(4803.0/B29*100)</f>
        <v/>
      </c>
      <c r="D29" s="19" t="n">
        <v>582</v>
      </c>
      <c r="E29" s="18" t="n">
        <v>38.2743988</v>
      </c>
      <c r="F29" s="20" t="n">
        <v>1.95781563</v>
      </c>
      <c r="G29" s="18" t="n">
        <v>61.04306913</v>
      </c>
      <c r="H29" s="20" t="n">
        <v>1.95652937</v>
      </c>
      <c r="I29" s="18" t="n">
        <v>0</v>
      </c>
      <c r="J29" s="20" t="n">
        <v>0</v>
      </c>
      <c r="K29" s="18" t="n">
        <v>0.17696287</v>
      </c>
      <c r="L29" s="20" t="n">
        <v>0.17544565</v>
      </c>
      <c r="M29" s="18" t="n">
        <v>0</v>
      </c>
      <c r="N29" s="20" t="n">
        <v>0</v>
      </c>
      <c r="O29" s="18" t="n">
        <v>0</v>
      </c>
      <c r="P29" s="20" t="n">
        <v>0</v>
      </c>
      <c r="Q29" s="18" t="n">
        <v>0.5055692000000001</v>
      </c>
      <c r="R29" s="20" t="n">
        <v>0.2945912</v>
      </c>
    </row>
    <row r="30" spans="1:18">
      <c r="A30" s="15" t="s">
        <v>588</v>
      </c>
      <c r="B30" s="17" t="n">
        <v>4520</v>
      </c>
      <c r="C30" s="18">
        <f>(4018.0/B30*100)</f>
        <v/>
      </c>
      <c r="D30" s="19" t="n">
        <v>502</v>
      </c>
      <c r="E30" s="18" t="n">
        <v>43.34414128</v>
      </c>
      <c r="F30" s="20" t="n">
        <v>2.28603639</v>
      </c>
      <c r="G30" s="18" t="n">
        <v>54.58284792</v>
      </c>
      <c r="H30" s="20" t="n">
        <v>2.20774658</v>
      </c>
      <c r="I30" s="18" t="n">
        <v>0</v>
      </c>
      <c r="J30" s="20" t="n">
        <v>0</v>
      </c>
      <c r="K30" s="18" t="n">
        <v>0.88106103</v>
      </c>
      <c r="L30" s="20" t="n">
        <v>0.45313347</v>
      </c>
      <c r="M30" s="18" t="n">
        <v>0</v>
      </c>
      <c r="N30" s="20" t="n">
        <v>0</v>
      </c>
      <c r="O30" s="18" t="n">
        <v>0</v>
      </c>
      <c r="P30" s="20" t="n">
        <v>0</v>
      </c>
      <c r="Q30" s="18" t="n">
        <v>1.19194977</v>
      </c>
      <c r="R30" s="20" t="n">
        <v>0.50331746</v>
      </c>
    </row>
    <row r="31" spans="1:18">
      <c r="A31" s="15" t="s">
        <v>589</v>
      </c>
      <c r="B31" s="17" t="n">
        <v>5456</v>
      </c>
      <c r="C31" s="18">
        <f>(4859.0/B31*100)</f>
        <v/>
      </c>
      <c r="D31" s="19" t="n">
        <v>597</v>
      </c>
      <c r="E31" s="18" t="n">
        <v>28.79956565</v>
      </c>
      <c r="F31" s="20" t="n">
        <v>1.91813836</v>
      </c>
      <c r="G31" s="18" t="n">
        <v>68.91227304</v>
      </c>
      <c r="H31" s="20" t="n">
        <v>1.9910459</v>
      </c>
      <c r="I31" s="18" t="n">
        <v>0</v>
      </c>
      <c r="J31" s="20" t="n">
        <v>0</v>
      </c>
      <c r="K31" s="18" t="n">
        <v>0.64159339</v>
      </c>
      <c r="L31" s="20" t="n">
        <v>0.30072616</v>
      </c>
      <c r="M31" s="18" t="n">
        <v>0</v>
      </c>
      <c r="N31" s="20" t="n">
        <v>0</v>
      </c>
      <c r="O31" s="18" t="n">
        <v>0</v>
      </c>
      <c r="P31" s="20" t="n">
        <v>0</v>
      </c>
      <c r="Q31" s="18" t="n">
        <v>1.64656792</v>
      </c>
      <c r="R31" s="20" t="n">
        <v>0.53172159</v>
      </c>
    </row>
    <row r="32" spans="1:18">
      <c r="A32" s="15" t="s">
        <v>590</v>
      </c>
      <c r="B32" s="17" t="n">
        <v>4478</v>
      </c>
      <c r="C32" s="18">
        <f>(3989.0/B32*100)</f>
        <v/>
      </c>
      <c r="D32" s="19" t="n">
        <v>489</v>
      </c>
      <c r="E32" s="18" t="n">
        <v>52.3734175</v>
      </c>
      <c r="F32" s="20" t="n">
        <v>2.16992389</v>
      </c>
      <c r="G32" s="18" t="n">
        <v>46.86782208</v>
      </c>
      <c r="H32" s="20" t="n">
        <v>2.1858543</v>
      </c>
      <c r="I32" s="18" t="n">
        <v>0</v>
      </c>
      <c r="J32" s="20" t="n">
        <v>0</v>
      </c>
      <c r="K32" s="18" t="n">
        <v>0.3678878</v>
      </c>
      <c r="L32" s="20" t="n">
        <v>0.26113157</v>
      </c>
      <c r="M32" s="18" t="n">
        <v>0</v>
      </c>
      <c r="N32" s="20" t="n">
        <v>0</v>
      </c>
      <c r="O32" s="18" t="n">
        <v>0</v>
      </c>
      <c r="P32" s="20" t="n">
        <v>0</v>
      </c>
      <c r="Q32" s="18" t="n">
        <v>0.39087262</v>
      </c>
      <c r="R32" s="20" t="n">
        <v>0.28619921</v>
      </c>
    </row>
    <row r="33" spans="1:18">
      <c r="A33" s="15" t="s">
        <v>591</v>
      </c>
      <c r="B33" s="17" t="n">
        <v>7325</v>
      </c>
      <c r="C33" s="18">
        <f>(6578.0/B33*100)</f>
        <v/>
      </c>
      <c r="D33" s="19" t="n">
        <v>747</v>
      </c>
      <c r="E33" s="18" t="n">
        <v>38.42970229</v>
      </c>
      <c r="F33" s="20" t="n">
        <v>2.03081471</v>
      </c>
      <c r="G33" s="18" t="n">
        <v>60.72746315</v>
      </c>
      <c r="H33" s="20" t="n">
        <v>2.03452469</v>
      </c>
      <c r="I33" s="18" t="n">
        <v>0</v>
      </c>
      <c r="J33" s="20" t="n">
        <v>0</v>
      </c>
      <c r="K33" s="18" t="n">
        <v>0.42344195</v>
      </c>
      <c r="L33" s="20" t="n">
        <v>0.2802681</v>
      </c>
      <c r="M33" s="18" t="n">
        <v>0</v>
      </c>
      <c r="N33" s="20" t="n">
        <v>0</v>
      </c>
      <c r="O33" s="18" t="n">
        <v>0</v>
      </c>
      <c r="P33" s="20" t="n">
        <v>0</v>
      </c>
      <c r="Q33" s="18" t="n">
        <v>0.41939261</v>
      </c>
      <c r="R33" s="20" t="n">
        <v>0.25404773</v>
      </c>
    </row>
    <row r="34" spans="1:18">
      <c r="A34" s="15" t="s">
        <v>592</v>
      </c>
      <c r="B34" s="17" t="n">
        <v>6350</v>
      </c>
      <c r="C34" s="18">
        <f>(5712.0/B34*100)</f>
        <v/>
      </c>
      <c r="D34" s="19" t="n">
        <v>638</v>
      </c>
      <c r="E34" s="18" t="n">
        <v>55.47315472</v>
      </c>
      <c r="F34" s="20" t="n">
        <v>1.99519136</v>
      </c>
      <c r="G34" s="18" t="n">
        <v>43.74000423</v>
      </c>
      <c r="H34" s="20" t="n">
        <v>1.94366312</v>
      </c>
      <c r="I34" s="18" t="n">
        <v>0</v>
      </c>
      <c r="J34" s="20" t="n">
        <v>0</v>
      </c>
      <c r="K34" s="18" t="n">
        <v>0.6374387500000001</v>
      </c>
      <c r="L34" s="20" t="n">
        <v>0.36842746</v>
      </c>
      <c r="M34" s="18" t="n">
        <v>0</v>
      </c>
      <c r="N34" s="20" t="n">
        <v>0</v>
      </c>
      <c r="O34" s="18" t="n">
        <v>0</v>
      </c>
      <c r="P34" s="20" t="n">
        <v>0</v>
      </c>
      <c r="Q34" s="18" t="n">
        <v>0.1494023</v>
      </c>
      <c r="R34" s="20" t="n">
        <v>0.14505821</v>
      </c>
    </row>
    <row r="35" spans="1:18">
      <c r="A35" s="15" t="s">
        <v>593</v>
      </c>
      <c r="B35" s="17" t="n">
        <v>6406</v>
      </c>
      <c r="C35" s="18">
        <f>(5717.0/B35*100)</f>
        <v/>
      </c>
      <c r="D35" s="19" t="n">
        <v>689</v>
      </c>
      <c r="E35" s="18" t="n">
        <v>41.94692364</v>
      </c>
      <c r="F35" s="20" t="n">
        <v>2.5713772</v>
      </c>
      <c r="G35" s="18" t="n">
        <v>57.73965405</v>
      </c>
      <c r="H35" s="20" t="n">
        <v>2.56481951</v>
      </c>
      <c r="I35" s="18" t="n">
        <v>0</v>
      </c>
      <c r="J35" s="20" t="n">
        <v>0</v>
      </c>
      <c r="K35" s="18" t="n">
        <v>0</v>
      </c>
      <c r="L35" s="20" t="n">
        <v>0</v>
      </c>
      <c r="M35" s="18" t="n">
        <v>0</v>
      </c>
      <c r="N35" s="20" t="n">
        <v>0</v>
      </c>
      <c r="O35" s="18" t="n">
        <v>0</v>
      </c>
      <c r="P35" s="20" t="n">
        <v>0</v>
      </c>
      <c r="Q35" s="18" t="n">
        <v>0.31342231</v>
      </c>
      <c r="R35" s="20" t="n">
        <v>0.19303654</v>
      </c>
    </row>
    <row r="36" spans="1:18">
      <c r="A36" s="15" t="s">
        <v>594</v>
      </c>
      <c r="B36" s="17" t="n">
        <v>6736</v>
      </c>
      <c r="C36" s="18">
        <f>(5990.0/B36*100)</f>
        <v/>
      </c>
      <c r="D36" s="19" t="n">
        <v>746</v>
      </c>
      <c r="E36" s="18" t="n">
        <v>43.03156171</v>
      </c>
      <c r="F36" s="20" t="n">
        <v>1.89796568</v>
      </c>
      <c r="G36" s="18" t="n">
        <v>55.72232368</v>
      </c>
      <c r="H36" s="20" t="n">
        <v>1.90566229</v>
      </c>
      <c r="I36" s="18" t="n">
        <v>0</v>
      </c>
      <c r="J36" s="20" t="n">
        <v>0</v>
      </c>
      <c r="K36" s="18" t="n">
        <v>0.48564427</v>
      </c>
      <c r="L36" s="20" t="n">
        <v>0.23495756</v>
      </c>
      <c r="M36" s="18" t="n">
        <v>0</v>
      </c>
      <c r="N36" s="20" t="n">
        <v>0</v>
      </c>
      <c r="O36" s="18" t="n">
        <v>0</v>
      </c>
      <c r="P36" s="20" t="n">
        <v>0</v>
      </c>
      <c r="Q36" s="18" t="n">
        <v>0.76047034</v>
      </c>
      <c r="R36" s="20" t="n">
        <v>0.23110913</v>
      </c>
    </row>
    <row r="37" spans="1:18">
      <c r="A37" s="15" t="s">
        <v>595</v>
      </c>
      <c r="B37" s="17" t="n">
        <v>5458</v>
      </c>
      <c r="C37" s="18">
        <f>(4881.0/B37*100)</f>
        <v/>
      </c>
      <c r="D37" s="19" t="n">
        <v>577</v>
      </c>
      <c r="E37" s="18" t="n">
        <v>29.76858296</v>
      </c>
      <c r="F37" s="20" t="n">
        <v>1.98728983</v>
      </c>
      <c r="G37" s="18" t="n">
        <v>67.84000521999999</v>
      </c>
      <c r="H37" s="20" t="n">
        <v>2.01096725</v>
      </c>
      <c r="I37" s="18" t="n">
        <v>0</v>
      </c>
      <c r="J37" s="20" t="n">
        <v>0</v>
      </c>
      <c r="K37" s="18" t="n">
        <v>0.34977453</v>
      </c>
      <c r="L37" s="20" t="n">
        <v>0.24478534</v>
      </c>
      <c r="M37" s="18" t="n">
        <v>0</v>
      </c>
      <c r="N37" s="20" t="n">
        <v>0</v>
      </c>
      <c r="O37" s="18" t="n">
        <v>0</v>
      </c>
      <c r="P37" s="20" t="n">
        <v>0</v>
      </c>
      <c r="Q37" s="18" t="n">
        <v>2.04163728</v>
      </c>
      <c r="R37" s="20" t="n">
        <v>0.68484037</v>
      </c>
    </row>
    <row r="38" spans="1:18">
      <c r="A38" s="15" t="s">
        <v>596</v>
      </c>
      <c r="B38" s="17" t="n">
        <v>5860</v>
      </c>
      <c r="C38" s="18">
        <f>(5242.0/B38*100)</f>
        <v/>
      </c>
      <c r="D38" s="19" t="n">
        <v>618</v>
      </c>
      <c r="E38" s="18" t="n">
        <v>46.42216928</v>
      </c>
      <c r="F38" s="20" t="n">
        <v>2.19535564</v>
      </c>
      <c r="G38" s="18" t="n">
        <v>52.2346534</v>
      </c>
      <c r="H38" s="20" t="n">
        <v>2.27833933</v>
      </c>
      <c r="I38" s="18" t="n">
        <v>0</v>
      </c>
      <c r="J38" s="20" t="n">
        <v>0</v>
      </c>
      <c r="K38" s="18" t="n">
        <v>0.59732892</v>
      </c>
      <c r="L38" s="20" t="n">
        <v>0.33426697</v>
      </c>
      <c r="M38" s="18" t="n">
        <v>0</v>
      </c>
      <c r="N38" s="20" t="n">
        <v>0</v>
      </c>
      <c r="O38" s="18" t="n">
        <v>0</v>
      </c>
      <c r="P38" s="20" t="n">
        <v>0</v>
      </c>
      <c r="Q38" s="18" t="n">
        <v>0.74584841</v>
      </c>
      <c r="R38" s="20" t="n">
        <v>0.32845121</v>
      </c>
    </row>
    <row r="39" spans="1:18">
      <c r="A39" s="15" t="s">
        <v>597</v>
      </c>
      <c r="B39" s="17" t="n">
        <v>5895</v>
      </c>
      <c r="C39" s="18">
        <f>(5241.0/B39*100)</f>
        <v/>
      </c>
      <c r="D39" s="19" t="n">
        <v>654</v>
      </c>
      <c r="E39" s="18" t="n">
        <v>52.37181525</v>
      </c>
      <c r="F39" s="20" t="n">
        <v>2.16353971</v>
      </c>
      <c r="G39" s="18" t="n">
        <v>46.2883723</v>
      </c>
      <c r="H39" s="20" t="n">
        <v>2.24496098</v>
      </c>
      <c r="I39" s="18" t="n">
        <v>0</v>
      </c>
      <c r="J39" s="20" t="n">
        <v>0</v>
      </c>
      <c r="K39" s="18" t="n">
        <v>0.20788982</v>
      </c>
      <c r="L39" s="20" t="n">
        <v>0.13312457</v>
      </c>
      <c r="M39" s="18" t="n">
        <v>0</v>
      </c>
      <c r="N39" s="20" t="n">
        <v>0</v>
      </c>
      <c r="O39" s="18" t="n">
        <v>0</v>
      </c>
      <c r="P39" s="20" t="n">
        <v>0</v>
      </c>
      <c r="Q39" s="18" t="n">
        <v>1.13192263</v>
      </c>
      <c r="R39" s="20" t="n">
        <v>0.51788767</v>
      </c>
    </row>
    <row r="40" spans="1:18">
      <c r="A40" s="15" t="s">
        <v>598</v>
      </c>
      <c r="B40" s="17" t="n">
        <v>14157</v>
      </c>
      <c r="C40" s="18">
        <f>(12529.0/B40*100)</f>
        <v/>
      </c>
      <c r="D40" s="19" t="n">
        <v>1628</v>
      </c>
      <c r="E40" s="18" t="n">
        <v>36.01975837</v>
      </c>
      <c r="F40" s="20" t="n">
        <v>1.67055558</v>
      </c>
      <c r="G40" s="18" t="n">
        <v>62.09355257</v>
      </c>
      <c r="H40" s="20" t="n">
        <v>1.69320938</v>
      </c>
      <c r="I40" s="18" t="n">
        <v>0</v>
      </c>
      <c r="J40" s="20" t="n">
        <v>0</v>
      </c>
      <c r="K40" s="18" t="n">
        <v>0.5300212399999999</v>
      </c>
      <c r="L40" s="20" t="n">
        <v>0.22621814</v>
      </c>
      <c r="M40" s="18" t="n">
        <v>0</v>
      </c>
      <c r="N40" s="20" t="n">
        <v>0</v>
      </c>
      <c r="O40" s="18" t="n">
        <v>0</v>
      </c>
      <c r="P40" s="20" t="n">
        <v>0</v>
      </c>
      <c r="Q40" s="18" t="n">
        <v>1.35666782</v>
      </c>
      <c r="R40" s="20" t="n">
        <v>0.43286121</v>
      </c>
    </row>
    <row r="41" spans="1:18">
      <c r="A41" s="15" t="s">
        <v>599</v>
      </c>
      <c r="B41" s="17" t="n">
        <v>5712</v>
      </c>
      <c r="C41" s="18">
        <f>(5113.0/B41*100)</f>
        <v/>
      </c>
      <c r="D41" s="19" t="n">
        <v>599</v>
      </c>
      <c r="E41" s="18" t="n">
        <v>37.10160016</v>
      </c>
      <c r="F41" s="20" t="n">
        <v>1.91148104</v>
      </c>
      <c r="G41" s="18" t="n">
        <v>62.37365896</v>
      </c>
      <c r="H41" s="20" t="n">
        <v>1.92369024</v>
      </c>
      <c r="I41" s="18" t="n">
        <v>0</v>
      </c>
      <c r="J41" s="20" t="n">
        <v>0</v>
      </c>
      <c r="K41" s="18" t="n">
        <v>0.38535401</v>
      </c>
      <c r="L41" s="20" t="n">
        <v>0.29171027</v>
      </c>
      <c r="M41" s="18" t="n">
        <v>0</v>
      </c>
      <c r="N41" s="20" t="n">
        <v>0</v>
      </c>
      <c r="O41" s="18" t="n">
        <v>0</v>
      </c>
      <c r="P41" s="20" t="n">
        <v>0</v>
      </c>
      <c r="Q41" s="18" t="n">
        <v>0.13938687</v>
      </c>
      <c r="R41" s="20" t="n">
        <v>0.13870251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(21270.0/B46*100)</f>
        <v/>
      </c>
      <c r="D46" s="19" t="n">
        <v>1871</v>
      </c>
      <c r="E46" s="18" t="n">
        <v>61.60730896</v>
      </c>
      <c r="F46" s="20" t="n">
        <v>1.50621898</v>
      </c>
      <c r="G46" s="18" t="n">
        <v>34.48086599</v>
      </c>
      <c r="H46" s="20" t="n">
        <v>1.54691298</v>
      </c>
      <c r="I46" s="18" t="n">
        <v>0</v>
      </c>
      <c r="J46" s="20" t="n">
        <v>0</v>
      </c>
      <c r="K46" s="18" t="n">
        <v>1.82511441</v>
      </c>
      <c r="L46" s="20" t="n">
        <v>0.41712498</v>
      </c>
      <c r="M46" s="18" t="n">
        <v>0</v>
      </c>
      <c r="N46" s="20" t="n">
        <v>0</v>
      </c>
      <c r="O46" s="18" t="n">
        <v>0</v>
      </c>
      <c r="P46" s="20" t="n">
        <v>0</v>
      </c>
      <c r="Q46" s="18" t="n">
        <v>2.08671064</v>
      </c>
      <c r="R46" s="20" t="n">
        <v>0.44727467</v>
      </c>
    </row>
    <row r="47" spans="1:18">
      <c r="A47" s="15" t="s">
        <v>606</v>
      </c>
      <c r="B47" s="17" t="n">
        <v>5928</v>
      </c>
      <c r="C47" s="18">
        <f>(5312.0/B47*100)</f>
        <v/>
      </c>
      <c r="D47" s="19" t="n">
        <v>616</v>
      </c>
      <c r="E47" s="18" t="n">
        <v>66.6205387</v>
      </c>
      <c r="F47" s="20" t="n">
        <v>1.75641967</v>
      </c>
      <c r="G47" s="18" t="n">
        <v>31.67138837</v>
      </c>
      <c r="H47" s="20" t="n">
        <v>1.79472809</v>
      </c>
      <c r="I47" s="18" t="n">
        <v>0</v>
      </c>
      <c r="J47" s="20" t="n">
        <v>0</v>
      </c>
      <c r="K47" s="18" t="n">
        <v>0.47184496</v>
      </c>
      <c r="L47" s="20" t="n">
        <v>0.24677402</v>
      </c>
      <c r="M47" s="18" t="n">
        <v>0</v>
      </c>
      <c r="N47" s="20" t="n">
        <v>0</v>
      </c>
      <c r="O47" s="18" t="n">
        <v>0</v>
      </c>
      <c r="P47" s="20" t="n">
        <v>0</v>
      </c>
      <c r="Q47" s="18" t="n">
        <v>1.23622797</v>
      </c>
      <c r="R47" s="20" t="n">
        <v>0.37652741</v>
      </c>
    </row>
    <row r="48" spans="1:18">
      <c r="A48" s="15" t="s">
        <v>607</v>
      </c>
      <c r="B48" s="17" t="n">
        <v>9841</v>
      </c>
      <c r="C48" s="18">
        <f>(8770.0/B48*100)</f>
        <v/>
      </c>
      <c r="D48" s="19" t="n">
        <v>1071</v>
      </c>
      <c r="E48" s="18" t="n">
        <v>44.53492658</v>
      </c>
      <c r="F48" s="20" t="n">
        <v>1.81597568</v>
      </c>
      <c r="G48" s="18" t="n">
        <v>54.66785906</v>
      </c>
      <c r="H48" s="20" t="n">
        <v>1.81355319</v>
      </c>
      <c r="I48" s="18" t="n">
        <v>0</v>
      </c>
      <c r="J48" s="20" t="n">
        <v>0</v>
      </c>
      <c r="K48" s="18" t="n">
        <v>0.6262641799999999</v>
      </c>
      <c r="L48" s="20" t="n">
        <v>0.39460907</v>
      </c>
      <c r="M48" s="18" t="n">
        <v>0</v>
      </c>
      <c r="N48" s="20" t="n">
        <v>0</v>
      </c>
      <c r="O48" s="18" t="n">
        <v>0</v>
      </c>
      <c r="P48" s="20" t="n">
        <v>0</v>
      </c>
      <c r="Q48" s="18" t="n">
        <v>0.17095017</v>
      </c>
      <c r="R48" s="20" t="n">
        <v>0.17687886</v>
      </c>
    </row>
    <row r="49" spans="1:18">
      <c r="A49" s="15" t="s">
        <v>608</v>
      </c>
      <c r="B49" s="17" t="n">
        <v>11795</v>
      </c>
      <c r="C49" s="18">
        <f>(10565.0/B49*100)</f>
        <v/>
      </c>
      <c r="D49" s="19" t="n">
        <v>1230</v>
      </c>
      <c r="E49" s="18" t="n">
        <v>72.3195635</v>
      </c>
      <c r="F49" s="20" t="n">
        <v>1.80957921</v>
      </c>
      <c r="G49" s="18" t="n">
        <v>24.47483753</v>
      </c>
      <c r="H49" s="20" t="n">
        <v>1.65406655</v>
      </c>
      <c r="I49" s="18" t="n">
        <v>0</v>
      </c>
      <c r="J49" s="20" t="n">
        <v>0</v>
      </c>
      <c r="K49" s="18" t="n">
        <v>2.36843311</v>
      </c>
      <c r="L49" s="20" t="n">
        <v>0.71215964</v>
      </c>
      <c r="M49" s="18" t="n">
        <v>0</v>
      </c>
      <c r="N49" s="20" t="n">
        <v>0</v>
      </c>
      <c r="O49" s="18" t="n">
        <v>0</v>
      </c>
      <c r="P49" s="20" t="n">
        <v>0</v>
      </c>
      <c r="Q49" s="18" t="n">
        <v>0.83716586</v>
      </c>
      <c r="R49" s="20" t="n">
        <v>0.30500171</v>
      </c>
    </row>
    <row r="50" spans="1:18">
      <c r="A50" s="15" t="s">
        <v>609</v>
      </c>
      <c r="B50" s="17" t="n">
        <v>6866</v>
      </c>
      <c r="C50" s="18">
        <f>(6220.0/B50*100)</f>
        <v/>
      </c>
      <c r="D50" s="19" t="n">
        <v>646</v>
      </c>
      <c r="E50" s="18" t="n">
        <v>70.55156925999999</v>
      </c>
      <c r="F50" s="20" t="n">
        <v>2.26694697</v>
      </c>
      <c r="G50" s="18" t="n">
        <v>26.50293592</v>
      </c>
      <c r="H50" s="20" t="n">
        <v>2.13383235</v>
      </c>
      <c r="I50" s="18" t="n">
        <v>0</v>
      </c>
      <c r="J50" s="20" t="n">
        <v>0</v>
      </c>
      <c r="K50" s="18" t="n">
        <v>1.61836354</v>
      </c>
      <c r="L50" s="20" t="n">
        <v>0.60240019</v>
      </c>
      <c r="M50" s="18" t="n">
        <v>0</v>
      </c>
      <c r="N50" s="20" t="n">
        <v>0</v>
      </c>
      <c r="O50" s="18" t="n">
        <v>0</v>
      </c>
      <c r="P50" s="20" t="n">
        <v>0</v>
      </c>
      <c r="Q50" s="18" t="n">
        <v>1.32713128</v>
      </c>
      <c r="R50" s="20" t="n">
        <v>0.52701474</v>
      </c>
    </row>
    <row r="51" spans="1:18">
      <c r="A51" s="15" t="s">
        <v>610</v>
      </c>
      <c r="B51" s="17" t="n">
        <v>5809</v>
      </c>
      <c r="C51" s="18">
        <f>(5201.0/B51*100)</f>
        <v/>
      </c>
      <c r="D51" s="19" t="n">
        <v>608</v>
      </c>
      <c r="E51" s="18" t="n">
        <v>36.95177831</v>
      </c>
      <c r="F51" s="20" t="n">
        <v>1.90606545</v>
      </c>
      <c r="G51" s="18" t="n">
        <v>62.54778837</v>
      </c>
      <c r="H51" s="20" t="n">
        <v>1.90588523</v>
      </c>
      <c r="I51" s="18" t="n">
        <v>0</v>
      </c>
      <c r="J51" s="20" t="n">
        <v>0</v>
      </c>
      <c r="K51" s="18" t="n">
        <v>0</v>
      </c>
      <c r="L51" s="20" t="n">
        <v>0</v>
      </c>
      <c r="M51" s="18" t="n">
        <v>0</v>
      </c>
      <c r="N51" s="20" t="n">
        <v>0</v>
      </c>
      <c r="O51" s="18" t="n">
        <v>0</v>
      </c>
      <c r="P51" s="20" t="n">
        <v>0</v>
      </c>
      <c r="Q51" s="18" t="n">
        <v>0.50043332</v>
      </c>
      <c r="R51" s="20" t="n">
        <v>0.28804186</v>
      </c>
    </row>
    <row r="52" spans="1:18">
      <c r="A52" s="15" t="s">
        <v>611</v>
      </c>
      <c r="B52" s="17" t="n">
        <v>5571</v>
      </c>
      <c r="C52" s="18">
        <f>(4963.0/B52*100)</f>
        <v/>
      </c>
      <c r="D52" s="19" t="n">
        <v>608</v>
      </c>
      <c r="E52" s="18" t="n">
        <v>65.90002194</v>
      </c>
      <c r="F52" s="20" t="n">
        <v>1.85647881</v>
      </c>
      <c r="G52" s="18" t="n">
        <v>32.73451002</v>
      </c>
      <c r="H52" s="20" t="n">
        <v>1.83933633</v>
      </c>
      <c r="I52" s="18" t="n">
        <v>0</v>
      </c>
      <c r="J52" s="20" t="n">
        <v>0</v>
      </c>
      <c r="K52" s="18" t="n">
        <v>0.36303104</v>
      </c>
      <c r="L52" s="20" t="n">
        <v>0.21414353</v>
      </c>
      <c r="M52" s="18" t="n">
        <v>0</v>
      </c>
      <c r="N52" s="20" t="n">
        <v>0</v>
      </c>
      <c r="O52" s="18" t="n">
        <v>0</v>
      </c>
      <c r="P52" s="20" t="n">
        <v>0</v>
      </c>
      <c r="Q52" s="18" t="n">
        <v>1.00243701</v>
      </c>
      <c r="R52" s="20" t="n">
        <v>0.41174181</v>
      </c>
    </row>
    <row r="53" spans="1:18">
      <c r="A53" s="15" t="s">
        <v>612</v>
      </c>
      <c r="B53" s="17" t="n">
        <v>4740</v>
      </c>
      <c r="C53" s="18">
        <f>(4224.0/B53*100)</f>
        <v/>
      </c>
      <c r="D53" s="19" t="n">
        <v>516</v>
      </c>
      <c r="E53" s="18" t="n">
        <v>60.2340598</v>
      </c>
      <c r="F53" s="20" t="n">
        <v>2.36561462</v>
      </c>
      <c r="G53" s="18" t="n">
        <v>17.87415447</v>
      </c>
      <c r="H53" s="20" t="n">
        <v>2.02382932</v>
      </c>
      <c r="I53" s="18" t="n">
        <v>0</v>
      </c>
      <c r="J53" s="20" t="n">
        <v>0</v>
      </c>
      <c r="K53" s="18" t="n">
        <v>19.53002827</v>
      </c>
      <c r="L53" s="20" t="n">
        <v>1.85831253</v>
      </c>
      <c r="M53" s="18" t="n">
        <v>0</v>
      </c>
      <c r="N53" s="20" t="n">
        <v>0</v>
      </c>
      <c r="O53" s="18" t="n">
        <v>0</v>
      </c>
      <c r="P53" s="20" t="n">
        <v>0</v>
      </c>
      <c r="Q53" s="18" t="n">
        <v>2.36175746</v>
      </c>
      <c r="R53" s="20" t="n">
        <v>0.69074908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(4777.0/B55*100)</f>
        <v/>
      </c>
      <c r="D55" s="19" t="n">
        <v>582</v>
      </c>
      <c r="E55" s="18" t="n">
        <v>54.49706126</v>
      </c>
      <c r="F55" s="20" t="n">
        <v>2.21309788</v>
      </c>
      <c r="G55" s="18" t="n">
        <v>45.17256217</v>
      </c>
      <c r="H55" s="20" t="n">
        <v>2.14391104</v>
      </c>
      <c r="I55" s="18" t="n">
        <v>0</v>
      </c>
      <c r="J55" s="20" t="n">
        <v>0</v>
      </c>
      <c r="K55" s="18" t="n">
        <v>0.33037657</v>
      </c>
      <c r="L55" s="20" t="n">
        <v>0.31757696</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(5832.0/B61*100)</f>
        <v/>
      </c>
      <c r="D61" s="19" t="n">
        <v>693</v>
      </c>
      <c r="E61" s="18" t="n">
        <v>54.80289086</v>
      </c>
      <c r="F61" s="20" t="n">
        <v>2.21042308</v>
      </c>
      <c r="G61" s="18" t="n">
        <v>44.66226777</v>
      </c>
      <c r="H61" s="20" t="n">
        <v>2.20099513</v>
      </c>
      <c r="I61" s="18" t="n">
        <v>0</v>
      </c>
      <c r="J61" s="20" t="n">
        <v>0</v>
      </c>
      <c r="K61" s="18" t="n">
        <v>0.19759882</v>
      </c>
      <c r="L61" s="20" t="n">
        <v>0.2067504</v>
      </c>
      <c r="M61" s="18" t="n">
        <v>0</v>
      </c>
      <c r="N61" s="20" t="n">
        <v>0</v>
      </c>
      <c r="O61" s="18" t="n">
        <v>0</v>
      </c>
      <c r="P61" s="20" t="n">
        <v>0</v>
      </c>
      <c r="Q61" s="18" t="n">
        <v>0.33724255</v>
      </c>
      <c r="R61" s="20" t="n">
        <v>0.14582103</v>
      </c>
    </row>
    <row r="62" spans="1:18">
      <c r="A62" s="15" t="s">
        <v>622</v>
      </c>
      <c r="B62" s="17" t="n">
        <v>4476</v>
      </c>
      <c r="C62" s="18">
        <f>(3979.0/B62*100)</f>
        <v/>
      </c>
      <c r="D62" s="19" t="n">
        <v>497</v>
      </c>
      <c r="E62" s="18" t="n">
        <v>51.90983851</v>
      </c>
      <c r="F62" s="20" t="n">
        <v>2.1216558</v>
      </c>
      <c r="G62" s="18" t="n">
        <v>48.09016149</v>
      </c>
      <c r="H62" s="20" t="n">
        <v>2.1216558</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(5088.0/B67*100)</f>
        <v/>
      </c>
      <c r="D67" s="19" t="n">
        <v>577</v>
      </c>
      <c r="E67" s="18" t="n">
        <v>62.83123963</v>
      </c>
      <c r="F67" s="20" t="n">
        <v>1.78954354</v>
      </c>
      <c r="G67" s="18" t="n">
        <v>33.65666328</v>
      </c>
      <c r="H67" s="20" t="n">
        <v>1.87114339</v>
      </c>
      <c r="I67" s="18" t="n">
        <v>0</v>
      </c>
      <c r="J67" s="20" t="n">
        <v>0</v>
      </c>
      <c r="K67" s="18" t="n">
        <v>0.98382272</v>
      </c>
      <c r="L67" s="20" t="n">
        <v>0.39283068</v>
      </c>
      <c r="M67" s="18" t="n">
        <v>0</v>
      </c>
      <c r="N67" s="20" t="n">
        <v>0</v>
      </c>
      <c r="O67" s="18" t="n">
        <v>0</v>
      </c>
      <c r="P67" s="20" t="n">
        <v>0</v>
      </c>
      <c r="Q67" s="18" t="n">
        <v>2.52827437</v>
      </c>
      <c r="R67" s="20" t="n">
        <v>0.64622327</v>
      </c>
    </row>
    <row r="68" spans="1:18">
      <c r="A68" s="15" t="s">
        <v>628</v>
      </c>
      <c r="B68" s="17" t="n">
        <v>6971</v>
      </c>
      <c r="C68" s="18">
        <f>(6348.0/B68*100)</f>
        <v/>
      </c>
      <c r="D68" s="19" t="n">
        <v>623</v>
      </c>
      <c r="E68" s="18" t="n">
        <v>66.98966181</v>
      </c>
      <c r="F68" s="20" t="n">
        <v>1.75224052</v>
      </c>
      <c r="G68" s="18" t="n">
        <v>31.83822421</v>
      </c>
      <c r="H68" s="20" t="n">
        <v>1.74030345</v>
      </c>
      <c r="I68" s="18" t="n">
        <v>0</v>
      </c>
      <c r="J68" s="20" t="n">
        <v>0</v>
      </c>
      <c r="K68" s="18" t="n">
        <v>0.47200247</v>
      </c>
      <c r="L68" s="20" t="n">
        <v>0.28116457</v>
      </c>
      <c r="M68" s="18" t="n">
        <v>0</v>
      </c>
      <c r="N68" s="20" t="n">
        <v>0</v>
      </c>
      <c r="O68" s="18" t="n">
        <v>0</v>
      </c>
      <c r="P68" s="20" t="n">
        <v>0</v>
      </c>
      <c r="Q68" s="18" t="n">
        <v>0.70011151</v>
      </c>
      <c r="R68" s="20" t="n">
        <v>0.37539402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(10752.0/B70*100)</f>
        <v/>
      </c>
      <c r="D70" s="19" t="n">
        <v>1331</v>
      </c>
      <c r="E70" s="18" t="n">
        <v>55.33613992</v>
      </c>
      <c r="F70" s="20" t="n">
        <v>1.42555874</v>
      </c>
      <c r="G70" s="18" t="n">
        <v>38.70670177</v>
      </c>
      <c r="H70" s="20" t="n">
        <v>1.42440302</v>
      </c>
      <c r="I70" s="18" t="n">
        <v>0</v>
      </c>
      <c r="J70" s="20" t="n">
        <v>0</v>
      </c>
      <c r="K70" s="18" t="n">
        <v>4.51584253</v>
      </c>
      <c r="L70" s="20" t="n">
        <v>0.62705506</v>
      </c>
      <c r="M70" s="18" t="n">
        <v>0</v>
      </c>
      <c r="N70" s="20" t="n">
        <v>0</v>
      </c>
      <c r="O70" s="18" t="n">
        <v>0</v>
      </c>
      <c r="P70" s="20" t="n">
        <v>0</v>
      </c>
      <c r="Q70" s="18" t="n">
        <v>1.44131578</v>
      </c>
      <c r="R70" s="20" t="n">
        <v>0.32948458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(5432.0/B72*100)</f>
        <v/>
      </c>
      <c r="D72" s="19" t="n">
        <v>604</v>
      </c>
      <c r="E72" s="18" t="n">
        <v>57.37398641</v>
      </c>
      <c r="F72" s="20" t="n">
        <v>1.4163265</v>
      </c>
      <c r="G72" s="18" t="n">
        <v>41.82534136</v>
      </c>
      <c r="H72" s="20" t="n">
        <v>1.3412713</v>
      </c>
      <c r="I72" s="18" t="n">
        <v>0</v>
      </c>
      <c r="J72" s="20" t="n">
        <v>0</v>
      </c>
      <c r="K72" s="18" t="n">
        <v>0.20669545</v>
      </c>
      <c r="L72" s="20" t="n">
        <v>0.13472869</v>
      </c>
      <c r="M72" s="18" t="n">
        <v>0</v>
      </c>
      <c r="N72" s="20" t="n">
        <v>0</v>
      </c>
      <c r="O72" s="18" t="n">
        <v>0</v>
      </c>
      <c r="P72" s="20" t="n">
        <v>0</v>
      </c>
      <c r="Q72" s="18" t="n">
        <v>0.59397678</v>
      </c>
      <c r="R72" s="20" t="n">
        <v>0.32648298</v>
      </c>
    </row>
    <row r="73" spans="1:18">
      <c r="A73" s="15" t="s">
        <v>633</v>
      </c>
      <c r="B73" s="17" t="n">
        <v>6115</v>
      </c>
      <c r="C73" s="18">
        <f>(5434.0/B73*100)</f>
        <v/>
      </c>
      <c r="D73" s="19" t="n">
        <v>681</v>
      </c>
      <c r="E73" s="18" t="n">
        <v>55.45889156</v>
      </c>
      <c r="F73" s="20" t="n">
        <v>2.33922677</v>
      </c>
      <c r="G73" s="18" t="n">
        <v>44.0349236</v>
      </c>
      <c r="H73" s="20" t="n">
        <v>2.32938817</v>
      </c>
      <c r="I73" s="18" t="n">
        <v>0</v>
      </c>
      <c r="J73" s="20" t="n">
        <v>0</v>
      </c>
      <c r="K73" s="18" t="n">
        <v>0</v>
      </c>
      <c r="L73" s="20" t="n">
        <v>0</v>
      </c>
      <c r="M73" s="18" t="n">
        <v>0</v>
      </c>
      <c r="N73" s="20" t="n">
        <v>0</v>
      </c>
      <c r="O73" s="18" t="n">
        <v>0</v>
      </c>
      <c r="P73" s="20" t="n">
        <v>0</v>
      </c>
      <c r="Q73" s="18" t="n">
        <v>0.50618483</v>
      </c>
      <c r="R73" s="20" t="n">
        <v>0.26830787</v>
      </c>
    </row>
    <row r="74" spans="1:18">
      <c r="A74" s="15" t="s">
        <v>634</v>
      </c>
      <c r="B74" s="17" t="n">
        <v>7708</v>
      </c>
      <c r="C74" s="18">
        <f>(6817.0/B74*100)</f>
        <v/>
      </c>
      <c r="D74" s="19" t="n">
        <v>891</v>
      </c>
      <c r="E74" s="18" t="n">
        <v>31.11503765</v>
      </c>
      <c r="F74" s="20" t="n">
        <v>1.83945935</v>
      </c>
      <c r="G74" s="18" t="n">
        <v>68.6518995</v>
      </c>
      <c r="H74" s="20" t="n">
        <v>1.85124974</v>
      </c>
      <c r="I74" s="18" t="n">
        <v>0</v>
      </c>
      <c r="J74" s="20" t="n">
        <v>0</v>
      </c>
      <c r="K74" s="18" t="n">
        <v>0.1227149</v>
      </c>
      <c r="L74" s="20" t="n">
        <v>0.12322068</v>
      </c>
      <c r="M74" s="18" t="n">
        <v>0</v>
      </c>
      <c r="N74" s="20" t="n">
        <v>0</v>
      </c>
      <c r="O74" s="18" t="n">
        <v>0</v>
      </c>
      <c r="P74" s="20" t="n">
        <v>0</v>
      </c>
      <c r="Q74" s="18" t="n">
        <v>0.11034796</v>
      </c>
      <c r="R74" s="20" t="n">
        <v>0.07888502999999999</v>
      </c>
    </row>
    <row r="75" spans="1:18">
      <c r="A75" s="15" t="s">
        <v>635</v>
      </c>
      <c r="B75" s="17" t="n">
        <v>8249</v>
      </c>
      <c r="C75" s="18">
        <f>(7387.0/B75*100)</f>
        <v/>
      </c>
      <c r="D75" s="19" t="n">
        <v>862</v>
      </c>
      <c r="E75" s="18" t="n">
        <v>54.18254441</v>
      </c>
      <c r="F75" s="20" t="n">
        <v>1.7890868</v>
      </c>
      <c r="G75" s="18" t="n">
        <v>45.64249099</v>
      </c>
      <c r="H75" s="20" t="n">
        <v>1.81527007</v>
      </c>
      <c r="I75" s="18" t="n">
        <v>0</v>
      </c>
      <c r="J75" s="20" t="n">
        <v>0</v>
      </c>
      <c r="K75" s="18" t="n">
        <v>0</v>
      </c>
      <c r="L75" s="20" t="n">
        <v>0</v>
      </c>
      <c r="M75" s="18" t="n">
        <v>0</v>
      </c>
      <c r="N75" s="20" t="n">
        <v>0</v>
      </c>
      <c r="O75" s="18" t="n">
        <v>0</v>
      </c>
      <c r="P75" s="20" t="n">
        <v>0</v>
      </c>
      <c r="Q75" s="18" t="n">
        <v>0.1749646</v>
      </c>
      <c r="R75" s="20" t="n">
        <v>0.17534111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(4865.0/B77*100)</f>
        <v/>
      </c>
      <c r="D77" s="19" t="n">
        <v>510</v>
      </c>
      <c r="E77" s="18" t="n">
        <v>62.17302036</v>
      </c>
      <c r="F77" s="20" t="n">
        <v>1.85821198</v>
      </c>
      <c r="G77" s="18" t="n">
        <v>29.38414226</v>
      </c>
      <c r="H77" s="20" t="n">
        <v>1.81905611</v>
      </c>
      <c r="I77" s="18" t="n">
        <v>0</v>
      </c>
      <c r="J77" s="20" t="n">
        <v>0</v>
      </c>
      <c r="K77" s="18" t="n">
        <v>6.07538926</v>
      </c>
      <c r="L77" s="20" t="n">
        <v>0.93989921</v>
      </c>
      <c r="M77" s="18" t="n">
        <v>0</v>
      </c>
      <c r="N77" s="20" t="n">
        <v>0</v>
      </c>
      <c r="O77" s="18" t="n">
        <v>0</v>
      </c>
      <c r="P77" s="20" t="n">
        <v>0</v>
      </c>
      <c r="Q77" s="18" t="n">
        <v>2.36744811</v>
      </c>
      <c r="R77" s="20" t="n">
        <v>0.72818807</v>
      </c>
    </row>
    <row r="78" spans="1:18">
      <c r="A78" s="15" t="s">
        <v>638</v>
      </c>
      <c r="B78" s="17" t="n">
        <v>14167</v>
      </c>
      <c r="C78" s="18">
        <f>(12578.0/B78*100)</f>
        <v/>
      </c>
      <c r="D78" s="19" t="n">
        <v>1589</v>
      </c>
      <c r="E78" s="18" t="n">
        <v>51.19067139</v>
      </c>
      <c r="F78" s="20" t="n">
        <v>1.30649643</v>
      </c>
      <c r="G78" s="18" t="n">
        <v>47.16816363</v>
      </c>
      <c r="H78" s="20" t="n">
        <v>1.33440317</v>
      </c>
      <c r="I78" s="18" t="n">
        <v>0</v>
      </c>
      <c r="J78" s="20" t="n">
        <v>0</v>
      </c>
      <c r="K78" s="18" t="n">
        <v>1.06432811</v>
      </c>
      <c r="L78" s="20" t="n">
        <v>0.30887171</v>
      </c>
      <c r="M78" s="18" t="n">
        <v>0</v>
      </c>
      <c r="N78" s="20" t="n">
        <v>0</v>
      </c>
      <c r="O78" s="18" t="n">
        <v>0</v>
      </c>
      <c r="P78" s="20" t="n">
        <v>0</v>
      </c>
      <c r="Q78" s="18" t="n">
        <v>0.5768368699999999</v>
      </c>
      <c r="R78" s="20" t="n">
        <v>0.1416519</v>
      </c>
    </row>
    <row r="79" spans="1:18">
      <c r="A79" s="15" t="s">
        <v>639</v>
      </c>
      <c r="B79" s="17" t="n">
        <v>6062</v>
      </c>
      <c r="C79" s="18">
        <f>(5446.0/B79*100)</f>
        <v/>
      </c>
      <c r="D79" s="19" t="n">
        <v>616</v>
      </c>
      <c r="E79" s="18" t="n">
        <v>63.28838837</v>
      </c>
      <c r="F79" s="20" t="n">
        <v>1.95236961</v>
      </c>
      <c r="G79" s="18" t="n">
        <v>32.10438795</v>
      </c>
      <c r="H79" s="20" t="n">
        <v>1.98492777</v>
      </c>
      <c r="I79" s="18" t="n">
        <v>0</v>
      </c>
      <c r="J79" s="20" t="n">
        <v>0</v>
      </c>
      <c r="K79" s="18" t="n">
        <v>2.32698512</v>
      </c>
      <c r="L79" s="20" t="n">
        <v>0.7498248199999999</v>
      </c>
      <c r="M79" s="18" t="n">
        <v>0</v>
      </c>
      <c r="N79" s="20" t="n">
        <v>0</v>
      </c>
      <c r="O79" s="18" t="n">
        <v>0</v>
      </c>
      <c r="P79" s="20" t="n">
        <v>0</v>
      </c>
      <c r="Q79" s="18" t="n">
        <v>2.28023857</v>
      </c>
      <c r="R79" s="20" t="n">
        <v>0.65507907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(28798.0/B82*100)</f>
        <v/>
      </c>
      <c r="D82" s="19" t="n">
        <v>3532</v>
      </c>
      <c r="E82" s="18" t="n">
        <v>44.16997543</v>
      </c>
      <c r="F82" s="20" t="n">
        <v>1.30177414</v>
      </c>
      <c r="G82" s="18" t="n">
        <v>54.6191239</v>
      </c>
      <c r="H82" s="20" t="n">
        <v>1.30271902</v>
      </c>
      <c r="I82" s="18" t="n">
        <v>0</v>
      </c>
      <c r="J82" s="20" t="n">
        <v>0</v>
      </c>
      <c r="K82" s="18" t="n">
        <v>0.30578272</v>
      </c>
      <c r="L82" s="20" t="n">
        <v>0.10578154</v>
      </c>
      <c r="M82" s="18" t="n">
        <v>0</v>
      </c>
      <c r="N82" s="20" t="n">
        <v>0</v>
      </c>
      <c r="O82" s="18" t="n">
        <v>0</v>
      </c>
      <c r="P82" s="20" t="n">
        <v>0</v>
      </c>
      <c r="Q82" s="18" t="n">
        <v>0.90511796</v>
      </c>
      <c r="R82" s="20" t="n">
        <v>0.27976434</v>
      </c>
    </row>
    <row r="83" spans="1:18">
      <c r="A83" s="15" t="s">
        <v>643</v>
      </c>
      <c r="B83" s="17" t="n">
        <v>1652</v>
      </c>
      <c r="C83" s="18">
        <f>(1485.0/B83*100)</f>
        <v/>
      </c>
      <c r="D83" s="19" t="n">
        <v>167</v>
      </c>
      <c r="E83" s="18" t="n">
        <v>28.94434442</v>
      </c>
      <c r="F83" s="20" t="n">
        <v>4.7259261</v>
      </c>
      <c r="G83" s="18" t="n">
        <v>70.48753670000001</v>
      </c>
      <c r="H83" s="20" t="n">
        <v>4.75490286</v>
      </c>
      <c r="I83" s="18" t="n">
        <v>0</v>
      </c>
      <c r="J83" s="20" t="n">
        <v>0</v>
      </c>
      <c r="K83" s="18" t="n">
        <v>0.56811888</v>
      </c>
      <c r="L83" s="20" t="n">
        <v>0.57252152</v>
      </c>
      <c r="M83" s="18" t="n">
        <v>0</v>
      </c>
      <c r="N83" s="20" t="n">
        <v>0</v>
      </c>
      <c r="O83" s="18" t="n">
        <v>0</v>
      </c>
      <c r="P83" s="20" t="n">
        <v>0</v>
      </c>
      <c r="Q83" s="18" t="n">
        <v>0</v>
      </c>
      <c r="R83" s="20" t="n">
        <v>0</v>
      </c>
    </row>
    <row r="84" spans="1:18">
      <c r="A84" s="23" t="s">
        <v>644</v>
      </c>
      <c r="B84" s="24" t="n">
        <v>1887</v>
      </c>
      <c r="C84" s="25">
        <f>(1686.0/B84*100)</f>
        <v/>
      </c>
      <c r="D84" s="19" t="n">
        <v>201</v>
      </c>
      <c r="E84" s="18" t="n">
        <v>32.13058255</v>
      </c>
      <c r="F84" s="20" t="n">
        <v>3.84118558</v>
      </c>
      <c r="G84" s="18" t="n">
        <v>67.86941745</v>
      </c>
      <c r="H84" s="20" t="n">
        <v>3.84118558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(12944.0/B7*100)</f>
        <v/>
      </c>
      <c r="D7" s="19" t="n">
        <v>1586</v>
      </c>
      <c r="E7" s="18" t="n">
        <v>39.95402403</v>
      </c>
      <c r="F7" s="20" t="n">
        <v>1.49209394</v>
      </c>
      <c r="G7" s="18" t="n">
        <v>58.4615505</v>
      </c>
      <c r="H7" s="20" t="n">
        <v>1.4811275</v>
      </c>
      <c r="I7" s="18" t="n">
        <v>0</v>
      </c>
      <c r="J7" s="20" t="n">
        <v>0</v>
      </c>
      <c r="K7" s="18" t="n">
        <v>0.56464784</v>
      </c>
      <c r="L7" s="20" t="n">
        <v>0.18459092</v>
      </c>
      <c r="M7" s="18" t="n">
        <v>0</v>
      </c>
      <c r="N7" s="20" t="n">
        <v>0</v>
      </c>
      <c r="O7" s="18" t="n">
        <v>0</v>
      </c>
      <c r="P7" s="20" t="n">
        <v>0</v>
      </c>
      <c r="Q7" s="18" t="n">
        <v>1.01977762</v>
      </c>
      <c r="R7" s="20" t="n">
        <v>0.28801647</v>
      </c>
    </row>
    <row r="8" spans="1:18">
      <c r="A8" s="15" t="s">
        <v>566</v>
      </c>
      <c r="B8" s="17" t="n">
        <v>7007</v>
      </c>
      <c r="C8" s="18">
        <f>(6248.0/B8*100)</f>
        <v/>
      </c>
      <c r="D8" s="19" t="n">
        <v>759</v>
      </c>
      <c r="E8" s="18" t="n">
        <v>38.1017601</v>
      </c>
      <c r="F8" s="20" t="n">
        <v>1.86361553</v>
      </c>
      <c r="G8" s="18" t="n">
        <v>60.22301605</v>
      </c>
      <c r="H8" s="20" t="n">
        <v>2.03471694</v>
      </c>
      <c r="I8" s="18" t="n">
        <v>0</v>
      </c>
      <c r="J8" s="20" t="n">
        <v>0</v>
      </c>
      <c r="K8" s="18" t="n">
        <v>0.54662339</v>
      </c>
      <c r="L8" s="20" t="n">
        <v>0.27606543</v>
      </c>
      <c r="M8" s="18" t="n">
        <v>0</v>
      </c>
      <c r="N8" s="20" t="n">
        <v>0</v>
      </c>
      <c r="O8" s="18" t="n">
        <v>0</v>
      </c>
      <c r="P8" s="20" t="n">
        <v>0</v>
      </c>
      <c r="Q8" s="18" t="n">
        <v>1.12860045</v>
      </c>
      <c r="R8" s="20" t="n">
        <v>0.52072809</v>
      </c>
    </row>
    <row r="9" spans="1:18">
      <c r="A9" s="15" t="s">
        <v>567</v>
      </c>
      <c r="B9" s="17" t="n">
        <v>9651</v>
      </c>
      <c r="C9" s="18">
        <f>(8626.0/B9*100)</f>
        <v/>
      </c>
      <c r="D9" s="19" t="n">
        <v>1025</v>
      </c>
      <c r="E9" s="18" t="n">
        <v>47.11489176</v>
      </c>
      <c r="F9" s="20" t="n">
        <v>1.57777999</v>
      </c>
      <c r="G9" s="18" t="n">
        <v>50.96440947</v>
      </c>
      <c r="H9" s="20" t="n">
        <v>1.59475365</v>
      </c>
      <c r="I9" s="18" t="n">
        <v>0</v>
      </c>
      <c r="J9" s="20" t="n">
        <v>0</v>
      </c>
      <c r="K9" s="18" t="n">
        <v>0.96164455</v>
      </c>
      <c r="L9" s="20" t="n">
        <v>0.32564393</v>
      </c>
      <c r="M9" s="18" t="n">
        <v>0</v>
      </c>
      <c r="N9" s="20" t="n">
        <v>0</v>
      </c>
      <c r="O9" s="18" t="n">
        <v>0</v>
      </c>
      <c r="P9" s="20" t="n">
        <v>0</v>
      </c>
      <c r="Q9" s="18" t="n">
        <v>0.95905423</v>
      </c>
      <c r="R9" s="20" t="n">
        <v>0.34817723</v>
      </c>
    </row>
    <row r="10" spans="1:18">
      <c r="A10" s="15" t="s">
        <v>568</v>
      </c>
      <c r="B10" s="17" t="n">
        <v>20058</v>
      </c>
      <c r="C10" s="18">
        <f>(17847.0/B10*100)</f>
        <v/>
      </c>
      <c r="D10" s="19" t="n">
        <v>2211</v>
      </c>
      <c r="E10" s="18" t="n">
        <v>36.47919838</v>
      </c>
      <c r="F10" s="20" t="n">
        <v>1.43825181</v>
      </c>
      <c r="G10" s="18" t="n">
        <v>62.18041771</v>
      </c>
      <c r="H10" s="20" t="n">
        <v>1.44143762</v>
      </c>
      <c r="I10" s="18" t="n">
        <v>0</v>
      </c>
      <c r="J10" s="20" t="n">
        <v>0</v>
      </c>
      <c r="K10" s="18" t="n">
        <v>0.90449143</v>
      </c>
      <c r="L10" s="20" t="n">
        <v>0.28869382</v>
      </c>
      <c r="M10" s="18" t="n">
        <v>0</v>
      </c>
      <c r="N10" s="20" t="n">
        <v>0</v>
      </c>
      <c r="O10" s="18" t="n">
        <v>0</v>
      </c>
      <c r="P10" s="20" t="n">
        <v>0</v>
      </c>
      <c r="Q10" s="18" t="n">
        <v>0.43589247</v>
      </c>
      <c r="R10" s="20" t="n">
        <v>0.16161378</v>
      </c>
    </row>
    <row r="11" spans="1:18">
      <c r="A11" s="15" t="s">
        <v>569</v>
      </c>
      <c r="B11" s="17" t="n">
        <v>7053</v>
      </c>
      <c r="C11" s="18">
        <f>(6319.0/B11*100)</f>
        <v/>
      </c>
      <c r="D11" s="19" t="n">
        <v>734</v>
      </c>
      <c r="E11" s="18" t="n">
        <v>61.70854033</v>
      </c>
      <c r="F11" s="20" t="n">
        <v>2.12928101</v>
      </c>
      <c r="G11" s="18" t="n">
        <v>33.98570443</v>
      </c>
      <c r="H11" s="20" t="n">
        <v>2.1148318</v>
      </c>
      <c r="I11" s="18" t="n">
        <v>0</v>
      </c>
      <c r="J11" s="20" t="n">
        <v>0</v>
      </c>
      <c r="K11" s="18" t="n">
        <v>1.18490037</v>
      </c>
      <c r="L11" s="20" t="n">
        <v>0.81197968</v>
      </c>
      <c r="M11" s="18" t="n">
        <v>0</v>
      </c>
      <c r="N11" s="20" t="n">
        <v>0</v>
      </c>
      <c r="O11" s="18" t="n">
        <v>0</v>
      </c>
      <c r="P11" s="20" t="n">
        <v>0</v>
      </c>
      <c r="Q11" s="18" t="n">
        <v>3.12085487</v>
      </c>
      <c r="R11" s="20" t="n">
        <v>0.76668275</v>
      </c>
    </row>
    <row r="12" spans="1:18">
      <c r="A12" s="15" t="s">
        <v>570</v>
      </c>
      <c r="B12" s="17" t="n">
        <v>6894</v>
      </c>
      <c r="C12" s="18">
        <f>(6155.0/B12*100)</f>
        <v/>
      </c>
      <c r="D12" s="19" t="n">
        <v>739</v>
      </c>
      <c r="E12" s="18" t="n">
        <v>40.84340424</v>
      </c>
      <c r="F12" s="20" t="n">
        <v>2.05261297</v>
      </c>
      <c r="G12" s="18" t="n">
        <v>57.95895871</v>
      </c>
      <c r="H12" s="20" t="n">
        <v>2.04029385</v>
      </c>
      <c r="I12" s="18" t="n">
        <v>0</v>
      </c>
      <c r="J12" s="20" t="n">
        <v>0</v>
      </c>
      <c r="K12" s="18" t="n">
        <v>0.51292215</v>
      </c>
      <c r="L12" s="20" t="n">
        <v>0.29262772</v>
      </c>
      <c r="M12" s="18" t="n">
        <v>0</v>
      </c>
      <c r="N12" s="20" t="n">
        <v>0</v>
      </c>
      <c r="O12" s="18" t="n">
        <v>0</v>
      </c>
      <c r="P12" s="20" t="n">
        <v>0</v>
      </c>
      <c r="Q12" s="18" t="n">
        <v>0.68471491</v>
      </c>
      <c r="R12" s="20" t="n">
        <v>0.42063418</v>
      </c>
    </row>
    <row r="13" spans="1:18">
      <c r="A13" s="15" t="s">
        <v>571</v>
      </c>
      <c r="B13" s="17" t="n">
        <v>7161</v>
      </c>
      <c r="C13" s="18">
        <f>(6436.0/B13*100)</f>
        <v/>
      </c>
      <c r="D13" s="19" t="n">
        <v>725</v>
      </c>
      <c r="E13" s="18" t="n">
        <v>39.80963204</v>
      </c>
      <c r="F13" s="20" t="n">
        <v>2.34658838</v>
      </c>
      <c r="G13" s="18" t="n">
        <v>56.54650628</v>
      </c>
      <c r="H13" s="20" t="n">
        <v>2.26901557</v>
      </c>
      <c r="I13" s="18" t="n">
        <v>0</v>
      </c>
      <c r="J13" s="20" t="n">
        <v>0</v>
      </c>
      <c r="K13" s="18" t="n">
        <v>1.72139949</v>
      </c>
      <c r="L13" s="20" t="n">
        <v>0.6434212</v>
      </c>
      <c r="M13" s="18" t="n">
        <v>0</v>
      </c>
      <c r="N13" s="20" t="n">
        <v>0</v>
      </c>
      <c r="O13" s="18" t="n">
        <v>0</v>
      </c>
      <c r="P13" s="20" t="n">
        <v>0</v>
      </c>
      <c r="Q13" s="18" t="n">
        <v>1.92246219</v>
      </c>
      <c r="R13" s="20" t="n">
        <v>0.79083838</v>
      </c>
    </row>
    <row r="14" spans="1:18">
      <c r="A14" s="15" t="s">
        <v>572</v>
      </c>
      <c r="B14" s="17" t="n">
        <v>5587</v>
      </c>
      <c r="C14" s="18">
        <f>(4966.0/B14*100)</f>
        <v/>
      </c>
      <c r="D14" s="19" t="n">
        <v>621</v>
      </c>
      <c r="E14" s="18" t="n">
        <v>53.80557317</v>
      </c>
      <c r="F14" s="20" t="n">
        <v>2.45292828</v>
      </c>
      <c r="G14" s="18" t="n">
        <v>45.54286944</v>
      </c>
      <c r="H14" s="20" t="n">
        <v>2.4599661</v>
      </c>
      <c r="I14" s="18" t="n">
        <v>0</v>
      </c>
      <c r="J14" s="20" t="n">
        <v>0</v>
      </c>
      <c r="K14" s="18" t="n">
        <v>0.52801889</v>
      </c>
      <c r="L14" s="20" t="n">
        <v>0.26922638</v>
      </c>
      <c r="M14" s="18" t="n">
        <v>0</v>
      </c>
      <c r="N14" s="20" t="n">
        <v>0</v>
      </c>
      <c r="O14" s="18" t="n">
        <v>0</v>
      </c>
      <c r="P14" s="20" t="n">
        <v>0</v>
      </c>
      <c r="Q14" s="18" t="n">
        <v>0.12353851</v>
      </c>
      <c r="R14" s="20" t="n">
        <v>0.12337033</v>
      </c>
    </row>
    <row r="15" spans="1:18">
      <c r="A15" s="15" t="s">
        <v>573</v>
      </c>
      <c r="B15" s="17" t="n">
        <v>5882</v>
      </c>
      <c r="C15" s="18">
        <f>(5223.0/B15*100)</f>
        <v/>
      </c>
      <c r="D15" s="19" t="n">
        <v>659</v>
      </c>
      <c r="E15" s="18" t="n">
        <v>34.32834765</v>
      </c>
      <c r="F15" s="20" t="n">
        <v>1.85584553</v>
      </c>
      <c r="G15" s="18" t="n">
        <v>64.90471943999999</v>
      </c>
      <c r="H15" s="20" t="n">
        <v>1.85920964</v>
      </c>
      <c r="I15" s="18" t="n">
        <v>0</v>
      </c>
      <c r="J15" s="20" t="n">
        <v>0</v>
      </c>
      <c r="K15" s="18" t="n">
        <v>0.76693291</v>
      </c>
      <c r="L15" s="20" t="n">
        <v>0.32328127</v>
      </c>
      <c r="M15" s="18" t="n">
        <v>0</v>
      </c>
      <c r="N15" s="20" t="n">
        <v>0</v>
      </c>
      <c r="O15" s="18" t="n">
        <v>0</v>
      </c>
      <c r="P15" s="20" t="n">
        <v>0</v>
      </c>
      <c r="Q15" s="18" t="n">
        <v>0</v>
      </c>
      <c r="R15" s="20" t="n">
        <v>0</v>
      </c>
    </row>
    <row r="16" spans="1:18">
      <c r="A16" s="15" t="s">
        <v>574</v>
      </c>
      <c r="B16" s="17" t="n">
        <v>6108</v>
      </c>
      <c r="C16" s="18">
        <f>(5435.0/B16*100)</f>
        <v/>
      </c>
      <c r="D16" s="19" t="n">
        <v>673</v>
      </c>
      <c r="E16" s="18" t="n">
        <v>39.12505408</v>
      </c>
      <c r="F16" s="20" t="n">
        <v>1.95914718</v>
      </c>
      <c r="G16" s="18" t="n">
        <v>56.23283785</v>
      </c>
      <c r="H16" s="20" t="n">
        <v>1.97484928</v>
      </c>
      <c r="I16" s="18" t="n">
        <v>0</v>
      </c>
      <c r="J16" s="20" t="n">
        <v>0</v>
      </c>
      <c r="K16" s="18" t="n">
        <v>2.81017401</v>
      </c>
      <c r="L16" s="20" t="n">
        <v>0.62402048</v>
      </c>
      <c r="M16" s="18" t="n">
        <v>0</v>
      </c>
      <c r="N16" s="20" t="n">
        <v>0</v>
      </c>
      <c r="O16" s="18" t="n">
        <v>0</v>
      </c>
      <c r="P16" s="20" t="n">
        <v>0</v>
      </c>
      <c r="Q16" s="18" t="n">
        <v>1.83193406</v>
      </c>
      <c r="R16" s="20" t="n">
        <v>0.55831175</v>
      </c>
    </row>
    <row r="17" spans="1:18">
      <c r="A17" s="15" t="s">
        <v>575</v>
      </c>
      <c r="B17" s="17" t="n">
        <v>6504</v>
      </c>
      <c r="C17" s="18">
        <f>(5811.0/B17*100)</f>
        <v/>
      </c>
      <c r="D17" s="19" t="n">
        <v>693</v>
      </c>
      <c r="E17" s="18" t="n">
        <v>34.26049624</v>
      </c>
      <c r="F17" s="20" t="n">
        <v>1.75558437</v>
      </c>
      <c r="G17" s="18" t="n">
        <v>64.3211673</v>
      </c>
      <c r="H17" s="20" t="n">
        <v>1.69858378</v>
      </c>
      <c r="I17" s="18" t="n">
        <v>0</v>
      </c>
      <c r="J17" s="20" t="n">
        <v>0</v>
      </c>
      <c r="K17" s="18" t="n">
        <v>0.68993005</v>
      </c>
      <c r="L17" s="20" t="n">
        <v>0.3242999</v>
      </c>
      <c r="M17" s="18" t="n">
        <v>0</v>
      </c>
      <c r="N17" s="20" t="n">
        <v>0</v>
      </c>
      <c r="O17" s="18" t="n">
        <v>0</v>
      </c>
      <c r="P17" s="20" t="n">
        <v>0</v>
      </c>
      <c r="Q17" s="18" t="n">
        <v>0.7284064099999999</v>
      </c>
      <c r="R17" s="20" t="n">
        <v>0.35660207</v>
      </c>
    </row>
    <row r="18" spans="1:18">
      <c r="A18" s="15" t="s">
        <v>576</v>
      </c>
      <c r="B18" s="17" t="n">
        <v>5532</v>
      </c>
      <c r="C18" s="18">
        <f>(4913.0/B18*100)</f>
        <v/>
      </c>
      <c r="D18" s="19" t="n">
        <v>619</v>
      </c>
      <c r="E18" s="18" t="n">
        <v>61.10944107</v>
      </c>
      <c r="F18" s="20" t="n">
        <v>1.83825912</v>
      </c>
      <c r="G18" s="18" t="n">
        <v>37.11435303</v>
      </c>
      <c r="H18" s="20" t="n">
        <v>1.91596405</v>
      </c>
      <c r="I18" s="18" t="n">
        <v>0</v>
      </c>
      <c r="J18" s="20" t="n">
        <v>0</v>
      </c>
      <c r="K18" s="18" t="n">
        <v>0.70583441</v>
      </c>
      <c r="L18" s="20" t="n">
        <v>0.24021204</v>
      </c>
      <c r="M18" s="18" t="n">
        <v>0</v>
      </c>
      <c r="N18" s="20" t="n">
        <v>0</v>
      </c>
      <c r="O18" s="18" t="n">
        <v>0</v>
      </c>
      <c r="P18" s="20" t="n">
        <v>0</v>
      </c>
      <c r="Q18" s="18" t="n">
        <v>1.07037149</v>
      </c>
      <c r="R18" s="20" t="n">
        <v>0.56304106</v>
      </c>
    </row>
    <row r="19" spans="1:18">
      <c r="A19" s="15" t="s">
        <v>577</v>
      </c>
      <c r="B19" s="17" t="n">
        <v>5658</v>
      </c>
      <c r="C19" s="18">
        <f>(5047.0/B19*100)</f>
        <v/>
      </c>
      <c r="D19" s="19" t="n">
        <v>611</v>
      </c>
      <c r="E19" s="18" t="n">
        <v>44.6179325</v>
      </c>
      <c r="F19" s="20" t="n">
        <v>1.90770666</v>
      </c>
      <c r="G19" s="18" t="n">
        <v>55.08333574</v>
      </c>
      <c r="H19" s="20" t="n">
        <v>1.93667852</v>
      </c>
      <c r="I19" s="18" t="n">
        <v>0</v>
      </c>
      <c r="J19" s="20" t="n">
        <v>0</v>
      </c>
      <c r="K19" s="18" t="n">
        <v>0</v>
      </c>
      <c r="L19" s="20" t="n">
        <v>0</v>
      </c>
      <c r="M19" s="18" t="n">
        <v>0</v>
      </c>
      <c r="N19" s="20" t="n">
        <v>0</v>
      </c>
      <c r="O19" s="18" t="n">
        <v>0</v>
      </c>
      <c r="P19" s="20" t="n">
        <v>0</v>
      </c>
      <c r="Q19" s="18" t="n">
        <v>0.29873176</v>
      </c>
      <c r="R19" s="20" t="n">
        <v>0.19785385</v>
      </c>
    </row>
    <row r="20" spans="1:18">
      <c r="A20" s="15" t="s">
        <v>578</v>
      </c>
      <c r="B20" s="17" t="n">
        <v>3371</v>
      </c>
      <c r="C20" s="18">
        <f>(3017.0/B20*100)</f>
        <v/>
      </c>
      <c r="D20" s="19" t="n">
        <v>354</v>
      </c>
      <c r="E20" s="18" t="n">
        <v>61.72954938</v>
      </c>
      <c r="F20" s="20" t="n">
        <v>2.90846628</v>
      </c>
      <c r="G20" s="18" t="n">
        <v>35.49155781</v>
      </c>
      <c r="H20" s="20" t="n">
        <v>2.8213498</v>
      </c>
      <c r="I20" s="18" t="n">
        <v>0</v>
      </c>
      <c r="J20" s="20" t="n">
        <v>0</v>
      </c>
      <c r="K20" s="18" t="n">
        <v>1.00897598</v>
      </c>
      <c r="L20" s="20" t="n">
        <v>0.49109337</v>
      </c>
      <c r="M20" s="18" t="n">
        <v>0</v>
      </c>
      <c r="N20" s="20" t="n">
        <v>0</v>
      </c>
      <c r="O20" s="18" t="n">
        <v>0</v>
      </c>
      <c r="P20" s="20" t="n">
        <v>0</v>
      </c>
      <c r="Q20" s="18" t="n">
        <v>1.76991684</v>
      </c>
      <c r="R20" s="20" t="n">
        <v>0.7370947799999999</v>
      </c>
    </row>
    <row r="21" spans="1:18">
      <c r="A21" s="15" t="s">
        <v>579</v>
      </c>
      <c r="B21" s="17" t="n">
        <v>5741</v>
      </c>
      <c r="C21" s="18">
        <f>(5080.0/B21*100)</f>
        <v/>
      </c>
      <c r="D21" s="19" t="n">
        <v>661</v>
      </c>
      <c r="E21" s="18" t="n">
        <v>37.00012898</v>
      </c>
      <c r="F21" s="20" t="n">
        <v>1.89418839</v>
      </c>
      <c r="G21" s="18" t="n">
        <v>61.73792095</v>
      </c>
      <c r="H21" s="20" t="n">
        <v>1.78471731</v>
      </c>
      <c r="I21" s="18" t="n">
        <v>0</v>
      </c>
      <c r="J21" s="20" t="n">
        <v>0</v>
      </c>
      <c r="K21" s="18" t="n">
        <v>0.5897157200000001</v>
      </c>
      <c r="L21" s="20" t="n">
        <v>0.28984517</v>
      </c>
      <c r="M21" s="18" t="n">
        <v>0</v>
      </c>
      <c r="N21" s="20" t="n">
        <v>0</v>
      </c>
      <c r="O21" s="18" t="n">
        <v>0</v>
      </c>
      <c r="P21" s="20" t="n">
        <v>0</v>
      </c>
      <c r="Q21" s="18" t="n">
        <v>0.67223435</v>
      </c>
      <c r="R21" s="20" t="n">
        <v>0.34763523</v>
      </c>
    </row>
    <row r="22" spans="1:18">
      <c r="A22" s="15" t="s">
        <v>580</v>
      </c>
      <c r="B22" s="17" t="n">
        <v>6598</v>
      </c>
      <c r="C22" s="18">
        <f>(5948.0/B22*100)</f>
        <v/>
      </c>
      <c r="D22" s="19" t="n">
        <v>650</v>
      </c>
      <c r="E22" s="18" t="n">
        <v>63.52612964</v>
      </c>
      <c r="F22" s="20" t="n">
        <v>1.87413313</v>
      </c>
      <c r="G22" s="18" t="n">
        <v>32.95834317</v>
      </c>
      <c r="H22" s="20" t="n">
        <v>1.9272289</v>
      </c>
      <c r="I22" s="18" t="n">
        <v>0</v>
      </c>
      <c r="J22" s="20" t="n">
        <v>0</v>
      </c>
      <c r="K22" s="18" t="n">
        <v>2.12532731</v>
      </c>
      <c r="L22" s="20" t="n">
        <v>0.65632154</v>
      </c>
      <c r="M22" s="18" t="n">
        <v>0</v>
      </c>
      <c r="N22" s="20" t="n">
        <v>0</v>
      </c>
      <c r="O22" s="18" t="n">
        <v>0</v>
      </c>
      <c r="P22" s="20" t="n">
        <v>0</v>
      </c>
      <c r="Q22" s="18" t="n">
        <v>1.39019989</v>
      </c>
      <c r="R22" s="20" t="n">
        <v>0.44663075</v>
      </c>
    </row>
    <row r="23" spans="1:18">
      <c r="A23" s="15" t="s">
        <v>581</v>
      </c>
      <c r="B23" s="17" t="n">
        <v>11583</v>
      </c>
      <c r="C23" s="18">
        <f>(10329.0/B23*100)</f>
        <v/>
      </c>
      <c r="D23" s="19" t="n">
        <v>1254</v>
      </c>
      <c r="E23" s="18" t="n">
        <v>36.66894772</v>
      </c>
      <c r="F23" s="20" t="n">
        <v>1.80462036</v>
      </c>
      <c r="G23" s="18" t="n">
        <v>61.22840343</v>
      </c>
      <c r="H23" s="20" t="n">
        <v>1.81532006</v>
      </c>
      <c r="I23" s="18" t="n">
        <v>0</v>
      </c>
      <c r="J23" s="20" t="n">
        <v>0</v>
      </c>
      <c r="K23" s="18" t="n">
        <v>0.98908956</v>
      </c>
      <c r="L23" s="20" t="n">
        <v>0.44780171</v>
      </c>
      <c r="M23" s="18" t="n">
        <v>0</v>
      </c>
      <c r="N23" s="20" t="n">
        <v>0</v>
      </c>
      <c r="O23" s="18" t="n">
        <v>0</v>
      </c>
      <c r="P23" s="20" t="n">
        <v>0</v>
      </c>
      <c r="Q23" s="18" t="n">
        <v>1.11355929</v>
      </c>
      <c r="R23" s="20" t="n">
        <v>0.41370092</v>
      </c>
    </row>
    <row r="24" spans="1:18">
      <c r="A24" s="15" t="s">
        <v>582</v>
      </c>
      <c r="B24" s="17" t="n">
        <v>6647</v>
      </c>
      <c r="C24" s="18">
        <f>(5928.0/B24*100)</f>
        <v/>
      </c>
      <c r="D24" s="19" t="n">
        <v>719</v>
      </c>
      <c r="E24" s="18" t="n">
        <v>32.08355725</v>
      </c>
      <c r="F24" s="20" t="n">
        <v>1.94209778</v>
      </c>
      <c r="G24" s="18" t="n">
        <v>66.92329340000001</v>
      </c>
      <c r="H24" s="20" t="n">
        <v>1.98162894</v>
      </c>
      <c r="I24" s="18" t="n">
        <v>0</v>
      </c>
      <c r="J24" s="20" t="n">
        <v>0</v>
      </c>
      <c r="K24" s="18" t="n">
        <v>0.41194022</v>
      </c>
      <c r="L24" s="20" t="n">
        <v>0.2311576</v>
      </c>
      <c r="M24" s="18" t="n">
        <v>0</v>
      </c>
      <c r="N24" s="20" t="n">
        <v>0</v>
      </c>
      <c r="O24" s="18" t="n">
        <v>0</v>
      </c>
      <c r="P24" s="20" t="n">
        <v>0</v>
      </c>
      <c r="Q24" s="18" t="n">
        <v>0.58120913</v>
      </c>
      <c r="R24" s="20" t="n">
        <v>0.27998636</v>
      </c>
    </row>
    <row r="25" spans="1:18">
      <c r="A25" s="15" t="s">
        <v>583</v>
      </c>
      <c r="B25" s="17" t="n">
        <v>5581</v>
      </c>
      <c r="C25" s="18">
        <f>(4966.0/B25*100)</f>
        <v/>
      </c>
      <c r="D25" s="19" t="n">
        <v>615</v>
      </c>
      <c r="E25" s="18" t="n">
        <v>58.54976312</v>
      </c>
      <c r="F25" s="20" t="n">
        <v>2.28080032</v>
      </c>
      <c r="G25" s="18" t="n">
        <v>40.84691978</v>
      </c>
      <c r="H25" s="20" t="n">
        <v>2.27067658</v>
      </c>
      <c r="I25" s="18" t="n">
        <v>0</v>
      </c>
      <c r="J25" s="20" t="n">
        <v>0</v>
      </c>
      <c r="K25" s="18" t="n">
        <v>0.42807223</v>
      </c>
      <c r="L25" s="20" t="n">
        <v>0.25037646</v>
      </c>
      <c r="M25" s="18" t="n">
        <v>0</v>
      </c>
      <c r="N25" s="20" t="n">
        <v>0</v>
      </c>
      <c r="O25" s="18" t="n">
        <v>0</v>
      </c>
      <c r="P25" s="20" t="n">
        <v>0</v>
      </c>
      <c r="Q25" s="18" t="n">
        <v>0.17524487</v>
      </c>
      <c r="R25" s="20" t="n">
        <v>0.17567022</v>
      </c>
    </row>
    <row r="26" spans="1:18">
      <c r="A26" s="15" t="s">
        <v>584</v>
      </c>
      <c r="B26" s="17" t="n">
        <v>4869</v>
      </c>
      <c r="C26" s="18">
        <f>(4329.0/B26*100)</f>
        <v/>
      </c>
      <c r="D26" s="19" t="n">
        <v>540</v>
      </c>
      <c r="E26" s="18" t="n">
        <v>49.81615667</v>
      </c>
      <c r="F26" s="20" t="n">
        <v>2.31209189</v>
      </c>
      <c r="G26" s="18" t="n">
        <v>50.00196959</v>
      </c>
      <c r="H26" s="20" t="n">
        <v>2.3051749</v>
      </c>
      <c r="I26" s="18" t="n">
        <v>0</v>
      </c>
      <c r="J26" s="20" t="n">
        <v>0</v>
      </c>
      <c r="K26" s="18" t="n">
        <v>0</v>
      </c>
      <c r="L26" s="20" t="n">
        <v>0</v>
      </c>
      <c r="M26" s="18" t="n">
        <v>0</v>
      </c>
      <c r="N26" s="20" t="n">
        <v>0</v>
      </c>
      <c r="O26" s="18" t="n">
        <v>0</v>
      </c>
      <c r="P26" s="20" t="n">
        <v>0</v>
      </c>
      <c r="Q26" s="18" t="n">
        <v>0.18187374</v>
      </c>
      <c r="R26" s="20" t="n">
        <v>0.18215498</v>
      </c>
    </row>
    <row r="27" spans="1:18">
      <c r="A27" s="15" t="s">
        <v>585</v>
      </c>
      <c r="B27" s="17" t="n">
        <v>5299</v>
      </c>
      <c r="C27" s="18">
        <f>(4729.0/B27*100)</f>
        <v/>
      </c>
      <c r="D27" s="19" t="n">
        <v>570</v>
      </c>
      <c r="E27" s="18" t="n">
        <v>44.28587785</v>
      </c>
      <c r="F27" s="20" t="n">
        <v>2.22278874</v>
      </c>
      <c r="G27" s="18" t="n">
        <v>54.15550723</v>
      </c>
      <c r="H27" s="20" t="n">
        <v>2.20277532</v>
      </c>
      <c r="I27" s="18" t="n">
        <v>0</v>
      </c>
      <c r="J27" s="20" t="n">
        <v>0</v>
      </c>
      <c r="K27" s="18" t="n">
        <v>0.69539076</v>
      </c>
      <c r="L27" s="20" t="n">
        <v>0.34643673</v>
      </c>
      <c r="M27" s="18" t="n">
        <v>0</v>
      </c>
      <c r="N27" s="20" t="n">
        <v>0</v>
      </c>
      <c r="O27" s="18" t="n">
        <v>0</v>
      </c>
      <c r="P27" s="20" t="n">
        <v>0</v>
      </c>
      <c r="Q27" s="18" t="n">
        <v>0.86322416</v>
      </c>
      <c r="R27" s="20" t="n">
        <v>0.38427263</v>
      </c>
    </row>
    <row r="28" spans="1:18">
      <c r="A28" s="15" t="s">
        <v>586</v>
      </c>
      <c r="B28" s="17" t="n">
        <v>7568</v>
      </c>
      <c r="C28" s="18">
        <f>(6827.0/B28*100)</f>
        <v/>
      </c>
      <c r="D28" s="19" t="n">
        <v>741</v>
      </c>
      <c r="E28" s="18" t="n">
        <v>64.84393545</v>
      </c>
      <c r="F28" s="20" t="n">
        <v>1.89011954</v>
      </c>
      <c r="G28" s="18" t="n">
        <v>33.70509413</v>
      </c>
      <c r="H28" s="20" t="n">
        <v>1.82042475</v>
      </c>
      <c r="I28" s="18" t="n">
        <v>0</v>
      </c>
      <c r="J28" s="20" t="n">
        <v>0</v>
      </c>
      <c r="K28" s="18" t="n">
        <v>1.06763596</v>
      </c>
      <c r="L28" s="20" t="n">
        <v>0.47238001</v>
      </c>
      <c r="M28" s="18" t="n">
        <v>0</v>
      </c>
      <c r="N28" s="20" t="n">
        <v>0</v>
      </c>
      <c r="O28" s="18" t="n">
        <v>0</v>
      </c>
      <c r="P28" s="20" t="n">
        <v>0</v>
      </c>
      <c r="Q28" s="18" t="n">
        <v>0.38333446</v>
      </c>
      <c r="R28" s="20" t="n">
        <v>0.22176997</v>
      </c>
    </row>
    <row r="29" spans="1:18">
      <c r="A29" s="15" t="s">
        <v>587</v>
      </c>
      <c r="B29" s="17" t="n">
        <v>5385</v>
      </c>
      <c r="C29" s="18">
        <f>(4803.0/B29*100)</f>
        <v/>
      </c>
      <c r="D29" s="19" t="n">
        <v>582</v>
      </c>
      <c r="E29" s="18" t="n">
        <v>44.81927387</v>
      </c>
      <c r="F29" s="20" t="n">
        <v>1.95792443</v>
      </c>
      <c r="G29" s="18" t="n">
        <v>54.48169028</v>
      </c>
      <c r="H29" s="20" t="n">
        <v>1.95287175</v>
      </c>
      <c r="I29" s="18" t="n">
        <v>0</v>
      </c>
      <c r="J29" s="20" t="n">
        <v>0</v>
      </c>
      <c r="K29" s="18" t="n">
        <v>0.17696287</v>
      </c>
      <c r="L29" s="20" t="n">
        <v>0.17544565</v>
      </c>
      <c r="M29" s="18" t="n">
        <v>0</v>
      </c>
      <c r="N29" s="20" t="n">
        <v>0</v>
      </c>
      <c r="O29" s="18" t="n">
        <v>0</v>
      </c>
      <c r="P29" s="20" t="n">
        <v>0</v>
      </c>
      <c r="Q29" s="18" t="n">
        <v>0.52207298</v>
      </c>
      <c r="R29" s="20" t="n">
        <v>0.30421876</v>
      </c>
    </row>
    <row r="30" spans="1:18">
      <c r="A30" s="15" t="s">
        <v>588</v>
      </c>
      <c r="B30" s="17" t="n">
        <v>4520</v>
      </c>
      <c r="C30" s="18">
        <f>(4022.0/B30*100)</f>
        <v/>
      </c>
      <c r="D30" s="19" t="n">
        <v>498</v>
      </c>
      <c r="E30" s="18" t="n">
        <v>40.4769452</v>
      </c>
      <c r="F30" s="20" t="n">
        <v>2.34757503</v>
      </c>
      <c r="G30" s="18" t="n">
        <v>57.26753273</v>
      </c>
      <c r="H30" s="20" t="n">
        <v>2.32260654</v>
      </c>
      <c r="I30" s="18" t="n">
        <v>0</v>
      </c>
      <c r="J30" s="20" t="n">
        <v>0</v>
      </c>
      <c r="K30" s="18" t="n">
        <v>0.88793256</v>
      </c>
      <c r="L30" s="20" t="n">
        <v>0.45671046</v>
      </c>
      <c r="M30" s="18" t="n">
        <v>0</v>
      </c>
      <c r="N30" s="20" t="n">
        <v>0</v>
      </c>
      <c r="O30" s="18" t="n">
        <v>0</v>
      </c>
      <c r="P30" s="20" t="n">
        <v>0</v>
      </c>
      <c r="Q30" s="18" t="n">
        <v>1.36758951</v>
      </c>
      <c r="R30" s="20" t="n">
        <v>0.56306471</v>
      </c>
    </row>
    <row r="31" spans="1:18">
      <c r="A31" s="15" t="s">
        <v>589</v>
      </c>
      <c r="B31" s="17" t="n">
        <v>5456</v>
      </c>
      <c r="C31" s="18">
        <f>(4861.0/B31*100)</f>
        <v/>
      </c>
      <c r="D31" s="19" t="n">
        <v>595</v>
      </c>
      <c r="E31" s="18" t="n">
        <v>42.30787789</v>
      </c>
      <c r="F31" s="20" t="n">
        <v>2.05655374</v>
      </c>
      <c r="G31" s="18" t="n">
        <v>54.62602868</v>
      </c>
      <c r="H31" s="20" t="n">
        <v>2.12403401</v>
      </c>
      <c r="I31" s="18" t="n">
        <v>0</v>
      </c>
      <c r="J31" s="20" t="n">
        <v>0</v>
      </c>
      <c r="K31" s="18" t="n">
        <v>0.80010583</v>
      </c>
      <c r="L31" s="20" t="n">
        <v>0.33630561</v>
      </c>
      <c r="M31" s="18" t="n">
        <v>0</v>
      </c>
      <c r="N31" s="20" t="n">
        <v>0</v>
      </c>
      <c r="O31" s="18" t="n">
        <v>0</v>
      </c>
      <c r="P31" s="20" t="n">
        <v>0</v>
      </c>
      <c r="Q31" s="18" t="n">
        <v>2.26598759</v>
      </c>
      <c r="R31" s="20" t="n">
        <v>0.59538022</v>
      </c>
    </row>
    <row r="32" spans="1:18">
      <c r="A32" s="15" t="s">
        <v>590</v>
      </c>
      <c r="B32" s="17" t="n">
        <v>4478</v>
      </c>
      <c r="C32" s="18">
        <f>(3989.0/B32*100)</f>
        <v/>
      </c>
      <c r="D32" s="19" t="n">
        <v>489</v>
      </c>
      <c r="E32" s="18" t="n">
        <v>43.51754373</v>
      </c>
      <c r="F32" s="20" t="n">
        <v>2.27787322</v>
      </c>
      <c r="G32" s="18" t="n">
        <v>55.35444716</v>
      </c>
      <c r="H32" s="20" t="n">
        <v>2.30313619</v>
      </c>
      <c r="I32" s="18" t="n">
        <v>0</v>
      </c>
      <c r="J32" s="20" t="n">
        <v>0</v>
      </c>
      <c r="K32" s="18" t="n">
        <v>0.3678878</v>
      </c>
      <c r="L32" s="20" t="n">
        <v>0.26113157</v>
      </c>
      <c r="M32" s="18" t="n">
        <v>0</v>
      </c>
      <c r="N32" s="20" t="n">
        <v>0</v>
      </c>
      <c r="O32" s="18" t="n">
        <v>0</v>
      </c>
      <c r="P32" s="20" t="n">
        <v>0</v>
      </c>
      <c r="Q32" s="18" t="n">
        <v>0.76012131</v>
      </c>
      <c r="R32" s="20" t="n">
        <v>0.38624574</v>
      </c>
    </row>
    <row r="33" spans="1:18">
      <c r="A33" s="15" t="s">
        <v>591</v>
      </c>
      <c r="B33" s="17" t="n">
        <v>7325</v>
      </c>
      <c r="C33" s="18">
        <f>(6582.0/B33*100)</f>
        <v/>
      </c>
      <c r="D33" s="19" t="n">
        <v>743</v>
      </c>
      <c r="E33" s="18" t="n">
        <v>40.95376953</v>
      </c>
      <c r="F33" s="20" t="n">
        <v>2.13513915</v>
      </c>
      <c r="G33" s="18" t="n">
        <v>57.80936386</v>
      </c>
      <c r="H33" s="20" t="n">
        <v>2.24607925</v>
      </c>
      <c r="I33" s="18" t="n">
        <v>0</v>
      </c>
      <c r="J33" s="20" t="n">
        <v>0</v>
      </c>
      <c r="K33" s="18" t="n">
        <v>0.83245968</v>
      </c>
      <c r="L33" s="20" t="n">
        <v>0.54690607</v>
      </c>
      <c r="M33" s="18" t="n">
        <v>0</v>
      </c>
      <c r="N33" s="20" t="n">
        <v>0</v>
      </c>
      <c r="O33" s="18" t="n">
        <v>0</v>
      </c>
      <c r="P33" s="20" t="n">
        <v>0</v>
      </c>
      <c r="Q33" s="18" t="n">
        <v>0.40440692</v>
      </c>
      <c r="R33" s="20" t="n">
        <v>0.28007363</v>
      </c>
    </row>
    <row r="34" spans="1:18">
      <c r="A34" s="15" t="s">
        <v>592</v>
      </c>
      <c r="B34" s="17" t="n">
        <v>6350</v>
      </c>
      <c r="C34" s="18">
        <f>(5714.0/B34*100)</f>
        <v/>
      </c>
      <c r="D34" s="19" t="n">
        <v>636</v>
      </c>
      <c r="E34" s="18" t="n">
        <v>55.78925593</v>
      </c>
      <c r="F34" s="20" t="n">
        <v>1.99623684</v>
      </c>
      <c r="G34" s="18" t="n">
        <v>43.25035318</v>
      </c>
      <c r="H34" s="20" t="n">
        <v>1.95687845</v>
      </c>
      <c r="I34" s="18" t="n">
        <v>0</v>
      </c>
      <c r="J34" s="20" t="n">
        <v>0</v>
      </c>
      <c r="K34" s="18" t="n">
        <v>0.63949935</v>
      </c>
      <c r="L34" s="20" t="n">
        <v>0.36965446</v>
      </c>
      <c r="M34" s="18" t="n">
        <v>0</v>
      </c>
      <c r="N34" s="20" t="n">
        <v>0</v>
      </c>
      <c r="O34" s="18" t="n">
        <v>0</v>
      </c>
      <c r="P34" s="20" t="n">
        <v>0</v>
      </c>
      <c r="Q34" s="18" t="n">
        <v>0.32089154</v>
      </c>
      <c r="R34" s="20" t="n">
        <v>0.2257711</v>
      </c>
    </row>
    <row r="35" spans="1:18">
      <c r="A35" s="15" t="s">
        <v>593</v>
      </c>
      <c r="B35" s="17" t="n">
        <v>6406</v>
      </c>
      <c r="C35" s="18">
        <f>(5717.0/B35*100)</f>
        <v/>
      </c>
      <c r="D35" s="19" t="n">
        <v>689</v>
      </c>
      <c r="E35" s="18" t="n">
        <v>39.46299116</v>
      </c>
      <c r="F35" s="20" t="n">
        <v>2.13960296</v>
      </c>
      <c r="G35" s="18" t="n">
        <v>60.08434002</v>
      </c>
      <c r="H35" s="20" t="n">
        <v>2.16658097</v>
      </c>
      <c r="I35" s="18" t="n">
        <v>0</v>
      </c>
      <c r="J35" s="20" t="n">
        <v>0</v>
      </c>
      <c r="K35" s="18" t="n">
        <v>0</v>
      </c>
      <c r="L35" s="20" t="n">
        <v>0</v>
      </c>
      <c r="M35" s="18" t="n">
        <v>0</v>
      </c>
      <c r="N35" s="20" t="n">
        <v>0</v>
      </c>
      <c r="O35" s="18" t="n">
        <v>0</v>
      </c>
      <c r="P35" s="20" t="n">
        <v>0</v>
      </c>
      <c r="Q35" s="18" t="n">
        <v>0.45266882</v>
      </c>
      <c r="R35" s="20" t="n">
        <v>0.21833439</v>
      </c>
    </row>
    <row r="36" spans="1:18">
      <c r="A36" s="15" t="s">
        <v>594</v>
      </c>
      <c r="B36" s="17" t="n">
        <v>6736</v>
      </c>
      <c r="C36" s="18">
        <f>(5999.0/B36*100)</f>
        <v/>
      </c>
      <c r="D36" s="19" t="n">
        <v>737</v>
      </c>
      <c r="E36" s="18" t="n">
        <v>47.01014584</v>
      </c>
      <c r="F36" s="20" t="n">
        <v>2.14139035</v>
      </c>
      <c r="G36" s="18" t="n">
        <v>51.07689878</v>
      </c>
      <c r="H36" s="20" t="n">
        <v>2.0732312</v>
      </c>
      <c r="I36" s="18" t="n">
        <v>0</v>
      </c>
      <c r="J36" s="20" t="n">
        <v>0</v>
      </c>
      <c r="K36" s="18" t="n">
        <v>0.49116235</v>
      </c>
      <c r="L36" s="20" t="n">
        <v>0.23729604</v>
      </c>
      <c r="M36" s="18" t="n">
        <v>0</v>
      </c>
      <c r="N36" s="20" t="n">
        <v>0</v>
      </c>
      <c r="O36" s="18" t="n">
        <v>0</v>
      </c>
      <c r="P36" s="20" t="n">
        <v>0</v>
      </c>
      <c r="Q36" s="18" t="n">
        <v>1.42179303</v>
      </c>
      <c r="R36" s="20" t="n">
        <v>0.3107463</v>
      </c>
    </row>
    <row r="37" spans="1:18">
      <c r="A37" s="15" t="s">
        <v>595</v>
      </c>
      <c r="B37" s="17" t="n">
        <v>5458</v>
      </c>
      <c r="C37" s="18">
        <f>(4882.0/B37*100)</f>
        <v/>
      </c>
      <c r="D37" s="19" t="n">
        <v>576</v>
      </c>
      <c r="E37" s="18" t="n">
        <v>42.08863766</v>
      </c>
      <c r="F37" s="20" t="n">
        <v>1.93976547</v>
      </c>
      <c r="G37" s="18" t="n">
        <v>54.64171361</v>
      </c>
      <c r="H37" s="20" t="n">
        <v>2.12542681</v>
      </c>
      <c r="I37" s="18" t="n">
        <v>0</v>
      </c>
      <c r="J37" s="20" t="n">
        <v>0</v>
      </c>
      <c r="K37" s="18" t="n">
        <v>0.63820342</v>
      </c>
      <c r="L37" s="20" t="n">
        <v>0.37829927</v>
      </c>
      <c r="M37" s="18" t="n">
        <v>0</v>
      </c>
      <c r="N37" s="20" t="n">
        <v>0</v>
      </c>
      <c r="O37" s="18" t="n">
        <v>0</v>
      </c>
      <c r="P37" s="20" t="n">
        <v>0</v>
      </c>
      <c r="Q37" s="18" t="n">
        <v>2.63144531</v>
      </c>
      <c r="R37" s="20" t="n">
        <v>0.686889</v>
      </c>
    </row>
    <row r="38" spans="1:18">
      <c r="A38" s="15" t="s">
        <v>596</v>
      </c>
      <c r="B38" s="17" t="n">
        <v>5860</v>
      </c>
      <c r="C38" s="18">
        <f>(5242.0/B38*100)</f>
        <v/>
      </c>
      <c r="D38" s="19" t="n">
        <v>618</v>
      </c>
      <c r="E38" s="18" t="n">
        <v>37.84354875</v>
      </c>
      <c r="F38" s="20" t="n">
        <v>2.30488245</v>
      </c>
      <c r="G38" s="18" t="n">
        <v>61.12768999</v>
      </c>
      <c r="H38" s="20" t="n">
        <v>2.37483422</v>
      </c>
      <c r="I38" s="18" t="n">
        <v>0</v>
      </c>
      <c r="J38" s="20" t="n">
        <v>0</v>
      </c>
      <c r="K38" s="18" t="n">
        <v>0.59732892</v>
      </c>
      <c r="L38" s="20" t="n">
        <v>0.33426697</v>
      </c>
      <c r="M38" s="18" t="n">
        <v>0</v>
      </c>
      <c r="N38" s="20" t="n">
        <v>0</v>
      </c>
      <c r="O38" s="18" t="n">
        <v>0</v>
      </c>
      <c r="P38" s="20" t="n">
        <v>0</v>
      </c>
      <c r="Q38" s="18" t="n">
        <v>0.43143235</v>
      </c>
      <c r="R38" s="20" t="n">
        <v>0.22906614</v>
      </c>
    </row>
    <row r="39" spans="1:18">
      <c r="A39" s="15" t="s">
        <v>597</v>
      </c>
      <c r="B39" s="17" t="n">
        <v>5895</v>
      </c>
      <c r="C39" s="18">
        <f>(5241.0/B39*100)</f>
        <v/>
      </c>
      <c r="D39" s="19" t="n">
        <v>654</v>
      </c>
      <c r="E39" s="18" t="n">
        <v>56.30786813</v>
      </c>
      <c r="F39" s="20" t="n">
        <v>2.20782487</v>
      </c>
      <c r="G39" s="18" t="n">
        <v>41.85216335</v>
      </c>
      <c r="H39" s="20" t="n">
        <v>2.17874006</v>
      </c>
      <c r="I39" s="18" t="n">
        <v>0</v>
      </c>
      <c r="J39" s="20" t="n">
        <v>0</v>
      </c>
      <c r="K39" s="18" t="n">
        <v>0.46154649</v>
      </c>
      <c r="L39" s="20" t="n">
        <v>0.22090412</v>
      </c>
      <c r="M39" s="18" t="n">
        <v>0</v>
      </c>
      <c r="N39" s="20" t="n">
        <v>0</v>
      </c>
      <c r="O39" s="18" t="n">
        <v>0</v>
      </c>
      <c r="P39" s="20" t="n">
        <v>0</v>
      </c>
      <c r="Q39" s="18" t="n">
        <v>1.37842203</v>
      </c>
      <c r="R39" s="20" t="n">
        <v>0.60286985</v>
      </c>
    </row>
    <row r="40" spans="1:18">
      <c r="A40" s="15" t="s">
        <v>598</v>
      </c>
      <c r="B40" s="17" t="n">
        <v>14157</v>
      </c>
      <c r="C40" s="18">
        <f>(12530.0/B40*100)</f>
        <v/>
      </c>
      <c r="D40" s="19" t="n">
        <v>1627</v>
      </c>
      <c r="E40" s="18" t="n">
        <v>35.40112476</v>
      </c>
      <c r="F40" s="20" t="n">
        <v>1.67098649</v>
      </c>
      <c r="G40" s="18" t="n">
        <v>62.51543617</v>
      </c>
      <c r="H40" s="20" t="n">
        <v>1.62481504</v>
      </c>
      <c r="I40" s="18" t="n">
        <v>0</v>
      </c>
      <c r="J40" s="20" t="n">
        <v>0</v>
      </c>
      <c r="K40" s="18" t="n">
        <v>0.53007921</v>
      </c>
      <c r="L40" s="20" t="n">
        <v>0.22624368</v>
      </c>
      <c r="M40" s="18" t="n">
        <v>0</v>
      </c>
      <c r="N40" s="20" t="n">
        <v>0</v>
      </c>
      <c r="O40" s="18" t="n">
        <v>0</v>
      </c>
      <c r="P40" s="20" t="n">
        <v>0</v>
      </c>
      <c r="Q40" s="18" t="n">
        <v>1.55335986</v>
      </c>
      <c r="R40" s="20" t="n">
        <v>0.47580441</v>
      </c>
    </row>
    <row r="41" spans="1:18">
      <c r="A41" s="15" t="s">
        <v>599</v>
      </c>
      <c r="B41" s="17" t="n">
        <v>5712</v>
      </c>
      <c r="C41" s="18">
        <f>(5115.0/B41*100)</f>
        <v/>
      </c>
      <c r="D41" s="19" t="n">
        <v>597</v>
      </c>
      <c r="E41" s="18" t="n">
        <v>44.31136107</v>
      </c>
      <c r="F41" s="20" t="n">
        <v>2.23104561</v>
      </c>
      <c r="G41" s="18" t="n">
        <v>55.04567014</v>
      </c>
      <c r="H41" s="20" t="n">
        <v>2.24418364</v>
      </c>
      <c r="I41" s="18" t="n">
        <v>0</v>
      </c>
      <c r="J41" s="20" t="n">
        <v>0</v>
      </c>
      <c r="K41" s="18" t="n">
        <v>0.64296879</v>
      </c>
      <c r="L41" s="20" t="n">
        <v>0.34958551</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(21304.0/B46*100)</f>
        <v/>
      </c>
      <c r="D46" s="19" t="n">
        <v>1837</v>
      </c>
      <c r="E46" s="18" t="n">
        <v>67.60584992</v>
      </c>
      <c r="F46" s="20" t="n">
        <v>1.62702103</v>
      </c>
      <c r="G46" s="18" t="n">
        <v>27.76968283</v>
      </c>
      <c r="H46" s="20" t="n">
        <v>1.43490168</v>
      </c>
      <c r="I46" s="18" t="n">
        <v>0</v>
      </c>
      <c r="J46" s="20" t="n">
        <v>0</v>
      </c>
      <c r="K46" s="18" t="n">
        <v>2.10646704</v>
      </c>
      <c r="L46" s="20" t="n">
        <v>0.43569071</v>
      </c>
      <c r="M46" s="18" t="n">
        <v>0</v>
      </c>
      <c r="N46" s="20" t="n">
        <v>0</v>
      </c>
      <c r="O46" s="18" t="n">
        <v>0</v>
      </c>
      <c r="P46" s="20" t="n">
        <v>0</v>
      </c>
      <c r="Q46" s="18" t="n">
        <v>2.51800021</v>
      </c>
      <c r="R46" s="20" t="n">
        <v>0.46424986</v>
      </c>
    </row>
    <row r="47" spans="1:18">
      <c r="A47" s="15" t="s">
        <v>606</v>
      </c>
      <c r="B47" s="17" t="n">
        <v>5928</v>
      </c>
      <c r="C47" s="18">
        <f>(5315.0/B47*100)</f>
        <v/>
      </c>
      <c r="D47" s="19" t="n">
        <v>613</v>
      </c>
      <c r="E47" s="18" t="n">
        <v>57.40421758</v>
      </c>
      <c r="F47" s="20" t="n">
        <v>2.07005457</v>
      </c>
      <c r="G47" s="18" t="n">
        <v>39.39993477</v>
      </c>
      <c r="H47" s="20" t="n">
        <v>2.13854675</v>
      </c>
      <c r="I47" s="18" t="n">
        <v>0</v>
      </c>
      <c r="J47" s="20" t="n">
        <v>0</v>
      </c>
      <c r="K47" s="18" t="n">
        <v>0.79059211</v>
      </c>
      <c r="L47" s="20" t="n">
        <v>0.33385356</v>
      </c>
      <c r="M47" s="18" t="n">
        <v>0</v>
      </c>
      <c r="N47" s="20" t="n">
        <v>0</v>
      </c>
      <c r="O47" s="18" t="n">
        <v>0</v>
      </c>
      <c r="P47" s="20" t="n">
        <v>0</v>
      </c>
      <c r="Q47" s="18" t="n">
        <v>2.40525553</v>
      </c>
      <c r="R47" s="20" t="n">
        <v>0.50696233</v>
      </c>
    </row>
    <row r="48" spans="1:18">
      <c r="A48" s="15" t="s">
        <v>607</v>
      </c>
      <c r="B48" s="17" t="n">
        <v>9841</v>
      </c>
      <c r="C48" s="18">
        <f>(8772.0/B48*100)</f>
        <v/>
      </c>
      <c r="D48" s="19" t="n">
        <v>1069</v>
      </c>
      <c r="E48" s="18" t="n">
        <v>52.7148455</v>
      </c>
      <c r="F48" s="20" t="n">
        <v>1.97785762</v>
      </c>
      <c r="G48" s="18" t="n">
        <v>46.34350362</v>
      </c>
      <c r="H48" s="20" t="n">
        <v>1.95600033</v>
      </c>
      <c r="I48" s="18" t="n">
        <v>0</v>
      </c>
      <c r="J48" s="20" t="n">
        <v>0</v>
      </c>
      <c r="K48" s="18" t="n">
        <v>0.62841409</v>
      </c>
      <c r="L48" s="20" t="n">
        <v>0.39605273</v>
      </c>
      <c r="M48" s="18" t="n">
        <v>0</v>
      </c>
      <c r="N48" s="20" t="n">
        <v>0</v>
      </c>
      <c r="O48" s="18" t="n">
        <v>0</v>
      </c>
      <c r="P48" s="20" t="n">
        <v>0</v>
      </c>
      <c r="Q48" s="18" t="n">
        <v>0.3132368</v>
      </c>
      <c r="R48" s="20" t="n">
        <v>0.22675248</v>
      </c>
    </row>
    <row r="49" spans="1:18">
      <c r="A49" s="15" t="s">
        <v>608</v>
      </c>
      <c r="B49" s="17" t="n">
        <v>11795</v>
      </c>
      <c r="C49" s="18">
        <f>(10567.0/B49*100)</f>
        <v/>
      </c>
      <c r="D49" s="19" t="n">
        <v>1228</v>
      </c>
      <c r="E49" s="18" t="n">
        <v>66.55167994</v>
      </c>
      <c r="F49" s="20" t="n">
        <v>1.92627067</v>
      </c>
      <c r="G49" s="18" t="n">
        <v>28.72125438</v>
      </c>
      <c r="H49" s="20" t="n">
        <v>1.84115608</v>
      </c>
      <c r="I49" s="18" t="n">
        <v>0</v>
      </c>
      <c r="J49" s="20" t="n">
        <v>0</v>
      </c>
      <c r="K49" s="18" t="n">
        <v>2.96566588</v>
      </c>
      <c r="L49" s="20" t="n">
        <v>0.7767417599999999</v>
      </c>
      <c r="M49" s="18" t="n">
        <v>0</v>
      </c>
      <c r="N49" s="20" t="n">
        <v>0</v>
      </c>
      <c r="O49" s="18" t="n">
        <v>0</v>
      </c>
      <c r="P49" s="20" t="n">
        <v>0</v>
      </c>
      <c r="Q49" s="18" t="n">
        <v>1.76139979</v>
      </c>
      <c r="R49" s="20" t="n">
        <v>0.53786228</v>
      </c>
    </row>
    <row r="50" spans="1:18">
      <c r="A50" s="15" t="s">
        <v>609</v>
      </c>
      <c r="B50" s="17" t="n">
        <v>6866</v>
      </c>
      <c r="C50" s="18">
        <f>(6227.0/B50*100)</f>
        <v/>
      </c>
      <c r="D50" s="19" t="n">
        <v>639</v>
      </c>
      <c r="E50" s="18" t="n">
        <v>65.20974841</v>
      </c>
      <c r="F50" s="20" t="n">
        <v>1.93185864</v>
      </c>
      <c r="G50" s="18" t="n">
        <v>32.46882454</v>
      </c>
      <c r="H50" s="20" t="n">
        <v>2.05324335</v>
      </c>
      <c r="I50" s="18" t="n">
        <v>0</v>
      </c>
      <c r="J50" s="20" t="n">
        <v>0</v>
      </c>
      <c r="K50" s="18" t="n">
        <v>1.82266624</v>
      </c>
      <c r="L50" s="20" t="n">
        <v>0.63499624</v>
      </c>
      <c r="M50" s="18" t="n">
        <v>0</v>
      </c>
      <c r="N50" s="20" t="n">
        <v>0</v>
      </c>
      <c r="O50" s="18" t="n">
        <v>0</v>
      </c>
      <c r="P50" s="20" t="n">
        <v>0</v>
      </c>
      <c r="Q50" s="18" t="n">
        <v>0.4987608</v>
      </c>
      <c r="R50" s="20" t="n">
        <v>0.23743744</v>
      </c>
    </row>
    <row r="51" spans="1:18">
      <c r="A51" s="15" t="s">
        <v>610</v>
      </c>
      <c r="B51" s="17" t="n">
        <v>5809</v>
      </c>
      <c r="C51" s="18">
        <f>(5202.0/B51*100)</f>
        <v/>
      </c>
      <c r="D51" s="19" t="n">
        <v>607</v>
      </c>
      <c r="E51" s="18" t="n">
        <v>46.73279698</v>
      </c>
      <c r="F51" s="20" t="n">
        <v>2.15083467</v>
      </c>
      <c r="G51" s="18" t="n">
        <v>52.93030019</v>
      </c>
      <c r="H51" s="20" t="n">
        <v>2.14730838</v>
      </c>
      <c r="I51" s="18" t="n">
        <v>0</v>
      </c>
      <c r="J51" s="20" t="n">
        <v>0</v>
      </c>
      <c r="K51" s="18" t="n">
        <v>0</v>
      </c>
      <c r="L51" s="20" t="n">
        <v>0</v>
      </c>
      <c r="M51" s="18" t="n">
        <v>0</v>
      </c>
      <c r="N51" s="20" t="n">
        <v>0</v>
      </c>
      <c r="O51" s="18" t="n">
        <v>0</v>
      </c>
      <c r="P51" s="20" t="n">
        <v>0</v>
      </c>
      <c r="Q51" s="18" t="n">
        <v>0.33690283</v>
      </c>
      <c r="R51" s="20" t="n">
        <v>0.22988138</v>
      </c>
    </row>
    <row r="52" spans="1:18">
      <c r="A52" s="15" t="s">
        <v>611</v>
      </c>
      <c r="B52" s="17" t="n">
        <v>5571</v>
      </c>
      <c r="C52" s="18">
        <f>(4965.0/B52*100)</f>
        <v/>
      </c>
      <c r="D52" s="19" t="n">
        <v>606</v>
      </c>
      <c r="E52" s="18" t="n">
        <v>55.61440336</v>
      </c>
      <c r="F52" s="20" t="n">
        <v>2.21737313</v>
      </c>
      <c r="G52" s="18" t="n">
        <v>42.82193995</v>
      </c>
      <c r="H52" s="20" t="n">
        <v>2.11852257</v>
      </c>
      <c r="I52" s="18" t="n">
        <v>0</v>
      </c>
      <c r="J52" s="20" t="n">
        <v>0</v>
      </c>
      <c r="K52" s="18" t="n">
        <v>0.47542485</v>
      </c>
      <c r="L52" s="20" t="n">
        <v>0.23970294</v>
      </c>
      <c r="M52" s="18" t="n">
        <v>0</v>
      </c>
      <c r="N52" s="20" t="n">
        <v>0</v>
      </c>
      <c r="O52" s="18" t="n">
        <v>0</v>
      </c>
      <c r="P52" s="20" t="n">
        <v>0</v>
      </c>
      <c r="Q52" s="18" t="n">
        <v>1.08823185</v>
      </c>
      <c r="R52" s="20" t="n">
        <v>0.40725885</v>
      </c>
    </row>
    <row r="53" spans="1:18">
      <c r="A53" s="15" t="s">
        <v>612</v>
      </c>
      <c r="B53" s="17" t="n">
        <v>4740</v>
      </c>
      <c r="C53" s="18">
        <f>(4224.0/B53*100)</f>
        <v/>
      </c>
      <c r="D53" s="19" t="n">
        <v>516</v>
      </c>
      <c r="E53" s="18" t="n">
        <v>60.52280039</v>
      </c>
      <c r="F53" s="20" t="n">
        <v>2.63882686</v>
      </c>
      <c r="G53" s="18" t="n">
        <v>14.60983973</v>
      </c>
      <c r="H53" s="20" t="n">
        <v>1.58603446</v>
      </c>
      <c r="I53" s="18" t="n">
        <v>0</v>
      </c>
      <c r="J53" s="20" t="n">
        <v>0</v>
      </c>
      <c r="K53" s="18" t="n">
        <v>21.89284346</v>
      </c>
      <c r="L53" s="20" t="n">
        <v>2.04171852</v>
      </c>
      <c r="M53" s="18" t="n">
        <v>0</v>
      </c>
      <c r="N53" s="20" t="n">
        <v>0</v>
      </c>
      <c r="O53" s="18" t="n">
        <v>0</v>
      </c>
      <c r="P53" s="20" t="n">
        <v>0</v>
      </c>
      <c r="Q53" s="18" t="n">
        <v>2.97451642</v>
      </c>
      <c r="R53" s="20" t="n">
        <v>0.87280435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(4778.0/B55*100)</f>
        <v/>
      </c>
      <c r="D55" s="19" t="n">
        <v>581</v>
      </c>
      <c r="E55" s="18" t="n">
        <v>50.54480394</v>
      </c>
      <c r="F55" s="20" t="n">
        <v>2.1675842</v>
      </c>
      <c r="G55" s="18" t="n">
        <v>49.12393706</v>
      </c>
      <c r="H55" s="20" t="n">
        <v>2.18382286</v>
      </c>
      <c r="I55" s="18" t="n">
        <v>0</v>
      </c>
      <c r="J55" s="20" t="n">
        <v>0</v>
      </c>
      <c r="K55" s="18" t="n">
        <v>0.331259</v>
      </c>
      <c r="L55" s="20" t="n">
        <v>0.31847808</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(5833.0/B61*100)</f>
        <v/>
      </c>
      <c r="D61" s="19" t="n">
        <v>692</v>
      </c>
      <c r="E61" s="18" t="n">
        <v>57.20511308</v>
      </c>
      <c r="F61" s="20" t="n">
        <v>1.92651241</v>
      </c>
      <c r="G61" s="18" t="n">
        <v>42.29387626</v>
      </c>
      <c r="H61" s="20" t="n">
        <v>1.92501552</v>
      </c>
      <c r="I61" s="18" t="n">
        <v>0</v>
      </c>
      <c r="J61" s="20" t="n">
        <v>0</v>
      </c>
      <c r="K61" s="18" t="n">
        <v>0.19769448</v>
      </c>
      <c r="L61" s="20" t="n">
        <v>0.20685369</v>
      </c>
      <c r="M61" s="18" t="n">
        <v>0</v>
      </c>
      <c r="N61" s="20" t="n">
        <v>0</v>
      </c>
      <c r="O61" s="18" t="n">
        <v>0</v>
      </c>
      <c r="P61" s="20" t="n">
        <v>0</v>
      </c>
      <c r="Q61" s="18" t="n">
        <v>0.30331618</v>
      </c>
      <c r="R61" s="20" t="n">
        <v>0.1420612</v>
      </c>
    </row>
    <row r="62" spans="1:18">
      <c r="A62" s="15" t="s">
        <v>622</v>
      </c>
      <c r="B62" s="17" t="n">
        <v>4476</v>
      </c>
      <c r="C62" s="18">
        <f>(3981.0/B62*100)</f>
        <v/>
      </c>
      <c r="D62" s="19" t="n">
        <v>495</v>
      </c>
      <c r="E62" s="18" t="n">
        <v>49.62822233</v>
      </c>
      <c r="F62" s="20" t="n">
        <v>2.31268124</v>
      </c>
      <c r="G62" s="18" t="n">
        <v>50.37177767</v>
      </c>
      <c r="H62" s="20" t="n">
        <v>2.31268124</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(5091.0/B67*100)</f>
        <v/>
      </c>
      <c r="D67" s="19" t="n">
        <v>574</v>
      </c>
      <c r="E67" s="18" t="n">
        <v>59.75847055</v>
      </c>
      <c r="F67" s="20" t="n">
        <v>2.17769392</v>
      </c>
      <c r="G67" s="18" t="n">
        <v>34.72285472</v>
      </c>
      <c r="H67" s="20" t="n">
        <v>2.31176783</v>
      </c>
      <c r="I67" s="18" t="n">
        <v>0</v>
      </c>
      <c r="J67" s="20" t="n">
        <v>0</v>
      </c>
      <c r="K67" s="18" t="n">
        <v>1.27341733</v>
      </c>
      <c r="L67" s="20" t="n">
        <v>0.48514414</v>
      </c>
      <c r="M67" s="18" t="n">
        <v>0</v>
      </c>
      <c r="N67" s="20" t="n">
        <v>0</v>
      </c>
      <c r="O67" s="18" t="n">
        <v>0</v>
      </c>
      <c r="P67" s="20" t="n">
        <v>0</v>
      </c>
      <c r="Q67" s="18" t="n">
        <v>4.24525739</v>
      </c>
      <c r="R67" s="20" t="n">
        <v>0.771119</v>
      </c>
    </row>
    <row r="68" spans="1:18">
      <c r="A68" s="15" t="s">
        <v>628</v>
      </c>
      <c r="B68" s="17" t="n">
        <v>6971</v>
      </c>
      <c r="C68" s="18">
        <f>(6359.0/B68*100)</f>
        <v/>
      </c>
      <c r="D68" s="19" t="n">
        <v>612</v>
      </c>
      <c r="E68" s="18" t="n">
        <v>66.80553534000001</v>
      </c>
      <c r="F68" s="20" t="n">
        <v>1.70026448</v>
      </c>
      <c r="G68" s="18" t="n">
        <v>32.05880474</v>
      </c>
      <c r="H68" s="20" t="n">
        <v>1.70696107</v>
      </c>
      <c r="I68" s="18" t="n">
        <v>0</v>
      </c>
      <c r="J68" s="20" t="n">
        <v>0</v>
      </c>
      <c r="K68" s="18" t="n">
        <v>0.48059654</v>
      </c>
      <c r="L68" s="20" t="n">
        <v>0.28580569</v>
      </c>
      <c r="M68" s="18" t="n">
        <v>0</v>
      </c>
      <c r="N68" s="20" t="n">
        <v>0</v>
      </c>
      <c r="O68" s="18" t="n">
        <v>0</v>
      </c>
      <c r="P68" s="20" t="n">
        <v>0</v>
      </c>
      <c r="Q68" s="18" t="n">
        <v>0.65506337</v>
      </c>
      <c r="R68" s="20" t="n">
        <v>0.39052014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(10752.0/B70*100)</f>
        <v/>
      </c>
      <c r="D70" s="19" t="n">
        <v>1331</v>
      </c>
      <c r="E70" s="18" t="n">
        <v>56.70744402</v>
      </c>
      <c r="F70" s="20" t="n">
        <v>1.36493888</v>
      </c>
      <c r="G70" s="18" t="n">
        <v>36.95088798</v>
      </c>
      <c r="H70" s="20" t="n">
        <v>1.4489712</v>
      </c>
      <c r="I70" s="18" t="n">
        <v>0</v>
      </c>
      <c r="J70" s="20" t="n">
        <v>0</v>
      </c>
      <c r="K70" s="18" t="n">
        <v>4.74146548</v>
      </c>
      <c r="L70" s="20" t="n">
        <v>0.63263303</v>
      </c>
      <c r="M70" s="18" t="n">
        <v>0</v>
      </c>
      <c r="N70" s="20" t="n">
        <v>0</v>
      </c>
      <c r="O70" s="18" t="n">
        <v>0</v>
      </c>
      <c r="P70" s="20" t="n">
        <v>0</v>
      </c>
      <c r="Q70" s="18" t="n">
        <v>1.60020252</v>
      </c>
      <c r="R70" s="20" t="n">
        <v>0.37745314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(5437.0/B72*100)</f>
        <v/>
      </c>
      <c r="D72" s="19" t="n">
        <v>599</v>
      </c>
      <c r="E72" s="18" t="n">
        <v>45.69144389</v>
      </c>
      <c r="F72" s="20" t="n">
        <v>2.32490655</v>
      </c>
      <c r="G72" s="18" t="n">
        <v>52.50481129</v>
      </c>
      <c r="H72" s="20" t="n">
        <v>2.33962336</v>
      </c>
      <c r="I72" s="18" t="n">
        <v>0</v>
      </c>
      <c r="J72" s="20" t="n">
        <v>0</v>
      </c>
      <c r="K72" s="18" t="n">
        <v>0.46342627</v>
      </c>
      <c r="L72" s="20" t="n">
        <v>0.23850129</v>
      </c>
      <c r="M72" s="18" t="n">
        <v>0</v>
      </c>
      <c r="N72" s="20" t="n">
        <v>0</v>
      </c>
      <c r="O72" s="18" t="n">
        <v>0</v>
      </c>
      <c r="P72" s="20" t="n">
        <v>0</v>
      </c>
      <c r="Q72" s="18" t="n">
        <v>1.34031854</v>
      </c>
      <c r="R72" s="20" t="n">
        <v>0.53468933</v>
      </c>
    </row>
    <row r="73" spans="1:18">
      <c r="A73" s="15" t="s">
        <v>633</v>
      </c>
      <c r="B73" s="17" t="n">
        <v>6115</v>
      </c>
      <c r="C73" s="18">
        <f>(5434.0/B73*100)</f>
        <v/>
      </c>
      <c r="D73" s="19" t="n">
        <v>681</v>
      </c>
      <c r="E73" s="18" t="n">
        <v>42.99576279</v>
      </c>
      <c r="F73" s="20" t="n">
        <v>1.97740208</v>
      </c>
      <c r="G73" s="18" t="n">
        <v>56.49805237</v>
      </c>
      <c r="H73" s="20" t="n">
        <v>1.94633066</v>
      </c>
      <c r="I73" s="18" t="n">
        <v>0</v>
      </c>
      <c r="J73" s="20" t="n">
        <v>0</v>
      </c>
      <c r="K73" s="18" t="n">
        <v>0</v>
      </c>
      <c r="L73" s="20" t="n">
        <v>0</v>
      </c>
      <c r="M73" s="18" t="n">
        <v>0</v>
      </c>
      <c r="N73" s="20" t="n">
        <v>0</v>
      </c>
      <c r="O73" s="18" t="n">
        <v>0</v>
      </c>
      <c r="P73" s="20" t="n">
        <v>0</v>
      </c>
      <c r="Q73" s="18" t="n">
        <v>0.50618483</v>
      </c>
      <c r="R73" s="20" t="n">
        <v>0.26830787</v>
      </c>
    </row>
    <row r="74" spans="1:18">
      <c r="A74" s="15" t="s">
        <v>634</v>
      </c>
      <c r="B74" s="17" t="n">
        <v>7708</v>
      </c>
      <c r="C74" s="18">
        <f>(6817.0/B74*100)</f>
        <v/>
      </c>
      <c r="D74" s="19" t="n">
        <v>891</v>
      </c>
      <c r="E74" s="18" t="n">
        <v>56.87464181</v>
      </c>
      <c r="F74" s="20" t="n">
        <v>1.80001175</v>
      </c>
      <c r="G74" s="18" t="n">
        <v>42.89229534</v>
      </c>
      <c r="H74" s="20" t="n">
        <v>1.79815503</v>
      </c>
      <c r="I74" s="18" t="n">
        <v>0</v>
      </c>
      <c r="J74" s="20" t="n">
        <v>0</v>
      </c>
      <c r="K74" s="18" t="n">
        <v>0.1227149</v>
      </c>
      <c r="L74" s="20" t="n">
        <v>0.12322068</v>
      </c>
      <c r="M74" s="18" t="n">
        <v>0</v>
      </c>
      <c r="N74" s="20" t="n">
        <v>0</v>
      </c>
      <c r="O74" s="18" t="n">
        <v>0</v>
      </c>
      <c r="P74" s="20" t="n">
        <v>0</v>
      </c>
      <c r="Q74" s="18" t="n">
        <v>0.11034796</v>
      </c>
      <c r="R74" s="20" t="n">
        <v>0.07888502999999999</v>
      </c>
    </row>
    <row r="75" spans="1:18">
      <c r="A75" s="15" t="s">
        <v>635</v>
      </c>
      <c r="B75" s="17" t="n">
        <v>8249</v>
      </c>
      <c r="C75" s="18">
        <f>(7388.0/B75*100)</f>
        <v/>
      </c>
      <c r="D75" s="19" t="n">
        <v>861</v>
      </c>
      <c r="E75" s="18" t="n">
        <v>67.53117901</v>
      </c>
      <c r="F75" s="20" t="n">
        <v>2.24855537</v>
      </c>
      <c r="G75" s="18" t="n">
        <v>31.88745489</v>
      </c>
      <c r="H75" s="20" t="n">
        <v>2.19856104</v>
      </c>
      <c r="I75" s="18" t="n">
        <v>0</v>
      </c>
      <c r="J75" s="20" t="n">
        <v>0</v>
      </c>
      <c r="K75" s="18" t="n">
        <v>0.05150936</v>
      </c>
      <c r="L75" s="20" t="n">
        <v>0.04874427</v>
      </c>
      <c r="M75" s="18" t="n">
        <v>0</v>
      </c>
      <c r="N75" s="20" t="n">
        <v>0</v>
      </c>
      <c r="O75" s="18" t="n">
        <v>0</v>
      </c>
      <c r="P75" s="20" t="n">
        <v>0</v>
      </c>
      <c r="Q75" s="18" t="n">
        <v>0.52985673</v>
      </c>
      <c r="R75" s="20" t="n">
        <v>0.30808297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(4871.0/B77*100)</f>
        <v/>
      </c>
      <c r="D77" s="19" t="n">
        <v>504</v>
      </c>
      <c r="E77" s="18" t="n">
        <v>60.03475151</v>
      </c>
      <c r="F77" s="20" t="n">
        <v>2.41881305</v>
      </c>
      <c r="G77" s="18" t="n">
        <v>29.52463051</v>
      </c>
      <c r="H77" s="20" t="n">
        <v>2.33067344</v>
      </c>
      <c r="I77" s="18" t="n">
        <v>0</v>
      </c>
      <c r="J77" s="20" t="n">
        <v>0</v>
      </c>
      <c r="K77" s="18" t="n">
        <v>7.13845713</v>
      </c>
      <c r="L77" s="20" t="n">
        <v>1.07746781</v>
      </c>
      <c r="M77" s="18" t="n">
        <v>0</v>
      </c>
      <c r="N77" s="20" t="n">
        <v>0</v>
      </c>
      <c r="O77" s="18" t="n">
        <v>0</v>
      </c>
      <c r="P77" s="20" t="n">
        <v>0</v>
      </c>
      <c r="Q77" s="18" t="n">
        <v>3.30216084</v>
      </c>
      <c r="R77" s="20" t="n">
        <v>0.80959309</v>
      </c>
    </row>
    <row r="78" spans="1:18">
      <c r="A78" s="15" t="s">
        <v>638</v>
      </c>
      <c r="B78" s="17" t="n">
        <v>14167</v>
      </c>
      <c r="C78" s="18">
        <f>(12578.0/B78*100)</f>
        <v/>
      </c>
      <c r="D78" s="19" t="n">
        <v>1589</v>
      </c>
      <c r="E78" s="18" t="n">
        <v>55.91561588</v>
      </c>
      <c r="F78" s="20" t="n">
        <v>1.38818254</v>
      </c>
      <c r="G78" s="18" t="n">
        <v>42.33014061</v>
      </c>
      <c r="H78" s="20" t="n">
        <v>1.3565992</v>
      </c>
      <c r="I78" s="18" t="n">
        <v>0</v>
      </c>
      <c r="J78" s="20" t="n">
        <v>0</v>
      </c>
      <c r="K78" s="18" t="n">
        <v>1.06432811</v>
      </c>
      <c r="L78" s="20" t="n">
        <v>0.30887171</v>
      </c>
      <c r="M78" s="18" t="n">
        <v>0</v>
      </c>
      <c r="N78" s="20" t="n">
        <v>0</v>
      </c>
      <c r="O78" s="18" t="n">
        <v>0</v>
      </c>
      <c r="P78" s="20" t="n">
        <v>0</v>
      </c>
      <c r="Q78" s="18" t="n">
        <v>0.6899154</v>
      </c>
      <c r="R78" s="20" t="n">
        <v>0.17404085</v>
      </c>
    </row>
    <row r="79" spans="1:18">
      <c r="A79" s="15" t="s">
        <v>639</v>
      </c>
      <c r="B79" s="17" t="n">
        <v>6062</v>
      </c>
      <c r="C79" s="18">
        <f>(5453.0/B79*100)</f>
        <v/>
      </c>
      <c r="D79" s="19" t="n">
        <v>609</v>
      </c>
      <c r="E79" s="18" t="n">
        <v>56.15350729</v>
      </c>
      <c r="F79" s="20" t="n">
        <v>2.22869694</v>
      </c>
      <c r="G79" s="18" t="n">
        <v>36.00455364</v>
      </c>
      <c r="H79" s="20" t="n">
        <v>2.05665249</v>
      </c>
      <c r="I79" s="18" t="n">
        <v>0</v>
      </c>
      <c r="J79" s="20" t="n">
        <v>0</v>
      </c>
      <c r="K79" s="18" t="n">
        <v>2.77069268</v>
      </c>
      <c r="L79" s="20" t="n">
        <v>0.79364111</v>
      </c>
      <c r="M79" s="18" t="n">
        <v>0</v>
      </c>
      <c r="N79" s="20" t="n">
        <v>0</v>
      </c>
      <c r="O79" s="18" t="n">
        <v>0</v>
      </c>
      <c r="P79" s="20" t="n">
        <v>0</v>
      </c>
      <c r="Q79" s="18" t="n">
        <v>5.0712464</v>
      </c>
      <c r="R79" s="20" t="n">
        <v>0.96009278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(28824.0/B82*100)</f>
        <v/>
      </c>
      <c r="D82" s="19" t="n">
        <v>3506</v>
      </c>
      <c r="E82" s="18" t="n">
        <v>45.86682116</v>
      </c>
      <c r="F82" s="20" t="n">
        <v>1.28938101</v>
      </c>
      <c r="G82" s="18" t="n">
        <v>52.2669335</v>
      </c>
      <c r="H82" s="20" t="n">
        <v>1.26468976</v>
      </c>
      <c r="I82" s="18" t="n">
        <v>0</v>
      </c>
      <c r="J82" s="20" t="n">
        <v>0</v>
      </c>
      <c r="K82" s="18" t="n">
        <v>0.45035751</v>
      </c>
      <c r="L82" s="20" t="n">
        <v>0.11701023</v>
      </c>
      <c r="M82" s="18" t="n">
        <v>0</v>
      </c>
      <c r="N82" s="20" t="n">
        <v>0</v>
      </c>
      <c r="O82" s="18" t="n">
        <v>0</v>
      </c>
      <c r="P82" s="20" t="n">
        <v>0</v>
      </c>
      <c r="Q82" s="18" t="n">
        <v>1.41588783</v>
      </c>
      <c r="R82" s="20" t="n">
        <v>0.44934465</v>
      </c>
    </row>
    <row r="83" spans="1:18">
      <c r="A83" s="15" t="s">
        <v>643</v>
      </c>
      <c r="B83" s="17" t="n">
        <v>1652</v>
      </c>
      <c r="C83" s="18">
        <f>(1486.0/B83*100)</f>
        <v/>
      </c>
      <c r="D83" s="19" t="n">
        <v>166</v>
      </c>
      <c r="E83" s="18" t="n">
        <v>45.33041502</v>
      </c>
      <c r="F83" s="20" t="n">
        <v>4.05899127</v>
      </c>
      <c r="G83" s="18" t="n">
        <v>54.09752321</v>
      </c>
      <c r="H83" s="20" t="n">
        <v>4.14622886</v>
      </c>
      <c r="I83" s="18" t="n">
        <v>0</v>
      </c>
      <c r="J83" s="20" t="n">
        <v>0</v>
      </c>
      <c r="K83" s="18" t="n">
        <v>0.57206177</v>
      </c>
      <c r="L83" s="20" t="n">
        <v>0.57643608</v>
      </c>
      <c r="M83" s="18" t="n">
        <v>0</v>
      </c>
      <c r="N83" s="20" t="n">
        <v>0</v>
      </c>
      <c r="O83" s="18" t="n">
        <v>0</v>
      </c>
      <c r="P83" s="20" t="n">
        <v>0</v>
      </c>
      <c r="Q83" s="18" t="n">
        <v>0</v>
      </c>
      <c r="R83" s="20" t="n">
        <v>0</v>
      </c>
    </row>
    <row r="84" spans="1:18">
      <c r="A84" s="23" t="s">
        <v>644</v>
      </c>
      <c r="B84" s="24" t="n">
        <v>1887</v>
      </c>
      <c r="C84" s="25">
        <f>(1687.0/B84*100)</f>
        <v/>
      </c>
      <c r="D84" s="19" t="n">
        <v>200</v>
      </c>
      <c r="E84" s="18" t="n">
        <v>45.02743716</v>
      </c>
      <c r="F84" s="20" t="n">
        <v>4.44537783</v>
      </c>
      <c r="G84" s="18" t="n">
        <v>54.44672939</v>
      </c>
      <c r="H84" s="20" t="n">
        <v>4.50374958</v>
      </c>
      <c r="I84" s="18" t="n">
        <v>0</v>
      </c>
      <c r="J84" s="20" t="n">
        <v>0</v>
      </c>
      <c r="K84" s="18" t="n">
        <v>0</v>
      </c>
      <c r="L84" s="20" t="n">
        <v>0</v>
      </c>
      <c r="M84" s="18" t="n">
        <v>0</v>
      </c>
      <c r="N84" s="20" t="n">
        <v>0</v>
      </c>
      <c r="O84" s="18" t="n">
        <v>0</v>
      </c>
      <c r="P84" s="20" t="n">
        <v>0</v>
      </c>
      <c r="Q84" s="18" t="n">
        <v>0.52583346</v>
      </c>
      <c r="R84" s="20" t="n">
        <v>0.5245004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(12964.0/B7*100)</f>
        <v/>
      </c>
      <c r="D7" s="19" t="n">
        <v>1566</v>
      </c>
      <c r="E7" s="18" t="n">
        <v>30.75688744</v>
      </c>
      <c r="F7" s="20" t="n">
        <v>1.45744656</v>
      </c>
      <c r="G7" s="18" t="n">
        <v>67.79357142000001</v>
      </c>
      <c r="H7" s="20" t="n">
        <v>1.40745143</v>
      </c>
      <c r="I7" s="18" t="n">
        <v>0</v>
      </c>
      <c r="J7" s="20" t="n">
        <v>0</v>
      </c>
      <c r="K7" s="18" t="n">
        <v>0.85295414</v>
      </c>
      <c r="L7" s="20" t="n">
        <v>0.25058574</v>
      </c>
      <c r="M7" s="18" t="n">
        <v>0</v>
      </c>
      <c r="N7" s="20" t="n">
        <v>0</v>
      </c>
      <c r="O7" s="18" t="n">
        <v>0</v>
      </c>
      <c r="P7" s="20" t="n">
        <v>0</v>
      </c>
      <c r="Q7" s="18" t="n">
        <v>0.59658701</v>
      </c>
      <c r="R7" s="20" t="n">
        <v>0.22083127</v>
      </c>
    </row>
    <row r="8" spans="1:18">
      <c r="A8" s="15" t="s">
        <v>566</v>
      </c>
      <c r="B8" s="17" t="n">
        <v>7007</v>
      </c>
      <c r="C8" s="18">
        <f>(6236.0/B8*100)</f>
        <v/>
      </c>
      <c r="D8" s="19" t="n">
        <v>771</v>
      </c>
      <c r="E8" s="18" t="n">
        <v>29.15870736</v>
      </c>
      <c r="F8" s="20" t="n">
        <v>1.9089316</v>
      </c>
      <c r="G8" s="18" t="n">
        <v>69.97140589</v>
      </c>
      <c r="H8" s="20" t="n">
        <v>1.89168696</v>
      </c>
      <c r="I8" s="18" t="n">
        <v>0</v>
      </c>
      <c r="J8" s="20" t="n">
        <v>0</v>
      </c>
      <c r="K8" s="18" t="n">
        <v>0.58525284</v>
      </c>
      <c r="L8" s="20" t="n">
        <v>0.27107252</v>
      </c>
      <c r="M8" s="18" t="n">
        <v>0</v>
      </c>
      <c r="N8" s="20" t="n">
        <v>0</v>
      </c>
      <c r="O8" s="18" t="n">
        <v>0</v>
      </c>
      <c r="P8" s="20" t="n">
        <v>0</v>
      </c>
      <c r="Q8" s="18" t="n">
        <v>0.28463391</v>
      </c>
      <c r="R8" s="20" t="n">
        <v>0.15779464</v>
      </c>
    </row>
    <row r="9" spans="1:18">
      <c r="A9" s="15" t="s">
        <v>567</v>
      </c>
      <c r="B9" s="17" t="n">
        <v>9651</v>
      </c>
      <c r="C9" s="18">
        <f>(8400.0/B9*100)</f>
        <v/>
      </c>
      <c r="D9" s="19" t="n">
        <v>1251</v>
      </c>
      <c r="E9" s="18" t="n">
        <v>31.35363472</v>
      </c>
      <c r="F9" s="20" t="n">
        <v>1.32406311</v>
      </c>
      <c r="G9" s="18" t="n">
        <v>66.9553871</v>
      </c>
      <c r="H9" s="20" t="n">
        <v>1.42821358</v>
      </c>
      <c r="I9" s="18" t="n">
        <v>0</v>
      </c>
      <c r="J9" s="20" t="n">
        <v>0</v>
      </c>
      <c r="K9" s="18" t="n">
        <v>1.26858183</v>
      </c>
      <c r="L9" s="20" t="n">
        <v>0.32799848</v>
      </c>
      <c r="M9" s="18" t="n">
        <v>0</v>
      </c>
      <c r="N9" s="20" t="n">
        <v>0</v>
      </c>
      <c r="O9" s="18" t="n">
        <v>0</v>
      </c>
      <c r="P9" s="20" t="n">
        <v>0</v>
      </c>
      <c r="Q9" s="18" t="n">
        <v>0.42239635</v>
      </c>
      <c r="R9" s="20" t="n">
        <v>0.22842951</v>
      </c>
    </row>
    <row r="10" spans="1:18">
      <c r="A10" s="15" t="s">
        <v>568</v>
      </c>
      <c r="B10" s="17" t="n">
        <v>20058</v>
      </c>
      <c r="C10" s="18">
        <f>(17849.0/B10*100)</f>
        <v/>
      </c>
      <c r="D10" s="19" t="n">
        <v>2209</v>
      </c>
      <c r="E10" s="18" t="n">
        <v>28.23929834</v>
      </c>
      <c r="F10" s="20" t="n">
        <v>1.47956665</v>
      </c>
      <c r="G10" s="18" t="n">
        <v>70.59652088</v>
      </c>
      <c r="H10" s="20" t="n">
        <v>1.48684009</v>
      </c>
      <c r="I10" s="18" t="n">
        <v>0</v>
      </c>
      <c r="J10" s="20" t="n">
        <v>0</v>
      </c>
      <c r="K10" s="18" t="n">
        <v>0.98734127</v>
      </c>
      <c r="L10" s="20" t="n">
        <v>0.29417714</v>
      </c>
      <c r="M10" s="18" t="n">
        <v>0</v>
      </c>
      <c r="N10" s="20" t="n">
        <v>0</v>
      </c>
      <c r="O10" s="18" t="n">
        <v>0</v>
      </c>
      <c r="P10" s="20" t="n">
        <v>0</v>
      </c>
      <c r="Q10" s="18" t="n">
        <v>0.17683951</v>
      </c>
      <c r="R10" s="20" t="n">
        <v>0.12748228</v>
      </c>
    </row>
    <row r="11" spans="1:18">
      <c r="A11" s="15" t="s">
        <v>569</v>
      </c>
      <c r="B11" s="17" t="n">
        <v>7053</v>
      </c>
      <c r="C11" s="18">
        <f>(6326.0/B11*100)</f>
        <v/>
      </c>
      <c r="D11" s="19" t="n">
        <v>727</v>
      </c>
      <c r="E11" s="18" t="n">
        <v>39.22134965</v>
      </c>
      <c r="F11" s="20" t="n">
        <v>2.17528187</v>
      </c>
      <c r="G11" s="18" t="n">
        <v>58.65359268</v>
      </c>
      <c r="H11" s="20" t="n">
        <v>2.20649005</v>
      </c>
      <c r="I11" s="18" t="n">
        <v>0</v>
      </c>
      <c r="J11" s="20" t="n">
        <v>0</v>
      </c>
      <c r="K11" s="18" t="n">
        <v>1.5712501</v>
      </c>
      <c r="L11" s="20" t="n">
        <v>0.86316821</v>
      </c>
      <c r="M11" s="18" t="n">
        <v>0</v>
      </c>
      <c r="N11" s="20" t="n">
        <v>0</v>
      </c>
      <c r="O11" s="18" t="n">
        <v>0</v>
      </c>
      <c r="P11" s="20" t="n">
        <v>0</v>
      </c>
      <c r="Q11" s="18" t="n">
        <v>0.55380758</v>
      </c>
      <c r="R11" s="20" t="n">
        <v>0.28055876</v>
      </c>
    </row>
    <row r="12" spans="1:18">
      <c r="A12" s="15" t="s">
        <v>570</v>
      </c>
      <c r="B12" s="17" t="n">
        <v>6894</v>
      </c>
      <c r="C12" s="18">
        <f>(6080.0/B12*100)</f>
        <v/>
      </c>
      <c r="D12" s="19" t="n">
        <v>814</v>
      </c>
      <c r="E12" s="18" t="n">
        <v>31.18102846</v>
      </c>
      <c r="F12" s="20" t="n">
        <v>3.35078854</v>
      </c>
      <c r="G12" s="18" t="n">
        <v>67.56167603</v>
      </c>
      <c r="H12" s="20" t="n">
        <v>3.48317914</v>
      </c>
      <c r="I12" s="18" t="n">
        <v>0</v>
      </c>
      <c r="J12" s="20" t="n">
        <v>0</v>
      </c>
      <c r="K12" s="18" t="n">
        <v>0.87136029</v>
      </c>
      <c r="L12" s="20" t="n">
        <v>0.37071802</v>
      </c>
      <c r="M12" s="18" t="n">
        <v>0</v>
      </c>
      <c r="N12" s="20" t="n">
        <v>0</v>
      </c>
      <c r="O12" s="18" t="n">
        <v>0</v>
      </c>
      <c r="P12" s="20" t="n">
        <v>0</v>
      </c>
      <c r="Q12" s="18" t="n">
        <v>0.38593523</v>
      </c>
      <c r="R12" s="20" t="n">
        <v>0.27864818</v>
      </c>
    </row>
    <row r="13" spans="1:18">
      <c r="A13" s="15" t="s">
        <v>571</v>
      </c>
      <c r="B13" s="17" t="n">
        <v>7161</v>
      </c>
      <c r="C13" s="18">
        <f>(6098.0/B13*100)</f>
        <v/>
      </c>
      <c r="D13" s="19" t="n">
        <v>1063</v>
      </c>
      <c r="E13" s="18" t="n">
        <v>25.04695836</v>
      </c>
      <c r="F13" s="20" t="n">
        <v>1.41090811</v>
      </c>
      <c r="G13" s="18" t="n">
        <v>72.90666935</v>
      </c>
      <c r="H13" s="20" t="n">
        <v>1.44027809</v>
      </c>
      <c r="I13" s="18" t="n">
        <v>0</v>
      </c>
      <c r="J13" s="20" t="n">
        <v>0</v>
      </c>
      <c r="K13" s="18" t="n">
        <v>1.79146103</v>
      </c>
      <c r="L13" s="20" t="n">
        <v>0.57562599</v>
      </c>
      <c r="M13" s="18" t="n">
        <v>0</v>
      </c>
      <c r="N13" s="20" t="n">
        <v>0</v>
      </c>
      <c r="O13" s="18" t="n">
        <v>0</v>
      </c>
      <c r="P13" s="20" t="n">
        <v>0</v>
      </c>
      <c r="Q13" s="18" t="n">
        <v>0.25491126</v>
      </c>
      <c r="R13" s="20" t="n">
        <v>0.12867072</v>
      </c>
    </row>
    <row r="14" spans="1:18">
      <c r="A14" s="15" t="s">
        <v>572</v>
      </c>
      <c r="B14" s="17" t="n">
        <v>5587</v>
      </c>
      <c r="C14" s="18">
        <f>(4967.0/B14*100)</f>
        <v/>
      </c>
      <c r="D14" s="19" t="n">
        <v>620</v>
      </c>
      <c r="E14" s="18" t="n">
        <v>20.51990273</v>
      </c>
      <c r="F14" s="20" t="n">
        <v>1.58498205</v>
      </c>
      <c r="G14" s="18" t="n">
        <v>78.63287345000001</v>
      </c>
      <c r="H14" s="20" t="n">
        <v>1.57196737</v>
      </c>
      <c r="I14" s="18" t="n">
        <v>0</v>
      </c>
      <c r="J14" s="20" t="n">
        <v>0</v>
      </c>
      <c r="K14" s="18" t="n">
        <v>0.7166409500000001</v>
      </c>
      <c r="L14" s="20" t="n">
        <v>0.32759622</v>
      </c>
      <c r="M14" s="18" t="n">
        <v>0</v>
      </c>
      <c r="N14" s="20" t="n">
        <v>0</v>
      </c>
      <c r="O14" s="18" t="n">
        <v>0</v>
      </c>
      <c r="P14" s="20" t="n">
        <v>0</v>
      </c>
      <c r="Q14" s="18" t="n">
        <v>0.13058287</v>
      </c>
      <c r="R14" s="20" t="n">
        <v>0.1284075</v>
      </c>
    </row>
    <row r="15" spans="1:18">
      <c r="A15" s="15" t="s">
        <v>573</v>
      </c>
      <c r="B15" s="17" t="n">
        <v>5882</v>
      </c>
      <c r="C15" s="18">
        <f>(5195.0/B15*100)</f>
        <v/>
      </c>
      <c r="D15" s="19" t="n">
        <v>687</v>
      </c>
      <c r="E15" s="18" t="n">
        <v>20.9983646</v>
      </c>
      <c r="F15" s="20" t="n">
        <v>1.78390332</v>
      </c>
      <c r="G15" s="18" t="n">
        <v>77.61751237</v>
      </c>
      <c r="H15" s="20" t="n">
        <v>1.90708479</v>
      </c>
      <c r="I15" s="18" t="n">
        <v>0</v>
      </c>
      <c r="J15" s="20" t="n">
        <v>0</v>
      </c>
      <c r="K15" s="18" t="n">
        <v>0.9835414099999999</v>
      </c>
      <c r="L15" s="20" t="n">
        <v>0.35970218</v>
      </c>
      <c r="M15" s="18" t="n">
        <v>0</v>
      </c>
      <c r="N15" s="20" t="n">
        <v>0</v>
      </c>
      <c r="O15" s="18" t="n">
        <v>0</v>
      </c>
      <c r="P15" s="20" t="n">
        <v>0</v>
      </c>
      <c r="Q15" s="18" t="n">
        <v>0.40058162</v>
      </c>
      <c r="R15" s="20" t="n">
        <v>0.28613245</v>
      </c>
    </row>
    <row r="16" spans="1:18">
      <c r="A16" s="15" t="s">
        <v>574</v>
      </c>
      <c r="B16" s="17" t="n">
        <v>6108</v>
      </c>
      <c r="C16" s="18">
        <f>(5437.0/B16*100)</f>
        <v/>
      </c>
      <c r="D16" s="19" t="n">
        <v>671</v>
      </c>
      <c r="E16" s="18" t="n">
        <v>28.70978159</v>
      </c>
      <c r="F16" s="20" t="n">
        <v>1.90164137</v>
      </c>
      <c r="G16" s="18" t="n">
        <v>67.08883569</v>
      </c>
      <c r="H16" s="20" t="n">
        <v>1.93679238</v>
      </c>
      <c r="I16" s="18" t="n">
        <v>0</v>
      </c>
      <c r="J16" s="20" t="n">
        <v>0</v>
      </c>
      <c r="K16" s="18" t="n">
        <v>3.22370355</v>
      </c>
      <c r="L16" s="20" t="n">
        <v>0.67519437</v>
      </c>
      <c r="M16" s="18" t="n">
        <v>0</v>
      </c>
      <c r="N16" s="20" t="n">
        <v>0</v>
      </c>
      <c r="O16" s="18" t="n">
        <v>0</v>
      </c>
      <c r="P16" s="20" t="n">
        <v>0</v>
      </c>
      <c r="Q16" s="18" t="n">
        <v>0.97767918</v>
      </c>
      <c r="R16" s="20" t="n">
        <v>0.38148876</v>
      </c>
    </row>
    <row r="17" spans="1:18">
      <c r="A17" s="15" t="s">
        <v>575</v>
      </c>
      <c r="B17" s="17" t="n">
        <v>6504</v>
      </c>
      <c r="C17" s="18">
        <f>(5680.0/B17*100)</f>
        <v/>
      </c>
      <c r="D17" s="19" t="n">
        <v>824</v>
      </c>
      <c r="E17" s="18" t="n">
        <v>31.05767983</v>
      </c>
      <c r="F17" s="20" t="n">
        <v>2.1677069</v>
      </c>
      <c r="G17" s="18" t="n">
        <v>67.37167759</v>
      </c>
      <c r="H17" s="20" t="n">
        <v>2.16341798</v>
      </c>
      <c r="I17" s="18" t="n">
        <v>0</v>
      </c>
      <c r="J17" s="20" t="n">
        <v>0</v>
      </c>
      <c r="K17" s="18" t="n">
        <v>0.85530662</v>
      </c>
      <c r="L17" s="20" t="n">
        <v>0.32349387</v>
      </c>
      <c r="M17" s="18" t="n">
        <v>0</v>
      </c>
      <c r="N17" s="20" t="n">
        <v>0</v>
      </c>
      <c r="O17" s="18" t="n">
        <v>0</v>
      </c>
      <c r="P17" s="20" t="n">
        <v>0</v>
      </c>
      <c r="Q17" s="18" t="n">
        <v>0.71533596</v>
      </c>
      <c r="R17" s="20" t="n">
        <v>0.30311163</v>
      </c>
    </row>
    <row r="18" spans="1:18">
      <c r="A18" s="15" t="s">
        <v>576</v>
      </c>
      <c r="B18" s="17" t="n">
        <v>5532</v>
      </c>
      <c r="C18" s="18">
        <f>(4916.0/B18*100)</f>
        <v/>
      </c>
      <c r="D18" s="19" t="n">
        <v>616</v>
      </c>
      <c r="E18" s="18" t="n">
        <v>40.80756922</v>
      </c>
      <c r="F18" s="20" t="n">
        <v>2.28553821</v>
      </c>
      <c r="G18" s="18" t="n">
        <v>57.10658036</v>
      </c>
      <c r="H18" s="20" t="n">
        <v>2.40986607</v>
      </c>
      <c r="I18" s="18" t="n">
        <v>0</v>
      </c>
      <c r="J18" s="20" t="n">
        <v>0</v>
      </c>
      <c r="K18" s="18" t="n">
        <v>1.21597464</v>
      </c>
      <c r="L18" s="20" t="n">
        <v>0.36711811</v>
      </c>
      <c r="M18" s="18" t="n">
        <v>0</v>
      </c>
      <c r="N18" s="20" t="n">
        <v>0</v>
      </c>
      <c r="O18" s="18" t="n">
        <v>0</v>
      </c>
      <c r="P18" s="20" t="n">
        <v>0</v>
      </c>
      <c r="Q18" s="18" t="n">
        <v>0.86987578</v>
      </c>
      <c r="R18" s="20" t="n">
        <v>0.52071166</v>
      </c>
    </row>
    <row r="19" spans="1:18">
      <c r="A19" s="15" t="s">
        <v>577</v>
      </c>
      <c r="B19" s="17" t="n">
        <v>5658</v>
      </c>
      <c r="C19" s="18">
        <f>(5053.0/B19*100)</f>
        <v/>
      </c>
      <c r="D19" s="19" t="n">
        <v>605</v>
      </c>
      <c r="E19" s="18" t="n">
        <v>28.06277873</v>
      </c>
      <c r="F19" s="20" t="n">
        <v>1.95635896</v>
      </c>
      <c r="G19" s="18" t="n">
        <v>71.78766692000001</v>
      </c>
      <c r="H19" s="20" t="n">
        <v>1.94378574</v>
      </c>
      <c r="I19" s="18" t="n">
        <v>0</v>
      </c>
      <c r="J19" s="20" t="n">
        <v>0</v>
      </c>
      <c r="K19" s="18" t="n">
        <v>0</v>
      </c>
      <c r="L19" s="20" t="n">
        <v>0</v>
      </c>
      <c r="M19" s="18" t="n">
        <v>0</v>
      </c>
      <c r="N19" s="20" t="n">
        <v>0</v>
      </c>
      <c r="O19" s="18" t="n">
        <v>0</v>
      </c>
      <c r="P19" s="20" t="n">
        <v>0</v>
      </c>
      <c r="Q19" s="18" t="n">
        <v>0.14955436</v>
      </c>
      <c r="R19" s="20" t="n">
        <v>0.14417934</v>
      </c>
    </row>
    <row r="20" spans="1:18">
      <c r="A20" s="15" t="s">
        <v>578</v>
      </c>
      <c r="B20" s="17" t="n">
        <v>3371</v>
      </c>
      <c r="C20" s="18">
        <f>(3021.0/B20*100)</f>
        <v/>
      </c>
      <c r="D20" s="19" t="n">
        <v>350</v>
      </c>
      <c r="E20" s="18" t="n">
        <v>29.27729795</v>
      </c>
      <c r="F20" s="20" t="n">
        <v>2.61853263</v>
      </c>
      <c r="G20" s="18" t="n">
        <v>69.7029714</v>
      </c>
      <c r="H20" s="20" t="n">
        <v>2.61640621</v>
      </c>
      <c r="I20" s="18" t="n">
        <v>0</v>
      </c>
      <c r="J20" s="20" t="n">
        <v>0</v>
      </c>
      <c r="K20" s="18" t="n">
        <v>1.01973065</v>
      </c>
      <c r="L20" s="20" t="n">
        <v>0.4965893</v>
      </c>
      <c r="M20" s="18" t="n">
        <v>0</v>
      </c>
      <c r="N20" s="20" t="n">
        <v>0</v>
      </c>
      <c r="O20" s="18" t="n">
        <v>0</v>
      </c>
      <c r="P20" s="20" t="n">
        <v>0</v>
      </c>
      <c r="Q20" s="18" t="n">
        <v>0</v>
      </c>
      <c r="R20" s="20" t="n">
        <v>0</v>
      </c>
    </row>
    <row r="21" spans="1:18">
      <c r="A21" s="15" t="s">
        <v>579</v>
      </c>
      <c r="B21" s="17" t="n">
        <v>5741</v>
      </c>
      <c r="C21" s="18">
        <f>(5081.0/B21*100)</f>
        <v/>
      </c>
      <c r="D21" s="19" t="n">
        <v>660</v>
      </c>
      <c r="E21" s="18" t="n">
        <v>28.44340212</v>
      </c>
      <c r="F21" s="20" t="n">
        <v>1.81994459</v>
      </c>
      <c r="G21" s="18" t="n">
        <v>70.60942384000001</v>
      </c>
      <c r="H21" s="20" t="n">
        <v>1.79334901</v>
      </c>
      <c r="I21" s="18" t="n">
        <v>0</v>
      </c>
      <c r="J21" s="20" t="n">
        <v>0</v>
      </c>
      <c r="K21" s="18" t="n">
        <v>0.59069227</v>
      </c>
      <c r="L21" s="20" t="n">
        <v>0.29030523</v>
      </c>
      <c r="M21" s="18" t="n">
        <v>0</v>
      </c>
      <c r="N21" s="20" t="n">
        <v>0</v>
      </c>
      <c r="O21" s="18" t="n">
        <v>0</v>
      </c>
      <c r="P21" s="20" t="n">
        <v>0</v>
      </c>
      <c r="Q21" s="18" t="n">
        <v>0.35648177</v>
      </c>
      <c r="R21" s="20" t="n">
        <v>0.24699766</v>
      </c>
    </row>
    <row r="22" spans="1:18">
      <c r="A22" s="15" t="s">
        <v>580</v>
      </c>
      <c r="B22" s="17" t="n">
        <v>6598</v>
      </c>
      <c r="C22" s="18">
        <f>(5897.0/B22*100)</f>
        <v/>
      </c>
      <c r="D22" s="19" t="n">
        <v>701</v>
      </c>
      <c r="E22" s="18" t="n">
        <v>45.23851998</v>
      </c>
      <c r="F22" s="20" t="n">
        <v>2.15524162</v>
      </c>
      <c r="G22" s="18" t="n">
        <v>52.38393394</v>
      </c>
      <c r="H22" s="20" t="n">
        <v>2.16737245</v>
      </c>
      <c r="I22" s="18" t="n">
        <v>0</v>
      </c>
      <c r="J22" s="20" t="n">
        <v>0</v>
      </c>
      <c r="K22" s="18" t="n">
        <v>1.9604635</v>
      </c>
      <c r="L22" s="20" t="n">
        <v>0.60458955</v>
      </c>
      <c r="M22" s="18" t="n">
        <v>0</v>
      </c>
      <c r="N22" s="20" t="n">
        <v>0</v>
      </c>
      <c r="O22" s="18" t="n">
        <v>0</v>
      </c>
      <c r="P22" s="20" t="n">
        <v>0</v>
      </c>
      <c r="Q22" s="18" t="n">
        <v>0.41708259</v>
      </c>
      <c r="R22" s="20" t="n">
        <v>0.32770171</v>
      </c>
    </row>
    <row r="23" spans="1:18">
      <c r="A23" s="15" t="s">
        <v>581</v>
      </c>
      <c r="B23" s="17" t="n">
        <v>11583</v>
      </c>
      <c r="C23" s="18">
        <f>(10339.0/B23*100)</f>
        <v/>
      </c>
      <c r="D23" s="19" t="n">
        <v>1244</v>
      </c>
      <c r="E23" s="18" t="n">
        <v>30.28411606</v>
      </c>
      <c r="F23" s="20" t="n">
        <v>2.30566007</v>
      </c>
      <c r="G23" s="18" t="n">
        <v>67.95314673999999</v>
      </c>
      <c r="H23" s="20" t="n">
        <v>2.39030905</v>
      </c>
      <c r="I23" s="18" t="n">
        <v>0</v>
      </c>
      <c r="J23" s="20" t="n">
        <v>0</v>
      </c>
      <c r="K23" s="18" t="n">
        <v>1.38892877</v>
      </c>
      <c r="L23" s="20" t="n">
        <v>0.51448406</v>
      </c>
      <c r="M23" s="18" t="n">
        <v>0</v>
      </c>
      <c r="N23" s="20" t="n">
        <v>0</v>
      </c>
      <c r="O23" s="18" t="n">
        <v>0</v>
      </c>
      <c r="P23" s="20" t="n">
        <v>0</v>
      </c>
      <c r="Q23" s="18" t="n">
        <v>0.37380843</v>
      </c>
      <c r="R23" s="20" t="n">
        <v>0.29989553</v>
      </c>
    </row>
    <row r="24" spans="1:18">
      <c r="A24" s="15" t="s">
        <v>582</v>
      </c>
      <c r="B24" s="17" t="n">
        <v>6647</v>
      </c>
      <c r="C24" s="18">
        <f>(5930.0/B24*100)</f>
        <v/>
      </c>
      <c r="D24" s="19" t="n">
        <v>717</v>
      </c>
      <c r="E24" s="18" t="n">
        <v>38.75410705</v>
      </c>
      <c r="F24" s="20" t="n">
        <v>1.94114282</v>
      </c>
      <c r="G24" s="18" t="n">
        <v>59.95334328</v>
      </c>
      <c r="H24" s="20" t="n">
        <v>1.96365254</v>
      </c>
      <c r="I24" s="18" t="n">
        <v>0</v>
      </c>
      <c r="J24" s="20" t="n">
        <v>0</v>
      </c>
      <c r="K24" s="18" t="n">
        <v>1.01462528</v>
      </c>
      <c r="L24" s="20" t="n">
        <v>0.3139517</v>
      </c>
      <c r="M24" s="18" t="n">
        <v>0</v>
      </c>
      <c r="N24" s="20" t="n">
        <v>0</v>
      </c>
      <c r="O24" s="18" t="n">
        <v>0</v>
      </c>
      <c r="P24" s="20" t="n">
        <v>0</v>
      </c>
      <c r="Q24" s="18" t="n">
        <v>0.27792438</v>
      </c>
      <c r="R24" s="20" t="n">
        <v>0.19453451</v>
      </c>
    </row>
    <row r="25" spans="1:18">
      <c r="A25" s="15" t="s">
        <v>583</v>
      </c>
      <c r="B25" s="17" t="n">
        <v>5581</v>
      </c>
      <c r="C25" s="18">
        <f>(4966.0/B25*100)</f>
        <v/>
      </c>
      <c r="D25" s="19" t="n">
        <v>615</v>
      </c>
      <c r="E25" s="18" t="n">
        <v>32.20851959</v>
      </c>
      <c r="F25" s="20" t="n">
        <v>2.04637958</v>
      </c>
      <c r="G25" s="18" t="n">
        <v>67.18208566</v>
      </c>
      <c r="H25" s="20" t="n">
        <v>1.98610379</v>
      </c>
      <c r="I25" s="18" t="n">
        <v>0</v>
      </c>
      <c r="J25" s="20" t="n">
        <v>0</v>
      </c>
      <c r="K25" s="18" t="n">
        <v>0.42807223</v>
      </c>
      <c r="L25" s="20" t="n">
        <v>0.25037646</v>
      </c>
      <c r="M25" s="18" t="n">
        <v>0</v>
      </c>
      <c r="N25" s="20" t="n">
        <v>0</v>
      </c>
      <c r="O25" s="18" t="n">
        <v>0</v>
      </c>
      <c r="P25" s="20" t="n">
        <v>0</v>
      </c>
      <c r="Q25" s="18" t="n">
        <v>0.18132252</v>
      </c>
      <c r="R25" s="20" t="n">
        <v>0.18023805</v>
      </c>
    </row>
    <row r="26" spans="1:18">
      <c r="A26" s="15" t="s">
        <v>584</v>
      </c>
      <c r="B26" s="17" t="n">
        <v>4869</v>
      </c>
      <c r="C26" s="18">
        <f>(4333.0/B26*100)</f>
        <v/>
      </c>
      <c r="D26" s="19" t="n">
        <v>536</v>
      </c>
      <c r="E26" s="18" t="n">
        <v>27.05844894</v>
      </c>
      <c r="F26" s="20" t="n">
        <v>2.26952824</v>
      </c>
      <c r="G26" s="18" t="n">
        <v>72.57370915</v>
      </c>
      <c r="H26" s="20" t="n">
        <v>2.3244724</v>
      </c>
      <c r="I26" s="18" t="n">
        <v>0</v>
      </c>
      <c r="J26" s="20" t="n">
        <v>0</v>
      </c>
      <c r="K26" s="18" t="n">
        <v>0.21608321</v>
      </c>
      <c r="L26" s="20" t="n">
        <v>0.21664833</v>
      </c>
      <c r="M26" s="18" t="n">
        <v>0</v>
      </c>
      <c r="N26" s="20" t="n">
        <v>0</v>
      </c>
      <c r="O26" s="18" t="n">
        <v>0</v>
      </c>
      <c r="P26" s="20" t="n">
        <v>0</v>
      </c>
      <c r="Q26" s="18" t="n">
        <v>0.15175871</v>
      </c>
      <c r="R26" s="20" t="n">
        <v>0.15255287</v>
      </c>
    </row>
    <row r="27" spans="1:18">
      <c r="A27" s="15" t="s">
        <v>585</v>
      </c>
      <c r="B27" s="17" t="n">
        <v>5299</v>
      </c>
      <c r="C27" s="18">
        <f>(4737.0/B27*100)</f>
        <v/>
      </c>
      <c r="D27" s="19" t="n">
        <v>562</v>
      </c>
      <c r="E27" s="18" t="n">
        <v>31.40862955</v>
      </c>
      <c r="F27" s="20" t="n">
        <v>2.2479767</v>
      </c>
      <c r="G27" s="18" t="n">
        <v>67.00387162</v>
      </c>
      <c r="H27" s="20" t="n">
        <v>2.23345586</v>
      </c>
      <c r="I27" s="18" t="n">
        <v>0</v>
      </c>
      <c r="J27" s="20" t="n">
        <v>0</v>
      </c>
      <c r="K27" s="18" t="n">
        <v>1.23490488</v>
      </c>
      <c r="L27" s="20" t="n">
        <v>0.46171438</v>
      </c>
      <c r="M27" s="18" t="n">
        <v>0</v>
      </c>
      <c r="N27" s="20" t="n">
        <v>0</v>
      </c>
      <c r="O27" s="18" t="n">
        <v>0</v>
      </c>
      <c r="P27" s="20" t="n">
        <v>0</v>
      </c>
      <c r="Q27" s="18" t="n">
        <v>0.35259395</v>
      </c>
      <c r="R27" s="20" t="n">
        <v>0.25067361</v>
      </c>
    </row>
    <row r="28" spans="1:18">
      <c r="A28" s="15" t="s">
        <v>586</v>
      </c>
      <c r="B28" s="17" t="n">
        <v>7568</v>
      </c>
      <c r="C28" s="18">
        <f>(6839.0/B28*100)</f>
        <v/>
      </c>
      <c r="D28" s="19" t="n">
        <v>729</v>
      </c>
      <c r="E28" s="18" t="n">
        <v>42.37207186</v>
      </c>
      <c r="F28" s="20" t="n">
        <v>2.09526589</v>
      </c>
      <c r="G28" s="18" t="n">
        <v>56.31526999</v>
      </c>
      <c r="H28" s="20" t="n">
        <v>2.20291039</v>
      </c>
      <c r="I28" s="18" t="n">
        <v>0</v>
      </c>
      <c r="J28" s="20" t="n">
        <v>0</v>
      </c>
      <c r="K28" s="18" t="n">
        <v>1.31265815</v>
      </c>
      <c r="L28" s="20" t="n">
        <v>0.50959164</v>
      </c>
      <c r="M28" s="18" t="n">
        <v>0</v>
      </c>
      <c r="N28" s="20" t="n">
        <v>0</v>
      </c>
      <c r="O28" s="18" t="n">
        <v>0</v>
      </c>
      <c r="P28" s="20" t="n">
        <v>0</v>
      </c>
      <c r="Q28" s="18" t="n">
        <v>0</v>
      </c>
      <c r="R28" s="20" t="n">
        <v>0</v>
      </c>
    </row>
    <row r="29" spans="1:18">
      <c r="A29" s="15" t="s">
        <v>587</v>
      </c>
      <c r="B29" s="17" t="n">
        <v>5385</v>
      </c>
      <c r="C29" s="18">
        <f>(4659.0/B29*100)</f>
        <v/>
      </c>
      <c r="D29" s="19" t="n">
        <v>726</v>
      </c>
      <c r="E29" s="18" t="n">
        <v>35.29570999</v>
      </c>
      <c r="F29" s="20" t="n">
        <v>1.9950575</v>
      </c>
      <c r="G29" s="18" t="n">
        <v>63.74281221</v>
      </c>
      <c r="H29" s="20" t="n">
        <v>1.98060495</v>
      </c>
      <c r="I29" s="18" t="n">
        <v>0</v>
      </c>
      <c r="J29" s="20" t="n">
        <v>0</v>
      </c>
      <c r="K29" s="18" t="n">
        <v>0.545463</v>
      </c>
      <c r="L29" s="20" t="n">
        <v>0.27280085</v>
      </c>
      <c r="M29" s="18" t="n">
        <v>0</v>
      </c>
      <c r="N29" s="20" t="n">
        <v>0</v>
      </c>
      <c r="O29" s="18" t="n">
        <v>0</v>
      </c>
      <c r="P29" s="20" t="n">
        <v>0</v>
      </c>
      <c r="Q29" s="18" t="n">
        <v>0.41601479</v>
      </c>
      <c r="R29" s="20" t="n">
        <v>0.30553091</v>
      </c>
    </row>
    <row r="30" spans="1:18">
      <c r="A30" s="15" t="s">
        <v>588</v>
      </c>
      <c r="B30" s="17" t="n">
        <v>4520</v>
      </c>
      <c r="C30" s="18">
        <f>(4030.0/B30*100)</f>
        <v/>
      </c>
      <c r="D30" s="19" t="n">
        <v>490</v>
      </c>
      <c r="E30" s="18" t="n">
        <v>29.87517442</v>
      </c>
      <c r="F30" s="20" t="n">
        <v>2.12855944</v>
      </c>
      <c r="G30" s="18" t="n">
        <v>68.87400528000001</v>
      </c>
      <c r="H30" s="20" t="n">
        <v>2.16769475</v>
      </c>
      <c r="I30" s="18" t="n">
        <v>0</v>
      </c>
      <c r="J30" s="20" t="n">
        <v>0</v>
      </c>
      <c r="K30" s="18" t="n">
        <v>0.90245955</v>
      </c>
      <c r="L30" s="20" t="n">
        <v>0.46418927</v>
      </c>
      <c r="M30" s="18" t="n">
        <v>0</v>
      </c>
      <c r="N30" s="20" t="n">
        <v>0</v>
      </c>
      <c r="O30" s="18" t="n">
        <v>0</v>
      </c>
      <c r="P30" s="20" t="n">
        <v>0</v>
      </c>
      <c r="Q30" s="18" t="n">
        <v>0.34836075</v>
      </c>
      <c r="R30" s="20" t="n">
        <v>0.26109113</v>
      </c>
    </row>
    <row r="31" spans="1:18">
      <c r="A31" s="15" t="s">
        <v>589</v>
      </c>
      <c r="B31" s="17" t="n">
        <v>5456</v>
      </c>
      <c r="C31" s="18">
        <f>(4865.0/B31*100)</f>
        <v/>
      </c>
      <c r="D31" s="19" t="n">
        <v>591</v>
      </c>
      <c r="E31" s="18" t="n">
        <v>24.5592862</v>
      </c>
      <c r="F31" s="20" t="n">
        <v>2.1946713</v>
      </c>
      <c r="G31" s="18" t="n">
        <v>73.2024052</v>
      </c>
      <c r="H31" s="20" t="n">
        <v>2.30351182</v>
      </c>
      <c r="I31" s="18" t="n">
        <v>0</v>
      </c>
      <c r="J31" s="20" t="n">
        <v>0</v>
      </c>
      <c r="K31" s="18" t="n">
        <v>1.48836076</v>
      </c>
      <c r="L31" s="20" t="n">
        <v>0.51064973</v>
      </c>
      <c r="M31" s="18" t="n">
        <v>0</v>
      </c>
      <c r="N31" s="20" t="n">
        <v>0</v>
      </c>
      <c r="O31" s="18" t="n">
        <v>0</v>
      </c>
      <c r="P31" s="20" t="n">
        <v>0</v>
      </c>
      <c r="Q31" s="18" t="n">
        <v>0.74994784</v>
      </c>
      <c r="R31" s="20" t="n">
        <v>0.34092746</v>
      </c>
    </row>
    <row r="32" spans="1:18">
      <c r="A32" s="15" t="s">
        <v>590</v>
      </c>
      <c r="B32" s="17" t="n">
        <v>4478</v>
      </c>
      <c r="C32" s="18">
        <f>(3990.0/B32*100)</f>
        <v/>
      </c>
      <c r="D32" s="19" t="n">
        <v>488</v>
      </c>
      <c r="E32" s="18" t="n">
        <v>23.50695829</v>
      </c>
      <c r="F32" s="20" t="n">
        <v>1.81175902</v>
      </c>
      <c r="G32" s="18" t="n">
        <v>75.74767525</v>
      </c>
      <c r="H32" s="20" t="n">
        <v>1.8819393</v>
      </c>
      <c r="I32" s="18" t="n">
        <v>0</v>
      </c>
      <c r="J32" s="20" t="n">
        <v>0</v>
      </c>
      <c r="K32" s="18" t="n">
        <v>0.3685924</v>
      </c>
      <c r="L32" s="20" t="n">
        <v>0.26164793</v>
      </c>
      <c r="M32" s="18" t="n">
        <v>0</v>
      </c>
      <c r="N32" s="20" t="n">
        <v>0</v>
      </c>
      <c r="O32" s="18" t="n">
        <v>0</v>
      </c>
      <c r="P32" s="20" t="n">
        <v>0</v>
      </c>
      <c r="Q32" s="18" t="n">
        <v>0.37677406</v>
      </c>
      <c r="R32" s="20" t="n">
        <v>0.27793258</v>
      </c>
    </row>
    <row r="33" spans="1:18">
      <c r="A33" s="15" t="s">
        <v>591</v>
      </c>
      <c r="B33" s="17" t="n">
        <v>7325</v>
      </c>
      <c r="C33" s="18">
        <f>(6593.0/B33*100)</f>
        <v/>
      </c>
      <c r="D33" s="19" t="n">
        <v>732</v>
      </c>
      <c r="E33" s="18" t="n">
        <v>26.30710578</v>
      </c>
      <c r="F33" s="20" t="n">
        <v>1.90591261</v>
      </c>
      <c r="G33" s="18" t="n">
        <v>72.24534296</v>
      </c>
      <c r="H33" s="20" t="n">
        <v>2.1230669</v>
      </c>
      <c r="I33" s="18" t="n">
        <v>0</v>
      </c>
      <c r="J33" s="20" t="n">
        <v>0</v>
      </c>
      <c r="K33" s="18" t="n">
        <v>1.22300026</v>
      </c>
      <c r="L33" s="20" t="n">
        <v>0.60751233</v>
      </c>
      <c r="M33" s="18" t="n">
        <v>0</v>
      </c>
      <c r="N33" s="20" t="n">
        <v>0</v>
      </c>
      <c r="O33" s="18" t="n">
        <v>0</v>
      </c>
      <c r="P33" s="20" t="n">
        <v>0</v>
      </c>
      <c r="Q33" s="18" t="n">
        <v>0.224551</v>
      </c>
      <c r="R33" s="20" t="n">
        <v>0.12523702</v>
      </c>
    </row>
    <row r="34" spans="1:18">
      <c r="A34" s="15" t="s">
        <v>592</v>
      </c>
      <c r="B34" s="17" t="n">
        <v>6350</v>
      </c>
      <c r="C34" s="18">
        <f>(5580.0/B34*100)</f>
        <v/>
      </c>
      <c r="D34" s="19" t="n">
        <v>770</v>
      </c>
      <c r="E34" s="18" t="n">
        <v>44.3686324</v>
      </c>
      <c r="F34" s="20" t="n">
        <v>2.42117052</v>
      </c>
      <c r="G34" s="18" t="n">
        <v>54.28683236</v>
      </c>
      <c r="H34" s="20" t="n">
        <v>2.46414286</v>
      </c>
      <c r="I34" s="18" t="n">
        <v>0</v>
      </c>
      <c r="J34" s="20" t="n">
        <v>0</v>
      </c>
      <c r="K34" s="18" t="n">
        <v>0.60999262</v>
      </c>
      <c r="L34" s="20" t="n">
        <v>0.30952571</v>
      </c>
      <c r="M34" s="18" t="n">
        <v>0</v>
      </c>
      <c r="N34" s="20" t="n">
        <v>0</v>
      </c>
      <c r="O34" s="18" t="n">
        <v>0</v>
      </c>
      <c r="P34" s="20" t="n">
        <v>0</v>
      </c>
      <c r="Q34" s="18" t="n">
        <v>0.73454262</v>
      </c>
      <c r="R34" s="20" t="n">
        <v>0.34276237</v>
      </c>
    </row>
    <row r="35" spans="1:18">
      <c r="A35" s="15" t="s">
        <v>593</v>
      </c>
      <c r="B35" s="17" t="n">
        <v>6406</v>
      </c>
      <c r="C35" s="18">
        <f>(5579.0/B35*100)</f>
        <v/>
      </c>
      <c r="D35" s="19" t="n">
        <v>827</v>
      </c>
      <c r="E35" s="18" t="n">
        <v>24.05962708</v>
      </c>
      <c r="F35" s="20" t="n">
        <v>1.79702275</v>
      </c>
      <c r="G35" s="18" t="n">
        <v>75.64012476000001</v>
      </c>
      <c r="H35" s="20" t="n">
        <v>1.80183917</v>
      </c>
      <c r="I35" s="18" t="n">
        <v>0</v>
      </c>
      <c r="J35" s="20" t="n">
        <v>0</v>
      </c>
      <c r="K35" s="18" t="n">
        <v>0</v>
      </c>
      <c r="L35" s="20" t="n">
        <v>0</v>
      </c>
      <c r="M35" s="18" t="n">
        <v>0</v>
      </c>
      <c r="N35" s="20" t="n">
        <v>0</v>
      </c>
      <c r="O35" s="18" t="n">
        <v>0</v>
      </c>
      <c r="P35" s="20" t="n">
        <v>0</v>
      </c>
      <c r="Q35" s="18" t="n">
        <v>0.30024816</v>
      </c>
      <c r="R35" s="20" t="n">
        <v>0.18201845</v>
      </c>
    </row>
    <row r="36" spans="1:18">
      <c r="A36" s="15" t="s">
        <v>594</v>
      </c>
      <c r="B36" s="17" t="n">
        <v>6736</v>
      </c>
      <c r="C36" s="18">
        <f>(6005.0/B36*100)</f>
        <v/>
      </c>
      <c r="D36" s="19" t="n">
        <v>731</v>
      </c>
      <c r="E36" s="18" t="n">
        <v>30.76539935</v>
      </c>
      <c r="F36" s="20" t="n">
        <v>2.11591791</v>
      </c>
      <c r="G36" s="18" t="n">
        <v>68.14241348</v>
      </c>
      <c r="H36" s="20" t="n">
        <v>2.0987193</v>
      </c>
      <c r="I36" s="18" t="n">
        <v>0</v>
      </c>
      <c r="J36" s="20" t="n">
        <v>0</v>
      </c>
      <c r="K36" s="18" t="n">
        <v>0.63781976</v>
      </c>
      <c r="L36" s="20" t="n">
        <v>0.30931215</v>
      </c>
      <c r="M36" s="18" t="n">
        <v>0</v>
      </c>
      <c r="N36" s="20" t="n">
        <v>0</v>
      </c>
      <c r="O36" s="18" t="n">
        <v>0</v>
      </c>
      <c r="P36" s="20" t="n">
        <v>0</v>
      </c>
      <c r="Q36" s="18" t="n">
        <v>0.45436741</v>
      </c>
      <c r="R36" s="20" t="n">
        <v>0.47219374</v>
      </c>
    </row>
    <row r="37" spans="1:18">
      <c r="A37" s="15" t="s">
        <v>595</v>
      </c>
      <c r="B37" s="17" t="n">
        <v>5458</v>
      </c>
      <c r="C37" s="18">
        <f>(4891.0/B37*100)</f>
        <v/>
      </c>
      <c r="D37" s="19" t="n">
        <v>567</v>
      </c>
      <c r="E37" s="18" t="n">
        <v>22.96432472</v>
      </c>
      <c r="F37" s="20" t="n">
        <v>1.56495736</v>
      </c>
      <c r="G37" s="18" t="n">
        <v>74.90035855000001</v>
      </c>
      <c r="H37" s="20" t="n">
        <v>1.72588461</v>
      </c>
      <c r="I37" s="18" t="n">
        <v>0</v>
      </c>
      <c r="J37" s="20" t="n">
        <v>0</v>
      </c>
      <c r="K37" s="18" t="n">
        <v>1.35331299</v>
      </c>
      <c r="L37" s="20" t="n">
        <v>0.56948261</v>
      </c>
      <c r="M37" s="18" t="n">
        <v>0</v>
      </c>
      <c r="N37" s="20" t="n">
        <v>0</v>
      </c>
      <c r="O37" s="18" t="n">
        <v>0</v>
      </c>
      <c r="P37" s="20" t="n">
        <v>0</v>
      </c>
      <c r="Q37" s="18" t="n">
        <v>0.78200373</v>
      </c>
      <c r="R37" s="20" t="n">
        <v>0.34570196</v>
      </c>
    </row>
    <row r="38" spans="1:18">
      <c r="A38" s="15" t="s">
        <v>596</v>
      </c>
      <c r="B38" s="17" t="n">
        <v>5860</v>
      </c>
      <c r="C38" s="18">
        <f>(5243.0/B38*100)</f>
        <v/>
      </c>
      <c r="D38" s="19" t="n">
        <v>617</v>
      </c>
      <c r="E38" s="18" t="n">
        <v>28.15651147</v>
      </c>
      <c r="F38" s="20" t="n">
        <v>2.10257061</v>
      </c>
      <c r="G38" s="18" t="n">
        <v>70.58418943</v>
      </c>
      <c r="H38" s="20" t="n">
        <v>2.07581417</v>
      </c>
      <c r="I38" s="18" t="n">
        <v>0</v>
      </c>
      <c r="J38" s="20" t="n">
        <v>0</v>
      </c>
      <c r="K38" s="18" t="n">
        <v>0.7630371500000001</v>
      </c>
      <c r="L38" s="20" t="n">
        <v>0.37106069</v>
      </c>
      <c r="M38" s="18" t="n">
        <v>0</v>
      </c>
      <c r="N38" s="20" t="n">
        <v>0</v>
      </c>
      <c r="O38" s="18" t="n">
        <v>0</v>
      </c>
      <c r="P38" s="20" t="n">
        <v>0</v>
      </c>
      <c r="Q38" s="18" t="n">
        <v>0.49626195</v>
      </c>
      <c r="R38" s="20" t="n">
        <v>0.25293986</v>
      </c>
    </row>
    <row r="39" spans="1:18">
      <c r="A39" s="15" t="s">
        <v>597</v>
      </c>
      <c r="B39" s="17" t="n">
        <v>5895</v>
      </c>
      <c r="C39" s="18">
        <f>(5241.0/B39*100)</f>
        <v/>
      </c>
      <c r="D39" s="19" t="n">
        <v>654</v>
      </c>
      <c r="E39" s="18" t="n">
        <v>39.48782345</v>
      </c>
      <c r="F39" s="20" t="n">
        <v>2.12656606</v>
      </c>
      <c r="G39" s="18" t="n">
        <v>59.12853128</v>
      </c>
      <c r="H39" s="20" t="n">
        <v>2.16153465</v>
      </c>
      <c r="I39" s="18" t="n">
        <v>0</v>
      </c>
      <c r="J39" s="20" t="n">
        <v>0</v>
      </c>
      <c r="K39" s="18" t="n">
        <v>0.54632608</v>
      </c>
      <c r="L39" s="20" t="n">
        <v>0.21327598</v>
      </c>
      <c r="M39" s="18" t="n">
        <v>0</v>
      </c>
      <c r="N39" s="20" t="n">
        <v>0</v>
      </c>
      <c r="O39" s="18" t="n">
        <v>0</v>
      </c>
      <c r="P39" s="20" t="n">
        <v>0</v>
      </c>
      <c r="Q39" s="18" t="n">
        <v>0.83731919</v>
      </c>
      <c r="R39" s="20" t="n">
        <v>0.63347303</v>
      </c>
    </row>
    <row r="40" spans="1:18">
      <c r="A40" s="15" t="s">
        <v>598</v>
      </c>
      <c r="B40" s="17" t="n">
        <v>14157</v>
      </c>
      <c r="C40" s="18">
        <f>(12536.0/B40*100)</f>
        <v/>
      </c>
      <c r="D40" s="19" t="n">
        <v>1621</v>
      </c>
      <c r="E40" s="18" t="n">
        <v>32.92692349</v>
      </c>
      <c r="F40" s="20" t="n">
        <v>1.76341907</v>
      </c>
      <c r="G40" s="18" t="n">
        <v>66.26108144</v>
      </c>
      <c r="H40" s="20" t="n">
        <v>1.78427402</v>
      </c>
      <c r="I40" s="18" t="n">
        <v>0</v>
      </c>
      <c r="J40" s="20" t="n">
        <v>0</v>
      </c>
      <c r="K40" s="18" t="n">
        <v>0.56548294</v>
      </c>
      <c r="L40" s="20" t="n">
        <v>0.22912767</v>
      </c>
      <c r="M40" s="18" t="n">
        <v>0</v>
      </c>
      <c r="N40" s="20" t="n">
        <v>0</v>
      </c>
      <c r="O40" s="18" t="n">
        <v>0</v>
      </c>
      <c r="P40" s="20" t="n">
        <v>0</v>
      </c>
      <c r="Q40" s="18" t="n">
        <v>0.24651213</v>
      </c>
      <c r="R40" s="20" t="n">
        <v>0.21991082</v>
      </c>
    </row>
    <row r="41" spans="1:18">
      <c r="A41" s="15" t="s">
        <v>599</v>
      </c>
      <c r="B41" s="17" t="n">
        <v>5712</v>
      </c>
      <c r="C41" s="18">
        <f>(5078.0/B41*100)</f>
        <v/>
      </c>
      <c r="D41" s="19" t="n">
        <v>634</v>
      </c>
      <c r="E41" s="18" t="n">
        <v>38.20561516</v>
      </c>
      <c r="F41" s="20" t="n">
        <v>2.00429794</v>
      </c>
      <c r="G41" s="18" t="n">
        <v>61.05327521</v>
      </c>
      <c r="H41" s="20" t="n">
        <v>1.95601605</v>
      </c>
      <c r="I41" s="18" t="n">
        <v>0</v>
      </c>
      <c r="J41" s="20" t="n">
        <v>0</v>
      </c>
      <c r="K41" s="18" t="n">
        <v>0.74110963</v>
      </c>
      <c r="L41" s="20" t="n">
        <v>0.34758447</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(21372.0/B46*100)</f>
        <v/>
      </c>
      <c r="D46" s="19" t="n">
        <v>1769</v>
      </c>
      <c r="E46" s="18" t="n">
        <v>44.74744951</v>
      </c>
      <c r="F46" s="20" t="n">
        <v>1.49584629</v>
      </c>
      <c r="G46" s="18" t="n">
        <v>51.55768463</v>
      </c>
      <c r="H46" s="20" t="n">
        <v>1.55455195</v>
      </c>
      <c r="I46" s="18" t="n">
        <v>0</v>
      </c>
      <c r="J46" s="20" t="n">
        <v>0</v>
      </c>
      <c r="K46" s="18" t="n">
        <v>2.61004489</v>
      </c>
      <c r="L46" s="20" t="n">
        <v>0.50510585</v>
      </c>
      <c r="M46" s="18" t="n">
        <v>0</v>
      </c>
      <c r="N46" s="20" t="n">
        <v>0</v>
      </c>
      <c r="O46" s="18" t="n">
        <v>0</v>
      </c>
      <c r="P46" s="20" t="n">
        <v>0</v>
      </c>
      <c r="Q46" s="18" t="n">
        <v>1.08482097</v>
      </c>
      <c r="R46" s="20" t="n">
        <v>0.28431939</v>
      </c>
    </row>
    <row r="47" spans="1:18">
      <c r="A47" s="15" t="s">
        <v>606</v>
      </c>
      <c r="B47" s="17" t="n">
        <v>5928</v>
      </c>
      <c r="C47" s="18">
        <f>(5324.0/B47*100)</f>
        <v/>
      </c>
      <c r="D47" s="19" t="n">
        <v>604</v>
      </c>
      <c r="E47" s="18" t="n">
        <v>48.18034368</v>
      </c>
      <c r="F47" s="20" t="n">
        <v>1.93301121</v>
      </c>
      <c r="G47" s="18" t="n">
        <v>49.99894335</v>
      </c>
      <c r="H47" s="20" t="n">
        <v>1.97768363</v>
      </c>
      <c r="I47" s="18" t="n">
        <v>0</v>
      </c>
      <c r="J47" s="20" t="n">
        <v>0</v>
      </c>
      <c r="K47" s="18" t="n">
        <v>1.31732275</v>
      </c>
      <c r="L47" s="20" t="n">
        <v>0.43675348</v>
      </c>
      <c r="M47" s="18" t="n">
        <v>0</v>
      </c>
      <c r="N47" s="20" t="n">
        <v>0</v>
      </c>
      <c r="O47" s="18" t="n">
        <v>0</v>
      </c>
      <c r="P47" s="20" t="n">
        <v>0</v>
      </c>
      <c r="Q47" s="18" t="n">
        <v>0.50339022</v>
      </c>
      <c r="R47" s="20" t="n">
        <v>0.1861142</v>
      </c>
    </row>
    <row r="48" spans="1:18">
      <c r="A48" s="15" t="s">
        <v>607</v>
      </c>
      <c r="B48" s="17" t="n">
        <v>9841</v>
      </c>
      <c r="C48" s="18">
        <f>(8775.0/B48*100)</f>
        <v/>
      </c>
      <c r="D48" s="19" t="n">
        <v>1066</v>
      </c>
      <c r="E48" s="18" t="n">
        <v>35.07667535</v>
      </c>
      <c r="F48" s="20" t="n">
        <v>2.03095162</v>
      </c>
      <c r="G48" s="18" t="n">
        <v>63.81205735</v>
      </c>
      <c r="H48" s="20" t="n">
        <v>2.07469882</v>
      </c>
      <c r="I48" s="18" t="n">
        <v>0</v>
      </c>
      <c r="J48" s="20" t="n">
        <v>0</v>
      </c>
      <c r="K48" s="18" t="n">
        <v>0.6308098599999999</v>
      </c>
      <c r="L48" s="20" t="n">
        <v>0.39753508</v>
      </c>
      <c r="M48" s="18" t="n">
        <v>0</v>
      </c>
      <c r="N48" s="20" t="n">
        <v>0</v>
      </c>
      <c r="O48" s="18" t="n">
        <v>0</v>
      </c>
      <c r="P48" s="20" t="n">
        <v>0</v>
      </c>
      <c r="Q48" s="18" t="n">
        <v>0.48045744</v>
      </c>
      <c r="R48" s="20" t="n">
        <v>0.28170123</v>
      </c>
    </row>
    <row r="49" spans="1:18">
      <c r="A49" s="15" t="s">
        <v>608</v>
      </c>
      <c r="B49" s="17" t="n">
        <v>11795</v>
      </c>
      <c r="C49" s="18">
        <f>(10580.0/B49*100)</f>
        <v/>
      </c>
      <c r="D49" s="19" t="n">
        <v>1215</v>
      </c>
      <c r="E49" s="18" t="n">
        <v>45.96799346</v>
      </c>
      <c r="F49" s="20" t="n">
        <v>2.20424917</v>
      </c>
      <c r="G49" s="18" t="n">
        <v>50.50669213</v>
      </c>
      <c r="H49" s="20" t="n">
        <v>2.23342918</v>
      </c>
      <c r="I49" s="18" t="n">
        <v>0</v>
      </c>
      <c r="J49" s="20" t="n">
        <v>0</v>
      </c>
      <c r="K49" s="18" t="n">
        <v>3.52141856</v>
      </c>
      <c r="L49" s="20" t="n">
        <v>0.87088891</v>
      </c>
      <c r="M49" s="18" t="n">
        <v>0</v>
      </c>
      <c r="N49" s="20" t="n">
        <v>0</v>
      </c>
      <c r="O49" s="18" t="n">
        <v>0</v>
      </c>
      <c r="P49" s="20" t="n">
        <v>0</v>
      </c>
      <c r="Q49" s="18" t="n">
        <v>0.00389586</v>
      </c>
      <c r="R49" s="20" t="n">
        <v>0.0038863</v>
      </c>
    </row>
    <row r="50" spans="1:18">
      <c r="A50" s="15" t="s">
        <v>609</v>
      </c>
      <c r="B50" s="17" t="n">
        <v>6866</v>
      </c>
      <c r="C50" s="18">
        <f>(5537.0/B50*100)</f>
        <v/>
      </c>
      <c r="D50" s="19" t="n">
        <v>1329</v>
      </c>
      <c r="E50" s="18" t="n">
        <v>39.75892961</v>
      </c>
      <c r="F50" s="20" t="n">
        <v>1.50885476</v>
      </c>
      <c r="G50" s="18" t="n">
        <v>59.09875384</v>
      </c>
      <c r="H50" s="20" t="n">
        <v>1.52237391</v>
      </c>
      <c r="I50" s="18" t="n">
        <v>0</v>
      </c>
      <c r="J50" s="20" t="n">
        <v>0</v>
      </c>
      <c r="K50" s="18" t="n">
        <v>0.84971379</v>
      </c>
      <c r="L50" s="20" t="n">
        <v>0.29770154</v>
      </c>
      <c r="M50" s="18" t="n">
        <v>0</v>
      </c>
      <c r="N50" s="20" t="n">
        <v>0</v>
      </c>
      <c r="O50" s="18" t="n">
        <v>0</v>
      </c>
      <c r="P50" s="20" t="n">
        <v>0</v>
      </c>
      <c r="Q50" s="18" t="n">
        <v>0.29260276</v>
      </c>
      <c r="R50" s="20" t="n">
        <v>0.14164563</v>
      </c>
    </row>
    <row r="51" spans="1:18">
      <c r="A51" s="15" t="s">
        <v>610</v>
      </c>
      <c r="B51" s="17" t="n">
        <v>5809</v>
      </c>
      <c r="C51" s="18">
        <f>(5206.0/B51*100)</f>
        <v/>
      </c>
      <c r="D51" s="19" t="n">
        <v>603</v>
      </c>
      <c r="E51" s="18" t="n">
        <v>25.28619148</v>
      </c>
      <c r="F51" s="20" t="n">
        <v>1.76729377</v>
      </c>
      <c r="G51" s="18" t="n">
        <v>74.55033057</v>
      </c>
      <c r="H51" s="20" t="n">
        <v>1.76425915</v>
      </c>
      <c r="I51" s="18" t="n">
        <v>0</v>
      </c>
      <c r="J51" s="20" t="n">
        <v>0</v>
      </c>
      <c r="K51" s="18" t="n">
        <v>0</v>
      </c>
      <c r="L51" s="20" t="n">
        <v>0</v>
      </c>
      <c r="M51" s="18" t="n">
        <v>0</v>
      </c>
      <c r="N51" s="20" t="n">
        <v>0</v>
      </c>
      <c r="O51" s="18" t="n">
        <v>0</v>
      </c>
      <c r="P51" s="20" t="n">
        <v>0</v>
      </c>
      <c r="Q51" s="18" t="n">
        <v>0.16347795</v>
      </c>
      <c r="R51" s="20" t="n">
        <v>0.16378732</v>
      </c>
    </row>
    <row r="52" spans="1:18">
      <c r="A52" s="15" t="s">
        <v>611</v>
      </c>
      <c r="B52" s="17" t="n">
        <v>5571</v>
      </c>
      <c r="C52" s="18">
        <f>(4971.0/B52*100)</f>
        <v/>
      </c>
      <c r="D52" s="19" t="n">
        <v>600</v>
      </c>
      <c r="E52" s="18" t="n">
        <v>45.11517249</v>
      </c>
      <c r="F52" s="20" t="n">
        <v>2.17793662</v>
      </c>
      <c r="G52" s="18" t="n">
        <v>54.2366698</v>
      </c>
      <c r="H52" s="20" t="n">
        <v>2.16419852</v>
      </c>
      <c r="I52" s="18" t="n">
        <v>0</v>
      </c>
      <c r="J52" s="20" t="n">
        <v>0</v>
      </c>
      <c r="K52" s="18" t="n">
        <v>0.47957065</v>
      </c>
      <c r="L52" s="20" t="n">
        <v>0.24247927</v>
      </c>
      <c r="M52" s="18" t="n">
        <v>0</v>
      </c>
      <c r="N52" s="20" t="n">
        <v>0</v>
      </c>
      <c r="O52" s="18" t="n">
        <v>0</v>
      </c>
      <c r="P52" s="20" t="n">
        <v>0</v>
      </c>
      <c r="Q52" s="18" t="n">
        <v>0.16858706</v>
      </c>
      <c r="R52" s="20" t="n">
        <v>0.16782958</v>
      </c>
    </row>
    <row r="53" spans="1:18">
      <c r="A53" s="15" t="s">
        <v>612</v>
      </c>
      <c r="B53" s="17" t="n">
        <v>4740</v>
      </c>
      <c r="C53" s="18">
        <f>(4226.0/B53*100)</f>
        <v/>
      </c>
      <c r="D53" s="19" t="n">
        <v>514</v>
      </c>
      <c r="E53" s="18" t="n">
        <v>51.63251377</v>
      </c>
      <c r="F53" s="20" t="n">
        <v>2.48582908</v>
      </c>
      <c r="G53" s="18" t="n">
        <v>24.51901322</v>
      </c>
      <c r="H53" s="20" t="n">
        <v>2.0739517</v>
      </c>
      <c r="I53" s="18" t="n">
        <v>0</v>
      </c>
      <c r="J53" s="20" t="n">
        <v>0</v>
      </c>
      <c r="K53" s="18" t="n">
        <v>22.57814804</v>
      </c>
      <c r="L53" s="20" t="n">
        <v>2.14112767</v>
      </c>
      <c r="M53" s="18" t="n">
        <v>0</v>
      </c>
      <c r="N53" s="20" t="n">
        <v>0</v>
      </c>
      <c r="O53" s="18" t="n">
        <v>0</v>
      </c>
      <c r="P53" s="20" t="n">
        <v>0</v>
      </c>
      <c r="Q53" s="18" t="n">
        <v>1.27032497</v>
      </c>
      <c r="R53" s="20" t="n">
        <v>0.53960223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(4781.0/B55*100)</f>
        <v/>
      </c>
      <c r="D55" s="19" t="n">
        <v>578</v>
      </c>
      <c r="E55" s="18" t="n">
        <v>25.22567443</v>
      </c>
      <c r="F55" s="20" t="n">
        <v>1.67097154</v>
      </c>
      <c r="G55" s="18" t="n">
        <v>74.31022966</v>
      </c>
      <c r="H55" s="20" t="n">
        <v>1.68907312</v>
      </c>
      <c r="I55" s="18" t="n">
        <v>0</v>
      </c>
      <c r="J55" s="20" t="n">
        <v>0</v>
      </c>
      <c r="K55" s="18" t="n">
        <v>0.46409591</v>
      </c>
      <c r="L55" s="20" t="n">
        <v>0.34411677</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(5835.0/B61*100)</f>
        <v/>
      </c>
      <c r="D61" s="19" t="n">
        <v>690</v>
      </c>
      <c r="E61" s="18" t="n">
        <v>30.94864566</v>
      </c>
      <c r="F61" s="20" t="n">
        <v>1.94638886</v>
      </c>
      <c r="G61" s="18" t="n">
        <v>68.11665445</v>
      </c>
      <c r="H61" s="20" t="n">
        <v>1.95669202</v>
      </c>
      <c r="I61" s="18" t="n">
        <v>0</v>
      </c>
      <c r="J61" s="20" t="n">
        <v>0</v>
      </c>
      <c r="K61" s="18" t="n">
        <v>0.36744105</v>
      </c>
      <c r="L61" s="20" t="n">
        <v>0.26562523</v>
      </c>
      <c r="M61" s="18" t="n">
        <v>0</v>
      </c>
      <c r="N61" s="20" t="n">
        <v>0</v>
      </c>
      <c r="O61" s="18" t="n">
        <v>0</v>
      </c>
      <c r="P61" s="20" t="n">
        <v>0</v>
      </c>
      <c r="Q61" s="18" t="n">
        <v>0.56725884</v>
      </c>
      <c r="R61" s="20" t="n">
        <v>0.34728151</v>
      </c>
    </row>
    <row r="62" spans="1:18">
      <c r="A62" s="15" t="s">
        <v>622</v>
      </c>
      <c r="B62" s="17" t="n">
        <v>4476</v>
      </c>
      <c r="C62" s="18">
        <f>(3984.0/B62*100)</f>
        <v/>
      </c>
      <c r="D62" s="19" t="n">
        <v>492</v>
      </c>
      <c r="E62" s="18" t="n">
        <v>28.26182378</v>
      </c>
      <c r="F62" s="20" t="n">
        <v>1.96117418</v>
      </c>
      <c r="G62" s="18" t="n">
        <v>71.73817622</v>
      </c>
      <c r="H62" s="20" t="n">
        <v>1.96117418</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(5095.0/B67*100)</f>
        <v/>
      </c>
      <c r="D67" s="19" t="n">
        <v>570</v>
      </c>
      <c r="E67" s="18" t="n">
        <v>45.23704579</v>
      </c>
      <c r="F67" s="20" t="n">
        <v>2.21639614</v>
      </c>
      <c r="G67" s="18" t="n">
        <v>52.16494949</v>
      </c>
      <c r="H67" s="20" t="n">
        <v>2.36140052</v>
      </c>
      <c r="I67" s="18" t="n">
        <v>0</v>
      </c>
      <c r="J67" s="20" t="n">
        <v>0</v>
      </c>
      <c r="K67" s="18" t="n">
        <v>1.42935984</v>
      </c>
      <c r="L67" s="20" t="n">
        <v>0.50865766</v>
      </c>
      <c r="M67" s="18" t="n">
        <v>0</v>
      </c>
      <c r="N67" s="20" t="n">
        <v>0</v>
      </c>
      <c r="O67" s="18" t="n">
        <v>0</v>
      </c>
      <c r="P67" s="20" t="n">
        <v>0</v>
      </c>
      <c r="Q67" s="18" t="n">
        <v>1.16864488</v>
      </c>
      <c r="R67" s="20" t="n">
        <v>0.5180846</v>
      </c>
    </row>
    <row r="68" spans="1:18">
      <c r="A68" s="15" t="s">
        <v>628</v>
      </c>
      <c r="B68" s="17" t="n">
        <v>6971</v>
      </c>
      <c r="C68" s="18">
        <f>(6379.0/B68*100)</f>
        <v/>
      </c>
      <c r="D68" s="19" t="n">
        <v>592</v>
      </c>
      <c r="E68" s="18" t="n">
        <v>49.50526597</v>
      </c>
      <c r="F68" s="20" t="n">
        <v>2.37922304</v>
      </c>
      <c r="G68" s="18" t="n">
        <v>49.99825769</v>
      </c>
      <c r="H68" s="20" t="n">
        <v>2.36507448</v>
      </c>
      <c r="I68" s="18" t="n">
        <v>0</v>
      </c>
      <c r="J68" s="20" t="n">
        <v>0</v>
      </c>
      <c r="K68" s="18" t="n">
        <v>0.49647634</v>
      </c>
      <c r="L68" s="20" t="n">
        <v>0.29593244</v>
      </c>
      <c r="M68" s="18" t="n">
        <v>0</v>
      </c>
      <c r="N68" s="20" t="n">
        <v>0</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(10753.0/B70*100)</f>
        <v/>
      </c>
      <c r="D70" s="19" t="n">
        <v>1330</v>
      </c>
      <c r="E70" s="18" t="n">
        <v>50.11478703</v>
      </c>
      <c r="F70" s="20" t="n">
        <v>1.45530688</v>
      </c>
      <c r="G70" s="18" t="n">
        <v>44.51185509</v>
      </c>
      <c r="H70" s="20" t="n">
        <v>1.51543634</v>
      </c>
      <c r="I70" s="18" t="n">
        <v>0</v>
      </c>
      <c r="J70" s="20" t="n">
        <v>0</v>
      </c>
      <c r="K70" s="18" t="n">
        <v>5.03269999</v>
      </c>
      <c r="L70" s="20" t="n">
        <v>0.6511312500000001</v>
      </c>
      <c r="M70" s="18" t="n">
        <v>0</v>
      </c>
      <c r="N70" s="20" t="n">
        <v>0</v>
      </c>
      <c r="O70" s="18" t="n">
        <v>0</v>
      </c>
      <c r="P70" s="20" t="n">
        <v>0</v>
      </c>
      <c r="Q70" s="18" t="n">
        <v>0.34065789</v>
      </c>
      <c r="R70" s="20" t="n">
        <v>0.17124183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(5445.0/B72*100)</f>
        <v/>
      </c>
      <c r="D72" s="19" t="n">
        <v>591</v>
      </c>
      <c r="E72" s="18" t="n">
        <v>27.63682211</v>
      </c>
      <c r="F72" s="20" t="n">
        <v>1.6540461</v>
      </c>
      <c r="G72" s="18" t="n">
        <v>71.42444816</v>
      </c>
      <c r="H72" s="20" t="n">
        <v>1.63707374</v>
      </c>
      <c r="I72" s="18" t="n">
        <v>0</v>
      </c>
      <c r="J72" s="20" t="n">
        <v>0</v>
      </c>
      <c r="K72" s="18" t="n">
        <v>0.6528055699999999</v>
      </c>
      <c r="L72" s="20" t="n">
        <v>0.31904928</v>
      </c>
      <c r="M72" s="18" t="n">
        <v>0</v>
      </c>
      <c r="N72" s="20" t="n">
        <v>0</v>
      </c>
      <c r="O72" s="18" t="n">
        <v>0</v>
      </c>
      <c r="P72" s="20" t="n">
        <v>0</v>
      </c>
      <c r="Q72" s="18" t="n">
        <v>0.28592416</v>
      </c>
      <c r="R72" s="20" t="n">
        <v>0.21198501</v>
      </c>
    </row>
    <row r="73" spans="1:18">
      <c r="A73" s="15" t="s">
        <v>633</v>
      </c>
      <c r="B73" s="17" t="n">
        <v>6115</v>
      </c>
      <c r="C73" s="18">
        <f>(5435.0/B73*100)</f>
        <v/>
      </c>
      <c r="D73" s="19" t="n">
        <v>680</v>
      </c>
      <c r="E73" s="18" t="n">
        <v>26.4833947</v>
      </c>
      <c r="F73" s="20" t="n">
        <v>1.47489968</v>
      </c>
      <c r="G73" s="18" t="n">
        <v>73.32877471</v>
      </c>
      <c r="H73" s="20" t="n">
        <v>1.46661997</v>
      </c>
      <c r="I73" s="18" t="n">
        <v>0</v>
      </c>
      <c r="J73" s="20" t="n">
        <v>0</v>
      </c>
      <c r="K73" s="18" t="n">
        <v>0</v>
      </c>
      <c r="L73" s="20" t="n">
        <v>0</v>
      </c>
      <c r="M73" s="18" t="n">
        <v>0</v>
      </c>
      <c r="N73" s="20" t="n">
        <v>0</v>
      </c>
      <c r="O73" s="18" t="n">
        <v>0</v>
      </c>
      <c r="P73" s="20" t="n">
        <v>0</v>
      </c>
      <c r="Q73" s="18" t="n">
        <v>0.18783059</v>
      </c>
      <c r="R73" s="20" t="n">
        <v>0.14606877</v>
      </c>
    </row>
    <row r="74" spans="1:18">
      <c r="A74" s="15" t="s">
        <v>634</v>
      </c>
      <c r="B74" s="17" t="n">
        <v>7708</v>
      </c>
      <c r="C74" s="18">
        <f>(6817.0/B74*100)</f>
        <v/>
      </c>
      <c r="D74" s="19" t="n">
        <v>891</v>
      </c>
      <c r="E74" s="18" t="n">
        <v>31.86414147</v>
      </c>
      <c r="F74" s="20" t="n">
        <v>1.85436728</v>
      </c>
      <c r="G74" s="18" t="n">
        <v>68.01314364</v>
      </c>
      <c r="H74" s="20" t="n">
        <v>1.8624059</v>
      </c>
      <c r="I74" s="18" t="n">
        <v>0</v>
      </c>
      <c r="J74" s="20" t="n">
        <v>0</v>
      </c>
      <c r="K74" s="18" t="n">
        <v>0.1227149</v>
      </c>
      <c r="L74" s="20" t="n">
        <v>0.12322068</v>
      </c>
      <c r="M74" s="18" t="n">
        <v>0</v>
      </c>
      <c r="N74" s="20" t="n">
        <v>0</v>
      </c>
      <c r="O74" s="18" t="n">
        <v>0</v>
      </c>
      <c r="P74" s="20" t="n">
        <v>0</v>
      </c>
      <c r="Q74" s="18" t="n">
        <v>0</v>
      </c>
      <c r="R74" s="20" t="n">
        <v>0</v>
      </c>
    </row>
    <row r="75" spans="1:18">
      <c r="A75" s="15" t="s">
        <v>635</v>
      </c>
      <c r="B75" s="17" t="n">
        <v>8249</v>
      </c>
      <c r="C75" s="18">
        <f>(7396.0/B75*100)</f>
        <v/>
      </c>
      <c r="D75" s="19" t="n">
        <v>853</v>
      </c>
      <c r="E75" s="18" t="n">
        <v>50.57300146</v>
      </c>
      <c r="F75" s="20" t="n">
        <v>2.55226008</v>
      </c>
      <c r="G75" s="18" t="n">
        <v>49.21007215</v>
      </c>
      <c r="H75" s="20" t="n">
        <v>2.53412697</v>
      </c>
      <c r="I75" s="18" t="n">
        <v>0</v>
      </c>
      <c r="J75" s="20" t="n">
        <v>0</v>
      </c>
      <c r="K75" s="18" t="n">
        <v>0.05206484</v>
      </c>
      <c r="L75" s="20" t="n">
        <v>0.04926803</v>
      </c>
      <c r="M75" s="18" t="n">
        <v>0</v>
      </c>
      <c r="N75" s="20" t="n">
        <v>0</v>
      </c>
      <c r="O75" s="18" t="n">
        <v>0</v>
      </c>
      <c r="P75" s="20" t="n">
        <v>0</v>
      </c>
      <c r="Q75" s="18" t="n">
        <v>0.16486155</v>
      </c>
      <c r="R75" s="20" t="n">
        <v>0.1162026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(4875.0/B77*100)</f>
        <v/>
      </c>
      <c r="D77" s="19" t="n">
        <v>500</v>
      </c>
      <c r="E77" s="18" t="n">
        <v>54.95836437</v>
      </c>
      <c r="F77" s="20" t="n">
        <v>2.00117164</v>
      </c>
      <c r="G77" s="18" t="n">
        <v>35.97690153</v>
      </c>
      <c r="H77" s="20" t="n">
        <v>1.65216064</v>
      </c>
      <c r="I77" s="18" t="n">
        <v>0</v>
      </c>
      <c r="J77" s="20" t="n">
        <v>0</v>
      </c>
      <c r="K77" s="18" t="n">
        <v>7.88853338</v>
      </c>
      <c r="L77" s="20" t="n">
        <v>1.13286352</v>
      </c>
      <c r="M77" s="18" t="n">
        <v>0</v>
      </c>
      <c r="N77" s="20" t="n">
        <v>0</v>
      </c>
      <c r="O77" s="18" t="n">
        <v>0</v>
      </c>
      <c r="P77" s="20" t="n">
        <v>0</v>
      </c>
      <c r="Q77" s="18" t="n">
        <v>1.17620072</v>
      </c>
      <c r="R77" s="20" t="n">
        <v>0.51516586</v>
      </c>
    </row>
    <row r="78" spans="1:18">
      <c r="A78" s="15" t="s">
        <v>638</v>
      </c>
      <c r="B78" s="17" t="n">
        <v>14167</v>
      </c>
      <c r="C78" s="18">
        <f>(12579.0/B78*100)</f>
        <v/>
      </c>
      <c r="D78" s="19" t="n">
        <v>1588</v>
      </c>
      <c r="E78" s="18" t="n">
        <v>46.38940684</v>
      </c>
      <c r="F78" s="20" t="n">
        <v>1.60943447</v>
      </c>
      <c r="G78" s="18" t="n">
        <v>52.19378944</v>
      </c>
      <c r="H78" s="20" t="n">
        <v>1.61748301</v>
      </c>
      <c r="I78" s="18" t="n">
        <v>0</v>
      </c>
      <c r="J78" s="20" t="n">
        <v>0</v>
      </c>
      <c r="K78" s="18" t="n">
        <v>1.11069093</v>
      </c>
      <c r="L78" s="20" t="n">
        <v>0.31125868</v>
      </c>
      <c r="M78" s="18" t="n">
        <v>0</v>
      </c>
      <c r="N78" s="20" t="n">
        <v>0</v>
      </c>
      <c r="O78" s="18" t="n">
        <v>0</v>
      </c>
      <c r="P78" s="20" t="n">
        <v>0</v>
      </c>
      <c r="Q78" s="18" t="n">
        <v>0.30611279</v>
      </c>
      <c r="R78" s="20" t="n">
        <v>0.14398877</v>
      </c>
    </row>
    <row r="79" spans="1:18">
      <c r="A79" s="15" t="s">
        <v>639</v>
      </c>
      <c r="B79" s="17" t="n">
        <v>6062</v>
      </c>
      <c r="C79" s="18">
        <f>(5466.0/B79*100)</f>
        <v/>
      </c>
      <c r="D79" s="19" t="n">
        <v>596</v>
      </c>
      <c r="E79" s="18" t="n">
        <v>39.39532295</v>
      </c>
      <c r="F79" s="20" t="n">
        <v>2.37894728</v>
      </c>
      <c r="G79" s="18" t="n">
        <v>56.09614674</v>
      </c>
      <c r="H79" s="20" t="n">
        <v>2.39853322</v>
      </c>
      <c r="I79" s="18" t="n">
        <v>0</v>
      </c>
      <c r="J79" s="20" t="n">
        <v>0</v>
      </c>
      <c r="K79" s="18" t="n">
        <v>3.84819396</v>
      </c>
      <c r="L79" s="20" t="n">
        <v>0.89761748</v>
      </c>
      <c r="M79" s="18" t="n">
        <v>0</v>
      </c>
      <c r="N79" s="20" t="n">
        <v>0</v>
      </c>
      <c r="O79" s="18" t="n">
        <v>0</v>
      </c>
      <c r="P79" s="20" t="n">
        <v>0</v>
      </c>
      <c r="Q79" s="18" t="n">
        <v>0.66033635</v>
      </c>
      <c r="R79" s="20" t="n">
        <v>0.32871799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(28852.0/B82*100)</f>
        <v/>
      </c>
      <c r="D82" s="19" t="n">
        <v>3478</v>
      </c>
      <c r="E82" s="18" t="n">
        <v>28.47782347</v>
      </c>
      <c r="F82" s="20" t="n">
        <v>1.21345938</v>
      </c>
      <c r="G82" s="18" t="n">
        <v>70.49374802</v>
      </c>
      <c r="H82" s="20" t="n">
        <v>1.25281117</v>
      </c>
      <c r="I82" s="18" t="n">
        <v>0</v>
      </c>
      <c r="J82" s="20" t="n">
        <v>0</v>
      </c>
      <c r="K82" s="18" t="n">
        <v>0.54021328</v>
      </c>
      <c r="L82" s="20" t="n">
        <v>0.11158748</v>
      </c>
      <c r="M82" s="18" t="n">
        <v>0</v>
      </c>
      <c r="N82" s="20" t="n">
        <v>0</v>
      </c>
      <c r="O82" s="18" t="n">
        <v>0</v>
      </c>
      <c r="P82" s="20" t="n">
        <v>0</v>
      </c>
      <c r="Q82" s="18" t="n">
        <v>0.48821523</v>
      </c>
      <c r="R82" s="20" t="n">
        <v>0.25120552</v>
      </c>
    </row>
    <row r="83" spans="1:18">
      <c r="A83" s="15" t="s">
        <v>643</v>
      </c>
      <c r="B83" s="17" t="n">
        <v>1652</v>
      </c>
      <c r="C83" s="18">
        <f>(1453.0/B83*100)</f>
        <v/>
      </c>
      <c r="D83" s="19" t="n">
        <v>199</v>
      </c>
      <c r="E83" s="18" t="n">
        <v>41.67750426</v>
      </c>
      <c r="F83" s="20" t="n">
        <v>3.65149899</v>
      </c>
      <c r="G83" s="18" t="n">
        <v>57.83958792</v>
      </c>
      <c r="H83" s="20" t="n">
        <v>3.73398538</v>
      </c>
      <c r="I83" s="18" t="n">
        <v>0</v>
      </c>
      <c r="J83" s="20" t="n">
        <v>0</v>
      </c>
      <c r="K83" s="18" t="n">
        <v>0.48290782</v>
      </c>
      <c r="L83" s="20" t="n">
        <v>0.47612487</v>
      </c>
      <c r="M83" s="18" t="n">
        <v>0</v>
      </c>
      <c r="N83" s="20" t="n">
        <v>0</v>
      </c>
      <c r="O83" s="18" t="n">
        <v>0</v>
      </c>
      <c r="P83" s="20" t="n">
        <v>0</v>
      </c>
      <c r="Q83" s="18" t="n">
        <v>0</v>
      </c>
      <c r="R83" s="20" t="n">
        <v>0</v>
      </c>
    </row>
    <row r="84" spans="1:18">
      <c r="A84" s="23" t="s">
        <v>644</v>
      </c>
      <c r="B84" s="24" t="n">
        <v>1887</v>
      </c>
      <c r="C84" s="25">
        <f>(1640.0/B84*100)</f>
        <v/>
      </c>
      <c r="D84" s="19" t="n">
        <v>247</v>
      </c>
      <c r="E84" s="18" t="n">
        <v>37.41069063</v>
      </c>
      <c r="F84" s="20" t="n">
        <v>3.23351808</v>
      </c>
      <c r="G84" s="18" t="n">
        <v>62.58930937</v>
      </c>
      <c r="H84" s="20" t="n">
        <v>3.23351808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(12965.0/B7*100)</f>
        <v/>
      </c>
      <c r="D7" s="19" t="n">
        <v>1565</v>
      </c>
      <c r="E7" s="18" t="n">
        <v>25.6295243</v>
      </c>
      <c r="F7" s="20" t="n">
        <v>1.21006288</v>
      </c>
      <c r="G7" s="18" t="n">
        <v>72.98749948</v>
      </c>
      <c r="H7" s="20" t="n">
        <v>1.2721358</v>
      </c>
      <c r="I7" s="18" t="n">
        <v>0</v>
      </c>
      <c r="J7" s="20" t="n">
        <v>0</v>
      </c>
      <c r="K7" s="18" t="n">
        <v>1.08756521</v>
      </c>
      <c r="L7" s="20" t="n">
        <v>0.2860221</v>
      </c>
      <c r="M7" s="18" t="n">
        <v>0</v>
      </c>
      <c r="N7" s="20" t="n">
        <v>0</v>
      </c>
      <c r="O7" s="18" t="n">
        <v>0</v>
      </c>
      <c r="P7" s="20" t="n">
        <v>0</v>
      </c>
      <c r="Q7" s="18" t="n">
        <v>0.29541102</v>
      </c>
      <c r="R7" s="20" t="n">
        <v>0.15366269</v>
      </c>
    </row>
    <row r="8" spans="1:18">
      <c r="A8" s="15" t="s">
        <v>566</v>
      </c>
      <c r="B8" s="17" t="n">
        <v>7007</v>
      </c>
      <c r="C8" s="18">
        <f>(6236.0/B8*100)</f>
        <v/>
      </c>
      <c r="D8" s="19" t="n">
        <v>771</v>
      </c>
      <c r="E8" s="18" t="n">
        <v>22.20428967</v>
      </c>
      <c r="F8" s="20" t="n">
        <v>1.80804186</v>
      </c>
      <c r="G8" s="18" t="n">
        <v>77.06816787</v>
      </c>
      <c r="H8" s="20" t="n">
        <v>1.90180765</v>
      </c>
      <c r="I8" s="18" t="n">
        <v>0</v>
      </c>
      <c r="J8" s="20" t="n">
        <v>0</v>
      </c>
      <c r="K8" s="18" t="n">
        <v>0.58525284</v>
      </c>
      <c r="L8" s="20" t="n">
        <v>0.27107252</v>
      </c>
      <c r="M8" s="18" t="n">
        <v>0</v>
      </c>
      <c r="N8" s="20" t="n">
        <v>0</v>
      </c>
      <c r="O8" s="18" t="n">
        <v>0</v>
      </c>
      <c r="P8" s="20" t="n">
        <v>0</v>
      </c>
      <c r="Q8" s="18" t="n">
        <v>0.14228962</v>
      </c>
      <c r="R8" s="20" t="n">
        <v>0.11267098</v>
      </c>
    </row>
    <row r="9" spans="1:18">
      <c r="A9" s="15" t="s">
        <v>567</v>
      </c>
      <c r="B9" s="17" t="n">
        <v>9651</v>
      </c>
      <c r="C9" s="18">
        <f>(8405.0/B9*100)</f>
        <v/>
      </c>
      <c r="D9" s="19" t="n">
        <v>1246</v>
      </c>
      <c r="E9" s="18" t="n">
        <v>36.43035095</v>
      </c>
      <c r="F9" s="20" t="n">
        <v>1.80362152</v>
      </c>
      <c r="G9" s="18" t="n">
        <v>61.28672989</v>
      </c>
      <c r="H9" s="20" t="n">
        <v>1.81270794</v>
      </c>
      <c r="I9" s="18" t="n">
        <v>0</v>
      </c>
      <c r="J9" s="20" t="n">
        <v>0</v>
      </c>
      <c r="K9" s="18" t="n">
        <v>1.51898325</v>
      </c>
      <c r="L9" s="20" t="n">
        <v>0.344767</v>
      </c>
      <c r="M9" s="18" t="n">
        <v>0</v>
      </c>
      <c r="N9" s="20" t="n">
        <v>0</v>
      </c>
      <c r="O9" s="18" t="n">
        <v>0</v>
      </c>
      <c r="P9" s="20" t="n">
        <v>0</v>
      </c>
      <c r="Q9" s="18" t="n">
        <v>0.7639359100000001</v>
      </c>
      <c r="R9" s="20" t="n">
        <v>0.32556173</v>
      </c>
    </row>
    <row r="10" spans="1:18">
      <c r="A10" s="15" t="s">
        <v>568</v>
      </c>
      <c r="B10" s="17" t="n">
        <v>20058</v>
      </c>
      <c r="C10" s="18">
        <f>(17850.0/B10*100)</f>
        <v/>
      </c>
      <c r="D10" s="19" t="n">
        <v>2208</v>
      </c>
      <c r="E10" s="18" t="n">
        <v>22.68658768</v>
      </c>
      <c r="F10" s="20" t="n">
        <v>1.30675789</v>
      </c>
      <c r="G10" s="18" t="n">
        <v>75.87718191</v>
      </c>
      <c r="H10" s="20" t="n">
        <v>1.33688546</v>
      </c>
      <c r="I10" s="18" t="n">
        <v>0</v>
      </c>
      <c r="J10" s="20" t="n">
        <v>0</v>
      </c>
      <c r="K10" s="18" t="n">
        <v>1.12308704</v>
      </c>
      <c r="L10" s="20" t="n">
        <v>0.30324898</v>
      </c>
      <c r="M10" s="18" t="n">
        <v>0</v>
      </c>
      <c r="N10" s="20" t="n">
        <v>0</v>
      </c>
      <c r="O10" s="18" t="n">
        <v>0</v>
      </c>
      <c r="P10" s="20" t="n">
        <v>0</v>
      </c>
      <c r="Q10" s="18" t="n">
        <v>0.31314336</v>
      </c>
      <c r="R10" s="20" t="n">
        <v>0.17189201</v>
      </c>
    </row>
    <row r="11" spans="1:18">
      <c r="A11" s="15" t="s">
        <v>569</v>
      </c>
      <c r="B11" s="17" t="n">
        <v>7053</v>
      </c>
      <c r="C11" s="18">
        <f>(6330.0/B11*100)</f>
        <v/>
      </c>
      <c r="D11" s="19" t="n">
        <v>723</v>
      </c>
      <c r="E11" s="18" t="n">
        <v>56.34560233</v>
      </c>
      <c r="F11" s="20" t="n">
        <v>1.97199866</v>
      </c>
      <c r="G11" s="18" t="n">
        <v>41.75152935</v>
      </c>
      <c r="H11" s="20" t="n">
        <v>1.88188059</v>
      </c>
      <c r="I11" s="18" t="n">
        <v>0</v>
      </c>
      <c r="J11" s="20" t="n">
        <v>0</v>
      </c>
      <c r="K11" s="18" t="n">
        <v>1.58148055</v>
      </c>
      <c r="L11" s="20" t="n">
        <v>0.86832774</v>
      </c>
      <c r="M11" s="18" t="n">
        <v>0</v>
      </c>
      <c r="N11" s="20" t="n">
        <v>0</v>
      </c>
      <c r="O11" s="18" t="n">
        <v>0</v>
      </c>
      <c r="P11" s="20" t="n">
        <v>0</v>
      </c>
      <c r="Q11" s="18" t="n">
        <v>0.32138776</v>
      </c>
      <c r="R11" s="20" t="n">
        <v>0.18964276</v>
      </c>
    </row>
    <row r="12" spans="1:18">
      <c r="A12" s="15" t="s">
        <v>570</v>
      </c>
      <c r="B12" s="17" t="n">
        <v>6894</v>
      </c>
      <c r="C12" s="18">
        <f>(6083.0/B12*100)</f>
        <v/>
      </c>
      <c r="D12" s="19" t="n">
        <v>811</v>
      </c>
      <c r="E12" s="18" t="n">
        <v>29.04468009</v>
      </c>
      <c r="F12" s="20" t="n">
        <v>2.96702813</v>
      </c>
      <c r="G12" s="18" t="n">
        <v>69.82732475</v>
      </c>
      <c r="H12" s="20" t="n">
        <v>3.17145998</v>
      </c>
      <c r="I12" s="18" t="n">
        <v>0</v>
      </c>
      <c r="J12" s="20" t="n">
        <v>0</v>
      </c>
      <c r="K12" s="18" t="n">
        <v>0.8774454699999999</v>
      </c>
      <c r="L12" s="20" t="n">
        <v>0.37328646</v>
      </c>
      <c r="M12" s="18" t="n">
        <v>0</v>
      </c>
      <c r="N12" s="20" t="n">
        <v>0</v>
      </c>
      <c r="O12" s="18" t="n">
        <v>0</v>
      </c>
      <c r="P12" s="20" t="n">
        <v>0</v>
      </c>
      <c r="Q12" s="18" t="n">
        <v>0.25054969</v>
      </c>
      <c r="R12" s="20" t="n">
        <v>0.20869137</v>
      </c>
    </row>
    <row r="13" spans="1:18">
      <c r="A13" s="15" t="s">
        <v>571</v>
      </c>
      <c r="B13" s="17" t="n">
        <v>7161</v>
      </c>
      <c r="C13" s="18">
        <f>(6100.0/B13*100)</f>
        <v/>
      </c>
      <c r="D13" s="19" t="n">
        <v>1061</v>
      </c>
      <c r="E13" s="18" t="n">
        <v>22.36979635</v>
      </c>
      <c r="F13" s="20" t="n">
        <v>1.35930277</v>
      </c>
      <c r="G13" s="18" t="n">
        <v>75.16774315000001</v>
      </c>
      <c r="H13" s="20" t="n">
        <v>1.44848026</v>
      </c>
      <c r="I13" s="18" t="n">
        <v>0</v>
      </c>
      <c r="J13" s="20" t="n">
        <v>0</v>
      </c>
      <c r="K13" s="18" t="n">
        <v>2.02100141</v>
      </c>
      <c r="L13" s="20" t="n">
        <v>0.6103758</v>
      </c>
      <c r="M13" s="18" t="n">
        <v>0</v>
      </c>
      <c r="N13" s="20" t="n">
        <v>0</v>
      </c>
      <c r="O13" s="18" t="n">
        <v>0</v>
      </c>
      <c r="P13" s="20" t="n">
        <v>0</v>
      </c>
      <c r="Q13" s="18" t="n">
        <v>0.44145909</v>
      </c>
      <c r="R13" s="20" t="n">
        <v>0.23633956</v>
      </c>
    </row>
    <row r="14" spans="1:18">
      <c r="A14" s="15" t="s">
        <v>572</v>
      </c>
      <c r="B14" s="17" t="n">
        <v>5587</v>
      </c>
      <c r="C14" s="18">
        <f>(4967.0/B14*100)</f>
        <v/>
      </c>
      <c r="D14" s="19" t="n">
        <v>620</v>
      </c>
      <c r="E14" s="18" t="n">
        <v>32.40004733</v>
      </c>
      <c r="F14" s="20" t="n">
        <v>1.84819033</v>
      </c>
      <c r="G14" s="18" t="n">
        <v>66.76397716</v>
      </c>
      <c r="H14" s="20" t="n">
        <v>1.80215015</v>
      </c>
      <c r="I14" s="18" t="n">
        <v>0</v>
      </c>
      <c r="J14" s="20" t="n">
        <v>0</v>
      </c>
      <c r="K14" s="18" t="n">
        <v>0.7166409500000001</v>
      </c>
      <c r="L14" s="20" t="n">
        <v>0.32759622</v>
      </c>
      <c r="M14" s="18" t="n">
        <v>0</v>
      </c>
      <c r="N14" s="20" t="n">
        <v>0</v>
      </c>
      <c r="O14" s="18" t="n">
        <v>0</v>
      </c>
      <c r="P14" s="20" t="n">
        <v>0</v>
      </c>
      <c r="Q14" s="18" t="n">
        <v>0.11933456</v>
      </c>
      <c r="R14" s="20" t="n">
        <v>0.12258748</v>
      </c>
    </row>
    <row r="15" spans="1:18">
      <c r="A15" s="15" t="s">
        <v>573</v>
      </c>
      <c r="B15" s="17" t="n">
        <v>5882</v>
      </c>
      <c r="C15" s="18">
        <f>(5194.0/B15*100)</f>
        <v/>
      </c>
      <c r="D15" s="19" t="n">
        <v>688</v>
      </c>
      <c r="E15" s="18" t="n">
        <v>28.99593486</v>
      </c>
      <c r="F15" s="20" t="n">
        <v>2.34711751</v>
      </c>
      <c r="G15" s="18" t="n">
        <v>69.44151454</v>
      </c>
      <c r="H15" s="20" t="n">
        <v>2.54084678</v>
      </c>
      <c r="I15" s="18" t="n">
        <v>0</v>
      </c>
      <c r="J15" s="20" t="n">
        <v>0</v>
      </c>
      <c r="K15" s="18" t="n">
        <v>1.26291281</v>
      </c>
      <c r="L15" s="20" t="n">
        <v>0.41751182</v>
      </c>
      <c r="M15" s="18" t="n">
        <v>0</v>
      </c>
      <c r="N15" s="20" t="n">
        <v>0</v>
      </c>
      <c r="O15" s="18" t="n">
        <v>0</v>
      </c>
      <c r="P15" s="20" t="n">
        <v>0</v>
      </c>
      <c r="Q15" s="18" t="n">
        <v>0.29963779</v>
      </c>
      <c r="R15" s="20" t="n">
        <v>0.31008257</v>
      </c>
    </row>
    <row r="16" spans="1:18">
      <c r="A16" s="15" t="s">
        <v>574</v>
      </c>
      <c r="B16" s="17" t="n">
        <v>6108</v>
      </c>
      <c r="C16" s="18">
        <f>(5439.0/B16*100)</f>
        <v/>
      </c>
      <c r="D16" s="19" t="n">
        <v>669</v>
      </c>
      <c r="E16" s="18" t="n">
        <v>27.73562958</v>
      </c>
      <c r="F16" s="20" t="n">
        <v>1.88120084</v>
      </c>
      <c r="G16" s="18" t="n">
        <v>67.93397885</v>
      </c>
      <c r="H16" s="20" t="n">
        <v>1.99472196</v>
      </c>
      <c r="I16" s="18" t="n">
        <v>0</v>
      </c>
      <c r="J16" s="20" t="n">
        <v>0</v>
      </c>
      <c r="K16" s="18" t="n">
        <v>3.40464699</v>
      </c>
      <c r="L16" s="20" t="n">
        <v>0.69735713</v>
      </c>
      <c r="M16" s="18" t="n">
        <v>0</v>
      </c>
      <c r="N16" s="20" t="n">
        <v>0</v>
      </c>
      <c r="O16" s="18" t="n">
        <v>0</v>
      </c>
      <c r="P16" s="20" t="n">
        <v>0</v>
      </c>
      <c r="Q16" s="18" t="n">
        <v>0.92574458</v>
      </c>
      <c r="R16" s="20" t="n">
        <v>0.39948875</v>
      </c>
    </row>
    <row r="17" spans="1:18">
      <c r="A17" s="15" t="s">
        <v>575</v>
      </c>
      <c r="B17" s="17" t="n">
        <v>6504</v>
      </c>
      <c r="C17" s="18">
        <f>(5682.0/B17*100)</f>
        <v/>
      </c>
      <c r="D17" s="19" t="n">
        <v>822</v>
      </c>
      <c r="E17" s="18" t="n">
        <v>21.32512099</v>
      </c>
      <c r="F17" s="20" t="n">
        <v>1.38955772</v>
      </c>
      <c r="G17" s="18" t="n">
        <v>75.84162643000001</v>
      </c>
      <c r="H17" s="20" t="n">
        <v>1.63507561</v>
      </c>
      <c r="I17" s="18" t="n">
        <v>0</v>
      </c>
      <c r="J17" s="20" t="n">
        <v>0</v>
      </c>
      <c r="K17" s="18" t="n">
        <v>1.90103423</v>
      </c>
      <c r="L17" s="20" t="n">
        <v>0.63670072</v>
      </c>
      <c r="M17" s="18" t="n">
        <v>0</v>
      </c>
      <c r="N17" s="20" t="n">
        <v>0</v>
      </c>
      <c r="O17" s="18" t="n">
        <v>0</v>
      </c>
      <c r="P17" s="20" t="n">
        <v>0</v>
      </c>
      <c r="Q17" s="18" t="n">
        <v>0.93221835</v>
      </c>
      <c r="R17" s="20" t="n">
        <v>0.29442771</v>
      </c>
    </row>
    <row r="18" spans="1:18">
      <c r="A18" s="15" t="s">
        <v>576</v>
      </c>
      <c r="B18" s="17" t="n">
        <v>5532</v>
      </c>
      <c r="C18" s="18">
        <f>(4917.0/B18*100)</f>
        <v/>
      </c>
      <c r="D18" s="19" t="n">
        <v>615</v>
      </c>
      <c r="E18" s="18" t="n">
        <v>32.89480992</v>
      </c>
      <c r="F18" s="20" t="n">
        <v>1.96229486</v>
      </c>
      <c r="G18" s="18" t="n">
        <v>65.73413423</v>
      </c>
      <c r="H18" s="20" t="n">
        <v>1.99488208</v>
      </c>
      <c r="I18" s="18" t="n">
        <v>0</v>
      </c>
      <c r="J18" s="20" t="n">
        <v>0</v>
      </c>
      <c r="K18" s="18" t="n">
        <v>1.2182584</v>
      </c>
      <c r="L18" s="20" t="n">
        <v>0.36775134</v>
      </c>
      <c r="M18" s="18" t="n">
        <v>0</v>
      </c>
      <c r="N18" s="20" t="n">
        <v>0</v>
      </c>
      <c r="O18" s="18" t="n">
        <v>0</v>
      </c>
      <c r="P18" s="20" t="n">
        <v>0</v>
      </c>
      <c r="Q18" s="18" t="n">
        <v>0.15279745</v>
      </c>
      <c r="R18" s="20" t="n">
        <v>0.15392379</v>
      </c>
    </row>
    <row r="19" spans="1:18">
      <c r="A19" s="15" t="s">
        <v>577</v>
      </c>
      <c r="B19" s="17" t="n">
        <v>5658</v>
      </c>
      <c r="C19" s="18">
        <f>(5056.0/B19*100)</f>
        <v/>
      </c>
      <c r="D19" s="19" t="n">
        <v>602</v>
      </c>
      <c r="E19" s="18" t="n">
        <v>28.87160907</v>
      </c>
      <c r="F19" s="20" t="n">
        <v>2.06584846</v>
      </c>
      <c r="G19" s="18" t="n">
        <v>71.12839092999999</v>
      </c>
      <c r="H19" s="20" t="n">
        <v>2.06584846</v>
      </c>
      <c r="I19" s="18" t="n">
        <v>0</v>
      </c>
      <c r="J19" s="20" t="n">
        <v>0</v>
      </c>
      <c r="K19" s="18" t="n">
        <v>0</v>
      </c>
      <c r="L19" s="20" t="n">
        <v>0</v>
      </c>
      <c r="M19" s="18" t="n">
        <v>0</v>
      </c>
      <c r="N19" s="20" t="n">
        <v>0</v>
      </c>
      <c r="O19" s="18" t="n">
        <v>0</v>
      </c>
      <c r="P19" s="20" t="n">
        <v>0</v>
      </c>
      <c r="Q19" s="18" t="n">
        <v>0</v>
      </c>
      <c r="R19" s="20" t="n">
        <v>0</v>
      </c>
    </row>
    <row r="20" spans="1:18">
      <c r="A20" s="15" t="s">
        <v>578</v>
      </c>
      <c r="B20" s="17" t="n">
        <v>3371</v>
      </c>
      <c r="C20" s="18">
        <f>(3023.0/B20*100)</f>
        <v/>
      </c>
      <c r="D20" s="19" t="n">
        <v>348</v>
      </c>
      <c r="E20" s="18" t="n">
        <v>40.46248288</v>
      </c>
      <c r="F20" s="20" t="n">
        <v>2.78781352</v>
      </c>
      <c r="G20" s="18" t="n">
        <v>58.51185993</v>
      </c>
      <c r="H20" s="20" t="n">
        <v>2.74138816</v>
      </c>
      <c r="I20" s="18" t="n">
        <v>0</v>
      </c>
      <c r="J20" s="20" t="n">
        <v>0</v>
      </c>
      <c r="K20" s="18" t="n">
        <v>1.02565719</v>
      </c>
      <c r="L20" s="20" t="n">
        <v>0.49958881</v>
      </c>
      <c r="M20" s="18" t="n">
        <v>0</v>
      </c>
      <c r="N20" s="20" t="n">
        <v>0</v>
      </c>
      <c r="O20" s="18" t="n">
        <v>0</v>
      </c>
      <c r="P20" s="20" t="n">
        <v>0</v>
      </c>
      <c r="Q20" s="18" t="n">
        <v>0</v>
      </c>
      <c r="R20" s="20" t="n">
        <v>0</v>
      </c>
    </row>
    <row r="21" spans="1:18">
      <c r="A21" s="15" t="s">
        <v>579</v>
      </c>
      <c r="B21" s="17" t="n">
        <v>5741</v>
      </c>
      <c r="C21" s="18">
        <f>(5083.0/B21*100)</f>
        <v/>
      </c>
      <c r="D21" s="19" t="n">
        <v>658</v>
      </c>
      <c r="E21" s="18" t="n">
        <v>25.72741788</v>
      </c>
      <c r="F21" s="20" t="n">
        <v>1.88837834</v>
      </c>
      <c r="G21" s="18" t="n">
        <v>73.13340813000001</v>
      </c>
      <c r="H21" s="20" t="n">
        <v>1.96112966</v>
      </c>
      <c r="I21" s="18" t="n">
        <v>0</v>
      </c>
      <c r="J21" s="20" t="n">
        <v>0</v>
      </c>
      <c r="K21" s="18" t="n">
        <v>0.75619272</v>
      </c>
      <c r="L21" s="20" t="n">
        <v>0.34440742</v>
      </c>
      <c r="M21" s="18" t="n">
        <v>0</v>
      </c>
      <c r="N21" s="20" t="n">
        <v>0</v>
      </c>
      <c r="O21" s="18" t="n">
        <v>0</v>
      </c>
      <c r="P21" s="20" t="n">
        <v>0</v>
      </c>
      <c r="Q21" s="18" t="n">
        <v>0.38298127</v>
      </c>
      <c r="R21" s="20" t="n">
        <v>0.31264267</v>
      </c>
    </row>
    <row r="22" spans="1:18">
      <c r="A22" s="15" t="s">
        <v>580</v>
      </c>
      <c r="B22" s="17" t="n">
        <v>6598</v>
      </c>
      <c r="C22" s="18">
        <f>(5898.0/B22*100)</f>
        <v/>
      </c>
      <c r="D22" s="19" t="n">
        <v>700</v>
      </c>
      <c r="E22" s="18" t="n">
        <v>39.03586254</v>
      </c>
      <c r="F22" s="20" t="n">
        <v>2.01902171</v>
      </c>
      <c r="G22" s="18" t="n">
        <v>58.87686308</v>
      </c>
      <c r="H22" s="20" t="n">
        <v>2.04000213</v>
      </c>
      <c r="I22" s="18" t="n">
        <v>0</v>
      </c>
      <c r="J22" s="20" t="n">
        <v>0</v>
      </c>
      <c r="K22" s="18" t="n">
        <v>2.08727438</v>
      </c>
      <c r="L22" s="20" t="n">
        <v>0.61815197</v>
      </c>
      <c r="M22" s="18" t="n">
        <v>0</v>
      </c>
      <c r="N22" s="20" t="n">
        <v>0</v>
      </c>
      <c r="O22" s="18" t="n">
        <v>0</v>
      </c>
      <c r="P22" s="20" t="n">
        <v>0</v>
      </c>
      <c r="Q22" s="18" t="n">
        <v>0</v>
      </c>
      <c r="R22" s="20" t="n">
        <v>0</v>
      </c>
    </row>
    <row r="23" spans="1:18">
      <c r="A23" s="15" t="s">
        <v>581</v>
      </c>
      <c r="B23" s="17" t="n">
        <v>11583</v>
      </c>
      <c r="C23" s="18">
        <f>(10336.0/B23*100)</f>
        <v/>
      </c>
      <c r="D23" s="19" t="n">
        <v>1247</v>
      </c>
      <c r="E23" s="18" t="n">
        <v>30.3537458</v>
      </c>
      <c r="F23" s="20" t="n">
        <v>2.20043103</v>
      </c>
      <c r="G23" s="18" t="n">
        <v>67.36651147000001</v>
      </c>
      <c r="H23" s="20" t="n">
        <v>2.18498424</v>
      </c>
      <c r="I23" s="18" t="n">
        <v>0</v>
      </c>
      <c r="J23" s="20" t="n">
        <v>0</v>
      </c>
      <c r="K23" s="18" t="n">
        <v>1.98035641</v>
      </c>
      <c r="L23" s="20" t="n">
        <v>0.65369131</v>
      </c>
      <c r="M23" s="18" t="n">
        <v>0</v>
      </c>
      <c r="N23" s="20" t="n">
        <v>0</v>
      </c>
      <c r="O23" s="18" t="n">
        <v>0</v>
      </c>
      <c r="P23" s="20" t="n">
        <v>0</v>
      </c>
      <c r="Q23" s="18" t="n">
        <v>0.29938632</v>
      </c>
      <c r="R23" s="20" t="n">
        <v>0.21513485</v>
      </c>
    </row>
    <row r="24" spans="1:18">
      <c r="A24" s="15" t="s">
        <v>582</v>
      </c>
      <c r="B24" s="17" t="n">
        <v>6647</v>
      </c>
      <c r="C24" s="18">
        <f>(5931.0/B24*100)</f>
        <v/>
      </c>
      <c r="D24" s="19" t="n">
        <v>716</v>
      </c>
      <c r="E24" s="18" t="n">
        <v>14.61075926</v>
      </c>
      <c r="F24" s="20" t="n">
        <v>1.25272118</v>
      </c>
      <c r="G24" s="18" t="n">
        <v>83.83702581</v>
      </c>
      <c r="H24" s="20" t="n">
        <v>1.31602723</v>
      </c>
      <c r="I24" s="18" t="n">
        <v>0</v>
      </c>
      <c r="J24" s="20" t="n">
        <v>0</v>
      </c>
      <c r="K24" s="18" t="n">
        <v>1.28610768</v>
      </c>
      <c r="L24" s="20" t="n">
        <v>0.36765005</v>
      </c>
      <c r="M24" s="18" t="n">
        <v>0</v>
      </c>
      <c r="N24" s="20" t="n">
        <v>0</v>
      </c>
      <c r="O24" s="18" t="n">
        <v>0</v>
      </c>
      <c r="P24" s="20" t="n">
        <v>0</v>
      </c>
      <c r="Q24" s="18" t="n">
        <v>0.26610725</v>
      </c>
      <c r="R24" s="20" t="n">
        <v>0.18793941</v>
      </c>
    </row>
    <row r="25" spans="1:18">
      <c r="A25" s="15" t="s">
        <v>583</v>
      </c>
      <c r="B25" s="17" t="n">
        <v>5581</v>
      </c>
      <c r="C25" s="18">
        <f>(4966.0/B25*100)</f>
        <v/>
      </c>
      <c r="D25" s="19" t="n">
        <v>615</v>
      </c>
      <c r="E25" s="18" t="n">
        <v>37.13457231</v>
      </c>
      <c r="F25" s="20" t="n">
        <v>1.93286333</v>
      </c>
      <c r="G25" s="18" t="n">
        <v>62.43735547</v>
      </c>
      <c r="H25" s="20" t="n">
        <v>1.97056387</v>
      </c>
      <c r="I25" s="18" t="n">
        <v>0</v>
      </c>
      <c r="J25" s="20" t="n">
        <v>0</v>
      </c>
      <c r="K25" s="18" t="n">
        <v>0.42807223</v>
      </c>
      <c r="L25" s="20" t="n">
        <v>0.25037646</v>
      </c>
      <c r="M25" s="18" t="n">
        <v>0</v>
      </c>
      <c r="N25" s="20" t="n">
        <v>0</v>
      </c>
      <c r="O25" s="18" t="n">
        <v>0</v>
      </c>
      <c r="P25" s="20" t="n">
        <v>0</v>
      </c>
      <c r="Q25" s="18" t="n">
        <v>0</v>
      </c>
      <c r="R25" s="20" t="n">
        <v>0</v>
      </c>
    </row>
    <row r="26" spans="1:18">
      <c r="A26" s="15" t="s">
        <v>584</v>
      </c>
      <c r="B26" s="17" t="n">
        <v>4869</v>
      </c>
      <c r="C26" s="18">
        <f>(4335.0/B26*100)</f>
        <v/>
      </c>
      <c r="D26" s="19" t="n">
        <v>534</v>
      </c>
      <c r="E26" s="18" t="n">
        <v>26.02807722</v>
      </c>
      <c r="F26" s="20" t="n">
        <v>2.35392197</v>
      </c>
      <c r="G26" s="18" t="n">
        <v>73.7551758</v>
      </c>
      <c r="H26" s="20" t="n">
        <v>2.40736982</v>
      </c>
      <c r="I26" s="18" t="n">
        <v>0</v>
      </c>
      <c r="J26" s="20" t="n">
        <v>0</v>
      </c>
      <c r="K26" s="18" t="n">
        <v>0.21674698</v>
      </c>
      <c r="L26" s="20" t="n">
        <v>0.21732064</v>
      </c>
      <c r="M26" s="18" t="n">
        <v>0</v>
      </c>
      <c r="N26" s="20" t="n">
        <v>0</v>
      </c>
      <c r="O26" s="18" t="n">
        <v>0</v>
      </c>
      <c r="P26" s="20" t="n">
        <v>0</v>
      </c>
      <c r="Q26" s="18" t="n">
        <v>0</v>
      </c>
      <c r="R26" s="20" t="n">
        <v>0</v>
      </c>
    </row>
    <row r="27" spans="1:18">
      <c r="A27" s="15" t="s">
        <v>585</v>
      </c>
      <c r="B27" s="17" t="n">
        <v>5299</v>
      </c>
      <c r="C27" s="18">
        <f>(4740.0/B27*100)</f>
        <v/>
      </c>
      <c r="D27" s="19" t="n">
        <v>559</v>
      </c>
      <c r="E27" s="18" t="n">
        <v>30.95493779</v>
      </c>
      <c r="F27" s="20" t="n">
        <v>1.94059155</v>
      </c>
      <c r="G27" s="18" t="n">
        <v>67.80374501999999</v>
      </c>
      <c r="H27" s="20" t="n">
        <v>1.94321961</v>
      </c>
      <c r="I27" s="18" t="n">
        <v>0</v>
      </c>
      <c r="J27" s="20" t="n">
        <v>0</v>
      </c>
      <c r="K27" s="18" t="n">
        <v>1.24131719</v>
      </c>
      <c r="L27" s="20" t="n">
        <v>0.46337534</v>
      </c>
      <c r="M27" s="18" t="n">
        <v>0</v>
      </c>
      <c r="N27" s="20" t="n">
        <v>0</v>
      </c>
      <c r="O27" s="18" t="n">
        <v>0</v>
      </c>
      <c r="P27" s="20" t="n">
        <v>0</v>
      </c>
      <c r="Q27" s="18" t="n">
        <v>0</v>
      </c>
      <c r="R27" s="20" t="n">
        <v>0</v>
      </c>
    </row>
    <row r="28" spans="1:18">
      <c r="A28" s="15" t="s">
        <v>586</v>
      </c>
      <c r="B28" s="17" t="n">
        <v>7568</v>
      </c>
      <c r="C28" s="18">
        <f>(6844.0/B28*100)</f>
        <v/>
      </c>
      <c r="D28" s="19" t="n">
        <v>724</v>
      </c>
      <c r="E28" s="18" t="n">
        <v>40.42821198</v>
      </c>
      <c r="F28" s="20" t="n">
        <v>2.33570655</v>
      </c>
      <c r="G28" s="18" t="n">
        <v>58.13023897</v>
      </c>
      <c r="H28" s="20" t="n">
        <v>2.43701429</v>
      </c>
      <c r="I28" s="18" t="n">
        <v>0</v>
      </c>
      <c r="J28" s="20" t="n">
        <v>0</v>
      </c>
      <c r="K28" s="18" t="n">
        <v>1.32228272</v>
      </c>
      <c r="L28" s="20" t="n">
        <v>0.51335266</v>
      </c>
      <c r="M28" s="18" t="n">
        <v>0</v>
      </c>
      <c r="N28" s="20" t="n">
        <v>0</v>
      </c>
      <c r="O28" s="18" t="n">
        <v>0</v>
      </c>
      <c r="P28" s="20" t="n">
        <v>0</v>
      </c>
      <c r="Q28" s="18" t="n">
        <v>0.11926634</v>
      </c>
      <c r="R28" s="20" t="n">
        <v>0.11735574</v>
      </c>
    </row>
    <row r="29" spans="1:18">
      <c r="A29" s="15" t="s">
        <v>587</v>
      </c>
      <c r="B29" s="17" t="n">
        <v>5385</v>
      </c>
      <c r="C29" s="18">
        <f>(4659.0/B29*100)</f>
        <v/>
      </c>
      <c r="D29" s="19" t="n">
        <v>726</v>
      </c>
      <c r="E29" s="18" t="n">
        <v>38.45081049</v>
      </c>
      <c r="F29" s="20" t="n">
        <v>1.66501984</v>
      </c>
      <c r="G29" s="18" t="n">
        <v>60.36247296</v>
      </c>
      <c r="H29" s="20" t="n">
        <v>1.72634308</v>
      </c>
      <c r="I29" s="18" t="n">
        <v>0</v>
      </c>
      <c r="J29" s="20" t="n">
        <v>0</v>
      </c>
      <c r="K29" s="18" t="n">
        <v>0.545463</v>
      </c>
      <c r="L29" s="20" t="n">
        <v>0.27280085</v>
      </c>
      <c r="M29" s="18" t="n">
        <v>0</v>
      </c>
      <c r="N29" s="20" t="n">
        <v>0</v>
      </c>
      <c r="O29" s="18" t="n">
        <v>0</v>
      </c>
      <c r="P29" s="20" t="n">
        <v>0</v>
      </c>
      <c r="Q29" s="18" t="n">
        <v>0.6412535499999999</v>
      </c>
      <c r="R29" s="20" t="n">
        <v>0.3454815</v>
      </c>
    </row>
    <row r="30" spans="1:18">
      <c r="A30" s="15" t="s">
        <v>588</v>
      </c>
      <c r="B30" s="17" t="n">
        <v>4520</v>
      </c>
      <c r="C30" s="18">
        <f>(4031.0/B30*100)</f>
        <v/>
      </c>
      <c r="D30" s="19" t="n">
        <v>489</v>
      </c>
      <c r="E30" s="18" t="n">
        <v>25.06107766</v>
      </c>
      <c r="F30" s="20" t="n">
        <v>1.82634805</v>
      </c>
      <c r="G30" s="18" t="n">
        <v>72.56128391</v>
      </c>
      <c r="H30" s="20" t="n">
        <v>1.96787046</v>
      </c>
      <c r="I30" s="18" t="n">
        <v>0</v>
      </c>
      <c r="J30" s="20" t="n">
        <v>0</v>
      </c>
      <c r="K30" s="18" t="n">
        <v>1.71732493</v>
      </c>
      <c r="L30" s="20" t="n">
        <v>0.5473304</v>
      </c>
      <c r="M30" s="18" t="n">
        <v>0</v>
      </c>
      <c r="N30" s="20" t="n">
        <v>0</v>
      </c>
      <c r="O30" s="18" t="n">
        <v>0</v>
      </c>
      <c r="P30" s="20" t="n">
        <v>0</v>
      </c>
      <c r="Q30" s="18" t="n">
        <v>0.6603135</v>
      </c>
      <c r="R30" s="20" t="n">
        <v>0.5066655</v>
      </c>
    </row>
    <row r="31" spans="1:18">
      <c r="A31" s="15" t="s">
        <v>589</v>
      </c>
      <c r="B31" s="17" t="n">
        <v>5456</v>
      </c>
      <c r="C31" s="18">
        <f>(4866.0/B31*100)</f>
        <v/>
      </c>
      <c r="D31" s="19" t="n">
        <v>590</v>
      </c>
      <c r="E31" s="18" t="n">
        <v>22.17492596</v>
      </c>
      <c r="F31" s="20" t="n">
        <v>1.94303072</v>
      </c>
      <c r="G31" s="18" t="n">
        <v>74.9151928</v>
      </c>
      <c r="H31" s="20" t="n">
        <v>2.14064334</v>
      </c>
      <c r="I31" s="18" t="n">
        <v>0</v>
      </c>
      <c r="J31" s="20" t="n">
        <v>0</v>
      </c>
      <c r="K31" s="18" t="n">
        <v>2.13002584</v>
      </c>
      <c r="L31" s="20" t="n">
        <v>0.63303116</v>
      </c>
      <c r="M31" s="18" t="n">
        <v>0</v>
      </c>
      <c r="N31" s="20" t="n">
        <v>0</v>
      </c>
      <c r="O31" s="18" t="n">
        <v>0</v>
      </c>
      <c r="P31" s="20" t="n">
        <v>0</v>
      </c>
      <c r="Q31" s="18" t="n">
        <v>0.7798554</v>
      </c>
      <c r="R31" s="20" t="n">
        <v>0.34968629</v>
      </c>
    </row>
    <row r="32" spans="1:18">
      <c r="A32" s="15" t="s">
        <v>590</v>
      </c>
      <c r="B32" s="17" t="n">
        <v>4478</v>
      </c>
      <c r="C32" s="18">
        <f>(3990.0/B32*100)</f>
        <v/>
      </c>
      <c r="D32" s="19" t="n">
        <v>488</v>
      </c>
      <c r="E32" s="18" t="n">
        <v>21.5379379</v>
      </c>
      <c r="F32" s="20" t="n">
        <v>1.97018961</v>
      </c>
      <c r="G32" s="18" t="n">
        <v>78.0934697</v>
      </c>
      <c r="H32" s="20" t="n">
        <v>2.0036943</v>
      </c>
      <c r="I32" s="18" t="n">
        <v>0</v>
      </c>
      <c r="J32" s="20" t="n">
        <v>0</v>
      </c>
      <c r="K32" s="18" t="n">
        <v>0.3685924</v>
      </c>
      <c r="L32" s="20" t="n">
        <v>0.26164793</v>
      </c>
      <c r="M32" s="18" t="n">
        <v>0</v>
      </c>
      <c r="N32" s="20" t="n">
        <v>0</v>
      </c>
      <c r="O32" s="18" t="n">
        <v>0</v>
      </c>
      <c r="P32" s="20" t="n">
        <v>0</v>
      </c>
      <c r="Q32" s="18" t="n">
        <v>0</v>
      </c>
      <c r="R32" s="20" t="n">
        <v>0</v>
      </c>
    </row>
    <row r="33" spans="1:18">
      <c r="A33" s="15" t="s">
        <v>591</v>
      </c>
      <c r="B33" s="17" t="n">
        <v>7325</v>
      </c>
      <c r="C33" s="18">
        <f>(6595.0/B33*100)</f>
        <v/>
      </c>
      <c r="D33" s="19" t="n">
        <v>730</v>
      </c>
      <c r="E33" s="18" t="n">
        <v>26.33107815</v>
      </c>
      <c r="F33" s="20" t="n">
        <v>1.74728742</v>
      </c>
      <c r="G33" s="18" t="n">
        <v>71.92034705</v>
      </c>
      <c r="H33" s="20" t="n">
        <v>1.92877983</v>
      </c>
      <c r="I33" s="18" t="n">
        <v>0</v>
      </c>
      <c r="J33" s="20" t="n">
        <v>0</v>
      </c>
      <c r="K33" s="18" t="n">
        <v>1.56867579</v>
      </c>
      <c r="L33" s="20" t="n">
        <v>0.65226563</v>
      </c>
      <c r="M33" s="18" t="n">
        <v>0</v>
      </c>
      <c r="N33" s="20" t="n">
        <v>0</v>
      </c>
      <c r="O33" s="18" t="n">
        <v>0</v>
      </c>
      <c r="P33" s="20" t="n">
        <v>0</v>
      </c>
      <c r="Q33" s="18" t="n">
        <v>0.17989901</v>
      </c>
      <c r="R33" s="20" t="n">
        <v>0.11378108</v>
      </c>
    </row>
    <row r="34" spans="1:18">
      <c r="A34" s="15" t="s">
        <v>592</v>
      </c>
      <c r="B34" s="17" t="n">
        <v>6350</v>
      </c>
      <c r="C34" s="18">
        <f>(5582.0/B34*100)</f>
        <v/>
      </c>
      <c r="D34" s="19" t="n">
        <v>768</v>
      </c>
      <c r="E34" s="18" t="n">
        <v>45.97352079</v>
      </c>
      <c r="F34" s="20" t="n">
        <v>2.86956215</v>
      </c>
      <c r="G34" s="18" t="n">
        <v>52.64044057</v>
      </c>
      <c r="H34" s="20" t="n">
        <v>2.95217201</v>
      </c>
      <c r="I34" s="18" t="n">
        <v>0</v>
      </c>
      <c r="J34" s="20" t="n">
        <v>0</v>
      </c>
      <c r="K34" s="18" t="n">
        <v>0.61174175</v>
      </c>
      <c r="L34" s="20" t="n">
        <v>0.31040588</v>
      </c>
      <c r="M34" s="18" t="n">
        <v>0</v>
      </c>
      <c r="N34" s="20" t="n">
        <v>0</v>
      </c>
      <c r="O34" s="18" t="n">
        <v>0</v>
      </c>
      <c r="P34" s="20" t="n">
        <v>0</v>
      </c>
      <c r="Q34" s="18" t="n">
        <v>0.77429689</v>
      </c>
      <c r="R34" s="20" t="n">
        <v>0.33270233</v>
      </c>
    </row>
    <row r="35" spans="1:18">
      <c r="A35" s="15" t="s">
        <v>593</v>
      </c>
      <c r="B35" s="17" t="n">
        <v>6406</v>
      </c>
      <c r="C35" s="18">
        <f>(5579.0/B35*100)</f>
        <v/>
      </c>
      <c r="D35" s="19" t="n">
        <v>827</v>
      </c>
      <c r="E35" s="18" t="n">
        <v>29.88343593</v>
      </c>
      <c r="F35" s="20" t="n">
        <v>1.7616079</v>
      </c>
      <c r="G35" s="18" t="n">
        <v>70.06205803</v>
      </c>
      <c r="H35" s="20" t="n">
        <v>1.76580765</v>
      </c>
      <c r="I35" s="18" t="n">
        <v>0</v>
      </c>
      <c r="J35" s="20" t="n">
        <v>0</v>
      </c>
      <c r="K35" s="18" t="n">
        <v>0</v>
      </c>
      <c r="L35" s="20" t="n">
        <v>0</v>
      </c>
      <c r="M35" s="18" t="n">
        <v>0</v>
      </c>
      <c r="N35" s="20" t="n">
        <v>0</v>
      </c>
      <c r="O35" s="18" t="n">
        <v>0</v>
      </c>
      <c r="P35" s="20" t="n">
        <v>0</v>
      </c>
      <c r="Q35" s="18" t="n">
        <v>0.05450604</v>
      </c>
      <c r="R35" s="20" t="n">
        <v>0.05473144</v>
      </c>
    </row>
    <row r="36" spans="1:18">
      <c r="A36" s="15" t="s">
        <v>594</v>
      </c>
      <c r="B36" s="17" t="n">
        <v>6736</v>
      </c>
      <c r="C36" s="18">
        <f>(6005.0/B36*100)</f>
        <v/>
      </c>
      <c r="D36" s="19" t="n">
        <v>731</v>
      </c>
      <c r="E36" s="18" t="n">
        <v>19.40642161</v>
      </c>
      <c r="F36" s="20" t="n">
        <v>1.54528838</v>
      </c>
      <c r="G36" s="18" t="n">
        <v>79.37839434999999</v>
      </c>
      <c r="H36" s="20" t="n">
        <v>1.53155499</v>
      </c>
      <c r="I36" s="18" t="n">
        <v>0</v>
      </c>
      <c r="J36" s="20" t="n">
        <v>0</v>
      </c>
      <c r="K36" s="18" t="n">
        <v>1.21518405</v>
      </c>
      <c r="L36" s="20" t="n">
        <v>0.45089393</v>
      </c>
      <c r="M36" s="18" t="n">
        <v>0</v>
      </c>
      <c r="N36" s="20" t="n">
        <v>0</v>
      </c>
      <c r="O36" s="18" t="n">
        <v>0</v>
      </c>
      <c r="P36" s="20" t="n">
        <v>0</v>
      </c>
      <c r="Q36" s="18" t="n">
        <v>0</v>
      </c>
      <c r="R36" s="20" t="n">
        <v>0</v>
      </c>
    </row>
    <row r="37" spans="1:18">
      <c r="A37" s="15" t="s">
        <v>595</v>
      </c>
      <c r="B37" s="17" t="n">
        <v>5458</v>
      </c>
      <c r="C37" s="18">
        <f>(4893.0/B37*100)</f>
        <v/>
      </c>
      <c r="D37" s="19" t="n">
        <v>565</v>
      </c>
      <c r="E37" s="18" t="n">
        <v>37.8526839</v>
      </c>
      <c r="F37" s="20" t="n">
        <v>2.13815792</v>
      </c>
      <c r="G37" s="18" t="n">
        <v>58.89213101</v>
      </c>
      <c r="H37" s="20" t="n">
        <v>2.29422737</v>
      </c>
      <c r="I37" s="18" t="n">
        <v>0</v>
      </c>
      <c r="J37" s="20" t="n">
        <v>0</v>
      </c>
      <c r="K37" s="18" t="n">
        <v>2.03850466</v>
      </c>
      <c r="L37" s="20" t="n">
        <v>0.66452722</v>
      </c>
      <c r="M37" s="18" t="n">
        <v>0</v>
      </c>
      <c r="N37" s="20" t="n">
        <v>0</v>
      </c>
      <c r="O37" s="18" t="n">
        <v>0</v>
      </c>
      <c r="P37" s="20" t="n">
        <v>0</v>
      </c>
      <c r="Q37" s="18" t="n">
        <v>1.21668042</v>
      </c>
      <c r="R37" s="20" t="n">
        <v>0.45456439</v>
      </c>
    </row>
    <row r="38" spans="1:18">
      <c r="A38" s="15" t="s">
        <v>596</v>
      </c>
      <c r="B38" s="17" t="n">
        <v>5860</v>
      </c>
      <c r="C38" s="18">
        <f>(5243.0/B38*100)</f>
        <v/>
      </c>
      <c r="D38" s="19" t="n">
        <v>617</v>
      </c>
      <c r="E38" s="18" t="n">
        <v>26.47224945</v>
      </c>
      <c r="F38" s="20" t="n">
        <v>2.11920875</v>
      </c>
      <c r="G38" s="18" t="n">
        <v>72.3355444</v>
      </c>
      <c r="H38" s="20" t="n">
        <v>2.19563103</v>
      </c>
      <c r="I38" s="18" t="n">
        <v>0</v>
      </c>
      <c r="J38" s="20" t="n">
        <v>0</v>
      </c>
      <c r="K38" s="18" t="n">
        <v>0.7630371500000001</v>
      </c>
      <c r="L38" s="20" t="n">
        <v>0.37106069</v>
      </c>
      <c r="M38" s="18" t="n">
        <v>0</v>
      </c>
      <c r="N38" s="20" t="n">
        <v>0</v>
      </c>
      <c r="O38" s="18" t="n">
        <v>0</v>
      </c>
      <c r="P38" s="20" t="n">
        <v>0</v>
      </c>
      <c r="Q38" s="18" t="n">
        <v>0.429169</v>
      </c>
      <c r="R38" s="20" t="n">
        <v>0.45349703</v>
      </c>
    </row>
    <row r="39" spans="1:18">
      <c r="A39" s="15" t="s">
        <v>597</v>
      </c>
      <c r="B39" s="17" t="n">
        <v>5895</v>
      </c>
      <c r="C39" s="18">
        <f>(5241.0/B39*100)</f>
        <v/>
      </c>
      <c r="D39" s="19" t="n">
        <v>654</v>
      </c>
      <c r="E39" s="18" t="n">
        <v>42.87828245</v>
      </c>
      <c r="F39" s="20" t="n">
        <v>2.55250245</v>
      </c>
      <c r="G39" s="18" t="n">
        <v>55.93518503</v>
      </c>
      <c r="H39" s="20" t="n">
        <v>2.58130219</v>
      </c>
      <c r="I39" s="18" t="n">
        <v>0</v>
      </c>
      <c r="J39" s="20" t="n">
        <v>0</v>
      </c>
      <c r="K39" s="18" t="n">
        <v>0.54632608</v>
      </c>
      <c r="L39" s="20" t="n">
        <v>0.21327598</v>
      </c>
      <c r="M39" s="18" t="n">
        <v>0</v>
      </c>
      <c r="N39" s="20" t="n">
        <v>0</v>
      </c>
      <c r="O39" s="18" t="n">
        <v>0</v>
      </c>
      <c r="P39" s="20" t="n">
        <v>0</v>
      </c>
      <c r="Q39" s="18" t="n">
        <v>0.64020643</v>
      </c>
      <c r="R39" s="20" t="n">
        <v>0.61744633</v>
      </c>
    </row>
    <row r="40" spans="1:18">
      <c r="A40" s="15" t="s">
        <v>598</v>
      </c>
      <c r="B40" s="17" t="n">
        <v>14157</v>
      </c>
      <c r="C40" s="18">
        <f>(12535.0/B40*100)</f>
        <v/>
      </c>
      <c r="D40" s="19" t="n">
        <v>1622</v>
      </c>
      <c r="E40" s="18" t="n">
        <v>25.62940774</v>
      </c>
      <c r="F40" s="20" t="n">
        <v>1.66816112</v>
      </c>
      <c r="G40" s="18" t="n">
        <v>73.15422782</v>
      </c>
      <c r="H40" s="20" t="n">
        <v>1.67596621</v>
      </c>
      <c r="I40" s="18" t="n">
        <v>0</v>
      </c>
      <c r="J40" s="20" t="n">
        <v>0</v>
      </c>
      <c r="K40" s="18" t="n">
        <v>0.7813442900000001</v>
      </c>
      <c r="L40" s="20" t="n">
        <v>0.2741493</v>
      </c>
      <c r="M40" s="18" t="n">
        <v>0</v>
      </c>
      <c r="N40" s="20" t="n">
        <v>0</v>
      </c>
      <c r="O40" s="18" t="n">
        <v>0</v>
      </c>
      <c r="P40" s="20" t="n">
        <v>0</v>
      </c>
      <c r="Q40" s="18" t="n">
        <v>0.43502014</v>
      </c>
      <c r="R40" s="20" t="n">
        <v>0.29739736</v>
      </c>
    </row>
    <row r="41" spans="1:18">
      <c r="A41" s="15" t="s">
        <v>599</v>
      </c>
      <c r="B41" s="17" t="n">
        <v>5712</v>
      </c>
      <c r="C41" s="18">
        <f>(5079.0/B41*100)</f>
        <v/>
      </c>
      <c r="D41" s="19" t="n">
        <v>633</v>
      </c>
      <c r="E41" s="18" t="n">
        <v>25.0431386</v>
      </c>
      <c r="F41" s="20" t="n">
        <v>1.46278652</v>
      </c>
      <c r="G41" s="18" t="n">
        <v>73.82075484000001</v>
      </c>
      <c r="H41" s="20" t="n">
        <v>1.56083951</v>
      </c>
      <c r="I41" s="18" t="n">
        <v>0</v>
      </c>
      <c r="J41" s="20" t="n">
        <v>0</v>
      </c>
      <c r="K41" s="18" t="n">
        <v>1.00507948</v>
      </c>
      <c r="L41" s="20" t="n">
        <v>0.39175911</v>
      </c>
      <c r="M41" s="18" t="n">
        <v>0</v>
      </c>
      <c r="N41" s="20" t="n">
        <v>0</v>
      </c>
      <c r="O41" s="18" t="n">
        <v>0</v>
      </c>
      <c r="P41" s="20" t="n">
        <v>0</v>
      </c>
      <c r="Q41" s="18" t="n">
        <v>0.13102709</v>
      </c>
      <c r="R41" s="20" t="n">
        <v>0.13045322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(21404.0/B46*100)</f>
        <v/>
      </c>
      <c r="D46" s="19" t="n">
        <v>1737</v>
      </c>
      <c r="E46" s="18" t="n">
        <v>61.6513616</v>
      </c>
      <c r="F46" s="20" t="n">
        <v>1.62823034</v>
      </c>
      <c r="G46" s="18" t="n">
        <v>33.99059618</v>
      </c>
      <c r="H46" s="20" t="n">
        <v>1.79504572</v>
      </c>
      <c r="I46" s="18" t="n">
        <v>0</v>
      </c>
      <c r="J46" s="20" t="n">
        <v>0</v>
      </c>
      <c r="K46" s="18" t="n">
        <v>3.25824076</v>
      </c>
      <c r="L46" s="20" t="n">
        <v>0.59258359</v>
      </c>
      <c r="M46" s="18" t="n">
        <v>0</v>
      </c>
      <c r="N46" s="20" t="n">
        <v>0</v>
      </c>
      <c r="O46" s="18" t="n">
        <v>0</v>
      </c>
      <c r="P46" s="20" t="n">
        <v>0</v>
      </c>
      <c r="Q46" s="18" t="n">
        <v>1.09980146</v>
      </c>
      <c r="R46" s="20" t="n">
        <v>0.32570361</v>
      </c>
    </row>
    <row r="47" spans="1:18">
      <c r="A47" s="15" t="s">
        <v>606</v>
      </c>
      <c r="B47" s="17" t="n">
        <v>5928</v>
      </c>
      <c r="C47" s="18">
        <f>(5328.0/B47*100)</f>
        <v/>
      </c>
      <c r="D47" s="19" t="n">
        <v>600</v>
      </c>
      <c r="E47" s="18" t="n">
        <v>49.90933226</v>
      </c>
      <c r="F47" s="20" t="n">
        <v>2.09318378</v>
      </c>
      <c r="G47" s="18" t="n">
        <v>47.51285372</v>
      </c>
      <c r="H47" s="20" t="n">
        <v>2.0698751</v>
      </c>
      <c r="I47" s="18" t="n">
        <v>0</v>
      </c>
      <c r="J47" s="20" t="n">
        <v>0</v>
      </c>
      <c r="K47" s="18" t="n">
        <v>2.11181895</v>
      </c>
      <c r="L47" s="20" t="n">
        <v>0.5966565700000001</v>
      </c>
      <c r="M47" s="18" t="n">
        <v>0</v>
      </c>
      <c r="N47" s="20" t="n">
        <v>0</v>
      </c>
      <c r="O47" s="18" t="n">
        <v>0</v>
      </c>
      <c r="P47" s="20" t="n">
        <v>0</v>
      </c>
      <c r="Q47" s="18" t="n">
        <v>0.46599508</v>
      </c>
      <c r="R47" s="20" t="n">
        <v>0.27230935</v>
      </c>
    </row>
    <row r="48" spans="1:18">
      <c r="A48" s="15" t="s">
        <v>607</v>
      </c>
      <c r="B48" s="17" t="n">
        <v>9841</v>
      </c>
      <c r="C48" s="18">
        <f>(8775.0/B48*100)</f>
        <v/>
      </c>
      <c r="D48" s="19" t="n">
        <v>1066</v>
      </c>
      <c r="E48" s="18" t="n">
        <v>18.41371801</v>
      </c>
      <c r="F48" s="20" t="n">
        <v>1.56705472</v>
      </c>
      <c r="G48" s="18" t="n">
        <v>80.81323215</v>
      </c>
      <c r="H48" s="20" t="n">
        <v>1.59211937</v>
      </c>
      <c r="I48" s="18" t="n">
        <v>0</v>
      </c>
      <c r="J48" s="20" t="n">
        <v>0</v>
      </c>
      <c r="K48" s="18" t="n">
        <v>0.6308098599999999</v>
      </c>
      <c r="L48" s="20" t="n">
        <v>0.39753508</v>
      </c>
      <c r="M48" s="18" t="n">
        <v>0</v>
      </c>
      <c r="N48" s="20" t="n">
        <v>0</v>
      </c>
      <c r="O48" s="18" t="n">
        <v>0</v>
      </c>
      <c r="P48" s="20" t="n">
        <v>0</v>
      </c>
      <c r="Q48" s="18" t="n">
        <v>0.14223998</v>
      </c>
      <c r="R48" s="20" t="n">
        <v>0.1424202</v>
      </c>
    </row>
    <row r="49" spans="1:18">
      <c r="A49" s="15" t="s">
        <v>608</v>
      </c>
      <c r="B49" s="17" t="n">
        <v>11795</v>
      </c>
      <c r="C49" s="18">
        <f>(10583.0/B49*100)</f>
        <v/>
      </c>
      <c r="D49" s="19" t="n">
        <v>1212</v>
      </c>
      <c r="E49" s="18" t="n">
        <v>27.54900353</v>
      </c>
      <c r="F49" s="20" t="n">
        <v>1.71983235</v>
      </c>
      <c r="G49" s="18" t="n">
        <v>68.26992199999999</v>
      </c>
      <c r="H49" s="20" t="n">
        <v>1.76452176</v>
      </c>
      <c r="I49" s="18" t="n">
        <v>0</v>
      </c>
      <c r="J49" s="20" t="n">
        <v>0</v>
      </c>
      <c r="K49" s="18" t="n">
        <v>4.01716557</v>
      </c>
      <c r="L49" s="20" t="n">
        <v>0.91058817</v>
      </c>
      <c r="M49" s="18" t="n">
        <v>0</v>
      </c>
      <c r="N49" s="20" t="n">
        <v>0</v>
      </c>
      <c r="O49" s="18" t="n">
        <v>0</v>
      </c>
      <c r="P49" s="20" t="n">
        <v>0</v>
      </c>
      <c r="Q49" s="18" t="n">
        <v>0.16390891</v>
      </c>
      <c r="R49" s="20" t="n">
        <v>0.16142084</v>
      </c>
    </row>
    <row r="50" spans="1:18">
      <c r="A50" s="15" t="s">
        <v>609</v>
      </c>
      <c r="B50" s="17" t="n">
        <v>6866</v>
      </c>
      <c r="C50" s="18">
        <f>(5539.0/B50*100)</f>
        <v/>
      </c>
      <c r="D50" s="19" t="n">
        <v>1327</v>
      </c>
      <c r="E50" s="18" t="n">
        <v>31.13154687</v>
      </c>
      <c r="F50" s="20" t="n">
        <v>1.63404857</v>
      </c>
      <c r="G50" s="18" t="n">
        <v>67.4310199</v>
      </c>
      <c r="H50" s="20" t="n">
        <v>1.6362718</v>
      </c>
      <c r="I50" s="18" t="n">
        <v>0</v>
      </c>
      <c r="J50" s="20" t="n">
        <v>0</v>
      </c>
      <c r="K50" s="18" t="n">
        <v>0.85078532</v>
      </c>
      <c r="L50" s="20" t="n">
        <v>0.29807452</v>
      </c>
      <c r="M50" s="18" t="n">
        <v>0</v>
      </c>
      <c r="N50" s="20" t="n">
        <v>0</v>
      </c>
      <c r="O50" s="18" t="n">
        <v>0</v>
      </c>
      <c r="P50" s="20" t="n">
        <v>0</v>
      </c>
      <c r="Q50" s="18" t="n">
        <v>0.5866479100000001</v>
      </c>
      <c r="R50" s="20" t="n">
        <v>0.21176496</v>
      </c>
    </row>
    <row r="51" spans="1:18">
      <c r="A51" s="15" t="s">
        <v>610</v>
      </c>
      <c r="B51" s="17" t="n">
        <v>5809</v>
      </c>
      <c r="C51" s="18">
        <f>(5207.0/B51*100)</f>
        <v/>
      </c>
      <c r="D51" s="19" t="n">
        <v>602</v>
      </c>
      <c r="E51" s="18" t="n">
        <v>29.83424418</v>
      </c>
      <c r="F51" s="20" t="n">
        <v>1.68188566</v>
      </c>
      <c r="G51" s="18" t="n">
        <v>69.73867413000001</v>
      </c>
      <c r="H51" s="20" t="n">
        <v>1.67666433</v>
      </c>
      <c r="I51" s="18" t="n">
        <v>0</v>
      </c>
      <c r="J51" s="20" t="n">
        <v>0</v>
      </c>
      <c r="K51" s="18" t="n">
        <v>0.23344986</v>
      </c>
      <c r="L51" s="20" t="n">
        <v>0.23363495</v>
      </c>
      <c r="M51" s="18" t="n">
        <v>0</v>
      </c>
      <c r="N51" s="20" t="n">
        <v>0</v>
      </c>
      <c r="O51" s="18" t="n">
        <v>0</v>
      </c>
      <c r="P51" s="20" t="n">
        <v>0</v>
      </c>
      <c r="Q51" s="18" t="n">
        <v>0.19363183</v>
      </c>
      <c r="R51" s="20" t="n">
        <v>0.19347429</v>
      </c>
    </row>
    <row r="52" spans="1:18">
      <c r="A52" s="15" t="s">
        <v>611</v>
      </c>
      <c r="B52" s="17" t="n">
        <v>5571</v>
      </c>
      <c r="C52" s="18">
        <f>(4972.0/B52*100)</f>
        <v/>
      </c>
      <c r="D52" s="19" t="n">
        <v>599</v>
      </c>
      <c r="E52" s="18" t="n">
        <v>34.37451353</v>
      </c>
      <c r="F52" s="20" t="n">
        <v>2.21496843</v>
      </c>
      <c r="G52" s="18" t="n">
        <v>64.05800094</v>
      </c>
      <c r="H52" s="20" t="n">
        <v>2.27864252</v>
      </c>
      <c r="I52" s="18" t="n">
        <v>0</v>
      </c>
      <c r="J52" s="20" t="n">
        <v>0</v>
      </c>
      <c r="K52" s="18" t="n">
        <v>0.60347241</v>
      </c>
      <c r="L52" s="20" t="n">
        <v>0.3243699</v>
      </c>
      <c r="M52" s="18" t="n">
        <v>0</v>
      </c>
      <c r="N52" s="20" t="n">
        <v>0</v>
      </c>
      <c r="O52" s="18" t="n">
        <v>0</v>
      </c>
      <c r="P52" s="20" t="n">
        <v>0</v>
      </c>
      <c r="Q52" s="18" t="n">
        <v>0.96401311</v>
      </c>
      <c r="R52" s="20" t="n">
        <v>0.44091957</v>
      </c>
    </row>
    <row r="53" spans="1:18">
      <c r="A53" s="15" t="s">
        <v>612</v>
      </c>
      <c r="B53" s="17" t="n">
        <v>4740</v>
      </c>
      <c r="C53" s="18">
        <f>(4227.0/B53*100)</f>
        <v/>
      </c>
      <c r="D53" s="19" t="n">
        <v>513</v>
      </c>
      <c r="E53" s="18" t="n">
        <v>56.12894358</v>
      </c>
      <c r="F53" s="20" t="n">
        <v>2.4462979</v>
      </c>
      <c r="G53" s="18" t="n">
        <v>18.94228942</v>
      </c>
      <c r="H53" s="20" t="n">
        <v>1.55948885</v>
      </c>
      <c r="I53" s="18" t="n">
        <v>0</v>
      </c>
      <c r="J53" s="20" t="n">
        <v>0</v>
      </c>
      <c r="K53" s="18" t="n">
        <v>24.04756961</v>
      </c>
      <c r="L53" s="20" t="n">
        <v>2.10617777</v>
      </c>
      <c r="M53" s="18" t="n">
        <v>0</v>
      </c>
      <c r="N53" s="20" t="n">
        <v>0</v>
      </c>
      <c r="O53" s="18" t="n">
        <v>0</v>
      </c>
      <c r="P53" s="20" t="n">
        <v>0</v>
      </c>
      <c r="Q53" s="18" t="n">
        <v>0.88119738</v>
      </c>
      <c r="R53" s="20" t="n">
        <v>0.48819906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(4780.0/B55*100)</f>
        <v/>
      </c>
      <c r="D55" s="19" t="n">
        <v>579</v>
      </c>
      <c r="E55" s="18" t="n">
        <v>20.3461304</v>
      </c>
      <c r="F55" s="20" t="n">
        <v>1.87004029</v>
      </c>
      <c r="G55" s="18" t="n">
        <v>79.07163275000001</v>
      </c>
      <c r="H55" s="20" t="n">
        <v>1.92229392</v>
      </c>
      <c r="I55" s="18" t="n">
        <v>0</v>
      </c>
      <c r="J55" s="20" t="n">
        <v>0</v>
      </c>
      <c r="K55" s="18" t="n">
        <v>0.46333281</v>
      </c>
      <c r="L55" s="20" t="n">
        <v>0.34352285</v>
      </c>
      <c r="M55" s="18" t="n">
        <v>0</v>
      </c>
      <c r="N55" s="20" t="n">
        <v>0</v>
      </c>
      <c r="O55" s="18" t="n">
        <v>0</v>
      </c>
      <c r="P55" s="20" t="n">
        <v>0</v>
      </c>
      <c r="Q55" s="18" t="n">
        <v>0.11890404</v>
      </c>
      <c r="R55" s="20" t="n">
        <v>0.11924252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(5836.0/B61*100)</f>
        <v/>
      </c>
      <c r="D61" s="19" t="n">
        <v>689</v>
      </c>
      <c r="E61" s="18" t="n">
        <v>35.81516583</v>
      </c>
      <c r="F61" s="20" t="n">
        <v>2.18082706</v>
      </c>
      <c r="G61" s="18" t="n">
        <v>63.3894081</v>
      </c>
      <c r="H61" s="20" t="n">
        <v>2.17207586</v>
      </c>
      <c r="I61" s="18" t="n">
        <v>0</v>
      </c>
      <c r="J61" s="20" t="n">
        <v>0</v>
      </c>
      <c r="K61" s="18" t="n">
        <v>0.68761651</v>
      </c>
      <c r="L61" s="20" t="n">
        <v>0.33614219</v>
      </c>
      <c r="M61" s="18" t="n">
        <v>0</v>
      </c>
      <c r="N61" s="20" t="n">
        <v>0</v>
      </c>
      <c r="O61" s="18" t="n">
        <v>0</v>
      </c>
      <c r="P61" s="20" t="n">
        <v>0</v>
      </c>
      <c r="Q61" s="18" t="n">
        <v>0.10780956</v>
      </c>
      <c r="R61" s="20" t="n">
        <v>0.1112081</v>
      </c>
    </row>
    <row r="62" spans="1:18">
      <c r="A62" s="15" t="s">
        <v>622</v>
      </c>
      <c r="B62" s="17" t="n">
        <v>4476</v>
      </c>
      <c r="C62" s="18">
        <f>(3985.0/B62*100)</f>
        <v/>
      </c>
      <c r="D62" s="19" t="n">
        <v>491</v>
      </c>
      <c r="E62" s="18" t="n">
        <v>16.48321373</v>
      </c>
      <c r="F62" s="20" t="n">
        <v>1.67958514</v>
      </c>
      <c r="G62" s="18" t="n">
        <v>83.51678627</v>
      </c>
      <c r="H62" s="20" t="n">
        <v>1.67958514</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(5094.0/B67*100)</f>
        <v/>
      </c>
      <c r="D67" s="19" t="n">
        <v>571</v>
      </c>
      <c r="E67" s="18" t="n">
        <v>57.10524112</v>
      </c>
      <c r="F67" s="20" t="n">
        <v>1.93879065</v>
      </c>
      <c r="G67" s="18" t="n">
        <v>39.9895894</v>
      </c>
      <c r="H67" s="20" t="n">
        <v>1.84247587</v>
      </c>
      <c r="I67" s="18" t="n">
        <v>0</v>
      </c>
      <c r="J67" s="20" t="n">
        <v>0</v>
      </c>
      <c r="K67" s="18" t="n">
        <v>1.89956354</v>
      </c>
      <c r="L67" s="20" t="n">
        <v>0.56892088</v>
      </c>
      <c r="M67" s="18" t="n">
        <v>0</v>
      </c>
      <c r="N67" s="20" t="n">
        <v>0</v>
      </c>
      <c r="O67" s="18" t="n">
        <v>0</v>
      </c>
      <c r="P67" s="20" t="n">
        <v>0</v>
      </c>
      <c r="Q67" s="18" t="n">
        <v>1.00560594</v>
      </c>
      <c r="R67" s="20" t="n">
        <v>0.42294698</v>
      </c>
    </row>
    <row r="68" spans="1:18">
      <c r="A68" s="15" t="s">
        <v>628</v>
      </c>
      <c r="B68" s="17" t="n">
        <v>6971</v>
      </c>
      <c r="C68" s="18">
        <f>(6393.0/B68*100)</f>
        <v/>
      </c>
      <c r="D68" s="19" t="n">
        <v>578</v>
      </c>
      <c r="E68" s="18" t="n">
        <v>53.84049751</v>
      </c>
      <c r="F68" s="20" t="n">
        <v>2.05449322</v>
      </c>
      <c r="G68" s="18" t="n">
        <v>45.65024658</v>
      </c>
      <c r="H68" s="20" t="n">
        <v>2.06808127</v>
      </c>
      <c r="I68" s="18" t="n">
        <v>0</v>
      </c>
      <c r="J68" s="20" t="n">
        <v>0</v>
      </c>
      <c r="K68" s="18" t="n">
        <v>0.50925591</v>
      </c>
      <c r="L68" s="20" t="n">
        <v>0.30358166</v>
      </c>
      <c r="M68" s="18" t="n">
        <v>0</v>
      </c>
      <c r="N68" s="20" t="n">
        <v>0</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(10754.0/B70*100)</f>
        <v/>
      </c>
      <c r="D70" s="19" t="n">
        <v>1329</v>
      </c>
      <c r="E70" s="18" t="n">
        <v>45.46664786</v>
      </c>
      <c r="F70" s="20" t="n">
        <v>1.33561899</v>
      </c>
      <c r="G70" s="18" t="n">
        <v>48.2909383</v>
      </c>
      <c r="H70" s="20" t="n">
        <v>1.41029119</v>
      </c>
      <c r="I70" s="18" t="n">
        <v>0</v>
      </c>
      <c r="J70" s="20" t="n">
        <v>0</v>
      </c>
      <c r="K70" s="18" t="n">
        <v>5.76596055</v>
      </c>
      <c r="L70" s="20" t="n">
        <v>0.69322242</v>
      </c>
      <c r="M70" s="18" t="n">
        <v>0</v>
      </c>
      <c r="N70" s="20" t="n">
        <v>0</v>
      </c>
      <c r="O70" s="18" t="n">
        <v>0</v>
      </c>
      <c r="P70" s="20" t="n">
        <v>0</v>
      </c>
      <c r="Q70" s="18" t="n">
        <v>0.47645329</v>
      </c>
      <c r="R70" s="20" t="n">
        <v>0.16868186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(5450.0/B72*100)</f>
        <v/>
      </c>
      <c r="D72" s="19" t="n">
        <v>586</v>
      </c>
      <c r="E72" s="18" t="n">
        <v>33.99939219</v>
      </c>
      <c r="F72" s="20" t="n">
        <v>2.40980049</v>
      </c>
      <c r="G72" s="18" t="n">
        <v>64.81020949000001</v>
      </c>
      <c r="H72" s="20" t="n">
        <v>2.25420715</v>
      </c>
      <c r="I72" s="18" t="n">
        <v>0</v>
      </c>
      <c r="J72" s="20" t="n">
        <v>0</v>
      </c>
      <c r="K72" s="18" t="n">
        <v>0.80586084</v>
      </c>
      <c r="L72" s="20" t="n">
        <v>0.33581333</v>
      </c>
      <c r="M72" s="18" t="n">
        <v>0</v>
      </c>
      <c r="N72" s="20" t="n">
        <v>0</v>
      </c>
      <c r="O72" s="18" t="n">
        <v>0</v>
      </c>
      <c r="P72" s="20" t="n">
        <v>0</v>
      </c>
      <c r="Q72" s="18" t="n">
        <v>0.38453748</v>
      </c>
      <c r="R72" s="20" t="n">
        <v>0.26663298</v>
      </c>
    </row>
    <row r="73" spans="1:18">
      <c r="A73" s="15" t="s">
        <v>633</v>
      </c>
      <c r="B73" s="17" t="n">
        <v>6115</v>
      </c>
      <c r="C73" s="18">
        <f>(5436.0/B73*100)</f>
        <v/>
      </c>
      <c r="D73" s="19" t="n">
        <v>679</v>
      </c>
      <c r="E73" s="18" t="n">
        <v>25.89610142</v>
      </c>
      <c r="F73" s="20" t="n">
        <v>2.02989252</v>
      </c>
      <c r="G73" s="18" t="n">
        <v>73.40646667999999</v>
      </c>
      <c r="H73" s="20" t="n">
        <v>2.0713406</v>
      </c>
      <c r="I73" s="18" t="n">
        <v>0</v>
      </c>
      <c r="J73" s="20" t="n">
        <v>0</v>
      </c>
      <c r="K73" s="18" t="n">
        <v>0.298685</v>
      </c>
      <c r="L73" s="20" t="n">
        <v>0.21396226</v>
      </c>
      <c r="M73" s="18" t="n">
        <v>0</v>
      </c>
      <c r="N73" s="20" t="n">
        <v>0</v>
      </c>
      <c r="O73" s="18" t="n">
        <v>0</v>
      </c>
      <c r="P73" s="20" t="n">
        <v>0</v>
      </c>
      <c r="Q73" s="18" t="n">
        <v>0.39874689</v>
      </c>
      <c r="R73" s="20" t="n">
        <v>0.25720984</v>
      </c>
    </row>
    <row r="74" spans="1:18">
      <c r="A74" s="15" t="s">
        <v>634</v>
      </c>
      <c r="B74" s="17" t="n">
        <v>7708</v>
      </c>
      <c r="C74" s="18">
        <f>(6818.0/B74*100)</f>
        <v/>
      </c>
      <c r="D74" s="19" t="n">
        <v>890</v>
      </c>
      <c r="E74" s="18" t="n">
        <v>26.82569554</v>
      </c>
      <c r="F74" s="20" t="n">
        <v>1.52791195</v>
      </c>
      <c r="G74" s="18" t="n">
        <v>72.82906758999999</v>
      </c>
      <c r="H74" s="20" t="n">
        <v>1.50409835</v>
      </c>
      <c r="I74" s="18" t="n">
        <v>0</v>
      </c>
      <c r="J74" s="20" t="n">
        <v>0</v>
      </c>
      <c r="K74" s="18" t="n">
        <v>0.23325853</v>
      </c>
      <c r="L74" s="20" t="n">
        <v>0.14726106</v>
      </c>
      <c r="M74" s="18" t="n">
        <v>0</v>
      </c>
      <c r="N74" s="20" t="n">
        <v>0</v>
      </c>
      <c r="O74" s="18" t="n">
        <v>0</v>
      </c>
      <c r="P74" s="20" t="n">
        <v>0</v>
      </c>
      <c r="Q74" s="18" t="n">
        <v>0.11197834</v>
      </c>
      <c r="R74" s="20" t="n">
        <v>0.11164799</v>
      </c>
    </row>
    <row r="75" spans="1:18">
      <c r="A75" s="15" t="s">
        <v>635</v>
      </c>
      <c r="B75" s="17" t="n">
        <v>8249</v>
      </c>
      <c r="C75" s="18">
        <f>(7404.0/B75*100)</f>
        <v/>
      </c>
      <c r="D75" s="19" t="n">
        <v>845</v>
      </c>
      <c r="E75" s="18" t="n">
        <v>36.89200049</v>
      </c>
      <c r="F75" s="20" t="n">
        <v>2.23969573</v>
      </c>
      <c r="G75" s="18" t="n">
        <v>62.72047889</v>
      </c>
      <c r="H75" s="20" t="n">
        <v>2.25634005</v>
      </c>
      <c r="I75" s="18" t="n">
        <v>0</v>
      </c>
      <c r="J75" s="20" t="n">
        <v>0</v>
      </c>
      <c r="K75" s="18" t="n">
        <v>0.05247266</v>
      </c>
      <c r="L75" s="20" t="n">
        <v>0.0496544</v>
      </c>
      <c r="M75" s="18" t="n">
        <v>0</v>
      </c>
      <c r="N75" s="20" t="n">
        <v>0</v>
      </c>
      <c r="O75" s="18" t="n">
        <v>0</v>
      </c>
      <c r="P75" s="20" t="n">
        <v>0</v>
      </c>
      <c r="Q75" s="18" t="n">
        <v>0.33504796</v>
      </c>
      <c r="R75" s="20" t="n">
        <v>0.20267437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(4876.0/B77*100)</f>
        <v/>
      </c>
      <c r="D77" s="19" t="n">
        <v>499</v>
      </c>
      <c r="E77" s="18" t="n">
        <v>45.02664072</v>
      </c>
      <c r="F77" s="20" t="n">
        <v>2.17640345</v>
      </c>
      <c r="G77" s="18" t="n">
        <v>45.63509716</v>
      </c>
      <c r="H77" s="20" t="n">
        <v>2.05210731</v>
      </c>
      <c r="I77" s="18" t="n">
        <v>0</v>
      </c>
      <c r="J77" s="20" t="n">
        <v>0</v>
      </c>
      <c r="K77" s="18" t="n">
        <v>8.31729625</v>
      </c>
      <c r="L77" s="20" t="n">
        <v>1.17183377</v>
      </c>
      <c r="M77" s="18" t="n">
        <v>0</v>
      </c>
      <c r="N77" s="20" t="n">
        <v>0</v>
      </c>
      <c r="O77" s="18" t="n">
        <v>0</v>
      </c>
      <c r="P77" s="20" t="n">
        <v>0</v>
      </c>
      <c r="Q77" s="18" t="n">
        <v>1.02096587</v>
      </c>
      <c r="R77" s="20" t="n">
        <v>0.45539316</v>
      </c>
    </row>
    <row r="78" spans="1:18">
      <c r="A78" s="15" t="s">
        <v>638</v>
      </c>
      <c r="B78" s="17" t="n">
        <v>14167</v>
      </c>
      <c r="C78" s="18">
        <f>(12579.0/B78*100)</f>
        <v/>
      </c>
      <c r="D78" s="19" t="n">
        <v>1588</v>
      </c>
      <c r="E78" s="18" t="n">
        <v>43.82258561</v>
      </c>
      <c r="F78" s="20" t="n">
        <v>1.67631476</v>
      </c>
      <c r="G78" s="18" t="n">
        <v>54.54050221</v>
      </c>
      <c r="H78" s="20" t="n">
        <v>1.56329868</v>
      </c>
      <c r="I78" s="18" t="n">
        <v>0</v>
      </c>
      <c r="J78" s="20" t="n">
        <v>0</v>
      </c>
      <c r="K78" s="18" t="n">
        <v>1.42733911</v>
      </c>
      <c r="L78" s="20" t="n">
        <v>0.35138218</v>
      </c>
      <c r="M78" s="18" t="n">
        <v>0</v>
      </c>
      <c r="N78" s="20" t="n">
        <v>0</v>
      </c>
      <c r="O78" s="18" t="n">
        <v>0</v>
      </c>
      <c r="P78" s="20" t="n">
        <v>0</v>
      </c>
      <c r="Q78" s="18" t="n">
        <v>0.20957307</v>
      </c>
      <c r="R78" s="20" t="n">
        <v>0.09489905999999999</v>
      </c>
    </row>
    <row r="79" spans="1:18">
      <c r="A79" s="15" t="s">
        <v>639</v>
      </c>
      <c r="B79" s="17" t="n">
        <v>6062</v>
      </c>
      <c r="C79" s="18">
        <f>(5468.0/B79*100)</f>
        <v/>
      </c>
      <c r="D79" s="19" t="n">
        <v>594</v>
      </c>
      <c r="E79" s="18" t="n">
        <v>35.37153664</v>
      </c>
      <c r="F79" s="20" t="n">
        <v>2.07912703</v>
      </c>
      <c r="G79" s="18" t="n">
        <v>59.02327743</v>
      </c>
      <c r="H79" s="20" t="n">
        <v>2.3191764</v>
      </c>
      <c r="I79" s="18" t="n">
        <v>0</v>
      </c>
      <c r="J79" s="20" t="n">
        <v>0</v>
      </c>
      <c r="K79" s="18" t="n">
        <v>4.32116537</v>
      </c>
      <c r="L79" s="20" t="n">
        <v>0.98948431</v>
      </c>
      <c r="M79" s="18" t="n">
        <v>0</v>
      </c>
      <c r="N79" s="20" t="n">
        <v>0</v>
      </c>
      <c r="O79" s="18" t="n">
        <v>0</v>
      </c>
      <c r="P79" s="20" t="n">
        <v>0</v>
      </c>
      <c r="Q79" s="18" t="n">
        <v>1.28402056</v>
      </c>
      <c r="R79" s="20" t="n">
        <v>0.53067622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(28857.0/B82*100)</f>
        <v/>
      </c>
      <c r="D82" s="19" t="n">
        <v>3473</v>
      </c>
      <c r="E82" s="18" t="n">
        <v>20.76861805</v>
      </c>
      <c r="F82" s="20" t="n">
        <v>0.9155872</v>
      </c>
      <c r="G82" s="18" t="n">
        <v>78.15523095</v>
      </c>
      <c r="H82" s="20" t="n">
        <v>0.91325112</v>
      </c>
      <c r="I82" s="18" t="n">
        <v>0</v>
      </c>
      <c r="J82" s="20" t="n">
        <v>0</v>
      </c>
      <c r="K82" s="18" t="n">
        <v>0.86351795</v>
      </c>
      <c r="L82" s="20" t="n">
        <v>0.16295324</v>
      </c>
      <c r="M82" s="18" t="n">
        <v>0</v>
      </c>
      <c r="N82" s="20" t="n">
        <v>0</v>
      </c>
      <c r="O82" s="18" t="n">
        <v>0</v>
      </c>
      <c r="P82" s="20" t="n">
        <v>0</v>
      </c>
      <c r="Q82" s="18" t="n">
        <v>0.21263305</v>
      </c>
      <c r="R82" s="20" t="n">
        <v>0.0848115</v>
      </c>
    </row>
    <row r="83" spans="1:18">
      <c r="A83" s="15" t="s">
        <v>643</v>
      </c>
      <c r="B83" s="17" t="n">
        <v>1652</v>
      </c>
      <c r="C83" s="18">
        <f>(1455.0/B83*100)</f>
        <v/>
      </c>
      <c r="D83" s="19" t="n">
        <v>197</v>
      </c>
      <c r="E83" s="18" t="n">
        <v>28.53267836</v>
      </c>
      <c r="F83" s="20" t="n">
        <v>2.91886481</v>
      </c>
      <c r="G83" s="18" t="n">
        <v>70.97966129</v>
      </c>
      <c r="H83" s="20" t="n">
        <v>2.89916016</v>
      </c>
      <c r="I83" s="18" t="n">
        <v>0</v>
      </c>
      <c r="J83" s="20" t="n">
        <v>0</v>
      </c>
      <c r="K83" s="18" t="n">
        <v>0.48766035</v>
      </c>
      <c r="L83" s="20" t="n">
        <v>0.48087386</v>
      </c>
      <c r="M83" s="18" t="n">
        <v>0</v>
      </c>
      <c r="N83" s="20" t="n">
        <v>0</v>
      </c>
      <c r="O83" s="18" t="n">
        <v>0</v>
      </c>
      <c r="P83" s="20" t="n">
        <v>0</v>
      </c>
      <c r="Q83" s="18" t="n">
        <v>0</v>
      </c>
      <c r="R83" s="20" t="n">
        <v>0</v>
      </c>
    </row>
    <row r="84" spans="1:18">
      <c r="A84" s="23" t="s">
        <v>644</v>
      </c>
      <c r="B84" s="24" t="n">
        <v>1887</v>
      </c>
      <c r="C84" s="25">
        <f>(1641.0/B84*100)</f>
        <v/>
      </c>
      <c r="D84" s="19" t="n">
        <v>246</v>
      </c>
      <c r="E84" s="18" t="n">
        <v>24.92475634</v>
      </c>
      <c r="F84" s="20" t="n">
        <v>2.96289747</v>
      </c>
      <c r="G84" s="18" t="n">
        <v>75.07524366</v>
      </c>
      <c r="H84" s="20" t="n">
        <v>2.96289747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(12971.0/B7*100)</f>
        <v/>
      </c>
      <c r="D7" s="19" t="n">
        <v>1559</v>
      </c>
      <c r="E7" s="18" t="n">
        <v>52.92949588</v>
      </c>
      <c r="F7" s="20" t="n">
        <v>1.27889346</v>
      </c>
      <c r="G7" s="18" t="n">
        <v>45.22209642</v>
      </c>
      <c r="H7" s="20" t="n">
        <v>1.26888446</v>
      </c>
      <c r="I7" s="18" t="n">
        <v>0</v>
      </c>
      <c r="J7" s="20" t="n">
        <v>0</v>
      </c>
      <c r="K7" s="18" t="n">
        <v>1.84840769</v>
      </c>
      <c r="L7" s="20" t="n">
        <v>0.42822399</v>
      </c>
      <c r="M7" s="18" t="n">
        <v>0</v>
      </c>
      <c r="N7" s="20" t="n">
        <v>0</v>
      </c>
      <c r="O7" s="18" t="n">
        <v>0</v>
      </c>
      <c r="P7" s="20" t="n">
        <v>0</v>
      </c>
      <c r="Q7" s="18" t="n">
        <v>0</v>
      </c>
      <c r="R7" s="20" t="n">
        <v>0</v>
      </c>
    </row>
    <row r="8" spans="1:18">
      <c r="A8" s="15" t="s">
        <v>566</v>
      </c>
      <c r="B8" s="17" t="n">
        <v>7007</v>
      </c>
      <c r="C8" s="18">
        <f>(6237.0/B8*100)</f>
        <v/>
      </c>
      <c r="D8" s="19" t="n">
        <v>770</v>
      </c>
      <c r="E8" s="18" t="n">
        <v>34.31932004</v>
      </c>
      <c r="F8" s="20" t="n">
        <v>1.8086512</v>
      </c>
      <c r="G8" s="18" t="n">
        <v>64.63163711</v>
      </c>
      <c r="H8" s="20" t="n">
        <v>1.86003553</v>
      </c>
      <c r="I8" s="18" t="n">
        <v>0</v>
      </c>
      <c r="J8" s="20" t="n">
        <v>0</v>
      </c>
      <c r="K8" s="18" t="n">
        <v>1.04904285</v>
      </c>
      <c r="L8" s="20" t="n">
        <v>0.41833953</v>
      </c>
      <c r="M8" s="18" t="n">
        <v>0</v>
      </c>
      <c r="N8" s="20" t="n">
        <v>0</v>
      </c>
      <c r="O8" s="18" t="n">
        <v>0</v>
      </c>
      <c r="P8" s="20" t="n">
        <v>0</v>
      </c>
      <c r="Q8" s="18" t="n">
        <v>0</v>
      </c>
      <c r="R8" s="20" t="n">
        <v>0</v>
      </c>
    </row>
    <row r="9" spans="1:18">
      <c r="A9" s="15" t="s">
        <v>567</v>
      </c>
      <c r="B9" s="17" t="n">
        <v>9651</v>
      </c>
      <c r="C9" s="18">
        <f>(8406.0/B9*100)</f>
        <v/>
      </c>
      <c r="D9" s="19" t="n">
        <v>1245</v>
      </c>
      <c r="E9" s="18" t="n">
        <v>48.02573983</v>
      </c>
      <c r="F9" s="20" t="n">
        <v>1.6972572</v>
      </c>
      <c r="G9" s="18" t="n">
        <v>50.30476638</v>
      </c>
      <c r="H9" s="20" t="n">
        <v>1.75732708</v>
      </c>
      <c r="I9" s="18" t="n">
        <v>0</v>
      </c>
      <c r="J9" s="20" t="n">
        <v>0</v>
      </c>
      <c r="K9" s="18" t="n">
        <v>1.66949378</v>
      </c>
      <c r="L9" s="20" t="n">
        <v>0.36567628</v>
      </c>
      <c r="M9" s="18" t="n">
        <v>0</v>
      </c>
      <c r="N9" s="20" t="n">
        <v>0</v>
      </c>
      <c r="O9" s="18" t="n">
        <v>0</v>
      </c>
      <c r="P9" s="20" t="n">
        <v>0</v>
      </c>
      <c r="Q9" s="18" t="n">
        <v>0</v>
      </c>
      <c r="R9" s="20" t="n">
        <v>0</v>
      </c>
    </row>
    <row r="10" spans="1:18">
      <c r="A10" s="15" t="s">
        <v>568</v>
      </c>
      <c r="B10" s="17" t="n">
        <v>20058</v>
      </c>
      <c r="C10" s="18">
        <f>(17851.0/B10*100)</f>
        <v/>
      </c>
      <c r="D10" s="19" t="n">
        <v>2207</v>
      </c>
      <c r="E10" s="18" t="n">
        <v>52.76238332</v>
      </c>
      <c r="F10" s="20" t="n">
        <v>1.54814483</v>
      </c>
      <c r="G10" s="18" t="n">
        <v>45.50546545</v>
      </c>
      <c r="H10" s="20" t="n">
        <v>1.51236512</v>
      </c>
      <c r="I10" s="18" t="n">
        <v>0</v>
      </c>
      <c r="J10" s="20" t="n">
        <v>0</v>
      </c>
      <c r="K10" s="18" t="n">
        <v>1.73215122</v>
      </c>
      <c r="L10" s="20" t="n">
        <v>0.39563348</v>
      </c>
      <c r="M10" s="18" t="n">
        <v>0</v>
      </c>
      <c r="N10" s="20" t="n">
        <v>0</v>
      </c>
      <c r="O10" s="18" t="n">
        <v>0</v>
      </c>
      <c r="P10" s="20" t="n">
        <v>0</v>
      </c>
      <c r="Q10" s="18" t="n">
        <v>0</v>
      </c>
      <c r="R10" s="20" t="n">
        <v>0</v>
      </c>
    </row>
    <row r="11" spans="1:18">
      <c r="A11" s="15" t="s">
        <v>569</v>
      </c>
      <c r="B11" s="17" t="n">
        <v>7053</v>
      </c>
      <c r="C11" s="18">
        <f>(6334.0/B11*100)</f>
        <v/>
      </c>
      <c r="D11" s="19" t="n">
        <v>719</v>
      </c>
      <c r="E11" s="18" t="n">
        <v>61.78490773</v>
      </c>
      <c r="F11" s="20" t="n">
        <v>2.4434565</v>
      </c>
      <c r="G11" s="18" t="n">
        <v>34.66562321</v>
      </c>
      <c r="H11" s="20" t="n">
        <v>2.28402782</v>
      </c>
      <c r="I11" s="18" t="n">
        <v>0</v>
      </c>
      <c r="J11" s="20" t="n">
        <v>0</v>
      </c>
      <c r="K11" s="18" t="n">
        <v>3.54946905</v>
      </c>
      <c r="L11" s="20" t="n">
        <v>1.45785948</v>
      </c>
      <c r="M11" s="18" t="n">
        <v>0</v>
      </c>
      <c r="N11" s="20" t="n">
        <v>0</v>
      </c>
      <c r="O11" s="18" t="n">
        <v>0</v>
      </c>
      <c r="P11" s="20" t="n">
        <v>0</v>
      </c>
      <c r="Q11" s="18" t="n">
        <v>0</v>
      </c>
      <c r="R11" s="20" t="n">
        <v>0</v>
      </c>
    </row>
    <row r="12" spans="1:18">
      <c r="A12" s="15" t="s">
        <v>570</v>
      </c>
      <c r="B12" s="17" t="n">
        <v>6894</v>
      </c>
      <c r="C12" s="18">
        <f>(6082.0/B12*100)</f>
        <v/>
      </c>
      <c r="D12" s="19" t="n">
        <v>812</v>
      </c>
      <c r="E12" s="18" t="n">
        <v>43.26907335</v>
      </c>
      <c r="F12" s="20" t="n">
        <v>2.80929314</v>
      </c>
      <c r="G12" s="18" t="n">
        <v>55.68451117</v>
      </c>
      <c r="H12" s="20" t="n">
        <v>2.85002231</v>
      </c>
      <c r="I12" s="18" t="n">
        <v>0</v>
      </c>
      <c r="J12" s="20" t="n">
        <v>0</v>
      </c>
      <c r="K12" s="18" t="n">
        <v>1.04641548</v>
      </c>
      <c r="L12" s="20" t="n">
        <v>0.39381143</v>
      </c>
      <c r="M12" s="18" t="n">
        <v>0</v>
      </c>
      <c r="N12" s="20" t="n">
        <v>0</v>
      </c>
      <c r="O12" s="18" t="n">
        <v>0</v>
      </c>
      <c r="P12" s="20" t="n">
        <v>0</v>
      </c>
      <c r="Q12" s="18" t="n">
        <v>0</v>
      </c>
      <c r="R12" s="20" t="n">
        <v>0</v>
      </c>
    </row>
    <row r="13" spans="1:18">
      <c r="A13" s="15" t="s">
        <v>571</v>
      </c>
      <c r="B13" s="17" t="n">
        <v>7161</v>
      </c>
      <c r="C13" s="18">
        <f>(6101.0/B13*100)</f>
        <v/>
      </c>
      <c r="D13" s="19" t="n">
        <v>1060</v>
      </c>
      <c r="E13" s="18" t="n">
        <v>44.05217096</v>
      </c>
      <c r="F13" s="20" t="n">
        <v>1.87298128</v>
      </c>
      <c r="G13" s="18" t="n">
        <v>53.42633079</v>
      </c>
      <c r="H13" s="20" t="n">
        <v>2.00202713</v>
      </c>
      <c r="I13" s="18" t="n">
        <v>0</v>
      </c>
      <c r="J13" s="20" t="n">
        <v>0</v>
      </c>
      <c r="K13" s="18" t="n">
        <v>2.52149825</v>
      </c>
      <c r="L13" s="20" t="n">
        <v>0.73132567</v>
      </c>
      <c r="M13" s="18" t="n">
        <v>0</v>
      </c>
      <c r="N13" s="20" t="n">
        <v>0</v>
      </c>
      <c r="O13" s="18" t="n">
        <v>0</v>
      </c>
      <c r="P13" s="20" t="n">
        <v>0</v>
      </c>
      <c r="Q13" s="18" t="n">
        <v>0</v>
      </c>
      <c r="R13" s="20" t="n">
        <v>0</v>
      </c>
    </row>
    <row r="14" spans="1:18">
      <c r="A14" s="15" t="s">
        <v>572</v>
      </c>
      <c r="B14" s="17" t="n">
        <v>5587</v>
      </c>
      <c r="C14" s="18">
        <f>(4967.0/B14*100)</f>
        <v/>
      </c>
      <c r="D14" s="19" t="n">
        <v>620</v>
      </c>
      <c r="E14" s="18" t="n">
        <v>48.08927842</v>
      </c>
      <c r="F14" s="20" t="n">
        <v>2.42027225</v>
      </c>
      <c r="G14" s="18" t="n">
        <v>50.94258671</v>
      </c>
      <c r="H14" s="20" t="n">
        <v>2.4087968</v>
      </c>
      <c r="I14" s="18" t="n">
        <v>0</v>
      </c>
      <c r="J14" s="20" t="n">
        <v>0</v>
      </c>
      <c r="K14" s="18" t="n">
        <v>0.96813488</v>
      </c>
      <c r="L14" s="20" t="n">
        <v>0.3719516</v>
      </c>
      <c r="M14" s="18" t="n">
        <v>0</v>
      </c>
      <c r="N14" s="20" t="n">
        <v>0</v>
      </c>
      <c r="O14" s="18" t="n">
        <v>0</v>
      </c>
      <c r="P14" s="20" t="n">
        <v>0</v>
      </c>
      <c r="Q14" s="18" t="n">
        <v>0</v>
      </c>
      <c r="R14" s="20" t="n">
        <v>0</v>
      </c>
    </row>
    <row r="15" spans="1:18">
      <c r="A15" s="15" t="s">
        <v>573</v>
      </c>
      <c r="B15" s="17" t="n">
        <v>5882</v>
      </c>
      <c r="C15" s="18">
        <f>(5194.0/B15*100)</f>
        <v/>
      </c>
      <c r="D15" s="19" t="n">
        <v>688</v>
      </c>
      <c r="E15" s="18" t="n">
        <v>25.04588393</v>
      </c>
      <c r="F15" s="20" t="n">
        <v>2.54807417</v>
      </c>
      <c r="G15" s="18" t="n">
        <v>73.41661388999999</v>
      </c>
      <c r="H15" s="20" t="n">
        <v>2.64635681</v>
      </c>
      <c r="I15" s="18" t="n">
        <v>0</v>
      </c>
      <c r="J15" s="20" t="n">
        <v>0</v>
      </c>
      <c r="K15" s="18" t="n">
        <v>1.53750218</v>
      </c>
      <c r="L15" s="20" t="n">
        <v>0.46907675</v>
      </c>
      <c r="M15" s="18" t="n">
        <v>0</v>
      </c>
      <c r="N15" s="20" t="n">
        <v>0</v>
      </c>
      <c r="O15" s="18" t="n">
        <v>0</v>
      </c>
      <c r="P15" s="20" t="n">
        <v>0</v>
      </c>
      <c r="Q15" s="18" t="n">
        <v>0</v>
      </c>
      <c r="R15" s="20" t="n">
        <v>0</v>
      </c>
    </row>
    <row r="16" spans="1:18">
      <c r="A16" s="15" t="s">
        <v>574</v>
      </c>
      <c r="B16" s="17" t="n">
        <v>6108</v>
      </c>
      <c r="C16" s="18">
        <f>(5439.0/B16*100)</f>
        <v/>
      </c>
      <c r="D16" s="19" t="n">
        <v>669</v>
      </c>
      <c r="E16" s="18" t="n">
        <v>49.86829939</v>
      </c>
      <c r="F16" s="20" t="n">
        <v>1.73511</v>
      </c>
      <c r="G16" s="18" t="n">
        <v>46.0890731</v>
      </c>
      <c r="H16" s="20" t="n">
        <v>1.7470404</v>
      </c>
      <c r="I16" s="18" t="n">
        <v>0</v>
      </c>
      <c r="J16" s="20" t="n">
        <v>0</v>
      </c>
      <c r="K16" s="18" t="n">
        <v>4.04262751</v>
      </c>
      <c r="L16" s="20" t="n">
        <v>0.722301</v>
      </c>
      <c r="M16" s="18" t="n">
        <v>0</v>
      </c>
      <c r="N16" s="20" t="n">
        <v>0</v>
      </c>
      <c r="O16" s="18" t="n">
        <v>0</v>
      </c>
      <c r="P16" s="20" t="n">
        <v>0</v>
      </c>
      <c r="Q16" s="18" t="n">
        <v>0</v>
      </c>
      <c r="R16" s="20" t="n">
        <v>0</v>
      </c>
    </row>
    <row r="17" spans="1:18">
      <c r="A17" s="15" t="s">
        <v>575</v>
      </c>
      <c r="B17" s="17" t="n">
        <v>6504</v>
      </c>
      <c r="C17" s="18">
        <f>(5683.0/B17*100)</f>
        <v/>
      </c>
      <c r="D17" s="19" t="n">
        <v>821</v>
      </c>
      <c r="E17" s="18" t="n">
        <v>32.84584556</v>
      </c>
      <c r="F17" s="20" t="n">
        <v>1.86660376</v>
      </c>
      <c r="G17" s="18" t="n">
        <v>64.45616001</v>
      </c>
      <c r="H17" s="20" t="n">
        <v>1.91994127</v>
      </c>
      <c r="I17" s="18" t="n">
        <v>0</v>
      </c>
      <c r="J17" s="20" t="n">
        <v>0</v>
      </c>
      <c r="K17" s="18" t="n">
        <v>2.69799443</v>
      </c>
      <c r="L17" s="20" t="n">
        <v>0.71005711</v>
      </c>
      <c r="M17" s="18" t="n">
        <v>0</v>
      </c>
      <c r="N17" s="20" t="n">
        <v>0</v>
      </c>
      <c r="O17" s="18" t="n">
        <v>0</v>
      </c>
      <c r="P17" s="20" t="n">
        <v>0</v>
      </c>
      <c r="Q17" s="18" t="n">
        <v>0</v>
      </c>
      <c r="R17" s="20" t="n">
        <v>0</v>
      </c>
    </row>
    <row r="18" spans="1:18">
      <c r="A18" s="15" t="s">
        <v>576</v>
      </c>
      <c r="B18" s="17" t="n">
        <v>5532</v>
      </c>
      <c r="C18" s="18">
        <f>(4917.0/B18*100)</f>
        <v/>
      </c>
      <c r="D18" s="19" t="n">
        <v>615</v>
      </c>
      <c r="E18" s="18" t="n">
        <v>60.41639219</v>
      </c>
      <c r="F18" s="20" t="n">
        <v>2.07125596</v>
      </c>
      <c r="G18" s="18" t="n">
        <v>36.96526686</v>
      </c>
      <c r="H18" s="20" t="n">
        <v>2.06109458</v>
      </c>
      <c r="I18" s="18" t="n">
        <v>0</v>
      </c>
      <c r="J18" s="20" t="n">
        <v>0</v>
      </c>
      <c r="K18" s="18" t="n">
        <v>2.61834095</v>
      </c>
      <c r="L18" s="20" t="n">
        <v>0.83406064</v>
      </c>
      <c r="M18" s="18" t="n">
        <v>0</v>
      </c>
      <c r="N18" s="20" t="n">
        <v>0</v>
      </c>
      <c r="O18" s="18" t="n">
        <v>0</v>
      </c>
      <c r="P18" s="20" t="n">
        <v>0</v>
      </c>
      <c r="Q18" s="18" t="n">
        <v>0</v>
      </c>
      <c r="R18" s="20" t="n">
        <v>0</v>
      </c>
    </row>
    <row r="19" spans="1:18">
      <c r="A19" s="15" t="s">
        <v>577</v>
      </c>
      <c r="B19" s="17" t="n">
        <v>5658</v>
      </c>
      <c r="C19" s="18">
        <f>(5057.0/B19*100)</f>
        <v/>
      </c>
      <c r="D19" s="19" t="n">
        <v>601</v>
      </c>
      <c r="E19" s="18" t="n">
        <v>35.07878719</v>
      </c>
      <c r="F19" s="20" t="n">
        <v>2.1586788</v>
      </c>
      <c r="G19" s="18" t="n">
        <v>64.61772078</v>
      </c>
      <c r="H19" s="20" t="n">
        <v>2.20046218</v>
      </c>
      <c r="I19" s="18" t="n">
        <v>0</v>
      </c>
      <c r="J19" s="20" t="n">
        <v>0</v>
      </c>
      <c r="K19" s="18" t="n">
        <v>0.30349203</v>
      </c>
      <c r="L19" s="20" t="n">
        <v>0.20325243</v>
      </c>
      <c r="M19" s="18" t="n">
        <v>0</v>
      </c>
      <c r="N19" s="20" t="n">
        <v>0</v>
      </c>
      <c r="O19" s="18" t="n">
        <v>0</v>
      </c>
      <c r="P19" s="20" t="n">
        <v>0</v>
      </c>
      <c r="Q19" s="18" t="n">
        <v>0</v>
      </c>
      <c r="R19" s="20" t="n">
        <v>0</v>
      </c>
    </row>
    <row r="20" spans="1:18">
      <c r="A20" s="15" t="s">
        <v>578</v>
      </c>
      <c r="B20" s="17" t="n">
        <v>3371</v>
      </c>
      <c r="C20" s="18">
        <f>(3023.0/B20*100)</f>
        <v/>
      </c>
      <c r="D20" s="19" t="n">
        <v>348</v>
      </c>
      <c r="E20" s="18" t="n">
        <v>42.37539039</v>
      </c>
      <c r="F20" s="20" t="n">
        <v>3.21361778</v>
      </c>
      <c r="G20" s="18" t="n">
        <v>56.03850156</v>
      </c>
      <c r="H20" s="20" t="n">
        <v>3.26900569</v>
      </c>
      <c r="I20" s="18" t="n">
        <v>0</v>
      </c>
      <c r="J20" s="20" t="n">
        <v>0</v>
      </c>
      <c r="K20" s="18" t="n">
        <v>1.58610805</v>
      </c>
      <c r="L20" s="20" t="n">
        <v>0.59846815</v>
      </c>
      <c r="M20" s="18" t="n">
        <v>0</v>
      </c>
      <c r="N20" s="20" t="n">
        <v>0</v>
      </c>
      <c r="O20" s="18" t="n">
        <v>0</v>
      </c>
      <c r="P20" s="20" t="n">
        <v>0</v>
      </c>
      <c r="Q20" s="18" t="n">
        <v>0</v>
      </c>
      <c r="R20" s="20" t="n">
        <v>0</v>
      </c>
    </row>
    <row r="21" spans="1:18">
      <c r="A21" s="15" t="s">
        <v>579</v>
      </c>
      <c r="B21" s="17" t="n">
        <v>5741</v>
      </c>
      <c r="C21" s="18">
        <f>(5084.0/B21*100)</f>
        <v/>
      </c>
      <c r="D21" s="19" t="n">
        <v>657</v>
      </c>
      <c r="E21" s="18" t="n">
        <v>44.22679086</v>
      </c>
      <c r="F21" s="20" t="n">
        <v>2.05981399</v>
      </c>
      <c r="G21" s="18" t="n">
        <v>54.85167103</v>
      </c>
      <c r="H21" s="20" t="n">
        <v>2.12917246</v>
      </c>
      <c r="I21" s="18" t="n">
        <v>0</v>
      </c>
      <c r="J21" s="20" t="n">
        <v>0</v>
      </c>
      <c r="K21" s="18" t="n">
        <v>0.92153812</v>
      </c>
      <c r="L21" s="20" t="n">
        <v>0.29559571</v>
      </c>
      <c r="M21" s="18" t="n">
        <v>0</v>
      </c>
      <c r="N21" s="20" t="n">
        <v>0</v>
      </c>
      <c r="O21" s="18" t="n">
        <v>0</v>
      </c>
      <c r="P21" s="20" t="n">
        <v>0</v>
      </c>
      <c r="Q21" s="18" t="n">
        <v>0</v>
      </c>
      <c r="R21" s="20" t="n">
        <v>0</v>
      </c>
    </row>
    <row r="22" spans="1:18">
      <c r="A22" s="15" t="s">
        <v>580</v>
      </c>
      <c r="B22" s="17" t="n">
        <v>6598</v>
      </c>
      <c r="C22" s="18">
        <f>(5898.0/B22*100)</f>
        <v/>
      </c>
      <c r="D22" s="19" t="n">
        <v>700</v>
      </c>
      <c r="E22" s="18" t="n">
        <v>58.35792764</v>
      </c>
      <c r="F22" s="20" t="n">
        <v>1.9137639</v>
      </c>
      <c r="G22" s="18" t="n">
        <v>38.60189377</v>
      </c>
      <c r="H22" s="20" t="n">
        <v>1.79264344</v>
      </c>
      <c r="I22" s="18" t="n">
        <v>0</v>
      </c>
      <c r="J22" s="20" t="n">
        <v>0</v>
      </c>
      <c r="K22" s="18" t="n">
        <v>3.04017859</v>
      </c>
      <c r="L22" s="20" t="n">
        <v>0.74510184</v>
      </c>
      <c r="M22" s="18" t="n">
        <v>0</v>
      </c>
      <c r="N22" s="20" t="n">
        <v>0</v>
      </c>
      <c r="O22" s="18" t="n">
        <v>0</v>
      </c>
      <c r="P22" s="20" t="n">
        <v>0</v>
      </c>
      <c r="Q22" s="18" t="n">
        <v>0</v>
      </c>
      <c r="R22" s="20" t="n">
        <v>0</v>
      </c>
    </row>
    <row r="23" spans="1:18">
      <c r="A23" s="15" t="s">
        <v>581</v>
      </c>
      <c r="B23" s="17" t="n">
        <v>11583</v>
      </c>
      <c r="C23" s="18">
        <f>(10338.0/B23*100)</f>
        <v/>
      </c>
      <c r="D23" s="19" t="n">
        <v>1245</v>
      </c>
      <c r="E23" s="18" t="n">
        <v>45.26156779</v>
      </c>
      <c r="F23" s="20" t="n">
        <v>2.22248687</v>
      </c>
      <c r="G23" s="18" t="n">
        <v>51.83545458</v>
      </c>
      <c r="H23" s="20" t="n">
        <v>2.24836258</v>
      </c>
      <c r="I23" s="18" t="n">
        <v>0</v>
      </c>
      <c r="J23" s="20" t="n">
        <v>0</v>
      </c>
      <c r="K23" s="18" t="n">
        <v>2.90297763</v>
      </c>
      <c r="L23" s="20" t="n">
        <v>0.9103355</v>
      </c>
      <c r="M23" s="18" t="n">
        <v>0</v>
      </c>
      <c r="N23" s="20" t="n">
        <v>0</v>
      </c>
      <c r="O23" s="18" t="n">
        <v>0</v>
      </c>
      <c r="P23" s="20" t="n">
        <v>0</v>
      </c>
      <c r="Q23" s="18" t="n">
        <v>0</v>
      </c>
      <c r="R23" s="20" t="n">
        <v>0</v>
      </c>
    </row>
    <row r="24" spans="1:18">
      <c r="A24" s="15" t="s">
        <v>582</v>
      </c>
      <c r="B24" s="17" t="n">
        <v>6647</v>
      </c>
      <c r="C24" s="18">
        <f>(5935.0/B24*100)</f>
        <v/>
      </c>
      <c r="D24" s="19" t="n">
        <v>712</v>
      </c>
      <c r="E24" s="18" t="n">
        <v>40.01559486</v>
      </c>
      <c r="F24" s="20" t="n">
        <v>1.99240978</v>
      </c>
      <c r="G24" s="18" t="n">
        <v>58.69138195</v>
      </c>
      <c r="H24" s="20" t="n">
        <v>1.945461</v>
      </c>
      <c r="I24" s="18" t="n">
        <v>0</v>
      </c>
      <c r="J24" s="20" t="n">
        <v>0</v>
      </c>
      <c r="K24" s="18" t="n">
        <v>1.29302319</v>
      </c>
      <c r="L24" s="20" t="n">
        <v>0.36893654</v>
      </c>
      <c r="M24" s="18" t="n">
        <v>0</v>
      </c>
      <c r="N24" s="20" t="n">
        <v>0</v>
      </c>
      <c r="O24" s="18" t="n">
        <v>0</v>
      </c>
      <c r="P24" s="20" t="n">
        <v>0</v>
      </c>
      <c r="Q24" s="18" t="n">
        <v>0</v>
      </c>
      <c r="R24" s="20" t="n">
        <v>0</v>
      </c>
    </row>
    <row r="25" spans="1:18">
      <c r="A25" s="15" t="s">
        <v>583</v>
      </c>
      <c r="B25" s="17" t="n">
        <v>5581</v>
      </c>
      <c r="C25" s="18">
        <f>(4966.0/B25*100)</f>
        <v/>
      </c>
      <c r="D25" s="19" t="n">
        <v>615</v>
      </c>
      <c r="E25" s="18" t="n">
        <v>41.96090038</v>
      </c>
      <c r="F25" s="20" t="n">
        <v>1.78317386</v>
      </c>
      <c r="G25" s="18" t="n">
        <v>57.61102739</v>
      </c>
      <c r="H25" s="20" t="n">
        <v>1.78233182</v>
      </c>
      <c r="I25" s="18" t="n">
        <v>0</v>
      </c>
      <c r="J25" s="20" t="n">
        <v>0</v>
      </c>
      <c r="K25" s="18" t="n">
        <v>0.42807223</v>
      </c>
      <c r="L25" s="20" t="n">
        <v>0.25037646</v>
      </c>
      <c r="M25" s="18" t="n">
        <v>0</v>
      </c>
      <c r="N25" s="20" t="n">
        <v>0</v>
      </c>
      <c r="O25" s="18" t="n">
        <v>0</v>
      </c>
      <c r="P25" s="20" t="n">
        <v>0</v>
      </c>
      <c r="Q25" s="18" t="n">
        <v>0</v>
      </c>
      <c r="R25" s="20" t="n">
        <v>0</v>
      </c>
    </row>
    <row r="26" spans="1:18">
      <c r="A26" s="15" t="s">
        <v>584</v>
      </c>
      <c r="B26" s="17" t="n">
        <v>4869</v>
      </c>
      <c r="C26" s="18">
        <f>(4335.0/B26*100)</f>
        <v/>
      </c>
      <c r="D26" s="19" t="n">
        <v>534</v>
      </c>
      <c r="E26" s="18" t="n">
        <v>39.01001545</v>
      </c>
      <c r="F26" s="20" t="n">
        <v>2.15538285</v>
      </c>
      <c r="G26" s="18" t="n">
        <v>60.77323758</v>
      </c>
      <c r="H26" s="20" t="n">
        <v>2.19554767</v>
      </c>
      <c r="I26" s="18" t="n">
        <v>0</v>
      </c>
      <c r="J26" s="20" t="n">
        <v>0</v>
      </c>
      <c r="K26" s="18" t="n">
        <v>0.21674698</v>
      </c>
      <c r="L26" s="20" t="n">
        <v>0.21732064</v>
      </c>
      <c r="M26" s="18" t="n">
        <v>0</v>
      </c>
      <c r="N26" s="20" t="n">
        <v>0</v>
      </c>
      <c r="O26" s="18" t="n">
        <v>0</v>
      </c>
      <c r="P26" s="20" t="n">
        <v>0</v>
      </c>
      <c r="Q26" s="18" t="n">
        <v>0</v>
      </c>
      <c r="R26" s="20" t="n">
        <v>0</v>
      </c>
    </row>
    <row r="27" spans="1:18">
      <c r="A27" s="15" t="s">
        <v>585</v>
      </c>
      <c r="B27" s="17" t="n">
        <v>5299</v>
      </c>
      <c r="C27" s="18">
        <f>(4743.0/B27*100)</f>
        <v/>
      </c>
      <c r="D27" s="19" t="n">
        <v>556</v>
      </c>
      <c r="E27" s="18" t="n">
        <v>43.53729225</v>
      </c>
      <c r="F27" s="20" t="n">
        <v>2.08736795</v>
      </c>
      <c r="G27" s="18" t="n">
        <v>54.85858458</v>
      </c>
      <c r="H27" s="20" t="n">
        <v>2.15808109</v>
      </c>
      <c r="I27" s="18" t="n">
        <v>0</v>
      </c>
      <c r="J27" s="20" t="n">
        <v>0</v>
      </c>
      <c r="K27" s="18" t="n">
        <v>1.60412317</v>
      </c>
      <c r="L27" s="20" t="n">
        <v>0.53281269</v>
      </c>
      <c r="M27" s="18" t="n">
        <v>0</v>
      </c>
      <c r="N27" s="20" t="n">
        <v>0</v>
      </c>
      <c r="O27" s="18" t="n">
        <v>0</v>
      </c>
      <c r="P27" s="20" t="n">
        <v>0</v>
      </c>
      <c r="Q27" s="18" t="n">
        <v>0</v>
      </c>
      <c r="R27" s="20" t="n">
        <v>0</v>
      </c>
    </row>
    <row r="28" spans="1:18">
      <c r="A28" s="15" t="s">
        <v>586</v>
      </c>
      <c r="B28" s="17" t="n">
        <v>7568</v>
      </c>
      <c r="C28" s="18">
        <f>(6848.0/B28*100)</f>
        <v/>
      </c>
      <c r="D28" s="19" t="n">
        <v>720</v>
      </c>
      <c r="E28" s="18" t="n">
        <v>75.20336638000001</v>
      </c>
      <c r="F28" s="20" t="n">
        <v>1.69738249</v>
      </c>
      <c r="G28" s="18" t="n">
        <v>23.23340535</v>
      </c>
      <c r="H28" s="20" t="n">
        <v>1.78706746</v>
      </c>
      <c r="I28" s="18" t="n">
        <v>0</v>
      </c>
      <c r="J28" s="20" t="n">
        <v>0</v>
      </c>
      <c r="K28" s="18" t="n">
        <v>1.56322827</v>
      </c>
      <c r="L28" s="20" t="n">
        <v>0.54824279</v>
      </c>
      <c r="M28" s="18" t="n">
        <v>0</v>
      </c>
      <c r="N28" s="20" t="n">
        <v>0</v>
      </c>
      <c r="O28" s="18" t="n">
        <v>0</v>
      </c>
      <c r="P28" s="20" t="n">
        <v>0</v>
      </c>
      <c r="Q28" s="18" t="n">
        <v>0</v>
      </c>
      <c r="R28" s="20" t="n">
        <v>0</v>
      </c>
    </row>
    <row r="29" spans="1:18">
      <c r="A29" s="15" t="s">
        <v>587</v>
      </c>
      <c r="B29" s="17" t="n">
        <v>5385</v>
      </c>
      <c r="C29" s="18">
        <f>(4659.0/B29*100)</f>
        <v/>
      </c>
      <c r="D29" s="19" t="n">
        <v>726</v>
      </c>
      <c r="E29" s="18" t="n">
        <v>39.07721529</v>
      </c>
      <c r="F29" s="20" t="n">
        <v>1.72443911</v>
      </c>
      <c r="G29" s="18" t="n">
        <v>59.98776394</v>
      </c>
      <c r="H29" s="20" t="n">
        <v>1.71348834</v>
      </c>
      <c r="I29" s="18" t="n">
        <v>0</v>
      </c>
      <c r="J29" s="20" t="n">
        <v>0</v>
      </c>
      <c r="K29" s="18" t="n">
        <v>0.93502078</v>
      </c>
      <c r="L29" s="20" t="n">
        <v>0.35506861</v>
      </c>
      <c r="M29" s="18" t="n">
        <v>0</v>
      </c>
      <c r="N29" s="20" t="n">
        <v>0</v>
      </c>
      <c r="O29" s="18" t="n">
        <v>0</v>
      </c>
      <c r="P29" s="20" t="n">
        <v>0</v>
      </c>
      <c r="Q29" s="18" t="n">
        <v>0</v>
      </c>
      <c r="R29" s="20" t="n">
        <v>0</v>
      </c>
    </row>
    <row r="30" spans="1:18">
      <c r="A30" s="15" t="s">
        <v>588</v>
      </c>
      <c r="B30" s="17" t="n">
        <v>4520</v>
      </c>
      <c r="C30" s="18">
        <f>(4032.0/B30*100)</f>
        <v/>
      </c>
      <c r="D30" s="19" t="n">
        <v>488</v>
      </c>
      <c r="E30" s="18" t="n">
        <v>55.79323804</v>
      </c>
      <c r="F30" s="20" t="n">
        <v>2.02902382</v>
      </c>
      <c r="G30" s="18" t="n">
        <v>42.48686543</v>
      </c>
      <c r="H30" s="20" t="n">
        <v>1.96821386</v>
      </c>
      <c r="I30" s="18" t="n">
        <v>0</v>
      </c>
      <c r="J30" s="20" t="n">
        <v>0</v>
      </c>
      <c r="K30" s="18" t="n">
        <v>1.71989652</v>
      </c>
      <c r="L30" s="20" t="n">
        <v>0.54803634</v>
      </c>
      <c r="M30" s="18" t="n">
        <v>0</v>
      </c>
      <c r="N30" s="20" t="n">
        <v>0</v>
      </c>
      <c r="O30" s="18" t="n">
        <v>0</v>
      </c>
      <c r="P30" s="20" t="n">
        <v>0</v>
      </c>
      <c r="Q30" s="18" t="n">
        <v>0</v>
      </c>
      <c r="R30" s="20" t="n">
        <v>0</v>
      </c>
    </row>
    <row r="31" spans="1:18">
      <c r="A31" s="15" t="s">
        <v>589</v>
      </c>
      <c r="B31" s="17" t="n">
        <v>5456</v>
      </c>
      <c r="C31" s="18">
        <f>(4866.0/B31*100)</f>
        <v/>
      </c>
      <c r="D31" s="19" t="n">
        <v>590</v>
      </c>
      <c r="E31" s="18" t="n">
        <v>39.83498387</v>
      </c>
      <c r="F31" s="20" t="n">
        <v>2.15200074</v>
      </c>
      <c r="G31" s="18" t="n">
        <v>57.87015253</v>
      </c>
      <c r="H31" s="20" t="n">
        <v>2.18926943</v>
      </c>
      <c r="I31" s="18" t="n">
        <v>0</v>
      </c>
      <c r="J31" s="20" t="n">
        <v>0</v>
      </c>
      <c r="K31" s="18" t="n">
        <v>2.29486359</v>
      </c>
      <c r="L31" s="20" t="n">
        <v>0.68352712</v>
      </c>
      <c r="M31" s="18" t="n">
        <v>0</v>
      </c>
      <c r="N31" s="20" t="n">
        <v>0</v>
      </c>
      <c r="O31" s="18" t="n">
        <v>0</v>
      </c>
      <c r="P31" s="20" t="n">
        <v>0</v>
      </c>
      <c r="Q31" s="18" t="n">
        <v>0</v>
      </c>
      <c r="R31" s="20" t="n">
        <v>0</v>
      </c>
    </row>
    <row r="32" spans="1:18">
      <c r="A32" s="15" t="s">
        <v>590</v>
      </c>
      <c r="B32" s="17" t="n">
        <v>4478</v>
      </c>
      <c r="C32" s="18">
        <f>(3990.0/B32*100)</f>
        <v/>
      </c>
      <c r="D32" s="19" t="n">
        <v>488</v>
      </c>
      <c r="E32" s="18" t="n">
        <v>38.4448718</v>
      </c>
      <c r="F32" s="20" t="n">
        <v>2.05755338</v>
      </c>
      <c r="G32" s="18" t="n">
        <v>61.01169394</v>
      </c>
      <c r="H32" s="20" t="n">
        <v>2.0468842</v>
      </c>
      <c r="I32" s="18" t="n">
        <v>0</v>
      </c>
      <c r="J32" s="20" t="n">
        <v>0</v>
      </c>
      <c r="K32" s="18" t="n">
        <v>0.5434342599999999</v>
      </c>
      <c r="L32" s="20" t="n">
        <v>0.31476223</v>
      </c>
      <c r="M32" s="18" t="n">
        <v>0</v>
      </c>
      <c r="N32" s="20" t="n">
        <v>0</v>
      </c>
      <c r="O32" s="18" t="n">
        <v>0</v>
      </c>
      <c r="P32" s="20" t="n">
        <v>0</v>
      </c>
      <c r="Q32" s="18" t="n">
        <v>0</v>
      </c>
      <c r="R32" s="20" t="n">
        <v>0</v>
      </c>
    </row>
    <row r="33" spans="1:18">
      <c r="A33" s="15" t="s">
        <v>591</v>
      </c>
      <c r="B33" s="17" t="n">
        <v>7325</v>
      </c>
      <c r="C33" s="18">
        <f>(6597.0/B33*100)</f>
        <v/>
      </c>
      <c r="D33" s="19" t="n">
        <v>728</v>
      </c>
      <c r="E33" s="18" t="n">
        <v>65.99478454</v>
      </c>
      <c r="F33" s="20" t="n">
        <v>2.18140809</v>
      </c>
      <c r="G33" s="18" t="n">
        <v>32.38577142</v>
      </c>
      <c r="H33" s="20" t="n">
        <v>2.30185908</v>
      </c>
      <c r="I33" s="18" t="n">
        <v>0</v>
      </c>
      <c r="J33" s="20" t="n">
        <v>0</v>
      </c>
      <c r="K33" s="18" t="n">
        <v>1.61944403</v>
      </c>
      <c r="L33" s="20" t="n">
        <v>0.65426083</v>
      </c>
      <c r="M33" s="18" t="n">
        <v>0</v>
      </c>
      <c r="N33" s="20" t="n">
        <v>0</v>
      </c>
      <c r="O33" s="18" t="n">
        <v>0</v>
      </c>
      <c r="P33" s="20" t="n">
        <v>0</v>
      </c>
      <c r="Q33" s="18" t="n">
        <v>0</v>
      </c>
      <c r="R33" s="20" t="n">
        <v>0</v>
      </c>
    </row>
    <row r="34" spans="1:18">
      <c r="A34" s="15" t="s">
        <v>592</v>
      </c>
      <c r="B34" s="17" t="n">
        <v>6350</v>
      </c>
      <c r="C34" s="18">
        <f>(5584.0/B34*100)</f>
        <v/>
      </c>
      <c r="D34" s="19" t="n">
        <v>766</v>
      </c>
      <c r="E34" s="18" t="n">
        <v>43.55659323</v>
      </c>
      <c r="F34" s="20" t="n">
        <v>2.56355102</v>
      </c>
      <c r="G34" s="18" t="n">
        <v>54.2997274</v>
      </c>
      <c r="H34" s="20" t="n">
        <v>2.63896258</v>
      </c>
      <c r="I34" s="18" t="n">
        <v>0</v>
      </c>
      <c r="J34" s="20" t="n">
        <v>0</v>
      </c>
      <c r="K34" s="18" t="n">
        <v>2.14367938</v>
      </c>
      <c r="L34" s="20" t="n">
        <v>0.5660371</v>
      </c>
      <c r="M34" s="18" t="n">
        <v>0</v>
      </c>
      <c r="N34" s="20" t="n">
        <v>0</v>
      </c>
      <c r="O34" s="18" t="n">
        <v>0</v>
      </c>
      <c r="P34" s="20" t="n">
        <v>0</v>
      </c>
      <c r="Q34" s="18" t="n">
        <v>0</v>
      </c>
      <c r="R34" s="20" t="n">
        <v>0</v>
      </c>
    </row>
    <row r="35" spans="1:18">
      <c r="A35" s="15" t="s">
        <v>593</v>
      </c>
      <c r="B35" s="17" t="n">
        <v>6406</v>
      </c>
      <c r="C35" s="18">
        <f>(5579.0/B35*100)</f>
        <v/>
      </c>
      <c r="D35" s="19" t="n">
        <v>827</v>
      </c>
      <c r="E35" s="18" t="n">
        <v>30.05872204</v>
      </c>
      <c r="F35" s="20" t="n">
        <v>1.60619801</v>
      </c>
      <c r="G35" s="18" t="n">
        <v>69.34682926000001</v>
      </c>
      <c r="H35" s="20" t="n">
        <v>1.72594144</v>
      </c>
      <c r="I35" s="18" t="n">
        <v>0</v>
      </c>
      <c r="J35" s="20" t="n">
        <v>0</v>
      </c>
      <c r="K35" s="18" t="n">
        <v>0.5944487000000001</v>
      </c>
      <c r="L35" s="20" t="n">
        <v>0.43197531</v>
      </c>
      <c r="M35" s="18" t="n">
        <v>0</v>
      </c>
      <c r="N35" s="20" t="n">
        <v>0</v>
      </c>
      <c r="O35" s="18" t="n">
        <v>0</v>
      </c>
      <c r="P35" s="20" t="n">
        <v>0</v>
      </c>
      <c r="Q35" s="18" t="n">
        <v>0</v>
      </c>
      <c r="R35" s="20" t="n">
        <v>0</v>
      </c>
    </row>
    <row r="36" spans="1:18">
      <c r="A36" s="15" t="s">
        <v>594</v>
      </c>
      <c r="B36" s="17" t="n">
        <v>6736</v>
      </c>
      <c r="C36" s="18">
        <f>(6007.0/B36*100)</f>
        <v/>
      </c>
      <c r="D36" s="19" t="n">
        <v>729</v>
      </c>
      <c r="E36" s="18" t="n">
        <v>47.50556066</v>
      </c>
      <c r="F36" s="20" t="n">
        <v>2.06889058</v>
      </c>
      <c r="G36" s="18" t="n">
        <v>50.86493781</v>
      </c>
      <c r="H36" s="20" t="n">
        <v>2.03075147</v>
      </c>
      <c r="I36" s="18" t="n">
        <v>0</v>
      </c>
      <c r="J36" s="20" t="n">
        <v>0</v>
      </c>
      <c r="K36" s="18" t="n">
        <v>1.62950153</v>
      </c>
      <c r="L36" s="20" t="n">
        <v>0.51058849</v>
      </c>
      <c r="M36" s="18" t="n">
        <v>0</v>
      </c>
      <c r="N36" s="20" t="n">
        <v>0</v>
      </c>
      <c r="O36" s="18" t="n">
        <v>0</v>
      </c>
      <c r="P36" s="20" t="n">
        <v>0</v>
      </c>
      <c r="Q36" s="18" t="n">
        <v>0</v>
      </c>
      <c r="R36" s="20" t="n">
        <v>0</v>
      </c>
    </row>
    <row r="37" spans="1:18">
      <c r="A37" s="15" t="s">
        <v>595</v>
      </c>
      <c r="B37" s="17" t="n">
        <v>5458</v>
      </c>
      <c r="C37" s="18">
        <f>(4894.0/B37*100)</f>
        <v/>
      </c>
      <c r="D37" s="19" t="n">
        <v>564</v>
      </c>
      <c r="E37" s="18" t="n">
        <v>42.86645545</v>
      </c>
      <c r="F37" s="20" t="n">
        <v>2.061827</v>
      </c>
      <c r="G37" s="18" t="n">
        <v>54.77996728</v>
      </c>
      <c r="H37" s="20" t="n">
        <v>2.09451256</v>
      </c>
      <c r="I37" s="18" t="n">
        <v>0</v>
      </c>
      <c r="J37" s="20" t="n">
        <v>0</v>
      </c>
      <c r="K37" s="18" t="n">
        <v>2.35357728</v>
      </c>
      <c r="L37" s="20" t="n">
        <v>0.69379496</v>
      </c>
      <c r="M37" s="18" t="n">
        <v>0</v>
      </c>
      <c r="N37" s="20" t="n">
        <v>0</v>
      </c>
      <c r="O37" s="18" t="n">
        <v>0</v>
      </c>
      <c r="P37" s="20" t="n">
        <v>0</v>
      </c>
      <c r="Q37" s="18" t="n">
        <v>0</v>
      </c>
      <c r="R37" s="20" t="n">
        <v>0</v>
      </c>
    </row>
    <row r="38" spans="1:18">
      <c r="A38" s="15" t="s">
        <v>596</v>
      </c>
      <c r="B38" s="17" t="n">
        <v>5860</v>
      </c>
      <c r="C38" s="18">
        <f>(5244.0/B38*100)</f>
        <v/>
      </c>
      <c r="D38" s="19" t="n">
        <v>616</v>
      </c>
      <c r="E38" s="18" t="n">
        <v>41.62340164</v>
      </c>
      <c r="F38" s="20" t="n">
        <v>2.25805187</v>
      </c>
      <c r="G38" s="18" t="n">
        <v>57.27433617</v>
      </c>
      <c r="H38" s="20" t="n">
        <v>2.29013892</v>
      </c>
      <c r="I38" s="18" t="n">
        <v>0</v>
      </c>
      <c r="J38" s="20" t="n">
        <v>0</v>
      </c>
      <c r="K38" s="18" t="n">
        <v>1.10226219</v>
      </c>
      <c r="L38" s="20" t="n">
        <v>0.42244839</v>
      </c>
      <c r="M38" s="18" t="n">
        <v>0</v>
      </c>
      <c r="N38" s="20" t="n">
        <v>0</v>
      </c>
      <c r="O38" s="18" t="n">
        <v>0</v>
      </c>
      <c r="P38" s="20" t="n">
        <v>0</v>
      </c>
      <c r="Q38" s="18" t="n">
        <v>0</v>
      </c>
      <c r="R38" s="20" t="n">
        <v>0</v>
      </c>
    </row>
    <row r="39" spans="1:18">
      <c r="A39" s="15" t="s">
        <v>597</v>
      </c>
      <c r="B39" s="17" t="n">
        <v>5895</v>
      </c>
      <c r="C39" s="18">
        <f>(5241.0/B39*100)</f>
        <v/>
      </c>
      <c r="D39" s="19" t="n">
        <v>654</v>
      </c>
      <c r="E39" s="18" t="n">
        <v>58.96850279</v>
      </c>
      <c r="F39" s="20" t="n">
        <v>1.98863235</v>
      </c>
      <c r="G39" s="18" t="n">
        <v>40.07242545</v>
      </c>
      <c r="H39" s="20" t="n">
        <v>2.01237863</v>
      </c>
      <c r="I39" s="18" t="n">
        <v>0</v>
      </c>
      <c r="J39" s="20" t="n">
        <v>0</v>
      </c>
      <c r="K39" s="18" t="n">
        <v>0.9590717600000001</v>
      </c>
      <c r="L39" s="20" t="n">
        <v>0.37577543</v>
      </c>
      <c r="M39" s="18" t="n">
        <v>0</v>
      </c>
      <c r="N39" s="20" t="n">
        <v>0</v>
      </c>
      <c r="O39" s="18" t="n">
        <v>0</v>
      </c>
      <c r="P39" s="20" t="n">
        <v>0</v>
      </c>
      <c r="Q39" s="18" t="n">
        <v>0</v>
      </c>
      <c r="R39" s="20" t="n">
        <v>0</v>
      </c>
    </row>
    <row r="40" spans="1:18">
      <c r="A40" s="15" t="s">
        <v>598</v>
      </c>
      <c r="B40" s="17" t="n">
        <v>14157</v>
      </c>
      <c r="C40" s="18">
        <f>(12535.0/B40*100)</f>
        <v/>
      </c>
      <c r="D40" s="19" t="n">
        <v>1622</v>
      </c>
      <c r="E40" s="18" t="n">
        <v>57.60041776</v>
      </c>
      <c r="F40" s="20" t="n">
        <v>2.09237784</v>
      </c>
      <c r="G40" s="18" t="n">
        <v>41.27943958</v>
      </c>
      <c r="H40" s="20" t="n">
        <v>2.15228093</v>
      </c>
      <c r="I40" s="18" t="n">
        <v>0</v>
      </c>
      <c r="J40" s="20" t="n">
        <v>0</v>
      </c>
      <c r="K40" s="18" t="n">
        <v>1.12014266</v>
      </c>
      <c r="L40" s="20" t="n">
        <v>0.36608398</v>
      </c>
      <c r="M40" s="18" t="n">
        <v>0</v>
      </c>
      <c r="N40" s="20" t="n">
        <v>0</v>
      </c>
      <c r="O40" s="18" t="n">
        <v>0</v>
      </c>
      <c r="P40" s="20" t="n">
        <v>0</v>
      </c>
      <c r="Q40" s="18" t="n">
        <v>0</v>
      </c>
      <c r="R40" s="20" t="n">
        <v>0</v>
      </c>
    </row>
    <row r="41" spans="1:18">
      <c r="A41" s="15" t="s">
        <v>599</v>
      </c>
      <c r="B41" s="17" t="n">
        <v>5712</v>
      </c>
      <c r="C41" s="18">
        <f>(5082.0/B41*100)</f>
        <v/>
      </c>
      <c r="D41" s="19" t="n">
        <v>630</v>
      </c>
      <c r="E41" s="18" t="n">
        <v>55.47953999</v>
      </c>
      <c r="F41" s="20" t="n">
        <v>2.03478805</v>
      </c>
      <c r="G41" s="18" t="n">
        <v>42.90309515</v>
      </c>
      <c r="H41" s="20" t="n">
        <v>2.06769498</v>
      </c>
      <c r="I41" s="18" t="n">
        <v>0</v>
      </c>
      <c r="J41" s="20" t="n">
        <v>0</v>
      </c>
      <c r="K41" s="18" t="n">
        <v>1.61736486</v>
      </c>
      <c r="L41" s="20" t="n">
        <v>0.45495493</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(21444.0/B46*100)</f>
        <v/>
      </c>
      <c r="D46" s="19" t="n">
        <v>1697</v>
      </c>
      <c r="E46" s="18" t="n">
        <v>67.57958495</v>
      </c>
      <c r="F46" s="20" t="n">
        <v>1.35909772</v>
      </c>
      <c r="G46" s="18" t="n">
        <v>28.07306025</v>
      </c>
      <c r="H46" s="20" t="n">
        <v>1.27208043</v>
      </c>
      <c r="I46" s="18" t="n">
        <v>0</v>
      </c>
      <c r="J46" s="20" t="n">
        <v>0</v>
      </c>
      <c r="K46" s="18" t="n">
        <v>4.34735481</v>
      </c>
      <c r="L46" s="20" t="n">
        <v>0.70276771</v>
      </c>
      <c r="M46" s="18" t="n">
        <v>0</v>
      </c>
      <c r="N46" s="20" t="n">
        <v>0</v>
      </c>
      <c r="O46" s="18" t="n">
        <v>0</v>
      </c>
      <c r="P46" s="20" t="n">
        <v>0</v>
      </c>
      <c r="Q46" s="18" t="n">
        <v>0</v>
      </c>
      <c r="R46" s="20" t="n">
        <v>0</v>
      </c>
    </row>
    <row r="47" spans="1:18">
      <c r="A47" s="15" t="s">
        <v>606</v>
      </c>
      <c r="B47" s="17" t="n">
        <v>5928</v>
      </c>
      <c r="C47" s="18">
        <f>(5328.0/B47*100)</f>
        <v/>
      </c>
      <c r="D47" s="19" t="n">
        <v>600</v>
      </c>
      <c r="E47" s="18" t="n">
        <v>50.75520165</v>
      </c>
      <c r="F47" s="20" t="n">
        <v>1.83266899</v>
      </c>
      <c r="G47" s="18" t="n">
        <v>46.46906391</v>
      </c>
      <c r="H47" s="20" t="n">
        <v>1.85072454</v>
      </c>
      <c r="I47" s="18" t="n">
        <v>0</v>
      </c>
      <c r="J47" s="20" t="n">
        <v>0</v>
      </c>
      <c r="K47" s="18" t="n">
        <v>2.77573444</v>
      </c>
      <c r="L47" s="20" t="n">
        <v>0.68118356</v>
      </c>
      <c r="M47" s="18" t="n">
        <v>0</v>
      </c>
      <c r="N47" s="20" t="n">
        <v>0</v>
      </c>
      <c r="O47" s="18" t="n">
        <v>0</v>
      </c>
      <c r="P47" s="20" t="n">
        <v>0</v>
      </c>
      <c r="Q47" s="18" t="n">
        <v>0</v>
      </c>
      <c r="R47" s="20" t="n">
        <v>0</v>
      </c>
    </row>
    <row r="48" spans="1:18">
      <c r="A48" s="15" t="s">
        <v>607</v>
      </c>
      <c r="B48" s="17" t="n">
        <v>9841</v>
      </c>
      <c r="C48" s="18">
        <f>(8775.0/B48*100)</f>
        <v/>
      </c>
      <c r="D48" s="19" t="n">
        <v>1066</v>
      </c>
      <c r="E48" s="18" t="n">
        <v>44.74712338</v>
      </c>
      <c r="F48" s="20" t="n">
        <v>2.28259806</v>
      </c>
      <c r="G48" s="18" t="n">
        <v>54.44987577</v>
      </c>
      <c r="H48" s="20" t="n">
        <v>2.27594658</v>
      </c>
      <c r="I48" s="18" t="n">
        <v>0</v>
      </c>
      <c r="J48" s="20" t="n">
        <v>0</v>
      </c>
      <c r="K48" s="18" t="n">
        <v>0.80300086</v>
      </c>
      <c r="L48" s="20" t="n">
        <v>0.55733731</v>
      </c>
      <c r="M48" s="18" t="n">
        <v>0</v>
      </c>
      <c r="N48" s="20" t="n">
        <v>0</v>
      </c>
      <c r="O48" s="18" t="n">
        <v>0</v>
      </c>
      <c r="P48" s="20" t="n">
        <v>0</v>
      </c>
      <c r="Q48" s="18" t="n">
        <v>0</v>
      </c>
      <c r="R48" s="20" t="n">
        <v>0</v>
      </c>
    </row>
    <row r="49" spans="1:18">
      <c r="A49" s="15" t="s">
        <v>608</v>
      </c>
      <c r="B49" s="17" t="n">
        <v>11795</v>
      </c>
      <c r="C49" s="18">
        <f>(10588.0/B49*100)</f>
        <v/>
      </c>
      <c r="D49" s="19" t="n">
        <v>1207</v>
      </c>
      <c r="E49" s="18" t="n">
        <v>72.39532869</v>
      </c>
      <c r="F49" s="20" t="n">
        <v>1.6013277</v>
      </c>
      <c r="G49" s="18" t="n">
        <v>23.46348018</v>
      </c>
      <c r="H49" s="20" t="n">
        <v>1.56416512</v>
      </c>
      <c r="I49" s="18" t="n">
        <v>0</v>
      </c>
      <c r="J49" s="20" t="n">
        <v>0</v>
      </c>
      <c r="K49" s="18" t="n">
        <v>4.14119113</v>
      </c>
      <c r="L49" s="20" t="n">
        <v>0.91393962</v>
      </c>
      <c r="M49" s="18" t="n">
        <v>0</v>
      </c>
      <c r="N49" s="20" t="n">
        <v>0</v>
      </c>
      <c r="O49" s="18" t="n">
        <v>0</v>
      </c>
      <c r="P49" s="20" t="n">
        <v>0</v>
      </c>
      <c r="Q49" s="18" t="n">
        <v>0</v>
      </c>
      <c r="R49" s="20" t="n">
        <v>0</v>
      </c>
    </row>
    <row r="50" spans="1:18">
      <c r="A50" s="15" t="s">
        <v>609</v>
      </c>
      <c r="B50" s="17" t="n">
        <v>6866</v>
      </c>
      <c r="C50" s="18">
        <f>(5543.0/B50*100)</f>
        <v/>
      </c>
      <c r="D50" s="19" t="n">
        <v>1323</v>
      </c>
      <c r="E50" s="18" t="n">
        <v>69.42982682</v>
      </c>
      <c r="F50" s="20" t="n">
        <v>1.38081053</v>
      </c>
      <c r="G50" s="18" t="n">
        <v>29.54896717</v>
      </c>
      <c r="H50" s="20" t="n">
        <v>1.30109511</v>
      </c>
      <c r="I50" s="18" t="n">
        <v>0</v>
      </c>
      <c r="J50" s="20" t="n">
        <v>0</v>
      </c>
      <c r="K50" s="18" t="n">
        <v>1.021206</v>
      </c>
      <c r="L50" s="20" t="n">
        <v>0.31864505</v>
      </c>
      <c r="M50" s="18" t="n">
        <v>0</v>
      </c>
      <c r="N50" s="20" t="n">
        <v>0</v>
      </c>
      <c r="O50" s="18" t="n">
        <v>0</v>
      </c>
      <c r="P50" s="20" t="n">
        <v>0</v>
      </c>
      <c r="Q50" s="18" t="n">
        <v>0</v>
      </c>
      <c r="R50" s="20" t="n">
        <v>0</v>
      </c>
    </row>
    <row r="51" spans="1:18">
      <c r="A51" s="15" t="s">
        <v>610</v>
      </c>
      <c r="B51" s="17" t="n">
        <v>5809</v>
      </c>
      <c r="C51" s="18">
        <f>(5210.0/B51*100)</f>
        <v/>
      </c>
      <c r="D51" s="19" t="n">
        <v>599</v>
      </c>
      <c r="E51" s="18" t="n">
        <v>41.91586291</v>
      </c>
      <c r="F51" s="20" t="n">
        <v>1.68966772</v>
      </c>
      <c r="G51" s="18" t="n">
        <v>57.49469316</v>
      </c>
      <c r="H51" s="20" t="n">
        <v>1.72907848</v>
      </c>
      <c r="I51" s="18" t="n">
        <v>0</v>
      </c>
      <c r="J51" s="20" t="n">
        <v>0</v>
      </c>
      <c r="K51" s="18" t="n">
        <v>0.58944392</v>
      </c>
      <c r="L51" s="20" t="n">
        <v>0.34506901</v>
      </c>
      <c r="M51" s="18" t="n">
        <v>0</v>
      </c>
      <c r="N51" s="20" t="n">
        <v>0</v>
      </c>
      <c r="O51" s="18" t="n">
        <v>0</v>
      </c>
      <c r="P51" s="20" t="n">
        <v>0</v>
      </c>
      <c r="Q51" s="18" t="n">
        <v>0</v>
      </c>
      <c r="R51" s="20" t="n">
        <v>0</v>
      </c>
    </row>
    <row r="52" spans="1:18">
      <c r="A52" s="15" t="s">
        <v>611</v>
      </c>
      <c r="B52" s="17" t="n">
        <v>5571</v>
      </c>
      <c r="C52" s="18">
        <f>(4973.0/B52*100)</f>
        <v/>
      </c>
      <c r="D52" s="19" t="n">
        <v>598</v>
      </c>
      <c r="E52" s="18" t="n">
        <v>59.58302069</v>
      </c>
      <c r="F52" s="20" t="n">
        <v>2.12051257</v>
      </c>
      <c r="G52" s="18" t="n">
        <v>39.15958044</v>
      </c>
      <c r="H52" s="20" t="n">
        <v>2.07804166</v>
      </c>
      <c r="I52" s="18" t="n">
        <v>0</v>
      </c>
      <c r="J52" s="20" t="n">
        <v>0</v>
      </c>
      <c r="K52" s="18" t="n">
        <v>1.25739887</v>
      </c>
      <c r="L52" s="20" t="n">
        <v>0.46466309</v>
      </c>
      <c r="M52" s="18" t="n">
        <v>0</v>
      </c>
      <c r="N52" s="20" t="n">
        <v>0</v>
      </c>
      <c r="O52" s="18" t="n">
        <v>0</v>
      </c>
      <c r="P52" s="20" t="n">
        <v>0</v>
      </c>
      <c r="Q52" s="18" t="n">
        <v>0</v>
      </c>
      <c r="R52" s="20" t="n">
        <v>0</v>
      </c>
    </row>
    <row r="53" spans="1:18">
      <c r="A53" s="15" t="s">
        <v>612</v>
      </c>
      <c r="B53" s="17" t="n">
        <v>4740</v>
      </c>
      <c r="C53" s="18">
        <f>(4227.0/B53*100)</f>
        <v/>
      </c>
      <c r="D53" s="19" t="n">
        <v>513</v>
      </c>
      <c r="E53" s="18" t="n">
        <v>51.91496128</v>
      </c>
      <c r="F53" s="20" t="n">
        <v>2.49003907</v>
      </c>
      <c r="G53" s="18" t="n">
        <v>21.1080932</v>
      </c>
      <c r="H53" s="20" t="n">
        <v>1.98832636</v>
      </c>
      <c r="I53" s="18" t="n">
        <v>0</v>
      </c>
      <c r="J53" s="20" t="n">
        <v>0</v>
      </c>
      <c r="K53" s="18" t="n">
        <v>26.97694553</v>
      </c>
      <c r="L53" s="20" t="n">
        <v>2.27316984</v>
      </c>
      <c r="M53" s="18" t="n">
        <v>0</v>
      </c>
      <c r="N53" s="20" t="n">
        <v>0</v>
      </c>
      <c r="O53" s="18" t="n">
        <v>0</v>
      </c>
      <c r="P53" s="20" t="n">
        <v>0</v>
      </c>
      <c r="Q53" s="18" t="n">
        <v>0</v>
      </c>
      <c r="R53" s="20" t="n">
        <v>0</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(4782.0/B55*100)</f>
        <v/>
      </c>
      <c r="D55" s="19" t="n">
        <v>577</v>
      </c>
      <c r="E55" s="18" t="n">
        <v>40.43000786</v>
      </c>
      <c r="F55" s="20" t="n">
        <v>2.34586311</v>
      </c>
      <c r="G55" s="18" t="n">
        <v>58.78801364</v>
      </c>
      <c r="H55" s="20" t="n">
        <v>2.23031933</v>
      </c>
      <c r="I55" s="18" t="n">
        <v>0</v>
      </c>
      <c r="J55" s="20" t="n">
        <v>0</v>
      </c>
      <c r="K55" s="18" t="n">
        <v>0.7819785</v>
      </c>
      <c r="L55" s="20" t="n">
        <v>0.40967927</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(5838.0/B61*100)</f>
        <v/>
      </c>
      <c r="D61" s="19" t="n">
        <v>687</v>
      </c>
      <c r="E61" s="18" t="n">
        <v>44.9543398</v>
      </c>
      <c r="F61" s="20" t="n">
        <v>1.97787022</v>
      </c>
      <c r="G61" s="18" t="n">
        <v>53.91791042</v>
      </c>
      <c r="H61" s="20" t="n">
        <v>1.99799767</v>
      </c>
      <c r="I61" s="18" t="n">
        <v>0</v>
      </c>
      <c r="J61" s="20" t="n">
        <v>0</v>
      </c>
      <c r="K61" s="18" t="n">
        <v>1.12774978</v>
      </c>
      <c r="L61" s="20" t="n">
        <v>0.41414668</v>
      </c>
      <c r="M61" s="18" t="n">
        <v>0</v>
      </c>
      <c r="N61" s="20" t="n">
        <v>0</v>
      </c>
      <c r="O61" s="18" t="n">
        <v>0</v>
      </c>
      <c r="P61" s="20" t="n">
        <v>0</v>
      </c>
      <c r="Q61" s="18" t="n">
        <v>0</v>
      </c>
      <c r="R61" s="20" t="n">
        <v>0</v>
      </c>
    </row>
    <row r="62" spans="1:18">
      <c r="A62" s="15" t="s">
        <v>622</v>
      </c>
      <c r="B62" s="17" t="n">
        <v>4476</v>
      </c>
      <c r="C62" s="18">
        <f>(3986.0/B62*100)</f>
        <v/>
      </c>
      <c r="D62" s="19" t="n">
        <v>490</v>
      </c>
      <c r="E62" s="18" t="n">
        <v>45.45582503</v>
      </c>
      <c r="F62" s="20" t="n">
        <v>2.21488569</v>
      </c>
      <c r="G62" s="18" t="n">
        <v>54.54417497</v>
      </c>
      <c r="H62" s="20" t="n">
        <v>2.21488569</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(5092.0/B67*100)</f>
        <v/>
      </c>
      <c r="D67" s="19" t="n">
        <v>573</v>
      </c>
      <c r="E67" s="18" t="n">
        <v>0</v>
      </c>
      <c r="F67" s="20" t="n">
        <v>0</v>
      </c>
      <c r="G67" s="18" t="n">
        <v>0</v>
      </c>
      <c r="H67" s="20" t="n">
        <v>0</v>
      </c>
      <c r="I67" s="18" t="n">
        <v>0</v>
      </c>
      <c r="J67" s="20" t="n">
        <v>0</v>
      </c>
      <c r="K67" s="18" t="n">
        <v>0</v>
      </c>
      <c r="L67" s="20" t="n">
        <v>0</v>
      </c>
      <c r="M67" s="18" t="n">
        <v>100</v>
      </c>
      <c r="N67" s="20" t="n">
        <v>0</v>
      </c>
      <c r="O67" s="18" t="n">
        <v>0</v>
      </c>
      <c r="P67" s="20" t="n">
        <v>0</v>
      </c>
      <c r="Q67" s="18" t="n">
        <v>0</v>
      </c>
      <c r="R67" s="20" t="n">
        <v>0</v>
      </c>
    </row>
    <row r="68" spans="1:18">
      <c r="A68" s="15" t="s">
        <v>628</v>
      </c>
      <c r="B68" s="17" t="n">
        <v>6971</v>
      </c>
      <c r="C68" s="18">
        <f>(6404.0/B68*100)</f>
        <v/>
      </c>
      <c r="D68" s="19" t="n">
        <v>567</v>
      </c>
      <c r="E68" s="18" t="n">
        <v>66.01976611000001</v>
      </c>
      <c r="F68" s="20" t="n">
        <v>2.34772496</v>
      </c>
      <c r="G68" s="18" t="n">
        <v>32.3854601</v>
      </c>
      <c r="H68" s="20" t="n">
        <v>2.20418677</v>
      </c>
      <c r="I68" s="18" t="n">
        <v>0</v>
      </c>
      <c r="J68" s="20" t="n">
        <v>0</v>
      </c>
      <c r="K68" s="18" t="n">
        <v>1.59477379</v>
      </c>
      <c r="L68" s="20" t="n">
        <v>0.5195244</v>
      </c>
      <c r="M68" s="18" t="n">
        <v>0</v>
      </c>
      <c r="N68" s="20" t="n">
        <v>0</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(10754.0/B70*100)</f>
        <v/>
      </c>
      <c r="D70" s="19" t="n">
        <v>1329</v>
      </c>
      <c r="E70" s="18" t="n">
        <v>59.89375429</v>
      </c>
      <c r="F70" s="20" t="n">
        <v>1.36881427</v>
      </c>
      <c r="G70" s="18" t="n">
        <v>33.26271393</v>
      </c>
      <c r="H70" s="20" t="n">
        <v>1.37423981</v>
      </c>
      <c r="I70" s="18" t="n">
        <v>0</v>
      </c>
      <c r="J70" s="20" t="n">
        <v>0</v>
      </c>
      <c r="K70" s="18" t="n">
        <v>6.84353178</v>
      </c>
      <c r="L70" s="20" t="n">
        <v>0.70138702</v>
      </c>
      <c r="M70" s="18" t="n">
        <v>0</v>
      </c>
      <c r="N70" s="20" t="n">
        <v>0</v>
      </c>
      <c r="O70" s="18" t="n">
        <v>0</v>
      </c>
      <c r="P70" s="20" t="n">
        <v>0</v>
      </c>
      <c r="Q70" s="18" t="n">
        <v>0</v>
      </c>
      <c r="R70" s="20" t="n">
        <v>0</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(5453.0/B72*100)</f>
        <v/>
      </c>
      <c r="D72" s="19" t="n">
        <v>583</v>
      </c>
      <c r="E72" s="18" t="n">
        <v>43.14493297</v>
      </c>
      <c r="F72" s="20" t="n">
        <v>2.77093598</v>
      </c>
      <c r="G72" s="18" t="n">
        <v>55.35772437</v>
      </c>
      <c r="H72" s="20" t="n">
        <v>2.65390615</v>
      </c>
      <c r="I72" s="18" t="n">
        <v>0</v>
      </c>
      <c r="J72" s="20" t="n">
        <v>0</v>
      </c>
      <c r="K72" s="18" t="n">
        <v>1.49734266</v>
      </c>
      <c r="L72" s="20" t="n">
        <v>0.33452829</v>
      </c>
      <c r="M72" s="18" t="n">
        <v>0</v>
      </c>
      <c r="N72" s="20" t="n">
        <v>0</v>
      </c>
      <c r="O72" s="18" t="n">
        <v>0</v>
      </c>
      <c r="P72" s="20" t="n">
        <v>0</v>
      </c>
      <c r="Q72" s="18" t="n">
        <v>0</v>
      </c>
      <c r="R72" s="20" t="n">
        <v>0</v>
      </c>
    </row>
    <row r="73" spans="1:18">
      <c r="A73" s="15" t="s">
        <v>633</v>
      </c>
      <c r="B73" s="17" t="n">
        <v>6115</v>
      </c>
      <c r="C73" s="18">
        <f>(5438.0/B73*100)</f>
        <v/>
      </c>
      <c r="D73" s="19" t="n">
        <v>677</v>
      </c>
      <c r="E73" s="18" t="n">
        <v>47.30918107</v>
      </c>
      <c r="F73" s="20" t="n">
        <v>2.01487494</v>
      </c>
      <c r="G73" s="18" t="n">
        <v>52.21895034</v>
      </c>
      <c r="H73" s="20" t="n">
        <v>2.03529931</v>
      </c>
      <c r="I73" s="18" t="n">
        <v>0</v>
      </c>
      <c r="J73" s="20" t="n">
        <v>0</v>
      </c>
      <c r="K73" s="18" t="n">
        <v>0.47186859</v>
      </c>
      <c r="L73" s="20" t="n">
        <v>0.27397636</v>
      </c>
      <c r="M73" s="18" t="n">
        <v>0</v>
      </c>
      <c r="N73" s="20" t="n">
        <v>0</v>
      </c>
      <c r="O73" s="18" t="n">
        <v>0</v>
      </c>
      <c r="P73" s="20" t="n">
        <v>0</v>
      </c>
      <c r="Q73" s="18" t="n">
        <v>0</v>
      </c>
      <c r="R73" s="20" t="n">
        <v>0</v>
      </c>
    </row>
    <row r="74" spans="1:18">
      <c r="A74" s="15" t="s">
        <v>634</v>
      </c>
      <c r="B74" s="17" t="n">
        <v>7708</v>
      </c>
      <c r="C74" s="18">
        <f>(6818.0/B74*100)</f>
        <v/>
      </c>
      <c r="D74" s="19" t="n">
        <v>890</v>
      </c>
      <c r="E74" s="18" t="n">
        <v>28.09060956</v>
      </c>
      <c r="F74" s="20" t="n">
        <v>1.58959168</v>
      </c>
      <c r="G74" s="18" t="n">
        <v>71.53341906</v>
      </c>
      <c r="H74" s="20" t="n">
        <v>1.57178847</v>
      </c>
      <c r="I74" s="18" t="n">
        <v>0</v>
      </c>
      <c r="J74" s="20" t="n">
        <v>0</v>
      </c>
      <c r="K74" s="18" t="n">
        <v>0.37597138</v>
      </c>
      <c r="L74" s="20" t="n">
        <v>0.18172951</v>
      </c>
      <c r="M74" s="18" t="n">
        <v>0</v>
      </c>
      <c r="N74" s="20" t="n">
        <v>0</v>
      </c>
      <c r="O74" s="18" t="n">
        <v>0</v>
      </c>
      <c r="P74" s="20" t="n">
        <v>0</v>
      </c>
      <c r="Q74" s="18" t="n">
        <v>0</v>
      </c>
      <c r="R74" s="20" t="n">
        <v>0</v>
      </c>
    </row>
    <row r="75" spans="1:18">
      <c r="A75" s="15" t="s">
        <v>635</v>
      </c>
      <c r="B75" s="17" t="n">
        <v>8249</v>
      </c>
      <c r="C75" s="18">
        <f>(7410.0/B75*100)</f>
        <v/>
      </c>
      <c r="D75" s="19" t="n">
        <v>839</v>
      </c>
      <c r="E75" s="18" t="n">
        <v>61.61855926</v>
      </c>
      <c r="F75" s="20" t="n">
        <v>1.80256593</v>
      </c>
      <c r="G75" s="18" t="n">
        <v>37.91484882</v>
      </c>
      <c r="H75" s="20" t="n">
        <v>1.82193071</v>
      </c>
      <c r="I75" s="18" t="n">
        <v>0</v>
      </c>
      <c r="J75" s="20" t="n">
        <v>0</v>
      </c>
      <c r="K75" s="18" t="n">
        <v>0.46659192</v>
      </c>
      <c r="L75" s="20" t="n">
        <v>0.30477236</v>
      </c>
      <c r="M75" s="18" t="n">
        <v>0</v>
      </c>
      <c r="N75" s="20" t="n">
        <v>0</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(4878.0/B77*100)</f>
        <v/>
      </c>
      <c r="D77" s="19" t="n">
        <v>497</v>
      </c>
      <c r="E77" s="18" t="n">
        <v>56.64397371</v>
      </c>
      <c r="F77" s="20" t="n">
        <v>2.46956495</v>
      </c>
      <c r="G77" s="18" t="n">
        <v>33.12586773</v>
      </c>
      <c r="H77" s="20" t="n">
        <v>2.09717438</v>
      </c>
      <c r="I77" s="18" t="n">
        <v>0</v>
      </c>
      <c r="J77" s="20" t="n">
        <v>0</v>
      </c>
      <c r="K77" s="18" t="n">
        <v>10.23015857</v>
      </c>
      <c r="L77" s="20" t="n">
        <v>1.37664199</v>
      </c>
      <c r="M77" s="18" t="n">
        <v>0</v>
      </c>
      <c r="N77" s="20" t="n">
        <v>0</v>
      </c>
      <c r="O77" s="18" t="n">
        <v>0</v>
      </c>
      <c r="P77" s="20" t="n">
        <v>0</v>
      </c>
      <c r="Q77" s="18" t="n">
        <v>0</v>
      </c>
      <c r="R77" s="20" t="n">
        <v>0</v>
      </c>
    </row>
    <row r="78" spans="1:18">
      <c r="A78" s="15" t="s">
        <v>638</v>
      </c>
      <c r="B78" s="17" t="n">
        <v>14167</v>
      </c>
      <c r="C78" s="18">
        <f>(12582.0/B78*100)</f>
        <v/>
      </c>
      <c r="D78" s="19" t="n">
        <v>1585</v>
      </c>
      <c r="E78" s="18" t="n">
        <v>62.36699897</v>
      </c>
      <c r="F78" s="20" t="n">
        <v>1.72504359</v>
      </c>
      <c r="G78" s="18" t="n">
        <v>35.71335198</v>
      </c>
      <c r="H78" s="20" t="n">
        <v>1.7807776</v>
      </c>
      <c r="I78" s="18" t="n">
        <v>0</v>
      </c>
      <c r="J78" s="20" t="n">
        <v>0</v>
      </c>
      <c r="K78" s="18" t="n">
        <v>1.91964905</v>
      </c>
      <c r="L78" s="20" t="n">
        <v>0.44120431</v>
      </c>
      <c r="M78" s="18" t="n">
        <v>0</v>
      </c>
      <c r="N78" s="20" t="n">
        <v>0</v>
      </c>
      <c r="O78" s="18" t="n">
        <v>0</v>
      </c>
      <c r="P78" s="20" t="n">
        <v>0</v>
      </c>
      <c r="Q78" s="18" t="n">
        <v>0</v>
      </c>
      <c r="R78" s="20" t="n">
        <v>0</v>
      </c>
    </row>
    <row r="79" spans="1:18">
      <c r="A79" s="15" t="s">
        <v>639</v>
      </c>
      <c r="B79" s="17" t="n">
        <v>6062</v>
      </c>
      <c r="C79" s="18">
        <f>(5470.0/B79*100)</f>
        <v/>
      </c>
      <c r="D79" s="19" t="n">
        <v>592</v>
      </c>
      <c r="E79" s="18" t="n">
        <v>56.59939565</v>
      </c>
      <c r="F79" s="20" t="n">
        <v>2.04401274</v>
      </c>
      <c r="G79" s="18" t="n">
        <v>38.23667062</v>
      </c>
      <c r="H79" s="20" t="n">
        <v>2.24518348</v>
      </c>
      <c r="I79" s="18" t="n">
        <v>0</v>
      </c>
      <c r="J79" s="20" t="n">
        <v>0</v>
      </c>
      <c r="K79" s="18" t="n">
        <v>5.16393373</v>
      </c>
      <c r="L79" s="20" t="n">
        <v>1.00866366</v>
      </c>
      <c r="M79" s="18" t="n">
        <v>0</v>
      </c>
      <c r="N79" s="20" t="n">
        <v>0</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(28866.0/B82*100)</f>
        <v/>
      </c>
      <c r="D82" s="19" t="n">
        <v>3464</v>
      </c>
      <c r="E82" s="18" t="n">
        <v>45.76783733</v>
      </c>
      <c r="F82" s="20" t="n">
        <v>1.41003296</v>
      </c>
      <c r="G82" s="18" t="n">
        <v>52.95248118</v>
      </c>
      <c r="H82" s="20" t="n">
        <v>1.44652235</v>
      </c>
      <c r="I82" s="18" t="n">
        <v>0</v>
      </c>
      <c r="J82" s="20" t="n">
        <v>0</v>
      </c>
      <c r="K82" s="18" t="n">
        <v>1.27968149</v>
      </c>
      <c r="L82" s="20" t="n">
        <v>0.22747761</v>
      </c>
      <c r="M82" s="18" t="n">
        <v>0</v>
      </c>
      <c r="N82" s="20" t="n">
        <v>0</v>
      </c>
      <c r="O82" s="18" t="n">
        <v>0</v>
      </c>
      <c r="P82" s="20" t="n">
        <v>0</v>
      </c>
      <c r="Q82" s="18" t="n">
        <v>0</v>
      </c>
      <c r="R82" s="20" t="n">
        <v>0</v>
      </c>
    </row>
    <row r="83" spans="1:18">
      <c r="A83" s="15" t="s">
        <v>643</v>
      </c>
      <c r="B83" s="17" t="n">
        <v>1652</v>
      </c>
      <c r="C83" s="18">
        <f>(1456.0/B83*100)</f>
        <v/>
      </c>
      <c r="D83" s="19" t="n">
        <v>196</v>
      </c>
      <c r="E83" s="18" t="n">
        <v>57.81605252</v>
      </c>
      <c r="F83" s="20" t="n">
        <v>3.45271747</v>
      </c>
      <c r="G83" s="18" t="n">
        <v>41.69303698</v>
      </c>
      <c r="H83" s="20" t="n">
        <v>3.61512409</v>
      </c>
      <c r="I83" s="18" t="n">
        <v>0</v>
      </c>
      <c r="J83" s="20" t="n">
        <v>0</v>
      </c>
      <c r="K83" s="18" t="n">
        <v>0.4909105</v>
      </c>
      <c r="L83" s="20" t="n">
        <v>0.48389922</v>
      </c>
      <c r="M83" s="18" t="n">
        <v>0</v>
      </c>
      <c r="N83" s="20" t="n">
        <v>0</v>
      </c>
      <c r="O83" s="18" t="n">
        <v>0</v>
      </c>
      <c r="P83" s="20" t="n">
        <v>0</v>
      </c>
      <c r="Q83" s="18" t="n">
        <v>0</v>
      </c>
      <c r="R83" s="20" t="n">
        <v>0</v>
      </c>
    </row>
    <row r="84" spans="1:18">
      <c r="A84" s="23" t="s">
        <v>644</v>
      </c>
      <c r="B84" s="24" t="n">
        <v>1887</v>
      </c>
      <c r="C84" s="25">
        <f>(1641.0/B84*100)</f>
        <v/>
      </c>
      <c r="D84" s="19" t="n">
        <v>246</v>
      </c>
      <c r="E84" s="18" t="n">
        <v>52.33560223</v>
      </c>
      <c r="F84" s="20" t="n">
        <v>3.99761553</v>
      </c>
      <c r="G84" s="18" t="n">
        <v>47.66439777</v>
      </c>
      <c r="H84" s="20" t="n">
        <v>3.99761553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679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(12959.0/B7*100)</f>
        <v/>
      </c>
      <c r="D7" s="19" t="n">
        <v>1571</v>
      </c>
      <c r="E7" s="18" t="n">
        <v>30.80053073</v>
      </c>
      <c r="F7" s="20" t="n">
        <v>1.16991618</v>
      </c>
      <c r="G7" s="18" t="n">
        <v>58.8021987</v>
      </c>
      <c r="H7" s="20" t="n">
        <v>1.26226593</v>
      </c>
      <c r="I7" s="18" t="n">
        <v>0</v>
      </c>
      <c r="J7" s="20" t="n">
        <v>0</v>
      </c>
      <c r="K7" s="18" t="n">
        <v>0.14092608</v>
      </c>
      <c r="L7" s="20" t="n">
        <v>0.11010706</v>
      </c>
      <c r="M7" s="18" t="n">
        <v>0.17222271</v>
      </c>
      <c r="N7" s="20" t="n">
        <v>0.1530401</v>
      </c>
      <c r="O7" s="18" t="n">
        <v>0</v>
      </c>
      <c r="P7" s="20" t="n">
        <v>0</v>
      </c>
      <c r="Q7" s="18" t="n">
        <v>10.08412178</v>
      </c>
      <c r="R7" s="20" t="n">
        <v>0.85727193</v>
      </c>
    </row>
    <row r="8" spans="1:18">
      <c r="A8" s="15" t="s">
        <v>566</v>
      </c>
      <c r="B8" s="17" t="n">
        <v>7007</v>
      </c>
      <c r="C8" s="18">
        <f>(6232.0/B8*100)</f>
        <v/>
      </c>
      <c r="D8" s="19" t="n">
        <v>775</v>
      </c>
      <c r="E8" s="18" t="n">
        <v>36.06959182</v>
      </c>
      <c r="F8" s="20" t="n">
        <v>1.96088181</v>
      </c>
      <c r="G8" s="18" t="n">
        <v>42.89684259</v>
      </c>
      <c r="H8" s="20" t="n">
        <v>1.91122758</v>
      </c>
      <c r="I8" s="18" t="n">
        <v>0</v>
      </c>
      <c r="J8" s="20" t="n">
        <v>0</v>
      </c>
      <c r="K8" s="18" t="n">
        <v>0.15036701</v>
      </c>
      <c r="L8" s="20" t="n">
        <v>0.17163397</v>
      </c>
      <c r="M8" s="18" t="n">
        <v>0</v>
      </c>
      <c r="N8" s="20" t="n">
        <v>0</v>
      </c>
      <c r="O8" s="18" t="n">
        <v>0</v>
      </c>
      <c r="P8" s="20" t="n">
        <v>0</v>
      </c>
      <c r="Q8" s="18" t="n">
        <v>20.88319857</v>
      </c>
      <c r="R8" s="20" t="n">
        <v>1.3997351</v>
      </c>
    </row>
    <row r="9" spans="1:18">
      <c r="A9" s="15" t="s">
        <v>567</v>
      </c>
      <c r="B9" s="17" t="n">
        <v>9651</v>
      </c>
      <c r="C9" s="18">
        <f>(8613.0/B9*100)</f>
        <v/>
      </c>
      <c r="D9" s="19" t="n">
        <v>1038</v>
      </c>
      <c r="E9" s="18" t="n">
        <v>31.32995129</v>
      </c>
      <c r="F9" s="20" t="n">
        <v>1.60942615</v>
      </c>
      <c r="G9" s="18" t="n">
        <v>51.981884</v>
      </c>
      <c r="H9" s="20" t="n">
        <v>1.55413394</v>
      </c>
      <c r="I9" s="18" t="n">
        <v>0</v>
      </c>
      <c r="J9" s="20" t="n">
        <v>0</v>
      </c>
      <c r="K9" s="18" t="n">
        <v>0</v>
      </c>
      <c r="L9" s="20" t="n">
        <v>0</v>
      </c>
      <c r="M9" s="18" t="n">
        <v>0.32807553</v>
      </c>
      <c r="N9" s="20" t="n">
        <v>0.19905178</v>
      </c>
      <c r="O9" s="18" t="n">
        <v>0</v>
      </c>
      <c r="P9" s="20" t="n">
        <v>0</v>
      </c>
      <c r="Q9" s="18" t="n">
        <v>16.36008919</v>
      </c>
      <c r="R9" s="20" t="n">
        <v>1.18273505</v>
      </c>
    </row>
    <row r="10" spans="1:18">
      <c r="A10" s="15" t="s">
        <v>568</v>
      </c>
      <c r="B10" s="17" t="n">
        <v>20058</v>
      </c>
      <c r="C10" s="18">
        <f>(17764.0/B10*100)</f>
        <v/>
      </c>
      <c r="D10" s="19" t="n">
        <v>2294</v>
      </c>
      <c r="E10" s="18" t="n">
        <v>29.47676949</v>
      </c>
      <c r="F10" s="20" t="n">
        <v>1.43317765</v>
      </c>
      <c r="G10" s="18" t="n">
        <v>63.28745762</v>
      </c>
      <c r="H10" s="20" t="n">
        <v>1.50185099</v>
      </c>
      <c r="I10" s="18" t="n">
        <v>0</v>
      </c>
      <c r="J10" s="20" t="n">
        <v>0</v>
      </c>
      <c r="K10" s="18" t="n">
        <v>0.19958525</v>
      </c>
      <c r="L10" s="20" t="n">
        <v>0.1290128</v>
      </c>
      <c r="M10" s="18" t="n">
        <v>0</v>
      </c>
      <c r="N10" s="20" t="n">
        <v>0</v>
      </c>
      <c r="O10" s="18" t="n">
        <v>0</v>
      </c>
      <c r="P10" s="20" t="n">
        <v>0</v>
      </c>
      <c r="Q10" s="18" t="n">
        <v>7.03618764</v>
      </c>
      <c r="R10" s="20" t="n">
        <v>0.75744393</v>
      </c>
    </row>
    <row r="11" spans="1:18">
      <c r="A11" s="15" t="s">
        <v>569</v>
      </c>
      <c r="B11" s="17" t="n">
        <v>7053</v>
      </c>
      <c r="C11" s="18">
        <f>(6306.0/B11*100)</f>
        <v/>
      </c>
      <c r="D11" s="19" t="n">
        <v>747</v>
      </c>
      <c r="E11" s="18" t="n">
        <v>37.98390821</v>
      </c>
      <c r="F11" s="20" t="n">
        <v>1.9636115</v>
      </c>
      <c r="G11" s="18" t="n">
        <v>47.5455065</v>
      </c>
      <c r="H11" s="20" t="n">
        <v>2.5344986</v>
      </c>
      <c r="I11" s="18" t="n">
        <v>0</v>
      </c>
      <c r="J11" s="20" t="n">
        <v>0</v>
      </c>
      <c r="K11" s="18" t="n">
        <v>0.39370464</v>
      </c>
      <c r="L11" s="20" t="n">
        <v>0.23642716</v>
      </c>
      <c r="M11" s="18" t="n">
        <v>0</v>
      </c>
      <c r="N11" s="20" t="n">
        <v>0</v>
      </c>
      <c r="O11" s="18" t="n">
        <v>0</v>
      </c>
      <c r="P11" s="20" t="n">
        <v>0</v>
      </c>
      <c r="Q11" s="18" t="n">
        <v>14.07688066</v>
      </c>
      <c r="R11" s="20" t="n">
        <v>1.79490221</v>
      </c>
    </row>
    <row r="12" spans="1:18">
      <c r="A12" s="15" t="s">
        <v>570</v>
      </c>
      <c r="B12" s="17" t="n">
        <v>6894</v>
      </c>
      <c r="C12" s="18">
        <f>(6131.0/B12*100)</f>
        <v/>
      </c>
      <c r="D12" s="19" t="n">
        <v>763</v>
      </c>
      <c r="E12" s="18" t="n">
        <v>35.06199614</v>
      </c>
      <c r="F12" s="20" t="n">
        <v>2.20987719</v>
      </c>
      <c r="G12" s="18" t="n">
        <v>41.12306647</v>
      </c>
      <c r="H12" s="20" t="n">
        <v>1.79677263</v>
      </c>
      <c r="I12" s="18" t="n">
        <v>0</v>
      </c>
      <c r="J12" s="20" t="n">
        <v>0</v>
      </c>
      <c r="K12" s="18" t="n">
        <v>0.1195657</v>
      </c>
      <c r="L12" s="20" t="n">
        <v>0.11809678</v>
      </c>
      <c r="M12" s="18" t="n">
        <v>0</v>
      </c>
      <c r="N12" s="20" t="n">
        <v>0</v>
      </c>
      <c r="O12" s="18" t="n">
        <v>0</v>
      </c>
      <c r="P12" s="20" t="n">
        <v>0</v>
      </c>
      <c r="Q12" s="18" t="n">
        <v>23.69537169</v>
      </c>
      <c r="R12" s="20" t="n">
        <v>2.02090055</v>
      </c>
    </row>
    <row r="13" spans="1:18">
      <c r="A13" s="15" t="s">
        <v>571</v>
      </c>
      <c r="B13" s="17" t="n">
        <v>7161</v>
      </c>
      <c r="C13" s="18">
        <f>(6372.0/B13*100)</f>
        <v/>
      </c>
      <c r="D13" s="19" t="n">
        <v>789</v>
      </c>
      <c r="E13" s="18" t="n">
        <v>27.636716</v>
      </c>
      <c r="F13" s="20" t="n">
        <v>1.921767</v>
      </c>
      <c r="G13" s="18" t="n">
        <v>58.0593015</v>
      </c>
      <c r="H13" s="20" t="n">
        <v>1.98466573</v>
      </c>
      <c r="I13" s="18" t="n">
        <v>0</v>
      </c>
      <c r="J13" s="20" t="n">
        <v>0</v>
      </c>
      <c r="K13" s="18" t="n">
        <v>0.04064994</v>
      </c>
      <c r="L13" s="20" t="n">
        <v>0.04063376</v>
      </c>
      <c r="M13" s="18" t="n">
        <v>0</v>
      </c>
      <c r="N13" s="20" t="n">
        <v>0</v>
      </c>
      <c r="O13" s="18" t="n">
        <v>0</v>
      </c>
      <c r="P13" s="20" t="n">
        <v>0</v>
      </c>
      <c r="Q13" s="18" t="n">
        <v>14.26333256</v>
      </c>
      <c r="R13" s="20" t="n">
        <v>1.1045466</v>
      </c>
    </row>
    <row r="14" spans="1:18">
      <c r="A14" s="15" t="s">
        <v>572</v>
      </c>
      <c r="B14" s="17" t="n">
        <v>5587</v>
      </c>
      <c r="C14" s="18">
        <f>(4958.0/B14*100)</f>
        <v/>
      </c>
      <c r="D14" s="19" t="n">
        <v>629</v>
      </c>
      <c r="E14" s="18" t="n">
        <v>26.4833118</v>
      </c>
      <c r="F14" s="20" t="n">
        <v>1.81889473</v>
      </c>
      <c r="G14" s="18" t="n">
        <v>63.04750449</v>
      </c>
      <c r="H14" s="20" t="n">
        <v>2.03414069</v>
      </c>
      <c r="I14" s="18" t="n">
        <v>0</v>
      </c>
      <c r="J14" s="20" t="n">
        <v>0</v>
      </c>
      <c r="K14" s="18" t="n">
        <v>0</v>
      </c>
      <c r="L14" s="20" t="n">
        <v>0</v>
      </c>
      <c r="M14" s="18" t="n">
        <v>0</v>
      </c>
      <c r="N14" s="20" t="n">
        <v>0</v>
      </c>
      <c r="O14" s="18" t="n">
        <v>0</v>
      </c>
      <c r="P14" s="20" t="n">
        <v>0</v>
      </c>
      <c r="Q14" s="18" t="n">
        <v>10.46918371</v>
      </c>
      <c r="R14" s="20" t="n">
        <v>1.53917808</v>
      </c>
    </row>
    <row r="15" spans="1:18">
      <c r="A15" s="15" t="s">
        <v>573</v>
      </c>
      <c r="B15" s="17" t="n">
        <v>5882</v>
      </c>
      <c r="C15" s="18">
        <f>(5280.0/B15*100)</f>
        <v/>
      </c>
      <c r="D15" s="19" t="n">
        <v>602</v>
      </c>
      <c r="E15" s="18" t="n">
        <v>25.26733294</v>
      </c>
      <c r="F15" s="20" t="n">
        <v>2.10578737</v>
      </c>
      <c r="G15" s="18" t="n">
        <v>61.56424014</v>
      </c>
      <c r="H15" s="20" t="n">
        <v>2.48594443</v>
      </c>
      <c r="I15" s="18" t="n">
        <v>0</v>
      </c>
      <c r="J15" s="20" t="n">
        <v>0</v>
      </c>
      <c r="K15" s="18" t="n">
        <v>0</v>
      </c>
      <c r="L15" s="20" t="n">
        <v>0</v>
      </c>
      <c r="M15" s="18" t="n">
        <v>0</v>
      </c>
      <c r="N15" s="20" t="n">
        <v>0</v>
      </c>
      <c r="O15" s="18" t="n">
        <v>0</v>
      </c>
      <c r="P15" s="20" t="n">
        <v>0</v>
      </c>
      <c r="Q15" s="18" t="n">
        <v>13.16842693</v>
      </c>
      <c r="R15" s="20" t="n">
        <v>1.45960049</v>
      </c>
    </row>
    <row r="16" spans="1:18">
      <c r="A16" s="15" t="s">
        <v>574</v>
      </c>
      <c r="B16" s="17" t="n">
        <v>6108</v>
      </c>
      <c r="C16" s="18">
        <f>(5443.0/B16*100)</f>
        <v/>
      </c>
      <c r="D16" s="19" t="n">
        <v>665</v>
      </c>
      <c r="E16" s="18" t="n">
        <v>28.67553165</v>
      </c>
      <c r="F16" s="20" t="n">
        <v>1.78966165</v>
      </c>
      <c r="G16" s="18" t="n">
        <v>49.93378225</v>
      </c>
      <c r="H16" s="20" t="n">
        <v>2.04603749</v>
      </c>
      <c r="I16" s="18" t="n">
        <v>0</v>
      </c>
      <c r="J16" s="20" t="n">
        <v>0</v>
      </c>
      <c r="K16" s="18" t="n">
        <v>0.16239494</v>
      </c>
      <c r="L16" s="20" t="n">
        <v>0.1229545</v>
      </c>
      <c r="M16" s="18" t="n">
        <v>0</v>
      </c>
      <c r="N16" s="20" t="n">
        <v>0</v>
      </c>
      <c r="O16" s="18" t="n">
        <v>0</v>
      </c>
      <c r="P16" s="20" t="n">
        <v>0</v>
      </c>
      <c r="Q16" s="18" t="n">
        <v>21.22829116</v>
      </c>
      <c r="R16" s="20" t="n">
        <v>1.43915877</v>
      </c>
    </row>
    <row r="17" spans="1:18">
      <c r="A17" s="15" t="s">
        <v>575</v>
      </c>
      <c r="B17" s="17" t="n">
        <v>6504</v>
      </c>
      <c r="C17" s="18">
        <f>(5817.0/B17*100)</f>
        <v/>
      </c>
      <c r="D17" s="19" t="n">
        <v>687</v>
      </c>
      <c r="E17" s="18" t="n">
        <v>44.0420843</v>
      </c>
      <c r="F17" s="20" t="n">
        <v>1.74705436</v>
      </c>
      <c r="G17" s="18" t="n">
        <v>40.02044065</v>
      </c>
      <c r="H17" s="20" t="n">
        <v>1.99840881</v>
      </c>
      <c r="I17" s="18" t="n">
        <v>0</v>
      </c>
      <c r="J17" s="20" t="n">
        <v>0</v>
      </c>
      <c r="K17" s="18" t="n">
        <v>0.15186343</v>
      </c>
      <c r="L17" s="20" t="n">
        <v>0.1502956</v>
      </c>
      <c r="M17" s="18" t="n">
        <v>0</v>
      </c>
      <c r="N17" s="20" t="n">
        <v>0</v>
      </c>
      <c r="O17" s="18" t="n">
        <v>0</v>
      </c>
      <c r="P17" s="20" t="n">
        <v>0</v>
      </c>
      <c r="Q17" s="18" t="n">
        <v>15.78561162</v>
      </c>
      <c r="R17" s="20" t="n">
        <v>1.36423863</v>
      </c>
    </row>
    <row r="18" spans="1:18">
      <c r="A18" s="15" t="s">
        <v>576</v>
      </c>
      <c r="B18" s="17" t="n">
        <v>5532</v>
      </c>
      <c r="C18" s="18">
        <f>(4914.0/B18*100)</f>
        <v/>
      </c>
      <c r="D18" s="19" t="n">
        <v>618</v>
      </c>
      <c r="E18" s="18" t="n">
        <v>48.04779869</v>
      </c>
      <c r="F18" s="20" t="n">
        <v>2.02905017</v>
      </c>
      <c r="G18" s="18" t="n">
        <v>37.95186153</v>
      </c>
      <c r="H18" s="20" t="n">
        <v>2.0133569</v>
      </c>
      <c r="I18" s="18" t="n">
        <v>0</v>
      </c>
      <c r="J18" s="20" t="n">
        <v>0</v>
      </c>
      <c r="K18" s="18" t="n">
        <v>0.13003334</v>
      </c>
      <c r="L18" s="20" t="n">
        <v>0.12590959</v>
      </c>
      <c r="M18" s="18" t="n">
        <v>0</v>
      </c>
      <c r="N18" s="20" t="n">
        <v>0</v>
      </c>
      <c r="O18" s="18" t="n">
        <v>0</v>
      </c>
      <c r="P18" s="20" t="n">
        <v>0</v>
      </c>
      <c r="Q18" s="18" t="n">
        <v>13.87030644</v>
      </c>
      <c r="R18" s="20" t="n">
        <v>1.98740404</v>
      </c>
    </row>
    <row r="19" spans="1:18">
      <c r="A19" s="15" t="s">
        <v>577</v>
      </c>
      <c r="B19" s="17" t="n">
        <v>5658</v>
      </c>
      <c r="C19" s="18">
        <f>(5048.0/B19*100)</f>
        <v/>
      </c>
      <c r="D19" s="19" t="n">
        <v>610</v>
      </c>
      <c r="E19" s="18" t="n">
        <v>29.0646075</v>
      </c>
      <c r="F19" s="20" t="n">
        <v>2.21166801</v>
      </c>
      <c r="G19" s="18" t="n">
        <v>44.5218825</v>
      </c>
      <c r="H19" s="20" t="n">
        <v>2.17330892</v>
      </c>
      <c r="I19" s="18" t="n">
        <v>0</v>
      </c>
      <c r="J19" s="20" t="n">
        <v>0</v>
      </c>
      <c r="K19" s="18" t="n">
        <v>0</v>
      </c>
      <c r="L19" s="20" t="n">
        <v>0</v>
      </c>
      <c r="M19" s="18" t="n">
        <v>0</v>
      </c>
      <c r="N19" s="20" t="n">
        <v>0</v>
      </c>
      <c r="O19" s="18" t="n">
        <v>0</v>
      </c>
      <c r="P19" s="20" t="n">
        <v>0</v>
      </c>
      <c r="Q19" s="18" t="n">
        <v>26.41351</v>
      </c>
      <c r="R19" s="20" t="n">
        <v>2.03027025</v>
      </c>
    </row>
    <row r="20" spans="1:18">
      <c r="A20" s="15" t="s">
        <v>578</v>
      </c>
      <c r="B20" s="17" t="n">
        <v>3371</v>
      </c>
      <c r="C20" s="18">
        <f>(2974.0/B20*100)</f>
        <v/>
      </c>
      <c r="D20" s="19" t="n">
        <v>397</v>
      </c>
      <c r="E20" s="18" t="n">
        <v>31.39431129</v>
      </c>
      <c r="F20" s="20" t="n">
        <v>2.27195166</v>
      </c>
      <c r="G20" s="18" t="n">
        <v>51.21432425</v>
      </c>
      <c r="H20" s="20" t="n">
        <v>2.43201025</v>
      </c>
      <c r="I20" s="18" t="n">
        <v>0</v>
      </c>
      <c r="J20" s="20" t="n">
        <v>0</v>
      </c>
      <c r="K20" s="18" t="n">
        <v>0.2487179</v>
      </c>
      <c r="L20" s="20" t="n">
        <v>0.24972445</v>
      </c>
      <c r="M20" s="18" t="n">
        <v>0</v>
      </c>
      <c r="N20" s="20" t="n">
        <v>0</v>
      </c>
      <c r="O20" s="18" t="n">
        <v>0</v>
      </c>
      <c r="P20" s="20" t="n">
        <v>0</v>
      </c>
      <c r="Q20" s="18" t="n">
        <v>17.14264655</v>
      </c>
      <c r="R20" s="20" t="n">
        <v>1.94335629</v>
      </c>
    </row>
    <row r="21" spans="1:18">
      <c r="A21" s="15" t="s">
        <v>579</v>
      </c>
      <c r="B21" s="17" t="n">
        <v>5741</v>
      </c>
      <c r="C21" s="18">
        <f>(5116.0/B21*100)</f>
        <v/>
      </c>
      <c r="D21" s="19" t="n">
        <v>625</v>
      </c>
      <c r="E21" s="18" t="n">
        <v>17.95198921</v>
      </c>
      <c r="F21" s="20" t="n">
        <v>1.56057597</v>
      </c>
      <c r="G21" s="18" t="n">
        <v>73.68509256999999</v>
      </c>
      <c r="H21" s="20" t="n">
        <v>1.67798558</v>
      </c>
      <c r="I21" s="18" t="n">
        <v>0</v>
      </c>
      <c r="J21" s="20" t="n">
        <v>0</v>
      </c>
      <c r="K21" s="18" t="n">
        <v>0</v>
      </c>
      <c r="L21" s="20" t="n">
        <v>0</v>
      </c>
      <c r="M21" s="18" t="n">
        <v>0.14207939</v>
      </c>
      <c r="N21" s="20" t="n">
        <v>0.14303948</v>
      </c>
      <c r="O21" s="18" t="n">
        <v>0</v>
      </c>
      <c r="P21" s="20" t="n">
        <v>0</v>
      </c>
      <c r="Q21" s="18" t="n">
        <v>8.22083883</v>
      </c>
      <c r="R21" s="20" t="n">
        <v>1.06192515</v>
      </c>
    </row>
    <row r="22" spans="1:18">
      <c r="A22" s="15" t="s">
        <v>580</v>
      </c>
      <c r="B22" s="17" t="n">
        <v>6598</v>
      </c>
      <c r="C22" s="18">
        <f>(5848.0/B22*100)</f>
        <v/>
      </c>
      <c r="D22" s="19" t="n">
        <v>750</v>
      </c>
      <c r="E22" s="18" t="n">
        <v>34.4891554</v>
      </c>
      <c r="F22" s="20" t="n">
        <v>2.19635011</v>
      </c>
      <c r="G22" s="18" t="n">
        <v>48.56551111</v>
      </c>
      <c r="H22" s="20" t="n">
        <v>2.30541721</v>
      </c>
      <c r="I22" s="18" t="n">
        <v>0</v>
      </c>
      <c r="J22" s="20" t="n">
        <v>0</v>
      </c>
      <c r="K22" s="18" t="n">
        <v>0.38488489</v>
      </c>
      <c r="L22" s="20" t="n">
        <v>0.23137229</v>
      </c>
      <c r="M22" s="18" t="n">
        <v>0</v>
      </c>
      <c r="N22" s="20" t="n">
        <v>0</v>
      </c>
      <c r="O22" s="18" t="n">
        <v>0</v>
      </c>
      <c r="P22" s="20" t="n">
        <v>0</v>
      </c>
      <c r="Q22" s="18" t="n">
        <v>16.5604486</v>
      </c>
      <c r="R22" s="20" t="n">
        <v>1.61214339</v>
      </c>
    </row>
    <row r="23" spans="1:18">
      <c r="A23" s="15" t="s">
        <v>581</v>
      </c>
      <c r="B23" s="17" t="n">
        <v>11583</v>
      </c>
      <c r="C23" s="18">
        <f>(10339.0/B23*100)</f>
        <v/>
      </c>
      <c r="D23" s="19" t="n">
        <v>1244</v>
      </c>
      <c r="E23" s="18" t="n">
        <v>29.88818409</v>
      </c>
      <c r="F23" s="20" t="n">
        <v>1.93264383</v>
      </c>
      <c r="G23" s="18" t="n">
        <v>47.80869638</v>
      </c>
      <c r="H23" s="20" t="n">
        <v>2.22726551</v>
      </c>
      <c r="I23" s="18" t="n">
        <v>0</v>
      </c>
      <c r="J23" s="20" t="n">
        <v>0</v>
      </c>
      <c r="K23" s="18" t="n">
        <v>0.06589370999999999</v>
      </c>
      <c r="L23" s="20" t="n">
        <v>0.06615326000000001</v>
      </c>
      <c r="M23" s="18" t="n">
        <v>0.24220257</v>
      </c>
      <c r="N23" s="20" t="n">
        <v>0.28230095</v>
      </c>
      <c r="O23" s="18" t="n">
        <v>0</v>
      </c>
      <c r="P23" s="20" t="n">
        <v>0</v>
      </c>
      <c r="Q23" s="18" t="n">
        <v>21.99502326</v>
      </c>
      <c r="R23" s="20" t="n">
        <v>1.86909836</v>
      </c>
    </row>
    <row r="24" spans="1:18">
      <c r="A24" s="15" t="s">
        <v>582</v>
      </c>
      <c r="B24" s="17" t="n">
        <v>6647</v>
      </c>
      <c r="C24" s="18">
        <f>(5923.0/B24*100)</f>
        <v/>
      </c>
      <c r="D24" s="19" t="n">
        <v>724</v>
      </c>
      <c r="E24" s="18" t="n">
        <v>21.51377118</v>
      </c>
      <c r="F24" s="20" t="n">
        <v>1.51394517</v>
      </c>
      <c r="G24" s="18" t="n">
        <v>63.0035556</v>
      </c>
      <c r="H24" s="20" t="n">
        <v>1.98481758</v>
      </c>
      <c r="I24" s="18" t="n">
        <v>0</v>
      </c>
      <c r="J24" s="20" t="n">
        <v>0</v>
      </c>
      <c r="K24" s="18" t="n">
        <v>0</v>
      </c>
      <c r="L24" s="20" t="n">
        <v>0</v>
      </c>
      <c r="M24" s="18" t="n">
        <v>0</v>
      </c>
      <c r="N24" s="20" t="n">
        <v>0</v>
      </c>
      <c r="O24" s="18" t="n">
        <v>0</v>
      </c>
      <c r="P24" s="20" t="n">
        <v>0</v>
      </c>
      <c r="Q24" s="18" t="n">
        <v>15.48267322</v>
      </c>
      <c r="R24" s="20" t="n">
        <v>1.13159359</v>
      </c>
    </row>
    <row r="25" spans="1:18">
      <c r="A25" s="15" t="s">
        <v>583</v>
      </c>
      <c r="B25" s="17" t="n">
        <v>5581</v>
      </c>
      <c r="C25" s="18">
        <f>(4963.0/B25*100)</f>
        <v/>
      </c>
      <c r="D25" s="19" t="n">
        <v>618</v>
      </c>
      <c r="E25" s="18" t="n">
        <v>33.13604124</v>
      </c>
      <c r="F25" s="20" t="n">
        <v>1.75650565</v>
      </c>
      <c r="G25" s="18" t="n">
        <v>53.61479832</v>
      </c>
      <c r="H25" s="20" t="n">
        <v>1.92056986</v>
      </c>
      <c r="I25" s="18" t="n">
        <v>0</v>
      </c>
      <c r="J25" s="20" t="n">
        <v>0</v>
      </c>
      <c r="K25" s="18" t="n">
        <v>0.31560599</v>
      </c>
      <c r="L25" s="20" t="n">
        <v>0.22765417</v>
      </c>
      <c r="M25" s="18" t="n">
        <v>0</v>
      </c>
      <c r="N25" s="20" t="n">
        <v>0</v>
      </c>
      <c r="O25" s="18" t="n">
        <v>0</v>
      </c>
      <c r="P25" s="20" t="n">
        <v>0</v>
      </c>
      <c r="Q25" s="18" t="n">
        <v>12.93355445</v>
      </c>
      <c r="R25" s="20" t="n">
        <v>1.45643725</v>
      </c>
    </row>
    <row r="26" spans="1:18">
      <c r="A26" s="15" t="s">
        <v>584</v>
      </c>
      <c r="B26" s="17" t="n">
        <v>4869</v>
      </c>
      <c r="C26" s="18">
        <f>(4330.0/B26*100)</f>
        <v/>
      </c>
      <c r="D26" s="19" t="n">
        <v>539</v>
      </c>
      <c r="E26" s="18" t="n">
        <v>34.98980447</v>
      </c>
      <c r="F26" s="20" t="n">
        <v>2.23303248</v>
      </c>
      <c r="G26" s="18" t="n">
        <v>57.98879361</v>
      </c>
      <c r="H26" s="20" t="n">
        <v>2.09027357</v>
      </c>
      <c r="I26" s="18" t="n">
        <v>0</v>
      </c>
      <c r="J26" s="20" t="n">
        <v>0</v>
      </c>
      <c r="K26" s="18" t="n">
        <v>0</v>
      </c>
      <c r="L26" s="20" t="n">
        <v>0</v>
      </c>
      <c r="M26" s="18" t="n">
        <v>0</v>
      </c>
      <c r="N26" s="20" t="n">
        <v>0</v>
      </c>
      <c r="O26" s="18" t="n">
        <v>0</v>
      </c>
      <c r="P26" s="20" t="n">
        <v>0</v>
      </c>
      <c r="Q26" s="18" t="n">
        <v>7.02140192</v>
      </c>
      <c r="R26" s="20" t="n">
        <v>1.0513778</v>
      </c>
    </row>
    <row r="27" spans="1:18">
      <c r="A27" s="15" t="s">
        <v>585</v>
      </c>
      <c r="B27" s="17" t="n">
        <v>5299</v>
      </c>
      <c r="C27" s="18">
        <f>(4712.0/B27*100)</f>
        <v/>
      </c>
      <c r="D27" s="19" t="n">
        <v>587</v>
      </c>
      <c r="E27" s="18" t="n">
        <v>33.40593892</v>
      </c>
      <c r="F27" s="20" t="n">
        <v>1.87155457</v>
      </c>
      <c r="G27" s="18" t="n">
        <v>43.40508289</v>
      </c>
      <c r="H27" s="20" t="n">
        <v>2.04076233</v>
      </c>
      <c r="I27" s="18" t="n">
        <v>0</v>
      </c>
      <c r="J27" s="20" t="n">
        <v>0</v>
      </c>
      <c r="K27" s="18" t="n">
        <v>0.18127361</v>
      </c>
      <c r="L27" s="20" t="n">
        <v>0.18058417</v>
      </c>
      <c r="M27" s="18" t="n">
        <v>0</v>
      </c>
      <c r="N27" s="20" t="n">
        <v>0</v>
      </c>
      <c r="O27" s="18" t="n">
        <v>0</v>
      </c>
      <c r="P27" s="20" t="n">
        <v>0</v>
      </c>
      <c r="Q27" s="18" t="n">
        <v>23.00770457</v>
      </c>
      <c r="R27" s="20" t="n">
        <v>1.55013938</v>
      </c>
    </row>
    <row r="28" spans="1:18">
      <c r="A28" s="15" t="s">
        <v>586</v>
      </c>
      <c r="B28" s="17" t="n">
        <v>7568</v>
      </c>
      <c r="C28" s="18">
        <f>(6782.0/B28*100)</f>
        <v/>
      </c>
      <c r="D28" s="19" t="n">
        <v>786</v>
      </c>
      <c r="E28" s="18" t="n">
        <v>54.32238678</v>
      </c>
      <c r="F28" s="20" t="n">
        <v>1.7568946</v>
      </c>
      <c r="G28" s="18" t="n">
        <v>38.44783501</v>
      </c>
      <c r="H28" s="20" t="n">
        <v>1.91128643</v>
      </c>
      <c r="I28" s="18" t="n">
        <v>0</v>
      </c>
      <c r="J28" s="20" t="n">
        <v>0</v>
      </c>
      <c r="K28" s="18" t="n">
        <v>0.22837281</v>
      </c>
      <c r="L28" s="20" t="n">
        <v>0.22324748</v>
      </c>
      <c r="M28" s="18" t="n">
        <v>0.10570395</v>
      </c>
      <c r="N28" s="20" t="n">
        <v>0.10527536</v>
      </c>
      <c r="O28" s="18" t="n">
        <v>0</v>
      </c>
      <c r="P28" s="20" t="n">
        <v>0</v>
      </c>
      <c r="Q28" s="18" t="n">
        <v>6.89570145</v>
      </c>
      <c r="R28" s="20" t="n">
        <v>1.16804458</v>
      </c>
    </row>
    <row r="29" spans="1:18">
      <c r="A29" s="15" t="s">
        <v>587</v>
      </c>
      <c r="B29" s="17" t="n">
        <v>5385</v>
      </c>
      <c r="C29" s="18">
        <f>(4802.0/B29*100)</f>
        <v/>
      </c>
      <c r="D29" s="19" t="n">
        <v>583</v>
      </c>
      <c r="E29" s="18" t="n">
        <v>32.85098134</v>
      </c>
      <c r="F29" s="20" t="n">
        <v>2.0951909</v>
      </c>
      <c r="G29" s="18" t="n">
        <v>61.41619637</v>
      </c>
      <c r="H29" s="20" t="n">
        <v>2.12409905</v>
      </c>
      <c r="I29" s="18" t="n">
        <v>0</v>
      </c>
      <c r="J29" s="20" t="n">
        <v>0</v>
      </c>
      <c r="K29" s="18" t="n">
        <v>0</v>
      </c>
      <c r="L29" s="20" t="n">
        <v>0</v>
      </c>
      <c r="M29" s="18" t="n">
        <v>0</v>
      </c>
      <c r="N29" s="20" t="n">
        <v>0</v>
      </c>
      <c r="O29" s="18" t="n">
        <v>0</v>
      </c>
      <c r="P29" s="20" t="n">
        <v>0</v>
      </c>
      <c r="Q29" s="18" t="n">
        <v>5.73282229</v>
      </c>
      <c r="R29" s="20" t="n">
        <v>1.01147418</v>
      </c>
    </row>
    <row r="30" spans="1:18">
      <c r="A30" s="15" t="s">
        <v>588</v>
      </c>
      <c r="B30" s="17" t="n">
        <v>4520</v>
      </c>
      <c r="C30" s="18">
        <f>(4032.0/B30*100)</f>
        <v/>
      </c>
      <c r="D30" s="19" t="n">
        <v>488</v>
      </c>
      <c r="E30" s="18" t="n">
        <v>26.586729</v>
      </c>
      <c r="F30" s="20" t="n">
        <v>2.14051189</v>
      </c>
      <c r="G30" s="18" t="n">
        <v>60.0035807</v>
      </c>
      <c r="H30" s="20" t="n">
        <v>2.2272306</v>
      </c>
      <c r="I30" s="18" t="n">
        <v>0</v>
      </c>
      <c r="J30" s="20" t="n">
        <v>0</v>
      </c>
      <c r="K30" s="18" t="n">
        <v>0</v>
      </c>
      <c r="L30" s="20" t="n">
        <v>0</v>
      </c>
      <c r="M30" s="18" t="n">
        <v>0</v>
      </c>
      <c r="N30" s="20" t="n">
        <v>0</v>
      </c>
      <c r="O30" s="18" t="n">
        <v>0</v>
      </c>
      <c r="P30" s="20" t="n">
        <v>0</v>
      </c>
      <c r="Q30" s="18" t="n">
        <v>13.4096903</v>
      </c>
      <c r="R30" s="20" t="n">
        <v>1.77224278</v>
      </c>
    </row>
    <row r="31" spans="1:18">
      <c r="A31" s="15" t="s">
        <v>589</v>
      </c>
      <c r="B31" s="17" t="n">
        <v>5456</v>
      </c>
      <c r="C31" s="18">
        <f>(4847.0/B31*100)</f>
        <v/>
      </c>
      <c r="D31" s="19" t="n">
        <v>609</v>
      </c>
      <c r="E31" s="18" t="n">
        <v>23.63200642</v>
      </c>
      <c r="F31" s="20" t="n">
        <v>1.45053565</v>
      </c>
      <c r="G31" s="18" t="n">
        <v>57.73341707</v>
      </c>
      <c r="H31" s="20" t="n">
        <v>1.74963787</v>
      </c>
      <c r="I31" s="18" t="n">
        <v>0</v>
      </c>
      <c r="J31" s="20" t="n">
        <v>0</v>
      </c>
      <c r="K31" s="18" t="n">
        <v>0.30498294</v>
      </c>
      <c r="L31" s="20" t="n">
        <v>0.20695002</v>
      </c>
      <c r="M31" s="18" t="n">
        <v>0.33197246</v>
      </c>
      <c r="N31" s="20" t="n">
        <v>0.38009454</v>
      </c>
      <c r="O31" s="18" t="n">
        <v>0</v>
      </c>
      <c r="P31" s="20" t="n">
        <v>0</v>
      </c>
      <c r="Q31" s="18" t="n">
        <v>17.9976211</v>
      </c>
      <c r="R31" s="20" t="n">
        <v>1.56151844</v>
      </c>
    </row>
    <row r="32" spans="1:18">
      <c r="A32" s="15" t="s">
        <v>590</v>
      </c>
      <c r="B32" s="17" t="n">
        <v>4478</v>
      </c>
      <c r="C32" s="18">
        <f>(3970.0/B32*100)</f>
        <v/>
      </c>
      <c r="D32" s="19" t="n">
        <v>508</v>
      </c>
      <c r="E32" s="18" t="n">
        <v>43.97530135</v>
      </c>
      <c r="F32" s="20" t="n">
        <v>2.06479904</v>
      </c>
      <c r="G32" s="18" t="n">
        <v>37.36814943</v>
      </c>
      <c r="H32" s="20" t="n">
        <v>2.07424509</v>
      </c>
      <c r="I32" s="18" t="n">
        <v>0</v>
      </c>
      <c r="J32" s="20" t="n">
        <v>0</v>
      </c>
      <c r="K32" s="18" t="n">
        <v>0</v>
      </c>
      <c r="L32" s="20" t="n">
        <v>0</v>
      </c>
      <c r="M32" s="18" t="n">
        <v>0</v>
      </c>
      <c r="N32" s="20" t="n">
        <v>0</v>
      </c>
      <c r="O32" s="18" t="n">
        <v>0</v>
      </c>
      <c r="P32" s="20" t="n">
        <v>0</v>
      </c>
      <c r="Q32" s="18" t="n">
        <v>18.65654922</v>
      </c>
      <c r="R32" s="20" t="n">
        <v>1.75909449</v>
      </c>
    </row>
    <row r="33" spans="1:18">
      <c r="A33" s="15" t="s">
        <v>591</v>
      </c>
      <c r="B33" s="17" t="n">
        <v>7325</v>
      </c>
      <c r="C33" s="18">
        <f>(6514.0/B33*100)</f>
        <v/>
      </c>
      <c r="D33" s="19" t="n">
        <v>811</v>
      </c>
      <c r="E33" s="18" t="n">
        <v>33.34839867</v>
      </c>
      <c r="F33" s="20" t="n">
        <v>1.93860669</v>
      </c>
      <c r="G33" s="18" t="n">
        <v>50.87985098</v>
      </c>
      <c r="H33" s="20" t="n">
        <v>1.9765192</v>
      </c>
      <c r="I33" s="18" t="n">
        <v>0</v>
      </c>
      <c r="J33" s="20" t="n">
        <v>0</v>
      </c>
      <c r="K33" s="18" t="n">
        <v>0.183612</v>
      </c>
      <c r="L33" s="20" t="n">
        <v>0.16290613</v>
      </c>
      <c r="M33" s="18" t="n">
        <v>0.16230649</v>
      </c>
      <c r="N33" s="20" t="n">
        <v>0.16302552</v>
      </c>
      <c r="O33" s="18" t="n">
        <v>0</v>
      </c>
      <c r="P33" s="20" t="n">
        <v>0</v>
      </c>
      <c r="Q33" s="18" t="n">
        <v>15.42583186</v>
      </c>
      <c r="R33" s="20" t="n">
        <v>1.43455917</v>
      </c>
    </row>
    <row r="34" spans="1:18">
      <c r="A34" s="15" t="s">
        <v>592</v>
      </c>
      <c r="B34" s="17" t="n">
        <v>6350</v>
      </c>
      <c r="C34" s="18">
        <f>(5646.0/B34*100)</f>
        <v/>
      </c>
      <c r="D34" s="19" t="n">
        <v>704</v>
      </c>
      <c r="E34" s="18" t="n">
        <v>44.48345638</v>
      </c>
      <c r="F34" s="20" t="n">
        <v>1.9363255</v>
      </c>
      <c r="G34" s="18" t="n">
        <v>33.98699301</v>
      </c>
      <c r="H34" s="20" t="n">
        <v>1.8126517</v>
      </c>
      <c r="I34" s="18" t="n">
        <v>0</v>
      </c>
      <c r="J34" s="20" t="n">
        <v>0</v>
      </c>
      <c r="K34" s="18" t="n">
        <v>0</v>
      </c>
      <c r="L34" s="20" t="n">
        <v>0</v>
      </c>
      <c r="M34" s="18" t="n">
        <v>0.30613311</v>
      </c>
      <c r="N34" s="20" t="n">
        <v>0.23465996</v>
      </c>
      <c r="O34" s="18" t="n">
        <v>0</v>
      </c>
      <c r="P34" s="20" t="n">
        <v>0</v>
      </c>
      <c r="Q34" s="18" t="n">
        <v>21.2234175</v>
      </c>
      <c r="R34" s="20" t="n">
        <v>1.65377395</v>
      </c>
    </row>
    <row r="35" spans="1:18">
      <c r="A35" s="15" t="s">
        <v>593</v>
      </c>
      <c r="B35" s="17" t="n">
        <v>6406</v>
      </c>
      <c r="C35" s="18">
        <f>(5751.0/B35*100)</f>
        <v/>
      </c>
      <c r="D35" s="19" t="n">
        <v>655</v>
      </c>
      <c r="E35" s="18" t="n">
        <v>51.61023731</v>
      </c>
      <c r="F35" s="20" t="n">
        <v>2.77585261</v>
      </c>
      <c r="G35" s="18" t="n">
        <v>30.1688751</v>
      </c>
      <c r="H35" s="20" t="n">
        <v>2.51230239</v>
      </c>
      <c r="I35" s="18" t="n">
        <v>0</v>
      </c>
      <c r="J35" s="20" t="n">
        <v>0</v>
      </c>
      <c r="K35" s="18" t="n">
        <v>0</v>
      </c>
      <c r="L35" s="20" t="n">
        <v>0</v>
      </c>
      <c r="M35" s="18" t="n">
        <v>0</v>
      </c>
      <c r="N35" s="20" t="n">
        <v>0</v>
      </c>
      <c r="O35" s="18" t="n">
        <v>0</v>
      </c>
      <c r="P35" s="20" t="n">
        <v>0</v>
      </c>
      <c r="Q35" s="18" t="n">
        <v>18.2208876</v>
      </c>
      <c r="R35" s="20" t="n">
        <v>2.06399117</v>
      </c>
    </row>
    <row r="36" spans="1:18">
      <c r="A36" s="15" t="s">
        <v>594</v>
      </c>
      <c r="B36" s="17" t="n">
        <v>6736</v>
      </c>
      <c r="C36" s="18">
        <f>(6023.0/B36*100)</f>
        <v/>
      </c>
      <c r="D36" s="19" t="n">
        <v>713</v>
      </c>
      <c r="E36" s="18" t="n">
        <v>36.58332495</v>
      </c>
      <c r="F36" s="20" t="n">
        <v>1.95090778</v>
      </c>
      <c r="G36" s="18" t="n">
        <v>50.15624928</v>
      </c>
      <c r="H36" s="20" t="n">
        <v>1.78541822</v>
      </c>
      <c r="I36" s="18" t="n">
        <v>0</v>
      </c>
      <c r="J36" s="20" t="n">
        <v>0</v>
      </c>
      <c r="K36" s="18" t="n">
        <v>0.16773143</v>
      </c>
      <c r="L36" s="20" t="n">
        <v>0.12315521</v>
      </c>
      <c r="M36" s="18" t="n">
        <v>0</v>
      </c>
      <c r="N36" s="20" t="n">
        <v>0</v>
      </c>
      <c r="O36" s="18" t="n">
        <v>0</v>
      </c>
      <c r="P36" s="20" t="n">
        <v>0</v>
      </c>
      <c r="Q36" s="18" t="n">
        <v>13.09269434</v>
      </c>
      <c r="R36" s="20" t="n">
        <v>1.36428721</v>
      </c>
    </row>
    <row r="37" spans="1:18">
      <c r="A37" s="15" t="s">
        <v>595</v>
      </c>
      <c r="B37" s="17" t="n">
        <v>5458</v>
      </c>
      <c r="C37" s="18">
        <f>(4853.0/B37*100)</f>
        <v/>
      </c>
      <c r="D37" s="19" t="n">
        <v>605</v>
      </c>
      <c r="E37" s="18" t="n">
        <v>31.73464414</v>
      </c>
      <c r="F37" s="20" t="n">
        <v>1.87075703</v>
      </c>
      <c r="G37" s="18" t="n">
        <v>48.8941813</v>
      </c>
      <c r="H37" s="20" t="n">
        <v>2.30348378</v>
      </c>
      <c r="I37" s="18" t="n">
        <v>0</v>
      </c>
      <c r="J37" s="20" t="n">
        <v>0</v>
      </c>
      <c r="K37" s="18" t="n">
        <v>0</v>
      </c>
      <c r="L37" s="20" t="n">
        <v>0</v>
      </c>
      <c r="M37" s="18" t="n">
        <v>0</v>
      </c>
      <c r="N37" s="20" t="n">
        <v>0</v>
      </c>
      <c r="O37" s="18" t="n">
        <v>0</v>
      </c>
      <c r="P37" s="20" t="n">
        <v>0</v>
      </c>
      <c r="Q37" s="18" t="n">
        <v>19.37117456</v>
      </c>
      <c r="R37" s="20" t="n">
        <v>1.62387039</v>
      </c>
    </row>
    <row r="38" spans="1:18">
      <c r="A38" s="15" t="s">
        <v>596</v>
      </c>
      <c r="B38" s="17" t="n">
        <v>5860</v>
      </c>
      <c r="C38" s="18">
        <f>(5200.0/B38*100)</f>
        <v/>
      </c>
      <c r="D38" s="19" t="n">
        <v>660</v>
      </c>
      <c r="E38" s="18" t="n">
        <v>43.25284405</v>
      </c>
      <c r="F38" s="20" t="n">
        <v>2.1897356</v>
      </c>
      <c r="G38" s="18" t="n">
        <v>39.77667458</v>
      </c>
      <c r="H38" s="20" t="n">
        <v>2.18624014</v>
      </c>
      <c r="I38" s="18" t="n">
        <v>0</v>
      </c>
      <c r="J38" s="20" t="n">
        <v>0</v>
      </c>
      <c r="K38" s="18" t="n">
        <v>0.16786387</v>
      </c>
      <c r="L38" s="20" t="n">
        <v>0.16360402</v>
      </c>
      <c r="M38" s="18" t="n">
        <v>3.66409322</v>
      </c>
      <c r="N38" s="20" t="n">
        <v>0.73156983</v>
      </c>
      <c r="O38" s="18" t="n">
        <v>0</v>
      </c>
      <c r="P38" s="20" t="n">
        <v>0</v>
      </c>
      <c r="Q38" s="18" t="n">
        <v>13.13852428</v>
      </c>
      <c r="R38" s="20" t="n">
        <v>1.49007088</v>
      </c>
    </row>
    <row r="39" spans="1:18">
      <c r="A39" s="15" t="s">
        <v>597</v>
      </c>
      <c r="B39" s="17" t="n">
        <v>5895</v>
      </c>
      <c r="C39" s="18">
        <f>(5237.0/B39*100)</f>
        <v/>
      </c>
      <c r="D39" s="19" t="n">
        <v>658</v>
      </c>
      <c r="E39" s="18" t="n">
        <v>37.69177781</v>
      </c>
      <c r="F39" s="20" t="n">
        <v>2.21369066</v>
      </c>
      <c r="G39" s="18" t="n">
        <v>43.76896695</v>
      </c>
      <c r="H39" s="20" t="n">
        <v>2.00929404</v>
      </c>
      <c r="I39" s="18" t="n">
        <v>0</v>
      </c>
      <c r="J39" s="20" t="n">
        <v>0</v>
      </c>
      <c r="K39" s="18" t="n">
        <v>0</v>
      </c>
      <c r="L39" s="20" t="n">
        <v>0</v>
      </c>
      <c r="M39" s="18" t="n">
        <v>0</v>
      </c>
      <c r="N39" s="20" t="n">
        <v>0</v>
      </c>
      <c r="O39" s="18" t="n">
        <v>0</v>
      </c>
      <c r="P39" s="20" t="n">
        <v>0</v>
      </c>
      <c r="Q39" s="18" t="n">
        <v>18.53925523</v>
      </c>
      <c r="R39" s="20" t="n">
        <v>1.67873579</v>
      </c>
    </row>
    <row r="40" spans="1:18">
      <c r="A40" s="15" t="s">
        <v>598</v>
      </c>
      <c r="B40" s="17" t="n">
        <v>14157</v>
      </c>
      <c r="C40" s="18">
        <f>(12598.0/B40*100)</f>
        <v/>
      </c>
      <c r="D40" s="19" t="n">
        <v>1559</v>
      </c>
      <c r="E40" s="18" t="n">
        <v>20.87699694</v>
      </c>
      <c r="F40" s="20" t="n">
        <v>1.25900931</v>
      </c>
      <c r="G40" s="18" t="n">
        <v>63.58770635</v>
      </c>
      <c r="H40" s="20" t="n">
        <v>1.734143</v>
      </c>
      <c r="I40" s="18" t="n">
        <v>0</v>
      </c>
      <c r="J40" s="20" t="n">
        <v>0</v>
      </c>
      <c r="K40" s="18" t="n">
        <v>0.20892481</v>
      </c>
      <c r="L40" s="20" t="n">
        <v>0.18994302</v>
      </c>
      <c r="M40" s="18" t="n">
        <v>0.4173336</v>
      </c>
      <c r="N40" s="20" t="n">
        <v>0.29341262</v>
      </c>
      <c r="O40" s="18" t="n">
        <v>0</v>
      </c>
      <c r="P40" s="20" t="n">
        <v>0</v>
      </c>
      <c r="Q40" s="18" t="n">
        <v>14.90903831</v>
      </c>
      <c r="R40" s="20" t="n">
        <v>1.26513089</v>
      </c>
    </row>
    <row r="41" spans="1:18">
      <c r="A41" s="15" t="s">
        <v>599</v>
      </c>
      <c r="B41" s="17" t="n">
        <v>5712</v>
      </c>
      <c r="C41" s="18">
        <f>(5082.0/B41*100)</f>
        <v/>
      </c>
      <c r="D41" s="19" t="n">
        <v>630</v>
      </c>
      <c r="E41" s="18" t="n">
        <v>41.84844512</v>
      </c>
      <c r="F41" s="20" t="n">
        <v>2.2857324</v>
      </c>
      <c r="G41" s="18" t="n">
        <v>54.31019643</v>
      </c>
      <c r="H41" s="20" t="n">
        <v>2.54490406</v>
      </c>
      <c r="I41" s="18" t="n">
        <v>0</v>
      </c>
      <c r="J41" s="20" t="n">
        <v>0</v>
      </c>
      <c r="K41" s="18" t="n">
        <v>0</v>
      </c>
      <c r="L41" s="20" t="n">
        <v>0</v>
      </c>
      <c r="M41" s="18" t="n">
        <v>0</v>
      </c>
      <c r="N41" s="20" t="n">
        <v>0</v>
      </c>
      <c r="O41" s="18" t="n">
        <v>0</v>
      </c>
      <c r="P41" s="20" t="n">
        <v>0</v>
      </c>
      <c r="Q41" s="18" t="n">
        <v>3.84135845</v>
      </c>
      <c r="R41" s="20" t="n">
        <v>0.71274183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(20928.0/B46*100)</f>
        <v/>
      </c>
      <c r="D46" s="19" t="n">
        <v>2213</v>
      </c>
      <c r="E46" s="18" t="n">
        <v>46.15891163</v>
      </c>
      <c r="F46" s="20" t="n">
        <v>1.35752865</v>
      </c>
      <c r="G46" s="18" t="n">
        <v>34.45181424</v>
      </c>
      <c r="H46" s="20" t="n">
        <v>1.41532039</v>
      </c>
      <c r="I46" s="18" t="n">
        <v>0</v>
      </c>
      <c r="J46" s="20" t="n">
        <v>0</v>
      </c>
      <c r="K46" s="18" t="n">
        <v>0.30047679</v>
      </c>
      <c r="L46" s="20" t="n">
        <v>0.12915791</v>
      </c>
      <c r="M46" s="18" t="n">
        <v>0.46561879</v>
      </c>
      <c r="N46" s="20" t="n">
        <v>0.14508622</v>
      </c>
      <c r="O46" s="18" t="n">
        <v>0</v>
      </c>
      <c r="P46" s="20" t="n">
        <v>0</v>
      </c>
      <c r="Q46" s="18" t="n">
        <v>18.62317855</v>
      </c>
      <c r="R46" s="20" t="n">
        <v>1.10574555</v>
      </c>
    </row>
    <row r="47" spans="1:18">
      <c r="A47" s="15" t="s">
        <v>606</v>
      </c>
      <c r="B47" s="17" t="n">
        <v>5928</v>
      </c>
      <c r="C47" s="18">
        <f>(5252.0/B47*100)</f>
        <v/>
      </c>
      <c r="D47" s="19" t="n">
        <v>676</v>
      </c>
      <c r="E47" s="18" t="n">
        <v>40.78109206</v>
      </c>
      <c r="F47" s="20" t="n">
        <v>2.06262448</v>
      </c>
      <c r="G47" s="18" t="n">
        <v>30.7589602</v>
      </c>
      <c r="H47" s="20" t="n">
        <v>2.08124534</v>
      </c>
      <c r="I47" s="18" t="n">
        <v>0</v>
      </c>
      <c r="J47" s="20" t="n">
        <v>0</v>
      </c>
      <c r="K47" s="18" t="n">
        <v>0.15220465</v>
      </c>
      <c r="L47" s="20" t="n">
        <v>0.21600209</v>
      </c>
      <c r="M47" s="18" t="n">
        <v>0</v>
      </c>
      <c r="N47" s="20" t="n">
        <v>0</v>
      </c>
      <c r="O47" s="18" t="n">
        <v>0</v>
      </c>
      <c r="P47" s="20" t="n">
        <v>0</v>
      </c>
      <c r="Q47" s="18" t="n">
        <v>28.3077431</v>
      </c>
      <c r="R47" s="20" t="n">
        <v>1.87103633</v>
      </c>
    </row>
    <row r="48" spans="1:18">
      <c r="A48" s="15" t="s">
        <v>607</v>
      </c>
      <c r="B48" s="17" t="n">
        <v>9841</v>
      </c>
      <c r="C48" s="18">
        <f>(8726.0/B48*100)</f>
        <v/>
      </c>
      <c r="D48" s="19" t="n">
        <v>1115</v>
      </c>
      <c r="E48" s="18" t="n">
        <v>27.50425317</v>
      </c>
      <c r="F48" s="20" t="n">
        <v>2.15649881</v>
      </c>
      <c r="G48" s="18" t="n">
        <v>64.84054118</v>
      </c>
      <c r="H48" s="20" t="n">
        <v>2.4361427</v>
      </c>
      <c r="I48" s="18" t="n">
        <v>0</v>
      </c>
      <c r="J48" s="20" t="n">
        <v>0</v>
      </c>
      <c r="K48" s="18" t="n">
        <v>0.27232622</v>
      </c>
      <c r="L48" s="20" t="n">
        <v>0.21873385</v>
      </c>
      <c r="M48" s="18" t="n">
        <v>0</v>
      </c>
      <c r="N48" s="20" t="n">
        <v>0</v>
      </c>
      <c r="O48" s="18" t="n">
        <v>0</v>
      </c>
      <c r="P48" s="20" t="n">
        <v>0</v>
      </c>
      <c r="Q48" s="18" t="n">
        <v>7.38287943</v>
      </c>
      <c r="R48" s="20" t="n">
        <v>1.25809945</v>
      </c>
    </row>
    <row r="49" spans="1:18">
      <c r="A49" s="15" t="s">
        <v>608</v>
      </c>
      <c r="B49" s="17" t="n">
        <v>11795</v>
      </c>
      <c r="C49" s="18">
        <f>(10462.0/B49*100)</f>
        <v/>
      </c>
      <c r="D49" s="19" t="n">
        <v>1333</v>
      </c>
      <c r="E49" s="18" t="n">
        <v>46.83380918</v>
      </c>
      <c r="F49" s="20" t="n">
        <v>1.8453438</v>
      </c>
      <c r="G49" s="18" t="n">
        <v>44.90090423</v>
      </c>
      <c r="H49" s="20" t="n">
        <v>1.72853459</v>
      </c>
      <c r="I49" s="18" t="n">
        <v>0</v>
      </c>
      <c r="J49" s="20" t="n">
        <v>0</v>
      </c>
      <c r="K49" s="18" t="n">
        <v>0.61000027</v>
      </c>
      <c r="L49" s="20" t="n">
        <v>0.38516011</v>
      </c>
      <c r="M49" s="18" t="n">
        <v>0.26648756</v>
      </c>
      <c r="N49" s="20" t="n">
        <v>0.30005919</v>
      </c>
      <c r="O49" s="18" t="n">
        <v>0</v>
      </c>
      <c r="P49" s="20" t="n">
        <v>0</v>
      </c>
      <c r="Q49" s="18" t="n">
        <v>7.38879876</v>
      </c>
      <c r="R49" s="20" t="n">
        <v>1.01109792</v>
      </c>
    </row>
    <row r="50" spans="1:18">
      <c r="A50" s="15" t="s">
        <v>609</v>
      </c>
      <c r="B50" s="17" t="n">
        <v>6866</v>
      </c>
      <c r="C50" s="18">
        <f>(6204.0/B50*100)</f>
        <v/>
      </c>
      <c r="D50" s="19" t="n">
        <v>662</v>
      </c>
      <c r="E50" s="18" t="n">
        <v>50.17905563</v>
      </c>
      <c r="F50" s="20" t="n">
        <v>2.37445532</v>
      </c>
      <c r="G50" s="18" t="n">
        <v>38.58575961</v>
      </c>
      <c r="H50" s="20" t="n">
        <v>2.13254948</v>
      </c>
      <c r="I50" s="18" t="n">
        <v>0</v>
      </c>
      <c r="J50" s="20" t="n">
        <v>0</v>
      </c>
      <c r="K50" s="18" t="n">
        <v>0</v>
      </c>
      <c r="L50" s="20" t="n">
        <v>0</v>
      </c>
      <c r="M50" s="18" t="n">
        <v>0</v>
      </c>
      <c r="N50" s="20" t="n">
        <v>0</v>
      </c>
      <c r="O50" s="18" t="n">
        <v>0</v>
      </c>
      <c r="P50" s="20" t="n">
        <v>0</v>
      </c>
      <c r="Q50" s="18" t="n">
        <v>11.23518477</v>
      </c>
      <c r="R50" s="20" t="n">
        <v>1.46914574</v>
      </c>
    </row>
    <row r="51" spans="1:18">
      <c r="A51" s="15" t="s">
        <v>610</v>
      </c>
      <c r="B51" s="17" t="n">
        <v>5809</v>
      </c>
      <c r="C51" s="18">
        <f>(5127.0/B51*100)</f>
        <v/>
      </c>
      <c r="D51" s="19" t="n">
        <v>682</v>
      </c>
      <c r="E51" s="18" t="n">
        <v>29.11530685</v>
      </c>
      <c r="F51" s="20" t="n">
        <v>1.67899273</v>
      </c>
      <c r="G51" s="18" t="n">
        <v>42.72279323</v>
      </c>
      <c r="H51" s="20" t="n">
        <v>1.81514349</v>
      </c>
      <c r="I51" s="18" t="n">
        <v>0</v>
      </c>
      <c r="J51" s="20" t="n">
        <v>0</v>
      </c>
      <c r="K51" s="18" t="n">
        <v>0</v>
      </c>
      <c r="L51" s="20" t="n">
        <v>0</v>
      </c>
      <c r="M51" s="18" t="n">
        <v>0</v>
      </c>
      <c r="N51" s="20" t="n">
        <v>0</v>
      </c>
      <c r="O51" s="18" t="n">
        <v>0</v>
      </c>
      <c r="P51" s="20" t="n">
        <v>0</v>
      </c>
      <c r="Q51" s="18" t="n">
        <v>28.16189992</v>
      </c>
      <c r="R51" s="20" t="n">
        <v>1.6662554</v>
      </c>
    </row>
    <row r="52" spans="1:18">
      <c r="A52" s="15" t="s">
        <v>611</v>
      </c>
      <c r="B52" s="17" t="n">
        <v>5571</v>
      </c>
      <c r="C52" s="18">
        <f>(4960.0/B52*100)</f>
        <v/>
      </c>
      <c r="D52" s="19" t="n">
        <v>611</v>
      </c>
      <c r="E52" s="18" t="n">
        <v>37.77274758</v>
      </c>
      <c r="F52" s="20" t="n">
        <v>1.97721882</v>
      </c>
      <c r="G52" s="18" t="n">
        <v>40.48962816</v>
      </c>
      <c r="H52" s="20" t="n">
        <v>2.06718196</v>
      </c>
      <c r="I52" s="18" t="n">
        <v>0</v>
      </c>
      <c r="J52" s="20" t="n">
        <v>0</v>
      </c>
      <c r="K52" s="18" t="n">
        <v>0.30133069</v>
      </c>
      <c r="L52" s="20" t="n">
        <v>0.29731398</v>
      </c>
      <c r="M52" s="18" t="n">
        <v>0</v>
      </c>
      <c r="N52" s="20" t="n">
        <v>0</v>
      </c>
      <c r="O52" s="18" t="n">
        <v>0</v>
      </c>
      <c r="P52" s="20" t="n">
        <v>0</v>
      </c>
      <c r="Q52" s="18" t="n">
        <v>21.43629358</v>
      </c>
      <c r="R52" s="20" t="n">
        <v>1.7511453</v>
      </c>
    </row>
    <row r="53" spans="1:18">
      <c r="A53" s="15" t="s">
        <v>612</v>
      </c>
      <c r="B53" s="17" t="n">
        <v>4740</v>
      </c>
      <c r="C53" s="18">
        <f>(4244.0/B53*100)</f>
        <v/>
      </c>
      <c r="D53" s="19" t="n">
        <v>496</v>
      </c>
      <c r="E53" s="18" t="n">
        <v>58.65723668</v>
      </c>
      <c r="F53" s="20" t="n">
        <v>2.60896876</v>
      </c>
      <c r="G53" s="18" t="n">
        <v>17.33083145</v>
      </c>
      <c r="H53" s="20" t="n">
        <v>1.63858564</v>
      </c>
      <c r="I53" s="18" t="n">
        <v>0</v>
      </c>
      <c r="J53" s="20" t="n">
        <v>0</v>
      </c>
      <c r="K53" s="18" t="n">
        <v>5.06175177</v>
      </c>
      <c r="L53" s="20" t="n">
        <v>1.16573503</v>
      </c>
      <c r="M53" s="18" t="n">
        <v>1.06428859</v>
      </c>
      <c r="N53" s="20" t="n">
        <v>0.95392294</v>
      </c>
      <c r="O53" s="18" t="n">
        <v>0</v>
      </c>
      <c r="P53" s="20" t="n">
        <v>0</v>
      </c>
      <c r="Q53" s="18" t="n">
        <v>17.8858915</v>
      </c>
      <c r="R53" s="20" t="n">
        <v>1.8461098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(4750.0/B55*100)</f>
        <v/>
      </c>
      <c r="D55" s="19" t="n">
        <v>609</v>
      </c>
      <c r="E55" s="18" t="n">
        <v>24.42973103</v>
      </c>
      <c r="F55" s="20" t="n">
        <v>2.42804649</v>
      </c>
      <c r="G55" s="18" t="n">
        <v>70.80868878</v>
      </c>
      <c r="H55" s="20" t="n">
        <v>2.25098679</v>
      </c>
      <c r="I55" s="18" t="n">
        <v>0</v>
      </c>
      <c r="J55" s="20" t="n">
        <v>0</v>
      </c>
      <c r="K55" s="18" t="n">
        <v>0.14532109</v>
      </c>
      <c r="L55" s="20" t="n">
        <v>0.14908826</v>
      </c>
      <c r="M55" s="18" t="n">
        <v>0</v>
      </c>
      <c r="N55" s="20" t="n">
        <v>0</v>
      </c>
      <c r="O55" s="18" t="n">
        <v>0</v>
      </c>
      <c r="P55" s="20" t="n">
        <v>0</v>
      </c>
      <c r="Q55" s="18" t="n">
        <v>4.6162591</v>
      </c>
      <c r="R55" s="20" t="n">
        <v>0.87714313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(5768.0/B61*100)</f>
        <v/>
      </c>
      <c r="D61" s="19" t="n">
        <v>757</v>
      </c>
      <c r="E61" s="18" t="n">
        <v>33.81248314</v>
      </c>
      <c r="F61" s="20" t="n">
        <v>2.09610633</v>
      </c>
      <c r="G61" s="18" t="n">
        <v>49.94198754</v>
      </c>
      <c r="H61" s="20" t="n">
        <v>2.02077284</v>
      </c>
      <c r="I61" s="18" t="n">
        <v>0</v>
      </c>
      <c r="J61" s="20" t="n">
        <v>0</v>
      </c>
      <c r="K61" s="18" t="n">
        <v>0</v>
      </c>
      <c r="L61" s="20" t="n">
        <v>0</v>
      </c>
      <c r="M61" s="18" t="n">
        <v>0.13464876</v>
      </c>
      <c r="N61" s="20" t="n">
        <v>0.13274065</v>
      </c>
      <c r="O61" s="18" t="n">
        <v>0</v>
      </c>
      <c r="P61" s="20" t="n">
        <v>0</v>
      </c>
      <c r="Q61" s="18" t="n">
        <v>16.11088056</v>
      </c>
      <c r="R61" s="20" t="n">
        <v>1.45547194</v>
      </c>
    </row>
    <row r="62" spans="1:18">
      <c r="A62" s="15" t="s">
        <v>622</v>
      </c>
      <c r="B62" s="17" t="n">
        <v>4476</v>
      </c>
      <c r="C62" s="18">
        <f>(3981.0/B62*100)</f>
        <v/>
      </c>
      <c r="D62" s="19" t="n">
        <v>495</v>
      </c>
      <c r="E62" s="18" t="n">
        <v>25.07560107</v>
      </c>
      <c r="F62" s="20" t="n">
        <v>2.04769873</v>
      </c>
      <c r="G62" s="18" t="n">
        <v>71.26457101</v>
      </c>
      <c r="H62" s="20" t="n">
        <v>2.08210591</v>
      </c>
      <c r="I62" s="18" t="n">
        <v>0</v>
      </c>
      <c r="J62" s="20" t="n">
        <v>0</v>
      </c>
      <c r="K62" s="18" t="n">
        <v>0</v>
      </c>
      <c r="L62" s="20" t="n">
        <v>0</v>
      </c>
      <c r="M62" s="18" t="n">
        <v>0</v>
      </c>
      <c r="N62" s="20" t="n">
        <v>0</v>
      </c>
      <c r="O62" s="18" t="n">
        <v>0</v>
      </c>
      <c r="P62" s="20" t="n">
        <v>0</v>
      </c>
      <c r="Q62" s="18" t="n">
        <v>3.65982792</v>
      </c>
      <c r="R62" s="20" t="n">
        <v>0.91220749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(5038.0/B67*100)</f>
        <v/>
      </c>
      <c r="D67" s="19" t="n">
        <v>627</v>
      </c>
      <c r="E67" s="18" t="n">
        <v>36.35666186</v>
      </c>
      <c r="F67" s="20" t="n">
        <v>1.79302572</v>
      </c>
      <c r="G67" s="18" t="n">
        <v>25.0296747</v>
      </c>
      <c r="H67" s="20" t="n">
        <v>1.80586413</v>
      </c>
      <c r="I67" s="18" t="n">
        <v>0</v>
      </c>
      <c r="J67" s="20" t="n">
        <v>0</v>
      </c>
      <c r="K67" s="18" t="n">
        <v>0</v>
      </c>
      <c r="L67" s="20" t="n">
        <v>0</v>
      </c>
      <c r="M67" s="18" t="n">
        <v>0.4555392</v>
      </c>
      <c r="N67" s="20" t="n">
        <v>0.2618503</v>
      </c>
      <c r="O67" s="18" t="n">
        <v>0</v>
      </c>
      <c r="P67" s="20" t="n">
        <v>0</v>
      </c>
      <c r="Q67" s="18" t="n">
        <v>38.15812424</v>
      </c>
      <c r="R67" s="20" t="n">
        <v>1.88321002</v>
      </c>
    </row>
    <row r="68" spans="1:18">
      <c r="A68" s="15" t="s">
        <v>628</v>
      </c>
      <c r="B68" s="17" t="n">
        <v>6971</v>
      </c>
      <c r="C68" s="18">
        <f>(6248.0/B68*100)</f>
        <v/>
      </c>
      <c r="D68" s="19" t="n">
        <v>723</v>
      </c>
      <c r="E68" s="18" t="n">
        <v>53.80629247</v>
      </c>
      <c r="F68" s="20" t="n">
        <v>2.16514952</v>
      </c>
      <c r="G68" s="18" t="n">
        <v>34.82747253</v>
      </c>
      <c r="H68" s="20" t="n">
        <v>1.9824433</v>
      </c>
      <c r="I68" s="18" t="n">
        <v>0</v>
      </c>
      <c r="J68" s="20" t="n">
        <v>0</v>
      </c>
      <c r="K68" s="18" t="n">
        <v>0.22145125</v>
      </c>
      <c r="L68" s="20" t="n">
        <v>0.22600057</v>
      </c>
      <c r="M68" s="18" t="n">
        <v>0.37010686</v>
      </c>
      <c r="N68" s="20" t="n">
        <v>0.21398861</v>
      </c>
      <c r="O68" s="18" t="n">
        <v>0</v>
      </c>
      <c r="P68" s="20" t="n">
        <v>0</v>
      </c>
      <c r="Q68" s="18" t="n">
        <v>10.77467689</v>
      </c>
      <c r="R68" s="20" t="n">
        <v>1.43430571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(10790.0/B70*100)</f>
        <v/>
      </c>
      <c r="D70" s="19" t="n">
        <v>1293</v>
      </c>
      <c r="E70" s="18" t="n">
        <v>50.94244535</v>
      </c>
      <c r="F70" s="20" t="n">
        <v>1.30791871</v>
      </c>
      <c r="G70" s="18" t="n">
        <v>35.64362609</v>
      </c>
      <c r="H70" s="20" t="n">
        <v>1.23435307</v>
      </c>
      <c r="I70" s="18" t="n">
        <v>0</v>
      </c>
      <c r="J70" s="20" t="n">
        <v>0</v>
      </c>
      <c r="K70" s="18" t="n">
        <v>1.28275297</v>
      </c>
      <c r="L70" s="20" t="n">
        <v>0.33528041</v>
      </c>
      <c r="M70" s="18" t="n">
        <v>0</v>
      </c>
      <c r="N70" s="20" t="n">
        <v>0</v>
      </c>
      <c r="O70" s="18" t="n">
        <v>0</v>
      </c>
      <c r="P70" s="20" t="n">
        <v>0</v>
      </c>
      <c r="Q70" s="18" t="n">
        <v>12.13117559</v>
      </c>
      <c r="R70" s="20" t="n">
        <v>0.96430364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(5335.0/B72*100)</f>
        <v/>
      </c>
      <c r="D72" s="19" t="n">
        <v>701</v>
      </c>
      <c r="E72" s="18" t="n">
        <v>30.06693985</v>
      </c>
      <c r="F72" s="20" t="n">
        <v>1.93730304</v>
      </c>
      <c r="G72" s="18" t="n">
        <v>52.75940325</v>
      </c>
      <c r="H72" s="20" t="n">
        <v>2.69606295</v>
      </c>
      <c r="I72" s="18" t="n">
        <v>0</v>
      </c>
      <c r="J72" s="20" t="n">
        <v>0</v>
      </c>
      <c r="K72" s="18" t="n">
        <v>0</v>
      </c>
      <c r="L72" s="20" t="n">
        <v>0</v>
      </c>
      <c r="M72" s="18" t="n">
        <v>0</v>
      </c>
      <c r="N72" s="20" t="n">
        <v>0</v>
      </c>
      <c r="O72" s="18" t="n">
        <v>0</v>
      </c>
      <c r="P72" s="20" t="n">
        <v>0</v>
      </c>
      <c r="Q72" s="18" t="n">
        <v>17.17365689</v>
      </c>
      <c r="R72" s="20" t="n">
        <v>1.88703606</v>
      </c>
    </row>
    <row r="73" spans="1:18">
      <c r="A73" s="15" t="s">
        <v>633</v>
      </c>
      <c r="B73" s="17" t="n">
        <v>6115</v>
      </c>
      <c r="C73" s="18">
        <f>(5455.0/B73*100)</f>
        <v/>
      </c>
      <c r="D73" s="19" t="n">
        <v>660</v>
      </c>
      <c r="E73" s="18" t="n">
        <v>24.69455254</v>
      </c>
      <c r="F73" s="20" t="n">
        <v>1.71840817</v>
      </c>
      <c r="G73" s="18" t="n">
        <v>69.70228916000001</v>
      </c>
      <c r="H73" s="20" t="n">
        <v>1.75348727</v>
      </c>
      <c r="I73" s="18" t="n">
        <v>0</v>
      </c>
      <c r="J73" s="20" t="n">
        <v>0</v>
      </c>
      <c r="K73" s="18" t="n">
        <v>0.31026694</v>
      </c>
      <c r="L73" s="20" t="n">
        <v>0.22135366</v>
      </c>
      <c r="M73" s="18" t="n">
        <v>0.16227106</v>
      </c>
      <c r="N73" s="20" t="n">
        <v>0.16136382</v>
      </c>
      <c r="O73" s="18" t="n">
        <v>0</v>
      </c>
      <c r="P73" s="20" t="n">
        <v>0</v>
      </c>
      <c r="Q73" s="18" t="n">
        <v>5.1306203</v>
      </c>
      <c r="R73" s="20" t="n">
        <v>0.8011295</v>
      </c>
    </row>
    <row r="74" spans="1:18">
      <c r="A74" s="15" t="s">
        <v>634</v>
      </c>
      <c r="B74" s="17" t="n">
        <v>7708</v>
      </c>
      <c r="C74" s="18">
        <f>(6876.0/B74*100)</f>
        <v/>
      </c>
      <c r="D74" s="19" t="n">
        <v>832</v>
      </c>
      <c r="E74" s="18" t="n">
        <v>27.62044021</v>
      </c>
      <c r="F74" s="20" t="n">
        <v>1.73629836</v>
      </c>
      <c r="G74" s="18" t="n">
        <v>60.18182537</v>
      </c>
      <c r="H74" s="20" t="n">
        <v>1.66524697</v>
      </c>
      <c r="I74" s="18" t="n">
        <v>0</v>
      </c>
      <c r="J74" s="20" t="n">
        <v>0</v>
      </c>
      <c r="K74" s="18" t="n">
        <v>0</v>
      </c>
      <c r="L74" s="20" t="n">
        <v>0</v>
      </c>
      <c r="M74" s="18" t="n">
        <v>0</v>
      </c>
      <c r="N74" s="20" t="n">
        <v>0</v>
      </c>
      <c r="O74" s="18" t="n">
        <v>0</v>
      </c>
      <c r="P74" s="20" t="n">
        <v>0</v>
      </c>
      <c r="Q74" s="18" t="n">
        <v>12.19773443</v>
      </c>
      <c r="R74" s="20" t="n">
        <v>1.24044396</v>
      </c>
    </row>
    <row r="75" spans="1:18">
      <c r="A75" s="15" t="s">
        <v>635</v>
      </c>
      <c r="B75" s="17" t="n">
        <v>8249</v>
      </c>
      <c r="C75" s="18">
        <f>(7337.0/B75*100)</f>
        <v/>
      </c>
      <c r="D75" s="19" t="n">
        <v>912</v>
      </c>
      <c r="E75" s="18" t="n">
        <v>57.17585238</v>
      </c>
      <c r="F75" s="20" t="n">
        <v>2.19884539</v>
      </c>
      <c r="G75" s="18" t="n">
        <v>38.83169102</v>
      </c>
      <c r="H75" s="20" t="n">
        <v>2.10271658</v>
      </c>
      <c r="I75" s="18" t="n">
        <v>0</v>
      </c>
      <c r="J75" s="20" t="n">
        <v>0</v>
      </c>
      <c r="K75" s="18" t="n">
        <v>0</v>
      </c>
      <c r="L75" s="20" t="n">
        <v>0</v>
      </c>
      <c r="M75" s="18" t="n">
        <v>0.22255224</v>
      </c>
      <c r="N75" s="20" t="n">
        <v>0.12954518</v>
      </c>
      <c r="O75" s="18" t="n">
        <v>0</v>
      </c>
      <c r="P75" s="20" t="n">
        <v>0</v>
      </c>
      <c r="Q75" s="18" t="n">
        <v>3.76990435</v>
      </c>
      <c r="R75" s="20" t="n">
        <v>0.86269905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(4824.0/B77*100)</f>
        <v/>
      </c>
      <c r="D77" s="19" t="n">
        <v>551</v>
      </c>
      <c r="E77" s="18" t="n">
        <v>51.21217193</v>
      </c>
      <c r="F77" s="20" t="n">
        <v>2.03101864</v>
      </c>
      <c r="G77" s="18" t="n">
        <v>18.90891361</v>
      </c>
      <c r="H77" s="20" t="n">
        <v>1.6348244</v>
      </c>
      <c r="I77" s="18" t="n">
        <v>0</v>
      </c>
      <c r="J77" s="20" t="n">
        <v>0</v>
      </c>
      <c r="K77" s="18" t="n">
        <v>1.44712747</v>
      </c>
      <c r="L77" s="20" t="n">
        <v>0.57068266</v>
      </c>
      <c r="M77" s="18" t="n">
        <v>1.45291397</v>
      </c>
      <c r="N77" s="20" t="n">
        <v>0.67087883</v>
      </c>
      <c r="O77" s="18" t="n">
        <v>0</v>
      </c>
      <c r="P77" s="20" t="n">
        <v>0</v>
      </c>
      <c r="Q77" s="18" t="n">
        <v>26.97887302</v>
      </c>
      <c r="R77" s="20" t="n">
        <v>1.7150504</v>
      </c>
    </row>
    <row r="78" spans="1:18">
      <c r="A78" s="15" t="s">
        <v>638</v>
      </c>
      <c r="B78" s="17" t="n">
        <v>14167</v>
      </c>
      <c r="C78" s="18">
        <f>(12623.0/B78*100)</f>
        <v/>
      </c>
      <c r="D78" s="19" t="n">
        <v>1544</v>
      </c>
      <c r="E78" s="18" t="n">
        <v>56.2310947</v>
      </c>
      <c r="F78" s="20" t="n">
        <v>1.47105172</v>
      </c>
      <c r="G78" s="18" t="n">
        <v>35.97041064</v>
      </c>
      <c r="H78" s="20" t="n">
        <v>1.47287648</v>
      </c>
      <c r="I78" s="18" t="n">
        <v>0</v>
      </c>
      <c r="J78" s="20" t="n">
        <v>0</v>
      </c>
      <c r="K78" s="18" t="n">
        <v>0.27529359</v>
      </c>
      <c r="L78" s="20" t="n">
        <v>0.14344575</v>
      </c>
      <c r="M78" s="18" t="n">
        <v>0.28888802</v>
      </c>
      <c r="N78" s="20" t="n">
        <v>0.1787799</v>
      </c>
      <c r="O78" s="18" t="n">
        <v>0</v>
      </c>
      <c r="P78" s="20" t="n">
        <v>0</v>
      </c>
      <c r="Q78" s="18" t="n">
        <v>7.23431304</v>
      </c>
      <c r="R78" s="20" t="n">
        <v>0.89920746</v>
      </c>
    </row>
    <row r="79" spans="1:18">
      <c r="A79" s="15" t="s">
        <v>639</v>
      </c>
      <c r="B79" s="17" t="n">
        <v>6062</v>
      </c>
      <c r="C79" s="18">
        <f>(5424.0/B79*100)</f>
        <v/>
      </c>
      <c r="D79" s="19" t="n">
        <v>638</v>
      </c>
      <c r="E79" s="18" t="n">
        <v>36.24514992</v>
      </c>
      <c r="F79" s="20" t="n">
        <v>2.03183806</v>
      </c>
      <c r="G79" s="18" t="n">
        <v>39.80862754</v>
      </c>
      <c r="H79" s="20" t="n">
        <v>2.43219305</v>
      </c>
      <c r="I79" s="18" t="n">
        <v>0</v>
      </c>
      <c r="J79" s="20" t="n">
        <v>0</v>
      </c>
      <c r="K79" s="18" t="n">
        <v>0.45293015</v>
      </c>
      <c r="L79" s="20" t="n">
        <v>0.28582177</v>
      </c>
      <c r="M79" s="18" t="n">
        <v>0</v>
      </c>
      <c r="N79" s="20" t="n">
        <v>0</v>
      </c>
      <c r="O79" s="18" t="n">
        <v>0</v>
      </c>
      <c r="P79" s="20" t="n">
        <v>0</v>
      </c>
      <c r="Q79" s="18" t="n">
        <v>23.49329239</v>
      </c>
      <c r="R79" s="20" t="n">
        <v>1.69905435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(28798.0/B82*100)</f>
        <v/>
      </c>
      <c r="D82" s="19" t="n">
        <v>3532</v>
      </c>
      <c r="E82" s="18" t="n">
        <v>36.1275046</v>
      </c>
      <c r="F82" s="20" t="n">
        <v>1.2585483</v>
      </c>
      <c r="G82" s="18" t="n">
        <v>50.85235686</v>
      </c>
      <c r="H82" s="20" t="n">
        <v>1.17279064</v>
      </c>
      <c r="I82" s="18" t="n">
        <v>0</v>
      </c>
      <c r="J82" s="20" t="n">
        <v>0</v>
      </c>
      <c r="K82" s="18" t="n">
        <v>0.13069213</v>
      </c>
      <c r="L82" s="20" t="n">
        <v>0.06715749999999999</v>
      </c>
      <c r="M82" s="18" t="n">
        <v>0</v>
      </c>
      <c r="N82" s="20" t="n">
        <v>0</v>
      </c>
      <c r="O82" s="18" t="n">
        <v>0</v>
      </c>
      <c r="P82" s="20" t="n">
        <v>0</v>
      </c>
      <c r="Q82" s="18" t="n">
        <v>12.88944641</v>
      </c>
      <c r="R82" s="20" t="n">
        <v>0.79952894</v>
      </c>
    </row>
    <row r="83" spans="1:18">
      <c r="A83" s="15" t="s">
        <v>643</v>
      </c>
      <c r="B83" s="17" t="n">
        <v>1652</v>
      </c>
      <c r="C83" s="18">
        <f>(1472.0/B83*100)</f>
        <v/>
      </c>
      <c r="D83" s="19" t="n">
        <v>180</v>
      </c>
      <c r="E83" s="18" t="n">
        <v>35.17185858</v>
      </c>
      <c r="F83" s="20" t="n">
        <v>4.26502809</v>
      </c>
      <c r="G83" s="18" t="n">
        <v>61.14698909</v>
      </c>
      <c r="H83" s="20" t="n">
        <v>4.20908387</v>
      </c>
      <c r="I83" s="18" t="n">
        <v>0</v>
      </c>
      <c r="J83" s="20" t="n">
        <v>0</v>
      </c>
      <c r="K83" s="18" t="n">
        <v>0</v>
      </c>
      <c r="L83" s="20" t="n">
        <v>0</v>
      </c>
      <c r="M83" s="18" t="n">
        <v>0</v>
      </c>
      <c r="N83" s="20" t="n">
        <v>0</v>
      </c>
      <c r="O83" s="18" t="n">
        <v>0</v>
      </c>
      <c r="P83" s="20" t="n">
        <v>0</v>
      </c>
      <c r="Q83" s="18" t="n">
        <v>3.68115233</v>
      </c>
      <c r="R83" s="20" t="n">
        <v>1.50379769</v>
      </c>
    </row>
    <row r="84" spans="1:18">
      <c r="A84" s="23" t="s">
        <v>644</v>
      </c>
      <c r="B84" s="24" t="n">
        <v>1887</v>
      </c>
      <c r="C84" s="25">
        <f>(1675.0/B84*100)</f>
        <v/>
      </c>
      <c r="D84" s="19" t="n">
        <v>212</v>
      </c>
      <c r="E84" s="18" t="n">
        <v>36.68085711</v>
      </c>
      <c r="F84" s="20" t="n">
        <v>3.1310335</v>
      </c>
      <c r="G84" s="18" t="n">
        <v>57.04002395</v>
      </c>
      <c r="H84" s="20" t="n">
        <v>3.46508195</v>
      </c>
      <c r="I84" s="18" t="n">
        <v>0</v>
      </c>
      <c r="J84" s="20" t="n">
        <v>0</v>
      </c>
      <c r="K84" s="18" t="n">
        <v>0</v>
      </c>
      <c r="L84" s="20" t="n">
        <v>0</v>
      </c>
      <c r="M84" s="18" t="n">
        <v>0</v>
      </c>
      <c r="N84" s="20" t="n">
        <v>0</v>
      </c>
      <c r="O84" s="18" t="n">
        <v>0</v>
      </c>
      <c r="P84" s="20" t="n">
        <v>0</v>
      </c>
      <c r="Q84" s="18" t="n">
        <v>6.27911894</v>
      </c>
      <c r="R84" s="20" t="n">
        <v>1.6037204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(12957.0/B7*100)</f>
        <v/>
      </c>
      <c r="D7" s="19" t="n">
        <v>1573</v>
      </c>
      <c r="E7" s="18" t="n">
        <v>31.07774455</v>
      </c>
      <c r="F7" s="20" t="n">
        <v>1.47830486</v>
      </c>
      <c r="G7" s="18" t="n">
        <v>60.38712598</v>
      </c>
      <c r="H7" s="20" t="n">
        <v>1.66777281</v>
      </c>
      <c r="I7" s="18" t="n">
        <v>0</v>
      </c>
      <c r="J7" s="20" t="n">
        <v>0</v>
      </c>
      <c r="K7" s="18" t="n">
        <v>0.14086609</v>
      </c>
      <c r="L7" s="20" t="n">
        <v>0.11005833</v>
      </c>
      <c r="M7" s="18" t="n">
        <v>0.17214941</v>
      </c>
      <c r="N7" s="20" t="n">
        <v>0.15297857</v>
      </c>
      <c r="O7" s="18" t="n">
        <v>0</v>
      </c>
      <c r="P7" s="20" t="n">
        <v>0</v>
      </c>
      <c r="Q7" s="18" t="n">
        <v>8.22211396</v>
      </c>
      <c r="R7" s="20" t="n">
        <v>0.76150476</v>
      </c>
    </row>
    <row r="8" spans="1:18">
      <c r="A8" s="15" t="s">
        <v>566</v>
      </c>
      <c r="B8" s="17" t="n">
        <v>7007</v>
      </c>
      <c r="C8" s="18">
        <f>(6232.0/B8*100)</f>
        <v/>
      </c>
      <c r="D8" s="19" t="n">
        <v>775</v>
      </c>
      <c r="E8" s="18" t="n">
        <v>18.27862445</v>
      </c>
      <c r="F8" s="20" t="n">
        <v>1.6764185</v>
      </c>
      <c r="G8" s="18" t="n">
        <v>63.15015488</v>
      </c>
      <c r="H8" s="20" t="n">
        <v>2.00672976</v>
      </c>
      <c r="I8" s="18" t="n">
        <v>0</v>
      </c>
      <c r="J8" s="20" t="n">
        <v>0</v>
      </c>
      <c r="K8" s="18" t="n">
        <v>0.15036701</v>
      </c>
      <c r="L8" s="20" t="n">
        <v>0.17163397</v>
      </c>
      <c r="M8" s="18" t="n">
        <v>0</v>
      </c>
      <c r="N8" s="20" t="n">
        <v>0</v>
      </c>
      <c r="O8" s="18" t="n">
        <v>0</v>
      </c>
      <c r="P8" s="20" t="n">
        <v>0</v>
      </c>
      <c r="Q8" s="18" t="n">
        <v>18.42085366</v>
      </c>
      <c r="R8" s="20" t="n">
        <v>1.50048473</v>
      </c>
    </row>
    <row r="9" spans="1:18">
      <c r="A9" s="15" t="s">
        <v>567</v>
      </c>
      <c r="B9" s="17" t="n">
        <v>9651</v>
      </c>
      <c r="C9" s="18">
        <f>(8613.0/B9*100)</f>
        <v/>
      </c>
      <c r="D9" s="19" t="n">
        <v>1038</v>
      </c>
      <c r="E9" s="18" t="n">
        <v>22.47245182</v>
      </c>
      <c r="F9" s="20" t="n">
        <v>1.54408233</v>
      </c>
      <c r="G9" s="18" t="n">
        <v>63.00694094</v>
      </c>
      <c r="H9" s="20" t="n">
        <v>1.41924166</v>
      </c>
      <c r="I9" s="18" t="n">
        <v>0</v>
      </c>
      <c r="J9" s="20" t="n">
        <v>0</v>
      </c>
      <c r="K9" s="18" t="n">
        <v>0</v>
      </c>
      <c r="L9" s="20" t="n">
        <v>0</v>
      </c>
      <c r="M9" s="18" t="n">
        <v>0.32807553</v>
      </c>
      <c r="N9" s="20" t="n">
        <v>0.19905178</v>
      </c>
      <c r="O9" s="18" t="n">
        <v>0</v>
      </c>
      <c r="P9" s="20" t="n">
        <v>0</v>
      </c>
      <c r="Q9" s="18" t="n">
        <v>14.19253171</v>
      </c>
      <c r="R9" s="20" t="n">
        <v>1.11559625</v>
      </c>
    </row>
    <row r="10" spans="1:18">
      <c r="A10" s="15" t="s">
        <v>568</v>
      </c>
      <c r="B10" s="17" t="n">
        <v>20058</v>
      </c>
      <c r="C10" s="18">
        <f>(17764.0/B10*100)</f>
        <v/>
      </c>
      <c r="D10" s="19" t="n">
        <v>2294</v>
      </c>
      <c r="E10" s="18" t="n">
        <v>24.16624061</v>
      </c>
      <c r="F10" s="20" t="n">
        <v>1.37162787</v>
      </c>
      <c r="G10" s="18" t="n">
        <v>69.08432359</v>
      </c>
      <c r="H10" s="20" t="n">
        <v>1.61194524</v>
      </c>
      <c r="I10" s="18" t="n">
        <v>0</v>
      </c>
      <c r="J10" s="20" t="n">
        <v>0</v>
      </c>
      <c r="K10" s="18" t="n">
        <v>0.40320525</v>
      </c>
      <c r="L10" s="20" t="n">
        <v>0.23894165</v>
      </c>
      <c r="M10" s="18" t="n">
        <v>0</v>
      </c>
      <c r="N10" s="20" t="n">
        <v>0</v>
      </c>
      <c r="O10" s="18" t="n">
        <v>0</v>
      </c>
      <c r="P10" s="20" t="n">
        <v>0</v>
      </c>
      <c r="Q10" s="18" t="n">
        <v>6.34623055</v>
      </c>
      <c r="R10" s="20" t="n">
        <v>0.7343288100000001</v>
      </c>
    </row>
    <row r="11" spans="1:18">
      <c r="A11" s="15" t="s">
        <v>569</v>
      </c>
      <c r="B11" s="17" t="n">
        <v>7053</v>
      </c>
      <c r="C11" s="18">
        <f>(6305.0/B11*100)</f>
        <v/>
      </c>
      <c r="D11" s="19" t="n">
        <v>748</v>
      </c>
      <c r="E11" s="18" t="n">
        <v>37.57137725</v>
      </c>
      <c r="F11" s="20" t="n">
        <v>2.08140803</v>
      </c>
      <c r="G11" s="18" t="n">
        <v>44.89223759</v>
      </c>
      <c r="H11" s="20" t="n">
        <v>1.9929185</v>
      </c>
      <c r="I11" s="18" t="n">
        <v>0</v>
      </c>
      <c r="J11" s="20" t="n">
        <v>0</v>
      </c>
      <c r="K11" s="18" t="n">
        <v>0.50766702</v>
      </c>
      <c r="L11" s="20" t="n">
        <v>0.26513565</v>
      </c>
      <c r="M11" s="18" t="n">
        <v>0</v>
      </c>
      <c r="N11" s="20" t="n">
        <v>0</v>
      </c>
      <c r="O11" s="18" t="n">
        <v>0</v>
      </c>
      <c r="P11" s="20" t="n">
        <v>0</v>
      </c>
      <c r="Q11" s="18" t="n">
        <v>17.02871814</v>
      </c>
      <c r="R11" s="20" t="n">
        <v>1.92763502</v>
      </c>
    </row>
    <row r="12" spans="1:18">
      <c r="A12" s="15" t="s">
        <v>570</v>
      </c>
      <c r="B12" s="17" t="n">
        <v>6894</v>
      </c>
      <c r="C12" s="18">
        <f>(6131.0/B12*100)</f>
        <v/>
      </c>
      <c r="D12" s="19" t="n">
        <v>763</v>
      </c>
      <c r="E12" s="18" t="n">
        <v>22.78782381</v>
      </c>
      <c r="F12" s="20" t="n">
        <v>1.58631895</v>
      </c>
      <c r="G12" s="18" t="n">
        <v>52.58067992</v>
      </c>
      <c r="H12" s="20" t="n">
        <v>1.95356676</v>
      </c>
      <c r="I12" s="18" t="n">
        <v>0</v>
      </c>
      <c r="J12" s="20" t="n">
        <v>0</v>
      </c>
      <c r="K12" s="18" t="n">
        <v>0.1195657</v>
      </c>
      <c r="L12" s="20" t="n">
        <v>0.11809678</v>
      </c>
      <c r="M12" s="18" t="n">
        <v>0</v>
      </c>
      <c r="N12" s="20" t="n">
        <v>0</v>
      </c>
      <c r="O12" s="18" t="n">
        <v>0</v>
      </c>
      <c r="P12" s="20" t="n">
        <v>0</v>
      </c>
      <c r="Q12" s="18" t="n">
        <v>24.51193056</v>
      </c>
      <c r="R12" s="20" t="n">
        <v>1.73136778</v>
      </c>
    </row>
    <row r="13" spans="1:18">
      <c r="A13" s="15" t="s">
        <v>571</v>
      </c>
      <c r="B13" s="17" t="n">
        <v>7161</v>
      </c>
      <c r="C13" s="18">
        <f>(6372.0/B13*100)</f>
        <v/>
      </c>
      <c r="D13" s="19" t="n">
        <v>789</v>
      </c>
      <c r="E13" s="18" t="n">
        <v>23.80972336</v>
      </c>
      <c r="F13" s="20" t="n">
        <v>1.51273333</v>
      </c>
      <c r="G13" s="18" t="n">
        <v>66.38649706</v>
      </c>
      <c r="H13" s="20" t="n">
        <v>1.90329389</v>
      </c>
      <c r="I13" s="18" t="n">
        <v>0</v>
      </c>
      <c r="J13" s="20" t="n">
        <v>0</v>
      </c>
      <c r="K13" s="18" t="n">
        <v>0.04064994</v>
      </c>
      <c r="L13" s="20" t="n">
        <v>0.04063376</v>
      </c>
      <c r="M13" s="18" t="n">
        <v>0</v>
      </c>
      <c r="N13" s="20" t="n">
        <v>0</v>
      </c>
      <c r="O13" s="18" t="n">
        <v>0</v>
      </c>
      <c r="P13" s="20" t="n">
        <v>0</v>
      </c>
      <c r="Q13" s="18" t="n">
        <v>9.763129640000001</v>
      </c>
      <c r="R13" s="20" t="n">
        <v>1.12020651</v>
      </c>
    </row>
    <row r="14" spans="1:18">
      <c r="A14" s="15" t="s">
        <v>572</v>
      </c>
      <c r="B14" s="17" t="n">
        <v>5587</v>
      </c>
      <c r="C14" s="18">
        <f>(4959.0/B14*100)</f>
        <v/>
      </c>
      <c r="D14" s="19" t="n">
        <v>628</v>
      </c>
      <c r="E14" s="18" t="n">
        <v>22.59081791</v>
      </c>
      <c r="F14" s="20" t="n">
        <v>2.08889679</v>
      </c>
      <c r="G14" s="18" t="n">
        <v>66.14965239999999</v>
      </c>
      <c r="H14" s="20" t="n">
        <v>2.48217412</v>
      </c>
      <c r="I14" s="18" t="n">
        <v>0</v>
      </c>
      <c r="J14" s="20" t="n">
        <v>0</v>
      </c>
      <c r="K14" s="18" t="n">
        <v>0</v>
      </c>
      <c r="L14" s="20" t="n">
        <v>0</v>
      </c>
      <c r="M14" s="18" t="n">
        <v>0</v>
      </c>
      <c r="N14" s="20" t="n">
        <v>0</v>
      </c>
      <c r="O14" s="18" t="n">
        <v>0</v>
      </c>
      <c r="P14" s="20" t="n">
        <v>0</v>
      </c>
      <c r="Q14" s="18" t="n">
        <v>11.25952969</v>
      </c>
      <c r="R14" s="20" t="n">
        <v>1.45925886</v>
      </c>
    </row>
    <row r="15" spans="1:18">
      <c r="A15" s="15" t="s">
        <v>573</v>
      </c>
      <c r="B15" s="17" t="n">
        <v>5882</v>
      </c>
      <c r="C15" s="18">
        <f>(5280.0/B15*100)</f>
        <v/>
      </c>
      <c r="D15" s="19" t="n">
        <v>602</v>
      </c>
      <c r="E15" s="18" t="n">
        <v>21.07358233</v>
      </c>
      <c r="F15" s="20" t="n">
        <v>1.80313185</v>
      </c>
      <c r="G15" s="18" t="n">
        <v>69.10318543</v>
      </c>
      <c r="H15" s="20" t="n">
        <v>2.24728144</v>
      </c>
      <c r="I15" s="18" t="n">
        <v>0</v>
      </c>
      <c r="J15" s="20" t="n">
        <v>0</v>
      </c>
      <c r="K15" s="18" t="n">
        <v>0</v>
      </c>
      <c r="L15" s="20" t="n">
        <v>0</v>
      </c>
      <c r="M15" s="18" t="n">
        <v>0</v>
      </c>
      <c r="N15" s="20" t="n">
        <v>0</v>
      </c>
      <c r="O15" s="18" t="n">
        <v>0</v>
      </c>
      <c r="P15" s="20" t="n">
        <v>0</v>
      </c>
      <c r="Q15" s="18" t="n">
        <v>9.823232239999999</v>
      </c>
      <c r="R15" s="20" t="n">
        <v>1.31160361</v>
      </c>
    </row>
    <row r="16" spans="1:18">
      <c r="A16" s="15" t="s">
        <v>574</v>
      </c>
      <c r="B16" s="17" t="n">
        <v>6108</v>
      </c>
      <c r="C16" s="18">
        <f>(5443.0/B16*100)</f>
        <v/>
      </c>
      <c r="D16" s="19" t="n">
        <v>665</v>
      </c>
      <c r="E16" s="18" t="n">
        <v>15.60927763</v>
      </c>
      <c r="F16" s="20" t="n">
        <v>1.38520655</v>
      </c>
      <c r="G16" s="18" t="n">
        <v>62.67260327</v>
      </c>
      <c r="H16" s="20" t="n">
        <v>1.73135877</v>
      </c>
      <c r="I16" s="18" t="n">
        <v>0</v>
      </c>
      <c r="J16" s="20" t="n">
        <v>0</v>
      </c>
      <c r="K16" s="18" t="n">
        <v>0.33240728</v>
      </c>
      <c r="L16" s="20" t="n">
        <v>0.21756874</v>
      </c>
      <c r="M16" s="18" t="n">
        <v>0</v>
      </c>
      <c r="N16" s="20" t="n">
        <v>0</v>
      </c>
      <c r="O16" s="18" t="n">
        <v>0</v>
      </c>
      <c r="P16" s="20" t="n">
        <v>0</v>
      </c>
      <c r="Q16" s="18" t="n">
        <v>21.38571183</v>
      </c>
      <c r="R16" s="20" t="n">
        <v>1.32698358</v>
      </c>
    </row>
    <row r="17" spans="1:18">
      <c r="A17" s="15" t="s">
        <v>575</v>
      </c>
      <c r="B17" s="17" t="n">
        <v>6504</v>
      </c>
      <c r="C17" s="18">
        <f>(5817.0/B17*100)</f>
        <v/>
      </c>
      <c r="D17" s="19" t="n">
        <v>687</v>
      </c>
      <c r="E17" s="18" t="n">
        <v>24.1709583</v>
      </c>
      <c r="F17" s="20" t="n">
        <v>1.83225061</v>
      </c>
      <c r="G17" s="18" t="n">
        <v>61.40787181</v>
      </c>
      <c r="H17" s="20" t="n">
        <v>1.83295348</v>
      </c>
      <c r="I17" s="18" t="n">
        <v>0</v>
      </c>
      <c r="J17" s="20" t="n">
        <v>0</v>
      </c>
      <c r="K17" s="18" t="n">
        <v>0.15186343</v>
      </c>
      <c r="L17" s="20" t="n">
        <v>0.1502956</v>
      </c>
      <c r="M17" s="18" t="n">
        <v>0</v>
      </c>
      <c r="N17" s="20" t="n">
        <v>0</v>
      </c>
      <c r="O17" s="18" t="n">
        <v>0</v>
      </c>
      <c r="P17" s="20" t="n">
        <v>0</v>
      </c>
      <c r="Q17" s="18" t="n">
        <v>14.26930646</v>
      </c>
      <c r="R17" s="20" t="n">
        <v>1.42477754</v>
      </c>
    </row>
    <row r="18" spans="1:18">
      <c r="A18" s="15" t="s">
        <v>576</v>
      </c>
      <c r="B18" s="17" t="n">
        <v>5532</v>
      </c>
      <c r="C18" s="18">
        <f>(4914.0/B18*100)</f>
        <v/>
      </c>
      <c r="D18" s="19" t="n">
        <v>618</v>
      </c>
      <c r="E18" s="18" t="n">
        <v>32.93627185</v>
      </c>
      <c r="F18" s="20" t="n">
        <v>1.82053601</v>
      </c>
      <c r="G18" s="18" t="n">
        <v>47.73767296</v>
      </c>
      <c r="H18" s="20" t="n">
        <v>2.23220831</v>
      </c>
      <c r="I18" s="18" t="n">
        <v>0</v>
      </c>
      <c r="J18" s="20" t="n">
        <v>0</v>
      </c>
      <c r="K18" s="18" t="n">
        <v>0.13003334</v>
      </c>
      <c r="L18" s="20" t="n">
        <v>0.12590959</v>
      </c>
      <c r="M18" s="18" t="n">
        <v>0</v>
      </c>
      <c r="N18" s="20" t="n">
        <v>0</v>
      </c>
      <c r="O18" s="18" t="n">
        <v>0</v>
      </c>
      <c r="P18" s="20" t="n">
        <v>0</v>
      </c>
      <c r="Q18" s="18" t="n">
        <v>19.19602184</v>
      </c>
      <c r="R18" s="20" t="n">
        <v>2.04695294</v>
      </c>
    </row>
    <row r="19" spans="1:18">
      <c r="A19" s="15" t="s">
        <v>577</v>
      </c>
      <c r="B19" s="17" t="n">
        <v>5658</v>
      </c>
      <c r="C19" s="18">
        <f>(5048.0/B19*100)</f>
        <v/>
      </c>
      <c r="D19" s="19" t="n">
        <v>610</v>
      </c>
      <c r="E19" s="18" t="n">
        <v>25.9983067</v>
      </c>
      <c r="F19" s="20" t="n">
        <v>2.12584037</v>
      </c>
      <c r="G19" s="18" t="n">
        <v>54.79590837</v>
      </c>
      <c r="H19" s="20" t="n">
        <v>2.13703504</v>
      </c>
      <c r="I19" s="18" t="n">
        <v>0</v>
      </c>
      <c r="J19" s="20" t="n">
        <v>0</v>
      </c>
      <c r="K19" s="18" t="n">
        <v>0</v>
      </c>
      <c r="L19" s="20" t="n">
        <v>0</v>
      </c>
      <c r="M19" s="18" t="n">
        <v>0</v>
      </c>
      <c r="N19" s="20" t="n">
        <v>0</v>
      </c>
      <c r="O19" s="18" t="n">
        <v>0</v>
      </c>
      <c r="P19" s="20" t="n">
        <v>0</v>
      </c>
      <c r="Q19" s="18" t="n">
        <v>19.20578493</v>
      </c>
      <c r="R19" s="20" t="n">
        <v>1.79465106</v>
      </c>
    </row>
    <row r="20" spans="1:18">
      <c r="A20" s="15" t="s">
        <v>578</v>
      </c>
      <c r="B20" s="17" t="n">
        <v>3371</v>
      </c>
      <c r="C20" s="18">
        <f>(2974.0/B20*100)</f>
        <v/>
      </c>
      <c r="D20" s="19" t="n">
        <v>397</v>
      </c>
      <c r="E20" s="18" t="n">
        <v>27.85280555</v>
      </c>
      <c r="F20" s="20" t="n">
        <v>1.69281737</v>
      </c>
      <c r="G20" s="18" t="n">
        <v>54.64896022</v>
      </c>
      <c r="H20" s="20" t="n">
        <v>2.05996557</v>
      </c>
      <c r="I20" s="18" t="n">
        <v>0</v>
      </c>
      <c r="J20" s="20" t="n">
        <v>0</v>
      </c>
      <c r="K20" s="18" t="n">
        <v>0.2487179</v>
      </c>
      <c r="L20" s="20" t="n">
        <v>0.24972445</v>
      </c>
      <c r="M20" s="18" t="n">
        <v>0</v>
      </c>
      <c r="N20" s="20" t="n">
        <v>0</v>
      </c>
      <c r="O20" s="18" t="n">
        <v>0</v>
      </c>
      <c r="P20" s="20" t="n">
        <v>0</v>
      </c>
      <c r="Q20" s="18" t="n">
        <v>17.24951632</v>
      </c>
      <c r="R20" s="20" t="n">
        <v>1.81972258</v>
      </c>
    </row>
    <row r="21" spans="1:18">
      <c r="A21" s="15" t="s">
        <v>579</v>
      </c>
      <c r="B21" s="17" t="n">
        <v>5741</v>
      </c>
      <c r="C21" s="18">
        <f>(5116.0/B21*100)</f>
        <v/>
      </c>
      <c r="D21" s="19" t="n">
        <v>625</v>
      </c>
      <c r="E21" s="18" t="n">
        <v>22.37207945</v>
      </c>
      <c r="F21" s="20" t="n">
        <v>1.78605364</v>
      </c>
      <c r="G21" s="18" t="n">
        <v>70.24084847</v>
      </c>
      <c r="H21" s="20" t="n">
        <v>2.03051876</v>
      </c>
      <c r="I21" s="18" t="n">
        <v>0</v>
      </c>
      <c r="J21" s="20" t="n">
        <v>0</v>
      </c>
      <c r="K21" s="18" t="n">
        <v>0</v>
      </c>
      <c r="L21" s="20" t="n">
        <v>0</v>
      </c>
      <c r="M21" s="18" t="n">
        <v>0.14207939</v>
      </c>
      <c r="N21" s="20" t="n">
        <v>0.14303948</v>
      </c>
      <c r="O21" s="18" t="n">
        <v>0</v>
      </c>
      <c r="P21" s="20" t="n">
        <v>0</v>
      </c>
      <c r="Q21" s="18" t="n">
        <v>7.24499269</v>
      </c>
      <c r="R21" s="20" t="n">
        <v>1.14014637</v>
      </c>
    </row>
    <row r="22" spans="1:18">
      <c r="A22" s="15" t="s">
        <v>580</v>
      </c>
      <c r="B22" s="17" t="n">
        <v>6598</v>
      </c>
      <c r="C22" s="18">
        <f>(5848.0/B22*100)</f>
        <v/>
      </c>
      <c r="D22" s="19" t="n">
        <v>750</v>
      </c>
      <c r="E22" s="18" t="n">
        <v>25.07609026</v>
      </c>
      <c r="F22" s="20" t="n">
        <v>1.81802602</v>
      </c>
      <c r="G22" s="18" t="n">
        <v>58.39151757</v>
      </c>
      <c r="H22" s="20" t="n">
        <v>2.18238568</v>
      </c>
      <c r="I22" s="18" t="n">
        <v>0</v>
      </c>
      <c r="J22" s="20" t="n">
        <v>0</v>
      </c>
      <c r="K22" s="18" t="n">
        <v>0.38488489</v>
      </c>
      <c r="L22" s="20" t="n">
        <v>0.23137229</v>
      </c>
      <c r="M22" s="18" t="n">
        <v>0</v>
      </c>
      <c r="N22" s="20" t="n">
        <v>0</v>
      </c>
      <c r="O22" s="18" t="n">
        <v>0</v>
      </c>
      <c r="P22" s="20" t="n">
        <v>0</v>
      </c>
      <c r="Q22" s="18" t="n">
        <v>16.14750729</v>
      </c>
      <c r="R22" s="20" t="n">
        <v>1.63838975</v>
      </c>
    </row>
    <row r="23" spans="1:18">
      <c r="A23" s="15" t="s">
        <v>581</v>
      </c>
      <c r="B23" s="17" t="n">
        <v>11583</v>
      </c>
      <c r="C23" s="18">
        <f>(10338.0/B23*100)</f>
        <v/>
      </c>
      <c r="D23" s="19" t="n">
        <v>1245</v>
      </c>
      <c r="E23" s="18" t="n">
        <v>26.62649426</v>
      </c>
      <c r="F23" s="20" t="n">
        <v>1.93419756</v>
      </c>
      <c r="G23" s="18" t="n">
        <v>53.72555206</v>
      </c>
      <c r="H23" s="20" t="n">
        <v>2.01167315</v>
      </c>
      <c r="I23" s="18" t="n">
        <v>0</v>
      </c>
      <c r="J23" s="20" t="n">
        <v>0</v>
      </c>
      <c r="K23" s="18" t="n">
        <v>0.07955835999999999</v>
      </c>
      <c r="L23" s="20" t="n">
        <v>0.06694787000000001</v>
      </c>
      <c r="M23" s="18" t="n">
        <v>0.24219251</v>
      </c>
      <c r="N23" s="20" t="n">
        <v>0.28228917</v>
      </c>
      <c r="O23" s="18" t="n">
        <v>0</v>
      </c>
      <c r="P23" s="20" t="n">
        <v>0</v>
      </c>
      <c r="Q23" s="18" t="n">
        <v>19.32620281</v>
      </c>
      <c r="R23" s="20" t="n">
        <v>1.56727204</v>
      </c>
    </row>
    <row r="24" spans="1:18">
      <c r="A24" s="15" t="s">
        <v>582</v>
      </c>
      <c r="B24" s="17" t="n">
        <v>6647</v>
      </c>
      <c r="C24" s="18">
        <f>(5923.0/B24*100)</f>
        <v/>
      </c>
      <c r="D24" s="19" t="n">
        <v>724</v>
      </c>
      <c r="E24" s="18" t="n">
        <v>21.45707052</v>
      </c>
      <c r="F24" s="20" t="n">
        <v>1.72453707</v>
      </c>
      <c r="G24" s="18" t="n">
        <v>65.55482554</v>
      </c>
      <c r="H24" s="20" t="n">
        <v>1.99949334</v>
      </c>
      <c r="I24" s="18" t="n">
        <v>0</v>
      </c>
      <c r="J24" s="20" t="n">
        <v>0</v>
      </c>
      <c r="K24" s="18" t="n">
        <v>0</v>
      </c>
      <c r="L24" s="20" t="n">
        <v>0</v>
      </c>
      <c r="M24" s="18" t="n">
        <v>0</v>
      </c>
      <c r="N24" s="20" t="n">
        <v>0</v>
      </c>
      <c r="O24" s="18" t="n">
        <v>0</v>
      </c>
      <c r="P24" s="20" t="n">
        <v>0</v>
      </c>
      <c r="Q24" s="18" t="n">
        <v>12.98810394</v>
      </c>
      <c r="R24" s="20" t="n">
        <v>1.1360343</v>
      </c>
    </row>
    <row r="25" spans="1:18">
      <c r="A25" s="15" t="s">
        <v>583</v>
      </c>
      <c r="B25" s="17" t="n">
        <v>5581</v>
      </c>
      <c r="C25" s="18">
        <f>(4963.0/B25*100)</f>
        <v/>
      </c>
      <c r="D25" s="19" t="n">
        <v>618</v>
      </c>
      <c r="E25" s="18" t="n">
        <v>24.83375898</v>
      </c>
      <c r="F25" s="20" t="n">
        <v>1.75931713</v>
      </c>
      <c r="G25" s="18" t="n">
        <v>62.34400176</v>
      </c>
      <c r="H25" s="20" t="n">
        <v>2.1135518</v>
      </c>
      <c r="I25" s="18" t="n">
        <v>0</v>
      </c>
      <c r="J25" s="20" t="n">
        <v>0</v>
      </c>
      <c r="K25" s="18" t="n">
        <v>0.31560599</v>
      </c>
      <c r="L25" s="20" t="n">
        <v>0.22765417</v>
      </c>
      <c r="M25" s="18" t="n">
        <v>0</v>
      </c>
      <c r="N25" s="20" t="n">
        <v>0</v>
      </c>
      <c r="O25" s="18" t="n">
        <v>0</v>
      </c>
      <c r="P25" s="20" t="n">
        <v>0</v>
      </c>
      <c r="Q25" s="18" t="n">
        <v>12.50663327</v>
      </c>
      <c r="R25" s="20" t="n">
        <v>1.36434436</v>
      </c>
    </row>
    <row r="26" spans="1:18">
      <c r="A26" s="15" t="s">
        <v>584</v>
      </c>
      <c r="B26" s="17" t="n">
        <v>4869</v>
      </c>
      <c r="C26" s="18">
        <f>(4330.0/B26*100)</f>
        <v/>
      </c>
      <c r="D26" s="19" t="n">
        <v>539</v>
      </c>
      <c r="E26" s="18" t="n">
        <v>27.13861674</v>
      </c>
      <c r="F26" s="20" t="n">
        <v>1.86902014</v>
      </c>
      <c r="G26" s="18" t="n">
        <v>63.40955289</v>
      </c>
      <c r="H26" s="20" t="n">
        <v>2.21725898</v>
      </c>
      <c r="I26" s="18" t="n">
        <v>0</v>
      </c>
      <c r="J26" s="20" t="n">
        <v>0</v>
      </c>
      <c r="K26" s="18" t="n">
        <v>0</v>
      </c>
      <c r="L26" s="20" t="n">
        <v>0</v>
      </c>
      <c r="M26" s="18" t="n">
        <v>0</v>
      </c>
      <c r="N26" s="20" t="n">
        <v>0</v>
      </c>
      <c r="O26" s="18" t="n">
        <v>0</v>
      </c>
      <c r="P26" s="20" t="n">
        <v>0</v>
      </c>
      <c r="Q26" s="18" t="n">
        <v>9.451830360000001</v>
      </c>
      <c r="R26" s="20" t="n">
        <v>1.25272754</v>
      </c>
    </row>
    <row r="27" spans="1:18">
      <c r="A27" s="15" t="s">
        <v>585</v>
      </c>
      <c r="B27" s="17" t="n">
        <v>5299</v>
      </c>
      <c r="C27" s="18">
        <f>(4712.0/B27*100)</f>
        <v/>
      </c>
      <c r="D27" s="19" t="n">
        <v>587</v>
      </c>
      <c r="E27" s="18" t="n">
        <v>20.99162118</v>
      </c>
      <c r="F27" s="20" t="n">
        <v>1.85320977</v>
      </c>
      <c r="G27" s="18" t="n">
        <v>59.51321157</v>
      </c>
      <c r="H27" s="20" t="n">
        <v>2.16658126</v>
      </c>
      <c r="I27" s="18" t="n">
        <v>0</v>
      </c>
      <c r="J27" s="20" t="n">
        <v>0</v>
      </c>
      <c r="K27" s="18" t="n">
        <v>0.18127361</v>
      </c>
      <c r="L27" s="20" t="n">
        <v>0.18058417</v>
      </c>
      <c r="M27" s="18" t="n">
        <v>0</v>
      </c>
      <c r="N27" s="20" t="n">
        <v>0</v>
      </c>
      <c r="O27" s="18" t="n">
        <v>0</v>
      </c>
      <c r="P27" s="20" t="n">
        <v>0</v>
      </c>
      <c r="Q27" s="18" t="n">
        <v>19.31389364</v>
      </c>
      <c r="R27" s="20" t="n">
        <v>1.50605298</v>
      </c>
    </row>
    <row r="28" spans="1:18">
      <c r="A28" s="15" t="s">
        <v>586</v>
      </c>
      <c r="B28" s="17" t="n">
        <v>7568</v>
      </c>
      <c r="C28" s="18">
        <f>(6782.0/B28*100)</f>
        <v/>
      </c>
      <c r="D28" s="19" t="n">
        <v>786</v>
      </c>
      <c r="E28" s="18" t="n">
        <v>61.38271362</v>
      </c>
      <c r="F28" s="20" t="n">
        <v>1.8215343</v>
      </c>
      <c r="G28" s="18" t="n">
        <v>31.5977698</v>
      </c>
      <c r="H28" s="20" t="n">
        <v>1.87544411</v>
      </c>
      <c r="I28" s="18" t="n">
        <v>0</v>
      </c>
      <c r="J28" s="20" t="n">
        <v>0</v>
      </c>
      <c r="K28" s="18" t="n">
        <v>0.22837281</v>
      </c>
      <c r="L28" s="20" t="n">
        <v>0.22324748</v>
      </c>
      <c r="M28" s="18" t="n">
        <v>0.10570395</v>
      </c>
      <c r="N28" s="20" t="n">
        <v>0.10527536</v>
      </c>
      <c r="O28" s="18" t="n">
        <v>0</v>
      </c>
      <c r="P28" s="20" t="n">
        <v>0</v>
      </c>
      <c r="Q28" s="18" t="n">
        <v>6.68543982</v>
      </c>
      <c r="R28" s="20" t="n">
        <v>1.24594754</v>
      </c>
    </row>
    <row r="29" spans="1:18">
      <c r="A29" s="15" t="s">
        <v>587</v>
      </c>
      <c r="B29" s="17" t="n">
        <v>5385</v>
      </c>
      <c r="C29" s="18">
        <f>(4802.0/B29*100)</f>
        <v/>
      </c>
      <c r="D29" s="19" t="n">
        <v>583</v>
      </c>
      <c r="E29" s="18" t="n">
        <v>28.65985338</v>
      </c>
      <c r="F29" s="20" t="n">
        <v>1.86542275</v>
      </c>
      <c r="G29" s="18" t="n">
        <v>66.58966023000001</v>
      </c>
      <c r="H29" s="20" t="n">
        <v>1.94602236</v>
      </c>
      <c r="I29" s="18" t="n">
        <v>0</v>
      </c>
      <c r="J29" s="20" t="n">
        <v>0</v>
      </c>
      <c r="K29" s="18" t="n">
        <v>0</v>
      </c>
      <c r="L29" s="20" t="n">
        <v>0</v>
      </c>
      <c r="M29" s="18" t="n">
        <v>0</v>
      </c>
      <c r="N29" s="20" t="n">
        <v>0</v>
      </c>
      <c r="O29" s="18" t="n">
        <v>0</v>
      </c>
      <c r="P29" s="20" t="n">
        <v>0</v>
      </c>
      <c r="Q29" s="18" t="n">
        <v>4.7504864</v>
      </c>
      <c r="R29" s="20" t="n">
        <v>0.8898774699999999</v>
      </c>
    </row>
    <row r="30" spans="1:18">
      <c r="A30" s="15" t="s">
        <v>588</v>
      </c>
      <c r="B30" s="17" t="n">
        <v>4520</v>
      </c>
      <c r="C30" s="18">
        <f>(4033.0/B30*100)</f>
        <v/>
      </c>
      <c r="D30" s="19" t="n">
        <v>487</v>
      </c>
      <c r="E30" s="18" t="n">
        <v>18.00016131</v>
      </c>
      <c r="F30" s="20" t="n">
        <v>1.78291501</v>
      </c>
      <c r="G30" s="18" t="n">
        <v>69.02268546000001</v>
      </c>
      <c r="H30" s="20" t="n">
        <v>2.11530463</v>
      </c>
      <c r="I30" s="18" t="n">
        <v>0</v>
      </c>
      <c r="J30" s="20" t="n">
        <v>0</v>
      </c>
      <c r="K30" s="18" t="n">
        <v>0</v>
      </c>
      <c r="L30" s="20" t="n">
        <v>0</v>
      </c>
      <c r="M30" s="18" t="n">
        <v>0.21876569</v>
      </c>
      <c r="N30" s="20" t="n">
        <v>0.22242941</v>
      </c>
      <c r="O30" s="18" t="n">
        <v>0</v>
      </c>
      <c r="P30" s="20" t="n">
        <v>0</v>
      </c>
      <c r="Q30" s="18" t="n">
        <v>12.75838754</v>
      </c>
      <c r="R30" s="20" t="n">
        <v>1.59351876</v>
      </c>
    </row>
    <row r="31" spans="1:18">
      <c r="A31" s="15" t="s">
        <v>589</v>
      </c>
      <c r="B31" s="17" t="n">
        <v>5456</v>
      </c>
      <c r="C31" s="18">
        <f>(4847.0/B31*100)</f>
        <v/>
      </c>
      <c r="D31" s="19" t="n">
        <v>609</v>
      </c>
      <c r="E31" s="18" t="n">
        <v>22.23531108</v>
      </c>
      <c r="F31" s="20" t="n">
        <v>1.5910489</v>
      </c>
      <c r="G31" s="18" t="n">
        <v>61.08618596</v>
      </c>
      <c r="H31" s="20" t="n">
        <v>2.08708635</v>
      </c>
      <c r="I31" s="18" t="n">
        <v>0</v>
      </c>
      <c r="J31" s="20" t="n">
        <v>0</v>
      </c>
      <c r="K31" s="18" t="n">
        <v>0.30498294</v>
      </c>
      <c r="L31" s="20" t="n">
        <v>0.20695002</v>
      </c>
      <c r="M31" s="18" t="n">
        <v>0.33197246</v>
      </c>
      <c r="N31" s="20" t="n">
        <v>0.38009454</v>
      </c>
      <c r="O31" s="18" t="n">
        <v>0</v>
      </c>
      <c r="P31" s="20" t="n">
        <v>0</v>
      </c>
      <c r="Q31" s="18" t="n">
        <v>16.04154755</v>
      </c>
      <c r="R31" s="20" t="n">
        <v>1.58573053</v>
      </c>
    </row>
    <row r="32" spans="1:18">
      <c r="A32" s="15" t="s">
        <v>590</v>
      </c>
      <c r="B32" s="17" t="n">
        <v>4478</v>
      </c>
      <c r="C32" s="18">
        <f>(3970.0/B32*100)</f>
        <v/>
      </c>
      <c r="D32" s="19" t="n">
        <v>508</v>
      </c>
      <c r="E32" s="18" t="n">
        <v>29.09254073</v>
      </c>
      <c r="F32" s="20" t="n">
        <v>2.17800291</v>
      </c>
      <c r="G32" s="18" t="n">
        <v>55.82055062</v>
      </c>
      <c r="H32" s="20" t="n">
        <v>2.54839092</v>
      </c>
      <c r="I32" s="18" t="n">
        <v>0</v>
      </c>
      <c r="J32" s="20" t="n">
        <v>0</v>
      </c>
      <c r="K32" s="18" t="n">
        <v>0</v>
      </c>
      <c r="L32" s="20" t="n">
        <v>0</v>
      </c>
      <c r="M32" s="18" t="n">
        <v>0</v>
      </c>
      <c r="N32" s="20" t="n">
        <v>0</v>
      </c>
      <c r="O32" s="18" t="n">
        <v>0</v>
      </c>
      <c r="P32" s="20" t="n">
        <v>0</v>
      </c>
      <c r="Q32" s="18" t="n">
        <v>15.08690866</v>
      </c>
      <c r="R32" s="20" t="n">
        <v>1.7012739</v>
      </c>
    </row>
    <row r="33" spans="1:18">
      <c r="A33" s="15" t="s">
        <v>591</v>
      </c>
      <c r="B33" s="17" t="n">
        <v>7325</v>
      </c>
      <c r="C33" s="18">
        <f>(6514.0/B33*100)</f>
        <v/>
      </c>
      <c r="D33" s="19" t="n">
        <v>811</v>
      </c>
      <c r="E33" s="18" t="n">
        <v>24.75499849</v>
      </c>
      <c r="F33" s="20" t="n">
        <v>1.68101847</v>
      </c>
      <c r="G33" s="18" t="n">
        <v>60.18065564</v>
      </c>
      <c r="H33" s="20" t="n">
        <v>1.88567245</v>
      </c>
      <c r="I33" s="18" t="n">
        <v>0</v>
      </c>
      <c r="J33" s="20" t="n">
        <v>0</v>
      </c>
      <c r="K33" s="18" t="n">
        <v>0.183612</v>
      </c>
      <c r="L33" s="20" t="n">
        <v>0.16290613</v>
      </c>
      <c r="M33" s="18" t="n">
        <v>0.16230649</v>
      </c>
      <c r="N33" s="20" t="n">
        <v>0.16302552</v>
      </c>
      <c r="O33" s="18" t="n">
        <v>0</v>
      </c>
      <c r="P33" s="20" t="n">
        <v>0</v>
      </c>
      <c r="Q33" s="18" t="n">
        <v>14.71842738</v>
      </c>
      <c r="R33" s="20" t="n">
        <v>1.50020499</v>
      </c>
    </row>
    <row r="34" spans="1:18">
      <c r="A34" s="15" t="s">
        <v>592</v>
      </c>
      <c r="B34" s="17" t="n">
        <v>6350</v>
      </c>
      <c r="C34" s="18">
        <f>(5645.0/B34*100)</f>
        <v/>
      </c>
      <c r="D34" s="19" t="n">
        <v>705</v>
      </c>
      <c r="E34" s="18" t="n">
        <v>46.44771011</v>
      </c>
      <c r="F34" s="20" t="n">
        <v>1.90550062</v>
      </c>
      <c r="G34" s="18" t="n">
        <v>35.20513021</v>
      </c>
      <c r="H34" s="20" t="n">
        <v>1.97582273</v>
      </c>
      <c r="I34" s="18" t="n">
        <v>0</v>
      </c>
      <c r="J34" s="20" t="n">
        <v>0</v>
      </c>
      <c r="K34" s="18" t="n">
        <v>0</v>
      </c>
      <c r="L34" s="20" t="n">
        <v>0</v>
      </c>
      <c r="M34" s="18" t="n">
        <v>0.30576265</v>
      </c>
      <c r="N34" s="20" t="n">
        <v>0.23438453</v>
      </c>
      <c r="O34" s="18" t="n">
        <v>0</v>
      </c>
      <c r="P34" s="20" t="n">
        <v>0</v>
      </c>
      <c r="Q34" s="18" t="n">
        <v>18.04139703</v>
      </c>
      <c r="R34" s="20" t="n">
        <v>1.60293215</v>
      </c>
    </row>
    <row r="35" spans="1:18">
      <c r="A35" s="15" t="s">
        <v>593</v>
      </c>
      <c r="B35" s="17" t="n">
        <v>6406</v>
      </c>
      <c r="C35" s="18">
        <f>(5750.0/B35*100)</f>
        <v/>
      </c>
      <c r="D35" s="19" t="n">
        <v>656</v>
      </c>
      <c r="E35" s="18" t="n">
        <v>32.16017367</v>
      </c>
      <c r="F35" s="20" t="n">
        <v>2.5091803</v>
      </c>
      <c r="G35" s="18" t="n">
        <v>52.72948611</v>
      </c>
      <c r="H35" s="20" t="n">
        <v>2.51625445</v>
      </c>
      <c r="I35" s="18" t="n">
        <v>0</v>
      </c>
      <c r="J35" s="20" t="n">
        <v>0</v>
      </c>
      <c r="K35" s="18" t="n">
        <v>0</v>
      </c>
      <c r="L35" s="20" t="n">
        <v>0</v>
      </c>
      <c r="M35" s="18" t="n">
        <v>0</v>
      </c>
      <c r="N35" s="20" t="n">
        <v>0</v>
      </c>
      <c r="O35" s="18" t="n">
        <v>0</v>
      </c>
      <c r="P35" s="20" t="n">
        <v>0</v>
      </c>
      <c r="Q35" s="18" t="n">
        <v>15.11034023</v>
      </c>
      <c r="R35" s="20" t="n">
        <v>1.78791055</v>
      </c>
    </row>
    <row r="36" spans="1:18">
      <c r="A36" s="15" t="s">
        <v>594</v>
      </c>
      <c r="B36" s="17" t="n">
        <v>6736</v>
      </c>
      <c r="C36" s="18">
        <f>(6023.0/B36*100)</f>
        <v/>
      </c>
      <c r="D36" s="19" t="n">
        <v>713</v>
      </c>
      <c r="E36" s="18" t="n">
        <v>25.86515444</v>
      </c>
      <c r="F36" s="20" t="n">
        <v>1.72839267</v>
      </c>
      <c r="G36" s="18" t="n">
        <v>59.46964362</v>
      </c>
      <c r="H36" s="20" t="n">
        <v>1.89747028</v>
      </c>
      <c r="I36" s="18" t="n">
        <v>0</v>
      </c>
      <c r="J36" s="20" t="n">
        <v>0</v>
      </c>
      <c r="K36" s="18" t="n">
        <v>0.16773143</v>
      </c>
      <c r="L36" s="20" t="n">
        <v>0.12315521</v>
      </c>
      <c r="M36" s="18" t="n">
        <v>0</v>
      </c>
      <c r="N36" s="20" t="n">
        <v>0</v>
      </c>
      <c r="O36" s="18" t="n">
        <v>0</v>
      </c>
      <c r="P36" s="20" t="n">
        <v>0</v>
      </c>
      <c r="Q36" s="18" t="n">
        <v>14.49747051</v>
      </c>
      <c r="R36" s="20" t="n">
        <v>1.30968961</v>
      </c>
    </row>
    <row r="37" spans="1:18">
      <c r="A37" s="15" t="s">
        <v>595</v>
      </c>
      <c r="B37" s="17" t="n">
        <v>5458</v>
      </c>
      <c r="C37" s="18">
        <f>(4853.0/B37*100)</f>
        <v/>
      </c>
      <c r="D37" s="19" t="n">
        <v>605</v>
      </c>
      <c r="E37" s="18" t="n">
        <v>26.9477678</v>
      </c>
      <c r="F37" s="20" t="n">
        <v>1.96836141</v>
      </c>
      <c r="G37" s="18" t="n">
        <v>55.02830049</v>
      </c>
      <c r="H37" s="20" t="n">
        <v>2.45530194</v>
      </c>
      <c r="I37" s="18" t="n">
        <v>0</v>
      </c>
      <c r="J37" s="20" t="n">
        <v>0</v>
      </c>
      <c r="K37" s="18" t="n">
        <v>0</v>
      </c>
      <c r="L37" s="20" t="n">
        <v>0</v>
      </c>
      <c r="M37" s="18" t="n">
        <v>0</v>
      </c>
      <c r="N37" s="20" t="n">
        <v>0</v>
      </c>
      <c r="O37" s="18" t="n">
        <v>0</v>
      </c>
      <c r="P37" s="20" t="n">
        <v>0</v>
      </c>
      <c r="Q37" s="18" t="n">
        <v>18.02393172</v>
      </c>
      <c r="R37" s="20" t="n">
        <v>1.90223909</v>
      </c>
    </row>
    <row r="38" spans="1:18">
      <c r="A38" s="15" t="s">
        <v>596</v>
      </c>
      <c r="B38" s="17" t="n">
        <v>5860</v>
      </c>
      <c r="C38" s="18">
        <f>(5200.0/B38*100)</f>
        <v/>
      </c>
      <c r="D38" s="19" t="n">
        <v>660</v>
      </c>
      <c r="E38" s="18" t="n">
        <v>21.91919689</v>
      </c>
      <c r="F38" s="20" t="n">
        <v>2.04276178</v>
      </c>
      <c r="G38" s="18" t="n">
        <v>61.85145304</v>
      </c>
      <c r="H38" s="20" t="n">
        <v>2.7113952</v>
      </c>
      <c r="I38" s="18" t="n">
        <v>0</v>
      </c>
      <c r="J38" s="20" t="n">
        <v>0</v>
      </c>
      <c r="K38" s="18" t="n">
        <v>0.16786387</v>
      </c>
      <c r="L38" s="20" t="n">
        <v>0.16360402</v>
      </c>
      <c r="M38" s="18" t="n">
        <v>3.66409322</v>
      </c>
      <c r="N38" s="20" t="n">
        <v>0.73156983</v>
      </c>
      <c r="O38" s="18" t="n">
        <v>0</v>
      </c>
      <c r="P38" s="20" t="n">
        <v>0</v>
      </c>
      <c r="Q38" s="18" t="n">
        <v>12.39739298</v>
      </c>
      <c r="R38" s="20" t="n">
        <v>1.34422316</v>
      </c>
    </row>
    <row r="39" spans="1:18">
      <c r="A39" s="15" t="s">
        <v>597</v>
      </c>
      <c r="B39" s="17" t="n">
        <v>5895</v>
      </c>
      <c r="C39" s="18">
        <f>(5237.0/B39*100)</f>
        <v/>
      </c>
      <c r="D39" s="19" t="n">
        <v>658</v>
      </c>
      <c r="E39" s="18" t="n">
        <v>36.93647042</v>
      </c>
      <c r="F39" s="20" t="n">
        <v>2.1767244</v>
      </c>
      <c r="G39" s="18" t="n">
        <v>43.65028854</v>
      </c>
      <c r="H39" s="20" t="n">
        <v>2.62550974</v>
      </c>
      <c r="I39" s="18" t="n">
        <v>0</v>
      </c>
      <c r="J39" s="20" t="n">
        <v>0</v>
      </c>
      <c r="K39" s="18" t="n">
        <v>0</v>
      </c>
      <c r="L39" s="20" t="n">
        <v>0</v>
      </c>
      <c r="M39" s="18" t="n">
        <v>0</v>
      </c>
      <c r="N39" s="20" t="n">
        <v>0</v>
      </c>
      <c r="O39" s="18" t="n">
        <v>0</v>
      </c>
      <c r="P39" s="20" t="n">
        <v>0</v>
      </c>
      <c r="Q39" s="18" t="n">
        <v>19.41324104</v>
      </c>
      <c r="R39" s="20" t="n">
        <v>1.80365592</v>
      </c>
    </row>
    <row r="40" spans="1:18">
      <c r="A40" s="15" t="s">
        <v>598</v>
      </c>
      <c r="B40" s="17" t="n">
        <v>14157</v>
      </c>
      <c r="C40" s="18">
        <f>(12597.0/B40*100)</f>
        <v/>
      </c>
      <c r="D40" s="19" t="n">
        <v>1560</v>
      </c>
      <c r="E40" s="18" t="n">
        <v>16.2293212</v>
      </c>
      <c r="F40" s="20" t="n">
        <v>1.66129732</v>
      </c>
      <c r="G40" s="18" t="n">
        <v>72.35977358</v>
      </c>
      <c r="H40" s="20" t="n">
        <v>2.20189563</v>
      </c>
      <c r="I40" s="18" t="n">
        <v>0</v>
      </c>
      <c r="J40" s="20" t="n">
        <v>0</v>
      </c>
      <c r="K40" s="18" t="n">
        <v>0.20890932</v>
      </c>
      <c r="L40" s="20" t="n">
        <v>0.18992862</v>
      </c>
      <c r="M40" s="18" t="n">
        <v>0</v>
      </c>
      <c r="N40" s="20" t="n">
        <v>0</v>
      </c>
      <c r="O40" s="18" t="n">
        <v>0</v>
      </c>
      <c r="P40" s="20" t="n">
        <v>0</v>
      </c>
      <c r="Q40" s="18" t="n">
        <v>11.2019959</v>
      </c>
      <c r="R40" s="20" t="n">
        <v>1.19440196</v>
      </c>
    </row>
    <row r="41" spans="1:18">
      <c r="A41" s="15" t="s">
        <v>599</v>
      </c>
      <c r="B41" s="17" t="n">
        <v>5712</v>
      </c>
      <c r="C41" s="18">
        <f>(5082.0/B41*100)</f>
        <v/>
      </c>
      <c r="D41" s="19" t="n">
        <v>630</v>
      </c>
      <c r="E41" s="18" t="n">
        <v>37.78715627</v>
      </c>
      <c r="F41" s="20" t="n">
        <v>2.18099127</v>
      </c>
      <c r="G41" s="18" t="n">
        <v>59.53878099</v>
      </c>
      <c r="H41" s="20" t="n">
        <v>2.38467975</v>
      </c>
      <c r="I41" s="18" t="n">
        <v>0</v>
      </c>
      <c r="J41" s="20" t="n">
        <v>0</v>
      </c>
      <c r="K41" s="18" t="n">
        <v>0</v>
      </c>
      <c r="L41" s="20" t="n">
        <v>0</v>
      </c>
      <c r="M41" s="18" t="n">
        <v>0</v>
      </c>
      <c r="N41" s="20" t="n">
        <v>0</v>
      </c>
      <c r="O41" s="18" t="n">
        <v>0</v>
      </c>
      <c r="P41" s="20" t="n">
        <v>0</v>
      </c>
      <c r="Q41" s="18" t="n">
        <v>2.67406274</v>
      </c>
      <c r="R41" s="20" t="n">
        <v>0.7629842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(20926.0/B46*100)</f>
        <v/>
      </c>
      <c r="D46" s="19" t="n">
        <v>2215</v>
      </c>
      <c r="E46" s="18" t="n">
        <v>44.03238564</v>
      </c>
      <c r="F46" s="20" t="n">
        <v>1.58432784</v>
      </c>
      <c r="G46" s="18" t="n">
        <v>36.42629318</v>
      </c>
      <c r="H46" s="20" t="n">
        <v>1.68814903</v>
      </c>
      <c r="I46" s="18" t="n">
        <v>0</v>
      </c>
      <c r="J46" s="20" t="n">
        <v>0</v>
      </c>
      <c r="K46" s="18" t="n">
        <v>0.30328176</v>
      </c>
      <c r="L46" s="20" t="n">
        <v>0.12911529</v>
      </c>
      <c r="M46" s="18" t="n">
        <v>0.46501721</v>
      </c>
      <c r="N46" s="20" t="n">
        <v>0.14493477</v>
      </c>
      <c r="O46" s="18" t="n">
        <v>0</v>
      </c>
      <c r="P46" s="20" t="n">
        <v>0</v>
      </c>
      <c r="Q46" s="18" t="n">
        <v>18.77302222</v>
      </c>
      <c r="R46" s="20" t="n">
        <v>1.33103928</v>
      </c>
    </row>
    <row r="47" spans="1:18">
      <c r="A47" s="15" t="s">
        <v>606</v>
      </c>
      <c r="B47" s="17" t="n">
        <v>5928</v>
      </c>
      <c r="C47" s="18">
        <f>(5252.0/B47*100)</f>
        <v/>
      </c>
      <c r="D47" s="19" t="n">
        <v>676</v>
      </c>
      <c r="E47" s="18" t="n">
        <v>32.30684646</v>
      </c>
      <c r="F47" s="20" t="n">
        <v>1.89056966</v>
      </c>
      <c r="G47" s="18" t="n">
        <v>37.84691642</v>
      </c>
      <c r="H47" s="20" t="n">
        <v>2.48115501</v>
      </c>
      <c r="I47" s="18" t="n">
        <v>0</v>
      </c>
      <c r="J47" s="20" t="n">
        <v>0</v>
      </c>
      <c r="K47" s="18" t="n">
        <v>0.15220465</v>
      </c>
      <c r="L47" s="20" t="n">
        <v>0.21600209</v>
      </c>
      <c r="M47" s="18" t="n">
        <v>0</v>
      </c>
      <c r="N47" s="20" t="n">
        <v>0</v>
      </c>
      <c r="O47" s="18" t="n">
        <v>0</v>
      </c>
      <c r="P47" s="20" t="n">
        <v>0</v>
      </c>
      <c r="Q47" s="18" t="n">
        <v>29.69403248</v>
      </c>
      <c r="R47" s="20" t="n">
        <v>1.93774247</v>
      </c>
    </row>
    <row r="48" spans="1:18">
      <c r="A48" s="15" t="s">
        <v>607</v>
      </c>
      <c r="B48" s="17" t="n">
        <v>9841</v>
      </c>
      <c r="C48" s="18">
        <f>(8726.0/B48*100)</f>
        <v/>
      </c>
      <c r="D48" s="19" t="n">
        <v>1115</v>
      </c>
      <c r="E48" s="18" t="n">
        <v>20.84103922</v>
      </c>
      <c r="F48" s="20" t="n">
        <v>1.77836922</v>
      </c>
      <c r="G48" s="18" t="n">
        <v>70.55864262999999</v>
      </c>
      <c r="H48" s="20" t="n">
        <v>2.31432554</v>
      </c>
      <c r="I48" s="18" t="n">
        <v>0</v>
      </c>
      <c r="J48" s="20" t="n">
        <v>0</v>
      </c>
      <c r="K48" s="18" t="n">
        <v>0.27232622</v>
      </c>
      <c r="L48" s="20" t="n">
        <v>0.21873385</v>
      </c>
      <c r="M48" s="18" t="n">
        <v>0</v>
      </c>
      <c r="N48" s="20" t="n">
        <v>0</v>
      </c>
      <c r="O48" s="18" t="n">
        <v>0</v>
      </c>
      <c r="P48" s="20" t="n">
        <v>0</v>
      </c>
      <c r="Q48" s="18" t="n">
        <v>8.32799193</v>
      </c>
      <c r="R48" s="20" t="n">
        <v>1.31282475</v>
      </c>
    </row>
    <row r="49" spans="1:18">
      <c r="A49" s="15" t="s">
        <v>608</v>
      </c>
      <c r="B49" s="17" t="n">
        <v>11795</v>
      </c>
      <c r="C49" s="18">
        <f>(10461.0/B49*100)</f>
        <v/>
      </c>
      <c r="D49" s="19" t="n">
        <v>1334</v>
      </c>
      <c r="E49" s="18" t="n">
        <v>53.14187041</v>
      </c>
      <c r="F49" s="20" t="n">
        <v>1.86914745</v>
      </c>
      <c r="G49" s="18" t="n">
        <v>37.48789276</v>
      </c>
      <c r="H49" s="20" t="n">
        <v>1.96733196</v>
      </c>
      <c r="I49" s="18" t="n">
        <v>0</v>
      </c>
      <c r="J49" s="20" t="n">
        <v>0</v>
      </c>
      <c r="K49" s="18" t="n">
        <v>0.6093271</v>
      </c>
      <c r="L49" s="20" t="n">
        <v>0.38471725</v>
      </c>
      <c r="M49" s="18" t="n">
        <v>0.26619347</v>
      </c>
      <c r="N49" s="20" t="n">
        <v>0.29973445</v>
      </c>
      <c r="O49" s="18" t="n">
        <v>0</v>
      </c>
      <c r="P49" s="20" t="n">
        <v>0</v>
      </c>
      <c r="Q49" s="18" t="n">
        <v>8.49471625</v>
      </c>
      <c r="R49" s="20" t="n">
        <v>1.04938633</v>
      </c>
    </row>
    <row r="50" spans="1:18">
      <c r="A50" s="15" t="s">
        <v>609</v>
      </c>
      <c r="B50" s="17" t="n">
        <v>6866</v>
      </c>
      <c r="C50" s="18">
        <f>(6203.0/B50*100)</f>
        <v/>
      </c>
      <c r="D50" s="19" t="n">
        <v>663</v>
      </c>
      <c r="E50" s="18" t="n">
        <v>55.47389137</v>
      </c>
      <c r="F50" s="20" t="n">
        <v>2.09388103</v>
      </c>
      <c r="G50" s="18" t="n">
        <v>32.46139451</v>
      </c>
      <c r="H50" s="20" t="n">
        <v>2.10046676</v>
      </c>
      <c r="I50" s="18" t="n">
        <v>0</v>
      </c>
      <c r="J50" s="20" t="n">
        <v>0</v>
      </c>
      <c r="K50" s="18" t="n">
        <v>0</v>
      </c>
      <c r="L50" s="20" t="n">
        <v>0</v>
      </c>
      <c r="M50" s="18" t="n">
        <v>0</v>
      </c>
      <c r="N50" s="20" t="n">
        <v>0</v>
      </c>
      <c r="O50" s="18" t="n">
        <v>0</v>
      </c>
      <c r="P50" s="20" t="n">
        <v>0</v>
      </c>
      <c r="Q50" s="18" t="n">
        <v>12.06471412</v>
      </c>
      <c r="R50" s="20" t="n">
        <v>1.29803302</v>
      </c>
    </row>
    <row r="51" spans="1:18">
      <c r="A51" s="15" t="s">
        <v>610</v>
      </c>
      <c r="B51" s="17" t="n">
        <v>5809</v>
      </c>
      <c r="C51" s="18">
        <f>(5127.0/B51*100)</f>
        <v/>
      </c>
      <c r="D51" s="19" t="n">
        <v>682</v>
      </c>
      <c r="E51" s="18" t="n">
        <v>17.72526274</v>
      </c>
      <c r="F51" s="20" t="n">
        <v>1.44293443</v>
      </c>
      <c r="G51" s="18" t="n">
        <v>57.8030026</v>
      </c>
      <c r="H51" s="20" t="n">
        <v>2.09849717</v>
      </c>
      <c r="I51" s="18" t="n">
        <v>0</v>
      </c>
      <c r="J51" s="20" t="n">
        <v>0</v>
      </c>
      <c r="K51" s="18" t="n">
        <v>0</v>
      </c>
      <c r="L51" s="20" t="n">
        <v>0</v>
      </c>
      <c r="M51" s="18" t="n">
        <v>0</v>
      </c>
      <c r="N51" s="20" t="n">
        <v>0</v>
      </c>
      <c r="O51" s="18" t="n">
        <v>0</v>
      </c>
      <c r="P51" s="20" t="n">
        <v>0</v>
      </c>
      <c r="Q51" s="18" t="n">
        <v>24.47173465</v>
      </c>
      <c r="R51" s="20" t="n">
        <v>1.88813752</v>
      </c>
    </row>
    <row r="52" spans="1:18">
      <c r="A52" s="15" t="s">
        <v>611</v>
      </c>
      <c r="B52" s="17" t="n">
        <v>5571</v>
      </c>
      <c r="C52" s="18">
        <f>(4959.0/B52*100)</f>
        <v/>
      </c>
      <c r="D52" s="19" t="n">
        <v>612</v>
      </c>
      <c r="E52" s="18" t="n">
        <v>31.43067393</v>
      </c>
      <c r="F52" s="20" t="n">
        <v>1.65010872</v>
      </c>
      <c r="G52" s="18" t="n">
        <v>46.50760488</v>
      </c>
      <c r="H52" s="20" t="n">
        <v>1.99562172</v>
      </c>
      <c r="I52" s="18" t="n">
        <v>0</v>
      </c>
      <c r="J52" s="20" t="n">
        <v>0</v>
      </c>
      <c r="K52" s="18" t="n">
        <v>0.30071328</v>
      </c>
      <c r="L52" s="20" t="n">
        <v>0.2967074</v>
      </c>
      <c r="M52" s="18" t="n">
        <v>0</v>
      </c>
      <c r="N52" s="20" t="n">
        <v>0</v>
      </c>
      <c r="O52" s="18" t="n">
        <v>0</v>
      </c>
      <c r="P52" s="20" t="n">
        <v>0</v>
      </c>
      <c r="Q52" s="18" t="n">
        <v>21.7610079</v>
      </c>
      <c r="R52" s="20" t="n">
        <v>1.64983348</v>
      </c>
    </row>
    <row r="53" spans="1:18">
      <c r="A53" s="15" t="s">
        <v>612</v>
      </c>
      <c r="B53" s="17" t="n">
        <v>4740</v>
      </c>
      <c r="C53" s="18">
        <f>(4243.0/B53*100)</f>
        <v/>
      </c>
      <c r="D53" s="19" t="n">
        <v>497</v>
      </c>
      <c r="E53" s="18" t="n">
        <v>56.54679771</v>
      </c>
      <c r="F53" s="20" t="n">
        <v>2.33812464</v>
      </c>
      <c r="G53" s="18" t="n">
        <v>14.28205869</v>
      </c>
      <c r="H53" s="20" t="n">
        <v>1.74583936</v>
      </c>
      <c r="I53" s="18" t="n">
        <v>0</v>
      </c>
      <c r="J53" s="20" t="n">
        <v>0</v>
      </c>
      <c r="K53" s="18" t="n">
        <v>6.35723592</v>
      </c>
      <c r="L53" s="20" t="n">
        <v>1.27111961</v>
      </c>
      <c r="M53" s="18" t="n">
        <v>1.06393267</v>
      </c>
      <c r="N53" s="20" t="n">
        <v>0.95360493</v>
      </c>
      <c r="O53" s="18" t="n">
        <v>0</v>
      </c>
      <c r="P53" s="20" t="n">
        <v>0</v>
      </c>
      <c r="Q53" s="18" t="n">
        <v>21.74997501</v>
      </c>
      <c r="R53" s="20" t="n">
        <v>2.0403794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(4749.0/B55*100)</f>
        <v/>
      </c>
      <c r="D55" s="19" t="n">
        <v>610</v>
      </c>
      <c r="E55" s="18" t="n">
        <v>25.71096433</v>
      </c>
      <c r="F55" s="20" t="n">
        <v>2.12399603</v>
      </c>
      <c r="G55" s="18" t="n">
        <v>69.3521346</v>
      </c>
      <c r="H55" s="20" t="n">
        <v>2.14263626</v>
      </c>
      <c r="I55" s="18" t="n">
        <v>0</v>
      </c>
      <c r="J55" s="20" t="n">
        <v>0</v>
      </c>
      <c r="K55" s="18" t="n">
        <v>0.35502912</v>
      </c>
      <c r="L55" s="20" t="n">
        <v>0.23083939</v>
      </c>
      <c r="M55" s="18" t="n">
        <v>0</v>
      </c>
      <c r="N55" s="20" t="n">
        <v>0</v>
      </c>
      <c r="O55" s="18" t="n">
        <v>0</v>
      </c>
      <c r="P55" s="20" t="n">
        <v>0</v>
      </c>
      <c r="Q55" s="18" t="n">
        <v>4.58187194</v>
      </c>
      <c r="R55" s="20" t="n">
        <v>0.77984466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(5768.0/B61*100)</f>
        <v/>
      </c>
      <c r="D61" s="19" t="n">
        <v>757</v>
      </c>
      <c r="E61" s="18" t="n">
        <v>27.48308274</v>
      </c>
      <c r="F61" s="20" t="n">
        <v>1.96024262</v>
      </c>
      <c r="G61" s="18" t="n">
        <v>55.05520546</v>
      </c>
      <c r="H61" s="20" t="n">
        <v>1.95457887</v>
      </c>
      <c r="I61" s="18" t="n">
        <v>0</v>
      </c>
      <c r="J61" s="20" t="n">
        <v>0</v>
      </c>
      <c r="K61" s="18" t="n">
        <v>0</v>
      </c>
      <c r="L61" s="20" t="n">
        <v>0</v>
      </c>
      <c r="M61" s="18" t="n">
        <v>0.13464876</v>
      </c>
      <c r="N61" s="20" t="n">
        <v>0.13274065</v>
      </c>
      <c r="O61" s="18" t="n">
        <v>0</v>
      </c>
      <c r="P61" s="20" t="n">
        <v>0</v>
      </c>
      <c r="Q61" s="18" t="n">
        <v>17.32706304</v>
      </c>
      <c r="R61" s="20" t="n">
        <v>1.42983233</v>
      </c>
    </row>
    <row r="62" spans="1:18">
      <c r="A62" s="15" t="s">
        <v>622</v>
      </c>
      <c r="B62" s="17" t="n">
        <v>4476</v>
      </c>
      <c r="C62" s="18">
        <f>(3981.0/B62*100)</f>
        <v/>
      </c>
      <c r="D62" s="19" t="n">
        <v>495</v>
      </c>
      <c r="E62" s="18" t="n">
        <v>19.41751111</v>
      </c>
      <c r="F62" s="20" t="n">
        <v>1.66516059</v>
      </c>
      <c r="G62" s="18" t="n">
        <v>77.52950958</v>
      </c>
      <c r="H62" s="20" t="n">
        <v>1.74511396</v>
      </c>
      <c r="I62" s="18" t="n">
        <v>0</v>
      </c>
      <c r="J62" s="20" t="n">
        <v>0</v>
      </c>
      <c r="K62" s="18" t="n">
        <v>0</v>
      </c>
      <c r="L62" s="20" t="n">
        <v>0</v>
      </c>
      <c r="M62" s="18" t="n">
        <v>0</v>
      </c>
      <c r="N62" s="20" t="n">
        <v>0</v>
      </c>
      <c r="O62" s="18" t="n">
        <v>0</v>
      </c>
      <c r="P62" s="20" t="n">
        <v>0</v>
      </c>
      <c r="Q62" s="18" t="n">
        <v>3.05297931</v>
      </c>
      <c r="R62" s="20" t="n">
        <v>0.80457338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(5037.0/B67*100)</f>
        <v/>
      </c>
      <c r="D67" s="19" t="n">
        <v>628</v>
      </c>
      <c r="E67" s="18" t="n">
        <v>37.00909944</v>
      </c>
      <c r="F67" s="20" t="n">
        <v>1.88431824</v>
      </c>
      <c r="G67" s="18" t="n">
        <v>24.82775796</v>
      </c>
      <c r="H67" s="20" t="n">
        <v>1.82206442</v>
      </c>
      <c r="I67" s="18" t="n">
        <v>0</v>
      </c>
      <c r="J67" s="20" t="n">
        <v>0</v>
      </c>
      <c r="K67" s="18" t="n">
        <v>0</v>
      </c>
      <c r="L67" s="20" t="n">
        <v>0</v>
      </c>
      <c r="M67" s="18" t="n">
        <v>0.45468227</v>
      </c>
      <c r="N67" s="20" t="n">
        <v>0.26135585</v>
      </c>
      <c r="O67" s="18" t="n">
        <v>0</v>
      </c>
      <c r="P67" s="20" t="n">
        <v>0</v>
      </c>
      <c r="Q67" s="18" t="n">
        <v>37.70846033</v>
      </c>
      <c r="R67" s="20" t="n">
        <v>2.22530492</v>
      </c>
    </row>
    <row r="68" spans="1:18">
      <c r="A68" s="15" t="s">
        <v>628</v>
      </c>
      <c r="B68" s="17" t="n">
        <v>6971</v>
      </c>
      <c r="C68" s="18">
        <f>(6248.0/B68*100)</f>
        <v/>
      </c>
      <c r="D68" s="19" t="n">
        <v>723</v>
      </c>
      <c r="E68" s="18" t="n">
        <v>52.8194343</v>
      </c>
      <c r="F68" s="20" t="n">
        <v>1.91736584</v>
      </c>
      <c r="G68" s="18" t="n">
        <v>34.14323757</v>
      </c>
      <c r="H68" s="20" t="n">
        <v>1.88168047</v>
      </c>
      <c r="I68" s="18" t="n">
        <v>0</v>
      </c>
      <c r="J68" s="20" t="n">
        <v>0</v>
      </c>
      <c r="K68" s="18" t="n">
        <v>0.22145125</v>
      </c>
      <c r="L68" s="20" t="n">
        <v>0.22600057</v>
      </c>
      <c r="M68" s="18" t="n">
        <v>0.37010686</v>
      </c>
      <c r="N68" s="20" t="n">
        <v>0.21398861</v>
      </c>
      <c r="O68" s="18" t="n">
        <v>0</v>
      </c>
      <c r="P68" s="20" t="n">
        <v>0</v>
      </c>
      <c r="Q68" s="18" t="n">
        <v>12.44577002</v>
      </c>
      <c r="R68" s="20" t="n">
        <v>1.29675727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(10790.0/B70*100)</f>
        <v/>
      </c>
      <c r="D70" s="19" t="n">
        <v>1293</v>
      </c>
      <c r="E70" s="18" t="n">
        <v>45.11080572</v>
      </c>
      <c r="F70" s="20" t="n">
        <v>1.43739124</v>
      </c>
      <c r="G70" s="18" t="n">
        <v>37.27525926</v>
      </c>
      <c r="H70" s="20" t="n">
        <v>1.3628804</v>
      </c>
      <c r="I70" s="18" t="n">
        <v>0</v>
      </c>
      <c r="J70" s="20" t="n">
        <v>0</v>
      </c>
      <c r="K70" s="18" t="n">
        <v>1.35485308</v>
      </c>
      <c r="L70" s="20" t="n">
        <v>0.35617952</v>
      </c>
      <c r="M70" s="18" t="n">
        <v>0</v>
      </c>
      <c r="N70" s="20" t="n">
        <v>0</v>
      </c>
      <c r="O70" s="18" t="n">
        <v>0</v>
      </c>
      <c r="P70" s="20" t="n">
        <v>0</v>
      </c>
      <c r="Q70" s="18" t="n">
        <v>16.25908195</v>
      </c>
      <c r="R70" s="20" t="n">
        <v>0.94199046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(5335.0/B72*100)</f>
        <v/>
      </c>
      <c r="D72" s="19" t="n">
        <v>701</v>
      </c>
      <c r="E72" s="18" t="n">
        <v>29.74473741</v>
      </c>
      <c r="F72" s="20" t="n">
        <v>1.77051449</v>
      </c>
      <c r="G72" s="18" t="n">
        <v>52.56077705</v>
      </c>
      <c r="H72" s="20" t="n">
        <v>2.63214148</v>
      </c>
      <c r="I72" s="18" t="n">
        <v>0</v>
      </c>
      <c r="J72" s="20" t="n">
        <v>0</v>
      </c>
      <c r="K72" s="18" t="n">
        <v>0</v>
      </c>
      <c r="L72" s="20" t="n">
        <v>0</v>
      </c>
      <c r="M72" s="18" t="n">
        <v>0</v>
      </c>
      <c r="N72" s="20" t="n">
        <v>0</v>
      </c>
      <c r="O72" s="18" t="n">
        <v>0</v>
      </c>
      <c r="P72" s="20" t="n">
        <v>0</v>
      </c>
      <c r="Q72" s="18" t="n">
        <v>17.69448554</v>
      </c>
      <c r="R72" s="20" t="n">
        <v>2.27692394</v>
      </c>
    </row>
    <row r="73" spans="1:18">
      <c r="A73" s="15" t="s">
        <v>633</v>
      </c>
      <c r="B73" s="17" t="n">
        <v>6115</v>
      </c>
      <c r="C73" s="18">
        <f>(5455.0/B73*100)</f>
        <v/>
      </c>
      <c r="D73" s="19" t="n">
        <v>660</v>
      </c>
      <c r="E73" s="18" t="n">
        <v>15.69291159</v>
      </c>
      <c r="F73" s="20" t="n">
        <v>1.39422164</v>
      </c>
      <c r="G73" s="18" t="n">
        <v>79.66022504</v>
      </c>
      <c r="H73" s="20" t="n">
        <v>1.55423248</v>
      </c>
      <c r="I73" s="18" t="n">
        <v>0</v>
      </c>
      <c r="J73" s="20" t="n">
        <v>0</v>
      </c>
      <c r="K73" s="18" t="n">
        <v>0.31026694</v>
      </c>
      <c r="L73" s="20" t="n">
        <v>0.22135366</v>
      </c>
      <c r="M73" s="18" t="n">
        <v>0.16227106</v>
      </c>
      <c r="N73" s="20" t="n">
        <v>0.16136382</v>
      </c>
      <c r="O73" s="18" t="n">
        <v>0</v>
      </c>
      <c r="P73" s="20" t="n">
        <v>0</v>
      </c>
      <c r="Q73" s="18" t="n">
        <v>4.17432537</v>
      </c>
      <c r="R73" s="20" t="n">
        <v>0.79212355</v>
      </c>
    </row>
    <row r="74" spans="1:18">
      <c r="A74" s="15" t="s">
        <v>634</v>
      </c>
      <c r="B74" s="17" t="n">
        <v>7708</v>
      </c>
      <c r="C74" s="18">
        <f>(6876.0/B74*100)</f>
        <v/>
      </c>
      <c r="D74" s="19" t="n">
        <v>832</v>
      </c>
      <c r="E74" s="18" t="n">
        <v>21.44025151</v>
      </c>
      <c r="F74" s="20" t="n">
        <v>1.3642974</v>
      </c>
      <c r="G74" s="18" t="n">
        <v>65.65889172</v>
      </c>
      <c r="H74" s="20" t="n">
        <v>1.74528356</v>
      </c>
      <c r="I74" s="18" t="n">
        <v>0</v>
      </c>
      <c r="J74" s="20" t="n">
        <v>0</v>
      </c>
      <c r="K74" s="18" t="n">
        <v>0</v>
      </c>
      <c r="L74" s="20" t="n">
        <v>0</v>
      </c>
      <c r="M74" s="18" t="n">
        <v>0</v>
      </c>
      <c r="N74" s="20" t="n">
        <v>0</v>
      </c>
      <c r="O74" s="18" t="n">
        <v>0</v>
      </c>
      <c r="P74" s="20" t="n">
        <v>0</v>
      </c>
      <c r="Q74" s="18" t="n">
        <v>12.90085677</v>
      </c>
      <c r="R74" s="20" t="n">
        <v>1.24043159</v>
      </c>
    </row>
    <row r="75" spans="1:18">
      <c r="A75" s="15" t="s">
        <v>635</v>
      </c>
      <c r="B75" s="17" t="n">
        <v>8249</v>
      </c>
      <c r="C75" s="18">
        <f>(7337.0/B75*100)</f>
        <v/>
      </c>
      <c r="D75" s="19" t="n">
        <v>912</v>
      </c>
      <c r="E75" s="18" t="n">
        <v>66.62473734</v>
      </c>
      <c r="F75" s="20" t="n">
        <v>1.87130206</v>
      </c>
      <c r="G75" s="18" t="n">
        <v>28.23017433</v>
      </c>
      <c r="H75" s="20" t="n">
        <v>1.81745514</v>
      </c>
      <c r="I75" s="18" t="n">
        <v>0</v>
      </c>
      <c r="J75" s="20" t="n">
        <v>0</v>
      </c>
      <c r="K75" s="18" t="n">
        <v>0</v>
      </c>
      <c r="L75" s="20" t="n">
        <v>0</v>
      </c>
      <c r="M75" s="18" t="n">
        <v>0.22255224</v>
      </c>
      <c r="N75" s="20" t="n">
        <v>0.12954518</v>
      </c>
      <c r="O75" s="18" t="n">
        <v>0</v>
      </c>
      <c r="P75" s="20" t="n">
        <v>0</v>
      </c>
      <c r="Q75" s="18" t="n">
        <v>4.92253609</v>
      </c>
      <c r="R75" s="20" t="n">
        <v>0.93608167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(4821.0/B77*100)</f>
        <v/>
      </c>
      <c r="D77" s="19" t="n">
        <v>554</v>
      </c>
      <c r="E77" s="18" t="n">
        <v>39.95815362</v>
      </c>
      <c r="F77" s="20" t="n">
        <v>2.20354261</v>
      </c>
      <c r="G77" s="18" t="n">
        <v>23.14248848</v>
      </c>
      <c r="H77" s="20" t="n">
        <v>2.37027707</v>
      </c>
      <c r="I77" s="18" t="n">
        <v>0</v>
      </c>
      <c r="J77" s="20" t="n">
        <v>0</v>
      </c>
      <c r="K77" s="18" t="n">
        <v>1.9553296</v>
      </c>
      <c r="L77" s="20" t="n">
        <v>0.58011872</v>
      </c>
      <c r="M77" s="18" t="n">
        <v>1.46734194</v>
      </c>
      <c r="N77" s="20" t="n">
        <v>0.6663315400000001</v>
      </c>
      <c r="O77" s="18" t="n">
        <v>0</v>
      </c>
      <c r="P77" s="20" t="n">
        <v>0</v>
      </c>
      <c r="Q77" s="18" t="n">
        <v>33.47668636</v>
      </c>
      <c r="R77" s="20" t="n">
        <v>2.39572882</v>
      </c>
    </row>
    <row r="78" spans="1:18">
      <c r="A78" s="15" t="s">
        <v>638</v>
      </c>
      <c r="B78" s="17" t="n">
        <v>14167</v>
      </c>
      <c r="C78" s="18">
        <f>(12623.0/B78*100)</f>
        <v/>
      </c>
      <c r="D78" s="19" t="n">
        <v>1544</v>
      </c>
      <c r="E78" s="18" t="n">
        <v>49.07101706</v>
      </c>
      <c r="F78" s="20" t="n">
        <v>1.79874635</v>
      </c>
      <c r="G78" s="18" t="n">
        <v>39.39368646</v>
      </c>
      <c r="H78" s="20" t="n">
        <v>1.76884335</v>
      </c>
      <c r="I78" s="18" t="n">
        <v>0</v>
      </c>
      <c r="J78" s="20" t="n">
        <v>0</v>
      </c>
      <c r="K78" s="18" t="n">
        <v>0.30773293</v>
      </c>
      <c r="L78" s="20" t="n">
        <v>0.14779985</v>
      </c>
      <c r="M78" s="18" t="n">
        <v>0.10498214</v>
      </c>
      <c r="N78" s="20" t="n">
        <v>0.06247161</v>
      </c>
      <c r="O78" s="18" t="n">
        <v>0</v>
      </c>
      <c r="P78" s="20" t="n">
        <v>0</v>
      </c>
      <c r="Q78" s="18" t="n">
        <v>11.1225814</v>
      </c>
      <c r="R78" s="20" t="n">
        <v>1.20966194</v>
      </c>
    </row>
    <row r="79" spans="1:18">
      <c r="A79" s="15" t="s">
        <v>639</v>
      </c>
      <c r="B79" s="17" t="n">
        <v>6062</v>
      </c>
      <c r="C79" s="18">
        <f>(5424.0/B79*100)</f>
        <v/>
      </c>
      <c r="D79" s="19" t="n">
        <v>638</v>
      </c>
      <c r="E79" s="18" t="n">
        <v>30.53220895</v>
      </c>
      <c r="F79" s="20" t="n">
        <v>1.99001988</v>
      </c>
      <c r="G79" s="18" t="n">
        <v>44.47561252</v>
      </c>
      <c r="H79" s="20" t="n">
        <v>2.40275963</v>
      </c>
      <c r="I79" s="18" t="n">
        <v>0</v>
      </c>
      <c r="J79" s="20" t="n">
        <v>0</v>
      </c>
      <c r="K79" s="18" t="n">
        <v>0.45293015</v>
      </c>
      <c r="L79" s="20" t="n">
        <v>0.28582177</v>
      </c>
      <c r="M79" s="18" t="n">
        <v>0</v>
      </c>
      <c r="N79" s="20" t="n">
        <v>0</v>
      </c>
      <c r="O79" s="18" t="n">
        <v>0</v>
      </c>
      <c r="P79" s="20" t="n">
        <v>0</v>
      </c>
      <c r="Q79" s="18" t="n">
        <v>24.53924837</v>
      </c>
      <c r="R79" s="20" t="n">
        <v>1.70251147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(28798.0/B82*100)</f>
        <v/>
      </c>
      <c r="D82" s="19" t="n">
        <v>3532</v>
      </c>
      <c r="E82" s="18" t="n">
        <v>27.74256758</v>
      </c>
      <c r="F82" s="20" t="n">
        <v>1.05097998</v>
      </c>
      <c r="G82" s="18" t="n">
        <v>58.05669402</v>
      </c>
      <c r="H82" s="20" t="n">
        <v>1.19344571</v>
      </c>
      <c r="I82" s="18" t="n">
        <v>0</v>
      </c>
      <c r="J82" s="20" t="n">
        <v>0</v>
      </c>
      <c r="K82" s="18" t="n">
        <v>0.13069213</v>
      </c>
      <c r="L82" s="20" t="n">
        <v>0.06715749999999999</v>
      </c>
      <c r="M82" s="18" t="n">
        <v>0</v>
      </c>
      <c r="N82" s="20" t="n">
        <v>0</v>
      </c>
      <c r="O82" s="18" t="n">
        <v>0</v>
      </c>
      <c r="P82" s="20" t="n">
        <v>0</v>
      </c>
      <c r="Q82" s="18" t="n">
        <v>14.07004627</v>
      </c>
      <c r="R82" s="20" t="n">
        <v>0.8721839</v>
      </c>
    </row>
    <row r="83" spans="1:18">
      <c r="A83" s="15" t="s">
        <v>643</v>
      </c>
      <c r="B83" s="17" t="n">
        <v>1652</v>
      </c>
      <c r="C83" s="18">
        <f>(1472.0/B83*100)</f>
        <v/>
      </c>
      <c r="D83" s="19" t="n">
        <v>180</v>
      </c>
      <c r="E83" s="18" t="n">
        <v>34.77401262</v>
      </c>
      <c r="F83" s="20" t="n">
        <v>3.75904787</v>
      </c>
      <c r="G83" s="18" t="n">
        <v>63.66094644</v>
      </c>
      <c r="H83" s="20" t="n">
        <v>3.87929975</v>
      </c>
      <c r="I83" s="18" t="n">
        <v>0</v>
      </c>
      <c r="J83" s="20" t="n">
        <v>0</v>
      </c>
      <c r="K83" s="18" t="n">
        <v>0</v>
      </c>
      <c r="L83" s="20" t="n">
        <v>0</v>
      </c>
      <c r="M83" s="18" t="n">
        <v>0</v>
      </c>
      <c r="N83" s="20" t="n">
        <v>0</v>
      </c>
      <c r="O83" s="18" t="n">
        <v>0</v>
      </c>
      <c r="P83" s="20" t="n">
        <v>0</v>
      </c>
      <c r="Q83" s="18" t="n">
        <v>1.56504094</v>
      </c>
      <c r="R83" s="20" t="n">
        <v>0.86070023</v>
      </c>
    </row>
    <row r="84" spans="1:18">
      <c r="A84" s="23" t="s">
        <v>644</v>
      </c>
      <c r="B84" s="24" t="n">
        <v>1887</v>
      </c>
      <c r="C84" s="25">
        <f>(1675.0/B84*100)</f>
        <v/>
      </c>
      <c r="D84" s="19" t="n">
        <v>212</v>
      </c>
      <c r="E84" s="18" t="n">
        <v>35.04889937</v>
      </c>
      <c r="F84" s="20" t="n">
        <v>3.38249103</v>
      </c>
      <c r="G84" s="18" t="n">
        <v>59.69492701</v>
      </c>
      <c r="H84" s="20" t="n">
        <v>3.35344368</v>
      </c>
      <c r="I84" s="18" t="n">
        <v>0</v>
      </c>
      <c r="J84" s="20" t="n">
        <v>0</v>
      </c>
      <c r="K84" s="18" t="n">
        <v>0</v>
      </c>
      <c r="L84" s="20" t="n">
        <v>0</v>
      </c>
      <c r="M84" s="18" t="n">
        <v>0</v>
      </c>
      <c r="N84" s="20" t="n">
        <v>0</v>
      </c>
      <c r="O84" s="18" t="n">
        <v>0</v>
      </c>
      <c r="P84" s="20" t="n">
        <v>0</v>
      </c>
      <c r="Q84" s="18" t="n">
        <v>5.25617362</v>
      </c>
      <c r="R84" s="20" t="n">
        <v>1.71446325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(12960.0/B7*100)</f>
        <v/>
      </c>
      <c r="D7" s="19" t="n">
        <v>1570</v>
      </c>
      <c r="E7" s="18" t="n">
        <v>39.48642857</v>
      </c>
      <c r="F7" s="20" t="n">
        <v>1.59769676</v>
      </c>
      <c r="G7" s="18" t="n">
        <v>57.95156863</v>
      </c>
      <c r="H7" s="20" t="n">
        <v>1.58234372</v>
      </c>
      <c r="I7" s="18" t="n">
        <v>0</v>
      </c>
      <c r="J7" s="20" t="n">
        <v>0</v>
      </c>
      <c r="K7" s="18" t="n">
        <v>0.14107196</v>
      </c>
      <c r="L7" s="20" t="n">
        <v>0.11021486</v>
      </c>
      <c r="M7" s="18" t="n">
        <v>0</v>
      </c>
      <c r="N7" s="20" t="n">
        <v>0</v>
      </c>
      <c r="O7" s="18" t="n">
        <v>0</v>
      </c>
      <c r="P7" s="20" t="n">
        <v>0</v>
      </c>
      <c r="Q7" s="18" t="n">
        <v>2.42093084</v>
      </c>
      <c r="R7" s="20" t="n">
        <v>0.42212517</v>
      </c>
    </row>
    <row r="8" spans="1:18">
      <c r="A8" s="15" t="s">
        <v>566</v>
      </c>
      <c r="B8" s="17" t="n">
        <v>7007</v>
      </c>
      <c r="C8" s="18">
        <f>(6232.0/B8*100)</f>
        <v/>
      </c>
      <c r="D8" s="19" t="n">
        <v>775</v>
      </c>
      <c r="E8" s="18" t="n">
        <v>35.83045243</v>
      </c>
      <c r="F8" s="20" t="n">
        <v>1.79784136</v>
      </c>
      <c r="G8" s="18" t="n">
        <v>61.07868624</v>
      </c>
      <c r="H8" s="20" t="n">
        <v>1.89740122</v>
      </c>
      <c r="I8" s="18" t="n">
        <v>0</v>
      </c>
      <c r="J8" s="20" t="n">
        <v>0</v>
      </c>
      <c r="K8" s="18" t="n">
        <v>0.15036701</v>
      </c>
      <c r="L8" s="20" t="n">
        <v>0.17163397</v>
      </c>
      <c r="M8" s="18" t="n">
        <v>0</v>
      </c>
      <c r="N8" s="20" t="n">
        <v>0</v>
      </c>
      <c r="O8" s="18" t="n">
        <v>0</v>
      </c>
      <c r="P8" s="20" t="n">
        <v>0</v>
      </c>
      <c r="Q8" s="18" t="n">
        <v>2.94049432</v>
      </c>
      <c r="R8" s="20" t="n">
        <v>0.6230217300000001</v>
      </c>
    </row>
    <row r="9" spans="1:18">
      <c r="A9" s="15" t="s">
        <v>567</v>
      </c>
      <c r="B9" s="17" t="n">
        <v>9651</v>
      </c>
      <c r="C9" s="18">
        <f>(8614.0/B9*100)</f>
        <v/>
      </c>
      <c r="D9" s="19" t="n">
        <v>1037</v>
      </c>
      <c r="E9" s="18" t="n">
        <v>35.73718999</v>
      </c>
      <c r="F9" s="20" t="n">
        <v>1.6396016</v>
      </c>
      <c r="G9" s="18" t="n">
        <v>61.04302449</v>
      </c>
      <c r="H9" s="20" t="n">
        <v>1.4911639</v>
      </c>
      <c r="I9" s="18" t="n">
        <v>0</v>
      </c>
      <c r="J9" s="20" t="n">
        <v>0</v>
      </c>
      <c r="K9" s="18" t="n">
        <v>0</v>
      </c>
      <c r="L9" s="20" t="n">
        <v>0</v>
      </c>
      <c r="M9" s="18" t="n">
        <v>0</v>
      </c>
      <c r="N9" s="20" t="n">
        <v>0</v>
      </c>
      <c r="O9" s="18" t="n">
        <v>0</v>
      </c>
      <c r="P9" s="20" t="n">
        <v>0</v>
      </c>
      <c r="Q9" s="18" t="n">
        <v>3.21978552</v>
      </c>
      <c r="R9" s="20" t="n">
        <v>0.6526577</v>
      </c>
    </row>
    <row r="10" spans="1:18">
      <c r="A10" s="15" t="s">
        <v>568</v>
      </c>
      <c r="B10" s="17" t="n">
        <v>20058</v>
      </c>
      <c r="C10" s="18">
        <f>(17763.0/B10*100)</f>
        <v/>
      </c>
      <c r="D10" s="19" t="n">
        <v>2295</v>
      </c>
      <c r="E10" s="18" t="n">
        <v>38.00853599</v>
      </c>
      <c r="F10" s="20" t="n">
        <v>1.31137109</v>
      </c>
      <c r="G10" s="18" t="n">
        <v>60.33467896</v>
      </c>
      <c r="H10" s="20" t="n">
        <v>1.38999489</v>
      </c>
      <c r="I10" s="18" t="n">
        <v>0</v>
      </c>
      <c r="J10" s="20" t="n">
        <v>0</v>
      </c>
      <c r="K10" s="18" t="n">
        <v>0.40310743</v>
      </c>
      <c r="L10" s="20" t="n">
        <v>0.23888525</v>
      </c>
      <c r="M10" s="18" t="n">
        <v>0</v>
      </c>
      <c r="N10" s="20" t="n">
        <v>0</v>
      </c>
      <c r="O10" s="18" t="n">
        <v>0</v>
      </c>
      <c r="P10" s="20" t="n">
        <v>0</v>
      </c>
      <c r="Q10" s="18" t="n">
        <v>1.25367763</v>
      </c>
      <c r="R10" s="20" t="n">
        <v>0.29804855</v>
      </c>
    </row>
    <row r="11" spans="1:18">
      <c r="A11" s="15" t="s">
        <v>569</v>
      </c>
      <c r="B11" s="17" t="n">
        <v>7053</v>
      </c>
      <c r="C11" s="18">
        <f>(6302.0/B11*100)</f>
        <v/>
      </c>
      <c r="D11" s="19" t="n">
        <v>751</v>
      </c>
      <c r="E11" s="18" t="n">
        <v>39.25432378</v>
      </c>
      <c r="F11" s="20" t="n">
        <v>2.37774287</v>
      </c>
      <c r="G11" s="18" t="n">
        <v>56.31894317</v>
      </c>
      <c r="H11" s="20" t="n">
        <v>2.48952859</v>
      </c>
      <c r="I11" s="18" t="n">
        <v>0</v>
      </c>
      <c r="J11" s="20" t="n">
        <v>0</v>
      </c>
      <c r="K11" s="18" t="n">
        <v>0.5047117800000001</v>
      </c>
      <c r="L11" s="20" t="n">
        <v>0.26357622</v>
      </c>
      <c r="M11" s="18" t="n">
        <v>0</v>
      </c>
      <c r="N11" s="20" t="n">
        <v>0</v>
      </c>
      <c r="O11" s="18" t="n">
        <v>0</v>
      </c>
      <c r="P11" s="20" t="n">
        <v>0</v>
      </c>
      <c r="Q11" s="18" t="n">
        <v>3.92202127</v>
      </c>
      <c r="R11" s="20" t="n">
        <v>0.9261083</v>
      </c>
    </row>
    <row r="12" spans="1:18">
      <c r="A12" s="15" t="s">
        <v>570</v>
      </c>
      <c r="B12" s="17" t="n">
        <v>6894</v>
      </c>
      <c r="C12" s="18">
        <f>(6131.0/B12*100)</f>
        <v/>
      </c>
      <c r="D12" s="19" t="n">
        <v>763</v>
      </c>
      <c r="E12" s="18" t="n">
        <v>34.78884104</v>
      </c>
      <c r="F12" s="20" t="n">
        <v>2.16895649</v>
      </c>
      <c r="G12" s="18" t="n">
        <v>63.05145911</v>
      </c>
      <c r="H12" s="20" t="n">
        <v>2.16278554</v>
      </c>
      <c r="I12" s="18" t="n">
        <v>0</v>
      </c>
      <c r="J12" s="20" t="n">
        <v>0</v>
      </c>
      <c r="K12" s="18" t="n">
        <v>0.1195657</v>
      </c>
      <c r="L12" s="20" t="n">
        <v>0.11809678</v>
      </c>
      <c r="M12" s="18" t="n">
        <v>0</v>
      </c>
      <c r="N12" s="20" t="n">
        <v>0</v>
      </c>
      <c r="O12" s="18" t="n">
        <v>0</v>
      </c>
      <c r="P12" s="20" t="n">
        <v>0</v>
      </c>
      <c r="Q12" s="18" t="n">
        <v>2.04013415</v>
      </c>
      <c r="R12" s="20" t="n">
        <v>0.64482554</v>
      </c>
    </row>
    <row r="13" spans="1:18">
      <c r="A13" s="15" t="s">
        <v>571</v>
      </c>
      <c r="B13" s="17" t="n">
        <v>7161</v>
      </c>
      <c r="C13" s="18">
        <f>(6372.0/B13*100)</f>
        <v/>
      </c>
      <c r="D13" s="19" t="n">
        <v>789</v>
      </c>
      <c r="E13" s="18" t="n">
        <v>32.70265251</v>
      </c>
      <c r="F13" s="20" t="n">
        <v>1.81396419</v>
      </c>
      <c r="G13" s="18" t="n">
        <v>65.73856819</v>
      </c>
      <c r="H13" s="20" t="n">
        <v>1.80778122</v>
      </c>
      <c r="I13" s="18" t="n">
        <v>0</v>
      </c>
      <c r="J13" s="20" t="n">
        <v>0</v>
      </c>
      <c r="K13" s="18" t="n">
        <v>0.04064994</v>
      </c>
      <c r="L13" s="20" t="n">
        <v>0.04063376</v>
      </c>
      <c r="M13" s="18" t="n">
        <v>0</v>
      </c>
      <c r="N13" s="20" t="n">
        <v>0</v>
      </c>
      <c r="O13" s="18" t="n">
        <v>0</v>
      </c>
      <c r="P13" s="20" t="n">
        <v>0</v>
      </c>
      <c r="Q13" s="18" t="n">
        <v>1.51812935</v>
      </c>
      <c r="R13" s="20" t="n">
        <v>0.45791083</v>
      </c>
    </row>
    <row r="14" spans="1:18">
      <c r="A14" s="15" t="s">
        <v>572</v>
      </c>
      <c r="B14" s="17" t="n">
        <v>5587</v>
      </c>
      <c r="C14" s="18">
        <f>(4958.0/B14*100)</f>
        <v/>
      </c>
      <c r="D14" s="19" t="n">
        <v>629</v>
      </c>
      <c r="E14" s="18" t="n">
        <v>30.96566077</v>
      </c>
      <c r="F14" s="20" t="n">
        <v>1.88280329</v>
      </c>
      <c r="G14" s="18" t="n">
        <v>68.04158508</v>
      </c>
      <c r="H14" s="20" t="n">
        <v>1.97278244</v>
      </c>
      <c r="I14" s="18" t="n">
        <v>0</v>
      </c>
      <c r="J14" s="20" t="n">
        <v>0</v>
      </c>
      <c r="K14" s="18" t="n">
        <v>0</v>
      </c>
      <c r="L14" s="20" t="n">
        <v>0</v>
      </c>
      <c r="M14" s="18" t="n">
        <v>0</v>
      </c>
      <c r="N14" s="20" t="n">
        <v>0</v>
      </c>
      <c r="O14" s="18" t="n">
        <v>0</v>
      </c>
      <c r="P14" s="20" t="n">
        <v>0</v>
      </c>
      <c r="Q14" s="18" t="n">
        <v>0.9927541600000001</v>
      </c>
      <c r="R14" s="20" t="n">
        <v>0.47411152</v>
      </c>
    </row>
    <row r="15" spans="1:18">
      <c r="A15" s="15" t="s">
        <v>573</v>
      </c>
      <c r="B15" s="17" t="n">
        <v>5882</v>
      </c>
      <c r="C15" s="18">
        <f>(5280.0/B15*100)</f>
        <v/>
      </c>
      <c r="D15" s="19" t="n">
        <v>602</v>
      </c>
      <c r="E15" s="18" t="n">
        <v>29.32364916</v>
      </c>
      <c r="F15" s="20" t="n">
        <v>1.88388553</v>
      </c>
      <c r="G15" s="18" t="n">
        <v>69.1810801</v>
      </c>
      <c r="H15" s="20" t="n">
        <v>1.94048849</v>
      </c>
      <c r="I15" s="18" t="n">
        <v>0</v>
      </c>
      <c r="J15" s="20" t="n">
        <v>0</v>
      </c>
      <c r="K15" s="18" t="n">
        <v>0</v>
      </c>
      <c r="L15" s="20" t="n">
        <v>0</v>
      </c>
      <c r="M15" s="18" t="n">
        <v>0</v>
      </c>
      <c r="N15" s="20" t="n">
        <v>0</v>
      </c>
      <c r="O15" s="18" t="n">
        <v>0</v>
      </c>
      <c r="P15" s="20" t="n">
        <v>0</v>
      </c>
      <c r="Q15" s="18" t="n">
        <v>1.49527074</v>
      </c>
      <c r="R15" s="20" t="n">
        <v>0.43797308</v>
      </c>
    </row>
    <row r="16" spans="1:18">
      <c r="A16" s="15" t="s">
        <v>574</v>
      </c>
      <c r="B16" s="17" t="n">
        <v>6108</v>
      </c>
      <c r="C16" s="18">
        <f>(5442.0/B16*100)</f>
        <v/>
      </c>
      <c r="D16" s="19" t="n">
        <v>666</v>
      </c>
      <c r="E16" s="18" t="n">
        <v>39.05843452</v>
      </c>
      <c r="F16" s="20" t="n">
        <v>1.69879089</v>
      </c>
      <c r="G16" s="18" t="n">
        <v>55.21224736</v>
      </c>
      <c r="H16" s="20" t="n">
        <v>1.71020803</v>
      </c>
      <c r="I16" s="18" t="n">
        <v>0</v>
      </c>
      <c r="J16" s="20" t="n">
        <v>0</v>
      </c>
      <c r="K16" s="18" t="n">
        <v>0.46989752</v>
      </c>
      <c r="L16" s="20" t="n">
        <v>0.2595149</v>
      </c>
      <c r="M16" s="18" t="n">
        <v>0</v>
      </c>
      <c r="N16" s="20" t="n">
        <v>0</v>
      </c>
      <c r="O16" s="18" t="n">
        <v>0</v>
      </c>
      <c r="P16" s="20" t="n">
        <v>0</v>
      </c>
      <c r="Q16" s="18" t="n">
        <v>5.2594206</v>
      </c>
      <c r="R16" s="20" t="n">
        <v>1.05703893</v>
      </c>
    </row>
    <row r="17" spans="1:18">
      <c r="A17" s="15" t="s">
        <v>575</v>
      </c>
      <c r="B17" s="17" t="n">
        <v>6504</v>
      </c>
      <c r="C17" s="18">
        <f>(5817.0/B17*100)</f>
        <v/>
      </c>
      <c r="D17" s="19" t="n">
        <v>687</v>
      </c>
      <c r="E17" s="18" t="n">
        <v>32.521999</v>
      </c>
      <c r="F17" s="20" t="n">
        <v>1.7922353</v>
      </c>
      <c r="G17" s="18" t="n">
        <v>65.35712822000001</v>
      </c>
      <c r="H17" s="20" t="n">
        <v>1.86828025</v>
      </c>
      <c r="I17" s="18" t="n">
        <v>0</v>
      </c>
      <c r="J17" s="20" t="n">
        <v>0</v>
      </c>
      <c r="K17" s="18" t="n">
        <v>0.15186343</v>
      </c>
      <c r="L17" s="20" t="n">
        <v>0.1502956</v>
      </c>
      <c r="M17" s="18" t="n">
        <v>0</v>
      </c>
      <c r="N17" s="20" t="n">
        <v>0</v>
      </c>
      <c r="O17" s="18" t="n">
        <v>0</v>
      </c>
      <c r="P17" s="20" t="n">
        <v>0</v>
      </c>
      <c r="Q17" s="18" t="n">
        <v>1.96900934</v>
      </c>
      <c r="R17" s="20" t="n">
        <v>0.49773651</v>
      </c>
    </row>
    <row r="18" spans="1:18">
      <c r="A18" s="15" t="s">
        <v>576</v>
      </c>
      <c r="B18" s="17" t="n">
        <v>5532</v>
      </c>
      <c r="C18" s="18">
        <f>(4914.0/B18*100)</f>
        <v/>
      </c>
      <c r="D18" s="19" t="n">
        <v>618</v>
      </c>
      <c r="E18" s="18" t="n">
        <v>48.41791498</v>
      </c>
      <c r="F18" s="20" t="n">
        <v>2.09348732</v>
      </c>
      <c r="G18" s="18" t="n">
        <v>48.58033385</v>
      </c>
      <c r="H18" s="20" t="n">
        <v>2.09447315</v>
      </c>
      <c r="I18" s="18" t="n">
        <v>0</v>
      </c>
      <c r="J18" s="20" t="n">
        <v>0</v>
      </c>
      <c r="K18" s="18" t="n">
        <v>0.13003334</v>
      </c>
      <c r="L18" s="20" t="n">
        <v>0.12590959</v>
      </c>
      <c r="M18" s="18" t="n">
        <v>0</v>
      </c>
      <c r="N18" s="20" t="n">
        <v>0</v>
      </c>
      <c r="O18" s="18" t="n">
        <v>0</v>
      </c>
      <c r="P18" s="20" t="n">
        <v>0</v>
      </c>
      <c r="Q18" s="18" t="n">
        <v>2.87171782</v>
      </c>
      <c r="R18" s="20" t="n">
        <v>0.86759492</v>
      </c>
    </row>
    <row r="19" spans="1:18">
      <c r="A19" s="15" t="s">
        <v>577</v>
      </c>
      <c r="B19" s="17" t="n">
        <v>5658</v>
      </c>
      <c r="C19" s="18">
        <f>(5047.0/B19*100)</f>
        <v/>
      </c>
      <c r="D19" s="19" t="n">
        <v>611</v>
      </c>
      <c r="E19" s="18" t="n">
        <v>51.27730106</v>
      </c>
      <c r="F19" s="20" t="n">
        <v>2.15120861</v>
      </c>
      <c r="G19" s="18" t="n">
        <v>47.4118776</v>
      </c>
      <c r="H19" s="20" t="n">
        <v>2.14698231</v>
      </c>
      <c r="I19" s="18" t="n">
        <v>0</v>
      </c>
      <c r="J19" s="20" t="n">
        <v>0</v>
      </c>
      <c r="K19" s="18" t="n">
        <v>0</v>
      </c>
      <c r="L19" s="20" t="n">
        <v>0</v>
      </c>
      <c r="M19" s="18" t="n">
        <v>0</v>
      </c>
      <c r="N19" s="20" t="n">
        <v>0</v>
      </c>
      <c r="O19" s="18" t="n">
        <v>0</v>
      </c>
      <c r="P19" s="20" t="n">
        <v>0</v>
      </c>
      <c r="Q19" s="18" t="n">
        <v>1.31082134</v>
      </c>
      <c r="R19" s="20" t="n">
        <v>0.45708747</v>
      </c>
    </row>
    <row r="20" spans="1:18">
      <c r="A20" s="15" t="s">
        <v>578</v>
      </c>
      <c r="B20" s="17" t="n">
        <v>3371</v>
      </c>
      <c r="C20" s="18">
        <f>(2974.0/B20*100)</f>
        <v/>
      </c>
      <c r="D20" s="19" t="n">
        <v>397</v>
      </c>
      <c r="E20" s="18" t="n">
        <v>33.10310405</v>
      </c>
      <c r="F20" s="20" t="n">
        <v>2.34569723</v>
      </c>
      <c r="G20" s="18" t="n">
        <v>63.39603564</v>
      </c>
      <c r="H20" s="20" t="n">
        <v>2.21810536</v>
      </c>
      <c r="I20" s="18" t="n">
        <v>0</v>
      </c>
      <c r="J20" s="20" t="n">
        <v>0</v>
      </c>
      <c r="K20" s="18" t="n">
        <v>0.2487179</v>
      </c>
      <c r="L20" s="20" t="n">
        <v>0.24972445</v>
      </c>
      <c r="M20" s="18" t="n">
        <v>0</v>
      </c>
      <c r="N20" s="20" t="n">
        <v>0</v>
      </c>
      <c r="O20" s="18" t="n">
        <v>0</v>
      </c>
      <c r="P20" s="20" t="n">
        <v>0</v>
      </c>
      <c r="Q20" s="18" t="n">
        <v>3.2521424</v>
      </c>
      <c r="R20" s="20" t="n">
        <v>0.85824767</v>
      </c>
    </row>
    <row r="21" spans="1:18">
      <c r="A21" s="15" t="s">
        <v>579</v>
      </c>
      <c r="B21" s="17" t="n">
        <v>5741</v>
      </c>
      <c r="C21" s="18">
        <f>(5115.0/B21*100)</f>
        <v/>
      </c>
      <c r="D21" s="19" t="n">
        <v>626</v>
      </c>
      <c r="E21" s="18" t="n">
        <v>45.37273537</v>
      </c>
      <c r="F21" s="20" t="n">
        <v>1.99282359</v>
      </c>
      <c r="G21" s="18" t="n">
        <v>52.47601494</v>
      </c>
      <c r="H21" s="20" t="n">
        <v>1.94842373</v>
      </c>
      <c r="I21" s="18" t="n">
        <v>0</v>
      </c>
      <c r="J21" s="20" t="n">
        <v>0</v>
      </c>
      <c r="K21" s="18" t="n">
        <v>0</v>
      </c>
      <c r="L21" s="20" t="n">
        <v>0</v>
      </c>
      <c r="M21" s="18" t="n">
        <v>0</v>
      </c>
      <c r="N21" s="20" t="n">
        <v>0</v>
      </c>
      <c r="O21" s="18" t="n">
        <v>0</v>
      </c>
      <c r="P21" s="20" t="n">
        <v>0</v>
      </c>
      <c r="Q21" s="18" t="n">
        <v>2.15124969</v>
      </c>
      <c r="R21" s="20" t="n">
        <v>0.59453589</v>
      </c>
    </row>
    <row r="22" spans="1:18">
      <c r="A22" s="15" t="s">
        <v>580</v>
      </c>
      <c r="B22" s="17" t="n">
        <v>6598</v>
      </c>
      <c r="C22" s="18">
        <f>(5848.0/B22*100)</f>
        <v/>
      </c>
      <c r="D22" s="19" t="n">
        <v>750</v>
      </c>
      <c r="E22" s="18" t="n">
        <v>33.46922681</v>
      </c>
      <c r="F22" s="20" t="n">
        <v>2.15745303</v>
      </c>
      <c r="G22" s="18" t="n">
        <v>61.24356278</v>
      </c>
      <c r="H22" s="20" t="n">
        <v>2.14386376</v>
      </c>
      <c r="I22" s="18" t="n">
        <v>0</v>
      </c>
      <c r="J22" s="20" t="n">
        <v>0</v>
      </c>
      <c r="K22" s="18" t="n">
        <v>0.38488489</v>
      </c>
      <c r="L22" s="20" t="n">
        <v>0.23137229</v>
      </c>
      <c r="M22" s="18" t="n">
        <v>0</v>
      </c>
      <c r="N22" s="20" t="n">
        <v>0</v>
      </c>
      <c r="O22" s="18" t="n">
        <v>0</v>
      </c>
      <c r="P22" s="20" t="n">
        <v>0</v>
      </c>
      <c r="Q22" s="18" t="n">
        <v>4.90232552</v>
      </c>
      <c r="R22" s="20" t="n">
        <v>0.80234215</v>
      </c>
    </row>
    <row r="23" spans="1:18">
      <c r="A23" s="15" t="s">
        <v>581</v>
      </c>
      <c r="B23" s="17" t="n">
        <v>11583</v>
      </c>
      <c r="C23" s="18">
        <f>(10338.0/B23*100)</f>
        <v/>
      </c>
      <c r="D23" s="19" t="n">
        <v>1245</v>
      </c>
      <c r="E23" s="18" t="n">
        <v>32.98817549</v>
      </c>
      <c r="F23" s="20" t="n">
        <v>1.89852492</v>
      </c>
      <c r="G23" s="18" t="n">
        <v>63.75261499</v>
      </c>
      <c r="H23" s="20" t="n">
        <v>1.87125919</v>
      </c>
      <c r="I23" s="18" t="n">
        <v>0</v>
      </c>
      <c r="J23" s="20" t="n">
        <v>0</v>
      </c>
      <c r="K23" s="18" t="n">
        <v>0.2161113</v>
      </c>
      <c r="L23" s="20" t="n">
        <v>0.15314355</v>
      </c>
      <c r="M23" s="18" t="n">
        <v>0</v>
      </c>
      <c r="N23" s="20" t="n">
        <v>0</v>
      </c>
      <c r="O23" s="18" t="n">
        <v>0</v>
      </c>
      <c r="P23" s="20" t="n">
        <v>0</v>
      </c>
      <c r="Q23" s="18" t="n">
        <v>3.04309821</v>
      </c>
      <c r="R23" s="20" t="n">
        <v>0.75698111</v>
      </c>
    </row>
    <row r="24" spans="1:18">
      <c r="A24" s="15" t="s">
        <v>582</v>
      </c>
      <c r="B24" s="17" t="n">
        <v>6647</v>
      </c>
      <c r="C24" s="18">
        <f>(5923.0/B24*100)</f>
        <v/>
      </c>
      <c r="D24" s="19" t="n">
        <v>724</v>
      </c>
      <c r="E24" s="18" t="n">
        <v>32.2769678</v>
      </c>
      <c r="F24" s="20" t="n">
        <v>1.66437999</v>
      </c>
      <c r="G24" s="18" t="n">
        <v>66.77715725</v>
      </c>
      <c r="H24" s="20" t="n">
        <v>1.67996474</v>
      </c>
      <c r="I24" s="18" t="n">
        <v>0</v>
      </c>
      <c r="J24" s="20" t="n">
        <v>0</v>
      </c>
      <c r="K24" s="18" t="n">
        <v>0</v>
      </c>
      <c r="L24" s="20" t="n">
        <v>0</v>
      </c>
      <c r="M24" s="18" t="n">
        <v>0</v>
      </c>
      <c r="N24" s="20" t="n">
        <v>0</v>
      </c>
      <c r="O24" s="18" t="n">
        <v>0</v>
      </c>
      <c r="P24" s="20" t="n">
        <v>0</v>
      </c>
      <c r="Q24" s="18" t="n">
        <v>0.94587495</v>
      </c>
      <c r="R24" s="20" t="n">
        <v>0.35107594</v>
      </c>
    </row>
    <row r="25" spans="1:18">
      <c r="A25" s="15" t="s">
        <v>583</v>
      </c>
      <c r="B25" s="17" t="n">
        <v>5581</v>
      </c>
      <c r="C25" s="18">
        <f>(4963.0/B25*100)</f>
        <v/>
      </c>
      <c r="D25" s="19" t="n">
        <v>618</v>
      </c>
      <c r="E25" s="18" t="n">
        <v>43.42793659</v>
      </c>
      <c r="F25" s="20" t="n">
        <v>2.25676899</v>
      </c>
      <c r="G25" s="18" t="n">
        <v>54.87197323</v>
      </c>
      <c r="H25" s="20" t="n">
        <v>2.34053588</v>
      </c>
      <c r="I25" s="18" t="n">
        <v>0</v>
      </c>
      <c r="J25" s="20" t="n">
        <v>0</v>
      </c>
      <c r="K25" s="18" t="n">
        <v>0.31560599</v>
      </c>
      <c r="L25" s="20" t="n">
        <v>0.22765417</v>
      </c>
      <c r="M25" s="18" t="n">
        <v>0</v>
      </c>
      <c r="N25" s="20" t="n">
        <v>0</v>
      </c>
      <c r="O25" s="18" t="n">
        <v>0</v>
      </c>
      <c r="P25" s="20" t="n">
        <v>0</v>
      </c>
      <c r="Q25" s="18" t="n">
        <v>1.38448418</v>
      </c>
      <c r="R25" s="20" t="n">
        <v>0.45999595</v>
      </c>
    </row>
    <row r="26" spans="1:18">
      <c r="A26" s="15" t="s">
        <v>584</v>
      </c>
      <c r="B26" s="17" t="n">
        <v>4869</v>
      </c>
      <c r="C26" s="18">
        <f>(4330.0/B26*100)</f>
        <v/>
      </c>
      <c r="D26" s="19" t="n">
        <v>539</v>
      </c>
      <c r="E26" s="18" t="n">
        <v>44.5703269</v>
      </c>
      <c r="F26" s="20" t="n">
        <v>2.38353221</v>
      </c>
      <c r="G26" s="18" t="n">
        <v>55.08753123</v>
      </c>
      <c r="H26" s="20" t="n">
        <v>2.40025884</v>
      </c>
      <c r="I26" s="18" t="n">
        <v>0</v>
      </c>
      <c r="J26" s="20" t="n">
        <v>0</v>
      </c>
      <c r="K26" s="18" t="n">
        <v>0</v>
      </c>
      <c r="L26" s="20" t="n">
        <v>0</v>
      </c>
      <c r="M26" s="18" t="n">
        <v>0</v>
      </c>
      <c r="N26" s="20" t="n">
        <v>0</v>
      </c>
      <c r="O26" s="18" t="n">
        <v>0</v>
      </c>
      <c r="P26" s="20" t="n">
        <v>0</v>
      </c>
      <c r="Q26" s="18" t="n">
        <v>0.34214188</v>
      </c>
      <c r="R26" s="20" t="n">
        <v>0.23971839</v>
      </c>
    </row>
    <row r="27" spans="1:18">
      <c r="A27" s="15" t="s">
        <v>585</v>
      </c>
      <c r="B27" s="17" t="n">
        <v>5299</v>
      </c>
      <c r="C27" s="18">
        <f>(4712.0/B27*100)</f>
        <v/>
      </c>
      <c r="D27" s="19" t="n">
        <v>587</v>
      </c>
      <c r="E27" s="18" t="n">
        <v>38.59776019</v>
      </c>
      <c r="F27" s="20" t="n">
        <v>1.78404022</v>
      </c>
      <c r="G27" s="18" t="n">
        <v>57.30263481</v>
      </c>
      <c r="H27" s="20" t="n">
        <v>1.83329686</v>
      </c>
      <c r="I27" s="18" t="n">
        <v>0</v>
      </c>
      <c r="J27" s="20" t="n">
        <v>0</v>
      </c>
      <c r="K27" s="18" t="n">
        <v>0.18127361</v>
      </c>
      <c r="L27" s="20" t="n">
        <v>0.18058417</v>
      </c>
      <c r="M27" s="18" t="n">
        <v>0</v>
      </c>
      <c r="N27" s="20" t="n">
        <v>0</v>
      </c>
      <c r="O27" s="18" t="n">
        <v>0</v>
      </c>
      <c r="P27" s="20" t="n">
        <v>0</v>
      </c>
      <c r="Q27" s="18" t="n">
        <v>3.91833139</v>
      </c>
      <c r="R27" s="20" t="n">
        <v>0.80339505</v>
      </c>
    </row>
    <row r="28" spans="1:18">
      <c r="A28" s="15" t="s">
        <v>586</v>
      </c>
      <c r="B28" s="17" t="n">
        <v>7568</v>
      </c>
      <c r="C28" s="18">
        <f>(6780.0/B28*100)</f>
        <v/>
      </c>
      <c r="D28" s="19" t="n">
        <v>788</v>
      </c>
      <c r="E28" s="18" t="n">
        <v>69.89234006</v>
      </c>
      <c r="F28" s="20" t="n">
        <v>1.86457324</v>
      </c>
      <c r="G28" s="18" t="n">
        <v>27.74642102</v>
      </c>
      <c r="H28" s="20" t="n">
        <v>1.84207951</v>
      </c>
      <c r="I28" s="18" t="n">
        <v>0</v>
      </c>
      <c r="J28" s="20" t="n">
        <v>0</v>
      </c>
      <c r="K28" s="18" t="n">
        <v>0.22786135</v>
      </c>
      <c r="L28" s="20" t="n">
        <v>0.22275059</v>
      </c>
      <c r="M28" s="18" t="n">
        <v>0</v>
      </c>
      <c r="N28" s="20" t="n">
        <v>0</v>
      </c>
      <c r="O28" s="18" t="n">
        <v>0</v>
      </c>
      <c r="P28" s="20" t="n">
        <v>0</v>
      </c>
      <c r="Q28" s="18" t="n">
        <v>2.13337758</v>
      </c>
      <c r="R28" s="20" t="n">
        <v>0.76816825</v>
      </c>
    </row>
    <row r="29" spans="1:18">
      <c r="A29" s="15" t="s">
        <v>587</v>
      </c>
      <c r="B29" s="17" t="n">
        <v>5385</v>
      </c>
      <c r="C29" s="18">
        <f>(4802.0/B29*100)</f>
        <v/>
      </c>
      <c r="D29" s="19" t="n">
        <v>583</v>
      </c>
      <c r="E29" s="18" t="n">
        <v>32.96712441</v>
      </c>
      <c r="F29" s="20" t="n">
        <v>1.94196134</v>
      </c>
      <c r="G29" s="18" t="n">
        <v>64.91909077</v>
      </c>
      <c r="H29" s="20" t="n">
        <v>1.99587667</v>
      </c>
      <c r="I29" s="18" t="n">
        <v>0</v>
      </c>
      <c r="J29" s="20" t="n">
        <v>0</v>
      </c>
      <c r="K29" s="18" t="n">
        <v>0</v>
      </c>
      <c r="L29" s="20" t="n">
        <v>0</v>
      </c>
      <c r="M29" s="18" t="n">
        <v>0</v>
      </c>
      <c r="N29" s="20" t="n">
        <v>0</v>
      </c>
      <c r="O29" s="18" t="n">
        <v>0</v>
      </c>
      <c r="P29" s="20" t="n">
        <v>0</v>
      </c>
      <c r="Q29" s="18" t="n">
        <v>2.11378482</v>
      </c>
      <c r="R29" s="20" t="n">
        <v>0.58810307</v>
      </c>
    </row>
    <row r="30" spans="1:18">
      <c r="A30" s="15" t="s">
        <v>588</v>
      </c>
      <c r="B30" s="17" t="n">
        <v>4520</v>
      </c>
      <c r="C30" s="18">
        <f>(4033.0/B30*100)</f>
        <v/>
      </c>
      <c r="D30" s="19" t="n">
        <v>487</v>
      </c>
      <c r="E30" s="18" t="n">
        <v>42.61105758</v>
      </c>
      <c r="F30" s="20" t="n">
        <v>2.14002159</v>
      </c>
      <c r="G30" s="18" t="n">
        <v>53.81474119</v>
      </c>
      <c r="H30" s="20" t="n">
        <v>2.37539529</v>
      </c>
      <c r="I30" s="18" t="n">
        <v>0</v>
      </c>
      <c r="J30" s="20" t="n">
        <v>0</v>
      </c>
      <c r="K30" s="18" t="n">
        <v>0</v>
      </c>
      <c r="L30" s="20" t="n">
        <v>0</v>
      </c>
      <c r="M30" s="18" t="n">
        <v>0</v>
      </c>
      <c r="N30" s="20" t="n">
        <v>0</v>
      </c>
      <c r="O30" s="18" t="n">
        <v>0</v>
      </c>
      <c r="P30" s="20" t="n">
        <v>0</v>
      </c>
      <c r="Q30" s="18" t="n">
        <v>3.57420122</v>
      </c>
      <c r="R30" s="20" t="n">
        <v>1.02386942</v>
      </c>
    </row>
    <row r="31" spans="1:18">
      <c r="A31" s="15" t="s">
        <v>589</v>
      </c>
      <c r="B31" s="17" t="n">
        <v>5456</v>
      </c>
      <c r="C31" s="18">
        <f>(4848.0/B31*100)</f>
        <v/>
      </c>
      <c r="D31" s="19" t="n">
        <v>608</v>
      </c>
      <c r="E31" s="18" t="n">
        <v>35.28751448</v>
      </c>
      <c r="F31" s="20" t="n">
        <v>2.01256132</v>
      </c>
      <c r="G31" s="18" t="n">
        <v>60.99507727</v>
      </c>
      <c r="H31" s="20" t="n">
        <v>2.04026557</v>
      </c>
      <c r="I31" s="18" t="n">
        <v>0</v>
      </c>
      <c r="J31" s="20" t="n">
        <v>0</v>
      </c>
      <c r="K31" s="18" t="n">
        <v>0.30543359</v>
      </c>
      <c r="L31" s="20" t="n">
        <v>0.20725486</v>
      </c>
      <c r="M31" s="18" t="n">
        <v>0</v>
      </c>
      <c r="N31" s="20" t="n">
        <v>0</v>
      </c>
      <c r="O31" s="18" t="n">
        <v>0</v>
      </c>
      <c r="P31" s="20" t="n">
        <v>0</v>
      </c>
      <c r="Q31" s="18" t="n">
        <v>3.41197467</v>
      </c>
      <c r="R31" s="20" t="n">
        <v>0.82460779</v>
      </c>
    </row>
    <row r="32" spans="1:18">
      <c r="A32" s="15" t="s">
        <v>590</v>
      </c>
      <c r="B32" s="17" t="n">
        <v>4478</v>
      </c>
      <c r="C32" s="18">
        <f>(3970.0/B32*100)</f>
        <v/>
      </c>
      <c r="D32" s="19" t="n">
        <v>508</v>
      </c>
      <c r="E32" s="18" t="n">
        <v>42.64237691</v>
      </c>
      <c r="F32" s="20" t="n">
        <v>2.42166231</v>
      </c>
      <c r="G32" s="18" t="n">
        <v>56.67135786</v>
      </c>
      <c r="H32" s="20" t="n">
        <v>2.44544921</v>
      </c>
      <c r="I32" s="18" t="n">
        <v>0</v>
      </c>
      <c r="J32" s="20" t="n">
        <v>0</v>
      </c>
      <c r="K32" s="18" t="n">
        <v>0</v>
      </c>
      <c r="L32" s="20" t="n">
        <v>0</v>
      </c>
      <c r="M32" s="18" t="n">
        <v>0</v>
      </c>
      <c r="N32" s="20" t="n">
        <v>0</v>
      </c>
      <c r="O32" s="18" t="n">
        <v>0</v>
      </c>
      <c r="P32" s="20" t="n">
        <v>0</v>
      </c>
      <c r="Q32" s="18" t="n">
        <v>0.6862652299999999</v>
      </c>
      <c r="R32" s="20" t="n">
        <v>0.3414726</v>
      </c>
    </row>
    <row r="33" spans="1:18">
      <c r="A33" s="15" t="s">
        <v>591</v>
      </c>
      <c r="B33" s="17" t="n">
        <v>7325</v>
      </c>
      <c r="C33" s="18">
        <f>(6514.0/B33*100)</f>
        <v/>
      </c>
      <c r="D33" s="19" t="n">
        <v>811</v>
      </c>
      <c r="E33" s="18" t="n">
        <v>42.75144864</v>
      </c>
      <c r="F33" s="20" t="n">
        <v>2.04713197</v>
      </c>
      <c r="G33" s="18" t="n">
        <v>55.89954147</v>
      </c>
      <c r="H33" s="20" t="n">
        <v>2.06724661</v>
      </c>
      <c r="I33" s="18" t="n">
        <v>0</v>
      </c>
      <c r="J33" s="20" t="n">
        <v>0</v>
      </c>
      <c r="K33" s="18" t="n">
        <v>0.183612</v>
      </c>
      <c r="L33" s="20" t="n">
        <v>0.16290613</v>
      </c>
      <c r="M33" s="18" t="n">
        <v>0</v>
      </c>
      <c r="N33" s="20" t="n">
        <v>0</v>
      </c>
      <c r="O33" s="18" t="n">
        <v>0</v>
      </c>
      <c r="P33" s="20" t="n">
        <v>0</v>
      </c>
      <c r="Q33" s="18" t="n">
        <v>1.16539789</v>
      </c>
      <c r="R33" s="20" t="n">
        <v>0.40001444</v>
      </c>
    </row>
    <row r="34" spans="1:18">
      <c r="A34" s="15" t="s">
        <v>592</v>
      </c>
      <c r="B34" s="17" t="n">
        <v>6350</v>
      </c>
      <c r="C34" s="18">
        <f>(5645.0/B34*100)</f>
        <v/>
      </c>
      <c r="D34" s="19" t="n">
        <v>705</v>
      </c>
      <c r="E34" s="18" t="n">
        <v>49.47076624</v>
      </c>
      <c r="F34" s="20" t="n">
        <v>1.98026005</v>
      </c>
      <c r="G34" s="18" t="n">
        <v>48.97200872</v>
      </c>
      <c r="H34" s="20" t="n">
        <v>1.97342473</v>
      </c>
      <c r="I34" s="18" t="n">
        <v>0</v>
      </c>
      <c r="J34" s="20" t="n">
        <v>0</v>
      </c>
      <c r="K34" s="18" t="n">
        <v>0</v>
      </c>
      <c r="L34" s="20" t="n">
        <v>0</v>
      </c>
      <c r="M34" s="18" t="n">
        <v>0</v>
      </c>
      <c r="N34" s="20" t="n">
        <v>0</v>
      </c>
      <c r="O34" s="18" t="n">
        <v>0</v>
      </c>
      <c r="P34" s="20" t="n">
        <v>0</v>
      </c>
      <c r="Q34" s="18" t="n">
        <v>1.55722504</v>
      </c>
      <c r="R34" s="20" t="n">
        <v>0.43552733</v>
      </c>
    </row>
    <row r="35" spans="1:18">
      <c r="A35" s="15" t="s">
        <v>593</v>
      </c>
      <c r="B35" s="17" t="n">
        <v>6406</v>
      </c>
      <c r="C35" s="18">
        <f>(5749.0/B35*100)</f>
        <v/>
      </c>
      <c r="D35" s="19" t="n">
        <v>657</v>
      </c>
      <c r="E35" s="18" t="n">
        <v>47.75936845</v>
      </c>
      <c r="F35" s="20" t="n">
        <v>2.61549368</v>
      </c>
      <c r="G35" s="18" t="n">
        <v>49.90466676</v>
      </c>
      <c r="H35" s="20" t="n">
        <v>2.74621163</v>
      </c>
      <c r="I35" s="18" t="n">
        <v>0</v>
      </c>
      <c r="J35" s="20" t="n">
        <v>0</v>
      </c>
      <c r="K35" s="18" t="n">
        <v>0</v>
      </c>
      <c r="L35" s="20" t="n">
        <v>0</v>
      </c>
      <c r="M35" s="18" t="n">
        <v>0</v>
      </c>
      <c r="N35" s="20" t="n">
        <v>0</v>
      </c>
      <c r="O35" s="18" t="n">
        <v>0</v>
      </c>
      <c r="P35" s="20" t="n">
        <v>0</v>
      </c>
      <c r="Q35" s="18" t="n">
        <v>2.33596478</v>
      </c>
      <c r="R35" s="20" t="n">
        <v>0.62908435</v>
      </c>
    </row>
    <row r="36" spans="1:18">
      <c r="A36" s="15" t="s">
        <v>594</v>
      </c>
      <c r="B36" s="17" t="n">
        <v>6736</v>
      </c>
      <c r="C36" s="18">
        <f>(6022.0/B36*100)</f>
        <v/>
      </c>
      <c r="D36" s="19" t="n">
        <v>714</v>
      </c>
      <c r="E36" s="18" t="n">
        <v>44.29177505</v>
      </c>
      <c r="F36" s="20" t="n">
        <v>2.0956364</v>
      </c>
      <c r="G36" s="18" t="n">
        <v>53.08101689</v>
      </c>
      <c r="H36" s="20" t="n">
        <v>2.13125898</v>
      </c>
      <c r="I36" s="18" t="n">
        <v>0</v>
      </c>
      <c r="J36" s="20" t="n">
        <v>0</v>
      </c>
      <c r="K36" s="18" t="n">
        <v>0.16744453</v>
      </c>
      <c r="L36" s="20" t="n">
        <v>0.12294451</v>
      </c>
      <c r="M36" s="18" t="n">
        <v>0</v>
      </c>
      <c r="N36" s="20" t="n">
        <v>0</v>
      </c>
      <c r="O36" s="18" t="n">
        <v>0</v>
      </c>
      <c r="P36" s="20" t="n">
        <v>0</v>
      </c>
      <c r="Q36" s="18" t="n">
        <v>2.45976353</v>
      </c>
      <c r="R36" s="20" t="n">
        <v>0.57619013</v>
      </c>
    </row>
    <row r="37" spans="1:18">
      <c r="A37" s="15" t="s">
        <v>595</v>
      </c>
      <c r="B37" s="17" t="n">
        <v>5458</v>
      </c>
      <c r="C37" s="18">
        <f>(4853.0/B37*100)</f>
        <v/>
      </c>
      <c r="D37" s="19" t="n">
        <v>605</v>
      </c>
      <c r="E37" s="18" t="n">
        <v>38.61397954</v>
      </c>
      <c r="F37" s="20" t="n">
        <v>1.90714068</v>
      </c>
      <c r="G37" s="18" t="n">
        <v>57.07120162</v>
      </c>
      <c r="H37" s="20" t="n">
        <v>2.14049529</v>
      </c>
      <c r="I37" s="18" t="n">
        <v>0</v>
      </c>
      <c r="J37" s="20" t="n">
        <v>0</v>
      </c>
      <c r="K37" s="18" t="n">
        <v>0</v>
      </c>
      <c r="L37" s="20" t="n">
        <v>0</v>
      </c>
      <c r="M37" s="18" t="n">
        <v>0</v>
      </c>
      <c r="N37" s="20" t="n">
        <v>0</v>
      </c>
      <c r="O37" s="18" t="n">
        <v>0</v>
      </c>
      <c r="P37" s="20" t="n">
        <v>0</v>
      </c>
      <c r="Q37" s="18" t="n">
        <v>4.31481884</v>
      </c>
      <c r="R37" s="20" t="n">
        <v>0.84328224</v>
      </c>
    </row>
    <row r="38" spans="1:18">
      <c r="A38" s="15" t="s">
        <v>596</v>
      </c>
      <c r="B38" s="17" t="n">
        <v>5860</v>
      </c>
      <c r="C38" s="18">
        <f>(5200.0/B38*100)</f>
        <v/>
      </c>
      <c r="D38" s="19" t="n">
        <v>660</v>
      </c>
      <c r="E38" s="18" t="n">
        <v>36.64291669</v>
      </c>
      <c r="F38" s="20" t="n">
        <v>2.7689176</v>
      </c>
      <c r="G38" s="18" t="n">
        <v>60.84262914</v>
      </c>
      <c r="H38" s="20" t="n">
        <v>2.78108071</v>
      </c>
      <c r="I38" s="18" t="n">
        <v>0</v>
      </c>
      <c r="J38" s="20" t="n">
        <v>0</v>
      </c>
      <c r="K38" s="18" t="n">
        <v>0.20050057</v>
      </c>
      <c r="L38" s="20" t="n">
        <v>0.1667976</v>
      </c>
      <c r="M38" s="18" t="n">
        <v>0</v>
      </c>
      <c r="N38" s="20" t="n">
        <v>0</v>
      </c>
      <c r="O38" s="18" t="n">
        <v>0</v>
      </c>
      <c r="P38" s="20" t="n">
        <v>0</v>
      </c>
      <c r="Q38" s="18" t="n">
        <v>2.3139536</v>
      </c>
      <c r="R38" s="20" t="n">
        <v>0.74568972</v>
      </c>
    </row>
    <row r="39" spans="1:18">
      <c r="A39" s="15" t="s">
        <v>597</v>
      </c>
      <c r="B39" s="17" t="n">
        <v>5895</v>
      </c>
      <c r="C39" s="18">
        <f>(5237.0/B39*100)</f>
        <v/>
      </c>
      <c r="D39" s="19" t="n">
        <v>658</v>
      </c>
      <c r="E39" s="18" t="n">
        <v>60.9873495</v>
      </c>
      <c r="F39" s="20" t="n">
        <v>1.92761073</v>
      </c>
      <c r="G39" s="18" t="n">
        <v>36.37804418</v>
      </c>
      <c r="H39" s="20" t="n">
        <v>1.83881788</v>
      </c>
      <c r="I39" s="18" t="n">
        <v>0</v>
      </c>
      <c r="J39" s="20" t="n">
        <v>0</v>
      </c>
      <c r="K39" s="18" t="n">
        <v>0</v>
      </c>
      <c r="L39" s="20" t="n">
        <v>0</v>
      </c>
      <c r="M39" s="18" t="n">
        <v>0</v>
      </c>
      <c r="N39" s="20" t="n">
        <v>0</v>
      </c>
      <c r="O39" s="18" t="n">
        <v>0</v>
      </c>
      <c r="P39" s="20" t="n">
        <v>0</v>
      </c>
      <c r="Q39" s="18" t="n">
        <v>2.63460633</v>
      </c>
      <c r="R39" s="20" t="n">
        <v>0.7063807</v>
      </c>
    </row>
    <row r="40" spans="1:18">
      <c r="A40" s="15" t="s">
        <v>598</v>
      </c>
      <c r="B40" s="17" t="n">
        <v>14157</v>
      </c>
      <c r="C40" s="18">
        <f>(12597.0/B40*100)</f>
        <v/>
      </c>
      <c r="D40" s="19" t="n">
        <v>1560</v>
      </c>
      <c r="E40" s="18" t="n">
        <v>49.86883055</v>
      </c>
      <c r="F40" s="20" t="n">
        <v>2.0760962</v>
      </c>
      <c r="G40" s="18" t="n">
        <v>47.52474391</v>
      </c>
      <c r="H40" s="20" t="n">
        <v>2.09413498</v>
      </c>
      <c r="I40" s="18" t="n">
        <v>0</v>
      </c>
      <c r="J40" s="20" t="n">
        <v>0</v>
      </c>
      <c r="K40" s="18" t="n">
        <v>0.20890932</v>
      </c>
      <c r="L40" s="20" t="n">
        <v>0.18992862</v>
      </c>
      <c r="M40" s="18" t="n">
        <v>0</v>
      </c>
      <c r="N40" s="20" t="n">
        <v>0</v>
      </c>
      <c r="O40" s="18" t="n">
        <v>0</v>
      </c>
      <c r="P40" s="20" t="n">
        <v>0</v>
      </c>
      <c r="Q40" s="18" t="n">
        <v>2.39751622</v>
      </c>
      <c r="R40" s="20" t="n">
        <v>0.54172054</v>
      </c>
    </row>
    <row r="41" spans="1:18">
      <c r="A41" s="15" t="s">
        <v>599</v>
      </c>
      <c r="B41" s="17" t="n">
        <v>5712</v>
      </c>
      <c r="C41" s="18">
        <f>(5081.0/B41*100)</f>
        <v/>
      </c>
      <c r="D41" s="19" t="n">
        <v>631</v>
      </c>
      <c r="E41" s="18" t="n">
        <v>43.03051987</v>
      </c>
      <c r="F41" s="20" t="n">
        <v>2.02817972</v>
      </c>
      <c r="G41" s="18" t="n">
        <v>55.73191832</v>
      </c>
      <c r="H41" s="20" t="n">
        <v>2.07262542</v>
      </c>
      <c r="I41" s="18" t="n">
        <v>0</v>
      </c>
      <c r="J41" s="20" t="n">
        <v>0</v>
      </c>
      <c r="K41" s="18" t="n">
        <v>0</v>
      </c>
      <c r="L41" s="20" t="n">
        <v>0</v>
      </c>
      <c r="M41" s="18" t="n">
        <v>0</v>
      </c>
      <c r="N41" s="20" t="n">
        <v>0</v>
      </c>
      <c r="O41" s="18" t="n">
        <v>0</v>
      </c>
      <c r="P41" s="20" t="n">
        <v>0</v>
      </c>
      <c r="Q41" s="18" t="n">
        <v>1.23756181</v>
      </c>
      <c r="R41" s="20" t="n">
        <v>0.59093472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(20905.0/B46*100)</f>
        <v/>
      </c>
      <c r="D46" s="19" t="n">
        <v>2236</v>
      </c>
      <c r="E46" s="18" t="n">
        <v>58.23424351</v>
      </c>
      <c r="F46" s="20" t="n">
        <v>1.50569521</v>
      </c>
      <c r="G46" s="18" t="n">
        <v>38.68578336</v>
      </c>
      <c r="H46" s="20" t="n">
        <v>1.47599938</v>
      </c>
      <c r="I46" s="18" t="n">
        <v>0</v>
      </c>
      <c r="J46" s="20" t="n">
        <v>0</v>
      </c>
      <c r="K46" s="18" t="n">
        <v>0.35492372</v>
      </c>
      <c r="L46" s="20" t="n">
        <v>0.16149752</v>
      </c>
      <c r="M46" s="18" t="n">
        <v>0</v>
      </c>
      <c r="N46" s="20" t="n">
        <v>0</v>
      </c>
      <c r="O46" s="18" t="n">
        <v>0</v>
      </c>
      <c r="P46" s="20" t="n">
        <v>0</v>
      </c>
      <c r="Q46" s="18" t="n">
        <v>2.72504942</v>
      </c>
      <c r="R46" s="20" t="n">
        <v>0.45457461</v>
      </c>
    </row>
    <row r="47" spans="1:18">
      <c r="A47" s="15" t="s">
        <v>606</v>
      </c>
      <c r="B47" s="17" t="n">
        <v>5928</v>
      </c>
      <c r="C47" s="18">
        <f>(5251.0/B47*100)</f>
        <v/>
      </c>
      <c r="D47" s="19" t="n">
        <v>677</v>
      </c>
      <c r="E47" s="18" t="n">
        <v>37.07120733</v>
      </c>
      <c r="F47" s="20" t="n">
        <v>1.84413537</v>
      </c>
      <c r="G47" s="18" t="n">
        <v>57.62292752</v>
      </c>
      <c r="H47" s="20" t="n">
        <v>2.09015593</v>
      </c>
      <c r="I47" s="18" t="n">
        <v>0</v>
      </c>
      <c r="J47" s="20" t="n">
        <v>0</v>
      </c>
      <c r="K47" s="18" t="n">
        <v>0.15194514</v>
      </c>
      <c r="L47" s="20" t="n">
        <v>0.21562862</v>
      </c>
      <c r="M47" s="18" t="n">
        <v>0</v>
      </c>
      <c r="N47" s="20" t="n">
        <v>0</v>
      </c>
      <c r="O47" s="18" t="n">
        <v>0</v>
      </c>
      <c r="P47" s="20" t="n">
        <v>0</v>
      </c>
      <c r="Q47" s="18" t="n">
        <v>5.15392002</v>
      </c>
      <c r="R47" s="20" t="n">
        <v>0.96470965</v>
      </c>
    </row>
    <row r="48" spans="1:18">
      <c r="A48" s="15" t="s">
        <v>607</v>
      </c>
      <c r="B48" s="17" t="n">
        <v>9841</v>
      </c>
      <c r="C48" s="18">
        <f>(8725.0/B48*100)</f>
        <v/>
      </c>
      <c r="D48" s="19" t="n">
        <v>1116</v>
      </c>
      <c r="E48" s="18" t="n">
        <v>46.02213609</v>
      </c>
      <c r="F48" s="20" t="n">
        <v>2.08775369</v>
      </c>
      <c r="G48" s="18" t="n">
        <v>52.0736667</v>
      </c>
      <c r="H48" s="20" t="n">
        <v>2.15073494</v>
      </c>
      <c r="I48" s="18" t="n">
        <v>0</v>
      </c>
      <c r="J48" s="20" t="n">
        <v>0</v>
      </c>
      <c r="K48" s="18" t="n">
        <v>0.27191598</v>
      </c>
      <c r="L48" s="20" t="n">
        <v>0.21840466</v>
      </c>
      <c r="M48" s="18" t="n">
        <v>0</v>
      </c>
      <c r="N48" s="20" t="n">
        <v>0</v>
      </c>
      <c r="O48" s="18" t="n">
        <v>0</v>
      </c>
      <c r="P48" s="20" t="n">
        <v>0</v>
      </c>
      <c r="Q48" s="18" t="n">
        <v>1.63228123</v>
      </c>
      <c r="R48" s="20" t="n">
        <v>0.50175137</v>
      </c>
    </row>
    <row r="49" spans="1:18">
      <c r="A49" s="15" t="s">
        <v>608</v>
      </c>
      <c r="B49" s="17" t="n">
        <v>11795</v>
      </c>
      <c r="C49" s="18">
        <f>(10458.0/B49*100)</f>
        <v/>
      </c>
      <c r="D49" s="19" t="n">
        <v>1337</v>
      </c>
      <c r="E49" s="18" t="n">
        <v>65.50210092</v>
      </c>
      <c r="F49" s="20" t="n">
        <v>1.90460107</v>
      </c>
      <c r="G49" s="18" t="n">
        <v>30.79682298</v>
      </c>
      <c r="H49" s="20" t="n">
        <v>1.76203544</v>
      </c>
      <c r="I49" s="18" t="n">
        <v>0</v>
      </c>
      <c r="J49" s="20" t="n">
        <v>0</v>
      </c>
      <c r="K49" s="18" t="n">
        <v>0.60818169</v>
      </c>
      <c r="L49" s="20" t="n">
        <v>0.38394498</v>
      </c>
      <c r="M49" s="18" t="n">
        <v>0</v>
      </c>
      <c r="N49" s="20" t="n">
        <v>0</v>
      </c>
      <c r="O49" s="18" t="n">
        <v>0</v>
      </c>
      <c r="P49" s="20" t="n">
        <v>0</v>
      </c>
      <c r="Q49" s="18" t="n">
        <v>3.09289441</v>
      </c>
      <c r="R49" s="20" t="n">
        <v>0.58817427</v>
      </c>
    </row>
    <row r="50" spans="1:18">
      <c r="A50" s="15" t="s">
        <v>609</v>
      </c>
      <c r="B50" s="17" t="n">
        <v>6866</v>
      </c>
      <c r="C50" s="18">
        <f>(6201.0/B50*100)</f>
        <v/>
      </c>
      <c r="D50" s="19" t="n">
        <v>665</v>
      </c>
      <c r="E50" s="18" t="n">
        <v>63.39679955</v>
      </c>
      <c r="F50" s="20" t="n">
        <v>2.42745245</v>
      </c>
      <c r="G50" s="18" t="n">
        <v>34.85263849</v>
      </c>
      <c r="H50" s="20" t="n">
        <v>2.35469167</v>
      </c>
      <c r="I50" s="18" t="n">
        <v>0</v>
      </c>
      <c r="J50" s="20" t="n">
        <v>0</v>
      </c>
      <c r="K50" s="18" t="n">
        <v>0</v>
      </c>
      <c r="L50" s="20" t="n">
        <v>0</v>
      </c>
      <c r="M50" s="18" t="n">
        <v>0</v>
      </c>
      <c r="N50" s="20" t="n">
        <v>0</v>
      </c>
      <c r="O50" s="18" t="n">
        <v>0</v>
      </c>
      <c r="P50" s="20" t="n">
        <v>0</v>
      </c>
      <c r="Q50" s="18" t="n">
        <v>1.75056196</v>
      </c>
      <c r="R50" s="20" t="n">
        <v>0.46910166</v>
      </c>
    </row>
    <row r="51" spans="1:18">
      <c r="A51" s="15" t="s">
        <v>610</v>
      </c>
      <c r="B51" s="17" t="n">
        <v>5809</v>
      </c>
      <c r="C51" s="18">
        <f>(5127.0/B51*100)</f>
        <v/>
      </c>
      <c r="D51" s="19" t="n">
        <v>682</v>
      </c>
      <c r="E51" s="18" t="n">
        <v>46.27142998</v>
      </c>
      <c r="F51" s="20" t="n">
        <v>2.12845077</v>
      </c>
      <c r="G51" s="18" t="n">
        <v>51.1558804</v>
      </c>
      <c r="H51" s="20" t="n">
        <v>2.2426987</v>
      </c>
      <c r="I51" s="18" t="n">
        <v>0</v>
      </c>
      <c r="J51" s="20" t="n">
        <v>0</v>
      </c>
      <c r="K51" s="18" t="n">
        <v>0</v>
      </c>
      <c r="L51" s="20" t="n">
        <v>0</v>
      </c>
      <c r="M51" s="18" t="n">
        <v>0</v>
      </c>
      <c r="N51" s="20" t="n">
        <v>0</v>
      </c>
      <c r="O51" s="18" t="n">
        <v>0</v>
      </c>
      <c r="P51" s="20" t="n">
        <v>0</v>
      </c>
      <c r="Q51" s="18" t="n">
        <v>2.57268962</v>
      </c>
      <c r="R51" s="20" t="n">
        <v>0.57235386</v>
      </c>
    </row>
    <row r="52" spans="1:18">
      <c r="A52" s="15" t="s">
        <v>611</v>
      </c>
      <c r="B52" s="17" t="n">
        <v>5571</v>
      </c>
      <c r="C52" s="18">
        <f>(4959.0/B52*100)</f>
        <v/>
      </c>
      <c r="D52" s="19" t="n">
        <v>612</v>
      </c>
      <c r="E52" s="18" t="n">
        <v>53.69705049</v>
      </c>
      <c r="F52" s="20" t="n">
        <v>2.17121328</v>
      </c>
      <c r="G52" s="18" t="n">
        <v>41.44939521</v>
      </c>
      <c r="H52" s="20" t="n">
        <v>2.14300098</v>
      </c>
      <c r="I52" s="18" t="n">
        <v>0</v>
      </c>
      <c r="J52" s="20" t="n">
        <v>0</v>
      </c>
      <c r="K52" s="18" t="n">
        <v>0.30070166</v>
      </c>
      <c r="L52" s="20" t="n">
        <v>0.29712004</v>
      </c>
      <c r="M52" s="18" t="n">
        <v>0</v>
      </c>
      <c r="N52" s="20" t="n">
        <v>0</v>
      </c>
      <c r="O52" s="18" t="n">
        <v>0</v>
      </c>
      <c r="P52" s="20" t="n">
        <v>0</v>
      </c>
      <c r="Q52" s="18" t="n">
        <v>4.55285264</v>
      </c>
      <c r="R52" s="20" t="n">
        <v>0.80205983</v>
      </c>
    </row>
    <row r="53" spans="1:18">
      <c r="A53" s="15" t="s">
        <v>612</v>
      </c>
      <c r="B53" s="17" t="n">
        <v>4740</v>
      </c>
      <c r="C53" s="18">
        <f>(4243.0/B53*100)</f>
        <v/>
      </c>
      <c r="D53" s="19" t="n">
        <v>497</v>
      </c>
      <c r="E53" s="18" t="n">
        <v>65.06624694999999</v>
      </c>
      <c r="F53" s="20" t="n">
        <v>2.31240287</v>
      </c>
      <c r="G53" s="18" t="n">
        <v>18.79903674</v>
      </c>
      <c r="H53" s="20" t="n">
        <v>1.81326938</v>
      </c>
      <c r="I53" s="18" t="n">
        <v>0</v>
      </c>
      <c r="J53" s="20" t="n">
        <v>0</v>
      </c>
      <c r="K53" s="18" t="n">
        <v>7.95849276</v>
      </c>
      <c r="L53" s="20" t="n">
        <v>1.29177883</v>
      </c>
      <c r="M53" s="18" t="n">
        <v>0</v>
      </c>
      <c r="N53" s="20" t="n">
        <v>0</v>
      </c>
      <c r="O53" s="18" t="n">
        <v>0</v>
      </c>
      <c r="P53" s="20" t="n">
        <v>0</v>
      </c>
      <c r="Q53" s="18" t="n">
        <v>8.17622355</v>
      </c>
      <c r="R53" s="20" t="n">
        <v>1.46106154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(4750.0/B55*100)</f>
        <v/>
      </c>
      <c r="D55" s="19" t="n">
        <v>609</v>
      </c>
      <c r="E55" s="18" t="n">
        <v>50.50423853</v>
      </c>
      <c r="F55" s="20" t="n">
        <v>2.1143656</v>
      </c>
      <c r="G55" s="18" t="n">
        <v>48.36954213</v>
      </c>
      <c r="H55" s="20" t="n">
        <v>2.02371129</v>
      </c>
      <c r="I55" s="18" t="n">
        <v>0</v>
      </c>
      <c r="J55" s="20" t="n">
        <v>0</v>
      </c>
      <c r="K55" s="18" t="n">
        <v>0.35548538</v>
      </c>
      <c r="L55" s="20" t="n">
        <v>0.23113715</v>
      </c>
      <c r="M55" s="18" t="n">
        <v>0</v>
      </c>
      <c r="N55" s="20" t="n">
        <v>0</v>
      </c>
      <c r="O55" s="18" t="n">
        <v>0</v>
      </c>
      <c r="P55" s="20" t="n">
        <v>0</v>
      </c>
      <c r="Q55" s="18" t="n">
        <v>0.77073395</v>
      </c>
      <c r="R55" s="20" t="n">
        <v>0.41392963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(5768.0/B61*100)</f>
        <v/>
      </c>
      <c r="D61" s="19" t="n">
        <v>757</v>
      </c>
      <c r="E61" s="18" t="n">
        <v>34.44128092</v>
      </c>
      <c r="F61" s="20" t="n">
        <v>1.97159113</v>
      </c>
      <c r="G61" s="18" t="n">
        <v>63.77574125</v>
      </c>
      <c r="H61" s="20" t="n">
        <v>2.05123162</v>
      </c>
      <c r="I61" s="18" t="n">
        <v>0</v>
      </c>
      <c r="J61" s="20" t="n">
        <v>0</v>
      </c>
      <c r="K61" s="18" t="n">
        <v>0</v>
      </c>
      <c r="L61" s="20" t="n">
        <v>0</v>
      </c>
      <c r="M61" s="18" t="n">
        <v>0</v>
      </c>
      <c r="N61" s="20" t="n">
        <v>0</v>
      </c>
      <c r="O61" s="18" t="n">
        <v>0</v>
      </c>
      <c r="P61" s="20" t="n">
        <v>0</v>
      </c>
      <c r="Q61" s="18" t="n">
        <v>1.78297783</v>
      </c>
      <c r="R61" s="20" t="n">
        <v>0.5978022</v>
      </c>
    </row>
    <row r="62" spans="1:18">
      <c r="A62" s="15" t="s">
        <v>622</v>
      </c>
      <c r="B62" s="17" t="n">
        <v>4476</v>
      </c>
      <c r="C62" s="18">
        <f>(3981.0/B62*100)</f>
        <v/>
      </c>
      <c r="D62" s="19" t="n">
        <v>495</v>
      </c>
      <c r="E62" s="18" t="n">
        <v>45.278187</v>
      </c>
      <c r="F62" s="20" t="n">
        <v>2.18287439</v>
      </c>
      <c r="G62" s="18" t="n">
        <v>54.51623641</v>
      </c>
      <c r="H62" s="20" t="n">
        <v>2.18390934</v>
      </c>
      <c r="I62" s="18" t="n">
        <v>0</v>
      </c>
      <c r="J62" s="20" t="n">
        <v>0</v>
      </c>
      <c r="K62" s="18" t="n">
        <v>0</v>
      </c>
      <c r="L62" s="20" t="n">
        <v>0</v>
      </c>
      <c r="M62" s="18" t="n">
        <v>0</v>
      </c>
      <c r="N62" s="20" t="n">
        <v>0</v>
      </c>
      <c r="O62" s="18" t="n">
        <v>0</v>
      </c>
      <c r="P62" s="20" t="n">
        <v>0</v>
      </c>
      <c r="Q62" s="18" t="n">
        <v>0.20557659</v>
      </c>
      <c r="R62" s="20" t="n">
        <v>0.20604252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(5035.0/B67*100)</f>
        <v/>
      </c>
      <c r="D67" s="19" t="n">
        <v>630</v>
      </c>
      <c r="E67" s="18" t="n">
        <v>51.90538771</v>
      </c>
      <c r="F67" s="20" t="n">
        <v>2.10870826</v>
      </c>
      <c r="G67" s="18" t="n">
        <v>40.97642441</v>
      </c>
      <c r="H67" s="20" t="n">
        <v>1.97721117</v>
      </c>
      <c r="I67" s="18" t="n">
        <v>0</v>
      </c>
      <c r="J67" s="20" t="n">
        <v>0</v>
      </c>
      <c r="K67" s="18" t="n">
        <v>0</v>
      </c>
      <c r="L67" s="20" t="n">
        <v>0</v>
      </c>
      <c r="M67" s="18" t="n">
        <v>0</v>
      </c>
      <c r="N67" s="20" t="n">
        <v>0</v>
      </c>
      <c r="O67" s="18" t="n">
        <v>0</v>
      </c>
      <c r="P67" s="20" t="n">
        <v>0</v>
      </c>
      <c r="Q67" s="18" t="n">
        <v>7.11818788</v>
      </c>
      <c r="R67" s="20" t="n">
        <v>0.9588327</v>
      </c>
    </row>
    <row r="68" spans="1:18">
      <c r="A68" s="15" t="s">
        <v>628</v>
      </c>
      <c r="B68" s="17" t="n">
        <v>6971</v>
      </c>
      <c r="C68" s="18">
        <f>(6244.0/B68*100)</f>
        <v/>
      </c>
      <c r="D68" s="19" t="n">
        <v>727</v>
      </c>
      <c r="E68" s="18" t="n">
        <v>59.7598255</v>
      </c>
      <c r="F68" s="20" t="n">
        <v>1.74122675</v>
      </c>
      <c r="G68" s="18" t="n">
        <v>37.70412578</v>
      </c>
      <c r="H68" s="20" t="n">
        <v>1.73277347</v>
      </c>
      <c r="I68" s="18" t="n">
        <v>0</v>
      </c>
      <c r="J68" s="20" t="n">
        <v>0</v>
      </c>
      <c r="K68" s="18" t="n">
        <v>0.22020404</v>
      </c>
      <c r="L68" s="20" t="n">
        <v>0.22472917</v>
      </c>
      <c r="M68" s="18" t="n">
        <v>0</v>
      </c>
      <c r="N68" s="20" t="n">
        <v>0</v>
      </c>
      <c r="O68" s="18" t="n">
        <v>0</v>
      </c>
      <c r="P68" s="20" t="n">
        <v>0</v>
      </c>
      <c r="Q68" s="18" t="n">
        <v>2.31584468</v>
      </c>
      <c r="R68" s="20" t="n">
        <v>0.58929295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(10791.0/B70*100)</f>
        <v/>
      </c>
      <c r="D70" s="19" t="n">
        <v>1292</v>
      </c>
      <c r="E70" s="18" t="n">
        <v>51.57566885</v>
      </c>
      <c r="F70" s="20" t="n">
        <v>1.33435584</v>
      </c>
      <c r="G70" s="18" t="n">
        <v>40.67892575</v>
      </c>
      <c r="H70" s="20" t="n">
        <v>1.35638651</v>
      </c>
      <c r="I70" s="18" t="n">
        <v>0</v>
      </c>
      <c r="J70" s="20" t="n">
        <v>0</v>
      </c>
      <c r="K70" s="18" t="n">
        <v>1.44589116</v>
      </c>
      <c r="L70" s="20" t="n">
        <v>0.36577175</v>
      </c>
      <c r="M70" s="18" t="n">
        <v>0</v>
      </c>
      <c r="N70" s="20" t="n">
        <v>0</v>
      </c>
      <c r="O70" s="18" t="n">
        <v>0</v>
      </c>
      <c r="P70" s="20" t="n">
        <v>0</v>
      </c>
      <c r="Q70" s="18" t="n">
        <v>6.29951424</v>
      </c>
      <c r="R70" s="20" t="n">
        <v>0.75965227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(5335.0/B72*100)</f>
        <v/>
      </c>
      <c r="D72" s="19" t="n">
        <v>701</v>
      </c>
      <c r="E72" s="18" t="n">
        <v>40.53321534</v>
      </c>
      <c r="F72" s="20" t="n">
        <v>2.19817067</v>
      </c>
      <c r="G72" s="18" t="n">
        <v>57.49090538</v>
      </c>
      <c r="H72" s="20" t="n">
        <v>2.21838608</v>
      </c>
      <c r="I72" s="18" t="n">
        <v>0</v>
      </c>
      <c r="J72" s="20" t="n">
        <v>0</v>
      </c>
      <c r="K72" s="18" t="n">
        <v>0</v>
      </c>
      <c r="L72" s="20" t="n">
        <v>0</v>
      </c>
      <c r="M72" s="18" t="n">
        <v>0</v>
      </c>
      <c r="N72" s="20" t="n">
        <v>0</v>
      </c>
      <c r="O72" s="18" t="n">
        <v>0</v>
      </c>
      <c r="P72" s="20" t="n">
        <v>0</v>
      </c>
      <c r="Q72" s="18" t="n">
        <v>1.97587927</v>
      </c>
      <c r="R72" s="20" t="n">
        <v>0.85361535</v>
      </c>
    </row>
    <row r="73" spans="1:18">
      <c r="A73" s="15" t="s">
        <v>633</v>
      </c>
      <c r="B73" s="17" t="n">
        <v>6115</v>
      </c>
      <c r="C73" s="18">
        <f>(5455.0/B73*100)</f>
        <v/>
      </c>
      <c r="D73" s="19" t="n">
        <v>660</v>
      </c>
      <c r="E73" s="18" t="n">
        <v>28.28967768</v>
      </c>
      <c r="F73" s="20" t="n">
        <v>1.67345222</v>
      </c>
      <c r="G73" s="18" t="n">
        <v>70.55875367</v>
      </c>
      <c r="H73" s="20" t="n">
        <v>1.66562055</v>
      </c>
      <c r="I73" s="18" t="n">
        <v>0</v>
      </c>
      <c r="J73" s="20" t="n">
        <v>0</v>
      </c>
      <c r="K73" s="18" t="n">
        <v>0.31026694</v>
      </c>
      <c r="L73" s="20" t="n">
        <v>0.22135366</v>
      </c>
      <c r="M73" s="18" t="n">
        <v>0</v>
      </c>
      <c r="N73" s="20" t="n">
        <v>0</v>
      </c>
      <c r="O73" s="18" t="n">
        <v>0</v>
      </c>
      <c r="P73" s="20" t="n">
        <v>0</v>
      </c>
      <c r="Q73" s="18" t="n">
        <v>0.84130171</v>
      </c>
      <c r="R73" s="20" t="n">
        <v>0.34368907</v>
      </c>
    </row>
    <row r="74" spans="1:18">
      <c r="A74" s="15" t="s">
        <v>634</v>
      </c>
      <c r="B74" s="17" t="n">
        <v>7708</v>
      </c>
      <c r="C74" s="18">
        <f>(6876.0/B74*100)</f>
        <v/>
      </c>
      <c r="D74" s="19" t="n">
        <v>832</v>
      </c>
      <c r="E74" s="18" t="n">
        <v>48.06830647</v>
      </c>
      <c r="F74" s="20" t="n">
        <v>1.77433075</v>
      </c>
      <c r="G74" s="18" t="n">
        <v>50.12250864</v>
      </c>
      <c r="H74" s="20" t="n">
        <v>1.65426071</v>
      </c>
      <c r="I74" s="18" t="n">
        <v>0</v>
      </c>
      <c r="J74" s="20" t="n">
        <v>0</v>
      </c>
      <c r="K74" s="18" t="n">
        <v>0</v>
      </c>
      <c r="L74" s="20" t="n">
        <v>0</v>
      </c>
      <c r="M74" s="18" t="n">
        <v>0</v>
      </c>
      <c r="N74" s="20" t="n">
        <v>0</v>
      </c>
      <c r="O74" s="18" t="n">
        <v>0</v>
      </c>
      <c r="P74" s="20" t="n">
        <v>0</v>
      </c>
      <c r="Q74" s="18" t="n">
        <v>1.80918489</v>
      </c>
      <c r="R74" s="20" t="n">
        <v>0.59566285</v>
      </c>
    </row>
    <row r="75" spans="1:18">
      <c r="A75" s="15" t="s">
        <v>635</v>
      </c>
      <c r="B75" s="17" t="n">
        <v>8249</v>
      </c>
      <c r="C75" s="18">
        <f>(7337.0/B75*100)</f>
        <v/>
      </c>
      <c r="D75" s="19" t="n">
        <v>912</v>
      </c>
      <c r="E75" s="18" t="n">
        <v>60.50844149</v>
      </c>
      <c r="F75" s="20" t="n">
        <v>2.0497995</v>
      </c>
      <c r="G75" s="18" t="n">
        <v>38.1075687</v>
      </c>
      <c r="H75" s="20" t="n">
        <v>1.997607</v>
      </c>
      <c r="I75" s="18" t="n">
        <v>0</v>
      </c>
      <c r="J75" s="20" t="n">
        <v>0</v>
      </c>
      <c r="K75" s="18" t="n">
        <v>0</v>
      </c>
      <c r="L75" s="20" t="n">
        <v>0</v>
      </c>
      <c r="M75" s="18" t="n">
        <v>0</v>
      </c>
      <c r="N75" s="20" t="n">
        <v>0</v>
      </c>
      <c r="O75" s="18" t="n">
        <v>0</v>
      </c>
      <c r="P75" s="20" t="n">
        <v>0</v>
      </c>
      <c r="Q75" s="18" t="n">
        <v>1.3839898</v>
      </c>
      <c r="R75" s="20" t="n">
        <v>0.44681306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(4819.0/B77*100)</f>
        <v/>
      </c>
      <c r="D77" s="19" t="n">
        <v>556</v>
      </c>
      <c r="E77" s="18" t="n">
        <v>65.87999918</v>
      </c>
      <c r="F77" s="20" t="n">
        <v>1.98237281</v>
      </c>
      <c r="G77" s="18" t="n">
        <v>26.21214166</v>
      </c>
      <c r="H77" s="20" t="n">
        <v>2.09593527</v>
      </c>
      <c r="I77" s="18" t="n">
        <v>0</v>
      </c>
      <c r="J77" s="20" t="n">
        <v>0</v>
      </c>
      <c r="K77" s="18" t="n">
        <v>1.94904952</v>
      </c>
      <c r="L77" s="20" t="n">
        <v>0.57937461</v>
      </c>
      <c r="M77" s="18" t="n">
        <v>0</v>
      </c>
      <c r="N77" s="20" t="n">
        <v>0</v>
      </c>
      <c r="O77" s="18" t="n">
        <v>0</v>
      </c>
      <c r="P77" s="20" t="n">
        <v>0</v>
      </c>
      <c r="Q77" s="18" t="n">
        <v>5.95880964</v>
      </c>
      <c r="R77" s="20" t="n">
        <v>0.91691921</v>
      </c>
    </row>
    <row r="78" spans="1:18">
      <c r="A78" s="15" t="s">
        <v>638</v>
      </c>
      <c r="B78" s="17" t="n">
        <v>14167</v>
      </c>
      <c r="C78" s="18">
        <f>(12623.0/B78*100)</f>
        <v/>
      </c>
      <c r="D78" s="19" t="n">
        <v>1544</v>
      </c>
      <c r="E78" s="18" t="n">
        <v>51.86285824</v>
      </c>
      <c r="F78" s="20" t="n">
        <v>1.42375171</v>
      </c>
      <c r="G78" s="18" t="n">
        <v>44.89627434</v>
      </c>
      <c r="H78" s="20" t="n">
        <v>1.34165585</v>
      </c>
      <c r="I78" s="18" t="n">
        <v>0</v>
      </c>
      <c r="J78" s="20" t="n">
        <v>0</v>
      </c>
      <c r="K78" s="18" t="n">
        <v>0.30773293</v>
      </c>
      <c r="L78" s="20" t="n">
        <v>0.14779985</v>
      </c>
      <c r="M78" s="18" t="n">
        <v>0</v>
      </c>
      <c r="N78" s="20" t="n">
        <v>0</v>
      </c>
      <c r="O78" s="18" t="n">
        <v>0</v>
      </c>
      <c r="P78" s="20" t="n">
        <v>0</v>
      </c>
      <c r="Q78" s="18" t="n">
        <v>2.9331345</v>
      </c>
      <c r="R78" s="20" t="n">
        <v>0.5050882</v>
      </c>
    </row>
    <row r="79" spans="1:18">
      <c r="A79" s="15" t="s">
        <v>639</v>
      </c>
      <c r="B79" s="17" t="n">
        <v>6062</v>
      </c>
      <c r="C79" s="18">
        <f>(5424.0/B79*100)</f>
        <v/>
      </c>
      <c r="D79" s="19" t="n">
        <v>638</v>
      </c>
      <c r="E79" s="18" t="n">
        <v>53.51701294</v>
      </c>
      <c r="F79" s="20" t="n">
        <v>2.02763208</v>
      </c>
      <c r="G79" s="18" t="n">
        <v>41.19778438</v>
      </c>
      <c r="H79" s="20" t="n">
        <v>2.07319988</v>
      </c>
      <c r="I79" s="18" t="n">
        <v>0</v>
      </c>
      <c r="J79" s="20" t="n">
        <v>0</v>
      </c>
      <c r="K79" s="18" t="n">
        <v>0.45293015</v>
      </c>
      <c r="L79" s="20" t="n">
        <v>0.28582177</v>
      </c>
      <c r="M79" s="18" t="n">
        <v>0</v>
      </c>
      <c r="N79" s="20" t="n">
        <v>0</v>
      </c>
      <c r="O79" s="18" t="n">
        <v>0</v>
      </c>
      <c r="P79" s="20" t="n">
        <v>0</v>
      </c>
      <c r="Q79" s="18" t="n">
        <v>4.83227253</v>
      </c>
      <c r="R79" s="20" t="n">
        <v>0.94105405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(28794.0/B82*100)</f>
        <v/>
      </c>
      <c r="D82" s="19" t="n">
        <v>3536</v>
      </c>
      <c r="E82" s="18" t="n">
        <v>42.07591899</v>
      </c>
      <c r="F82" s="20" t="n">
        <v>1.30601306</v>
      </c>
      <c r="G82" s="18" t="n">
        <v>54.50267891</v>
      </c>
      <c r="H82" s="20" t="n">
        <v>1.20550734</v>
      </c>
      <c r="I82" s="18" t="n">
        <v>0</v>
      </c>
      <c r="J82" s="20" t="n">
        <v>0</v>
      </c>
      <c r="K82" s="18" t="n">
        <v>0.13035308</v>
      </c>
      <c r="L82" s="20" t="n">
        <v>0.06697978</v>
      </c>
      <c r="M82" s="18" t="n">
        <v>0</v>
      </c>
      <c r="N82" s="20" t="n">
        <v>0</v>
      </c>
      <c r="O82" s="18" t="n">
        <v>0</v>
      </c>
      <c r="P82" s="20" t="n">
        <v>0</v>
      </c>
      <c r="Q82" s="18" t="n">
        <v>3.29104903</v>
      </c>
      <c r="R82" s="20" t="n">
        <v>0.43074616</v>
      </c>
    </row>
    <row r="83" spans="1:18">
      <c r="A83" s="15" t="s">
        <v>643</v>
      </c>
      <c r="B83" s="17" t="n">
        <v>1652</v>
      </c>
      <c r="C83" s="18">
        <f>(1472.0/B83*100)</f>
        <v/>
      </c>
      <c r="D83" s="19" t="n">
        <v>180</v>
      </c>
      <c r="E83" s="18" t="n">
        <v>43.74583692</v>
      </c>
      <c r="F83" s="20" t="n">
        <v>3.23758455</v>
      </c>
      <c r="G83" s="18" t="n">
        <v>54.82494073</v>
      </c>
      <c r="H83" s="20" t="n">
        <v>3.3632766</v>
      </c>
      <c r="I83" s="18" t="n">
        <v>0</v>
      </c>
      <c r="J83" s="20" t="n">
        <v>0</v>
      </c>
      <c r="K83" s="18" t="n">
        <v>0</v>
      </c>
      <c r="L83" s="20" t="n">
        <v>0</v>
      </c>
      <c r="M83" s="18" t="n">
        <v>0</v>
      </c>
      <c r="N83" s="20" t="n">
        <v>0</v>
      </c>
      <c r="O83" s="18" t="n">
        <v>0</v>
      </c>
      <c r="P83" s="20" t="n">
        <v>0</v>
      </c>
      <c r="Q83" s="18" t="n">
        <v>1.42922235</v>
      </c>
      <c r="R83" s="20" t="n">
        <v>0.78964664</v>
      </c>
    </row>
    <row r="84" spans="1:18">
      <c r="A84" s="23" t="s">
        <v>644</v>
      </c>
      <c r="B84" s="24" t="n">
        <v>1887</v>
      </c>
      <c r="C84" s="25">
        <f>(1675.0/B84*100)</f>
        <v/>
      </c>
      <c r="D84" s="19" t="n">
        <v>212</v>
      </c>
      <c r="E84" s="18" t="n">
        <v>47.91542813</v>
      </c>
      <c r="F84" s="20" t="n">
        <v>3.46163436</v>
      </c>
      <c r="G84" s="18" t="n">
        <v>50.18550919</v>
      </c>
      <c r="H84" s="20" t="n">
        <v>3.74054859</v>
      </c>
      <c r="I84" s="18" t="n">
        <v>0</v>
      </c>
      <c r="J84" s="20" t="n">
        <v>0</v>
      </c>
      <c r="K84" s="18" t="n">
        <v>0</v>
      </c>
      <c r="L84" s="20" t="n">
        <v>0</v>
      </c>
      <c r="M84" s="18" t="n">
        <v>0</v>
      </c>
      <c r="N84" s="20" t="n">
        <v>0</v>
      </c>
      <c r="O84" s="18" t="n">
        <v>0</v>
      </c>
      <c r="P84" s="20" t="n">
        <v>0</v>
      </c>
      <c r="Q84" s="18" t="n">
        <v>1.89906268</v>
      </c>
      <c r="R84" s="20" t="n">
        <v>0.9784348899999999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(12960.0/B7*100)</f>
        <v/>
      </c>
      <c r="D7" s="19" t="n">
        <v>1570</v>
      </c>
      <c r="E7" s="18" t="n">
        <v>74.63433874</v>
      </c>
      <c r="F7" s="20" t="n">
        <v>1.41034959</v>
      </c>
      <c r="G7" s="18" t="n">
        <v>24.66042155</v>
      </c>
      <c r="H7" s="20" t="n">
        <v>1.41622324</v>
      </c>
      <c r="I7" s="18" t="n">
        <v>0</v>
      </c>
      <c r="J7" s="20" t="n">
        <v>0</v>
      </c>
      <c r="K7" s="18" t="n">
        <v>0.14107196</v>
      </c>
      <c r="L7" s="20" t="n">
        <v>0.11021486</v>
      </c>
      <c r="M7" s="18" t="n">
        <v>0</v>
      </c>
      <c r="N7" s="20" t="n">
        <v>0</v>
      </c>
      <c r="O7" s="18" t="n">
        <v>0</v>
      </c>
      <c r="P7" s="20" t="n">
        <v>0</v>
      </c>
      <c r="Q7" s="18" t="n">
        <v>0.56416775</v>
      </c>
      <c r="R7" s="20" t="n">
        <v>0.22764942</v>
      </c>
    </row>
    <row r="8" spans="1:18">
      <c r="A8" s="15" t="s">
        <v>566</v>
      </c>
      <c r="B8" s="17" t="n">
        <v>7007</v>
      </c>
      <c r="C8" s="18">
        <f>(6232.0/B8*100)</f>
        <v/>
      </c>
      <c r="D8" s="19" t="n">
        <v>775</v>
      </c>
      <c r="E8" s="18" t="n">
        <v>73.16246416</v>
      </c>
      <c r="F8" s="20" t="n">
        <v>1.85701029</v>
      </c>
      <c r="G8" s="18" t="n">
        <v>26.02003835</v>
      </c>
      <c r="H8" s="20" t="n">
        <v>1.85852645</v>
      </c>
      <c r="I8" s="18" t="n">
        <v>0</v>
      </c>
      <c r="J8" s="20" t="n">
        <v>0</v>
      </c>
      <c r="K8" s="18" t="n">
        <v>0.15036701</v>
      </c>
      <c r="L8" s="20" t="n">
        <v>0.17163397</v>
      </c>
      <c r="M8" s="18" t="n">
        <v>0</v>
      </c>
      <c r="N8" s="20" t="n">
        <v>0</v>
      </c>
      <c r="O8" s="18" t="n">
        <v>0</v>
      </c>
      <c r="P8" s="20" t="n">
        <v>0</v>
      </c>
      <c r="Q8" s="18" t="n">
        <v>0.66713048</v>
      </c>
      <c r="R8" s="20" t="n">
        <v>0.29906116</v>
      </c>
    </row>
    <row r="9" spans="1:18">
      <c r="A9" s="15" t="s">
        <v>567</v>
      </c>
      <c r="B9" s="17" t="n">
        <v>9651</v>
      </c>
      <c r="C9" s="18">
        <f>(8614.0/B9*100)</f>
        <v/>
      </c>
      <c r="D9" s="19" t="n">
        <v>1037</v>
      </c>
      <c r="E9" s="18" t="n">
        <v>75.18432319</v>
      </c>
      <c r="F9" s="20" t="n">
        <v>1.44388962</v>
      </c>
      <c r="G9" s="18" t="n">
        <v>23.62908397</v>
      </c>
      <c r="H9" s="20" t="n">
        <v>1.38060962</v>
      </c>
      <c r="I9" s="18" t="n">
        <v>0</v>
      </c>
      <c r="J9" s="20" t="n">
        <v>0</v>
      </c>
      <c r="K9" s="18" t="n">
        <v>0</v>
      </c>
      <c r="L9" s="20" t="n">
        <v>0</v>
      </c>
      <c r="M9" s="18" t="n">
        <v>0</v>
      </c>
      <c r="N9" s="20" t="n">
        <v>0</v>
      </c>
      <c r="O9" s="18" t="n">
        <v>0</v>
      </c>
      <c r="P9" s="20" t="n">
        <v>0</v>
      </c>
      <c r="Q9" s="18" t="n">
        <v>1.18659284</v>
      </c>
      <c r="R9" s="20" t="n">
        <v>0.37442372</v>
      </c>
    </row>
    <row r="10" spans="1:18">
      <c r="A10" s="15" t="s">
        <v>568</v>
      </c>
      <c r="B10" s="17" t="n">
        <v>20058</v>
      </c>
      <c r="C10" s="18">
        <f>(17763.0/B10*100)</f>
        <v/>
      </c>
      <c r="D10" s="19" t="n">
        <v>2295</v>
      </c>
      <c r="E10" s="18" t="n">
        <v>73.68825903</v>
      </c>
      <c r="F10" s="20" t="n">
        <v>1.38973563</v>
      </c>
      <c r="G10" s="18" t="n">
        <v>25.18710941</v>
      </c>
      <c r="H10" s="20" t="n">
        <v>1.42536263</v>
      </c>
      <c r="I10" s="18" t="n">
        <v>0</v>
      </c>
      <c r="J10" s="20" t="n">
        <v>0</v>
      </c>
      <c r="K10" s="18" t="n">
        <v>0.42397038</v>
      </c>
      <c r="L10" s="20" t="n">
        <v>0.24008537</v>
      </c>
      <c r="M10" s="18" t="n">
        <v>0</v>
      </c>
      <c r="N10" s="20" t="n">
        <v>0</v>
      </c>
      <c r="O10" s="18" t="n">
        <v>0</v>
      </c>
      <c r="P10" s="20" t="n">
        <v>0</v>
      </c>
      <c r="Q10" s="18" t="n">
        <v>0.7006611700000001</v>
      </c>
      <c r="R10" s="20" t="n">
        <v>0.24905991</v>
      </c>
    </row>
    <row r="11" spans="1:18">
      <c r="A11" s="15" t="s">
        <v>569</v>
      </c>
      <c r="B11" s="17" t="n">
        <v>7053</v>
      </c>
      <c r="C11" s="18">
        <f>(6304.0/B11*100)</f>
        <v/>
      </c>
      <c r="D11" s="19" t="n">
        <v>749</v>
      </c>
      <c r="E11" s="18" t="n">
        <v>88.10232384</v>
      </c>
      <c r="F11" s="20" t="n">
        <v>1.52015388</v>
      </c>
      <c r="G11" s="18" t="n">
        <v>11.01825578</v>
      </c>
      <c r="H11" s="20" t="n">
        <v>1.49325083</v>
      </c>
      <c r="I11" s="18" t="n">
        <v>0</v>
      </c>
      <c r="J11" s="20" t="n">
        <v>0</v>
      </c>
      <c r="K11" s="18" t="n">
        <v>0.50696525</v>
      </c>
      <c r="L11" s="20" t="n">
        <v>0.26474174</v>
      </c>
      <c r="M11" s="18" t="n">
        <v>0</v>
      </c>
      <c r="N11" s="20" t="n">
        <v>0</v>
      </c>
      <c r="O11" s="18" t="n">
        <v>0</v>
      </c>
      <c r="P11" s="20" t="n">
        <v>0</v>
      </c>
      <c r="Q11" s="18" t="n">
        <v>0.37245513</v>
      </c>
      <c r="R11" s="20" t="n">
        <v>0.24467404</v>
      </c>
    </row>
    <row r="12" spans="1:18">
      <c r="A12" s="15" t="s">
        <v>570</v>
      </c>
      <c r="B12" s="17" t="n">
        <v>6894</v>
      </c>
      <c r="C12" s="18">
        <f>(6131.0/B12*100)</f>
        <v/>
      </c>
      <c r="D12" s="19" t="n">
        <v>763</v>
      </c>
      <c r="E12" s="18" t="n">
        <v>66.83597133000001</v>
      </c>
      <c r="F12" s="20" t="n">
        <v>1.92173798</v>
      </c>
      <c r="G12" s="18" t="n">
        <v>32.27222519</v>
      </c>
      <c r="H12" s="20" t="n">
        <v>1.96995344</v>
      </c>
      <c r="I12" s="18" t="n">
        <v>0</v>
      </c>
      <c r="J12" s="20" t="n">
        <v>0</v>
      </c>
      <c r="K12" s="18" t="n">
        <v>0.1195657</v>
      </c>
      <c r="L12" s="20" t="n">
        <v>0.11809678</v>
      </c>
      <c r="M12" s="18" t="n">
        <v>0</v>
      </c>
      <c r="N12" s="20" t="n">
        <v>0</v>
      </c>
      <c r="O12" s="18" t="n">
        <v>0</v>
      </c>
      <c r="P12" s="20" t="n">
        <v>0</v>
      </c>
      <c r="Q12" s="18" t="n">
        <v>0.77223778</v>
      </c>
      <c r="R12" s="20" t="n">
        <v>0.43277496</v>
      </c>
    </row>
    <row r="13" spans="1:18">
      <c r="A13" s="15" t="s">
        <v>571</v>
      </c>
      <c r="B13" s="17" t="n">
        <v>7161</v>
      </c>
      <c r="C13" s="18">
        <f>(6372.0/B13*100)</f>
        <v/>
      </c>
      <c r="D13" s="19" t="n">
        <v>789</v>
      </c>
      <c r="E13" s="18" t="n">
        <v>67.19329293</v>
      </c>
      <c r="F13" s="20" t="n">
        <v>2.05270051</v>
      </c>
      <c r="G13" s="18" t="n">
        <v>32.14643388</v>
      </c>
      <c r="H13" s="20" t="n">
        <v>2.02931448</v>
      </c>
      <c r="I13" s="18" t="n">
        <v>0</v>
      </c>
      <c r="J13" s="20" t="n">
        <v>0</v>
      </c>
      <c r="K13" s="18" t="n">
        <v>0.04064994</v>
      </c>
      <c r="L13" s="20" t="n">
        <v>0.04063376</v>
      </c>
      <c r="M13" s="18" t="n">
        <v>0</v>
      </c>
      <c r="N13" s="20" t="n">
        <v>0</v>
      </c>
      <c r="O13" s="18" t="n">
        <v>0</v>
      </c>
      <c r="P13" s="20" t="n">
        <v>0</v>
      </c>
      <c r="Q13" s="18" t="n">
        <v>0.61962324</v>
      </c>
      <c r="R13" s="20" t="n">
        <v>0.24865693</v>
      </c>
    </row>
    <row r="14" spans="1:18">
      <c r="A14" s="15" t="s">
        <v>572</v>
      </c>
      <c r="B14" s="17" t="n">
        <v>5587</v>
      </c>
      <c r="C14" s="18">
        <f>(4958.0/B14*100)</f>
        <v/>
      </c>
      <c r="D14" s="19" t="n">
        <v>629</v>
      </c>
      <c r="E14" s="18" t="n">
        <v>70.38066670000001</v>
      </c>
      <c r="F14" s="20" t="n">
        <v>1.74092051</v>
      </c>
      <c r="G14" s="18" t="n">
        <v>29.6193333</v>
      </c>
      <c r="H14" s="20" t="n">
        <v>1.74092051</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(5280.0/B15*100)</f>
        <v/>
      </c>
      <c r="D15" s="19" t="n">
        <v>602</v>
      </c>
      <c r="E15" s="18" t="n">
        <v>61.89345011</v>
      </c>
      <c r="F15" s="20" t="n">
        <v>1.96083229</v>
      </c>
      <c r="G15" s="18" t="n">
        <v>38.0358874</v>
      </c>
      <c r="H15" s="20" t="n">
        <v>1.96575359</v>
      </c>
      <c r="I15" s="18" t="n">
        <v>0</v>
      </c>
      <c r="J15" s="20" t="n">
        <v>0</v>
      </c>
      <c r="K15" s="18" t="n">
        <v>0</v>
      </c>
      <c r="L15" s="20" t="n">
        <v>0</v>
      </c>
      <c r="M15" s="18" t="n">
        <v>0</v>
      </c>
      <c r="N15" s="20" t="n">
        <v>0</v>
      </c>
      <c r="O15" s="18" t="n">
        <v>0</v>
      </c>
      <c r="P15" s="20" t="n">
        <v>0</v>
      </c>
      <c r="Q15" s="18" t="n">
        <v>0.07066248999999999</v>
      </c>
      <c r="R15" s="20" t="n">
        <v>0.07005071</v>
      </c>
    </row>
    <row r="16" spans="1:18">
      <c r="A16" s="15" t="s">
        <v>574</v>
      </c>
      <c r="B16" s="17" t="n">
        <v>6108</v>
      </c>
      <c r="C16" s="18">
        <f>(5443.0/B16*100)</f>
        <v/>
      </c>
      <c r="D16" s="19" t="n">
        <v>665</v>
      </c>
      <c r="E16" s="18" t="n">
        <v>85.5936761</v>
      </c>
      <c r="F16" s="20" t="n">
        <v>1.36258029</v>
      </c>
      <c r="G16" s="18" t="n">
        <v>12.35752322</v>
      </c>
      <c r="H16" s="20" t="n">
        <v>1.17548115</v>
      </c>
      <c r="I16" s="18" t="n">
        <v>0</v>
      </c>
      <c r="J16" s="20" t="n">
        <v>0</v>
      </c>
      <c r="K16" s="18" t="n">
        <v>0.47056023</v>
      </c>
      <c r="L16" s="20" t="n">
        <v>0.25990275</v>
      </c>
      <c r="M16" s="18" t="n">
        <v>0</v>
      </c>
      <c r="N16" s="20" t="n">
        <v>0</v>
      </c>
      <c r="O16" s="18" t="n">
        <v>0</v>
      </c>
      <c r="P16" s="20" t="n">
        <v>0</v>
      </c>
      <c r="Q16" s="18" t="n">
        <v>1.57824046</v>
      </c>
      <c r="R16" s="20" t="n">
        <v>0.63670439</v>
      </c>
    </row>
    <row r="17" spans="1:18">
      <c r="A17" s="15" t="s">
        <v>575</v>
      </c>
      <c r="B17" s="17" t="n">
        <v>6504</v>
      </c>
      <c r="C17" s="18">
        <f>(5817.0/B17*100)</f>
        <v/>
      </c>
      <c r="D17" s="19" t="n">
        <v>687</v>
      </c>
      <c r="E17" s="18" t="n">
        <v>71.32978353</v>
      </c>
      <c r="F17" s="20" t="n">
        <v>2.17964837</v>
      </c>
      <c r="G17" s="18" t="n">
        <v>28.28186564</v>
      </c>
      <c r="H17" s="20" t="n">
        <v>2.14392486</v>
      </c>
      <c r="I17" s="18" t="n">
        <v>0</v>
      </c>
      <c r="J17" s="20" t="n">
        <v>0</v>
      </c>
      <c r="K17" s="18" t="n">
        <v>0.15186343</v>
      </c>
      <c r="L17" s="20" t="n">
        <v>0.1502956</v>
      </c>
      <c r="M17" s="18" t="n">
        <v>0</v>
      </c>
      <c r="N17" s="20" t="n">
        <v>0</v>
      </c>
      <c r="O17" s="18" t="n">
        <v>0</v>
      </c>
      <c r="P17" s="20" t="n">
        <v>0</v>
      </c>
      <c r="Q17" s="18" t="n">
        <v>0.23648739</v>
      </c>
      <c r="R17" s="20" t="n">
        <v>0.17344703</v>
      </c>
    </row>
    <row r="18" spans="1:18">
      <c r="A18" s="15" t="s">
        <v>576</v>
      </c>
      <c r="B18" s="17" t="n">
        <v>5532</v>
      </c>
      <c r="C18" s="18">
        <f>(4914.0/B18*100)</f>
        <v/>
      </c>
      <c r="D18" s="19" t="n">
        <v>618</v>
      </c>
      <c r="E18" s="18" t="n">
        <v>81.7192733</v>
      </c>
      <c r="F18" s="20" t="n">
        <v>1.60683479</v>
      </c>
      <c r="G18" s="18" t="n">
        <v>17.23471557</v>
      </c>
      <c r="H18" s="20" t="n">
        <v>1.51995517</v>
      </c>
      <c r="I18" s="18" t="n">
        <v>0</v>
      </c>
      <c r="J18" s="20" t="n">
        <v>0</v>
      </c>
      <c r="K18" s="18" t="n">
        <v>0.13003334</v>
      </c>
      <c r="L18" s="20" t="n">
        <v>0.12590959</v>
      </c>
      <c r="M18" s="18" t="n">
        <v>0</v>
      </c>
      <c r="N18" s="20" t="n">
        <v>0</v>
      </c>
      <c r="O18" s="18" t="n">
        <v>0</v>
      </c>
      <c r="P18" s="20" t="n">
        <v>0</v>
      </c>
      <c r="Q18" s="18" t="n">
        <v>0.91597778</v>
      </c>
      <c r="R18" s="20" t="n">
        <v>0.41477458</v>
      </c>
    </row>
    <row r="19" spans="1:18">
      <c r="A19" s="15" t="s">
        <v>577</v>
      </c>
      <c r="B19" s="17" t="n">
        <v>5658</v>
      </c>
      <c r="C19" s="18">
        <f>(5048.0/B19*100)</f>
        <v/>
      </c>
      <c r="D19" s="19" t="n">
        <v>610</v>
      </c>
      <c r="E19" s="18" t="n">
        <v>87.02684214999999</v>
      </c>
      <c r="F19" s="20" t="n">
        <v>1.47000755</v>
      </c>
      <c r="G19" s="18" t="n">
        <v>12.97315785</v>
      </c>
      <c r="H19" s="20" t="n">
        <v>1.47000755</v>
      </c>
      <c r="I19" s="18" t="n">
        <v>0</v>
      </c>
      <c r="J19" s="20" t="n">
        <v>0</v>
      </c>
      <c r="K19" s="18" t="n">
        <v>0</v>
      </c>
      <c r="L19" s="20" t="n">
        <v>0</v>
      </c>
      <c r="M19" s="18" t="n">
        <v>0</v>
      </c>
      <c r="N19" s="20" t="n">
        <v>0</v>
      </c>
      <c r="O19" s="18" t="n">
        <v>0</v>
      </c>
      <c r="P19" s="20" t="n">
        <v>0</v>
      </c>
      <c r="Q19" s="18" t="n">
        <v>0</v>
      </c>
      <c r="R19" s="20" t="n">
        <v>0</v>
      </c>
    </row>
    <row r="20" spans="1:18">
      <c r="A20" s="15" t="s">
        <v>578</v>
      </c>
      <c r="B20" s="17" t="n">
        <v>3371</v>
      </c>
      <c r="C20" s="18">
        <f>(2974.0/B20*100)</f>
        <v/>
      </c>
      <c r="D20" s="19" t="n">
        <v>397</v>
      </c>
      <c r="E20" s="18" t="n">
        <v>78.54814712</v>
      </c>
      <c r="F20" s="20" t="n">
        <v>2.07926303</v>
      </c>
      <c r="G20" s="18" t="n">
        <v>19.44119197</v>
      </c>
      <c r="H20" s="20" t="n">
        <v>1.97426203</v>
      </c>
      <c r="I20" s="18" t="n">
        <v>0</v>
      </c>
      <c r="J20" s="20" t="n">
        <v>0</v>
      </c>
      <c r="K20" s="18" t="n">
        <v>0.2487179</v>
      </c>
      <c r="L20" s="20" t="n">
        <v>0.24972445</v>
      </c>
      <c r="M20" s="18" t="n">
        <v>0</v>
      </c>
      <c r="N20" s="20" t="n">
        <v>0</v>
      </c>
      <c r="O20" s="18" t="n">
        <v>0</v>
      </c>
      <c r="P20" s="20" t="n">
        <v>0</v>
      </c>
      <c r="Q20" s="18" t="n">
        <v>1.76194301</v>
      </c>
      <c r="R20" s="20" t="n">
        <v>0.65992562</v>
      </c>
    </row>
    <row r="21" spans="1:18">
      <c r="A21" s="15" t="s">
        <v>579</v>
      </c>
      <c r="B21" s="17" t="n">
        <v>5741</v>
      </c>
      <c r="C21" s="18">
        <f>(5116.0/B21*100)</f>
        <v/>
      </c>
      <c r="D21" s="19" t="n">
        <v>625</v>
      </c>
      <c r="E21" s="18" t="n">
        <v>67.67677254</v>
      </c>
      <c r="F21" s="20" t="n">
        <v>1.77438808</v>
      </c>
      <c r="G21" s="18" t="n">
        <v>31.22298561</v>
      </c>
      <c r="H21" s="20" t="n">
        <v>1.85485842</v>
      </c>
      <c r="I21" s="18" t="n">
        <v>0</v>
      </c>
      <c r="J21" s="20" t="n">
        <v>0</v>
      </c>
      <c r="K21" s="18" t="n">
        <v>0</v>
      </c>
      <c r="L21" s="20" t="n">
        <v>0</v>
      </c>
      <c r="M21" s="18" t="n">
        <v>0</v>
      </c>
      <c r="N21" s="20" t="n">
        <v>0</v>
      </c>
      <c r="O21" s="18" t="n">
        <v>0</v>
      </c>
      <c r="P21" s="20" t="n">
        <v>0</v>
      </c>
      <c r="Q21" s="18" t="n">
        <v>1.10024184</v>
      </c>
      <c r="R21" s="20" t="n">
        <v>0.44897871</v>
      </c>
    </row>
    <row r="22" spans="1:18">
      <c r="A22" s="15" t="s">
        <v>580</v>
      </c>
      <c r="B22" s="17" t="n">
        <v>6598</v>
      </c>
      <c r="C22" s="18">
        <f>(5848.0/B22*100)</f>
        <v/>
      </c>
      <c r="D22" s="19" t="n">
        <v>750</v>
      </c>
      <c r="E22" s="18" t="n">
        <v>73.61861132999999</v>
      </c>
      <c r="F22" s="20" t="n">
        <v>1.81225351</v>
      </c>
      <c r="G22" s="18" t="n">
        <v>24.23704745</v>
      </c>
      <c r="H22" s="20" t="n">
        <v>1.82874232</v>
      </c>
      <c r="I22" s="18" t="n">
        <v>0</v>
      </c>
      <c r="J22" s="20" t="n">
        <v>0</v>
      </c>
      <c r="K22" s="18" t="n">
        <v>0.38488489</v>
      </c>
      <c r="L22" s="20" t="n">
        <v>0.23137229</v>
      </c>
      <c r="M22" s="18" t="n">
        <v>0</v>
      </c>
      <c r="N22" s="20" t="n">
        <v>0</v>
      </c>
      <c r="O22" s="18" t="n">
        <v>0</v>
      </c>
      <c r="P22" s="20" t="n">
        <v>0</v>
      </c>
      <c r="Q22" s="18" t="n">
        <v>1.75945633</v>
      </c>
      <c r="R22" s="20" t="n">
        <v>0.42279582</v>
      </c>
    </row>
    <row r="23" spans="1:18">
      <c r="A23" s="15" t="s">
        <v>581</v>
      </c>
      <c r="B23" s="17" t="n">
        <v>11583</v>
      </c>
      <c r="C23" s="18">
        <f>(10338.0/B23*100)</f>
        <v/>
      </c>
      <c r="D23" s="19" t="n">
        <v>1245</v>
      </c>
      <c r="E23" s="18" t="n">
        <v>72.15250304</v>
      </c>
      <c r="F23" s="20" t="n">
        <v>2.23945569</v>
      </c>
      <c r="G23" s="18" t="n">
        <v>26.3794003</v>
      </c>
      <c r="H23" s="20" t="n">
        <v>2.25009462</v>
      </c>
      <c r="I23" s="18" t="n">
        <v>0</v>
      </c>
      <c r="J23" s="20" t="n">
        <v>0</v>
      </c>
      <c r="K23" s="18" t="n">
        <v>0.2161113</v>
      </c>
      <c r="L23" s="20" t="n">
        <v>0.15314355</v>
      </c>
      <c r="M23" s="18" t="n">
        <v>0</v>
      </c>
      <c r="N23" s="20" t="n">
        <v>0</v>
      </c>
      <c r="O23" s="18" t="n">
        <v>0</v>
      </c>
      <c r="P23" s="20" t="n">
        <v>0</v>
      </c>
      <c r="Q23" s="18" t="n">
        <v>1.25198535</v>
      </c>
      <c r="R23" s="20" t="n">
        <v>0.4833888</v>
      </c>
    </row>
    <row r="24" spans="1:18">
      <c r="A24" s="15" t="s">
        <v>582</v>
      </c>
      <c r="B24" s="17" t="n">
        <v>6647</v>
      </c>
      <c r="C24" s="18">
        <f>(5924.0/B24*100)</f>
        <v/>
      </c>
      <c r="D24" s="19" t="n">
        <v>723</v>
      </c>
      <c r="E24" s="18" t="n">
        <v>75.18769632999999</v>
      </c>
      <c r="F24" s="20" t="n">
        <v>1.54756894</v>
      </c>
      <c r="G24" s="18" t="n">
        <v>24.26572017</v>
      </c>
      <c r="H24" s="20" t="n">
        <v>1.54683149</v>
      </c>
      <c r="I24" s="18" t="n">
        <v>0</v>
      </c>
      <c r="J24" s="20" t="n">
        <v>0</v>
      </c>
      <c r="K24" s="18" t="n">
        <v>0</v>
      </c>
      <c r="L24" s="20" t="n">
        <v>0</v>
      </c>
      <c r="M24" s="18" t="n">
        <v>0</v>
      </c>
      <c r="N24" s="20" t="n">
        <v>0</v>
      </c>
      <c r="O24" s="18" t="n">
        <v>0</v>
      </c>
      <c r="P24" s="20" t="n">
        <v>0</v>
      </c>
      <c r="Q24" s="18" t="n">
        <v>0.5465835</v>
      </c>
      <c r="R24" s="20" t="n">
        <v>0.26058479</v>
      </c>
    </row>
    <row r="25" spans="1:18">
      <c r="A25" s="15" t="s">
        <v>583</v>
      </c>
      <c r="B25" s="17" t="n">
        <v>5581</v>
      </c>
      <c r="C25" s="18">
        <f>(4963.0/B25*100)</f>
        <v/>
      </c>
      <c r="D25" s="19" t="n">
        <v>618</v>
      </c>
      <c r="E25" s="18" t="n">
        <v>62.6807391</v>
      </c>
      <c r="F25" s="20" t="n">
        <v>2.32045197</v>
      </c>
      <c r="G25" s="18" t="n">
        <v>36.55285388</v>
      </c>
      <c r="H25" s="20" t="n">
        <v>2.30139495</v>
      </c>
      <c r="I25" s="18" t="n">
        <v>0</v>
      </c>
      <c r="J25" s="20" t="n">
        <v>0</v>
      </c>
      <c r="K25" s="18" t="n">
        <v>0.31560599</v>
      </c>
      <c r="L25" s="20" t="n">
        <v>0.22765417</v>
      </c>
      <c r="M25" s="18" t="n">
        <v>0</v>
      </c>
      <c r="N25" s="20" t="n">
        <v>0</v>
      </c>
      <c r="O25" s="18" t="n">
        <v>0</v>
      </c>
      <c r="P25" s="20" t="n">
        <v>0</v>
      </c>
      <c r="Q25" s="18" t="n">
        <v>0.45080103</v>
      </c>
      <c r="R25" s="20" t="n">
        <v>0.2632351</v>
      </c>
    </row>
    <row r="26" spans="1:18">
      <c r="A26" s="15" t="s">
        <v>584</v>
      </c>
      <c r="B26" s="17" t="n">
        <v>4869</v>
      </c>
      <c r="C26" s="18">
        <f>(4330.0/B26*100)</f>
        <v/>
      </c>
      <c r="D26" s="19" t="n">
        <v>539</v>
      </c>
      <c r="E26" s="18" t="n">
        <v>80.85115048</v>
      </c>
      <c r="F26" s="20" t="n">
        <v>1.40263117</v>
      </c>
      <c r="G26" s="18" t="n">
        <v>18.94974095</v>
      </c>
      <c r="H26" s="20" t="n">
        <v>1.41692509</v>
      </c>
      <c r="I26" s="18" t="n">
        <v>0</v>
      </c>
      <c r="J26" s="20" t="n">
        <v>0</v>
      </c>
      <c r="K26" s="18" t="n">
        <v>0</v>
      </c>
      <c r="L26" s="20" t="n">
        <v>0</v>
      </c>
      <c r="M26" s="18" t="n">
        <v>0</v>
      </c>
      <c r="N26" s="20" t="n">
        <v>0</v>
      </c>
      <c r="O26" s="18" t="n">
        <v>0</v>
      </c>
      <c r="P26" s="20" t="n">
        <v>0</v>
      </c>
      <c r="Q26" s="18" t="n">
        <v>0.19910857</v>
      </c>
      <c r="R26" s="20" t="n">
        <v>0.13644379</v>
      </c>
    </row>
    <row r="27" spans="1:18">
      <c r="A27" s="15" t="s">
        <v>585</v>
      </c>
      <c r="B27" s="17" t="n">
        <v>5299</v>
      </c>
      <c r="C27" s="18">
        <f>(4712.0/B27*100)</f>
        <v/>
      </c>
      <c r="D27" s="19" t="n">
        <v>587</v>
      </c>
      <c r="E27" s="18" t="n">
        <v>73.57046262</v>
      </c>
      <c r="F27" s="20" t="n">
        <v>1.93590468</v>
      </c>
      <c r="G27" s="18" t="n">
        <v>25.05249195</v>
      </c>
      <c r="H27" s="20" t="n">
        <v>1.91110987</v>
      </c>
      <c r="I27" s="18" t="n">
        <v>0</v>
      </c>
      <c r="J27" s="20" t="n">
        <v>0</v>
      </c>
      <c r="K27" s="18" t="n">
        <v>0.18127361</v>
      </c>
      <c r="L27" s="20" t="n">
        <v>0.18058417</v>
      </c>
      <c r="M27" s="18" t="n">
        <v>0</v>
      </c>
      <c r="N27" s="20" t="n">
        <v>0</v>
      </c>
      <c r="O27" s="18" t="n">
        <v>0</v>
      </c>
      <c r="P27" s="20" t="n">
        <v>0</v>
      </c>
      <c r="Q27" s="18" t="n">
        <v>1.19577183</v>
      </c>
      <c r="R27" s="20" t="n">
        <v>0.43042258</v>
      </c>
    </row>
    <row r="28" spans="1:18">
      <c r="A28" s="15" t="s">
        <v>586</v>
      </c>
      <c r="B28" s="17" t="n">
        <v>7568</v>
      </c>
      <c r="C28" s="18">
        <f>(6782.0/B28*100)</f>
        <v/>
      </c>
      <c r="D28" s="19" t="n">
        <v>786</v>
      </c>
      <c r="E28" s="18" t="n">
        <v>93.62319879</v>
      </c>
      <c r="F28" s="20" t="n">
        <v>0.95937536</v>
      </c>
      <c r="G28" s="18" t="n">
        <v>5.55528954</v>
      </c>
      <c r="H28" s="20" t="n">
        <v>0.85909053</v>
      </c>
      <c r="I28" s="18" t="n">
        <v>0</v>
      </c>
      <c r="J28" s="20" t="n">
        <v>0</v>
      </c>
      <c r="K28" s="18" t="n">
        <v>0.22837281</v>
      </c>
      <c r="L28" s="20" t="n">
        <v>0.22324748</v>
      </c>
      <c r="M28" s="18" t="n">
        <v>0</v>
      </c>
      <c r="N28" s="20" t="n">
        <v>0</v>
      </c>
      <c r="O28" s="18" t="n">
        <v>0</v>
      </c>
      <c r="P28" s="20" t="n">
        <v>0</v>
      </c>
      <c r="Q28" s="18" t="n">
        <v>0.59313886</v>
      </c>
      <c r="R28" s="20" t="n">
        <v>0.34330859</v>
      </c>
    </row>
    <row r="29" spans="1:18">
      <c r="A29" s="15" t="s">
        <v>587</v>
      </c>
      <c r="B29" s="17" t="n">
        <v>5385</v>
      </c>
      <c r="C29" s="18">
        <f>(4802.0/B29*100)</f>
        <v/>
      </c>
      <c r="D29" s="19" t="n">
        <v>583</v>
      </c>
      <c r="E29" s="18" t="n">
        <v>64.12120378</v>
      </c>
      <c r="F29" s="20" t="n">
        <v>1.78914724</v>
      </c>
      <c r="G29" s="18" t="n">
        <v>34.36589163</v>
      </c>
      <c r="H29" s="20" t="n">
        <v>1.78013567</v>
      </c>
      <c r="I29" s="18" t="n">
        <v>0</v>
      </c>
      <c r="J29" s="20" t="n">
        <v>0</v>
      </c>
      <c r="K29" s="18" t="n">
        <v>0</v>
      </c>
      <c r="L29" s="20" t="n">
        <v>0</v>
      </c>
      <c r="M29" s="18" t="n">
        <v>0</v>
      </c>
      <c r="N29" s="20" t="n">
        <v>0</v>
      </c>
      <c r="O29" s="18" t="n">
        <v>0</v>
      </c>
      <c r="P29" s="20" t="n">
        <v>0</v>
      </c>
      <c r="Q29" s="18" t="n">
        <v>1.51290459</v>
      </c>
      <c r="R29" s="20" t="n">
        <v>0.5314129</v>
      </c>
    </row>
    <row r="30" spans="1:18">
      <c r="A30" s="15" t="s">
        <v>588</v>
      </c>
      <c r="B30" s="17" t="n">
        <v>4520</v>
      </c>
      <c r="C30" s="18">
        <f>(4032.0/B30*100)</f>
        <v/>
      </c>
      <c r="D30" s="19" t="n">
        <v>488</v>
      </c>
      <c r="E30" s="18" t="n">
        <v>74.52890865000001</v>
      </c>
      <c r="F30" s="20" t="n">
        <v>1.81799065</v>
      </c>
      <c r="G30" s="18" t="n">
        <v>24.2793339</v>
      </c>
      <c r="H30" s="20" t="n">
        <v>1.84436239</v>
      </c>
      <c r="I30" s="18" t="n">
        <v>0</v>
      </c>
      <c r="J30" s="20" t="n">
        <v>0</v>
      </c>
      <c r="K30" s="18" t="n">
        <v>0</v>
      </c>
      <c r="L30" s="20" t="n">
        <v>0</v>
      </c>
      <c r="M30" s="18" t="n">
        <v>0</v>
      </c>
      <c r="N30" s="20" t="n">
        <v>0</v>
      </c>
      <c r="O30" s="18" t="n">
        <v>0</v>
      </c>
      <c r="P30" s="20" t="n">
        <v>0</v>
      </c>
      <c r="Q30" s="18" t="n">
        <v>1.19175745</v>
      </c>
      <c r="R30" s="20" t="n">
        <v>0.52912505</v>
      </c>
    </row>
    <row r="31" spans="1:18">
      <c r="A31" s="15" t="s">
        <v>589</v>
      </c>
      <c r="B31" s="17" t="n">
        <v>5456</v>
      </c>
      <c r="C31" s="18">
        <f>(4848.0/B31*100)</f>
        <v/>
      </c>
      <c r="D31" s="19" t="n">
        <v>608</v>
      </c>
      <c r="E31" s="18" t="n">
        <v>70.31500486</v>
      </c>
      <c r="F31" s="20" t="n">
        <v>2.08667706</v>
      </c>
      <c r="G31" s="18" t="n">
        <v>28.10718756</v>
      </c>
      <c r="H31" s="20" t="n">
        <v>2.03673178</v>
      </c>
      <c r="I31" s="18" t="n">
        <v>0</v>
      </c>
      <c r="J31" s="20" t="n">
        <v>0</v>
      </c>
      <c r="K31" s="18" t="n">
        <v>0.30543359</v>
      </c>
      <c r="L31" s="20" t="n">
        <v>0.20725486</v>
      </c>
      <c r="M31" s="18" t="n">
        <v>0</v>
      </c>
      <c r="N31" s="20" t="n">
        <v>0</v>
      </c>
      <c r="O31" s="18" t="n">
        <v>0</v>
      </c>
      <c r="P31" s="20" t="n">
        <v>0</v>
      </c>
      <c r="Q31" s="18" t="n">
        <v>1.272374</v>
      </c>
      <c r="R31" s="20" t="n">
        <v>0.45475013</v>
      </c>
    </row>
    <row r="32" spans="1:18">
      <c r="A32" s="15" t="s">
        <v>590</v>
      </c>
      <c r="B32" s="17" t="n">
        <v>4478</v>
      </c>
      <c r="C32" s="18">
        <f>(3970.0/B32*100)</f>
        <v/>
      </c>
      <c r="D32" s="19" t="n">
        <v>508</v>
      </c>
      <c r="E32" s="18" t="n">
        <v>66.11268928</v>
      </c>
      <c r="F32" s="20" t="n">
        <v>2.20716404</v>
      </c>
      <c r="G32" s="18" t="n">
        <v>33.54288988</v>
      </c>
      <c r="H32" s="20" t="n">
        <v>2.21458623</v>
      </c>
      <c r="I32" s="18" t="n">
        <v>0</v>
      </c>
      <c r="J32" s="20" t="n">
        <v>0</v>
      </c>
      <c r="K32" s="18" t="n">
        <v>0</v>
      </c>
      <c r="L32" s="20" t="n">
        <v>0</v>
      </c>
      <c r="M32" s="18" t="n">
        <v>0</v>
      </c>
      <c r="N32" s="20" t="n">
        <v>0</v>
      </c>
      <c r="O32" s="18" t="n">
        <v>0</v>
      </c>
      <c r="P32" s="20" t="n">
        <v>0</v>
      </c>
      <c r="Q32" s="18" t="n">
        <v>0.34442084</v>
      </c>
      <c r="R32" s="20" t="n">
        <v>0.24489323</v>
      </c>
    </row>
    <row r="33" spans="1:18">
      <c r="A33" s="15" t="s">
        <v>591</v>
      </c>
      <c r="B33" s="17" t="n">
        <v>7325</v>
      </c>
      <c r="C33" s="18">
        <f>(6514.0/B33*100)</f>
        <v/>
      </c>
      <c r="D33" s="19" t="n">
        <v>811</v>
      </c>
      <c r="E33" s="18" t="n">
        <v>72.08087482000001</v>
      </c>
      <c r="F33" s="20" t="n">
        <v>1.84120232</v>
      </c>
      <c r="G33" s="18" t="n">
        <v>27.41813096</v>
      </c>
      <c r="H33" s="20" t="n">
        <v>1.88034969</v>
      </c>
      <c r="I33" s="18" t="n">
        <v>0</v>
      </c>
      <c r="J33" s="20" t="n">
        <v>0</v>
      </c>
      <c r="K33" s="18" t="n">
        <v>0.183612</v>
      </c>
      <c r="L33" s="20" t="n">
        <v>0.16290613</v>
      </c>
      <c r="M33" s="18" t="n">
        <v>0</v>
      </c>
      <c r="N33" s="20" t="n">
        <v>0</v>
      </c>
      <c r="O33" s="18" t="n">
        <v>0</v>
      </c>
      <c r="P33" s="20" t="n">
        <v>0</v>
      </c>
      <c r="Q33" s="18" t="n">
        <v>0.31738223</v>
      </c>
      <c r="R33" s="20" t="n">
        <v>0.2242046</v>
      </c>
    </row>
    <row r="34" spans="1:18">
      <c r="A34" s="15" t="s">
        <v>592</v>
      </c>
      <c r="B34" s="17" t="n">
        <v>6350</v>
      </c>
      <c r="C34" s="18">
        <f>(5645.0/B34*100)</f>
        <v/>
      </c>
      <c r="D34" s="19" t="n">
        <v>705</v>
      </c>
      <c r="E34" s="18" t="n">
        <v>74.18141276</v>
      </c>
      <c r="F34" s="20" t="n">
        <v>1.80653419</v>
      </c>
      <c r="G34" s="18" t="n">
        <v>25.50032207</v>
      </c>
      <c r="H34" s="20" t="n">
        <v>1.7751093</v>
      </c>
      <c r="I34" s="18" t="n">
        <v>0</v>
      </c>
      <c r="J34" s="20" t="n">
        <v>0</v>
      </c>
      <c r="K34" s="18" t="n">
        <v>0</v>
      </c>
      <c r="L34" s="20" t="n">
        <v>0</v>
      </c>
      <c r="M34" s="18" t="n">
        <v>0</v>
      </c>
      <c r="N34" s="20" t="n">
        <v>0</v>
      </c>
      <c r="O34" s="18" t="n">
        <v>0</v>
      </c>
      <c r="P34" s="20" t="n">
        <v>0</v>
      </c>
      <c r="Q34" s="18" t="n">
        <v>0.31826517</v>
      </c>
      <c r="R34" s="20" t="n">
        <v>0.22815002</v>
      </c>
    </row>
    <row r="35" spans="1:18">
      <c r="A35" s="15" t="s">
        <v>593</v>
      </c>
      <c r="B35" s="17" t="n">
        <v>6406</v>
      </c>
      <c r="C35" s="18">
        <f>(5750.0/B35*100)</f>
        <v/>
      </c>
      <c r="D35" s="19" t="n">
        <v>656</v>
      </c>
      <c r="E35" s="18" t="n">
        <v>62.35845252</v>
      </c>
      <c r="F35" s="20" t="n">
        <v>2.30551569</v>
      </c>
      <c r="G35" s="18" t="n">
        <v>37.11647059</v>
      </c>
      <c r="H35" s="20" t="n">
        <v>2.29458979</v>
      </c>
      <c r="I35" s="18" t="n">
        <v>0</v>
      </c>
      <c r="J35" s="20" t="n">
        <v>0</v>
      </c>
      <c r="K35" s="18" t="n">
        <v>0</v>
      </c>
      <c r="L35" s="20" t="n">
        <v>0</v>
      </c>
      <c r="M35" s="18" t="n">
        <v>0</v>
      </c>
      <c r="N35" s="20" t="n">
        <v>0</v>
      </c>
      <c r="O35" s="18" t="n">
        <v>0</v>
      </c>
      <c r="P35" s="20" t="n">
        <v>0</v>
      </c>
      <c r="Q35" s="18" t="n">
        <v>0.52507689</v>
      </c>
      <c r="R35" s="20" t="n">
        <v>0.25954192</v>
      </c>
    </row>
    <row r="36" spans="1:18">
      <c r="A36" s="15" t="s">
        <v>594</v>
      </c>
      <c r="B36" s="17" t="n">
        <v>6736</v>
      </c>
      <c r="C36" s="18">
        <f>(6023.0/B36*100)</f>
        <v/>
      </c>
      <c r="D36" s="19" t="n">
        <v>713</v>
      </c>
      <c r="E36" s="18" t="n">
        <v>76.96623981</v>
      </c>
      <c r="F36" s="20" t="n">
        <v>1.89805691</v>
      </c>
      <c r="G36" s="18" t="n">
        <v>22.2120861</v>
      </c>
      <c r="H36" s="20" t="n">
        <v>1.81979704</v>
      </c>
      <c r="I36" s="18" t="n">
        <v>0</v>
      </c>
      <c r="J36" s="20" t="n">
        <v>0</v>
      </c>
      <c r="K36" s="18" t="n">
        <v>0.16773143</v>
      </c>
      <c r="L36" s="20" t="n">
        <v>0.12315521</v>
      </c>
      <c r="M36" s="18" t="n">
        <v>0</v>
      </c>
      <c r="N36" s="20" t="n">
        <v>0</v>
      </c>
      <c r="O36" s="18" t="n">
        <v>0</v>
      </c>
      <c r="P36" s="20" t="n">
        <v>0</v>
      </c>
      <c r="Q36" s="18" t="n">
        <v>0.65394266</v>
      </c>
      <c r="R36" s="20" t="n">
        <v>0.31903808</v>
      </c>
    </row>
    <row r="37" spans="1:18">
      <c r="A37" s="15" t="s">
        <v>595</v>
      </c>
      <c r="B37" s="17" t="n">
        <v>5458</v>
      </c>
      <c r="C37" s="18">
        <f>(4853.0/B37*100)</f>
        <v/>
      </c>
      <c r="D37" s="19" t="n">
        <v>605</v>
      </c>
      <c r="E37" s="18" t="n">
        <v>66.03891713</v>
      </c>
      <c r="F37" s="20" t="n">
        <v>2.01275258</v>
      </c>
      <c r="G37" s="18" t="n">
        <v>32.65652349</v>
      </c>
      <c r="H37" s="20" t="n">
        <v>2.06103916</v>
      </c>
      <c r="I37" s="18" t="n">
        <v>0</v>
      </c>
      <c r="J37" s="20" t="n">
        <v>0</v>
      </c>
      <c r="K37" s="18" t="n">
        <v>0</v>
      </c>
      <c r="L37" s="20" t="n">
        <v>0</v>
      </c>
      <c r="M37" s="18" t="n">
        <v>0</v>
      </c>
      <c r="N37" s="20" t="n">
        <v>0</v>
      </c>
      <c r="O37" s="18" t="n">
        <v>0</v>
      </c>
      <c r="P37" s="20" t="n">
        <v>0</v>
      </c>
      <c r="Q37" s="18" t="n">
        <v>1.30455938</v>
      </c>
      <c r="R37" s="20" t="n">
        <v>0.53113274</v>
      </c>
    </row>
    <row r="38" spans="1:18">
      <c r="A38" s="15" t="s">
        <v>596</v>
      </c>
      <c r="B38" s="17" t="n">
        <v>5860</v>
      </c>
      <c r="C38" s="18">
        <f>(5200.0/B38*100)</f>
        <v/>
      </c>
      <c r="D38" s="19" t="n">
        <v>660</v>
      </c>
      <c r="E38" s="18" t="n">
        <v>71.43339276</v>
      </c>
      <c r="F38" s="20" t="n">
        <v>2.08088042</v>
      </c>
      <c r="G38" s="18" t="n">
        <v>27.34402888</v>
      </c>
      <c r="H38" s="20" t="n">
        <v>2.09962021</v>
      </c>
      <c r="I38" s="18" t="n">
        <v>0</v>
      </c>
      <c r="J38" s="20" t="n">
        <v>0</v>
      </c>
      <c r="K38" s="18" t="n">
        <v>0.20050057</v>
      </c>
      <c r="L38" s="20" t="n">
        <v>0.1667976</v>
      </c>
      <c r="M38" s="18" t="n">
        <v>0</v>
      </c>
      <c r="N38" s="20" t="n">
        <v>0</v>
      </c>
      <c r="O38" s="18" t="n">
        <v>0</v>
      </c>
      <c r="P38" s="20" t="n">
        <v>0</v>
      </c>
      <c r="Q38" s="18" t="n">
        <v>1.02207778</v>
      </c>
      <c r="R38" s="20" t="n">
        <v>0.52178517</v>
      </c>
    </row>
    <row r="39" spans="1:18">
      <c r="A39" s="15" t="s">
        <v>597</v>
      </c>
      <c r="B39" s="17" t="n">
        <v>5895</v>
      </c>
      <c r="C39" s="18">
        <f>(5237.0/B39*100)</f>
        <v/>
      </c>
      <c r="D39" s="19" t="n">
        <v>658</v>
      </c>
      <c r="E39" s="18" t="n">
        <v>78.85517783</v>
      </c>
      <c r="F39" s="20" t="n">
        <v>2.01772245</v>
      </c>
      <c r="G39" s="18" t="n">
        <v>20.49159515</v>
      </c>
      <c r="H39" s="20" t="n">
        <v>1.97917348</v>
      </c>
      <c r="I39" s="18" t="n">
        <v>0</v>
      </c>
      <c r="J39" s="20" t="n">
        <v>0</v>
      </c>
      <c r="K39" s="18" t="n">
        <v>0</v>
      </c>
      <c r="L39" s="20" t="n">
        <v>0</v>
      </c>
      <c r="M39" s="18" t="n">
        <v>0</v>
      </c>
      <c r="N39" s="20" t="n">
        <v>0</v>
      </c>
      <c r="O39" s="18" t="n">
        <v>0</v>
      </c>
      <c r="P39" s="20" t="n">
        <v>0</v>
      </c>
      <c r="Q39" s="18" t="n">
        <v>0.65322702</v>
      </c>
      <c r="R39" s="20" t="n">
        <v>0.34260831</v>
      </c>
    </row>
    <row r="40" spans="1:18">
      <c r="A40" s="15" t="s">
        <v>598</v>
      </c>
      <c r="B40" s="17" t="n">
        <v>14157</v>
      </c>
      <c r="C40" s="18">
        <f>(12597.0/B40*100)</f>
        <v/>
      </c>
      <c r="D40" s="19" t="n">
        <v>1560</v>
      </c>
      <c r="E40" s="18" t="n">
        <v>63.32486318</v>
      </c>
      <c r="F40" s="20" t="n">
        <v>2.07066646</v>
      </c>
      <c r="G40" s="18" t="n">
        <v>35.89179728</v>
      </c>
      <c r="H40" s="20" t="n">
        <v>2.10181148</v>
      </c>
      <c r="I40" s="18" t="n">
        <v>0</v>
      </c>
      <c r="J40" s="20" t="n">
        <v>0</v>
      </c>
      <c r="K40" s="18" t="n">
        <v>0.20890932</v>
      </c>
      <c r="L40" s="20" t="n">
        <v>0.18992862</v>
      </c>
      <c r="M40" s="18" t="n">
        <v>0</v>
      </c>
      <c r="N40" s="20" t="n">
        <v>0</v>
      </c>
      <c r="O40" s="18" t="n">
        <v>0</v>
      </c>
      <c r="P40" s="20" t="n">
        <v>0</v>
      </c>
      <c r="Q40" s="18" t="n">
        <v>0.57443022</v>
      </c>
      <c r="R40" s="20" t="n">
        <v>0.27058007</v>
      </c>
    </row>
    <row r="41" spans="1:18">
      <c r="A41" s="15" t="s">
        <v>599</v>
      </c>
      <c r="B41" s="17" t="n">
        <v>5712</v>
      </c>
      <c r="C41" s="18">
        <f>(5082.0/B41*100)</f>
        <v/>
      </c>
      <c r="D41" s="19" t="n">
        <v>630</v>
      </c>
      <c r="E41" s="18" t="n">
        <v>81.24984454</v>
      </c>
      <c r="F41" s="20" t="n">
        <v>1.60957708</v>
      </c>
      <c r="G41" s="18" t="n">
        <v>17.79353823</v>
      </c>
      <c r="H41" s="20" t="n">
        <v>1.58840207</v>
      </c>
      <c r="I41" s="18" t="n">
        <v>0</v>
      </c>
      <c r="J41" s="20" t="n">
        <v>0</v>
      </c>
      <c r="K41" s="18" t="n">
        <v>0</v>
      </c>
      <c r="L41" s="20" t="n">
        <v>0</v>
      </c>
      <c r="M41" s="18" t="n">
        <v>0</v>
      </c>
      <c r="N41" s="20" t="n">
        <v>0</v>
      </c>
      <c r="O41" s="18" t="n">
        <v>0</v>
      </c>
      <c r="P41" s="20" t="n">
        <v>0</v>
      </c>
      <c r="Q41" s="18" t="n">
        <v>0.95661723</v>
      </c>
      <c r="R41" s="20" t="n">
        <v>0.60352773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(20926.0/B46*100)</f>
        <v/>
      </c>
      <c r="D46" s="19" t="n">
        <v>2215</v>
      </c>
      <c r="E46" s="18" t="n">
        <v>87.96789885</v>
      </c>
      <c r="F46" s="20" t="n">
        <v>0.87278221</v>
      </c>
      <c r="G46" s="18" t="n">
        <v>10.42232115</v>
      </c>
      <c r="H46" s="20" t="n">
        <v>0.8153267199999999</v>
      </c>
      <c r="I46" s="18" t="n">
        <v>0</v>
      </c>
      <c r="J46" s="20" t="n">
        <v>0</v>
      </c>
      <c r="K46" s="18" t="n">
        <v>0.35817758</v>
      </c>
      <c r="L46" s="20" t="n">
        <v>0.16296661</v>
      </c>
      <c r="M46" s="18" t="n">
        <v>0</v>
      </c>
      <c r="N46" s="20" t="n">
        <v>0</v>
      </c>
      <c r="O46" s="18" t="n">
        <v>0</v>
      </c>
      <c r="P46" s="20" t="n">
        <v>0</v>
      </c>
      <c r="Q46" s="18" t="n">
        <v>1.25160242</v>
      </c>
      <c r="R46" s="20" t="n">
        <v>0.28166351</v>
      </c>
    </row>
    <row r="47" spans="1:18">
      <c r="A47" s="15" t="s">
        <v>606</v>
      </c>
      <c r="B47" s="17" t="n">
        <v>5928</v>
      </c>
      <c r="C47" s="18">
        <f>(5253.0/B47*100)</f>
        <v/>
      </c>
      <c r="D47" s="19" t="n">
        <v>675</v>
      </c>
      <c r="E47" s="18" t="n">
        <v>74.78910596999999</v>
      </c>
      <c r="F47" s="20" t="n">
        <v>1.70298325</v>
      </c>
      <c r="G47" s="18" t="n">
        <v>23.79481368</v>
      </c>
      <c r="H47" s="20" t="n">
        <v>1.6625418</v>
      </c>
      <c r="I47" s="18" t="n">
        <v>0</v>
      </c>
      <c r="J47" s="20" t="n">
        <v>0</v>
      </c>
      <c r="K47" s="18" t="n">
        <v>0.15240485</v>
      </c>
      <c r="L47" s="20" t="n">
        <v>0.21628565</v>
      </c>
      <c r="M47" s="18" t="n">
        <v>0</v>
      </c>
      <c r="N47" s="20" t="n">
        <v>0</v>
      </c>
      <c r="O47" s="18" t="n">
        <v>0</v>
      </c>
      <c r="P47" s="20" t="n">
        <v>0</v>
      </c>
      <c r="Q47" s="18" t="n">
        <v>1.26367549</v>
      </c>
      <c r="R47" s="20" t="n">
        <v>0.41736629</v>
      </c>
    </row>
    <row r="48" spans="1:18">
      <c r="A48" s="15" t="s">
        <v>607</v>
      </c>
      <c r="B48" s="17" t="n">
        <v>9841</v>
      </c>
      <c r="C48" s="18">
        <f>(8726.0/B48*100)</f>
        <v/>
      </c>
      <c r="D48" s="19" t="n">
        <v>1115</v>
      </c>
      <c r="E48" s="18" t="n">
        <v>80.36376616</v>
      </c>
      <c r="F48" s="20" t="n">
        <v>1.83312557</v>
      </c>
      <c r="G48" s="18" t="n">
        <v>18.77554713</v>
      </c>
      <c r="H48" s="20" t="n">
        <v>1.93913157</v>
      </c>
      <c r="I48" s="18" t="n">
        <v>0</v>
      </c>
      <c r="J48" s="20" t="n">
        <v>0</v>
      </c>
      <c r="K48" s="18" t="n">
        <v>0.27232622</v>
      </c>
      <c r="L48" s="20" t="n">
        <v>0.21873385</v>
      </c>
      <c r="M48" s="18" t="n">
        <v>0</v>
      </c>
      <c r="N48" s="20" t="n">
        <v>0</v>
      </c>
      <c r="O48" s="18" t="n">
        <v>0</v>
      </c>
      <c r="P48" s="20" t="n">
        <v>0</v>
      </c>
      <c r="Q48" s="18" t="n">
        <v>0.58836049</v>
      </c>
      <c r="R48" s="20" t="n">
        <v>0.33651314</v>
      </c>
    </row>
    <row r="49" spans="1:18">
      <c r="A49" s="15" t="s">
        <v>608</v>
      </c>
      <c r="B49" s="17" t="n">
        <v>11795</v>
      </c>
      <c r="C49" s="18">
        <f>(10460.0/B49*100)</f>
        <v/>
      </c>
      <c r="D49" s="19" t="n">
        <v>1335</v>
      </c>
      <c r="E49" s="18" t="n">
        <v>92.04237225999999</v>
      </c>
      <c r="F49" s="20" t="n">
        <v>1.12843169</v>
      </c>
      <c r="G49" s="18" t="n">
        <v>5.90395876</v>
      </c>
      <c r="H49" s="20" t="n">
        <v>0.8276064</v>
      </c>
      <c r="I49" s="18" t="n">
        <v>0</v>
      </c>
      <c r="J49" s="20" t="n">
        <v>0</v>
      </c>
      <c r="K49" s="18" t="n">
        <v>0.65524721</v>
      </c>
      <c r="L49" s="20" t="n">
        <v>0.38665509</v>
      </c>
      <c r="M49" s="18" t="n">
        <v>0</v>
      </c>
      <c r="N49" s="20" t="n">
        <v>0</v>
      </c>
      <c r="O49" s="18" t="n">
        <v>0</v>
      </c>
      <c r="P49" s="20" t="n">
        <v>0</v>
      </c>
      <c r="Q49" s="18" t="n">
        <v>1.39842177</v>
      </c>
      <c r="R49" s="20" t="n">
        <v>0.43655779</v>
      </c>
    </row>
    <row r="50" spans="1:18">
      <c r="A50" s="15" t="s">
        <v>609</v>
      </c>
      <c r="B50" s="17" t="n">
        <v>6866</v>
      </c>
      <c r="C50" s="18">
        <f>(6203.0/B50*100)</f>
        <v/>
      </c>
      <c r="D50" s="19" t="n">
        <v>663</v>
      </c>
      <c r="E50" s="18" t="n">
        <v>90.51095768</v>
      </c>
      <c r="F50" s="20" t="n">
        <v>1.28337735</v>
      </c>
      <c r="G50" s="18" t="n">
        <v>9.12132781</v>
      </c>
      <c r="H50" s="20" t="n">
        <v>1.26628574</v>
      </c>
      <c r="I50" s="18" t="n">
        <v>0</v>
      </c>
      <c r="J50" s="20" t="n">
        <v>0</v>
      </c>
      <c r="K50" s="18" t="n">
        <v>0</v>
      </c>
      <c r="L50" s="20" t="n">
        <v>0</v>
      </c>
      <c r="M50" s="18" t="n">
        <v>0</v>
      </c>
      <c r="N50" s="20" t="n">
        <v>0</v>
      </c>
      <c r="O50" s="18" t="n">
        <v>0</v>
      </c>
      <c r="P50" s="20" t="n">
        <v>0</v>
      </c>
      <c r="Q50" s="18" t="n">
        <v>0.3677145</v>
      </c>
      <c r="R50" s="20" t="n">
        <v>0.22427966</v>
      </c>
    </row>
    <row r="51" spans="1:18">
      <c r="A51" s="15" t="s">
        <v>610</v>
      </c>
      <c r="B51" s="17" t="n">
        <v>5809</v>
      </c>
      <c r="C51" s="18">
        <f>(5127.0/B51*100)</f>
        <v/>
      </c>
      <c r="D51" s="19" t="n">
        <v>682</v>
      </c>
      <c r="E51" s="18" t="n">
        <v>73.65385449999999</v>
      </c>
      <c r="F51" s="20" t="n">
        <v>1.64661931</v>
      </c>
      <c r="G51" s="18" t="n">
        <v>26.05065966</v>
      </c>
      <c r="H51" s="20" t="n">
        <v>1.62508839</v>
      </c>
      <c r="I51" s="18" t="n">
        <v>0</v>
      </c>
      <c r="J51" s="20" t="n">
        <v>0</v>
      </c>
      <c r="K51" s="18" t="n">
        <v>0</v>
      </c>
      <c r="L51" s="20" t="n">
        <v>0</v>
      </c>
      <c r="M51" s="18" t="n">
        <v>0</v>
      </c>
      <c r="N51" s="20" t="n">
        <v>0</v>
      </c>
      <c r="O51" s="18" t="n">
        <v>0</v>
      </c>
      <c r="P51" s="20" t="n">
        <v>0</v>
      </c>
      <c r="Q51" s="18" t="n">
        <v>0.29548584</v>
      </c>
      <c r="R51" s="20" t="n">
        <v>0.21374317</v>
      </c>
    </row>
    <row r="52" spans="1:18">
      <c r="A52" s="15" t="s">
        <v>611</v>
      </c>
      <c r="B52" s="17" t="n">
        <v>5571</v>
      </c>
      <c r="C52" s="18">
        <f>(4960.0/B52*100)</f>
        <v/>
      </c>
      <c r="D52" s="19" t="n">
        <v>611</v>
      </c>
      <c r="E52" s="18" t="n">
        <v>74.65429018</v>
      </c>
      <c r="F52" s="20" t="n">
        <v>1.96207726</v>
      </c>
      <c r="G52" s="18" t="n">
        <v>23.07269903</v>
      </c>
      <c r="H52" s="20" t="n">
        <v>1.80651986</v>
      </c>
      <c r="I52" s="18" t="n">
        <v>0</v>
      </c>
      <c r="J52" s="20" t="n">
        <v>0</v>
      </c>
      <c r="K52" s="18" t="n">
        <v>0.30114308</v>
      </c>
      <c r="L52" s="20" t="n">
        <v>0.29755516</v>
      </c>
      <c r="M52" s="18" t="n">
        <v>0</v>
      </c>
      <c r="N52" s="20" t="n">
        <v>0</v>
      </c>
      <c r="O52" s="18" t="n">
        <v>0</v>
      </c>
      <c r="P52" s="20" t="n">
        <v>0</v>
      </c>
      <c r="Q52" s="18" t="n">
        <v>1.9718677</v>
      </c>
      <c r="R52" s="20" t="n">
        <v>0.54873141</v>
      </c>
    </row>
    <row r="53" spans="1:18">
      <c r="A53" s="15" t="s">
        <v>612</v>
      </c>
      <c r="B53" s="17" t="n">
        <v>4740</v>
      </c>
      <c r="C53" s="18">
        <f>(4243.0/B53*100)</f>
        <v/>
      </c>
      <c r="D53" s="19" t="n">
        <v>497</v>
      </c>
      <c r="E53" s="18" t="n">
        <v>85.19840843</v>
      </c>
      <c r="F53" s="20" t="n">
        <v>1.97434442</v>
      </c>
      <c r="G53" s="18" t="n">
        <v>2.82504521</v>
      </c>
      <c r="H53" s="20" t="n">
        <v>0.62601833</v>
      </c>
      <c r="I53" s="18" t="n">
        <v>0</v>
      </c>
      <c r="J53" s="20" t="n">
        <v>0</v>
      </c>
      <c r="K53" s="18" t="n">
        <v>8.99235895</v>
      </c>
      <c r="L53" s="20" t="n">
        <v>1.48966373</v>
      </c>
      <c r="M53" s="18" t="n">
        <v>0</v>
      </c>
      <c r="N53" s="20" t="n">
        <v>0</v>
      </c>
      <c r="O53" s="18" t="n">
        <v>0</v>
      </c>
      <c r="P53" s="20" t="n">
        <v>0</v>
      </c>
      <c r="Q53" s="18" t="n">
        <v>2.9841874</v>
      </c>
      <c r="R53" s="20" t="n">
        <v>0.9255701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(4750.0/B55*100)</f>
        <v/>
      </c>
      <c r="D55" s="19" t="n">
        <v>609</v>
      </c>
      <c r="E55" s="18" t="n">
        <v>55.18485189</v>
      </c>
      <c r="F55" s="20" t="n">
        <v>2.56614995</v>
      </c>
      <c r="G55" s="18" t="n">
        <v>43.98407278</v>
      </c>
      <c r="H55" s="20" t="n">
        <v>2.59684402</v>
      </c>
      <c r="I55" s="18" t="n">
        <v>0</v>
      </c>
      <c r="J55" s="20" t="n">
        <v>0</v>
      </c>
      <c r="K55" s="18" t="n">
        <v>0.35553448</v>
      </c>
      <c r="L55" s="20" t="n">
        <v>0.23116694</v>
      </c>
      <c r="M55" s="18" t="n">
        <v>0</v>
      </c>
      <c r="N55" s="20" t="n">
        <v>0</v>
      </c>
      <c r="O55" s="18" t="n">
        <v>0</v>
      </c>
      <c r="P55" s="20" t="n">
        <v>0</v>
      </c>
      <c r="Q55" s="18" t="n">
        <v>0.47554085</v>
      </c>
      <c r="R55" s="20" t="n">
        <v>0.30431322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(5768.0/B61*100)</f>
        <v/>
      </c>
      <c r="D61" s="19" t="n">
        <v>757</v>
      </c>
      <c r="E61" s="18" t="n">
        <v>73.11857116</v>
      </c>
      <c r="F61" s="20" t="n">
        <v>1.67378282</v>
      </c>
      <c r="G61" s="18" t="n">
        <v>26.5612695</v>
      </c>
      <c r="H61" s="20" t="n">
        <v>1.65600963</v>
      </c>
      <c r="I61" s="18" t="n">
        <v>0</v>
      </c>
      <c r="J61" s="20" t="n">
        <v>0</v>
      </c>
      <c r="K61" s="18" t="n">
        <v>0</v>
      </c>
      <c r="L61" s="20" t="n">
        <v>0</v>
      </c>
      <c r="M61" s="18" t="n">
        <v>0</v>
      </c>
      <c r="N61" s="20" t="n">
        <v>0</v>
      </c>
      <c r="O61" s="18" t="n">
        <v>0</v>
      </c>
      <c r="P61" s="20" t="n">
        <v>0</v>
      </c>
      <c r="Q61" s="18" t="n">
        <v>0.32015933</v>
      </c>
      <c r="R61" s="20" t="n">
        <v>0.19967443</v>
      </c>
    </row>
    <row r="62" spans="1:18">
      <c r="A62" s="15" t="s">
        <v>622</v>
      </c>
      <c r="B62" s="17" t="n">
        <v>4476</v>
      </c>
      <c r="C62" s="18">
        <f>(3981.0/B62*100)</f>
        <v/>
      </c>
      <c r="D62" s="19" t="n">
        <v>495</v>
      </c>
      <c r="E62" s="18" t="n">
        <v>74.17423644</v>
      </c>
      <c r="F62" s="20" t="n">
        <v>2.02003846</v>
      </c>
      <c r="G62" s="18" t="n">
        <v>25.62018697</v>
      </c>
      <c r="H62" s="20" t="n">
        <v>2.01501195</v>
      </c>
      <c r="I62" s="18" t="n">
        <v>0</v>
      </c>
      <c r="J62" s="20" t="n">
        <v>0</v>
      </c>
      <c r="K62" s="18" t="n">
        <v>0</v>
      </c>
      <c r="L62" s="20" t="n">
        <v>0</v>
      </c>
      <c r="M62" s="18" t="n">
        <v>0</v>
      </c>
      <c r="N62" s="20" t="n">
        <v>0</v>
      </c>
      <c r="O62" s="18" t="n">
        <v>0</v>
      </c>
      <c r="P62" s="20" t="n">
        <v>0</v>
      </c>
      <c r="Q62" s="18" t="n">
        <v>0.20557659</v>
      </c>
      <c r="R62" s="20" t="n">
        <v>0.20604252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(5037.0/B67*100)</f>
        <v/>
      </c>
      <c r="D67" s="19" t="n">
        <v>628</v>
      </c>
      <c r="E67" s="18" t="n">
        <v>81.44977593999999</v>
      </c>
      <c r="F67" s="20" t="n">
        <v>1.65746454</v>
      </c>
      <c r="G67" s="18" t="n">
        <v>16.2960901</v>
      </c>
      <c r="H67" s="20" t="n">
        <v>1.61993516</v>
      </c>
      <c r="I67" s="18" t="n">
        <v>0</v>
      </c>
      <c r="J67" s="20" t="n">
        <v>0</v>
      </c>
      <c r="K67" s="18" t="n">
        <v>0</v>
      </c>
      <c r="L67" s="20" t="n">
        <v>0</v>
      </c>
      <c r="M67" s="18" t="n">
        <v>0</v>
      </c>
      <c r="N67" s="20" t="n">
        <v>0</v>
      </c>
      <c r="O67" s="18" t="n">
        <v>0</v>
      </c>
      <c r="P67" s="20" t="n">
        <v>0</v>
      </c>
      <c r="Q67" s="18" t="n">
        <v>2.25413396</v>
      </c>
      <c r="R67" s="20" t="n">
        <v>0.57790735</v>
      </c>
    </row>
    <row r="68" spans="1:18">
      <c r="A68" s="15" t="s">
        <v>628</v>
      </c>
      <c r="B68" s="17" t="n">
        <v>6971</v>
      </c>
      <c r="C68" s="18">
        <f>(6248.0/B68*100)</f>
        <v/>
      </c>
      <c r="D68" s="19" t="n">
        <v>723</v>
      </c>
      <c r="E68" s="18" t="n">
        <v>91.34140484</v>
      </c>
      <c r="F68" s="20" t="n">
        <v>0.91529836</v>
      </c>
      <c r="G68" s="18" t="n">
        <v>7.82221271</v>
      </c>
      <c r="H68" s="20" t="n">
        <v>0.92710378</v>
      </c>
      <c r="I68" s="18" t="n">
        <v>0</v>
      </c>
      <c r="J68" s="20" t="n">
        <v>0</v>
      </c>
      <c r="K68" s="18" t="n">
        <v>0.22145125</v>
      </c>
      <c r="L68" s="20" t="n">
        <v>0.22600057</v>
      </c>
      <c r="M68" s="18" t="n">
        <v>0</v>
      </c>
      <c r="N68" s="20" t="n">
        <v>0</v>
      </c>
      <c r="O68" s="18" t="n">
        <v>0</v>
      </c>
      <c r="P68" s="20" t="n">
        <v>0</v>
      </c>
      <c r="Q68" s="18" t="n">
        <v>0.6149312</v>
      </c>
      <c r="R68" s="20" t="n">
        <v>0.3101259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(10790.0/B70*100)</f>
        <v/>
      </c>
      <c r="D70" s="19" t="n">
        <v>1293</v>
      </c>
      <c r="E70" s="18" t="n">
        <v>77.75952270000001</v>
      </c>
      <c r="F70" s="20" t="n">
        <v>1.10688554</v>
      </c>
      <c r="G70" s="18" t="n">
        <v>17.92252472</v>
      </c>
      <c r="H70" s="20" t="n">
        <v>1.1683501</v>
      </c>
      <c r="I70" s="18" t="n">
        <v>0</v>
      </c>
      <c r="J70" s="20" t="n">
        <v>0</v>
      </c>
      <c r="K70" s="18" t="n">
        <v>1.51687654</v>
      </c>
      <c r="L70" s="20" t="n">
        <v>0.37223845</v>
      </c>
      <c r="M70" s="18" t="n">
        <v>0</v>
      </c>
      <c r="N70" s="20" t="n">
        <v>0</v>
      </c>
      <c r="O70" s="18" t="n">
        <v>0</v>
      </c>
      <c r="P70" s="20" t="n">
        <v>0</v>
      </c>
      <c r="Q70" s="18" t="n">
        <v>2.80107603</v>
      </c>
      <c r="R70" s="20" t="n">
        <v>0.47087748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(5335.0/B72*100)</f>
        <v/>
      </c>
      <c r="D72" s="19" t="n">
        <v>701</v>
      </c>
      <c r="E72" s="18" t="n">
        <v>75.511606</v>
      </c>
      <c r="F72" s="20" t="n">
        <v>1.68906487</v>
      </c>
      <c r="G72" s="18" t="n">
        <v>23.95501739</v>
      </c>
      <c r="H72" s="20" t="n">
        <v>1.64643205</v>
      </c>
      <c r="I72" s="18" t="n">
        <v>0</v>
      </c>
      <c r="J72" s="20" t="n">
        <v>0</v>
      </c>
      <c r="K72" s="18" t="n">
        <v>0</v>
      </c>
      <c r="L72" s="20" t="n">
        <v>0</v>
      </c>
      <c r="M72" s="18" t="n">
        <v>0</v>
      </c>
      <c r="N72" s="20" t="n">
        <v>0</v>
      </c>
      <c r="O72" s="18" t="n">
        <v>0</v>
      </c>
      <c r="P72" s="20" t="n">
        <v>0</v>
      </c>
      <c r="Q72" s="18" t="n">
        <v>0.53337661</v>
      </c>
      <c r="R72" s="20" t="n">
        <v>0.20992012</v>
      </c>
    </row>
    <row r="73" spans="1:18">
      <c r="A73" s="15" t="s">
        <v>633</v>
      </c>
      <c r="B73" s="17" t="n">
        <v>6115</v>
      </c>
      <c r="C73" s="18">
        <f>(5455.0/B73*100)</f>
        <v/>
      </c>
      <c r="D73" s="19" t="n">
        <v>660</v>
      </c>
      <c r="E73" s="18" t="n">
        <v>61.70088685</v>
      </c>
      <c r="F73" s="20" t="n">
        <v>1.80871731</v>
      </c>
      <c r="G73" s="18" t="n">
        <v>37.57645025</v>
      </c>
      <c r="H73" s="20" t="n">
        <v>1.80552764</v>
      </c>
      <c r="I73" s="18" t="n">
        <v>0</v>
      </c>
      <c r="J73" s="20" t="n">
        <v>0</v>
      </c>
      <c r="K73" s="18" t="n">
        <v>0.31026694</v>
      </c>
      <c r="L73" s="20" t="n">
        <v>0.22135366</v>
      </c>
      <c r="M73" s="18" t="n">
        <v>0</v>
      </c>
      <c r="N73" s="20" t="n">
        <v>0</v>
      </c>
      <c r="O73" s="18" t="n">
        <v>0</v>
      </c>
      <c r="P73" s="20" t="n">
        <v>0</v>
      </c>
      <c r="Q73" s="18" t="n">
        <v>0.41239597</v>
      </c>
      <c r="R73" s="20" t="n">
        <v>0.23611409</v>
      </c>
    </row>
    <row r="74" spans="1:18">
      <c r="A74" s="15" t="s">
        <v>634</v>
      </c>
      <c r="B74" s="17" t="n">
        <v>7708</v>
      </c>
      <c r="C74" s="18">
        <f>(6876.0/B74*100)</f>
        <v/>
      </c>
      <c r="D74" s="19" t="n">
        <v>832</v>
      </c>
      <c r="E74" s="18" t="n">
        <v>67.44098529999999</v>
      </c>
      <c r="F74" s="20" t="n">
        <v>1.83278806</v>
      </c>
      <c r="G74" s="18" t="n">
        <v>31.7421305</v>
      </c>
      <c r="H74" s="20" t="n">
        <v>1.76072993</v>
      </c>
      <c r="I74" s="18" t="n">
        <v>0</v>
      </c>
      <c r="J74" s="20" t="n">
        <v>0</v>
      </c>
      <c r="K74" s="18" t="n">
        <v>0</v>
      </c>
      <c r="L74" s="20" t="n">
        <v>0</v>
      </c>
      <c r="M74" s="18" t="n">
        <v>0</v>
      </c>
      <c r="N74" s="20" t="n">
        <v>0</v>
      </c>
      <c r="O74" s="18" t="n">
        <v>0</v>
      </c>
      <c r="P74" s="20" t="n">
        <v>0</v>
      </c>
      <c r="Q74" s="18" t="n">
        <v>0.8168841999999999</v>
      </c>
      <c r="R74" s="20" t="n">
        <v>0.35975202</v>
      </c>
    </row>
    <row r="75" spans="1:18">
      <c r="A75" s="15" t="s">
        <v>635</v>
      </c>
      <c r="B75" s="17" t="n">
        <v>8249</v>
      </c>
      <c r="C75" s="18">
        <f>(7338.0/B75*100)</f>
        <v/>
      </c>
      <c r="D75" s="19" t="n">
        <v>911</v>
      </c>
      <c r="E75" s="18" t="n">
        <v>83.84999929</v>
      </c>
      <c r="F75" s="20" t="n">
        <v>1.34747562</v>
      </c>
      <c r="G75" s="18" t="n">
        <v>15.08419324</v>
      </c>
      <c r="H75" s="20" t="n">
        <v>1.36921945</v>
      </c>
      <c r="I75" s="18" t="n">
        <v>0</v>
      </c>
      <c r="J75" s="20" t="n">
        <v>0</v>
      </c>
      <c r="K75" s="18" t="n">
        <v>0</v>
      </c>
      <c r="L75" s="20" t="n">
        <v>0</v>
      </c>
      <c r="M75" s="18" t="n">
        <v>0</v>
      </c>
      <c r="N75" s="20" t="n">
        <v>0</v>
      </c>
      <c r="O75" s="18" t="n">
        <v>0</v>
      </c>
      <c r="P75" s="20" t="n">
        <v>0</v>
      </c>
      <c r="Q75" s="18" t="n">
        <v>1.06580747</v>
      </c>
      <c r="R75" s="20" t="n">
        <v>0.37891641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(4823.0/B77*100)</f>
        <v/>
      </c>
      <c r="D77" s="19" t="n">
        <v>552</v>
      </c>
      <c r="E77" s="18" t="n">
        <v>76.82439841</v>
      </c>
      <c r="F77" s="20" t="n">
        <v>1.87817163</v>
      </c>
      <c r="G77" s="18" t="n">
        <v>19.22706268</v>
      </c>
      <c r="H77" s="20" t="n">
        <v>1.80766476</v>
      </c>
      <c r="I77" s="18" t="n">
        <v>0</v>
      </c>
      <c r="J77" s="20" t="n">
        <v>0</v>
      </c>
      <c r="K77" s="18" t="n">
        <v>1.96374732</v>
      </c>
      <c r="L77" s="20" t="n">
        <v>0.5827086299999999</v>
      </c>
      <c r="M77" s="18" t="n">
        <v>0</v>
      </c>
      <c r="N77" s="20" t="n">
        <v>0</v>
      </c>
      <c r="O77" s="18" t="n">
        <v>0</v>
      </c>
      <c r="P77" s="20" t="n">
        <v>0</v>
      </c>
      <c r="Q77" s="18" t="n">
        <v>1.98479159</v>
      </c>
      <c r="R77" s="20" t="n">
        <v>0.50037194</v>
      </c>
    </row>
    <row r="78" spans="1:18">
      <c r="A78" s="15" t="s">
        <v>638</v>
      </c>
      <c r="B78" s="17" t="n">
        <v>14167</v>
      </c>
      <c r="C78" s="18">
        <f>(12623.0/B78*100)</f>
        <v/>
      </c>
      <c r="D78" s="19" t="n">
        <v>1544</v>
      </c>
      <c r="E78" s="18" t="n">
        <v>83.88176740999999</v>
      </c>
      <c r="F78" s="20" t="n">
        <v>1.38689013</v>
      </c>
      <c r="G78" s="18" t="n">
        <v>14.94467551</v>
      </c>
      <c r="H78" s="20" t="n">
        <v>1.35331539</v>
      </c>
      <c r="I78" s="18" t="n">
        <v>0</v>
      </c>
      <c r="J78" s="20" t="n">
        <v>0</v>
      </c>
      <c r="K78" s="18" t="n">
        <v>0.30773293</v>
      </c>
      <c r="L78" s="20" t="n">
        <v>0.14779985</v>
      </c>
      <c r="M78" s="18" t="n">
        <v>0</v>
      </c>
      <c r="N78" s="20" t="n">
        <v>0</v>
      </c>
      <c r="O78" s="18" t="n">
        <v>0</v>
      </c>
      <c r="P78" s="20" t="n">
        <v>0</v>
      </c>
      <c r="Q78" s="18" t="n">
        <v>0.86582416</v>
      </c>
      <c r="R78" s="20" t="n">
        <v>0.26686432</v>
      </c>
    </row>
    <row r="79" spans="1:18">
      <c r="A79" s="15" t="s">
        <v>639</v>
      </c>
      <c r="B79" s="17" t="n">
        <v>6062</v>
      </c>
      <c r="C79" s="18">
        <f>(5424.0/B79*100)</f>
        <v/>
      </c>
      <c r="D79" s="19" t="n">
        <v>638</v>
      </c>
      <c r="E79" s="18" t="n">
        <v>87.11723555</v>
      </c>
      <c r="F79" s="20" t="n">
        <v>1.38708349</v>
      </c>
      <c r="G79" s="18" t="n">
        <v>11.06813068</v>
      </c>
      <c r="H79" s="20" t="n">
        <v>1.43231703</v>
      </c>
      <c r="I79" s="18" t="n">
        <v>0</v>
      </c>
      <c r="J79" s="20" t="n">
        <v>0</v>
      </c>
      <c r="K79" s="18" t="n">
        <v>0.45293015</v>
      </c>
      <c r="L79" s="20" t="n">
        <v>0.28582177</v>
      </c>
      <c r="M79" s="18" t="n">
        <v>0</v>
      </c>
      <c r="N79" s="20" t="n">
        <v>0</v>
      </c>
      <c r="O79" s="18" t="n">
        <v>0</v>
      </c>
      <c r="P79" s="20" t="n">
        <v>0</v>
      </c>
      <c r="Q79" s="18" t="n">
        <v>1.36170362</v>
      </c>
      <c r="R79" s="20" t="n">
        <v>0.51087359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(28798.0/B82*100)</f>
        <v/>
      </c>
      <c r="D82" s="19" t="n">
        <v>3532</v>
      </c>
      <c r="E82" s="18" t="n">
        <v>77.40389245999999</v>
      </c>
      <c r="F82" s="20" t="n">
        <v>0.95774694</v>
      </c>
      <c r="G82" s="18" t="n">
        <v>21.70749066</v>
      </c>
      <c r="H82" s="20" t="n">
        <v>0.95293089</v>
      </c>
      <c r="I82" s="18" t="n">
        <v>0</v>
      </c>
      <c r="J82" s="20" t="n">
        <v>0</v>
      </c>
      <c r="K82" s="18" t="n">
        <v>0.13069213</v>
      </c>
      <c r="L82" s="20" t="n">
        <v>0.06715749999999999</v>
      </c>
      <c r="M82" s="18" t="n">
        <v>0</v>
      </c>
      <c r="N82" s="20" t="n">
        <v>0</v>
      </c>
      <c r="O82" s="18" t="n">
        <v>0</v>
      </c>
      <c r="P82" s="20" t="n">
        <v>0</v>
      </c>
      <c r="Q82" s="18" t="n">
        <v>0.75792475</v>
      </c>
      <c r="R82" s="20" t="n">
        <v>0.19468763</v>
      </c>
    </row>
    <row r="83" spans="1:18">
      <c r="A83" s="15" t="s">
        <v>643</v>
      </c>
      <c r="B83" s="17" t="n">
        <v>1652</v>
      </c>
      <c r="C83" s="18">
        <f>(1472.0/B83*100)</f>
        <v/>
      </c>
      <c r="D83" s="19" t="n">
        <v>180</v>
      </c>
      <c r="E83" s="18" t="n">
        <v>70.77109033000001</v>
      </c>
      <c r="F83" s="20" t="n">
        <v>3.92316494</v>
      </c>
      <c r="G83" s="18" t="n">
        <v>28.07295858</v>
      </c>
      <c r="H83" s="20" t="n">
        <v>3.94508069</v>
      </c>
      <c r="I83" s="18" t="n">
        <v>0</v>
      </c>
      <c r="J83" s="20" t="n">
        <v>0</v>
      </c>
      <c r="K83" s="18" t="n">
        <v>0</v>
      </c>
      <c r="L83" s="20" t="n">
        <v>0</v>
      </c>
      <c r="M83" s="18" t="n">
        <v>0</v>
      </c>
      <c r="N83" s="20" t="n">
        <v>0</v>
      </c>
      <c r="O83" s="18" t="n">
        <v>0</v>
      </c>
      <c r="P83" s="20" t="n">
        <v>0</v>
      </c>
      <c r="Q83" s="18" t="n">
        <v>1.15595109</v>
      </c>
      <c r="R83" s="20" t="n">
        <v>0.82498203</v>
      </c>
    </row>
    <row r="84" spans="1:18">
      <c r="A84" s="23" t="s">
        <v>644</v>
      </c>
      <c r="B84" s="24" t="n">
        <v>1887</v>
      </c>
      <c r="C84" s="25">
        <f>(1675.0/B84*100)</f>
        <v/>
      </c>
      <c r="D84" s="19" t="n">
        <v>212</v>
      </c>
      <c r="E84" s="18" t="n">
        <v>72.13815674</v>
      </c>
      <c r="F84" s="20" t="n">
        <v>3.33398438</v>
      </c>
      <c r="G84" s="18" t="n">
        <v>26.97854678</v>
      </c>
      <c r="H84" s="20" t="n">
        <v>3.1686513</v>
      </c>
      <c r="I84" s="18" t="n">
        <v>0</v>
      </c>
      <c r="J84" s="20" t="n">
        <v>0</v>
      </c>
      <c r="K84" s="18" t="n">
        <v>0</v>
      </c>
      <c r="L84" s="20" t="n">
        <v>0</v>
      </c>
      <c r="M84" s="18" t="n">
        <v>0</v>
      </c>
      <c r="N84" s="20" t="n">
        <v>0</v>
      </c>
      <c r="O84" s="18" t="n">
        <v>0</v>
      </c>
      <c r="P84" s="20" t="n">
        <v>0</v>
      </c>
      <c r="Q84" s="18" t="n">
        <v>0.8832964800000001</v>
      </c>
      <c r="R84" s="20" t="n">
        <v>0.63738786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(12958.0/B7*100)</f>
        <v/>
      </c>
      <c r="D7" s="19" t="n">
        <v>1572</v>
      </c>
      <c r="E7" s="18" t="n">
        <v>5.59309298</v>
      </c>
      <c r="F7" s="20" t="n">
        <v>0.7239498599999999</v>
      </c>
      <c r="G7" s="18" t="n">
        <v>93.71998103999999</v>
      </c>
      <c r="H7" s="20" t="n">
        <v>0.75035002</v>
      </c>
      <c r="I7" s="18" t="n">
        <v>0</v>
      </c>
      <c r="J7" s="20" t="n">
        <v>0</v>
      </c>
      <c r="K7" s="18" t="n">
        <v>0.14103607</v>
      </c>
      <c r="L7" s="20" t="n">
        <v>0.1101868</v>
      </c>
      <c r="M7" s="18" t="n">
        <v>0</v>
      </c>
      <c r="N7" s="20" t="n">
        <v>0</v>
      </c>
      <c r="O7" s="18" t="n">
        <v>0</v>
      </c>
      <c r="P7" s="20" t="n">
        <v>0</v>
      </c>
      <c r="Q7" s="18" t="n">
        <v>0.5458899</v>
      </c>
      <c r="R7" s="20" t="n">
        <v>0.18478506</v>
      </c>
    </row>
    <row r="8" spans="1:18">
      <c r="A8" s="15" t="s">
        <v>566</v>
      </c>
      <c r="B8" s="17" t="n">
        <v>7007</v>
      </c>
      <c r="C8" s="18">
        <f>(6218.0/B8*100)</f>
        <v/>
      </c>
      <c r="D8" s="19" t="n">
        <v>789</v>
      </c>
      <c r="E8" s="18" t="n">
        <v>9.56080796</v>
      </c>
      <c r="F8" s="20" t="n">
        <v>1.38505714</v>
      </c>
      <c r="G8" s="18" t="n">
        <v>90.18639441000001</v>
      </c>
      <c r="H8" s="20" t="n">
        <v>1.41055474</v>
      </c>
      <c r="I8" s="18" t="n">
        <v>0</v>
      </c>
      <c r="J8" s="20" t="n">
        <v>0</v>
      </c>
      <c r="K8" s="18" t="n">
        <v>0.14426096</v>
      </c>
      <c r="L8" s="20" t="n">
        <v>0.16470335</v>
      </c>
      <c r="M8" s="18" t="n">
        <v>0</v>
      </c>
      <c r="N8" s="20" t="n">
        <v>0</v>
      </c>
      <c r="O8" s="18" t="n">
        <v>0</v>
      </c>
      <c r="P8" s="20" t="n">
        <v>0</v>
      </c>
      <c r="Q8" s="18" t="n">
        <v>0.10853668</v>
      </c>
      <c r="R8" s="20" t="n">
        <v>0.08115561</v>
      </c>
    </row>
    <row r="9" spans="1:18">
      <c r="A9" s="15" t="s">
        <v>567</v>
      </c>
      <c r="B9" s="17" t="n">
        <v>9651</v>
      </c>
      <c r="C9" s="18">
        <f>(8370.0/B9*100)</f>
        <v/>
      </c>
      <c r="D9" s="19" t="n">
        <v>1281</v>
      </c>
      <c r="E9" s="18" t="n">
        <v>12.53590956</v>
      </c>
      <c r="F9" s="20" t="n">
        <v>1.04807858</v>
      </c>
      <c r="G9" s="18" t="n">
        <v>87.03207183000001</v>
      </c>
      <c r="H9" s="20" t="n">
        <v>1.07155798</v>
      </c>
      <c r="I9" s="18" t="n">
        <v>0</v>
      </c>
      <c r="J9" s="20" t="n">
        <v>0</v>
      </c>
      <c r="K9" s="18" t="n">
        <v>0</v>
      </c>
      <c r="L9" s="20" t="n">
        <v>0</v>
      </c>
      <c r="M9" s="18" t="n">
        <v>0</v>
      </c>
      <c r="N9" s="20" t="n">
        <v>0</v>
      </c>
      <c r="O9" s="18" t="n">
        <v>0</v>
      </c>
      <c r="P9" s="20" t="n">
        <v>0</v>
      </c>
      <c r="Q9" s="18" t="n">
        <v>0.43201861</v>
      </c>
      <c r="R9" s="20" t="n">
        <v>0.1751717</v>
      </c>
    </row>
    <row r="10" spans="1:18">
      <c r="A10" s="15" t="s">
        <v>568</v>
      </c>
      <c r="B10" s="17" t="n">
        <v>20058</v>
      </c>
      <c r="C10" s="18">
        <f>(17761.0/B10*100)</f>
        <v/>
      </c>
      <c r="D10" s="19" t="n">
        <v>2297</v>
      </c>
      <c r="E10" s="18" t="n">
        <v>6.15766712</v>
      </c>
      <c r="F10" s="20" t="n">
        <v>0.79613687</v>
      </c>
      <c r="G10" s="18" t="n">
        <v>93.00008081</v>
      </c>
      <c r="H10" s="20" t="n">
        <v>0.88362727</v>
      </c>
      <c r="I10" s="18" t="n">
        <v>0</v>
      </c>
      <c r="J10" s="20" t="n">
        <v>0</v>
      </c>
      <c r="K10" s="18" t="n">
        <v>0.42388772</v>
      </c>
      <c r="L10" s="20" t="n">
        <v>0.24002735</v>
      </c>
      <c r="M10" s="18" t="n">
        <v>0</v>
      </c>
      <c r="N10" s="20" t="n">
        <v>0</v>
      </c>
      <c r="O10" s="18" t="n">
        <v>0</v>
      </c>
      <c r="P10" s="20" t="n">
        <v>0</v>
      </c>
      <c r="Q10" s="18" t="n">
        <v>0.41836435</v>
      </c>
      <c r="R10" s="20" t="n">
        <v>0.2503883</v>
      </c>
    </row>
    <row r="11" spans="1:18">
      <c r="A11" s="15" t="s">
        <v>569</v>
      </c>
      <c r="B11" s="17" t="n">
        <v>7053</v>
      </c>
      <c r="C11" s="18">
        <f>(6305.0/B11*100)</f>
        <v/>
      </c>
      <c r="D11" s="19" t="n">
        <v>748</v>
      </c>
      <c r="E11" s="18" t="n">
        <v>19.09269232</v>
      </c>
      <c r="F11" s="20" t="n">
        <v>1.64913842</v>
      </c>
      <c r="G11" s="18" t="n">
        <v>79.85132523999999</v>
      </c>
      <c r="H11" s="20" t="n">
        <v>1.68497685</v>
      </c>
      <c r="I11" s="18" t="n">
        <v>0</v>
      </c>
      <c r="J11" s="20" t="n">
        <v>0</v>
      </c>
      <c r="K11" s="18" t="n">
        <v>0.50766702</v>
      </c>
      <c r="L11" s="20" t="n">
        <v>0.26513565</v>
      </c>
      <c r="M11" s="18" t="n">
        <v>0</v>
      </c>
      <c r="N11" s="20" t="n">
        <v>0</v>
      </c>
      <c r="O11" s="18" t="n">
        <v>0</v>
      </c>
      <c r="P11" s="20" t="n">
        <v>0</v>
      </c>
      <c r="Q11" s="18" t="n">
        <v>0.54831542</v>
      </c>
      <c r="R11" s="20" t="n">
        <v>0.31927359</v>
      </c>
    </row>
    <row r="12" spans="1:18">
      <c r="A12" s="15" t="s">
        <v>570</v>
      </c>
      <c r="B12" s="17" t="n">
        <v>6894</v>
      </c>
      <c r="C12" s="18">
        <f>(6049.0/B12*100)</f>
        <v/>
      </c>
      <c r="D12" s="19" t="n">
        <v>845</v>
      </c>
      <c r="E12" s="18" t="n">
        <v>12.12752622</v>
      </c>
      <c r="F12" s="20" t="n">
        <v>1.77420889</v>
      </c>
      <c r="G12" s="18" t="n">
        <v>86.85832846</v>
      </c>
      <c r="H12" s="20" t="n">
        <v>1.71693249</v>
      </c>
      <c r="I12" s="18" t="n">
        <v>0</v>
      </c>
      <c r="J12" s="20" t="n">
        <v>0</v>
      </c>
      <c r="K12" s="18" t="n">
        <v>0.20401387</v>
      </c>
      <c r="L12" s="20" t="n">
        <v>0.1422903</v>
      </c>
      <c r="M12" s="18" t="n">
        <v>0</v>
      </c>
      <c r="N12" s="20" t="n">
        <v>0</v>
      </c>
      <c r="O12" s="18" t="n">
        <v>0</v>
      </c>
      <c r="P12" s="20" t="n">
        <v>0</v>
      </c>
      <c r="Q12" s="18" t="n">
        <v>0.81013145</v>
      </c>
      <c r="R12" s="20" t="n">
        <v>0.44097204</v>
      </c>
    </row>
    <row r="13" spans="1:18">
      <c r="A13" s="15" t="s">
        <v>571</v>
      </c>
      <c r="B13" s="17" t="n">
        <v>7161</v>
      </c>
      <c r="C13" s="18">
        <f>(6031.0/B13*100)</f>
        <v/>
      </c>
      <c r="D13" s="19" t="n">
        <v>1130</v>
      </c>
      <c r="E13" s="18" t="n">
        <v>12.72520383</v>
      </c>
      <c r="F13" s="20" t="n">
        <v>1.25047371</v>
      </c>
      <c r="G13" s="18" t="n">
        <v>86.64706961</v>
      </c>
      <c r="H13" s="20" t="n">
        <v>1.23247266</v>
      </c>
      <c r="I13" s="18" t="n">
        <v>0</v>
      </c>
      <c r="J13" s="20" t="n">
        <v>0</v>
      </c>
      <c r="K13" s="18" t="n">
        <v>0.37495595</v>
      </c>
      <c r="L13" s="20" t="n">
        <v>0.18473611</v>
      </c>
      <c r="M13" s="18" t="n">
        <v>0</v>
      </c>
      <c r="N13" s="20" t="n">
        <v>0</v>
      </c>
      <c r="O13" s="18" t="n">
        <v>0</v>
      </c>
      <c r="P13" s="20" t="n">
        <v>0</v>
      </c>
      <c r="Q13" s="18" t="n">
        <v>0.25277061</v>
      </c>
      <c r="R13" s="20" t="n">
        <v>0.16768899</v>
      </c>
    </row>
    <row r="14" spans="1:18">
      <c r="A14" s="15" t="s">
        <v>572</v>
      </c>
      <c r="B14" s="17" t="n">
        <v>5587</v>
      </c>
      <c r="C14" s="18">
        <f>(4958.0/B14*100)</f>
        <v/>
      </c>
      <c r="D14" s="19" t="n">
        <v>629</v>
      </c>
      <c r="E14" s="18" t="n">
        <v>4.38641065</v>
      </c>
      <c r="F14" s="20" t="n">
        <v>0.85811502</v>
      </c>
      <c r="G14" s="18" t="n">
        <v>95.61358935</v>
      </c>
      <c r="H14" s="20" t="n">
        <v>0.85811502</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(5250.0/B15*100)</f>
        <v/>
      </c>
      <c r="D15" s="19" t="n">
        <v>632</v>
      </c>
      <c r="E15" s="18" t="n">
        <v>7.54480819</v>
      </c>
      <c r="F15" s="20" t="n">
        <v>1.17225677</v>
      </c>
      <c r="G15" s="18" t="n">
        <v>92.30493472000001</v>
      </c>
      <c r="H15" s="20" t="n">
        <v>1.16102723</v>
      </c>
      <c r="I15" s="18" t="n">
        <v>0</v>
      </c>
      <c r="J15" s="20" t="n">
        <v>0</v>
      </c>
      <c r="K15" s="18" t="n">
        <v>0</v>
      </c>
      <c r="L15" s="20" t="n">
        <v>0</v>
      </c>
      <c r="M15" s="18" t="n">
        <v>0</v>
      </c>
      <c r="N15" s="20" t="n">
        <v>0</v>
      </c>
      <c r="O15" s="18" t="n">
        <v>0</v>
      </c>
      <c r="P15" s="20" t="n">
        <v>0</v>
      </c>
      <c r="Q15" s="18" t="n">
        <v>0.15025709</v>
      </c>
      <c r="R15" s="20" t="n">
        <v>0.15070889</v>
      </c>
    </row>
    <row r="16" spans="1:18">
      <c r="A16" s="15" t="s">
        <v>574</v>
      </c>
      <c r="B16" s="17" t="n">
        <v>6108</v>
      </c>
      <c r="C16" s="18">
        <f>(5444.0/B16*100)</f>
        <v/>
      </c>
      <c r="D16" s="19" t="n">
        <v>664</v>
      </c>
      <c r="E16" s="18" t="n">
        <v>14.54866669</v>
      </c>
      <c r="F16" s="20" t="n">
        <v>1.32648896</v>
      </c>
      <c r="G16" s="18" t="n">
        <v>83.81839021</v>
      </c>
      <c r="H16" s="20" t="n">
        <v>1.57727884</v>
      </c>
      <c r="I16" s="18" t="n">
        <v>0</v>
      </c>
      <c r="J16" s="20" t="n">
        <v>0</v>
      </c>
      <c r="K16" s="18" t="n">
        <v>0.47122728</v>
      </c>
      <c r="L16" s="20" t="n">
        <v>0.26026447</v>
      </c>
      <c r="M16" s="18" t="n">
        <v>0</v>
      </c>
      <c r="N16" s="20" t="n">
        <v>0</v>
      </c>
      <c r="O16" s="18" t="n">
        <v>0</v>
      </c>
      <c r="P16" s="20" t="n">
        <v>0</v>
      </c>
      <c r="Q16" s="18" t="n">
        <v>1.16171582</v>
      </c>
      <c r="R16" s="20" t="n">
        <v>0.5775469600000001</v>
      </c>
    </row>
    <row r="17" spans="1:18">
      <c r="A17" s="15" t="s">
        <v>575</v>
      </c>
      <c r="B17" s="17" t="n">
        <v>6504</v>
      </c>
      <c r="C17" s="18">
        <f>(5683.0/B17*100)</f>
        <v/>
      </c>
      <c r="D17" s="19" t="n">
        <v>821</v>
      </c>
      <c r="E17" s="18" t="n">
        <v>10.68811802</v>
      </c>
      <c r="F17" s="20" t="n">
        <v>0.92700564</v>
      </c>
      <c r="G17" s="18" t="n">
        <v>89.03642625000001</v>
      </c>
      <c r="H17" s="20" t="n">
        <v>0.9343758599999999</v>
      </c>
      <c r="I17" s="18" t="n">
        <v>0</v>
      </c>
      <c r="J17" s="20" t="n">
        <v>0</v>
      </c>
      <c r="K17" s="18" t="n">
        <v>0.27545573</v>
      </c>
      <c r="L17" s="20" t="n">
        <v>0.19188565</v>
      </c>
      <c r="M17" s="18" t="n">
        <v>0</v>
      </c>
      <c r="N17" s="20" t="n">
        <v>0</v>
      </c>
      <c r="O17" s="18" t="n">
        <v>0</v>
      </c>
      <c r="P17" s="20" t="n">
        <v>0</v>
      </c>
      <c r="Q17" s="18" t="n">
        <v>0</v>
      </c>
      <c r="R17" s="20" t="n">
        <v>0</v>
      </c>
    </row>
    <row r="18" spans="1:18">
      <c r="A18" s="15" t="s">
        <v>576</v>
      </c>
      <c r="B18" s="17" t="n">
        <v>5532</v>
      </c>
      <c r="C18" s="18">
        <f>(4913.0/B18*100)</f>
        <v/>
      </c>
      <c r="D18" s="19" t="n">
        <v>619</v>
      </c>
      <c r="E18" s="18" t="n">
        <v>14.93336993</v>
      </c>
      <c r="F18" s="20" t="n">
        <v>1.49252771</v>
      </c>
      <c r="G18" s="18" t="n">
        <v>84.45502182</v>
      </c>
      <c r="H18" s="20" t="n">
        <v>1.49837012</v>
      </c>
      <c r="I18" s="18" t="n">
        <v>0</v>
      </c>
      <c r="J18" s="20" t="n">
        <v>0</v>
      </c>
      <c r="K18" s="18" t="n">
        <v>0.1298413</v>
      </c>
      <c r="L18" s="20" t="n">
        <v>0.12573079</v>
      </c>
      <c r="M18" s="18" t="n">
        <v>0</v>
      </c>
      <c r="N18" s="20" t="n">
        <v>0</v>
      </c>
      <c r="O18" s="18" t="n">
        <v>0</v>
      </c>
      <c r="P18" s="20" t="n">
        <v>0</v>
      </c>
      <c r="Q18" s="18" t="n">
        <v>0.48176695</v>
      </c>
      <c r="R18" s="20" t="n">
        <v>0.23757068</v>
      </c>
    </row>
    <row r="19" spans="1:18">
      <c r="A19" s="15" t="s">
        <v>577</v>
      </c>
      <c r="B19" s="17" t="n">
        <v>5658</v>
      </c>
      <c r="C19" s="18">
        <f>(5048.0/B19*100)</f>
        <v/>
      </c>
      <c r="D19" s="19" t="n">
        <v>610</v>
      </c>
      <c r="E19" s="18" t="n">
        <v>13.97304799</v>
      </c>
      <c r="F19" s="20" t="n">
        <v>1.44272832</v>
      </c>
      <c r="G19" s="18" t="n">
        <v>86.02695201</v>
      </c>
      <c r="H19" s="20" t="n">
        <v>1.44272832</v>
      </c>
      <c r="I19" s="18" t="n">
        <v>0</v>
      </c>
      <c r="J19" s="20" t="n">
        <v>0</v>
      </c>
      <c r="K19" s="18" t="n">
        <v>0</v>
      </c>
      <c r="L19" s="20" t="n">
        <v>0</v>
      </c>
      <c r="M19" s="18" t="n">
        <v>0</v>
      </c>
      <c r="N19" s="20" t="n">
        <v>0</v>
      </c>
      <c r="O19" s="18" t="n">
        <v>0</v>
      </c>
      <c r="P19" s="20" t="n">
        <v>0</v>
      </c>
      <c r="Q19" s="18" t="n">
        <v>0</v>
      </c>
      <c r="R19" s="20" t="n">
        <v>0</v>
      </c>
    </row>
    <row r="20" spans="1:18">
      <c r="A20" s="15" t="s">
        <v>578</v>
      </c>
      <c r="B20" s="17" t="n">
        <v>3371</v>
      </c>
      <c r="C20" s="18">
        <f>(2974.0/B20*100)</f>
        <v/>
      </c>
      <c r="D20" s="19" t="n">
        <v>397</v>
      </c>
      <c r="E20" s="18" t="n">
        <v>5.74718001</v>
      </c>
      <c r="F20" s="20" t="n">
        <v>1.19787303</v>
      </c>
      <c r="G20" s="18" t="n">
        <v>93.75441898</v>
      </c>
      <c r="H20" s="20" t="n">
        <v>1.25139589</v>
      </c>
      <c r="I20" s="18" t="n">
        <v>0</v>
      </c>
      <c r="J20" s="20" t="n">
        <v>0</v>
      </c>
      <c r="K20" s="18" t="n">
        <v>0.2487179</v>
      </c>
      <c r="L20" s="20" t="n">
        <v>0.24972445</v>
      </c>
      <c r="M20" s="18" t="n">
        <v>0</v>
      </c>
      <c r="N20" s="20" t="n">
        <v>0</v>
      </c>
      <c r="O20" s="18" t="n">
        <v>0</v>
      </c>
      <c r="P20" s="20" t="n">
        <v>0</v>
      </c>
      <c r="Q20" s="18" t="n">
        <v>0.2496831</v>
      </c>
      <c r="R20" s="20" t="n">
        <v>0.2511527</v>
      </c>
    </row>
    <row r="21" spans="1:18">
      <c r="A21" s="15" t="s">
        <v>579</v>
      </c>
      <c r="B21" s="17" t="n">
        <v>5741</v>
      </c>
      <c r="C21" s="18">
        <f>(5116.0/B21*100)</f>
        <v/>
      </c>
      <c r="D21" s="19" t="n">
        <v>625</v>
      </c>
      <c r="E21" s="18" t="n">
        <v>5.17480036</v>
      </c>
      <c r="F21" s="20" t="n">
        <v>0.8271435</v>
      </c>
      <c r="G21" s="18" t="n">
        <v>94.62813013</v>
      </c>
      <c r="H21" s="20" t="n">
        <v>0.8574023200000001</v>
      </c>
      <c r="I21" s="18" t="n">
        <v>0</v>
      </c>
      <c r="J21" s="20" t="n">
        <v>0</v>
      </c>
      <c r="K21" s="18" t="n">
        <v>0</v>
      </c>
      <c r="L21" s="20" t="n">
        <v>0</v>
      </c>
      <c r="M21" s="18" t="n">
        <v>0</v>
      </c>
      <c r="N21" s="20" t="n">
        <v>0</v>
      </c>
      <c r="O21" s="18" t="n">
        <v>0</v>
      </c>
      <c r="P21" s="20" t="n">
        <v>0</v>
      </c>
      <c r="Q21" s="18" t="n">
        <v>0.19706952</v>
      </c>
      <c r="R21" s="20" t="n">
        <v>0.20150593</v>
      </c>
    </row>
    <row r="22" spans="1:18">
      <c r="A22" s="15" t="s">
        <v>580</v>
      </c>
      <c r="B22" s="17" t="n">
        <v>6598</v>
      </c>
      <c r="C22" s="18">
        <f>(5847.0/B22*100)</f>
        <v/>
      </c>
      <c r="D22" s="19" t="n">
        <v>751</v>
      </c>
      <c r="E22" s="18" t="n">
        <v>10.14597966</v>
      </c>
      <c r="F22" s="20" t="n">
        <v>1.20813733</v>
      </c>
      <c r="G22" s="18" t="n">
        <v>88.81992008</v>
      </c>
      <c r="H22" s="20" t="n">
        <v>1.25422506</v>
      </c>
      <c r="I22" s="18" t="n">
        <v>0</v>
      </c>
      <c r="J22" s="20" t="n">
        <v>0</v>
      </c>
      <c r="K22" s="18" t="n">
        <v>0.38442782</v>
      </c>
      <c r="L22" s="20" t="n">
        <v>0.23112513</v>
      </c>
      <c r="M22" s="18" t="n">
        <v>0</v>
      </c>
      <c r="N22" s="20" t="n">
        <v>0</v>
      </c>
      <c r="O22" s="18" t="n">
        <v>0</v>
      </c>
      <c r="P22" s="20" t="n">
        <v>0</v>
      </c>
      <c r="Q22" s="18" t="n">
        <v>0.64967244</v>
      </c>
      <c r="R22" s="20" t="n">
        <v>0.22600045</v>
      </c>
    </row>
    <row r="23" spans="1:18">
      <c r="A23" s="15" t="s">
        <v>581</v>
      </c>
      <c r="B23" s="17" t="n">
        <v>11583</v>
      </c>
      <c r="C23" s="18">
        <f>(10339.0/B23*100)</f>
        <v/>
      </c>
      <c r="D23" s="19" t="n">
        <v>1244</v>
      </c>
      <c r="E23" s="18" t="n">
        <v>11.31128838</v>
      </c>
      <c r="F23" s="20" t="n">
        <v>1.30744476</v>
      </c>
      <c r="G23" s="18" t="n">
        <v>88.00811729</v>
      </c>
      <c r="H23" s="20" t="n">
        <v>1.35703492</v>
      </c>
      <c r="I23" s="18" t="n">
        <v>0</v>
      </c>
      <c r="J23" s="20" t="n">
        <v>0</v>
      </c>
      <c r="K23" s="18" t="n">
        <v>0.21901023</v>
      </c>
      <c r="L23" s="20" t="n">
        <v>0.15111587</v>
      </c>
      <c r="M23" s="18" t="n">
        <v>0</v>
      </c>
      <c r="N23" s="20" t="n">
        <v>0</v>
      </c>
      <c r="O23" s="18" t="n">
        <v>0</v>
      </c>
      <c r="P23" s="20" t="n">
        <v>0</v>
      </c>
      <c r="Q23" s="18" t="n">
        <v>0.46158409</v>
      </c>
      <c r="R23" s="20" t="n">
        <v>0.25152338</v>
      </c>
    </row>
    <row r="24" spans="1:18">
      <c r="A24" s="15" t="s">
        <v>582</v>
      </c>
      <c r="B24" s="17" t="n">
        <v>6647</v>
      </c>
      <c r="C24" s="18">
        <f>(5923.0/B24*100)</f>
        <v/>
      </c>
      <c r="D24" s="19" t="n">
        <v>724</v>
      </c>
      <c r="E24" s="18" t="n">
        <v>3.48183175</v>
      </c>
      <c r="F24" s="20" t="n">
        <v>0.65589016</v>
      </c>
      <c r="G24" s="18" t="n">
        <v>96.36891879</v>
      </c>
      <c r="H24" s="20" t="n">
        <v>0.66973081</v>
      </c>
      <c r="I24" s="18" t="n">
        <v>0</v>
      </c>
      <c r="J24" s="20" t="n">
        <v>0</v>
      </c>
      <c r="K24" s="18" t="n">
        <v>0</v>
      </c>
      <c r="L24" s="20" t="n">
        <v>0</v>
      </c>
      <c r="M24" s="18" t="n">
        <v>0</v>
      </c>
      <c r="N24" s="20" t="n">
        <v>0</v>
      </c>
      <c r="O24" s="18" t="n">
        <v>0</v>
      </c>
      <c r="P24" s="20" t="n">
        <v>0</v>
      </c>
      <c r="Q24" s="18" t="n">
        <v>0.14924945</v>
      </c>
      <c r="R24" s="20" t="n">
        <v>0.14603898</v>
      </c>
    </row>
    <row r="25" spans="1:18">
      <c r="A25" s="15" t="s">
        <v>583</v>
      </c>
      <c r="B25" s="17" t="n">
        <v>5581</v>
      </c>
      <c r="C25" s="18">
        <f>(4963.0/B25*100)</f>
        <v/>
      </c>
      <c r="D25" s="19" t="n">
        <v>618</v>
      </c>
      <c r="E25" s="18" t="n">
        <v>5.46531159</v>
      </c>
      <c r="F25" s="20" t="n">
        <v>0.95073293</v>
      </c>
      <c r="G25" s="18" t="n">
        <v>94.21908242000001</v>
      </c>
      <c r="H25" s="20" t="n">
        <v>1.01710707</v>
      </c>
      <c r="I25" s="18" t="n">
        <v>0</v>
      </c>
      <c r="J25" s="20" t="n">
        <v>0</v>
      </c>
      <c r="K25" s="18" t="n">
        <v>0.31560599</v>
      </c>
      <c r="L25" s="20" t="n">
        <v>0.22765417</v>
      </c>
      <c r="M25" s="18" t="n">
        <v>0</v>
      </c>
      <c r="N25" s="20" t="n">
        <v>0</v>
      </c>
      <c r="O25" s="18" t="n">
        <v>0</v>
      </c>
      <c r="P25" s="20" t="n">
        <v>0</v>
      </c>
      <c r="Q25" s="18" t="n">
        <v>0</v>
      </c>
      <c r="R25" s="20" t="n">
        <v>0</v>
      </c>
    </row>
    <row r="26" spans="1:18">
      <c r="A26" s="15" t="s">
        <v>584</v>
      </c>
      <c r="B26" s="17" t="n">
        <v>4869</v>
      </c>
      <c r="C26" s="18">
        <f>(4331.0/B26*100)</f>
        <v/>
      </c>
      <c r="D26" s="19" t="n">
        <v>538</v>
      </c>
      <c r="E26" s="18" t="n">
        <v>7.67036388</v>
      </c>
      <c r="F26" s="20" t="n">
        <v>1.10860641</v>
      </c>
      <c r="G26" s="18" t="n">
        <v>92.12312168</v>
      </c>
      <c r="H26" s="20" t="n">
        <v>1.13218583</v>
      </c>
      <c r="I26" s="18" t="n">
        <v>0</v>
      </c>
      <c r="J26" s="20" t="n">
        <v>0</v>
      </c>
      <c r="K26" s="18" t="n">
        <v>0</v>
      </c>
      <c r="L26" s="20" t="n">
        <v>0</v>
      </c>
      <c r="M26" s="18" t="n">
        <v>0</v>
      </c>
      <c r="N26" s="20" t="n">
        <v>0</v>
      </c>
      <c r="O26" s="18" t="n">
        <v>0</v>
      </c>
      <c r="P26" s="20" t="n">
        <v>0</v>
      </c>
      <c r="Q26" s="18" t="n">
        <v>0.20651444</v>
      </c>
      <c r="R26" s="20" t="n">
        <v>0.20759414</v>
      </c>
    </row>
    <row r="27" spans="1:18">
      <c r="A27" s="15" t="s">
        <v>585</v>
      </c>
      <c r="B27" s="17" t="n">
        <v>5299</v>
      </c>
      <c r="C27" s="18">
        <f>(4713.0/B27*100)</f>
        <v/>
      </c>
      <c r="D27" s="19" t="n">
        <v>586</v>
      </c>
      <c r="E27" s="18" t="n">
        <v>14.63244416</v>
      </c>
      <c r="F27" s="20" t="n">
        <v>1.30320484</v>
      </c>
      <c r="G27" s="18" t="n">
        <v>85.01623035999999</v>
      </c>
      <c r="H27" s="20" t="n">
        <v>1.28297333</v>
      </c>
      <c r="I27" s="18" t="n">
        <v>0</v>
      </c>
      <c r="J27" s="20" t="n">
        <v>0</v>
      </c>
      <c r="K27" s="18" t="n">
        <v>0.18166054</v>
      </c>
      <c r="L27" s="20" t="n">
        <v>0.18096812</v>
      </c>
      <c r="M27" s="18" t="n">
        <v>0</v>
      </c>
      <c r="N27" s="20" t="n">
        <v>0</v>
      </c>
      <c r="O27" s="18" t="n">
        <v>0</v>
      </c>
      <c r="P27" s="20" t="n">
        <v>0</v>
      </c>
      <c r="Q27" s="18" t="n">
        <v>0.16966494</v>
      </c>
      <c r="R27" s="20" t="n">
        <v>0.16907243</v>
      </c>
    </row>
    <row r="28" spans="1:18">
      <c r="A28" s="15" t="s">
        <v>586</v>
      </c>
      <c r="B28" s="17" t="n">
        <v>7568</v>
      </c>
      <c r="C28" s="18">
        <f>(6782.0/B28*100)</f>
        <v/>
      </c>
      <c r="D28" s="19" t="n">
        <v>786</v>
      </c>
      <c r="E28" s="18" t="n">
        <v>14.78291269</v>
      </c>
      <c r="F28" s="20" t="n">
        <v>1.49504496</v>
      </c>
      <c r="G28" s="18" t="n">
        <v>84.00535443</v>
      </c>
      <c r="H28" s="20" t="n">
        <v>1.57762427</v>
      </c>
      <c r="I28" s="18" t="n">
        <v>0</v>
      </c>
      <c r="J28" s="20" t="n">
        <v>0</v>
      </c>
      <c r="K28" s="18" t="n">
        <v>0.60269051</v>
      </c>
      <c r="L28" s="20" t="n">
        <v>0.31402972</v>
      </c>
      <c r="M28" s="18" t="n">
        <v>0</v>
      </c>
      <c r="N28" s="20" t="n">
        <v>0</v>
      </c>
      <c r="O28" s="18" t="n">
        <v>0</v>
      </c>
      <c r="P28" s="20" t="n">
        <v>0</v>
      </c>
      <c r="Q28" s="18" t="n">
        <v>0.6090423700000001</v>
      </c>
      <c r="R28" s="20" t="n">
        <v>0.34017733</v>
      </c>
    </row>
    <row r="29" spans="1:18">
      <c r="A29" s="15" t="s">
        <v>587</v>
      </c>
      <c r="B29" s="17" t="n">
        <v>5385</v>
      </c>
      <c r="C29" s="18">
        <f>(4657.0/B29*100)</f>
        <v/>
      </c>
      <c r="D29" s="19" t="n">
        <v>728</v>
      </c>
      <c r="E29" s="18" t="n">
        <v>11.95376071</v>
      </c>
      <c r="F29" s="20" t="n">
        <v>1.2305633</v>
      </c>
      <c r="G29" s="18" t="n">
        <v>87.92110273999999</v>
      </c>
      <c r="H29" s="20" t="n">
        <v>1.23940813</v>
      </c>
      <c r="I29" s="18" t="n">
        <v>0</v>
      </c>
      <c r="J29" s="20" t="n">
        <v>0</v>
      </c>
      <c r="K29" s="18" t="n">
        <v>0</v>
      </c>
      <c r="L29" s="20" t="n">
        <v>0</v>
      </c>
      <c r="M29" s="18" t="n">
        <v>0</v>
      </c>
      <c r="N29" s="20" t="n">
        <v>0</v>
      </c>
      <c r="O29" s="18" t="n">
        <v>0</v>
      </c>
      <c r="P29" s="20" t="n">
        <v>0</v>
      </c>
      <c r="Q29" s="18" t="n">
        <v>0.12513655</v>
      </c>
      <c r="R29" s="20" t="n">
        <v>0.11595517</v>
      </c>
    </row>
    <row r="30" spans="1:18">
      <c r="A30" s="15" t="s">
        <v>588</v>
      </c>
      <c r="B30" s="17" t="n">
        <v>4520</v>
      </c>
      <c r="C30" s="18">
        <f>(4033.0/B30*100)</f>
        <v/>
      </c>
      <c r="D30" s="19" t="n">
        <v>487</v>
      </c>
      <c r="E30" s="18" t="n">
        <v>6.64397713</v>
      </c>
      <c r="F30" s="20" t="n">
        <v>1.31011571</v>
      </c>
      <c r="G30" s="18" t="n">
        <v>92.62272212000001</v>
      </c>
      <c r="H30" s="20" t="n">
        <v>1.42282608</v>
      </c>
      <c r="I30" s="18" t="n">
        <v>0</v>
      </c>
      <c r="J30" s="20" t="n">
        <v>0</v>
      </c>
      <c r="K30" s="18" t="n">
        <v>0</v>
      </c>
      <c r="L30" s="20" t="n">
        <v>0</v>
      </c>
      <c r="M30" s="18" t="n">
        <v>0</v>
      </c>
      <c r="N30" s="20" t="n">
        <v>0</v>
      </c>
      <c r="O30" s="18" t="n">
        <v>0</v>
      </c>
      <c r="P30" s="20" t="n">
        <v>0</v>
      </c>
      <c r="Q30" s="18" t="n">
        <v>0.7333007499999999</v>
      </c>
      <c r="R30" s="20" t="n">
        <v>0.45016003</v>
      </c>
    </row>
    <row r="31" spans="1:18">
      <c r="A31" s="15" t="s">
        <v>589</v>
      </c>
      <c r="B31" s="17" t="n">
        <v>5456</v>
      </c>
      <c r="C31" s="18">
        <f>(4848.0/B31*100)</f>
        <v/>
      </c>
      <c r="D31" s="19" t="n">
        <v>608</v>
      </c>
      <c r="E31" s="18" t="n">
        <v>12.46819401</v>
      </c>
      <c r="F31" s="20" t="n">
        <v>1.3680921</v>
      </c>
      <c r="G31" s="18" t="n">
        <v>87.08525442</v>
      </c>
      <c r="H31" s="20" t="n">
        <v>1.37362336</v>
      </c>
      <c r="I31" s="18" t="n">
        <v>0</v>
      </c>
      <c r="J31" s="20" t="n">
        <v>0</v>
      </c>
      <c r="K31" s="18" t="n">
        <v>0.30543359</v>
      </c>
      <c r="L31" s="20" t="n">
        <v>0.20725486</v>
      </c>
      <c r="M31" s="18" t="n">
        <v>0</v>
      </c>
      <c r="N31" s="20" t="n">
        <v>0</v>
      </c>
      <c r="O31" s="18" t="n">
        <v>0</v>
      </c>
      <c r="P31" s="20" t="n">
        <v>0</v>
      </c>
      <c r="Q31" s="18" t="n">
        <v>0.14111797</v>
      </c>
      <c r="R31" s="20" t="n">
        <v>0.14275656</v>
      </c>
    </row>
    <row r="32" spans="1:18">
      <c r="A32" s="15" t="s">
        <v>590</v>
      </c>
      <c r="B32" s="17" t="n">
        <v>4478</v>
      </c>
      <c r="C32" s="18">
        <f>(3970.0/B32*100)</f>
        <v/>
      </c>
      <c r="D32" s="19" t="n">
        <v>508</v>
      </c>
      <c r="E32" s="18" t="n">
        <v>8.65727661</v>
      </c>
      <c r="F32" s="20" t="n">
        <v>1.34729862</v>
      </c>
      <c r="G32" s="18" t="n">
        <v>91.17648459999999</v>
      </c>
      <c r="H32" s="20" t="n">
        <v>1.38130616</v>
      </c>
      <c r="I32" s="18" t="n">
        <v>0</v>
      </c>
      <c r="J32" s="20" t="n">
        <v>0</v>
      </c>
      <c r="K32" s="18" t="n">
        <v>0</v>
      </c>
      <c r="L32" s="20" t="n">
        <v>0</v>
      </c>
      <c r="M32" s="18" t="n">
        <v>0</v>
      </c>
      <c r="N32" s="20" t="n">
        <v>0</v>
      </c>
      <c r="O32" s="18" t="n">
        <v>0</v>
      </c>
      <c r="P32" s="20" t="n">
        <v>0</v>
      </c>
      <c r="Q32" s="18" t="n">
        <v>0.16623879</v>
      </c>
      <c r="R32" s="20" t="n">
        <v>0.17348904</v>
      </c>
    </row>
    <row r="33" spans="1:18">
      <c r="A33" s="15" t="s">
        <v>591</v>
      </c>
      <c r="B33" s="17" t="n">
        <v>7325</v>
      </c>
      <c r="C33" s="18">
        <f>(6518.0/B33*100)</f>
        <v/>
      </c>
      <c r="D33" s="19" t="n">
        <v>807</v>
      </c>
      <c r="E33" s="18" t="n">
        <v>13.94999447</v>
      </c>
      <c r="F33" s="20" t="n">
        <v>1.37599445</v>
      </c>
      <c r="G33" s="18" t="n">
        <v>85.70068437</v>
      </c>
      <c r="H33" s="20" t="n">
        <v>1.36475335</v>
      </c>
      <c r="I33" s="18" t="n">
        <v>0</v>
      </c>
      <c r="J33" s="20" t="n">
        <v>0</v>
      </c>
      <c r="K33" s="18" t="n">
        <v>0.18452082</v>
      </c>
      <c r="L33" s="20" t="n">
        <v>0.16372181</v>
      </c>
      <c r="M33" s="18" t="n">
        <v>0</v>
      </c>
      <c r="N33" s="20" t="n">
        <v>0</v>
      </c>
      <c r="O33" s="18" t="n">
        <v>0</v>
      </c>
      <c r="P33" s="20" t="n">
        <v>0</v>
      </c>
      <c r="Q33" s="18" t="n">
        <v>0.16480033</v>
      </c>
      <c r="R33" s="20" t="n">
        <v>0.15406674</v>
      </c>
    </row>
    <row r="34" spans="1:18">
      <c r="A34" s="15" t="s">
        <v>592</v>
      </c>
      <c r="B34" s="17" t="n">
        <v>6350</v>
      </c>
      <c r="C34" s="18">
        <f>(5511.0/B34*100)</f>
        <v/>
      </c>
      <c r="D34" s="19" t="n">
        <v>839</v>
      </c>
      <c r="E34" s="18" t="n">
        <v>15.95882666</v>
      </c>
      <c r="F34" s="20" t="n">
        <v>1.60345215</v>
      </c>
      <c r="G34" s="18" t="n">
        <v>83.23943117</v>
      </c>
      <c r="H34" s="20" t="n">
        <v>1.72280838</v>
      </c>
      <c r="I34" s="18" t="n">
        <v>0</v>
      </c>
      <c r="J34" s="20" t="n">
        <v>0</v>
      </c>
      <c r="K34" s="18" t="n">
        <v>0</v>
      </c>
      <c r="L34" s="20" t="n">
        <v>0</v>
      </c>
      <c r="M34" s="18" t="n">
        <v>0</v>
      </c>
      <c r="N34" s="20" t="n">
        <v>0</v>
      </c>
      <c r="O34" s="18" t="n">
        <v>0</v>
      </c>
      <c r="P34" s="20" t="n">
        <v>0</v>
      </c>
      <c r="Q34" s="18" t="n">
        <v>0.80174218</v>
      </c>
      <c r="R34" s="20" t="n">
        <v>0.46298202</v>
      </c>
    </row>
    <row r="35" spans="1:18">
      <c r="A35" s="15" t="s">
        <v>593</v>
      </c>
      <c r="B35" s="17" t="n">
        <v>6406</v>
      </c>
      <c r="C35" s="18">
        <f>(5611.0/B35*100)</f>
        <v/>
      </c>
      <c r="D35" s="19" t="n">
        <v>795</v>
      </c>
      <c r="E35" s="18" t="n">
        <v>10.09914884</v>
      </c>
      <c r="F35" s="20" t="n">
        <v>1.50994823</v>
      </c>
      <c r="G35" s="18" t="n">
        <v>89.33583738</v>
      </c>
      <c r="H35" s="20" t="n">
        <v>1.49486702</v>
      </c>
      <c r="I35" s="18" t="n">
        <v>0</v>
      </c>
      <c r="J35" s="20" t="n">
        <v>0</v>
      </c>
      <c r="K35" s="18" t="n">
        <v>0</v>
      </c>
      <c r="L35" s="20" t="n">
        <v>0</v>
      </c>
      <c r="M35" s="18" t="n">
        <v>0</v>
      </c>
      <c r="N35" s="20" t="n">
        <v>0</v>
      </c>
      <c r="O35" s="18" t="n">
        <v>0</v>
      </c>
      <c r="P35" s="20" t="n">
        <v>0</v>
      </c>
      <c r="Q35" s="18" t="n">
        <v>0.56501379</v>
      </c>
      <c r="R35" s="20" t="n">
        <v>0.27734756</v>
      </c>
    </row>
    <row r="36" spans="1:18">
      <c r="A36" s="15" t="s">
        <v>594</v>
      </c>
      <c r="B36" s="17" t="n">
        <v>6736</v>
      </c>
      <c r="C36" s="18">
        <f>(6023.0/B36*100)</f>
        <v/>
      </c>
      <c r="D36" s="19" t="n">
        <v>713</v>
      </c>
      <c r="E36" s="18" t="n">
        <v>15.92057454</v>
      </c>
      <c r="F36" s="20" t="n">
        <v>1.49993006</v>
      </c>
      <c r="G36" s="18" t="n">
        <v>83.64617306</v>
      </c>
      <c r="H36" s="20" t="n">
        <v>1.54659027</v>
      </c>
      <c r="I36" s="18" t="n">
        <v>0</v>
      </c>
      <c r="J36" s="20" t="n">
        <v>0</v>
      </c>
      <c r="K36" s="18" t="n">
        <v>0.16773143</v>
      </c>
      <c r="L36" s="20" t="n">
        <v>0.12315521</v>
      </c>
      <c r="M36" s="18" t="n">
        <v>0</v>
      </c>
      <c r="N36" s="20" t="n">
        <v>0</v>
      </c>
      <c r="O36" s="18" t="n">
        <v>0</v>
      </c>
      <c r="P36" s="20" t="n">
        <v>0</v>
      </c>
      <c r="Q36" s="18" t="n">
        <v>0.26552098</v>
      </c>
      <c r="R36" s="20" t="n">
        <v>0.18632462</v>
      </c>
    </row>
    <row r="37" spans="1:18">
      <c r="A37" s="15" t="s">
        <v>595</v>
      </c>
      <c r="B37" s="17" t="n">
        <v>5458</v>
      </c>
      <c r="C37" s="18">
        <f>(4854.0/B37*100)</f>
        <v/>
      </c>
      <c r="D37" s="19" t="n">
        <v>604</v>
      </c>
      <c r="E37" s="18" t="n">
        <v>10.94690219</v>
      </c>
      <c r="F37" s="20" t="n">
        <v>1.2468085</v>
      </c>
      <c r="G37" s="18" t="n">
        <v>88.41850994000001</v>
      </c>
      <c r="H37" s="20" t="n">
        <v>1.30543179</v>
      </c>
      <c r="I37" s="18" t="n">
        <v>0</v>
      </c>
      <c r="J37" s="20" t="n">
        <v>0</v>
      </c>
      <c r="K37" s="18" t="n">
        <v>0</v>
      </c>
      <c r="L37" s="20" t="n">
        <v>0</v>
      </c>
      <c r="M37" s="18" t="n">
        <v>0</v>
      </c>
      <c r="N37" s="20" t="n">
        <v>0</v>
      </c>
      <c r="O37" s="18" t="n">
        <v>0</v>
      </c>
      <c r="P37" s="20" t="n">
        <v>0</v>
      </c>
      <c r="Q37" s="18" t="n">
        <v>0.63458786</v>
      </c>
      <c r="R37" s="20" t="n">
        <v>0.40142715</v>
      </c>
    </row>
    <row r="38" spans="1:18">
      <c r="A38" s="15" t="s">
        <v>596</v>
      </c>
      <c r="B38" s="17" t="n">
        <v>5860</v>
      </c>
      <c r="C38" s="18">
        <f>(5200.0/B38*100)</f>
        <v/>
      </c>
      <c r="D38" s="19" t="n">
        <v>660</v>
      </c>
      <c r="E38" s="18" t="n">
        <v>10.37042576</v>
      </c>
      <c r="F38" s="20" t="n">
        <v>1.50814179</v>
      </c>
      <c r="G38" s="18" t="n">
        <v>89.40857002</v>
      </c>
      <c r="H38" s="20" t="n">
        <v>1.51992608</v>
      </c>
      <c r="I38" s="18" t="n">
        <v>0</v>
      </c>
      <c r="J38" s="20" t="n">
        <v>0</v>
      </c>
      <c r="K38" s="18" t="n">
        <v>0.20050057</v>
      </c>
      <c r="L38" s="20" t="n">
        <v>0.1667976</v>
      </c>
      <c r="M38" s="18" t="n">
        <v>0</v>
      </c>
      <c r="N38" s="20" t="n">
        <v>0</v>
      </c>
      <c r="O38" s="18" t="n">
        <v>0</v>
      </c>
      <c r="P38" s="20" t="n">
        <v>0</v>
      </c>
      <c r="Q38" s="18" t="n">
        <v>0.02050364</v>
      </c>
      <c r="R38" s="20" t="n">
        <v>0.01676166</v>
      </c>
    </row>
    <row r="39" spans="1:18">
      <c r="A39" s="15" t="s">
        <v>597</v>
      </c>
      <c r="B39" s="17" t="n">
        <v>5895</v>
      </c>
      <c r="C39" s="18">
        <f>(5237.0/B39*100)</f>
        <v/>
      </c>
      <c r="D39" s="19" t="n">
        <v>658</v>
      </c>
      <c r="E39" s="18" t="n">
        <v>25.25521231</v>
      </c>
      <c r="F39" s="20" t="n">
        <v>2.04538856</v>
      </c>
      <c r="G39" s="18" t="n">
        <v>74.59999664</v>
      </c>
      <c r="H39" s="20" t="n">
        <v>2.05495737</v>
      </c>
      <c r="I39" s="18" t="n">
        <v>0</v>
      </c>
      <c r="J39" s="20" t="n">
        <v>0</v>
      </c>
      <c r="K39" s="18" t="n">
        <v>0</v>
      </c>
      <c r="L39" s="20" t="n">
        <v>0</v>
      </c>
      <c r="M39" s="18" t="n">
        <v>0</v>
      </c>
      <c r="N39" s="20" t="n">
        <v>0</v>
      </c>
      <c r="O39" s="18" t="n">
        <v>0</v>
      </c>
      <c r="P39" s="20" t="n">
        <v>0</v>
      </c>
      <c r="Q39" s="18" t="n">
        <v>0.14479105</v>
      </c>
      <c r="R39" s="20" t="n">
        <v>0.14018109</v>
      </c>
    </row>
    <row r="40" spans="1:18">
      <c r="A40" s="15" t="s">
        <v>598</v>
      </c>
      <c r="B40" s="17" t="n">
        <v>14157</v>
      </c>
      <c r="C40" s="18">
        <f>(12597.0/B40*100)</f>
        <v/>
      </c>
      <c r="D40" s="19" t="n">
        <v>1560</v>
      </c>
      <c r="E40" s="18" t="n">
        <v>3.95183632</v>
      </c>
      <c r="F40" s="20" t="n">
        <v>0.51955538</v>
      </c>
      <c r="G40" s="18" t="n">
        <v>95.78217284999999</v>
      </c>
      <c r="H40" s="20" t="n">
        <v>0.56147073</v>
      </c>
      <c r="I40" s="18" t="n">
        <v>0</v>
      </c>
      <c r="J40" s="20" t="n">
        <v>0</v>
      </c>
      <c r="K40" s="18" t="n">
        <v>0.20890932</v>
      </c>
      <c r="L40" s="20" t="n">
        <v>0.18992862</v>
      </c>
      <c r="M40" s="18" t="n">
        <v>0</v>
      </c>
      <c r="N40" s="20" t="n">
        <v>0</v>
      </c>
      <c r="O40" s="18" t="n">
        <v>0</v>
      </c>
      <c r="P40" s="20" t="n">
        <v>0</v>
      </c>
      <c r="Q40" s="18" t="n">
        <v>0.05708151</v>
      </c>
      <c r="R40" s="20" t="n">
        <v>0.03653407</v>
      </c>
    </row>
    <row r="41" spans="1:18">
      <c r="A41" s="15" t="s">
        <v>599</v>
      </c>
      <c r="B41" s="17" t="n">
        <v>5712</v>
      </c>
      <c r="C41" s="18">
        <f>(5047.0/B41*100)</f>
        <v/>
      </c>
      <c r="D41" s="19" t="n">
        <v>665</v>
      </c>
      <c r="E41" s="18" t="n">
        <v>5.81673398</v>
      </c>
      <c r="F41" s="20" t="n">
        <v>1.04675923</v>
      </c>
      <c r="G41" s="18" t="n">
        <v>94.07389542999999</v>
      </c>
      <c r="H41" s="20" t="n">
        <v>1.05529615</v>
      </c>
      <c r="I41" s="18" t="n">
        <v>0</v>
      </c>
      <c r="J41" s="20" t="n">
        <v>0</v>
      </c>
      <c r="K41" s="18" t="n">
        <v>0</v>
      </c>
      <c r="L41" s="20" t="n">
        <v>0</v>
      </c>
      <c r="M41" s="18" t="n">
        <v>0</v>
      </c>
      <c r="N41" s="20" t="n">
        <v>0</v>
      </c>
      <c r="O41" s="18" t="n">
        <v>0</v>
      </c>
      <c r="P41" s="20" t="n">
        <v>0</v>
      </c>
      <c r="Q41" s="18" t="n">
        <v>0.10937059</v>
      </c>
      <c r="R41" s="20" t="n">
        <v>0.10810713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(20965.0/B46*100)</f>
        <v/>
      </c>
      <c r="D46" s="19" t="n">
        <v>2176</v>
      </c>
      <c r="E46" s="18" t="n">
        <v>17.58656154</v>
      </c>
      <c r="F46" s="20" t="n">
        <v>1.17238096</v>
      </c>
      <c r="G46" s="18" t="n">
        <v>80.97933071999999</v>
      </c>
      <c r="H46" s="20" t="n">
        <v>1.23874428</v>
      </c>
      <c r="I46" s="18" t="n">
        <v>0</v>
      </c>
      <c r="J46" s="20" t="n">
        <v>0</v>
      </c>
      <c r="K46" s="18" t="n">
        <v>0.36323067</v>
      </c>
      <c r="L46" s="20" t="n">
        <v>0.16521919</v>
      </c>
      <c r="M46" s="18" t="n">
        <v>0</v>
      </c>
      <c r="N46" s="20" t="n">
        <v>0</v>
      </c>
      <c r="O46" s="18" t="n">
        <v>0</v>
      </c>
      <c r="P46" s="20" t="n">
        <v>0</v>
      </c>
      <c r="Q46" s="18" t="n">
        <v>1.07087706</v>
      </c>
      <c r="R46" s="20" t="n">
        <v>0.30667518</v>
      </c>
    </row>
    <row r="47" spans="1:18">
      <c r="A47" s="15" t="s">
        <v>606</v>
      </c>
      <c r="B47" s="17" t="n">
        <v>5928</v>
      </c>
      <c r="C47" s="18">
        <f>(5255.0/B47*100)</f>
        <v/>
      </c>
      <c r="D47" s="19" t="n">
        <v>673</v>
      </c>
      <c r="E47" s="18" t="n">
        <v>11.89729574</v>
      </c>
      <c r="F47" s="20" t="n">
        <v>1.35248813</v>
      </c>
      <c r="G47" s="18" t="n">
        <v>87.35802748</v>
      </c>
      <c r="H47" s="20" t="n">
        <v>1.50088204</v>
      </c>
      <c r="I47" s="18" t="n">
        <v>0</v>
      </c>
      <c r="J47" s="20" t="n">
        <v>0</v>
      </c>
      <c r="K47" s="18" t="n">
        <v>0.15312407</v>
      </c>
      <c r="L47" s="20" t="n">
        <v>0.21732303</v>
      </c>
      <c r="M47" s="18" t="n">
        <v>0</v>
      </c>
      <c r="N47" s="20" t="n">
        <v>0</v>
      </c>
      <c r="O47" s="18" t="n">
        <v>0</v>
      </c>
      <c r="P47" s="20" t="n">
        <v>0</v>
      </c>
      <c r="Q47" s="18" t="n">
        <v>0.59155271</v>
      </c>
      <c r="R47" s="20" t="n">
        <v>0.3473598</v>
      </c>
    </row>
    <row r="48" spans="1:18">
      <c r="A48" s="15" t="s">
        <v>607</v>
      </c>
      <c r="B48" s="17" t="n">
        <v>9841</v>
      </c>
      <c r="C48" s="18">
        <f>(8726.0/B48*100)</f>
        <v/>
      </c>
      <c r="D48" s="19" t="n">
        <v>1115</v>
      </c>
      <c r="E48" s="18" t="n">
        <v>9.43180798</v>
      </c>
      <c r="F48" s="20" t="n">
        <v>1.29375631</v>
      </c>
      <c r="G48" s="18" t="n">
        <v>90.00969708</v>
      </c>
      <c r="H48" s="20" t="n">
        <v>1.36999904</v>
      </c>
      <c r="I48" s="18" t="n">
        <v>0</v>
      </c>
      <c r="J48" s="20" t="n">
        <v>0</v>
      </c>
      <c r="K48" s="18" t="n">
        <v>0.27232622</v>
      </c>
      <c r="L48" s="20" t="n">
        <v>0.21873385</v>
      </c>
      <c r="M48" s="18" t="n">
        <v>0</v>
      </c>
      <c r="N48" s="20" t="n">
        <v>0</v>
      </c>
      <c r="O48" s="18" t="n">
        <v>0</v>
      </c>
      <c r="P48" s="20" t="n">
        <v>0</v>
      </c>
      <c r="Q48" s="18" t="n">
        <v>0.28616871</v>
      </c>
      <c r="R48" s="20" t="n">
        <v>0.17224636</v>
      </c>
    </row>
    <row r="49" spans="1:18">
      <c r="A49" s="15" t="s">
        <v>608</v>
      </c>
      <c r="B49" s="17" t="n">
        <v>11795</v>
      </c>
      <c r="C49" s="18">
        <f>(10466.0/B49*100)</f>
        <v/>
      </c>
      <c r="D49" s="19" t="n">
        <v>1329</v>
      </c>
      <c r="E49" s="18" t="n">
        <v>15.64673168</v>
      </c>
      <c r="F49" s="20" t="n">
        <v>1.72726436</v>
      </c>
      <c r="G49" s="18" t="n">
        <v>83.08213329</v>
      </c>
      <c r="H49" s="20" t="n">
        <v>1.77740829</v>
      </c>
      <c r="I49" s="18" t="n">
        <v>0</v>
      </c>
      <c r="J49" s="20" t="n">
        <v>0</v>
      </c>
      <c r="K49" s="18" t="n">
        <v>0.65728149</v>
      </c>
      <c r="L49" s="20" t="n">
        <v>0.38789403</v>
      </c>
      <c r="M49" s="18" t="n">
        <v>0</v>
      </c>
      <c r="N49" s="20" t="n">
        <v>0</v>
      </c>
      <c r="O49" s="18" t="n">
        <v>0</v>
      </c>
      <c r="P49" s="20" t="n">
        <v>0</v>
      </c>
      <c r="Q49" s="18" t="n">
        <v>0.61385354</v>
      </c>
      <c r="R49" s="20" t="n">
        <v>0.26367591</v>
      </c>
    </row>
    <row r="50" spans="1:18">
      <c r="A50" s="15" t="s">
        <v>609</v>
      </c>
      <c r="B50" s="17" t="n">
        <v>6866</v>
      </c>
      <c r="C50" s="18">
        <f>(5502.0/B50*100)</f>
        <v/>
      </c>
      <c r="D50" s="19" t="n">
        <v>1364</v>
      </c>
      <c r="E50" s="18" t="n">
        <v>15.9350812</v>
      </c>
      <c r="F50" s="20" t="n">
        <v>1.03134163</v>
      </c>
      <c r="G50" s="18" t="n">
        <v>83.412888</v>
      </c>
      <c r="H50" s="20" t="n">
        <v>1.06377464</v>
      </c>
      <c r="I50" s="18" t="n">
        <v>0</v>
      </c>
      <c r="J50" s="20" t="n">
        <v>0</v>
      </c>
      <c r="K50" s="18" t="n">
        <v>0</v>
      </c>
      <c r="L50" s="20" t="n">
        <v>0</v>
      </c>
      <c r="M50" s="18" t="n">
        <v>0</v>
      </c>
      <c r="N50" s="20" t="n">
        <v>0</v>
      </c>
      <c r="O50" s="18" t="n">
        <v>0</v>
      </c>
      <c r="P50" s="20" t="n">
        <v>0</v>
      </c>
      <c r="Q50" s="18" t="n">
        <v>0.6520308</v>
      </c>
      <c r="R50" s="20" t="n">
        <v>0.24698969</v>
      </c>
    </row>
    <row r="51" spans="1:18">
      <c r="A51" s="15" t="s">
        <v>610</v>
      </c>
      <c r="B51" s="17" t="n">
        <v>5809</v>
      </c>
      <c r="C51" s="18">
        <f>(5127.0/B51*100)</f>
        <v/>
      </c>
      <c r="D51" s="19" t="n">
        <v>682</v>
      </c>
      <c r="E51" s="18" t="n">
        <v>11.31867378</v>
      </c>
      <c r="F51" s="20" t="n">
        <v>1.23698327</v>
      </c>
      <c r="G51" s="18" t="n">
        <v>88.38698719</v>
      </c>
      <c r="H51" s="20" t="n">
        <v>1.25846687</v>
      </c>
      <c r="I51" s="18" t="n">
        <v>0</v>
      </c>
      <c r="J51" s="20" t="n">
        <v>0</v>
      </c>
      <c r="K51" s="18" t="n">
        <v>0</v>
      </c>
      <c r="L51" s="20" t="n">
        <v>0</v>
      </c>
      <c r="M51" s="18" t="n">
        <v>0</v>
      </c>
      <c r="N51" s="20" t="n">
        <v>0</v>
      </c>
      <c r="O51" s="18" t="n">
        <v>0</v>
      </c>
      <c r="P51" s="20" t="n">
        <v>0</v>
      </c>
      <c r="Q51" s="18" t="n">
        <v>0.29433903</v>
      </c>
      <c r="R51" s="20" t="n">
        <v>0.20315672</v>
      </c>
    </row>
    <row r="52" spans="1:18">
      <c r="A52" s="15" t="s">
        <v>611</v>
      </c>
      <c r="B52" s="17" t="n">
        <v>5571</v>
      </c>
      <c r="C52" s="18">
        <f>(4960.0/B52*100)</f>
        <v/>
      </c>
      <c r="D52" s="19" t="n">
        <v>611</v>
      </c>
      <c r="E52" s="18" t="n">
        <v>15.70775595</v>
      </c>
      <c r="F52" s="20" t="n">
        <v>1.54741164</v>
      </c>
      <c r="G52" s="18" t="n">
        <v>83.54508955999999</v>
      </c>
      <c r="H52" s="20" t="n">
        <v>1.58707728</v>
      </c>
      <c r="I52" s="18" t="n">
        <v>0</v>
      </c>
      <c r="J52" s="20" t="n">
        <v>0</v>
      </c>
      <c r="K52" s="18" t="n">
        <v>0.30114308</v>
      </c>
      <c r="L52" s="20" t="n">
        <v>0.29755516</v>
      </c>
      <c r="M52" s="18" t="n">
        <v>0</v>
      </c>
      <c r="N52" s="20" t="n">
        <v>0</v>
      </c>
      <c r="O52" s="18" t="n">
        <v>0</v>
      </c>
      <c r="P52" s="20" t="n">
        <v>0</v>
      </c>
      <c r="Q52" s="18" t="n">
        <v>0.4460114</v>
      </c>
      <c r="R52" s="20" t="n">
        <v>0.27228962</v>
      </c>
    </row>
    <row r="53" spans="1:18">
      <c r="A53" s="15" t="s">
        <v>612</v>
      </c>
      <c r="B53" s="17" t="n">
        <v>4740</v>
      </c>
      <c r="C53" s="18">
        <f>(4244.0/B53*100)</f>
        <v/>
      </c>
      <c r="D53" s="19" t="n">
        <v>496</v>
      </c>
      <c r="E53" s="18" t="n">
        <v>19.45621589</v>
      </c>
      <c r="F53" s="20" t="n">
        <v>2.19179654</v>
      </c>
      <c r="G53" s="18" t="n">
        <v>68.56999678</v>
      </c>
      <c r="H53" s="20" t="n">
        <v>2.34660505</v>
      </c>
      <c r="I53" s="18" t="n">
        <v>0</v>
      </c>
      <c r="J53" s="20" t="n">
        <v>0</v>
      </c>
      <c r="K53" s="18" t="n">
        <v>9.79666759</v>
      </c>
      <c r="L53" s="20" t="n">
        <v>1.44087358</v>
      </c>
      <c r="M53" s="18" t="n">
        <v>0</v>
      </c>
      <c r="N53" s="20" t="n">
        <v>0</v>
      </c>
      <c r="O53" s="18" t="n">
        <v>0</v>
      </c>
      <c r="P53" s="20" t="n">
        <v>0</v>
      </c>
      <c r="Q53" s="18" t="n">
        <v>2.17711974</v>
      </c>
      <c r="R53" s="20" t="n">
        <v>0.78874214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(4750.0/B55*100)</f>
        <v/>
      </c>
      <c r="D55" s="19" t="n">
        <v>609</v>
      </c>
      <c r="E55" s="18" t="n">
        <v>5.96396586</v>
      </c>
      <c r="F55" s="20" t="n">
        <v>1.0426348</v>
      </c>
      <c r="G55" s="18" t="n">
        <v>93.50741354</v>
      </c>
      <c r="H55" s="20" t="n">
        <v>1.04499364</v>
      </c>
      <c r="I55" s="18" t="n">
        <v>0</v>
      </c>
      <c r="J55" s="20" t="n">
        <v>0</v>
      </c>
      <c r="K55" s="18" t="n">
        <v>0.35548538</v>
      </c>
      <c r="L55" s="20" t="n">
        <v>0.23113715</v>
      </c>
      <c r="M55" s="18" t="n">
        <v>0</v>
      </c>
      <c r="N55" s="20" t="n">
        <v>0</v>
      </c>
      <c r="O55" s="18" t="n">
        <v>0</v>
      </c>
      <c r="P55" s="20" t="n">
        <v>0</v>
      </c>
      <c r="Q55" s="18" t="n">
        <v>0.17313521</v>
      </c>
      <c r="R55" s="20" t="n">
        <v>0.17099431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(5768.0/B61*100)</f>
        <v/>
      </c>
      <c r="D61" s="19" t="n">
        <v>757</v>
      </c>
      <c r="E61" s="18" t="n">
        <v>10.3981641</v>
      </c>
      <c r="F61" s="20" t="n">
        <v>1.26335255</v>
      </c>
      <c r="G61" s="18" t="n">
        <v>89.23083584</v>
      </c>
      <c r="H61" s="20" t="n">
        <v>1.3212349</v>
      </c>
      <c r="I61" s="18" t="n">
        <v>0</v>
      </c>
      <c r="J61" s="20" t="n">
        <v>0</v>
      </c>
      <c r="K61" s="18" t="n">
        <v>0</v>
      </c>
      <c r="L61" s="20" t="n">
        <v>0</v>
      </c>
      <c r="M61" s="18" t="n">
        <v>0</v>
      </c>
      <c r="N61" s="20" t="n">
        <v>0</v>
      </c>
      <c r="O61" s="18" t="n">
        <v>0</v>
      </c>
      <c r="P61" s="20" t="n">
        <v>0</v>
      </c>
      <c r="Q61" s="18" t="n">
        <v>0.37100006</v>
      </c>
      <c r="R61" s="20" t="n">
        <v>0.20936206</v>
      </c>
    </row>
    <row r="62" spans="1:18">
      <c r="A62" s="15" t="s">
        <v>622</v>
      </c>
      <c r="B62" s="17" t="n">
        <v>4476</v>
      </c>
      <c r="C62" s="18">
        <f>(3982.0/B62*100)</f>
        <v/>
      </c>
      <c r="D62" s="19" t="n">
        <v>494</v>
      </c>
      <c r="E62" s="18" t="n">
        <v>12.34590396</v>
      </c>
      <c r="F62" s="20" t="n">
        <v>1.44960111</v>
      </c>
      <c r="G62" s="18" t="n">
        <v>87.65409604</v>
      </c>
      <c r="H62" s="20" t="n">
        <v>1.44960111</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(5040.0/B67*100)</f>
        <v/>
      </c>
      <c r="D67" s="19" t="n">
        <v>625</v>
      </c>
      <c r="E67" s="18" t="n">
        <v>22.28024115</v>
      </c>
      <c r="F67" s="20" t="n">
        <v>1.68630723</v>
      </c>
      <c r="G67" s="18" t="n">
        <v>76.85851961</v>
      </c>
      <c r="H67" s="20" t="n">
        <v>1.68537988</v>
      </c>
      <c r="I67" s="18" t="n">
        <v>0</v>
      </c>
      <c r="J67" s="20" t="n">
        <v>0</v>
      </c>
      <c r="K67" s="18" t="n">
        <v>0</v>
      </c>
      <c r="L67" s="20" t="n">
        <v>0</v>
      </c>
      <c r="M67" s="18" t="n">
        <v>0</v>
      </c>
      <c r="N67" s="20" t="n">
        <v>0</v>
      </c>
      <c r="O67" s="18" t="n">
        <v>0</v>
      </c>
      <c r="P67" s="20" t="n">
        <v>0</v>
      </c>
      <c r="Q67" s="18" t="n">
        <v>0.86123924</v>
      </c>
      <c r="R67" s="20" t="n">
        <v>0.41041582</v>
      </c>
    </row>
    <row r="68" spans="1:18">
      <c r="A68" s="15" t="s">
        <v>628</v>
      </c>
      <c r="B68" s="17" t="n">
        <v>6971</v>
      </c>
      <c r="C68" s="18">
        <f>(6251.0/B68*100)</f>
        <v/>
      </c>
      <c r="D68" s="19" t="n">
        <v>720</v>
      </c>
      <c r="E68" s="18" t="n">
        <v>21.67268105</v>
      </c>
      <c r="F68" s="20" t="n">
        <v>1.59491263</v>
      </c>
      <c r="G68" s="18" t="n">
        <v>77.39444035</v>
      </c>
      <c r="H68" s="20" t="n">
        <v>1.63755372</v>
      </c>
      <c r="I68" s="18" t="n">
        <v>0</v>
      </c>
      <c r="J68" s="20" t="n">
        <v>0</v>
      </c>
      <c r="K68" s="18" t="n">
        <v>0.22357456</v>
      </c>
      <c r="L68" s="20" t="n">
        <v>0.22815441</v>
      </c>
      <c r="M68" s="18" t="n">
        <v>0</v>
      </c>
      <c r="N68" s="20" t="n">
        <v>0</v>
      </c>
      <c r="O68" s="18" t="n">
        <v>0</v>
      </c>
      <c r="P68" s="20" t="n">
        <v>0</v>
      </c>
      <c r="Q68" s="18" t="n">
        <v>0.70930404</v>
      </c>
      <c r="R68" s="20" t="n">
        <v>0.36166322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(10789.0/B70*100)</f>
        <v/>
      </c>
      <c r="D70" s="19" t="n">
        <v>1294</v>
      </c>
      <c r="E70" s="18" t="n">
        <v>16.08504001</v>
      </c>
      <c r="F70" s="20" t="n">
        <v>0.95765725</v>
      </c>
      <c r="G70" s="18" t="n">
        <v>81.16414107999999</v>
      </c>
      <c r="H70" s="20" t="n">
        <v>1.01139191</v>
      </c>
      <c r="I70" s="18" t="n">
        <v>0</v>
      </c>
      <c r="J70" s="20" t="n">
        <v>0</v>
      </c>
      <c r="K70" s="18" t="n">
        <v>1.59056039</v>
      </c>
      <c r="L70" s="20" t="n">
        <v>0.38126858</v>
      </c>
      <c r="M70" s="18" t="n">
        <v>0</v>
      </c>
      <c r="N70" s="20" t="n">
        <v>0</v>
      </c>
      <c r="O70" s="18" t="n">
        <v>0</v>
      </c>
      <c r="P70" s="20" t="n">
        <v>0</v>
      </c>
      <c r="Q70" s="18" t="n">
        <v>1.16025852</v>
      </c>
      <c r="R70" s="20" t="n">
        <v>0.30335744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(5337.0/B72*100)</f>
        <v/>
      </c>
      <c r="D72" s="19" t="n">
        <v>699</v>
      </c>
      <c r="E72" s="18" t="n">
        <v>10.50883259</v>
      </c>
      <c r="F72" s="20" t="n">
        <v>1.18333119</v>
      </c>
      <c r="G72" s="18" t="n">
        <v>88.88645744999999</v>
      </c>
      <c r="H72" s="20" t="n">
        <v>1.14901576</v>
      </c>
      <c r="I72" s="18" t="n">
        <v>0</v>
      </c>
      <c r="J72" s="20" t="n">
        <v>0</v>
      </c>
      <c r="K72" s="18" t="n">
        <v>0</v>
      </c>
      <c r="L72" s="20" t="n">
        <v>0</v>
      </c>
      <c r="M72" s="18" t="n">
        <v>0</v>
      </c>
      <c r="N72" s="20" t="n">
        <v>0</v>
      </c>
      <c r="O72" s="18" t="n">
        <v>0</v>
      </c>
      <c r="P72" s="20" t="n">
        <v>0</v>
      </c>
      <c r="Q72" s="18" t="n">
        <v>0.60470996</v>
      </c>
      <c r="R72" s="20" t="n">
        <v>0.26182803</v>
      </c>
    </row>
    <row r="73" spans="1:18">
      <c r="A73" s="15" t="s">
        <v>633</v>
      </c>
      <c r="B73" s="17" t="n">
        <v>6115</v>
      </c>
      <c r="C73" s="18">
        <f>(5455.0/B73*100)</f>
        <v/>
      </c>
      <c r="D73" s="19" t="n">
        <v>660</v>
      </c>
      <c r="E73" s="18" t="n">
        <v>1.36078095</v>
      </c>
      <c r="F73" s="20" t="n">
        <v>0.36492152</v>
      </c>
      <c r="G73" s="18" t="n">
        <v>98.32895211</v>
      </c>
      <c r="H73" s="20" t="n">
        <v>0.42855221</v>
      </c>
      <c r="I73" s="18" t="n">
        <v>0</v>
      </c>
      <c r="J73" s="20" t="n">
        <v>0</v>
      </c>
      <c r="K73" s="18" t="n">
        <v>0.31026694</v>
      </c>
      <c r="L73" s="20" t="n">
        <v>0.22135366</v>
      </c>
      <c r="M73" s="18" t="n">
        <v>0</v>
      </c>
      <c r="N73" s="20" t="n">
        <v>0</v>
      </c>
      <c r="O73" s="18" t="n">
        <v>0</v>
      </c>
      <c r="P73" s="20" t="n">
        <v>0</v>
      </c>
      <c r="Q73" s="18" t="n">
        <v>0</v>
      </c>
      <c r="R73" s="20" t="n">
        <v>0</v>
      </c>
    </row>
    <row r="74" spans="1:18">
      <c r="A74" s="15" t="s">
        <v>634</v>
      </c>
      <c r="B74" s="17" t="n">
        <v>7708</v>
      </c>
      <c r="C74" s="18">
        <f>(6876.0/B74*100)</f>
        <v/>
      </c>
      <c r="D74" s="19" t="n">
        <v>832</v>
      </c>
      <c r="E74" s="18" t="n">
        <v>8.168307309999999</v>
      </c>
      <c r="F74" s="20" t="n">
        <v>1.05403771</v>
      </c>
      <c r="G74" s="18" t="n">
        <v>91.67902273</v>
      </c>
      <c r="H74" s="20" t="n">
        <v>1.08607</v>
      </c>
      <c r="I74" s="18" t="n">
        <v>0</v>
      </c>
      <c r="J74" s="20" t="n">
        <v>0</v>
      </c>
      <c r="K74" s="18" t="n">
        <v>0</v>
      </c>
      <c r="L74" s="20" t="n">
        <v>0</v>
      </c>
      <c r="M74" s="18" t="n">
        <v>0</v>
      </c>
      <c r="N74" s="20" t="n">
        <v>0</v>
      </c>
      <c r="O74" s="18" t="n">
        <v>0</v>
      </c>
      <c r="P74" s="20" t="n">
        <v>0</v>
      </c>
      <c r="Q74" s="18" t="n">
        <v>0.15266995</v>
      </c>
      <c r="R74" s="20" t="n">
        <v>0.15310717</v>
      </c>
    </row>
    <row r="75" spans="1:18">
      <c r="A75" s="15" t="s">
        <v>635</v>
      </c>
      <c r="B75" s="17" t="n">
        <v>8249</v>
      </c>
      <c r="C75" s="18">
        <f>(7337.0/B75*100)</f>
        <v/>
      </c>
      <c r="D75" s="19" t="n">
        <v>912</v>
      </c>
      <c r="E75" s="18" t="n">
        <v>11.04176689</v>
      </c>
      <c r="F75" s="20" t="n">
        <v>1.10061148</v>
      </c>
      <c r="G75" s="18" t="n">
        <v>88.2856864</v>
      </c>
      <c r="H75" s="20" t="n">
        <v>1.17969757</v>
      </c>
      <c r="I75" s="18" t="n">
        <v>0</v>
      </c>
      <c r="J75" s="20" t="n">
        <v>0</v>
      </c>
      <c r="K75" s="18" t="n">
        <v>0</v>
      </c>
      <c r="L75" s="20" t="n">
        <v>0</v>
      </c>
      <c r="M75" s="18" t="n">
        <v>0</v>
      </c>
      <c r="N75" s="20" t="n">
        <v>0</v>
      </c>
      <c r="O75" s="18" t="n">
        <v>0</v>
      </c>
      <c r="P75" s="20" t="n">
        <v>0</v>
      </c>
      <c r="Q75" s="18" t="n">
        <v>0.67254671</v>
      </c>
      <c r="R75" s="20" t="n">
        <v>0.3335247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(4823.0/B77*100)</f>
        <v/>
      </c>
      <c r="D77" s="19" t="n">
        <v>552</v>
      </c>
      <c r="E77" s="18" t="n">
        <v>17.16700287</v>
      </c>
      <c r="F77" s="20" t="n">
        <v>1.49691239</v>
      </c>
      <c r="G77" s="18" t="n">
        <v>78.83633952</v>
      </c>
      <c r="H77" s="20" t="n">
        <v>1.76974038</v>
      </c>
      <c r="I77" s="18" t="n">
        <v>0</v>
      </c>
      <c r="J77" s="20" t="n">
        <v>0</v>
      </c>
      <c r="K77" s="18" t="n">
        <v>2.17470613</v>
      </c>
      <c r="L77" s="20" t="n">
        <v>0.6202642900000001</v>
      </c>
      <c r="M77" s="18" t="n">
        <v>0</v>
      </c>
      <c r="N77" s="20" t="n">
        <v>0</v>
      </c>
      <c r="O77" s="18" t="n">
        <v>0</v>
      </c>
      <c r="P77" s="20" t="n">
        <v>0</v>
      </c>
      <c r="Q77" s="18" t="n">
        <v>1.82195148</v>
      </c>
      <c r="R77" s="20" t="n">
        <v>0.57414235</v>
      </c>
    </row>
    <row r="78" spans="1:18">
      <c r="A78" s="15" t="s">
        <v>638</v>
      </c>
      <c r="B78" s="17" t="n">
        <v>14167</v>
      </c>
      <c r="C78" s="18">
        <f>(12622.0/B78*100)</f>
        <v/>
      </c>
      <c r="D78" s="19" t="n">
        <v>1545</v>
      </c>
      <c r="E78" s="18" t="n">
        <v>12.78475684</v>
      </c>
      <c r="F78" s="20" t="n">
        <v>1.059997</v>
      </c>
      <c r="G78" s="18" t="n">
        <v>85.96363779000001</v>
      </c>
      <c r="H78" s="20" t="n">
        <v>1.1256719</v>
      </c>
      <c r="I78" s="18" t="n">
        <v>0</v>
      </c>
      <c r="J78" s="20" t="n">
        <v>0</v>
      </c>
      <c r="K78" s="18" t="n">
        <v>0.30767337</v>
      </c>
      <c r="L78" s="20" t="n">
        <v>0.14777335</v>
      </c>
      <c r="M78" s="18" t="n">
        <v>0</v>
      </c>
      <c r="N78" s="20" t="n">
        <v>0</v>
      </c>
      <c r="O78" s="18" t="n">
        <v>0</v>
      </c>
      <c r="P78" s="20" t="n">
        <v>0</v>
      </c>
      <c r="Q78" s="18" t="n">
        <v>0.94393201</v>
      </c>
      <c r="R78" s="20" t="n">
        <v>0.30257133</v>
      </c>
    </row>
    <row r="79" spans="1:18">
      <c r="A79" s="15" t="s">
        <v>639</v>
      </c>
      <c r="B79" s="17" t="n">
        <v>6062</v>
      </c>
      <c r="C79" s="18">
        <f>(5425.0/B79*100)</f>
        <v/>
      </c>
      <c r="D79" s="19" t="n">
        <v>637</v>
      </c>
      <c r="E79" s="18" t="n">
        <v>22.2623665</v>
      </c>
      <c r="F79" s="20" t="n">
        <v>1.9433628</v>
      </c>
      <c r="G79" s="18" t="n">
        <v>76.91575781</v>
      </c>
      <c r="H79" s="20" t="n">
        <v>1.9621851</v>
      </c>
      <c r="I79" s="18" t="n">
        <v>0</v>
      </c>
      <c r="J79" s="20" t="n">
        <v>0</v>
      </c>
      <c r="K79" s="18" t="n">
        <v>0.62399613</v>
      </c>
      <c r="L79" s="20" t="n">
        <v>0.33287936</v>
      </c>
      <c r="M79" s="18" t="n">
        <v>0</v>
      </c>
      <c r="N79" s="20" t="n">
        <v>0</v>
      </c>
      <c r="O79" s="18" t="n">
        <v>0</v>
      </c>
      <c r="P79" s="20" t="n">
        <v>0</v>
      </c>
      <c r="Q79" s="18" t="n">
        <v>0.19787956</v>
      </c>
      <c r="R79" s="20" t="n">
        <v>0.13752585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(28798.0/B82*100)</f>
        <v/>
      </c>
      <c r="D82" s="19" t="n">
        <v>3532</v>
      </c>
      <c r="E82" s="18" t="n">
        <v>15.79986661</v>
      </c>
      <c r="F82" s="20" t="n">
        <v>0.79277915</v>
      </c>
      <c r="G82" s="18" t="n">
        <v>83.69478149</v>
      </c>
      <c r="H82" s="20" t="n">
        <v>0.81909439</v>
      </c>
      <c r="I82" s="18" t="n">
        <v>0</v>
      </c>
      <c r="J82" s="20" t="n">
        <v>0</v>
      </c>
      <c r="K82" s="18" t="n">
        <v>0.13912494</v>
      </c>
      <c r="L82" s="20" t="n">
        <v>0.06783598</v>
      </c>
      <c r="M82" s="18" t="n">
        <v>0</v>
      </c>
      <c r="N82" s="20" t="n">
        <v>0</v>
      </c>
      <c r="O82" s="18" t="n">
        <v>0</v>
      </c>
      <c r="P82" s="20" t="n">
        <v>0</v>
      </c>
      <c r="Q82" s="18" t="n">
        <v>0.36622696</v>
      </c>
      <c r="R82" s="20" t="n">
        <v>0.15216168</v>
      </c>
    </row>
    <row r="83" spans="1:18">
      <c r="A83" s="15" t="s">
        <v>643</v>
      </c>
      <c r="B83" s="17" t="n">
        <v>1652</v>
      </c>
      <c r="C83" s="18">
        <f>(1436.0/B83*100)</f>
        <v/>
      </c>
      <c r="D83" s="19" t="n">
        <v>216</v>
      </c>
      <c r="E83" s="18" t="n">
        <v>7.80220905</v>
      </c>
      <c r="F83" s="20" t="n">
        <v>1.86553454</v>
      </c>
      <c r="G83" s="18" t="n">
        <v>92.19779095</v>
      </c>
      <c r="H83" s="20" t="n">
        <v>1.86553454</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(1625.0/B84*100)</f>
        <v/>
      </c>
      <c r="D84" s="19" t="n">
        <v>262</v>
      </c>
      <c r="E84" s="18" t="n">
        <v>7.54979782</v>
      </c>
      <c r="F84" s="20" t="n">
        <v>1.56455581</v>
      </c>
      <c r="G84" s="18" t="n">
        <v>92.10412974</v>
      </c>
      <c r="H84" s="20" t="n">
        <v>1.60811623</v>
      </c>
      <c r="I84" s="18" t="n">
        <v>0</v>
      </c>
      <c r="J84" s="20" t="n">
        <v>0</v>
      </c>
      <c r="K84" s="18" t="n">
        <v>0</v>
      </c>
      <c r="L84" s="20" t="n">
        <v>0</v>
      </c>
      <c r="M84" s="18" t="n">
        <v>0</v>
      </c>
      <c r="N84" s="20" t="n">
        <v>0</v>
      </c>
      <c r="O84" s="18" t="n">
        <v>0</v>
      </c>
      <c r="P84" s="20" t="n">
        <v>0</v>
      </c>
      <c r="Q84" s="18" t="n">
        <v>0.34607244</v>
      </c>
      <c r="R84" s="20" t="n">
        <v>0.34816516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(12963.0/B7*100)</f>
        <v/>
      </c>
      <c r="D7" s="19" t="n">
        <v>1567</v>
      </c>
      <c r="E7" s="18" t="n">
        <v>44.92624562</v>
      </c>
      <c r="F7" s="20" t="n">
        <v>1.5725458</v>
      </c>
      <c r="G7" s="18" t="n">
        <v>54.48630362</v>
      </c>
      <c r="H7" s="20" t="n">
        <v>1.55724074</v>
      </c>
      <c r="I7" s="18" t="n">
        <v>0</v>
      </c>
      <c r="J7" s="20" t="n">
        <v>0</v>
      </c>
      <c r="K7" s="18" t="n">
        <v>0.14140224</v>
      </c>
      <c r="L7" s="20" t="n">
        <v>0.11048837</v>
      </c>
      <c r="M7" s="18" t="n">
        <v>0</v>
      </c>
      <c r="N7" s="20" t="n">
        <v>0</v>
      </c>
      <c r="O7" s="18" t="n">
        <v>0</v>
      </c>
      <c r="P7" s="20" t="n">
        <v>0</v>
      </c>
      <c r="Q7" s="18" t="n">
        <v>0.44604852</v>
      </c>
      <c r="R7" s="20" t="n">
        <v>0.15681729</v>
      </c>
    </row>
    <row r="8" spans="1:18">
      <c r="A8" s="15" t="s">
        <v>566</v>
      </c>
      <c r="B8" s="17" t="n">
        <v>7007</v>
      </c>
      <c r="C8" s="18">
        <f>(6233.0/B8*100)</f>
        <v/>
      </c>
      <c r="D8" s="19" t="n">
        <v>774</v>
      </c>
      <c r="E8" s="18" t="n">
        <v>54.42921805</v>
      </c>
      <c r="F8" s="20" t="n">
        <v>1.93945585</v>
      </c>
      <c r="G8" s="18" t="n">
        <v>45.27180011</v>
      </c>
      <c r="H8" s="20" t="n">
        <v>1.95228215</v>
      </c>
      <c r="I8" s="18" t="n">
        <v>0</v>
      </c>
      <c r="J8" s="20" t="n">
        <v>0</v>
      </c>
      <c r="K8" s="18" t="n">
        <v>0.15046797</v>
      </c>
      <c r="L8" s="20" t="n">
        <v>0.17175008</v>
      </c>
      <c r="M8" s="18" t="n">
        <v>0</v>
      </c>
      <c r="N8" s="20" t="n">
        <v>0</v>
      </c>
      <c r="O8" s="18" t="n">
        <v>0</v>
      </c>
      <c r="P8" s="20" t="n">
        <v>0</v>
      </c>
      <c r="Q8" s="18" t="n">
        <v>0.14851386</v>
      </c>
      <c r="R8" s="20" t="n">
        <v>0.08706865</v>
      </c>
    </row>
    <row r="9" spans="1:18">
      <c r="A9" s="15" t="s">
        <v>567</v>
      </c>
      <c r="B9" s="17" t="n">
        <v>9651</v>
      </c>
      <c r="C9" s="18">
        <f>(8617.0/B9*100)</f>
        <v/>
      </c>
      <c r="D9" s="19" t="n">
        <v>1034</v>
      </c>
      <c r="E9" s="18" t="n">
        <v>52.10069106</v>
      </c>
      <c r="F9" s="20" t="n">
        <v>1.42255638</v>
      </c>
      <c r="G9" s="18" t="n">
        <v>47.27163495</v>
      </c>
      <c r="H9" s="20" t="n">
        <v>1.3903053</v>
      </c>
      <c r="I9" s="18" t="n">
        <v>0</v>
      </c>
      <c r="J9" s="20" t="n">
        <v>0</v>
      </c>
      <c r="K9" s="18" t="n">
        <v>0.07909444</v>
      </c>
      <c r="L9" s="20" t="n">
        <v>0.07585492000000001</v>
      </c>
      <c r="M9" s="18" t="n">
        <v>0</v>
      </c>
      <c r="N9" s="20" t="n">
        <v>0</v>
      </c>
      <c r="O9" s="18" t="n">
        <v>0</v>
      </c>
      <c r="P9" s="20" t="n">
        <v>0</v>
      </c>
      <c r="Q9" s="18" t="n">
        <v>0.54857955</v>
      </c>
      <c r="R9" s="20" t="n">
        <v>0.23860306</v>
      </c>
    </row>
    <row r="10" spans="1:18">
      <c r="A10" s="15" t="s">
        <v>568</v>
      </c>
      <c r="B10" s="17" t="n">
        <v>20058</v>
      </c>
      <c r="C10" s="18">
        <f>(17762.0/B10*100)</f>
        <v/>
      </c>
      <c r="D10" s="19" t="n">
        <v>2296</v>
      </c>
      <c r="E10" s="18" t="n">
        <v>47.63825708</v>
      </c>
      <c r="F10" s="20" t="n">
        <v>1.45937994</v>
      </c>
      <c r="G10" s="18" t="n">
        <v>51.54223999</v>
      </c>
      <c r="H10" s="20" t="n">
        <v>1.57278491</v>
      </c>
      <c r="I10" s="18" t="n">
        <v>0</v>
      </c>
      <c r="J10" s="20" t="n">
        <v>0</v>
      </c>
      <c r="K10" s="18" t="n">
        <v>0.4241079</v>
      </c>
      <c r="L10" s="20" t="n">
        <v>0.24016456</v>
      </c>
      <c r="M10" s="18" t="n">
        <v>0</v>
      </c>
      <c r="N10" s="20" t="n">
        <v>0</v>
      </c>
      <c r="O10" s="18" t="n">
        <v>0</v>
      </c>
      <c r="P10" s="20" t="n">
        <v>0</v>
      </c>
      <c r="Q10" s="18" t="n">
        <v>0.39539503</v>
      </c>
      <c r="R10" s="20" t="n">
        <v>0.21436158</v>
      </c>
    </row>
    <row r="11" spans="1:18">
      <c r="A11" s="15" t="s">
        <v>569</v>
      </c>
      <c r="B11" s="17" t="n">
        <v>7053</v>
      </c>
      <c r="C11" s="18">
        <f>(6307.0/B11*100)</f>
        <v/>
      </c>
      <c r="D11" s="19" t="n">
        <v>746</v>
      </c>
      <c r="E11" s="18" t="n">
        <v>66.0213735</v>
      </c>
      <c r="F11" s="20" t="n">
        <v>2.09843151</v>
      </c>
      <c r="G11" s="18" t="n">
        <v>33.18557382</v>
      </c>
      <c r="H11" s="20" t="n">
        <v>2.08314556</v>
      </c>
      <c r="I11" s="18" t="n">
        <v>0</v>
      </c>
      <c r="J11" s="20" t="n">
        <v>0</v>
      </c>
      <c r="K11" s="18" t="n">
        <v>0.53956491</v>
      </c>
      <c r="L11" s="20" t="n">
        <v>0.26787471</v>
      </c>
      <c r="M11" s="18" t="n">
        <v>0</v>
      </c>
      <c r="N11" s="20" t="n">
        <v>0</v>
      </c>
      <c r="O11" s="18" t="n">
        <v>0</v>
      </c>
      <c r="P11" s="20" t="n">
        <v>0</v>
      </c>
      <c r="Q11" s="18" t="n">
        <v>0.25348777</v>
      </c>
      <c r="R11" s="20" t="n">
        <v>0.21720084</v>
      </c>
    </row>
    <row r="12" spans="1:18">
      <c r="A12" s="15" t="s">
        <v>570</v>
      </c>
      <c r="B12" s="17" t="n">
        <v>6894</v>
      </c>
      <c r="C12" s="18">
        <f>(6131.0/B12*100)</f>
        <v/>
      </c>
      <c r="D12" s="19" t="n">
        <v>763</v>
      </c>
      <c r="E12" s="18" t="n">
        <v>54.65945456</v>
      </c>
      <c r="F12" s="20" t="n">
        <v>2.05522968</v>
      </c>
      <c r="G12" s="18" t="n">
        <v>44.38508081</v>
      </c>
      <c r="H12" s="20" t="n">
        <v>1.94342343</v>
      </c>
      <c r="I12" s="18" t="n">
        <v>0</v>
      </c>
      <c r="J12" s="20" t="n">
        <v>0</v>
      </c>
      <c r="K12" s="18" t="n">
        <v>0.24678048</v>
      </c>
      <c r="L12" s="20" t="n">
        <v>0.17165373</v>
      </c>
      <c r="M12" s="18" t="n">
        <v>0</v>
      </c>
      <c r="N12" s="20" t="n">
        <v>0</v>
      </c>
      <c r="O12" s="18" t="n">
        <v>0</v>
      </c>
      <c r="P12" s="20" t="n">
        <v>0</v>
      </c>
      <c r="Q12" s="18" t="n">
        <v>0.70868416</v>
      </c>
      <c r="R12" s="20" t="n">
        <v>0.43812272</v>
      </c>
    </row>
    <row r="13" spans="1:18">
      <c r="A13" s="15" t="s">
        <v>571</v>
      </c>
      <c r="B13" s="17" t="n">
        <v>7161</v>
      </c>
      <c r="C13" s="18">
        <f>(6375.0/B13*100)</f>
        <v/>
      </c>
      <c r="D13" s="19" t="n">
        <v>786</v>
      </c>
      <c r="E13" s="18" t="n">
        <v>58.8334992</v>
      </c>
      <c r="F13" s="20" t="n">
        <v>2.03058024</v>
      </c>
      <c r="G13" s="18" t="n">
        <v>40.81318706</v>
      </c>
      <c r="H13" s="20" t="n">
        <v>2.00857336</v>
      </c>
      <c r="I13" s="18" t="n">
        <v>0</v>
      </c>
      <c r="J13" s="20" t="n">
        <v>0</v>
      </c>
      <c r="K13" s="18" t="n">
        <v>0.16899277</v>
      </c>
      <c r="L13" s="20" t="n">
        <v>0.15134952</v>
      </c>
      <c r="M13" s="18" t="n">
        <v>0</v>
      </c>
      <c r="N13" s="20" t="n">
        <v>0</v>
      </c>
      <c r="O13" s="18" t="n">
        <v>0</v>
      </c>
      <c r="P13" s="20" t="n">
        <v>0</v>
      </c>
      <c r="Q13" s="18" t="n">
        <v>0.18432097</v>
      </c>
      <c r="R13" s="20" t="n">
        <v>0.16648914</v>
      </c>
    </row>
    <row r="14" spans="1:18">
      <c r="A14" s="15" t="s">
        <v>572</v>
      </c>
      <c r="B14" s="17" t="n">
        <v>5587</v>
      </c>
      <c r="C14" s="18">
        <f>(4958.0/B14*100)</f>
        <v/>
      </c>
      <c r="D14" s="19" t="n">
        <v>629</v>
      </c>
      <c r="E14" s="18" t="n">
        <v>41.6023056</v>
      </c>
      <c r="F14" s="20" t="n">
        <v>2.08440265</v>
      </c>
      <c r="G14" s="18" t="n">
        <v>58.28523696</v>
      </c>
      <c r="H14" s="20" t="n">
        <v>2.0729335</v>
      </c>
      <c r="I14" s="18" t="n">
        <v>0</v>
      </c>
      <c r="J14" s="20" t="n">
        <v>0</v>
      </c>
      <c r="K14" s="18" t="n">
        <v>0</v>
      </c>
      <c r="L14" s="20" t="n">
        <v>0</v>
      </c>
      <c r="M14" s="18" t="n">
        <v>0</v>
      </c>
      <c r="N14" s="20" t="n">
        <v>0</v>
      </c>
      <c r="O14" s="18" t="n">
        <v>0</v>
      </c>
      <c r="P14" s="20" t="n">
        <v>0</v>
      </c>
      <c r="Q14" s="18" t="n">
        <v>0.11245744</v>
      </c>
      <c r="R14" s="20" t="n">
        <v>0.11177991</v>
      </c>
    </row>
    <row r="15" spans="1:18">
      <c r="A15" s="15" t="s">
        <v>573</v>
      </c>
      <c r="B15" s="17" t="n">
        <v>5882</v>
      </c>
      <c r="C15" s="18">
        <f>(5280.0/B15*100)</f>
        <v/>
      </c>
      <c r="D15" s="19" t="n">
        <v>602</v>
      </c>
      <c r="E15" s="18" t="n">
        <v>35.0469128</v>
      </c>
      <c r="F15" s="20" t="n">
        <v>2.19253488</v>
      </c>
      <c r="G15" s="18" t="n">
        <v>64.9530872</v>
      </c>
      <c r="H15" s="20" t="n">
        <v>2.19253488</v>
      </c>
      <c r="I15" s="18" t="n">
        <v>0</v>
      </c>
      <c r="J15" s="20" t="n">
        <v>0</v>
      </c>
      <c r="K15" s="18" t="n">
        <v>0</v>
      </c>
      <c r="L15" s="20" t="n">
        <v>0</v>
      </c>
      <c r="M15" s="18" t="n">
        <v>0</v>
      </c>
      <c r="N15" s="20" t="n">
        <v>0</v>
      </c>
      <c r="O15" s="18" t="n">
        <v>0</v>
      </c>
      <c r="P15" s="20" t="n">
        <v>0</v>
      </c>
      <c r="Q15" s="18" t="n">
        <v>0</v>
      </c>
      <c r="R15" s="20" t="n">
        <v>0</v>
      </c>
    </row>
    <row r="16" spans="1:18">
      <c r="A16" s="15" t="s">
        <v>574</v>
      </c>
      <c r="B16" s="17" t="n">
        <v>6108</v>
      </c>
      <c r="C16" s="18">
        <f>(5446.0/B16*100)</f>
        <v/>
      </c>
      <c r="D16" s="19" t="n">
        <v>662</v>
      </c>
      <c r="E16" s="18" t="n">
        <v>56.19586907</v>
      </c>
      <c r="F16" s="20" t="n">
        <v>2.03373737</v>
      </c>
      <c r="G16" s="18" t="n">
        <v>42.42524592</v>
      </c>
      <c r="H16" s="20" t="n">
        <v>2.08622474</v>
      </c>
      <c r="I16" s="18" t="n">
        <v>0</v>
      </c>
      <c r="J16" s="20" t="n">
        <v>0</v>
      </c>
      <c r="K16" s="18" t="n">
        <v>0.63377952</v>
      </c>
      <c r="L16" s="20" t="n">
        <v>0.3190223</v>
      </c>
      <c r="M16" s="18" t="n">
        <v>0</v>
      </c>
      <c r="N16" s="20" t="n">
        <v>0</v>
      </c>
      <c r="O16" s="18" t="n">
        <v>0</v>
      </c>
      <c r="P16" s="20" t="n">
        <v>0</v>
      </c>
      <c r="Q16" s="18" t="n">
        <v>0.74510548</v>
      </c>
      <c r="R16" s="20" t="n">
        <v>0.36129596</v>
      </c>
    </row>
    <row r="17" spans="1:18">
      <c r="A17" s="15" t="s">
        <v>575</v>
      </c>
      <c r="B17" s="17" t="n">
        <v>6504</v>
      </c>
      <c r="C17" s="18">
        <f>(5817.0/B17*100)</f>
        <v/>
      </c>
      <c r="D17" s="19" t="n">
        <v>687</v>
      </c>
      <c r="E17" s="18" t="n">
        <v>57.62302168</v>
      </c>
      <c r="F17" s="20" t="n">
        <v>1.92599148</v>
      </c>
      <c r="G17" s="18" t="n">
        <v>41.89939377</v>
      </c>
      <c r="H17" s="20" t="n">
        <v>1.94375882</v>
      </c>
      <c r="I17" s="18" t="n">
        <v>0</v>
      </c>
      <c r="J17" s="20" t="n">
        <v>0</v>
      </c>
      <c r="K17" s="18" t="n">
        <v>0.32984342</v>
      </c>
      <c r="L17" s="20" t="n">
        <v>0.17446149</v>
      </c>
      <c r="M17" s="18" t="n">
        <v>0</v>
      </c>
      <c r="N17" s="20" t="n">
        <v>0</v>
      </c>
      <c r="O17" s="18" t="n">
        <v>0</v>
      </c>
      <c r="P17" s="20" t="n">
        <v>0</v>
      </c>
      <c r="Q17" s="18" t="n">
        <v>0.14774113</v>
      </c>
      <c r="R17" s="20" t="n">
        <v>0.14782493</v>
      </c>
    </row>
    <row r="18" spans="1:18">
      <c r="A18" s="15" t="s">
        <v>576</v>
      </c>
      <c r="B18" s="17" t="n">
        <v>5532</v>
      </c>
      <c r="C18" s="18">
        <f>(4915.0/B18*100)</f>
        <v/>
      </c>
      <c r="D18" s="19" t="n">
        <v>617</v>
      </c>
      <c r="E18" s="18" t="n">
        <v>72.12082493</v>
      </c>
      <c r="F18" s="20" t="n">
        <v>1.88114955</v>
      </c>
      <c r="G18" s="18" t="n">
        <v>27.74895338</v>
      </c>
      <c r="H18" s="20" t="n">
        <v>1.8962992</v>
      </c>
      <c r="I18" s="18" t="n">
        <v>0</v>
      </c>
      <c r="J18" s="20" t="n">
        <v>0</v>
      </c>
      <c r="K18" s="18" t="n">
        <v>0.13022169</v>
      </c>
      <c r="L18" s="20" t="n">
        <v>0.12609867</v>
      </c>
      <c r="M18" s="18" t="n">
        <v>0</v>
      </c>
      <c r="N18" s="20" t="n">
        <v>0</v>
      </c>
      <c r="O18" s="18" t="n">
        <v>0</v>
      </c>
      <c r="P18" s="20" t="n">
        <v>0</v>
      </c>
      <c r="Q18" s="18" t="n">
        <v>0</v>
      </c>
      <c r="R18" s="20" t="n">
        <v>0</v>
      </c>
    </row>
    <row r="19" spans="1:18">
      <c r="A19" s="15" t="s">
        <v>577</v>
      </c>
      <c r="B19" s="17" t="n">
        <v>5658</v>
      </c>
      <c r="C19" s="18">
        <f>(5048.0/B19*100)</f>
        <v/>
      </c>
      <c r="D19" s="19" t="n">
        <v>610</v>
      </c>
      <c r="E19" s="18" t="n">
        <v>49.26744705</v>
      </c>
      <c r="F19" s="20" t="n">
        <v>2.02492691</v>
      </c>
      <c r="G19" s="18" t="n">
        <v>50.32246319</v>
      </c>
      <c r="H19" s="20" t="n">
        <v>2.0176209</v>
      </c>
      <c r="I19" s="18" t="n">
        <v>0</v>
      </c>
      <c r="J19" s="20" t="n">
        <v>0</v>
      </c>
      <c r="K19" s="18" t="n">
        <v>0</v>
      </c>
      <c r="L19" s="20" t="n">
        <v>0</v>
      </c>
      <c r="M19" s="18" t="n">
        <v>0</v>
      </c>
      <c r="N19" s="20" t="n">
        <v>0</v>
      </c>
      <c r="O19" s="18" t="n">
        <v>0</v>
      </c>
      <c r="P19" s="20" t="n">
        <v>0</v>
      </c>
      <c r="Q19" s="18" t="n">
        <v>0.41008976</v>
      </c>
      <c r="R19" s="20" t="n">
        <v>0.31366079</v>
      </c>
    </row>
    <row r="20" spans="1:18">
      <c r="A20" s="15" t="s">
        <v>578</v>
      </c>
      <c r="B20" s="17" t="n">
        <v>3371</v>
      </c>
      <c r="C20" s="18">
        <f>(2975.0/B20*100)</f>
        <v/>
      </c>
      <c r="D20" s="19" t="n">
        <v>396</v>
      </c>
      <c r="E20" s="18" t="n">
        <v>41.90046079</v>
      </c>
      <c r="F20" s="20" t="n">
        <v>2.61949637</v>
      </c>
      <c r="G20" s="18" t="n">
        <v>57.60006927</v>
      </c>
      <c r="H20" s="20" t="n">
        <v>2.68614314</v>
      </c>
      <c r="I20" s="18" t="n">
        <v>0</v>
      </c>
      <c r="J20" s="20" t="n">
        <v>0</v>
      </c>
      <c r="K20" s="18" t="n">
        <v>0.24925134</v>
      </c>
      <c r="L20" s="20" t="n">
        <v>0.25026322</v>
      </c>
      <c r="M20" s="18" t="n">
        <v>0</v>
      </c>
      <c r="N20" s="20" t="n">
        <v>0</v>
      </c>
      <c r="O20" s="18" t="n">
        <v>0</v>
      </c>
      <c r="P20" s="20" t="n">
        <v>0</v>
      </c>
      <c r="Q20" s="18" t="n">
        <v>0.25021861</v>
      </c>
      <c r="R20" s="20" t="n">
        <v>0.25167777</v>
      </c>
    </row>
    <row r="21" spans="1:18">
      <c r="A21" s="15" t="s">
        <v>579</v>
      </c>
      <c r="B21" s="17" t="n">
        <v>5741</v>
      </c>
      <c r="C21" s="18">
        <f>(5116.0/B21*100)</f>
        <v/>
      </c>
      <c r="D21" s="19" t="n">
        <v>625</v>
      </c>
      <c r="E21" s="18" t="n">
        <v>50.72571472</v>
      </c>
      <c r="F21" s="20" t="n">
        <v>1.9803045</v>
      </c>
      <c r="G21" s="18" t="n">
        <v>48.95588747</v>
      </c>
      <c r="H21" s="20" t="n">
        <v>1.95170302</v>
      </c>
      <c r="I21" s="18" t="n">
        <v>0</v>
      </c>
      <c r="J21" s="20" t="n">
        <v>0</v>
      </c>
      <c r="K21" s="18" t="n">
        <v>0</v>
      </c>
      <c r="L21" s="20" t="n">
        <v>0</v>
      </c>
      <c r="M21" s="18" t="n">
        <v>0</v>
      </c>
      <c r="N21" s="20" t="n">
        <v>0</v>
      </c>
      <c r="O21" s="18" t="n">
        <v>0</v>
      </c>
      <c r="P21" s="20" t="n">
        <v>0</v>
      </c>
      <c r="Q21" s="18" t="n">
        <v>0.31839782</v>
      </c>
      <c r="R21" s="20" t="n">
        <v>0.23632038</v>
      </c>
    </row>
    <row r="22" spans="1:18">
      <c r="A22" s="15" t="s">
        <v>580</v>
      </c>
      <c r="B22" s="17" t="n">
        <v>6598</v>
      </c>
      <c r="C22" s="18">
        <f>(5847.0/B22*100)</f>
        <v/>
      </c>
      <c r="D22" s="19" t="n">
        <v>751</v>
      </c>
      <c r="E22" s="18" t="n">
        <v>62.40649006</v>
      </c>
      <c r="F22" s="20" t="n">
        <v>2.00307496</v>
      </c>
      <c r="G22" s="18" t="n">
        <v>36.43163636</v>
      </c>
      <c r="H22" s="20" t="n">
        <v>1.95822647</v>
      </c>
      <c r="I22" s="18" t="n">
        <v>0</v>
      </c>
      <c r="J22" s="20" t="n">
        <v>0</v>
      </c>
      <c r="K22" s="18" t="n">
        <v>0.38442782</v>
      </c>
      <c r="L22" s="20" t="n">
        <v>0.23112513</v>
      </c>
      <c r="M22" s="18" t="n">
        <v>0</v>
      </c>
      <c r="N22" s="20" t="n">
        <v>0</v>
      </c>
      <c r="O22" s="18" t="n">
        <v>0</v>
      </c>
      <c r="P22" s="20" t="n">
        <v>0</v>
      </c>
      <c r="Q22" s="18" t="n">
        <v>0.77744576</v>
      </c>
      <c r="R22" s="20" t="n">
        <v>0.34328944</v>
      </c>
    </row>
    <row r="23" spans="1:18">
      <c r="A23" s="15" t="s">
        <v>581</v>
      </c>
      <c r="B23" s="17" t="n">
        <v>11583</v>
      </c>
      <c r="C23" s="18">
        <f>(10341.0/B23*100)</f>
        <v/>
      </c>
      <c r="D23" s="19" t="n">
        <v>1242</v>
      </c>
      <c r="E23" s="18" t="n">
        <v>45.81234543</v>
      </c>
      <c r="F23" s="20" t="n">
        <v>1.94906955</v>
      </c>
      <c r="G23" s="18" t="n">
        <v>53.62531035</v>
      </c>
      <c r="H23" s="20" t="n">
        <v>1.93046594</v>
      </c>
      <c r="I23" s="18" t="n">
        <v>0</v>
      </c>
      <c r="J23" s="20" t="n">
        <v>0</v>
      </c>
      <c r="K23" s="18" t="n">
        <v>0.21968816</v>
      </c>
      <c r="L23" s="20" t="n">
        <v>0.1515902</v>
      </c>
      <c r="M23" s="18" t="n">
        <v>0</v>
      </c>
      <c r="N23" s="20" t="n">
        <v>0</v>
      </c>
      <c r="O23" s="18" t="n">
        <v>0</v>
      </c>
      <c r="P23" s="20" t="n">
        <v>0</v>
      </c>
      <c r="Q23" s="18" t="n">
        <v>0.34265606</v>
      </c>
      <c r="R23" s="20" t="n">
        <v>0.22090832</v>
      </c>
    </row>
    <row r="24" spans="1:18">
      <c r="A24" s="15" t="s">
        <v>582</v>
      </c>
      <c r="B24" s="17" t="n">
        <v>6647</v>
      </c>
      <c r="C24" s="18">
        <f>(5923.0/B24*100)</f>
        <v/>
      </c>
      <c r="D24" s="19" t="n">
        <v>724</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583</v>
      </c>
      <c r="B25" s="17" t="n">
        <v>5581</v>
      </c>
      <c r="C25" s="18">
        <f>(4963.0/B25*100)</f>
        <v/>
      </c>
      <c r="D25" s="19" t="n">
        <v>618</v>
      </c>
      <c r="E25" s="18" t="n">
        <v>0</v>
      </c>
      <c r="F25" s="20" t="n">
        <v>0</v>
      </c>
      <c r="G25" s="18" t="n">
        <v>0</v>
      </c>
      <c r="H25" s="20" t="n">
        <v>0</v>
      </c>
      <c r="I25" s="18" t="n">
        <v>0</v>
      </c>
      <c r="J25" s="20" t="n">
        <v>0</v>
      </c>
      <c r="K25" s="18" t="n">
        <v>0</v>
      </c>
      <c r="L25" s="20" t="n">
        <v>0</v>
      </c>
      <c r="M25" s="18" t="n">
        <v>100</v>
      </c>
      <c r="N25" s="20" t="n">
        <v>0</v>
      </c>
      <c r="O25" s="18" t="n">
        <v>0</v>
      </c>
      <c r="P25" s="20" t="n">
        <v>0</v>
      </c>
      <c r="Q25" s="18" t="n">
        <v>0</v>
      </c>
      <c r="R25" s="20" t="n">
        <v>0</v>
      </c>
    </row>
    <row r="26" spans="1:18">
      <c r="A26" s="15" t="s">
        <v>584</v>
      </c>
      <c r="B26" s="17" t="n">
        <v>4869</v>
      </c>
      <c r="C26" s="18">
        <f>(4330.0/B26*100)</f>
        <v/>
      </c>
      <c r="D26" s="19" t="n">
        <v>539</v>
      </c>
      <c r="E26" s="18" t="n">
        <v>62.66489795</v>
      </c>
      <c r="F26" s="20" t="n">
        <v>2.36952236</v>
      </c>
      <c r="G26" s="18" t="n">
        <v>37.18699761</v>
      </c>
      <c r="H26" s="20" t="n">
        <v>2.36243619</v>
      </c>
      <c r="I26" s="18" t="n">
        <v>0</v>
      </c>
      <c r="J26" s="20" t="n">
        <v>0</v>
      </c>
      <c r="K26" s="18" t="n">
        <v>0</v>
      </c>
      <c r="L26" s="20" t="n">
        <v>0</v>
      </c>
      <c r="M26" s="18" t="n">
        <v>0</v>
      </c>
      <c r="N26" s="20" t="n">
        <v>0</v>
      </c>
      <c r="O26" s="18" t="n">
        <v>0</v>
      </c>
      <c r="P26" s="20" t="n">
        <v>0</v>
      </c>
      <c r="Q26" s="18" t="n">
        <v>0.14810444</v>
      </c>
      <c r="R26" s="20" t="n">
        <v>0.1612186</v>
      </c>
    </row>
    <row r="27" spans="1:18">
      <c r="A27" s="15" t="s">
        <v>585</v>
      </c>
      <c r="B27" s="17" t="n">
        <v>5299</v>
      </c>
      <c r="C27" s="18">
        <f>(4713.0/B27*100)</f>
        <v/>
      </c>
      <c r="D27" s="19" t="n">
        <v>586</v>
      </c>
      <c r="E27" s="18" t="n">
        <v>51.43246246</v>
      </c>
      <c r="F27" s="20" t="n">
        <v>2.10782097</v>
      </c>
      <c r="G27" s="18" t="n">
        <v>48.01424875</v>
      </c>
      <c r="H27" s="20" t="n">
        <v>2.13251309</v>
      </c>
      <c r="I27" s="18" t="n">
        <v>0</v>
      </c>
      <c r="J27" s="20" t="n">
        <v>0</v>
      </c>
      <c r="K27" s="18" t="n">
        <v>0.18166054</v>
      </c>
      <c r="L27" s="20" t="n">
        <v>0.18096812</v>
      </c>
      <c r="M27" s="18" t="n">
        <v>0</v>
      </c>
      <c r="N27" s="20" t="n">
        <v>0</v>
      </c>
      <c r="O27" s="18" t="n">
        <v>0</v>
      </c>
      <c r="P27" s="20" t="n">
        <v>0</v>
      </c>
      <c r="Q27" s="18" t="n">
        <v>0.37162824</v>
      </c>
      <c r="R27" s="20" t="n">
        <v>0.25217129</v>
      </c>
    </row>
    <row r="28" spans="1:18">
      <c r="A28" s="15" t="s">
        <v>586</v>
      </c>
      <c r="B28" s="17" t="n">
        <v>7568</v>
      </c>
      <c r="C28" s="18">
        <f>(6791.0/B28*100)</f>
        <v/>
      </c>
      <c r="D28" s="19" t="n">
        <v>777</v>
      </c>
      <c r="E28" s="18" t="n">
        <v>75.74192997</v>
      </c>
      <c r="F28" s="20" t="n">
        <v>1.59695767</v>
      </c>
      <c r="G28" s="18" t="n">
        <v>22.81146047</v>
      </c>
      <c r="H28" s="20" t="n">
        <v>1.55365441</v>
      </c>
      <c r="I28" s="18" t="n">
        <v>0</v>
      </c>
      <c r="J28" s="20" t="n">
        <v>0</v>
      </c>
      <c r="K28" s="18" t="n">
        <v>0.75156563</v>
      </c>
      <c r="L28" s="20" t="n">
        <v>0.29792491</v>
      </c>
      <c r="M28" s="18" t="n">
        <v>0</v>
      </c>
      <c r="N28" s="20" t="n">
        <v>0</v>
      </c>
      <c r="O28" s="18" t="n">
        <v>0</v>
      </c>
      <c r="P28" s="20" t="n">
        <v>0</v>
      </c>
      <c r="Q28" s="18" t="n">
        <v>0.69504392</v>
      </c>
      <c r="R28" s="20" t="n">
        <v>0.35485168</v>
      </c>
    </row>
    <row r="29" spans="1:18">
      <c r="A29" s="15" t="s">
        <v>587</v>
      </c>
      <c r="B29" s="17" t="n">
        <v>5385</v>
      </c>
      <c r="C29" s="18">
        <f>(4802.0/B29*100)</f>
        <v/>
      </c>
      <c r="D29" s="19" t="n">
        <v>583</v>
      </c>
      <c r="E29" s="18" t="n">
        <v>47.65979346</v>
      </c>
      <c r="F29" s="20" t="n">
        <v>1.81412074</v>
      </c>
      <c r="G29" s="18" t="n">
        <v>51.85091082</v>
      </c>
      <c r="H29" s="20" t="n">
        <v>1.79947186</v>
      </c>
      <c r="I29" s="18" t="n">
        <v>0</v>
      </c>
      <c r="J29" s="20" t="n">
        <v>0</v>
      </c>
      <c r="K29" s="18" t="n">
        <v>0</v>
      </c>
      <c r="L29" s="20" t="n">
        <v>0</v>
      </c>
      <c r="M29" s="18" t="n">
        <v>0</v>
      </c>
      <c r="N29" s="20" t="n">
        <v>0</v>
      </c>
      <c r="O29" s="18" t="n">
        <v>0</v>
      </c>
      <c r="P29" s="20" t="n">
        <v>0</v>
      </c>
      <c r="Q29" s="18" t="n">
        <v>0.48929572</v>
      </c>
      <c r="R29" s="20" t="n">
        <v>0.2809448</v>
      </c>
    </row>
    <row r="30" spans="1:18">
      <c r="A30" s="15" t="s">
        <v>588</v>
      </c>
      <c r="B30" s="17" t="n">
        <v>4520</v>
      </c>
      <c r="C30" s="18">
        <f>(4035.0/B30*100)</f>
        <v/>
      </c>
      <c r="D30" s="19" t="n">
        <v>485</v>
      </c>
      <c r="E30" s="18" t="n">
        <v>49.99411881</v>
      </c>
      <c r="F30" s="20" t="n">
        <v>2.13362942</v>
      </c>
      <c r="G30" s="18" t="n">
        <v>48.8816609</v>
      </c>
      <c r="H30" s="20" t="n">
        <v>2.08884392</v>
      </c>
      <c r="I30" s="18" t="n">
        <v>0</v>
      </c>
      <c r="J30" s="20" t="n">
        <v>0</v>
      </c>
      <c r="K30" s="18" t="n">
        <v>0</v>
      </c>
      <c r="L30" s="20" t="n">
        <v>0</v>
      </c>
      <c r="M30" s="18" t="n">
        <v>0</v>
      </c>
      <c r="N30" s="20" t="n">
        <v>0</v>
      </c>
      <c r="O30" s="18" t="n">
        <v>0</v>
      </c>
      <c r="P30" s="20" t="n">
        <v>0</v>
      </c>
      <c r="Q30" s="18" t="n">
        <v>1.12422029</v>
      </c>
      <c r="R30" s="20" t="n">
        <v>0.5148611400000001</v>
      </c>
    </row>
    <row r="31" spans="1:18">
      <c r="A31" s="15" t="s">
        <v>589</v>
      </c>
      <c r="B31" s="17" t="n">
        <v>5456</v>
      </c>
      <c r="C31" s="18">
        <f>(4848.0/B31*100)</f>
        <v/>
      </c>
      <c r="D31" s="19" t="n">
        <v>608</v>
      </c>
      <c r="E31" s="18" t="n">
        <v>41.09135366</v>
      </c>
      <c r="F31" s="20" t="n">
        <v>1.66520584</v>
      </c>
      <c r="G31" s="18" t="n">
        <v>58.46209478</v>
      </c>
      <c r="H31" s="20" t="n">
        <v>1.67587199</v>
      </c>
      <c r="I31" s="18" t="n">
        <v>0</v>
      </c>
      <c r="J31" s="20" t="n">
        <v>0</v>
      </c>
      <c r="K31" s="18" t="n">
        <v>0.30543359</v>
      </c>
      <c r="L31" s="20" t="n">
        <v>0.20725486</v>
      </c>
      <c r="M31" s="18" t="n">
        <v>0</v>
      </c>
      <c r="N31" s="20" t="n">
        <v>0</v>
      </c>
      <c r="O31" s="18" t="n">
        <v>0</v>
      </c>
      <c r="P31" s="20" t="n">
        <v>0</v>
      </c>
      <c r="Q31" s="18" t="n">
        <v>0.14111797</v>
      </c>
      <c r="R31" s="20" t="n">
        <v>0.14275656</v>
      </c>
    </row>
    <row r="32" spans="1:18">
      <c r="A32" s="15" t="s">
        <v>590</v>
      </c>
      <c r="B32" s="17" t="n">
        <v>4478</v>
      </c>
      <c r="C32" s="18">
        <f>(3970.0/B32*100)</f>
        <v/>
      </c>
      <c r="D32" s="19" t="n">
        <v>508</v>
      </c>
      <c r="E32" s="18" t="n">
        <v>50.30862833</v>
      </c>
      <c r="F32" s="20" t="n">
        <v>2.22446793</v>
      </c>
      <c r="G32" s="18" t="n">
        <v>49.69137167</v>
      </c>
      <c r="H32" s="20" t="n">
        <v>2.22446793</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(6519.0/B33*100)</f>
        <v/>
      </c>
      <c r="D33" s="19" t="n">
        <v>806</v>
      </c>
      <c r="E33" s="18" t="n">
        <v>58.2953064</v>
      </c>
      <c r="F33" s="20" t="n">
        <v>2.00926426</v>
      </c>
      <c r="G33" s="18" t="n">
        <v>41.20001702</v>
      </c>
      <c r="H33" s="20" t="n">
        <v>1.98481933</v>
      </c>
      <c r="I33" s="18" t="n">
        <v>0</v>
      </c>
      <c r="J33" s="20" t="n">
        <v>0</v>
      </c>
      <c r="K33" s="18" t="n">
        <v>0.18491199</v>
      </c>
      <c r="L33" s="20" t="n">
        <v>0.16406841</v>
      </c>
      <c r="M33" s="18" t="n">
        <v>0</v>
      </c>
      <c r="N33" s="20" t="n">
        <v>0</v>
      </c>
      <c r="O33" s="18" t="n">
        <v>0</v>
      </c>
      <c r="P33" s="20" t="n">
        <v>0</v>
      </c>
      <c r="Q33" s="18" t="n">
        <v>0.3197646</v>
      </c>
      <c r="R33" s="20" t="n">
        <v>0.20570948</v>
      </c>
    </row>
    <row r="34" spans="1:18">
      <c r="A34" s="15" t="s">
        <v>592</v>
      </c>
      <c r="B34" s="17" t="n">
        <v>6350</v>
      </c>
      <c r="C34" s="18">
        <f>(5647.0/B34*100)</f>
        <v/>
      </c>
      <c r="D34" s="19" t="n">
        <v>703</v>
      </c>
      <c r="E34" s="18" t="n">
        <v>65.18488738000001</v>
      </c>
      <c r="F34" s="20" t="n">
        <v>1.61759987</v>
      </c>
      <c r="G34" s="18" t="n">
        <v>34.68644442</v>
      </c>
      <c r="H34" s="20" t="n">
        <v>1.59740576</v>
      </c>
      <c r="I34" s="18" t="n">
        <v>0</v>
      </c>
      <c r="J34" s="20" t="n">
        <v>0</v>
      </c>
      <c r="K34" s="18" t="n">
        <v>0</v>
      </c>
      <c r="L34" s="20" t="n">
        <v>0</v>
      </c>
      <c r="M34" s="18" t="n">
        <v>0</v>
      </c>
      <c r="N34" s="20" t="n">
        <v>0</v>
      </c>
      <c r="O34" s="18" t="n">
        <v>0</v>
      </c>
      <c r="P34" s="20" t="n">
        <v>0</v>
      </c>
      <c r="Q34" s="18" t="n">
        <v>0.1286682</v>
      </c>
      <c r="R34" s="20" t="n">
        <v>0.12852338</v>
      </c>
    </row>
    <row r="35" spans="1:18">
      <c r="A35" s="15" t="s">
        <v>593</v>
      </c>
      <c r="B35" s="17" t="n">
        <v>6406</v>
      </c>
      <c r="C35" s="18">
        <f>(5749.0/B35*100)</f>
        <v/>
      </c>
      <c r="D35" s="19" t="n">
        <v>657</v>
      </c>
      <c r="E35" s="18" t="n">
        <v>54.05662029</v>
      </c>
      <c r="F35" s="20" t="n">
        <v>2.23589041</v>
      </c>
      <c r="G35" s="18" t="n">
        <v>45.25323011</v>
      </c>
      <c r="H35" s="20" t="n">
        <v>2.29620662</v>
      </c>
      <c r="I35" s="18" t="n">
        <v>0</v>
      </c>
      <c r="J35" s="20" t="n">
        <v>0</v>
      </c>
      <c r="K35" s="18" t="n">
        <v>0</v>
      </c>
      <c r="L35" s="20" t="n">
        <v>0</v>
      </c>
      <c r="M35" s="18" t="n">
        <v>0</v>
      </c>
      <c r="N35" s="20" t="n">
        <v>0</v>
      </c>
      <c r="O35" s="18" t="n">
        <v>0</v>
      </c>
      <c r="P35" s="20" t="n">
        <v>0</v>
      </c>
      <c r="Q35" s="18" t="n">
        <v>0.69014961</v>
      </c>
      <c r="R35" s="20" t="n">
        <v>0.36954232</v>
      </c>
    </row>
    <row r="36" spans="1:18">
      <c r="A36" s="15" t="s">
        <v>594</v>
      </c>
      <c r="B36" s="17" t="n">
        <v>6736</v>
      </c>
      <c r="C36" s="18">
        <f>(6024.0/B36*100)</f>
        <v/>
      </c>
      <c r="D36" s="19" t="n">
        <v>712</v>
      </c>
      <c r="E36" s="18" t="n">
        <v>49.46834936</v>
      </c>
      <c r="F36" s="20" t="n">
        <v>1.94607607</v>
      </c>
      <c r="G36" s="18" t="n">
        <v>50.16519772</v>
      </c>
      <c r="H36" s="20" t="n">
        <v>1.98016771</v>
      </c>
      <c r="I36" s="18" t="n">
        <v>0</v>
      </c>
      <c r="J36" s="20" t="n">
        <v>0</v>
      </c>
      <c r="K36" s="18" t="n">
        <v>0.16810528</v>
      </c>
      <c r="L36" s="20" t="n">
        <v>0.12342873</v>
      </c>
      <c r="M36" s="18" t="n">
        <v>0</v>
      </c>
      <c r="N36" s="20" t="n">
        <v>0</v>
      </c>
      <c r="O36" s="18" t="n">
        <v>0</v>
      </c>
      <c r="P36" s="20" t="n">
        <v>0</v>
      </c>
      <c r="Q36" s="18" t="n">
        <v>0.19834764</v>
      </c>
      <c r="R36" s="20" t="n">
        <v>0.18170632</v>
      </c>
    </row>
    <row r="37" spans="1:18">
      <c r="A37" s="15" t="s">
        <v>595</v>
      </c>
      <c r="B37" s="17" t="n">
        <v>5458</v>
      </c>
      <c r="C37" s="18">
        <f>(4855.0/B37*100)</f>
        <v/>
      </c>
      <c r="D37" s="19" t="n">
        <v>603</v>
      </c>
      <c r="E37" s="18" t="n">
        <v>54.64285704</v>
      </c>
      <c r="F37" s="20" t="n">
        <v>2.06213917</v>
      </c>
      <c r="G37" s="18" t="n">
        <v>44.54609017</v>
      </c>
      <c r="H37" s="20" t="n">
        <v>2.07617153</v>
      </c>
      <c r="I37" s="18" t="n">
        <v>0</v>
      </c>
      <c r="J37" s="20" t="n">
        <v>0</v>
      </c>
      <c r="K37" s="18" t="n">
        <v>0.30316337</v>
      </c>
      <c r="L37" s="20" t="n">
        <v>0.21574469</v>
      </c>
      <c r="M37" s="18" t="n">
        <v>0</v>
      </c>
      <c r="N37" s="20" t="n">
        <v>0</v>
      </c>
      <c r="O37" s="18" t="n">
        <v>0</v>
      </c>
      <c r="P37" s="20" t="n">
        <v>0</v>
      </c>
      <c r="Q37" s="18" t="n">
        <v>0.50788942</v>
      </c>
      <c r="R37" s="20" t="n">
        <v>0.29680571</v>
      </c>
    </row>
    <row r="38" spans="1:18">
      <c r="A38" s="15" t="s">
        <v>596</v>
      </c>
      <c r="B38" s="17" t="n">
        <v>5860</v>
      </c>
      <c r="C38" s="18">
        <f>(5201.0/B38*100)</f>
        <v/>
      </c>
      <c r="D38" s="19" t="n">
        <v>659</v>
      </c>
      <c r="E38" s="18" t="n">
        <v>55.4048059</v>
      </c>
      <c r="F38" s="20" t="n">
        <v>2.1139405</v>
      </c>
      <c r="G38" s="18" t="n">
        <v>43.7883529</v>
      </c>
      <c r="H38" s="20" t="n">
        <v>2.10121982</v>
      </c>
      <c r="I38" s="18" t="n">
        <v>0</v>
      </c>
      <c r="J38" s="20" t="n">
        <v>0</v>
      </c>
      <c r="K38" s="18" t="n">
        <v>0.20155977</v>
      </c>
      <c r="L38" s="20" t="n">
        <v>0.16762065</v>
      </c>
      <c r="M38" s="18" t="n">
        <v>0</v>
      </c>
      <c r="N38" s="20" t="n">
        <v>0</v>
      </c>
      <c r="O38" s="18" t="n">
        <v>0</v>
      </c>
      <c r="P38" s="20" t="n">
        <v>0</v>
      </c>
      <c r="Q38" s="18" t="n">
        <v>0.6052814399999999</v>
      </c>
      <c r="R38" s="20" t="n">
        <v>0.45459828</v>
      </c>
    </row>
    <row r="39" spans="1:18">
      <c r="A39" s="15" t="s">
        <v>597</v>
      </c>
      <c r="B39" s="17" t="n">
        <v>5895</v>
      </c>
      <c r="C39" s="18">
        <f>(5237.0/B39*100)</f>
        <v/>
      </c>
      <c r="D39" s="19" t="n">
        <v>658</v>
      </c>
      <c r="E39" s="18" t="n">
        <v>63.06262317</v>
      </c>
      <c r="F39" s="20" t="n">
        <v>1.79542485</v>
      </c>
      <c r="G39" s="18" t="n">
        <v>36.70384083</v>
      </c>
      <c r="H39" s="20" t="n">
        <v>1.82510293</v>
      </c>
      <c r="I39" s="18" t="n">
        <v>0</v>
      </c>
      <c r="J39" s="20" t="n">
        <v>0</v>
      </c>
      <c r="K39" s="18" t="n">
        <v>0</v>
      </c>
      <c r="L39" s="20" t="n">
        <v>0</v>
      </c>
      <c r="M39" s="18" t="n">
        <v>0</v>
      </c>
      <c r="N39" s="20" t="n">
        <v>0</v>
      </c>
      <c r="O39" s="18" t="n">
        <v>0</v>
      </c>
      <c r="P39" s="20" t="n">
        <v>0</v>
      </c>
      <c r="Q39" s="18" t="n">
        <v>0.23353601</v>
      </c>
      <c r="R39" s="20" t="n">
        <v>0.17761993</v>
      </c>
    </row>
    <row r="40" spans="1:18">
      <c r="A40" s="15" t="s">
        <v>598</v>
      </c>
      <c r="B40" s="17" t="n">
        <v>14157</v>
      </c>
      <c r="C40" s="18">
        <f>(12597.0/B40*100)</f>
        <v/>
      </c>
      <c r="D40" s="19" t="n">
        <v>1560</v>
      </c>
      <c r="E40" s="18" t="n">
        <v>47.67083839</v>
      </c>
      <c r="F40" s="20" t="n">
        <v>1.98038255</v>
      </c>
      <c r="G40" s="18" t="n">
        <v>52.07386582</v>
      </c>
      <c r="H40" s="20" t="n">
        <v>2.0106075</v>
      </c>
      <c r="I40" s="18" t="n">
        <v>0</v>
      </c>
      <c r="J40" s="20" t="n">
        <v>0</v>
      </c>
      <c r="K40" s="18" t="n">
        <v>0.20890932</v>
      </c>
      <c r="L40" s="20" t="n">
        <v>0.18992862</v>
      </c>
      <c r="M40" s="18" t="n">
        <v>0</v>
      </c>
      <c r="N40" s="20" t="n">
        <v>0</v>
      </c>
      <c r="O40" s="18" t="n">
        <v>0</v>
      </c>
      <c r="P40" s="20" t="n">
        <v>0</v>
      </c>
      <c r="Q40" s="18" t="n">
        <v>0.04638647</v>
      </c>
      <c r="R40" s="20" t="n">
        <v>0.02872669</v>
      </c>
    </row>
    <row r="41" spans="1:18">
      <c r="A41" s="15" t="s">
        <v>599</v>
      </c>
      <c r="B41" s="17" t="n">
        <v>5712</v>
      </c>
      <c r="C41" s="18">
        <f>(5082.0/B41*100)</f>
        <v/>
      </c>
      <c r="D41" s="19" t="n">
        <v>630</v>
      </c>
      <c r="E41" s="18" t="n">
        <v>50.82384282</v>
      </c>
      <c r="F41" s="20" t="n">
        <v>2.43218107</v>
      </c>
      <c r="G41" s="18" t="n">
        <v>48.87991537</v>
      </c>
      <c r="H41" s="20" t="n">
        <v>2.43509645</v>
      </c>
      <c r="I41" s="18" t="n">
        <v>0</v>
      </c>
      <c r="J41" s="20" t="n">
        <v>0</v>
      </c>
      <c r="K41" s="18" t="n">
        <v>0</v>
      </c>
      <c r="L41" s="20" t="n">
        <v>0</v>
      </c>
      <c r="M41" s="18" t="n">
        <v>0</v>
      </c>
      <c r="N41" s="20" t="n">
        <v>0</v>
      </c>
      <c r="O41" s="18" t="n">
        <v>0</v>
      </c>
      <c r="P41" s="20" t="n">
        <v>0</v>
      </c>
      <c r="Q41" s="18" t="n">
        <v>0.29624181</v>
      </c>
      <c r="R41" s="20" t="n">
        <v>0.20406697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(21010.0/B46*100)</f>
        <v/>
      </c>
      <c r="D46" s="19" t="n">
        <v>2131</v>
      </c>
      <c r="E46" s="18" t="n">
        <v>69.81077263</v>
      </c>
      <c r="F46" s="20" t="n">
        <v>1.25326686</v>
      </c>
      <c r="G46" s="18" t="n">
        <v>28.48799311</v>
      </c>
      <c r="H46" s="20" t="n">
        <v>1.2053511</v>
      </c>
      <c r="I46" s="18" t="n">
        <v>0</v>
      </c>
      <c r="J46" s="20" t="n">
        <v>0</v>
      </c>
      <c r="K46" s="18" t="n">
        <v>0.42380145</v>
      </c>
      <c r="L46" s="20" t="n">
        <v>0.17558726</v>
      </c>
      <c r="M46" s="18" t="n">
        <v>0</v>
      </c>
      <c r="N46" s="20" t="n">
        <v>0</v>
      </c>
      <c r="O46" s="18" t="n">
        <v>0</v>
      </c>
      <c r="P46" s="20" t="n">
        <v>0</v>
      </c>
      <c r="Q46" s="18" t="n">
        <v>1.27743281</v>
      </c>
      <c r="R46" s="20" t="n">
        <v>0.3342414</v>
      </c>
    </row>
    <row r="47" spans="1:18">
      <c r="A47" s="15" t="s">
        <v>606</v>
      </c>
      <c r="B47" s="17" t="n">
        <v>5928</v>
      </c>
      <c r="C47" s="18">
        <f>(5257.0/B47*100)</f>
        <v/>
      </c>
      <c r="D47" s="19" t="n">
        <v>671</v>
      </c>
      <c r="E47" s="18" t="n">
        <v>52.81182946</v>
      </c>
      <c r="F47" s="20" t="n">
        <v>1.86316116</v>
      </c>
      <c r="G47" s="18" t="n">
        <v>46.27802272</v>
      </c>
      <c r="H47" s="20" t="n">
        <v>1.98281331</v>
      </c>
      <c r="I47" s="18" t="n">
        <v>0</v>
      </c>
      <c r="J47" s="20" t="n">
        <v>0</v>
      </c>
      <c r="K47" s="18" t="n">
        <v>0.15356753</v>
      </c>
      <c r="L47" s="20" t="n">
        <v>0.21795373</v>
      </c>
      <c r="M47" s="18" t="n">
        <v>0</v>
      </c>
      <c r="N47" s="20" t="n">
        <v>0</v>
      </c>
      <c r="O47" s="18" t="n">
        <v>0</v>
      </c>
      <c r="P47" s="20" t="n">
        <v>0</v>
      </c>
      <c r="Q47" s="18" t="n">
        <v>0.75658029</v>
      </c>
      <c r="R47" s="20" t="n">
        <v>0.40584487</v>
      </c>
    </row>
    <row r="48" spans="1:18">
      <c r="A48" s="15" t="s">
        <v>607</v>
      </c>
      <c r="B48" s="17" t="n">
        <v>9841</v>
      </c>
      <c r="C48" s="18">
        <f>(8726.0/B48*100)</f>
        <v/>
      </c>
      <c r="D48" s="19" t="n">
        <v>1115</v>
      </c>
      <c r="E48" s="18" t="n">
        <v>55.06932192</v>
      </c>
      <c r="F48" s="20" t="n">
        <v>2.18689737</v>
      </c>
      <c r="G48" s="18" t="n">
        <v>44.51024802</v>
      </c>
      <c r="H48" s="20" t="n">
        <v>2.20108419</v>
      </c>
      <c r="I48" s="18" t="n">
        <v>0</v>
      </c>
      <c r="J48" s="20" t="n">
        <v>0</v>
      </c>
      <c r="K48" s="18" t="n">
        <v>0.27232622</v>
      </c>
      <c r="L48" s="20" t="n">
        <v>0.21873385</v>
      </c>
      <c r="M48" s="18" t="n">
        <v>0</v>
      </c>
      <c r="N48" s="20" t="n">
        <v>0</v>
      </c>
      <c r="O48" s="18" t="n">
        <v>0</v>
      </c>
      <c r="P48" s="20" t="n">
        <v>0</v>
      </c>
      <c r="Q48" s="18" t="n">
        <v>0.14810383</v>
      </c>
      <c r="R48" s="20" t="n">
        <v>0.13888139</v>
      </c>
    </row>
    <row r="49" spans="1:18">
      <c r="A49" s="15" t="s">
        <v>608</v>
      </c>
      <c r="B49" s="17" t="n">
        <v>11795</v>
      </c>
      <c r="C49" s="18">
        <f>(10469.0/B49*100)</f>
        <v/>
      </c>
      <c r="D49" s="19" t="n">
        <v>1326</v>
      </c>
      <c r="E49" s="18" t="n">
        <v>67.86740492</v>
      </c>
      <c r="F49" s="20" t="n">
        <v>1.69548623</v>
      </c>
      <c r="G49" s="18" t="n">
        <v>30.61120656</v>
      </c>
      <c r="H49" s="20" t="n">
        <v>1.61960362</v>
      </c>
      <c r="I49" s="18" t="n">
        <v>0</v>
      </c>
      <c r="J49" s="20" t="n">
        <v>0</v>
      </c>
      <c r="K49" s="18" t="n">
        <v>0.8798486599999999</v>
      </c>
      <c r="L49" s="20" t="n">
        <v>0.44656467</v>
      </c>
      <c r="M49" s="18" t="n">
        <v>0</v>
      </c>
      <c r="N49" s="20" t="n">
        <v>0</v>
      </c>
      <c r="O49" s="18" t="n">
        <v>0</v>
      </c>
      <c r="P49" s="20" t="n">
        <v>0</v>
      </c>
      <c r="Q49" s="18" t="n">
        <v>0.64153987</v>
      </c>
      <c r="R49" s="20" t="n">
        <v>0.30868006</v>
      </c>
    </row>
    <row r="50" spans="1:18">
      <c r="A50" s="15" t="s">
        <v>609</v>
      </c>
      <c r="B50" s="17" t="n">
        <v>6866</v>
      </c>
      <c r="C50" s="18">
        <f>(6209.0/B50*100)</f>
        <v/>
      </c>
      <c r="D50" s="19" t="n">
        <v>657</v>
      </c>
      <c r="E50" s="18" t="n">
        <v>75.34864090000001</v>
      </c>
      <c r="F50" s="20" t="n">
        <v>1.77395901</v>
      </c>
      <c r="G50" s="18" t="n">
        <v>23.99948305</v>
      </c>
      <c r="H50" s="20" t="n">
        <v>1.74521207</v>
      </c>
      <c r="I50" s="18" t="n">
        <v>0</v>
      </c>
      <c r="J50" s="20" t="n">
        <v>0</v>
      </c>
      <c r="K50" s="18" t="n">
        <v>0</v>
      </c>
      <c r="L50" s="20" t="n">
        <v>0</v>
      </c>
      <c r="M50" s="18" t="n">
        <v>0</v>
      </c>
      <c r="N50" s="20" t="n">
        <v>0</v>
      </c>
      <c r="O50" s="18" t="n">
        <v>0</v>
      </c>
      <c r="P50" s="20" t="n">
        <v>0</v>
      </c>
      <c r="Q50" s="18" t="n">
        <v>0.65187605</v>
      </c>
      <c r="R50" s="20" t="n">
        <v>0.29508633</v>
      </c>
    </row>
    <row r="51" spans="1:18">
      <c r="A51" s="15" t="s">
        <v>610</v>
      </c>
      <c r="B51" s="17" t="n">
        <v>5809</v>
      </c>
      <c r="C51" s="18">
        <f>(5128.0/B51*100)</f>
        <v/>
      </c>
      <c r="D51" s="19" t="n">
        <v>681</v>
      </c>
      <c r="E51" s="18" t="n">
        <v>42.93139668</v>
      </c>
      <c r="F51" s="20" t="n">
        <v>1.73789886</v>
      </c>
      <c r="G51" s="18" t="n">
        <v>56.5470683</v>
      </c>
      <c r="H51" s="20" t="n">
        <v>1.76165443</v>
      </c>
      <c r="I51" s="18" t="n">
        <v>0</v>
      </c>
      <c r="J51" s="20" t="n">
        <v>0</v>
      </c>
      <c r="K51" s="18" t="n">
        <v>0.11067962</v>
      </c>
      <c r="L51" s="20" t="n">
        <v>0.11107389</v>
      </c>
      <c r="M51" s="18" t="n">
        <v>0</v>
      </c>
      <c r="N51" s="20" t="n">
        <v>0</v>
      </c>
      <c r="O51" s="18" t="n">
        <v>0</v>
      </c>
      <c r="P51" s="20" t="n">
        <v>0</v>
      </c>
      <c r="Q51" s="18" t="n">
        <v>0.4108554</v>
      </c>
      <c r="R51" s="20" t="n">
        <v>0.25273719</v>
      </c>
    </row>
    <row r="52" spans="1:18">
      <c r="A52" s="15" t="s">
        <v>611</v>
      </c>
      <c r="B52" s="17" t="n">
        <v>5571</v>
      </c>
      <c r="C52" s="18">
        <f>(4961.0/B52*100)</f>
        <v/>
      </c>
      <c r="D52" s="19" t="n">
        <v>610</v>
      </c>
      <c r="E52" s="18" t="n">
        <v>61.51749805</v>
      </c>
      <c r="F52" s="20" t="n">
        <v>2.1825496</v>
      </c>
      <c r="G52" s="18" t="n">
        <v>37.35246334</v>
      </c>
      <c r="H52" s="20" t="n">
        <v>2.18190487</v>
      </c>
      <c r="I52" s="18" t="n">
        <v>0</v>
      </c>
      <c r="J52" s="20" t="n">
        <v>0</v>
      </c>
      <c r="K52" s="18" t="n">
        <v>0.30172067</v>
      </c>
      <c r="L52" s="20" t="n">
        <v>0.29812554</v>
      </c>
      <c r="M52" s="18" t="n">
        <v>0</v>
      </c>
      <c r="N52" s="20" t="n">
        <v>0</v>
      </c>
      <c r="O52" s="18" t="n">
        <v>0</v>
      </c>
      <c r="P52" s="20" t="n">
        <v>0</v>
      </c>
      <c r="Q52" s="18" t="n">
        <v>0.82831794</v>
      </c>
      <c r="R52" s="20" t="n">
        <v>0.36592896</v>
      </c>
    </row>
    <row r="53" spans="1:18">
      <c r="A53" s="15" t="s">
        <v>612</v>
      </c>
      <c r="B53" s="17" t="n">
        <v>4740</v>
      </c>
      <c r="C53" s="18">
        <f>(4244.0/B53*100)</f>
        <v/>
      </c>
      <c r="D53" s="19" t="n">
        <v>496</v>
      </c>
      <c r="E53" s="18" t="n">
        <v>74.73748667</v>
      </c>
      <c r="F53" s="20" t="n">
        <v>2.10133178</v>
      </c>
      <c r="G53" s="18" t="n">
        <v>13.28228938</v>
      </c>
      <c r="H53" s="20" t="n">
        <v>1.81820329</v>
      </c>
      <c r="I53" s="18" t="n">
        <v>0</v>
      </c>
      <c r="J53" s="20" t="n">
        <v>0</v>
      </c>
      <c r="K53" s="18" t="n">
        <v>10.71802221</v>
      </c>
      <c r="L53" s="20" t="n">
        <v>1.39964905</v>
      </c>
      <c r="M53" s="18" t="n">
        <v>0</v>
      </c>
      <c r="N53" s="20" t="n">
        <v>0</v>
      </c>
      <c r="O53" s="18" t="n">
        <v>0</v>
      </c>
      <c r="P53" s="20" t="n">
        <v>0</v>
      </c>
      <c r="Q53" s="18" t="n">
        <v>1.26220174</v>
      </c>
      <c r="R53" s="20" t="n">
        <v>0.58913982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(4750.0/B55*100)</f>
        <v/>
      </c>
      <c r="D55" s="19" t="n">
        <v>609</v>
      </c>
      <c r="E55" s="18" t="n">
        <v>48.33340848</v>
      </c>
      <c r="F55" s="20" t="n">
        <v>1.86600484</v>
      </c>
      <c r="G55" s="18" t="n">
        <v>51.19893119</v>
      </c>
      <c r="H55" s="20" t="n">
        <v>1.87688513</v>
      </c>
      <c r="I55" s="18" t="n">
        <v>0</v>
      </c>
      <c r="J55" s="20" t="n">
        <v>0</v>
      </c>
      <c r="K55" s="18" t="n">
        <v>0.35564407</v>
      </c>
      <c r="L55" s="20" t="n">
        <v>0.2308687</v>
      </c>
      <c r="M55" s="18" t="n">
        <v>0</v>
      </c>
      <c r="N55" s="20" t="n">
        <v>0</v>
      </c>
      <c r="O55" s="18" t="n">
        <v>0</v>
      </c>
      <c r="P55" s="20" t="n">
        <v>0</v>
      </c>
      <c r="Q55" s="18" t="n">
        <v>0.11201626</v>
      </c>
      <c r="R55" s="20" t="n">
        <v>0.11175323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(5768.0/B61*100)</f>
        <v/>
      </c>
      <c r="D61" s="19" t="n">
        <v>757</v>
      </c>
      <c r="E61" s="18" t="n">
        <v>44.67896485</v>
      </c>
      <c r="F61" s="20" t="n">
        <v>2.01044407</v>
      </c>
      <c r="G61" s="18" t="n">
        <v>55.1676328</v>
      </c>
      <c r="H61" s="20" t="n">
        <v>1.98578518</v>
      </c>
      <c r="I61" s="18" t="n">
        <v>0</v>
      </c>
      <c r="J61" s="20" t="n">
        <v>0</v>
      </c>
      <c r="K61" s="18" t="n">
        <v>0</v>
      </c>
      <c r="L61" s="20" t="n">
        <v>0</v>
      </c>
      <c r="M61" s="18" t="n">
        <v>0</v>
      </c>
      <c r="N61" s="20" t="n">
        <v>0</v>
      </c>
      <c r="O61" s="18" t="n">
        <v>0</v>
      </c>
      <c r="P61" s="20" t="n">
        <v>0</v>
      </c>
      <c r="Q61" s="18" t="n">
        <v>0.15340235</v>
      </c>
      <c r="R61" s="20" t="n">
        <v>0.15339861</v>
      </c>
    </row>
    <row r="62" spans="1:18">
      <c r="A62" s="15" t="s">
        <v>622</v>
      </c>
      <c r="B62" s="17" t="n">
        <v>4476</v>
      </c>
      <c r="C62" s="18">
        <f>(3982.0/B62*100)</f>
        <v/>
      </c>
      <c r="D62" s="19" t="n">
        <v>494</v>
      </c>
      <c r="E62" s="18" t="n">
        <v>55.90950418</v>
      </c>
      <c r="F62" s="20" t="n">
        <v>2.3106048</v>
      </c>
      <c r="G62" s="18" t="n">
        <v>44.09049582</v>
      </c>
      <c r="H62" s="20" t="n">
        <v>2.3106048</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(5041.0/B67*100)</f>
        <v/>
      </c>
      <c r="D67" s="19" t="n">
        <v>624</v>
      </c>
      <c r="E67" s="18" t="n">
        <v>70.14224794</v>
      </c>
      <c r="F67" s="20" t="n">
        <v>1.89141537</v>
      </c>
      <c r="G67" s="18" t="n">
        <v>29.0146324</v>
      </c>
      <c r="H67" s="20" t="n">
        <v>1.9333665</v>
      </c>
      <c r="I67" s="18" t="n">
        <v>0</v>
      </c>
      <c r="J67" s="20" t="n">
        <v>0</v>
      </c>
      <c r="K67" s="18" t="n">
        <v>0</v>
      </c>
      <c r="L67" s="20" t="n">
        <v>0</v>
      </c>
      <c r="M67" s="18" t="n">
        <v>0</v>
      </c>
      <c r="N67" s="20" t="n">
        <v>0</v>
      </c>
      <c r="O67" s="18" t="n">
        <v>0</v>
      </c>
      <c r="P67" s="20" t="n">
        <v>0</v>
      </c>
      <c r="Q67" s="18" t="n">
        <v>0.84311965</v>
      </c>
      <c r="R67" s="20" t="n">
        <v>0.40402228</v>
      </c>
    </row>
    <row r="68" spans="1:18">
      <c r="A68" s="15" t="s">
        <v>628</v>
      </c>
      <c r="B68" s="17" t="n">
        <v>6971</v>
      </c>
      <c r="C68" s="18">
        <f>(6256.0/B68*100)</f>
        <v/>
      </c>
      <c r="D68" s="19" t="n">
        <v>715</v>
      </c>
      <c r="E68" s="18" t="n">
        <v>69.89115418999999</v>
      </c>
      <c r="F68" s="20" t="n">
        <v>1.77055971</v>
      </c>
      <c r="G68" s="18" t="n">
        <v>29.60831711</v>
      </c>
      <c r="H68" s="20" t="n">
        <v>1.71225599</v>
      </c>
      <c r="I68" s="18" t="n">
        <v>0</v>
      </c>
      <c r="J68" s="20" t="n">
        <v>0</v>
      </c>
      <c r="K68" s="18" t="n">
        <v>0.22495645</v>
      </c>
      <c r="L68" s="20" t="n">
        <v>0.22956625</v>
      </c>
      <c r="M68" s="18" t="n">
        <v>0</v>
      </c>
      <c r="N68" s="20" t="n">
        <v>0</v>
      </c>
      <c r="O68" s="18" t="n">
        <v>0</v>
      </c>
      <c r="P68" s="20" t="n">
        <v>0</v>
      </c>
      <c r="Q68" s="18" t="n">
        <v>0.27557226</v>
      </c>
      <c r="R68" s="20" t="n">
        <v>0.19747951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(10789.0/B70*100)</f>
        <v/>
      </c>
      <c r="D70" s="19" t="n">
        <v>1294</v>
      </c>
      <c r="E70" s="18" t="n">
        <v>56.22854052</v>
      </c>
      <c r="F70" s="20" t="n">
        <v>1.3891038</v>
      </c>
      <c r="G70" s="18" t="n">
        <v>40.62765482</v>
      </c>
      <c r="H70" s="20" t="n">
        <v>1.40719831</v>
      </c>
      <c r="I70" s="18" t="n">
        <v>0</v>
      </c>
      <c r="J70" s="20" t="n">
        <v>0</v>
      </c>
      <c r="K70" s="18" t="n">
        <v>1.74778996</v>
      </c>
      <c r="L70" s="20" t="n">
        <v>0.38506741</v>
      </c>
      <c r="M70" s="18" t="n">
        <v>0</v>
      </c>
      <c r="N70" s="20" t="n">
        <v>0</v>
      </c>
      <c r="O70" s="18" t="n">
        <v>0</v>
      </c>
      <c r="P70" s="20" t="n">
        <v>0</v>
      </c>
      <c r="Q70" s="18" t="n">
        <v>1.3960147</v>
      </c>
      <c r="R70" s="20" t="n">
        <v>0.35463071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(5341.0/B72*100)</f>
        <v/>
      </c>
      <c r="D72" s="19" t="n">
        <v>695</v>
      </c>
      <c r="E72" s="18" t="n">
        <v>61.38319476</v>
      </c>
      <c r="F72" s="20" t="n">
        <v>2.34157912</v>
      </c>
      <c r="G72" s="18" t="n">
        <v>37.94340801</v>
      </c>
      <c r="H72" s="20" t="n">
        <v>2.46235351</v>
      </c>
      <c r="I72" s="18" t="n">
        <v>0</v>
      </c>
      <c r="J72" s="20" t="n">
        <v>0</v>
      </c>
      <c r="K72" s="18" t="n">
        <v>0.1849543</v>
      </c>
      <c r="L72" s="20" t="n">
        <v>0.1851465</v>
      </c>
      <c r="M72" s="18" t="n">
        <v>0</v>
      </c>
      <c r="N72" s="20" t="n">
        <v>0</v>
      </c>
      <c r="O72" s="18" t="n">
        <v>0</v>
      </c>
      <c r="P72" s="20" t="n">
        <v>0</v>
      </c>
      <c r="Q72" s="18" t="n">
        <v>0.48844293</v>
      </c>
      <c r="R72" s="20" t="n">
        <v>0.41468478</v>
      </c>
    </row>
    <row r="73" spans="1:18">
      <c r="A73" s="15" t="s">
        <v>633</v>
      </c>
      <c r="B73" s="17" t="n">
        <v>6115</v>
      </c>
      <c r="C73" s="18">
        <f>(5456.0/B73*100)</f>
        <v/>
      </c>
      <c r="D73" s="19" t="n">
        <v>659</v>
      </c>
      <c r="E73" s="18" t="n">
        <v>39.14667345</v>
      </c>
      <c r="F73" s="20" t="n">
        <v>1.87781051</v>
      </c>
      <c r="G73" s="18" t="n">
        <v>60.54268226</v>
      </c>
      <c r="H73" s="20" t="n">
        <v>1.83568187</v>
      </c>
      <c r="I73" s="18" t="n">
        <v>0</v>
      </c>
      <c r="J73" s="20" t="n">
        <v>0</v>
      </c>
      <c r="K73" s="18" t="n">
        <v>0.3106443</v>
      </c>
      <c r="L73" s="20" t="n">
        <v>0.22191982</v>
      </c>
      <c r="M73" s="18" t="n">
        <v>0</v>
      </c>
      <c r="N73" s="20" t="n">
        <v>0</v>
      </c>
      <c r="O73" s="18" t="n">
        <v>0</v>
      </c>
      <c r="P73" s="20" t="n">
        <v>0</v>
      </c>
      <c r="Q73" s="18" t="n">
        <v>0</v>
      </c>
      <c r="R73" s="20" t="n">
        <v>0</v>
      </c>
    </row>
    <row r="74" spans="1:18">
      <c r="A74" s="15" t="s">
        <v>634</v>
      </c>
      <c r="B74" s="17" t="n">
        <v>7708</v>
      </c>
      <c r="C74" s="18">
        <f>(6876.0/B74*100)</f>
        <v/>
      </c>
      <c r="D74" s="19" t="n">
        <v>832</v>
      </c>
      <c r="E74" s="18" t="n">
        <v>62.74506978</v>
      </c>
      <c r="F74" s="20" t="n">
        <v>2.16173045</v>
      </c>
      <c r="G74" s="18" t="n">
        <v>37.25493022</v>
      </c>
      <c r="H74" s="20" t="n">
        <v>2.16173045</v>
      </c>
      <c r="I74" s="18" t="n">
        <v>0</v>
      </c>
      <c r="J74" s="20" t="n">
        <v>0</v>
      </c>
      <c r="K74" s="18" t="n">
        <v>0</v>
      </c>
      <c r="L74" s="20" t="n">
        <v>0</v>
      </c>
      <c r="M74" s="18" t="n">
        <v>0</v>
      </c>
      <c r="N74" s="20" t="n">
        <v>0</v>
      </c>
      <c r="O74" s="18" t="n">
        <v>0</v>
      </c>
      <c r="P74" s="20" t="n">
        <v>0</v>
      </c>
      <c r="Q74" s="18" t="n">
        <v>0</v>
      </c>
      <c r="R74" s="20" t="n">
        <v>0</v>
      </c>
    </row>
    <row r="75" spans="1:18">
      <c r="A75" s="15" t="s">
        <v>635</v>
      </c>
      <c r="B75" s="17" t="n">
        <v>8249</v>
      </c>
      <c r="C75" s="18">
        <f>(7338.0/B75*100)</f>
        <v/>
      </c>
      <c r="D75" s="19" t="n">
        <v>911</v>
      </c>
      <c r="E75" s="18" t="n">
        <v>63.9875657</v>
      </c>
      <c r="F75" s="20" t="n">
        <v>1.68536159</v>
      </c>
      <c r="G75" s="18" t="n">
        <v>35.74573003</v>
      </c>
      <c r="H75" s="20" t="n">
        <v>1.70073222</v>
      </c>
      <c r="I75" s="18" t="n">
        <v>0</v>
      </c>
      <c r="J75" s="20" t="n">
        <v>0</v>
      </c>
      <c r="K75" s="18" t="n">
        <v>0</v>
      </c>
      <c r="L75" s="20" t="n">
        <v>0</v>
      </c>
      <c r="M75" s="18" t="n">
        <v>0</v>
      </c>
      <c r="N75" s="20" t="n">
        <v>0</v>
      </c>
      <c r="O75" s="18" t="n">
        <v>0</v>
      </c>
      <c r="P75" s="20" t="n">
        <v>0</v>
      </c>
      <c r="Q75" s="18" t="n">
        <v>0.26670426</v>
      </c>
      <c r="R75" s="20" t="n">
        <v>0.1910123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(4827.0/B77*100)</f>
        <v/>
      </c>
      <c r="D77" s="19" t="n">
        <v>548</v>
      </c>
      <c r="E77" s="18" t="n">
        <v>78.71596623000001</v>
      </c>
      <c r="F77" s="20" t="n">
        <v>1.64052883</v>
      </c>
      <c r="G77" s="18" t="n">
        <v>17.46644458</v>
      </c>
      <c r="H77" s="20" t="n">
        <v>1.62145382</v>
      </c>
      <c r="I77" s="18" t="n">
        <v>0</v>
      </c>
      <c r="J77" s="20" t="n">
        <v>0</v>
      </c>
      <c r="K77" s="18" t="n">
        <v>2.53949309</v>
      </c>
      <c r="L77" s="20" t="n">
        <v>0.66405168</v>
      </c>
      <c r="M77" s="18" t="n">
        <v>0</v>
      </c>
      <c r="N77" s="20" t="n">
        <v>0</v>
      </c>
      <c r="O77" s="18" t="n">
        <v>0</v>
      </c>
      <c r="P77" s="20" t="n">
        <v>0</v>
      </c>
      <c r="Q77" s="18" t="n">
        <v>1.2780961</v>
      </c>
      <c r="R77" s="20" t="n">
        <v>0.43049553</v>
      </c>
    </row>
    <row r="78" spans="1:18">
      <c r="A78" s="15" t="s">
        <v>638</v>
      </c>
      <c r="B78" s="17" t="n">
        <v>14167</v>
      </c>
      <c r="C78" s="18">
        <f>(12623.0/B78*100)</f>
        <v/>
      </c>
      <c r="D78" s="19" t="n">
        <v>1544</v>
      </c>
      <c r="E78" s="18" t="n">
        <v>59.36100717</v>
      </c>
      <c r="F78" s="20" t="n">
        <v>1.56281721</v>
      </c>
      <c r="G78" s="18" t="n">
        <v>39.39332423</v>
      </c>
      <c r="H78" s="20" t="n">
        <v>1.58632224</v>
      </c>
      <c r="I78" s="18" t="n">
        <v>0</v>
      </c>
      <c r="J78" s="20" t="n">
        <v>0</v>
      </c>
      <c r="K78" s="18" t="n">
        <v>0.36087264</v>
      </c>
      <c r="L78" s="20" t="n">
        <v>0.15275887</v>
      </c>
      <c r="M78" s="18" t="n">
        <v>0</v>
      </c>
      <c r="N78" s="20" t="n">
        <v>0</v>
      </c>
      <c r="O78" s="18" t="n">
        <v>0</v>
      </c>
      <c r="P78" s="20" t="n">
        <v>0</v>
      </c>
      <c r="Q78" s="18" t="n">
        <v>0.88479597</v>
      </c>
      <c r="R78" s="20" t="n">
        <v>0.29932694</v>
      </c>
    </row>
    <row r="79" spans="1:18">
      <c r="A79" s="15" t="s">
        <v>639</v>
      </c>
      <c r="B79" s="17" t="n">
        <v>6062</v>
      </c>
      <c r="C79" s="18">
        <f>(5425.0/B79*100)</f>
        <v/>
      </c>
      <c r="D79" s="19" t="n">
        <v>637</v>
      </c>
      <c r="E79" s="18" t="n">
        <v>70.08807838</v>
      </c>
      <c r="F79" s="20" t="n">
        <v>1.94896956</v>
      </c>
      <c r="G79" s="18" t="n">
        <v>29.11334775</v>
      </c>
      <c r="H79" s="20" t="n">
        <v>1.95840818</v>
      </c>
      <c r="I79" s="18" t="n">
        <v>0</v>
      </c>
      <c r="J79" s="20" t="n">
        <v>0</v>
      </c>
      <c r="K79" s="18" t="n">
        <v>0.6911875</v>
      </c>
      <c r="L79" s="20" t="n">
        <v>0.35076691</v>
      </c>
      <c r="M79" s="18" t="n">
        <v>0</v>
      </c>
      <c r="N79" s="20" t="n">
        <v>0</v>
      </c>
      <c r="O79" s="18" t="n">
        <v>0</v>
      </c>
      <c r="P79" s="20" t="n">
        <v>0</v>
      </c>
      <c r="Q79" s="18" t="n">
        <v>0.10738638</v>
      </c>
      <c r="R79" s="20" t="n">
        <v>0.10287696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(28802.0/B82*100)</f>
        <v/>
      </c>
      <c r="D82" s="19" t="n">
        <v>3528</v>
      </c>
      <c r="E82" s="18" t="n">
        <v>51.21647169</v>
      </c>
      <c r="F82" s="20" t="n">
        <v>1.1990463</v>
      </c>
      <c r="G82" s="18" t="n">
        <v>48.37970033</v>
      </c>
      <c r="H82" s="20" t="n">
        <v>1.19783383</v>
      </c>
      <c r="I82" s="18" t="n">
        <v>0</v>
      </c>
      <c r="J82" s="20" t="n">
        <v>0</v>
      </c>
      <c r="K82" s="18" t="n">
        <v>0.1860435</v>
      </c>
      <c r="L82" s="20" t="n">
        <v>0.07366847999999999</v>
      </c>
      <c r="M82" s="18" t="n">
        <v>0</v>
      </c>
      <c r="N82" s="20" t="n">
        <v>0</v>
      </c>
      <c r="O82" s="18" t="n">
        <v>0</v>
      </c>
      <c r="P82" s="20" t="n">
        <v>0</v>
      </c>
      <c r="Q82" s="18" t="n">
        <v>0.21778449</v>
      </c>
      <c r="R82" s="20" t="n">
        <v>0.11554251</v>
      </c>
    </row>
    <row r="83" spans="1:18">
      <c r="A83" s="15" t="s">
        <v>643</v>
      </c>
      <c r="B83" s="17" t="n">
        <v>1652</v>
      </c>
      <c r="C83" s="18">
        <f>(1472.0/B83*100)</f>
        <v/>
      </c>
      <c r="D83" s="19" t="n">
        <v>180</v>
      </c>
      <c r="E83" s="18" t="n">
        <v>49.59828556</v>
      </c>
      <c r="F83" s="20" t="n">
        <v>4.1968659</v>
      </c>
      <c r="G83" s="18" t="n">
        <v>49.78830628</v>
      </c>
      <c r="H83" s="20" t="n">
        <v>4.02648388</v>
      </c>
      <c r="I83" s="18" t="n">
        <v>0</v>
      </c>
      <c r="J83" s="20" t="n">
        <v>0</v>
      </c>
      <c r="K83" s="18" t="n">
        <v>0</v>
      </c>
      <c r="L83" s="20" t="n">
        <v>0</v>
      </c>
      <c r="M83" s="18" t="n">
        <v>0</v>
      </c>
      <c r="N83" s="20" t="n">
        <v>0</v>
      </c>
      <c r="O83" s="18" t="n">
        <v>0</v>
      </c>
      <c r="P83" s="20" t="n">
        <v>0</v>
      </c>
      <c r="Q83" s="18" t="n">
        <v>0.61340816</v>
      </c>
      <c r="R83" s="20" t="n">
        <v>0.604872</v>
      </c>
    </row>
    <row r="84" spans="1:18">
      <c r="A84" s="23" t="s">
        <v>644</v>
      </c>
      <c r="B84" s="24" t="n">
        <v>1887</v>
      </c>
      <c r="C84" s="25">
        <f>(1675.0/B84*100)</f>
        <v/>
      </c>
      <c r="D84" s="19" t="n">
        <v>212</v>
      </c>
      <c r="E84" s="18" t="n">
        <v>40.08814286</v>
      </c>
      <c r="F84" s="20" t="n">
        <v>4.50966091</v>
      </c>
      <c r="G84" s="18" t="n">
        <v>59.39796796</v>
      </c>
      <c r="H84" s="20" t="n">
        <v>4.46969906</v>
      </c>
      <c r="I84" s="18" t="n">
        <v>0</v>
      </c>
      <c r="J84" s="20" t="n">
        <v>0</v>
      </c>
      <c r="K84" s="18" t="n">
        <v>0</v>
      </c>
      <c r="L84" s="20" t="n">
        <v>0</v>
      </c>
      <c r="M84" s="18" t="n">
        <v>0</v>
      </c>
      <c r="N84" s="20" t="n">
        <v>0</v>
      </c>
      <c r="O84" s="18" t="n">
        <v>0</v>
      </c>
      <c r="P84" s="20" t="n">
        <v>0</v>
      </c>
      <c r="Q84" s="18" t="n">
        <v>0.51388917</v>
      </c>
      <c r="R84" s="20" t="n">
        <v>0.5372129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(12965.0/B7*100)</f>
        <v/>
      </c>
      <c r="D7" s="19" t="n">
        <v>1565</v>
      </c>
      <c r="E7" s="18" t="n">
        <v>46.31849112</v>
      </c>
      <c r="F7" s="20" t="n">
        <v>1.49483868</v>
      </c>
      <c r="G7" s="18" t="n">
        <v>52.69105837</v>
      </c>
      <c r="H7" s="20" t="n">
        <v>1.55157821</v>
      </c>
      <c r="I7" s="18" t="n">
        <v>0</v>
      </c>
      <c r="J7" s="20" t="n">
        <v>0</v>
      </c>
      <c r="K7" s="18" t="n">
        <v>0.25783493</v>
      </c>
      <c r="L7" s="20" t="n">
        <v>0.15221859</v>
      </c>
      <c r="M7" s="18" t="n">
        <v>0</v>
      </c>
      <c r="N7" s="20" t="n">
        <v>0</v>
      </c>
      <c r="O7" s="18" t="n">
        <v>0</v>
      </c>
      <c r="P7" s="20" t="n">
        <v>0</v>
      </c>
      <c r="Q7" s="18" t="n">
        <v>0.73261558</v>
      </c>
      <c r="R7" s="20" t="n">
        <v>0.24281434</v>
      </c>
    </row>
    <row r="8" spans="1:18">
      <c r="A8" s="15" t="s">
        <v>566</v>
      </c>
      <c r="B8" s="17" t="n">
        <v>7007</v>
      </c>
      <c r="C8" s="18">
        <f>(6233.0/B8*100)</f>
        <v/>
      </c>
      <c r="D8" s="19" t="n">
        <v>774</v>
      </c>
      <c r="E8" s="18" t="n">
        <v>46.33529868</v>
      </c>
      <c r="F8" s="20" t="n">
        <v>1.88802627</v>
      </c>
      <c r="G8" s="18" t="n">
        <v>51.92928107</v>
      </c>
      <c r="H8" s="20" t="n">
        <v>1.88628258</v>
      </c>
      <c r="I8" s="18" t="n">
        <v>0</v>
      </c>
      <c r="J8" s="20" t="n">
        <v>0</v>
      </c>
      <c r="K8" s="18" t="n">
        <v>0.15046797</v>
      </c>
      <c r="L8" s="20" t="n">
        <v>0.17175008</v>
      </c>
      <c r="M8" s="18" t="n">
        <v>0</v>
      </c>
      <c r="N8" s="20" t="n">
        <v>0</v>
      </c>
      <c r="O8" s="18" t="n">
        <v>0</v>
      </c>
      <c r="P8" s="20" t="n">
        <v>0</v>
      </c>
      <c r="Q8" s="18" t="n">
        <v>1.58495229</v>
      </c>
      <c r="R8" s="20" t="n">
        <v>0.46081736</v>
      </c>
    </row>
    <row r="9" spans="1:18">
      <c r="A9" s="15" t="s">
        <v>567</v>
      </c>
      <c r="B9" s="17" t="n">
        <v>9651</v>
      </c>
      <c r="C9" s="18">
        <f>(8620.0/B9*100)</f>
        <v/>
      </c>
      <c r="D9" s="19" t="n">
        <v>1031</v>
      </c>
      <c r="E9" s="18" t="n">
        <v>44.37402249</v>
      </c>
      <c r="F9" s="20" t="n">
        <v>1.5965715</v>
      </c>
      <c r="G9" s="18" t="n">
        <v>54.0710094</v>
      </c>
      <c r="H9" s="20" t="n">
        <v>1.59249127</v>
      </c>
      <c r="I9" s="18" t="n">
        <v>0</v>
      </c>
      <c r="J9" s="20" t="n">
        <v>0</v>
      </c>
      <c r="K9" s="18" t="n">
        <v>0.07928572</v>
      </c>
      <c r="L9" s="20" t="n">
        <v>0.07603948000000001</v>
      </c>
      <c r="M9" s="18" t="n">
        <v>0</v>
      </c>
      <c r="N9" s="20" t="n">
        <v>0</v>
      </c>
      <c r="O9" s="18" t="n">
        <v>0</v>
      </c>
      <c r="P9" s="20" t="n">
        <v>0</v>
      </c>
      <c r="Q9" s="18" t="n">
        <v>1.47568239</v>
      </c>
      <c r="R9" s="20" t="n">
        <v>0.44287174</v>
      </c>
    </row>
    <row r="10" spans="1:18">
      <c r="A10" s="15" t="s">
        <v>568</v>
      </c>
      <c r="B10" s="17" t="n">
        <v>20058</v>
      </c>
      <c r="C10" s="18">
        <f>(17766.0/B10*100)</f>
        <v/>
      </c>
      <c r="D10" s="19" t="n">
        <v>2292</v>
      </c>
      <c r="E10" s="18" t="n">
        <v>46.10955667</v>
      </c>
      <c r="F10" s="20" t="n">
        <v>1.57909148</v>
      </c>
      <c r="G10" s="18" t="n">
        <v>52.89847118</v>
      </c>
      <c r="H10" s="20" t="n">
        <v>1.60346108</v>
      </c>
      <c r="I10" s="18" t="n">
        <v>0</v>
      </c>
      <c r="J10" s="20" t="n">
        <v>0</v>
      </c>
      <c r="K10" s="18" t="n">
        <v>0.61330722</v>
      </c>
      <c r="L10" s="20" t="n">
        <v>0.29737354</v>
      </c>
      <c r="M10" s="18" t="n">
        <v>0</v>
      </c>
      <c r="N10" s="20" t="n">
        <v>0</v>
      </c>
      <c r="O10" s="18" t="n">
        <v>0</v>
      </c>
      <c r="P10" s="20" t="n">
        <v>0</v>
      </c>
      <c r="Q10" s="18" t="n">
        <v>0.37866493</v>
      </c>
      <c r="R10" s="20" t="n">
        <v>0.14447683</v>
      </c>
    </row>
    <row r="11" spans="1:18">
      <c r="A11" s="15" t="s">
        <v>569</v>
      </c>
      <c r="B11" s="17" t="n">
        <v>7053</v>
      </c>
      <c r="C11" s="18">
        <f>(6309.0/B11*100)</f>
        <v/>
      </c>
      <c r="D11" s="19" t="n">
        <v>744</v>
      </c>
      <c r="E11" s="18" t="n">
        <v>57.85183302</v>
      </c>
      <c r="F11" s="20" t="n">
        <v>2.46072352</v>
      </c>
      <c r="G11" s="18" t="n">
        <v>40.50424951</v>
      </c>
      <c r="H11" s="20" t="n">
        <v>2.4714793</v>
      </c>
      <c r="I11" s="18" t="n">
        <v>0</v>
      </c>
      <c r="J11" s="20" t="n">
        <v>0</v>
      </c>
      <c r="K11" s="18" t="n">
        <v>0.9699628300000001</v>
      </c>
      <c r="L11" s="20" t="n">
        <v>0.37496042</v>
      </c>
      <c r="M11" s="18" t="n">
        <v>0</v>
      </c>
      <c r="N11" s="20" t="n">
        <v>0</v>
      </c>
      <c r="O11" s="18" t="n">
        <v>0</v>
      </c>
      <c r="P11" s="20" t="n">
        <v>0</v>
      </c>
      <c r="Q11" s="18" t="n">
        <v>0.67395465</v>
      </c>
      <c r="R11" s="20" t="n">
        <v>0.31310489</v>
      </c>
    </row>
    <row r="12" spans="1:18">
      <c r="A12" s="15" t="s">
        <v>570</v>
      </c>
      <c r="B12" s="17" t="n">
        <v>6894</v>
      </c>
      <c r="C12" s="18">
        <f>(6132.0/B12*100)</f>
        <v/>
      </c>
      <c r="D12" s="19" t="n">
        <v>762</v>
      </c>
      <c r="E12" s="18" t="n">
        <v>42.08611246</v>
      </c>
      <c r="F12" s="20" t="n">
        <v>2.0131511</v>
      </c>
      <c r="G12" s="18" t="n">
        <v>56.6316966</v>
      </c>
      <c r="H12" s="20" t="n">
        <v>2.03342085</v>
      </c>
      <c r="I12" s="18" t="n">
        <v>0</v>
      </c>
      <c r="J12" s="20" t="n">
        <v>0</v>
      </c>
      <c r="K12" s="18" t="n">
        <v>0.24743701</v>
      </c>
      <c r="L12" s="20" t="n">
        <v>0.17211144</v>
      </c>
      <c r="M12" s="18" t="n">
        <v>0</v>
      </c>
      <c r="N12" s="20" t="n">
        <v>0</v>
      </c>
      <c r="O12" s="18" t="n">
        <v>0</v>
      </c>
      <c r="P12" s="20" t="n">
        <v>0</v>
      </c>
      <c r="Q12" s="18" t="n">
        <v>1.03475393</v>
      </c>
      <c r="R12" s="20" t="n">
        <v>0.50557282</v>
      </c>
    </row>
    <row r="13" spans="1:18">
      <c r="A13" s="15" t="s">
        <v>571</v>
      </c>
      <c r="B13" s="17" t="n">
        <v>7161</v>
      </c>
      <c r="C13" s="18">
        <f>(6376.0/B13*100)</f>
        <v/>
      </c>
      <c r="D13" s="19" t="n">
        <v>785</v>
      </c>
      <c r="E13" s="18" t="n">
        <v>46.06287139</v>
      </c>
      <c r="F13" s="20" t="n">
        <v>2.19040408</v>
      </c>
      <c r="G13" s="18" t="n">
        <v>52.47716429</v>
      </c>
      <c r="H13" s="20" t="n">
        <v>2.31524374</v>
      </c>
      <c r="I13" s="18" t="n">
        <v>0</v>
      </c>
      <c r="J13" s="20" t="n">
        <v>0</v>
      </c>
      <c r="K13" s="18" t="n">
        <v>0.41790672</v>
      </c>
      <c r="L13" s="20" t="n">
        <v>0.29208479</v>
      </c>
      <c r="M13" s="18" t="n">
        <v>0</v>
      </c>
      <c r="N13" s="20" t="n">
        <v>0</v>
      </c>
      <c r="O13" s="18" t="n">
        <v>0</v>
      </c>
      <c r="P13" s="20" t="n">
        <v>0</v>
      </c>
      <c r="Q13" s="18" t="n">
        <v>1.04205759</v>
      </c>
      <c r="R13" s="20" t="n">
        <v>0.36855619</v>
      </c>
    </row>
    <row r="14" spans="1:18">
      <c r="A14" s="15" t="s">
        <v>572</v>
      </c>
      <c r="B14" s="17" t="n">
        <v>5587</v>
      </c>
      <c r="C14" s="18">
        <f>(4960.0/B14*100)</f>
        <v/>
      </c>
      <c r="D14" s="19" t="n">
        <v>627</v>
      </c>
      <c r="E14" s="18" t="n">
        <v>36.19458496</v>
      </c>
      <c r="F14" s="20" t="n">
        <v>1.87439527</v>
      </c>
      <c r="G14" s="18" t="n">
        <v>63.53383831</v>
      </c>
      <c r="H14" s="20" t="n">
        <v>1.88748112</v>
      </c>
      <c r="I14" s="18" t="n">
        <v>0</v>
      </c>
      <c r="J14" s="20" t="n">
        <v>0</v>
      </c>
      <c r="K14" s="18" t="n">
        <v>0</v>
      </c>
      <c r="L14" s="20" t="n">
        <v>0</v>
      </c>
      <c r="M14" s="18" t="n">
        <v>0</v>
      </c>
      <c r="N14" s="20" t="n">
        <v>0</v>
      </c>
      <c r="O14" s="18" t="n">
        <v>0</v>
      </c>
      <c r="P14" s="20" t="n">
        <v>0</v>
      </c>
      <c r="Q14" s="18" t="n">
        <v>0.27157674</v>
      </c>
      <c r="R14" s="20" t="n">
        <v>0.20802067</v>
      </c>
    </row>
    <row r="15" spans="1:18">
      <c r="A15" s="15" t="s">
        <v>573</v>
      </c>
      <c r="B15" s="17" t="n">
        <v>5882</v>
      </c>
      <c r="C15" s="18">
        <f>(5280.0/B15*100)</f>
        <v/>
      </c>
      <c r="D15" s="19" t="n">
        <v>602</v>
      </c>
      <c r="E15" s="18" t="n">
        <v>44.05444419</v>
      </c>
      <c r="F15" s="20" t="n">
        <v>1.98315109</v>
      </c>
      <c r="G15" s="18" t="n">
        <v>54.98565881</v>
      </c>
      <c r="H15" s="20" t="n">
        <v>1.86739462</v>
      </c>
      <c r="I15" s="18" t="n">
        <v>0</v>
      </c>
      <c r="J15" s="20" t="n">
        <v>0</v>
      </c>
      <c r="K15" s="18" t="n">
        <v>0</v>
      </c>
      <c r="L15" s="20" t="n">
        <v>0</v>
      </c>
      <c r="M15" s="18" t="n">
        <v>0</v>
      </c>
      <c r="N15" s="20" t="n">
        <v>0</v>
      </c>
      <c r="O15" s="18" t="n">
        <v>0</v>
      </c>
      <c r="P15" s="20" t="n">
        <v>0</v>
      </c>
      <c r="Q15" s="18" t="n">
        <v>0.9598970100000001</v>
      </c>
      <c r="R15" s="20" t="n">
        <v>0.40236053</v>
      </c>
    </row>
    <row r="16" spans="1:18">
      <c r="A16" s="15" t="s">
        <v>574</v>
      </c>
      <c r="B16" s="17" t="n">
        <v>6108</v>
      </c>
      <c r="C16" s="18">
        <f>(5446.0/B16*100)</f>
        <v/>
      </c>
      <c r="D16" s="19" t="n">
        <v>662</v>
      </c>
      <c r="E16" s="18" t="n">
        <v>34.69257642</v>
      </c>
      <c r="F16" s="20" t="n">
        <v>1.96047516</v>
      </c>
      <c r="G16" s="18" t="n">
        <v>62.59913804</v>
      </c>
      <c r="H16" s="20" t="n">
        <v>2.15891356</v>
      </c>
      <c r="I16" s="18" t="n">
        <v>0</v>
      </c>
      <c r="J16" s="20" t="n">
        <v>0</v>
      </c>
      <c r="K16" s="18" t="n">
        <v>1.05243351</v>
      </c>
      <c r="L16" s="20" t="n">
        <v>0.55488634</v>
      </c>
      <c r="M16" s="18" t="n">
        <v>0</v>
      </c>
      <c r="N16" s="20" t="n">
        <v>0</v>
      </c>
      <c r="O16" s="18" t="n">
        <v>0</v>
      </c>
      <c r="P16" s="20" t="n">
        <v>0</v>
      </c>
      <c r="Q16" s="18" t="n">
        <v>1.65585203</v>
      </c>
      <c r="R16" s="20" t="n">
        <v>0.46776859</v>
      </c>
    </row>
    <row r="17" spans="1:18">
      <c r="A17" s="15" t="s">
        <v>575</v>
      </c>
      <c r="B17" s="17" t="n">
        <v>6504</v>
      </c>
      <c r="C17" s="18">
        <f>(5819.0/B17*100)</f>
        <v/>
      </c>
      <c r="D17" s="19" t="n">
        <v>685</v>
      </c>
      <c r="E17" s="18" t="n">
        <v>44.63796896</v>
      </c>
      <c r="F17" s="20" t="n">
        <v>2.00115568</v>
      </c>
      <c r="G17" s="18" t="n">
        <v>53.91624005</v>
      </c>
      <c r="H17" s="20" t="n">
        <v>2.06306355</v>
      </c>
      <c r="I17" s="18" t="n">
        <v>0</v>
      </c>
      <c r="J17" s="20" t="n">
        <v>0</v>
      </c>
      <c r="K17" s="18" t="n">
        <v>0.33120223</v>
      </c>
      <c r="L17" s="20" t="n">
        <v>0.17522186</v>
      </c>
      <c r="M17" s="18" t="n">
        <v>0</v>
      </c>
      <c r="N17" s="20" t="n">
        <v>0</v>
      </c>
      <c r="O17" s="18" t="n">
        <v>0</v>
      </c>
      <c r="P17" s="20" t="n">
        <v>0</v>
      </c>
      <c r="Q17" s="18" t="n">
        <v>1.11458876</v>
      </c>
      <c r="R17" s="20" t="n">
        <v>0.41298799</v>
      </c>
    </row>
    <row r="18" spans="1:18">
      <c r="A18" s="15" t="s">
        <v>576</v>
      </c>
      <c r="B18" s="17" t="n">
        <v>5532</v>
      </c>
      <c r="C18" s="18">
        <f>(4915.0/B18*100)</f>
        <v/>
      </c>
      <c r="D18" s="19" t="n">
        <v>617</v>
      </c>
      <c r="E18" s="18" t="n">
        <v>56.21939285</v>
      </c>
      <c r="F18" s="20" t="n">
        <v>2.34236026</v>
      </c>
      <c r="G18" s="18" t="n">
        <v>43.38451544</v>
      </c>
      <c r="H18" s="20" t="n">
        <v>2.3533594</v>
      </c>
      <c r="I18" s="18" t="n">
        <v>0</v>
      </c>
      <c r="J18" s="20" t="n">
        <v>0</v>
      </c>
      <c r="K18" s="18" t="n">
        <v>0.13022169</v>
      </c>
      <c r="L18" s="20" t="n">
        <v>0.12609867</v>
      </c>
      <c r="M18" s="18" t="n">
        <v>0</v>
      </c>
      <c r="N18" s="20" t="n">
        <v>0</v>
      </c>
      <c r="O18" s="18" t="n">
        <v>0</v>
      </c>
      <c r="P18" s="20" t="n">
        <v>0</v>
      </c>
      <c r="Q18" s="18" t="n">
        <v>0.26587002</v>
      </c>
      <c r="R18" s="20" t="n">
        <v>0.19091809</v>
      </c>
    </row>
    <row r="19" spans="1:18">
      <c r="A19" s="15" t="s">
        <v>577</v>
      </c>
      <c r="B19" s="17" t="n">
        <v>5658</v>
      </c>
      <c r="C19" s="18">
        <f>(5049.0/B19*100)</f>
        <v/>
      </c>
      <c r="D19" s="19" t="n">
        <v>609</v>
      </c>
      <c r="E19" s="18" t="n">
        <v>54.40986005</v>
      </c>
      <c r="F19" s="20" t="n">
        <v>2.35908193</v>
      </c>
      <c r="G19" s="18" t="n">
        <v>45.07897875</v>
      </c>
      <c r="H19" s="20" t="n">
        <v>2.36521694</v>
      </c>
      <c r="I19" s="18" t="n">
        <v>0</v>
      </c>
      <c r="J19" s="20" t="n">
        <v>0</v>
      </c>
      <c r="K19" s="18" t="n">
        <v>0</v>
      </c>
      <c r="L19" s="20" t="n">
        <v>0</v>
      </c>
      <c r="M19" s="18" t="n">
        <v>0</v>
      </c>
      <c r="N19" s="20" t="n">
        <v>0</v>
      </c>
      <c r="O19" s="18" t="n">
        <v>0</v>
      </c>
      <c r="P19" s="20" t="n">
        <v>0</v>
      </c>
      <c r="Q19" s="18" t="n">
        <v>0.51116121</v>
      </c>
      <c r="R19" s="20" t="n">
        <v>0.30320779</v>
      </c>
    </row>
    <row r="20" spans="1:18">
      <c r="A20" s="15" t="s">
        <v>578</v>
      </c>
      <c r="B20" s="17" t="n">
        <v>3371</v>
      </c>
      <c r="C20" s="18">
        <f>(2975.0/B20*100)</f>
        <v/>
      </c>
      <c r="D20" s="19" t="n">
        <v>396</v>
      </c>
      <c r="E20" s="18" t="n">
        <v>47.6411727</v>
      </c>
      <c r="F20" s="20" t="n">
        <v>2.31731059</v>
      </c>
      <c r="G20" s="18" t="n">
        <v>50.61387063</v>
      </c>
      <c r="H20" s="20" t="n">
        <v>2.2003433</v>
      </c>
      <c r="I20" s="18" t="n">
        <v>0</v>
      </c>
      <c r="J20" s="20" t="n">
        <v>0</v>
      </c>
      <c r="K20" s="18" t="n">
        <v>0.24925134</v>
      </c>
      <c r="L20" s="20" t="n">
        <v>0.25026322</v>
      </c>
      <c r="M20" s="18" t="n">
        <v>0</v>
      </c>
      <c r="N20" s="20" t="n">
        <v>0</v>
      </c>
      <c r="O20" s="18" t="n">
        <v>0</v>
      </c>
      <c r="P20" s="20" t="n">
        <v>0</v>
      </c>
      <c r="Q20" s="18" t="n">
        <v>1.49570533</v>
      </c>
      <c r="R20" s="20" t="n">
        <v>0.61679257</v>
      </c>
    </row>
    <row r="21" spans="1:18">
      <c r="A21" s="15" t="s">
        <v>579</v>
      </c>
      <c r="B21" s="17" t="n">
        <v>5741</v>
      </c>
      <c r="C21" s="18">
        <f>(5117.0/B21*100)</f>
        <v/>
      </c>
      <c r="D21" s="19" t="n">
        <v>624</v>
      </c>
      <c r="E21" s="18" t="n">
        <v>46.92058125</v>
      </c>
      <c r="F21" s="20" t="n">
        <v>2.23417671</v>
      </c>
      <c r="G21" s="18" t="n">
        <v>52.13082664</v>
      </c>
      <c r="H21" s="20" t="n">
        <v>2.29728118</v>
      </c>
      <c r="I21" s="18" t="n">
        <v>0</v>
      </c>
      <c r="J21" s="20" t="n">
        <v>0</v>
      </c>
      <c r="K21" s="18" t="n">
        <v>0.13455509</v>
      </c>
      <c r="L21" s="20" t="n">
        <v>0.13326749</v>
      </c>
      <c r="M21" s="18" t="n">
        <v>0</v>
      </c>
      <c r="N21" s="20" t="n">
        <v>0</v>
      </c>
      <c r="O21" s="18" t="n">
        <v>0</v>
      </c>
      <c r="P21" s="20" t="n">
        <v>0</v>
      </c>
      <c r="Q21" s="18" t="n">
        <v>0.81403702</v>
      </c>
      <c r="R21" s="20" t="n">
        <v>0.3958137</v>
      </c>
    </row>
    <row r="22" spans="1:18">
      <c r="A22" s="15" t="s">
        <v>580</v>
      </c>
      <c r="B22" s="17" t="n">
        <v>6598</v>
      </c>
      <c r="C22" s="18">
        <f>(5849.0/B22*100)</f>
        <v/>
      </c>
      <c r="D22" s="19" t="n">
        <v>749</v>
      </c>
      <c r="E22" s="18" t="n">
        <v>57.91331534</v>
      </c>
      <c r="F22" s="20" t="n">
        <v>1.76407351</v>
      </c>
      <c r="G22" s="18" t="n">
        <v>40.39590278</v>
      </c>
      <c r="H22" s="20" t="n">
        <v>1.80512036</v>
      </c>
      <c r="I22" s="18" t="n">
        <v>0</v>
      </c>
      <c r="J22" s="20" t="n">
        <v>0</v>
      </c>
      <c r="K22" s="18" t="n">
        <v>0.49990277</v>
      </c>
      <c r="L22" s="20" t="n">
        <v>0.2563176</v>
      </c>
      <c r="M22" s="18" t="n">
        <v>0</v>
      </c>
      <c r="N22" s="20" t="n">
        <v>0</v>
      </c>
      <c r="O22" s="18" t="n">
        <v>0</v>
      </c>
      <c r="P22" s="20" t="n">
        <v>0</v>
      </c>
      <c r="Q22" s="18" t="n">
        <v>1.19087911</v>
      </c>
      <c r="R22" s="20" t="n">
        <v>0.33760726</v>
      </c>
    </row>
    <row r="23" spans="1:18">
      <c r="A23" s="15" t="s">
        <v>581</v>
      </c>
      <c r="B23" s="17" t="n">
        <v>11583</v>
      </c>
      <c r="C23" s="18">
        <f>(10342.0/B23*100)</f>
        <v/>
      </c>
      <c r="D23" s="19" t="n">
        <v>1241</v>
      </c>
      <c r="E23" s="18" t="n">
        <v>46.56782435</v>
      </c>
      <c r="F23" s="20" t="n">
        <v>1.80956403</v>
      </c>
      <c r="G23" s="18" t="n">
        <v>52.10536371</v>
      </c>
      <c r="H23" s="20" t="n">
        <v>1.91667534</v>
      </c>
      <c r="I23" s="18" t="n">
        <v>0</v>
      </c>
      <c r="J23" s="20" t="n">
        <v>0</v>
      </c>
      <c r="K23" s="18" t="n">
        <v>0.22005793</v>
      </c>
      <c r="L23" s="20" t="n">
        <v>0.15183777</v>
      </c>
      <c r="M23" s="18" t="n">
        <v>0</v>
      </c>
      <c r="N23" s="20" t="n">
        <v>0</v>
      </c>
      <c r="O23" s="18" t="n">
        <v>0</v>
      </c>
      <c r="P23" s="20" t="n">
        <v>0</v>
      </c>
      <c r="Q23" s="18" t="n">
        <v>1.10675401</v>
      </c>
      <c r="R23" s="20" t="n">
        <v>0.40673072</v>
      </c>
    </row>
    <row r="24" spans="1:18">
      <c r="A24" s="15" t="s">
        <v>582</v>
      </c>
      <c r="B24" s="17" t="n">
        <v>6647</v>
      </c>
      <c r="C24" s="18">
        <f>(5923.0/B24*100)</f>
        <v/>
      </c>
      <c r="D24" s="19" t="n">
        <v>724</v>
      </c>
      <c r="E24" s="18" t="n">
        <v>36.98819067</v>
      </c>
      <c r="F24" s="20" t="n">
        <v>2.21301512</v>
      </c>
      <c r="G24" s="18" t="n">
        <v>62.73590784</v>
      </c>
      <c r="H24" s="20" t="n">
        <v>2.19916822</v>
      </c>
      <c r="I24" s="18" t="n">
        <v>0</v>
      </c>
      <c r="J24" s="20" t="n">
        <v>0</v>
      </c>
      <c r="K24" s="18" t="n">
        <v>0</v>
      </c>
      <c r="L24" s="20" t="n">
        <v>0</v>
      </c>
      <c r="M24" s="18" t="n">
        <v>0</v>
      </c>
      <c r="N24" s="20" t="n">
        <v>0</v>
      </c>
      <c r="O24" s="18" t="n">
        <v>0</v>
      </c>
      <c r="P24" s="20" t="n">
        <v>0</v>
      </c>
      <c r="Q24" s="18" t="n">
        <v>0.27590149</v>
      </c>
      <c r="R24" s="20" t="n">
        <v>0.19275576</v>
      </c>
    </row>
    <row r="25" spans="1:18">
      <c r="A25" s="15" t="s">
        <v>583</v>
      </c>
      <c r="B25" s="17" t="n">
        <v>5581</v>
      </c>
      <c r="C25" s="18">
        <f>(4963.0/B25*100)</f>
        <v/>
      </c>
      <c r="D25" s="19" t="n">
        <v>618</v>
      </c>
      <c r="E25" s="18" t="n">
        <v>41.33220577</v>
      </c>
      <c r="F25" s="20" t="n">
        <v>2.32075441</v>
      </c>
      <c r="G25" s="18" t="n">
        <v>58.35218824</v>
      </c>
      <c r="H25" s="20" t="n">
        <v>2.3406913</v>
      </c>
      <c r="I25" s="18" t="n">
        <v>0</v>
      </c>
      <c r="J25" s="20" t="n">
        <v>0</v>
      </c>
      <c r="K25" s="18" t="n">
        <v>0.31560599</v>
      </c>
      <c r="L25" s="20" t="n">
        <v>0.22765417</v>
      </c>
      <c r="M25" s="18" t="n">
        <v>0</v>
      </c>
      <c r="N25" s="20" t="n">
        <v>0</v>
      </c>
      <c r="O25" s="18" t="n">
        <v>0</v>
      </c>
      <c r="P25" s="20" t="n">
        <v>0</v>
      </c>
      <c r="Q25" s="18" t="n">
        <v>0</v>
      </c>
      <c r="R25" s="20" t="n">
        <v>0</v>
      </c>
    </row>
    <row r="26" spans="1:18">
      <c r="A26" s="15" t="s">
        <v>584</v>
      </c>
      <c r="B26" s="17" t="n">
        <v>4869</v>
      </c>
      <c r="C26" s="18">
        <f>(4330.0/B26*100)</f>
        <v/>
      </c>
      <c r="D26" s="19" t="n">
        <v>539</v>
      </c>
      <c r="E26" s="18" t="n">
        <v>44.29876591</v>
      </c>
      <c r="F26" s="20" t="n">
        <v>2.26942328</v>
      </c>
      <c r="G26" s="18" t="n">
        <v>55.51794741</v>
      </c>
      <c r="H26" s="20" t="n">
        <v>2.25649455</v>
      </c>
      <c r="I26" s="18" t="n">
        <v>0</v>
      </c>
      <c r="J26" s="20" t="n">
        <v>0</v>
      </c>
      <c r="K26" s="18" t="n">
        <v>0</v>
      </c>
      <c r="L26" s="20" t="n">
        <v>0</v>
      </c>
      <c r="M26" s="18" t="n">
        <v>0</v>
      </c>
      <c r="N26" s="20" t="n">
        <v>0</v>
      </c>
      <c r="O26" s="18" t="n">
        <v>0</v>
      </c>
      <c r="P26" s="20" t="n">
        <v>0</v>
      </c>
      <c r="Q26" s="18" t="n">
        <v>0.18328668</v>
      </c>
      <c r="R26" s="20" t="n">
        <v>0.18190014</v>
      </c>
    </row>
    <row r="27" spans="1:18">
      <c r="A27" s="15" t="s">
        <v>585</v>
      </c>
      <c r="B27" s="17" t="n">
        <v>5299</v>
      </c>
      <c r="C27" s="18">
        <f>(4716.0/B27*100)</f>
        <v/>
      </c>
      <c r="D27" s="19" t="n">
        <v>583</v>
      </c>
      <c r="E27" s="18" t="n">
        <v>43.28122367</v>
      </c>
      <c r="F27" s="20" t="n">
        <v>1.84321649</v>
      </c>
      <c r="G27" s="18" t="n">
        <v>53.99045253</v>
      </c>
      <c r="H27" s="20" t="n">
        <v>1.90299698</v>
      </c>
      <c r="I27" s="18" t="n">
        <v>0</v>
      </c>
      <c r="J27" s="20" t="n">
        <v>0</v>
      </c>
      <c r="K27" s="18" t="n">
        <v>0.34687071</v>
      </c>
      <c r="L27" s="20" t="n">
        <v>0.24563288</v>
      </c>
      <c r="M27" s="18" t="n">
        <v>0</v>
      </c>
      <c r="N27" s="20" t="n">
        <v>0</v>
      </c>
      <c r="O27" s="18" t="n">
        <v>0</v>
      </c>
      <c r="P27" s="20" t="n">
        <v>0</v>
      </c>
      <c r="Q27" s="18" t="n">
        <v>2.38145309</v>
      </c>
      <c r="R27" s="20" t="n">
        <v>0.57599557</v>
      </c>
    </row>
    <row r="28" spans="1:18">
      <c r="A28" s="15" t="s">
        <v>586</v>
      </c>
      <c r="B28" s="17" t="n">
        <v>7568</v>
      </c>
      <c r="C28" s="18">
        <f>(6794.0/B28*100)</f>
        <v/>
      </c>
      <c r="D28" s="19" t="n">
        <v>774</v>
      </c>
      <c r="E28" s="18" t="n">
        <v>72.3274935</v>
      </c>
      <c r="F28" s="20" t="n">
        <v>1.6391011</v>
      </c>
      <c r="G28" s="18" t="n">
        <v>26.42521055</v>
      </c>
      <c r="H28" s="20" t="n">
        <v>1.6317503</v>
      </c>
      <c r="I28" s="18" t="n">
        <v>0</v>
      </c>
      <c r="J28" s="20" t="n">
        <v>0</v>
      </c>
      <c r="K28" s="18" t="n">
        <v>0.75347057</v>
      </c>
      <c r="L28" s="20" t="n">
        <v>0.29871535</v>
      </c>
      <c r="M28" s="18" t="n">
        <v>0</v>
      </c>
      <c r="N28" s="20" t="n">
        <v>0</v>
      </c>
      <c r="O28" s="18" t="n">
        <v>0</v>
      </c>
      <c r="P28" s="20" t="n">
        <v>0</v>
      </c>
      <c r="Q28" s="18" t="n">
        <v>0.49382538</v>
      </c>
      <c r="R28" s="20" t="n">
        <v>0.32366512</v>
      </c>
    </row>
    <row r="29" spans="1:18">
      <c r="A29" s="15" t="s">
        <v>587</v>
      </c>
      <c r="B29" s="17" t="n">
        <v>5385</v>
      </c>
      <c r="C29" s="18">
        <f>(4802.0/B29*100)</f>
        <v/>
      </c>
      <c r="D29" s="19" t="n">
        <v>583</v>
      </c>
      <c r="E29" s="18" t="n">
        <v>45.59776213</v>
      </c>
      <c r="F29" s="20" t="n">
        <v>2.05134797</v>
      </c>
      <c r="G29" s="18" t="n">
        <v>53.57656133</v>
      </c>
      <c r="H29" s="20" t="n">
        <v>2.04193691</v>
      </c>
      <c r="I29" s="18" t="n">
        <v>0</v>
      </c>
      <c r="J29" s="20" t="n">
        <v>0</v>
      </c>
      <c r="K29" s="18" t="n">
        <v>0.21086583</v>
      </c>
      <c r="L29" s="20" t="n">
        <v>0.19765015</v>
      </c>
      <c r="M29" s="18" t="n">
        <v>0</v>
      </c>
      <c r="N29" s="20" t="n">
        <v>0</v>
      </c>
      <c r="O29" s="18" t="n">
        <v>0</v>
      </c>
      <c r="P29" s="20" t="n">
        <v>0</v>
      </c>
      <c r="Q29" s="18" t="n">
        <v>0.61481071</v>
      </c>
      <c r="R29" s="20" t="n">
        <v>0.3151674</v>
      </c>
    </row>
    <row r="30" spans="1:18">
      <c r="A30" s="15" t="s">
        <v>588</v>
      </c>
      <c r="B30" s="17" t="n">
        <v>4520</v>
      </c>
      <c r="C30" s="18">
        <f>(4036.0/B30*100)</f>
        <v/>
      </c>
      <c r="D30" s="19" t="n">
        <v>484</v>
      </c>
      <c r="E30" s="18" t="n">
        <v>46.5514181</v>
      </c>
      <c r="F30" s="20" t="n">
        <v>2.19713192</v>
      </c>
      <c r="G30" s="18" t="n">
        <v>51.03247001</v>
      </c>
      <c r="H30" s="20" t="n">
        <v>2.19318394</v>
      </c>
      <c r="I30" s="18" t="n">
        <v>0</v>
      </c>
      <c r="J30" s="20" t="n">
        <v>0</v>
      </c>
      <c r="K30" s="18" t="n">
        <v>0</v>
      </c>
      <c r="L30" s="20" t="n">
        <v>0</v>
      </c>
      <c r="M30" s="18" t="n">
        <v>0</v>
      </c>
      <c r="N30" s="20" t="n">
        <v>0</v>
      </c>
      <c r="O30" s="18" t="n">
        <v>0</v>
      </c>
      <c r="P30" s="20" t="n">
        <v>0</v>
      </c>
      <c r="Q30" s="18" t="n">
        <v>2.41611189</v>
      </c>
      <c r="R30" s="20" t="n">
        <v>0.79357732</v>
      </c>
    </row>
    <row r="31" spans="1:18">
      <c r="A31" s="15" t="s">
        <v>589</v>
      </c>
      <c r="B31" s="17" t="n">
        <v>5456</v>
      </c>
      <c r="C31" s="18">
        <f>(4850.0/B31*100)</f>
        <v/>
      </c>
      <c r="D31" s="19" t="n">
        <v>606</v>
      </c>
      <c r="E31" s="18" t="n">
        <v>53.33442494</v>
      </c>
      <c r="F31" s="20" t="n">
        <v>1.82779836</v>
      </c>
      <c r="G31" s="18" t="n">
        <v>44.48436666</v>
      </c>
      <c r="H31" s="20" t="n">
        <v>1.80984193</v>
      </c>
      <c r="I31" s="18" t="n">
        <v>0</v>
      </c>
      <c r="J31" s="20" t="n">
        <v>0</v>
      </c>
      <c r="K31" s="18" t="n">
        <v>0.30650602</v>
      </c>
      <c r="L31" s="20" t="n">
        <v>0.20799443</v>
      </c>
      <c r="M31" s="18" t="n">
        <v>0</v>
      </c>
      <c r="N31" s="20" t="n">
        <v>0</v>
      </c>
      <c r="O31" s="18" t="n">
        <v>0</v>
      </c>
      <c r="P31" s="20" t="n">
        <v>0</v>
      </c>
      <c r="Q31" s="18" t="n">
        <v>1.87470238</v>
      </c>
      <c r="R31" s="20" t="n">
        <v>0.47286731</v>
      </c>
    </row>
    <row r="32" spans="1:18">
      <c r="A32" s="15" t="s">
        <v>590</v>
      </c>
      <c r="B32" s="17" t="n">
        <v>4478</v>
      </c>
      <c r="C32" s="18">
        <f>(3970.0/B32*100)</f>
        <v/>
      </c>
      <c r="D32" s="19" t="n">
        <v>508</v>
      </c>
      <c r="E32" s="18" t="n">
        <v>44.22952485</v>
      </c>
      <c r="F32" s="20" t="n">
        <v>2.35481452</v>
      </c>
      <c r="G32" s="18" t="n">
        <v>55.77047515</v>
      </c>
      <c r="H32" s="20" t="n">
        <v>2.35481452</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(6519.0/B33*100)</f>
        <v/>
      </c>
      <c r="D33" s="19" t="n">
        <v>806</v>
      </c>
      <c r="E33" s="18" t="n">
        <v>45.78399374</v>
      </c>
      <c r="F33" s="20" t="n">
        <v>2.11577744</v>
      </c>
      <c r="G33" s="18" t="n">
        <v>53.55524409</v>
      </c>
      <c r="H33" s="20" t="n">
        <v>2.08235806</v>
      </c>
      <c r="I33" s="18" t="n">
        <v>0</v>
      </c>
      <c r="J33" s="20" t="n">
        <v>0</v>
      </c>
      <c r="K33" s="18" t="n">
        <v>0.35378883</v>
      </c>
      <c r="L33" s="20" t="n">
        <v>0.23552145</v>
      </c>
      <c r="M33" s="18" t="n">
        <v>0</v>
      </c>
      <c r="N33" s="20" t="n">
        <v>0</v>
      </c>
      <c r="O33" s="18" t="n">
        <v>0</v>
      </c>
      <c r="P33" s="20" t="n">
        <v>0</v>
      </c>
      <c r="Q33" s="18" t="n">
        <v>0.30697334</v>
      </c>
      <c r="R33" s="20" t="n">
        <v>0.18449574</v>
      </c>
    </row>
    <row r="34" spans="1:18">
      <c r="A34" s="15" t="s">
        <v>592</v>
      </c>
      <c r="B34" s="17" t="n">
        <v>6350</v>
      </c>
      <c r="C34" s="18">
        <f>(5647.0/B34*100)</f>
        <v/>
      </c>
      <c r="D34" s="19" t="n">
        <v>703</v>
      </c>
      <c r="E34" s="18" t="n">
        <v>49.78341395</v>
      </c>
      <c r="F34" s="20" t="n">
        <v>2.03034679</v>
      </c>
      <c r="G34" s="18" t="n">
        <v>49.81311004</v>
      </c>
      <c r="H34" s="20" t="n">
        <v>1.9925066</v>
      </c>
      <c r="I34" s="18" t="n">
        <v>0</v>
      </c>
      <c r="J34" s="20" t="n">
        <v>0</v>
      </c>
      <c r="K34" s="18" t="n">
        <v>0</v>
      </c>
      <c r="L34" s="20" t="n">
        <v>0</v>
      </c>
      <c r="M34" s="18" t="n">
        <v>0</v>
      </c>
      <c r="N34" s="20" t="n">
        <v>0</v>
      </c>
      <c r="O34" s="18" t="n">
        <v>0</v>
      </c>
      <c r="P34" s="20" t="n">
        <v>0</v>
      </c>
      <c r="Q34" s="18" t="n">
        <v>0.40347601</v>
      </c>
      <c r="R34" s="20" t="n">
        <v>0.29155532</v>
      </c>
    </row>
    <row r="35" spans="1:18">
      <c r="A35" s="15" t="s">
        <v>593</v>
      </c>
      <c r="B35" s="17" t="n">
        <v>6406</v>
      </c>
      <c r="C35" s="18">
        <f>(5749.0/B35*100)</f>
        <v/>
      </c>
      <c r="D35" s="19" t="n">
        <v>657</v>
      </c>
      <c r="E35" s="18" t="n">
        <v>37.41862443</v>
      </c>
      <c r="F35" s="20" t="n">
        <v>1.96469126</v>
      </c>
      <c r="G35" s="18" t="n">
        <v>61.93845392</v>
      </c>
      <c r="H35" s="20" t="n">
        <v>1.98374438</v>
      </c>
      <c r="I35" s="18" t="n">
        <v>0</v>
      </c>
      <c r="J35" s="20" t="n">
        <v>0</v>
      </c>
      <c r="K35" s="18" t="n">
        <v>0</v>
      </c>
      <c r="L35" s="20" t="n">
        <v>0</v>
      </c>
      <c r="M35" s="18" t="n">
        <v>0</v>
      </c>
      <c r="N35" s="20" t="n">
        <v>0</v>
      </c>
      <c r="O35" s="18" t="n">
        <v>0</v>
      </c>
      <c r="P35" s="20" t="n">
        <v>0</v>
      </c>
      <c r="Q35" s="18" t="n">
        <v>0.64292165</v>
      </c>
      <c r="R35" s="20" t="n">
        <v>0.29704588</v>
      </c>
    </row>
    <row r="36" spans="1:18">
      <c r="A36" s="15" t="s">
        <v>594</v>
      </c>
      <c r="B36" s="17" t="n">
        <v>6736</v>
      </c>
      <c r="C36" s="18">
        <f>(6027.0/B36*100)</f>
        <v/>
      </c>
      <c r="D36" s="19" t="n">
        <v>709</v>
      </c>
      <c r="E36" s="18" t="n">
        <v>42.1134024</v>
      </c>
      <c r="F36" s="20" t="n">
        <v>1.97519766</v>
      </c>
      <c r="G36" s="18" t="n">
        <v>56.88395593</v>
      </c>
      <c r="H36" s="20" t="n">
        <v>2.00312591</v>
      </c>
      <c r="I36" s="18" t="n">
        <v>0</v>
      </c>
      <c r="J36" s="20" t="n">
        <v>0</v>
      </c>
      <c r="K36" s="18" t="n">
        <v>0.16880237</v>
      </c>
      <c r="L36" s="20" t="n">
        <v>0.12393155</v>
      </c>
      <c r="M36" s="18" t="n">
        <v>0</v>
      </c>
      <c r="N36" s="20" t="n">
        <v>0</v>
      </c>
      <c r="O36" s="18" t="n">
        <v>0</v>
      </c>
      <c r="P36" s="20" t="n">
        <v>0</v>
      </c>
      <c r="Q36" s="18" t="n">
        <v>0.8338392999999999</v>
      </c>
      <c r="R36" s="20" t="n">
        <v>0.39640953</v>
      </c>
    </row>
    <row r="37" spans="1:18">
      <c r="A37" s="15" t="s">
        <v>595</v>
      </c>
      <c r="B37" s="17" t="n">
        <v>5458</v>
      </c>
      <c r="C37" s="18">
        <f>(4857.0/B37*100)</f>
        <v/>
      </c>
      <c r="D37" s="19" t="n">
        <v>601</v>
      </c>
      <c r="E37" s="18" t="n">
        <v>62.19005356</v>
      </c>
      <c r="F37" s="20" t="n">
        <v>2.45775855</v>
      </c>
      <c r="G37" s="18" t="n">
        <v>34.352025</v>
      </c>
      <c r="H37" s="20" t="n">
        <v>2.42392718</v>
      </c>
      <c r="I37" s="18" t="n">
        <v>0</v>
      </c>
      <c r="J37" s="20" t="n">
        <v>0</v>
      </c>
      <c r="K37" s="18" t="n">
        <v>0.8265977799999999</v>
      </c>
      <c r="L37" s="20" t="n">
        <v>0.3706579</v>
      </c>
      <c r="M37" s="18" t="n">
        <v>0</v>
      </c>
      <c r="N37" s="20" t="n">
        <v>0</v>
      </c>
      <c r="O37" s="18" t="n">
        <v>0</v>
      </c>
      <c r="P37" s="20" t="n">
        <v>0</v>
      </c>
      <c r="Q37" s="18" t="n">
        <v>2.63132367</v>
      </c>
      <c r="R37" s="20" t="n">
        <v>0.71499459</v>
      </c>
    </row>
    <row r="38" spans="1:18">
      <c r="A38" s="15" t="s">
        <v>596</v>
      </c>
      <c r="B38" s="17" t="n">
        <v>5860</v>
      </c>
      <c r="C38" s="18">
        <f>(5201.0/B38*100)</f>
        <v/>
      </c>
      <c r="D38" s="19" t="n">
        <v>659</v>
      </c>
      <c r="E38" s="18" t="n">
        <v>44.24322239</v>
      </c>
      <c r="F38" s="20" t="n">
        <v>2.37885728</v>
      </c>
      <c r="G38" s="18" t="n">
        <v>53.48823523</v>
      </c>
      <c r="H38" s="20" t="n">
        <v>2.34135755</v>
      </c>
      <c r="I38" s="18" t="n">
        <v>0</v>
      </c>
      <c r="J38" s="20" t="n">
        <v>0</v>
      </c>
      <c r="K38" s="18" t="n">
        <v>0.20155977</v>
      </c>
      <c r="L38" s="20" t="n">
        <v>0.16762065</v>
      </c>
      <c r="M38" s="18" t="n">
        <v>0</v>
      </c>
      <c r="N38" s="20" t="n">
        <v>0</v>
      </c>
      <c r="O38" s="18" t="n">
        <v>0</v>
      </c>
      <c r="P38" s="20" t="n">
        <v>0</v>
      </c>
      <c r="Q38" s="18" t="n">
        <v>2.06698261</v>
      </c>
      <c r="R38" s="20" t="n">
        <v>0.95984179</v>
      </c>
    </row>
    <row r="39" spans="1:18">
      <c r="A39" s="15" t="s">
        <v>597</v>
      </c>
      <c r="B39" s="17" t="n">
        <v>5895</v>
      </c>
      <c r="C39" s="18">
        <f>(5239.0/B39*100)</f>
        <v/>
      </c>
      <c r="D39" s="19" t="n">
        <v>656</v>
      </c>
      <c r="E39" s="18" t="n">
        <v>70.16305961</v>
      </c>
      <c r="F39" s="20" t="n">
        <v>1.97760996</v>
      </c>
      <c r="G39" s="18" t="n">
        <v>29.25089658</v>
      </c>
      <c r="H39" s="20" t="n">
        <v>1.96444314</v>
      </c>
      <c r="I39" s="18" t="n">
        <v>0</v>
      </c>
      <c r="J39" s="20" t="n">
        <v>0</v>
      </c>
      <c r="K39" s="18" t="n">
        <v>0</v>
      </c>
      <c r="L39" s="20" t="n">
        <v>0</v>
      </c>
      <c r="M39" s="18" t="n">
        <v>0</v>
      </c>
      <c r="N39" s="20" t="n">
        <v>0</v>
      </c>
      <c r="O39" s="18" t="n">
        <v>0</v>
      </c>
      <c r="P39" s="20" t="n">
        <v>0</v>
      </c>
      <c r="Q39" s="18" t="n">
        <v>0.5860438100000001</v>
      </c>
      <c r="R39" s="20" t="n">
        <v>0.27722519</v>
      </c>
    </row>
    <row r="40" spans="1:18">
      <c r="A40" s="15" t="s">
        <v>598</v>
      </c>
      <c r="B40" s="17" t="n">
        <v>14157</v>
      </c>
      <c r="C40" s="18">
        <f>(12598.0/B40*100)</f>
        <v/>
      </c>
      <c r="D40" s="19" t="n">
        <v>1559</v>
      </c>
      <c r="E40" s="18" t="n">
        <v>39.59458491</v>
      </c>
      <c r="F40" s="20" t="n">
        <v>1.87838823</v>
      </c>
      <c r="G40" s="18" t="n">
        <v>59.29673622</v>
      </c>
      <c r="H40" s="20" t="n">
        <v>1.9464376</v>
      </c>
      <c r="I40" s="18" t="n">
        <v>0</v>
      </c>
      <c r="J40" s="20" t="n">
        <v>0</v>
      </c>
      <c r="K40" s="18" t="n">
        <v>0.43889631</v>
      </c>
      <c r="L40" s="20" t="n">
        <v>0.24250687</v>
      </c>
      <c r="M40" s="18" t="n">
        <v>0</v>
      </c>
      <c r="N40" s="20" t="n">
        <v>0</v>
      </c>
      <c r="O40" s="18" t="n">
        <v>0</v>
      </c>
      <c r="P40" s="20" t="n">
        <v>0</v>
      </c>
      <c r="Q40" s="18" t="n">
        <v>0.66978255</v>
      </c>
      <c r="R40" s="20" t="n">
        <v>0.30268214</v>
      </c>
    </row>
    <row r="41" spans="1:18">
      <c r="A41" s="15" t="s">
        <v>599</v>
      </c>
      <c r="B41" s="17" t="n">
        <v>5712</v>
      </c>
      <c r="C41" s="18">
        <f>(5085.0/B41*100)</f>
        <v/>
      </c>
      <c r="D41" s="19" t="n">
        <v>627</v>
      </c>
      <c r="E41" s="18" t="n">
        <v>51.22871988</v>
      </c>
      <c r="F41" s="20" t="n">
        <v>2.58271107</v>
      </c>
      <c r="G41" s="18" t="n">
        <v>48.21426262</v>
      </c>
      <c r="H41" s="20" t="n">
        <v>2.58481433</v>
      </c>
      <c r="I41" s="18" t="n">
        <v>0</v>
      </c>
      <c r="J41" s="20" t="n">
        <v>0</v>
      </c>
      <c r="K41" s="18" t="n">
        <v>0</v>
      </c>
      <c r="L41" s="20" t="n">
        <v>0</v>
      </c>
      <c r="M41" s="18" t="n">
        <v>0</v>
      </c>
      <c r="N41" s="20" t="n">
        <v>0</v>
      </c>
      <c r="O41" s="18" t="n">
        <v>0</v>
      </c>
      <c r="P41" s="20" t="n">
        <v>0</v>
      </c>
      <c r="Q41" s="18" t="n">
        <v>0.5570175000000001</v>
      </c>
      <c r="R41" s="20" t="n">
        <v>0.2994249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(21048.0/B46*100)</f>
        <v/>
      </c>
      <c r="D46" s="19" t="n">
        <v>2093</v>
      </c>
      <c r="E46" s="18" t="n">
        <v>64.72604455</v>
      </c>
      <c r="F46" s="20" t="n">
        <v>1.19060569</v>
      </c>
      <c r="G46" s="18" t="n">
        <v>32.53984677</v>
      </c>
      <c r="H46" s="20" t="n">
        <v>1.2258094</v>
      </c>
      <c r="I46" s="18" t="n">
        <v>0</v>
      </c>
      <c r="J46" s="20" t="n">
        <v>0</v>
      </c>
      <c r="K46" s="18" t="n">
        <v>0.86738819</v>
      </c>
      <c r="L46" s="20" t="n">
        <v>0.26777838</v>
      </c>
      <c r="M46" s="18" t="n">
        <v>0</v>
      </c>
      <c r="N46" s="20" t="n">
        <v>0</v>
      </c>
      <c r="O46" s="18" t="n">
        <v>0</v>
      </c>
      <c r="P46" s="20" t="n">
        <v>0</v>
      </c>
      <c r="Q46" s="18" t="n">
        <v>1.86672049</v>
      </c>
      <c r="R46" s="20" t="n">
        <v>0.38117752</v>
      </c>
    </row>
    <row r="47" spans="1:18">
      <c r="A47" s="15" t="s">
        <v>606</v>
      </c>
      <c r="B47" s="17" t="n">
        <v>5928</v>
      </c>
      <c r="C47" s="18">
        <f>(5258.0/B47*100)</f>
        <v/>
      </c>
      <c r="D47" s="19" t="n">
        <v>670</v>
      </c>
      <c r="E47" s="18" t="n">
        <v>53.84332271</v>
      </c>
      <c r="F47" s="20" t="n">
        <v>2.08048188</v>
      </c>
      <c r="G47" s="18" t="n">
        <v>44.67911993</v>
      </c>
      <c r="H47" s="20" t="n">
        <v>2.1373436</v>
      </c>
      <c r="I47" s="18" t="n">
        <v>0</v>
      </c>
      <c r="J47" s="20" t="n">
        <v>0</v>
      </c>
      <c r="K47" s="18" t="n">
        <v>0.30104107</v>
      </c>
      <c r="L47" s="20" t="n">
        <v>0.26441727</v>
      </c>
      <c r="M47" s="18" t="n">
        <v>0</v>
      </c>
      <c r="N47" s="20" t="n">
        <v>0</v>
      </c>
      <c r="O47" s="18" t="n">
        <v>0</v>
      </c>
      <c r="P47" s="20" t="n">
        <v>0</v>
      </c>
      <c r="Q47" s="18" t="n">
        <v>1.17651629</v>
      </c>
      <c r="R47" s="20" t="n">
        <v>0.48438459</v>
      </c>
    </row>
    <row r="48" spans="1:18">
      <c r="A48" s="15" t="s">
        <v>607</v>
      </c>
      <c r="B48" s="17" t="n">
        <v>9841</v>
      </c>
      <c r="C48" s="18">
        <f>(8727.0/B48*100)</f>
        <v/>
      </c>
      <c r="D48" s="19" t="n">
        <v>1114</v>
      </c>
      <c r="E48" s="18" t="n">
        <v>47.76459899</v>
      </c>
      <c r="F48" s="20" t="n">
        <v>2.30515806</v>
      </c>
      <c r="G48" s="18" t="n">
        <v>51.66089067</v>
      </c>
      <c r="H48" s="20" t="n">
        <v>2.38916865</v>
      </c>
      <c r="I48" s="18" t="n">
        <v>0</v>
      </c>
      <c r="J48" s="20" t="n">
        <v>0</v>
      </c>
      <c r="K48" s="18" t="n">
        <v>0.27266202</v>
      </c>
      <c r="L48" s="20" t="n">
        <v>0.21900146</v>
      </c>
      <c r="M48" s="18" t="n">
        <v>0</v>
      </c>
      <c r="N48" s="20" t="n">
        <v>0</v>
      </c>
      <c r="O48" s="18" t="n">
        <v>0</v>
      </c>
      <c r="P48" s="20" t="n">
        <v>0</v>
      </c>
      <c r="Q48" s="18" t="n">
        <v>0.30184832</v>
      </c>
      <c r="R48" s="20" t="n">
        <v>0.20804837</v>
      </c>
    </row>
    <row r="49" spans="1:18">
      <c r="A49" s="15" t="s">
        <v>608</v>
      </c>
      <c r="B49" s="17" t="n">
        <v>11795</v>
      </c>
      <c r="C49" s="18">
        <f>(10470.0/B49*100)</f>
        <v/>
      </c>
      <c r="D49" s="19" t="n">
        <v>1325</v>
      </c>
      <c r="E49" s="18" t="n">
        <v>69.85869691000001</v>
      </c>
      <c r="F49" s="20" t="n">
        <v>1.90103323</v>
      </c>
      <c r="G49" s="18" t="n">
        <v>28.54662246</v>
      </c>
      <c r="H49" s="20" t="n">
        <v>1.77576985</v>
      </c>
      <c r="I49" s="18" t="n">
        <v>0</v>
      </c>
      <c r="J49" s="20" t="n">
        <v>0</v>
      </c>
      <c r="K49" s="18" t="n">
        <v>1.10497846</v>
      </c>
      <c r="L49" s="20" t="n">
        <v>0.46238237</v>
      </c>
      <c r="M49" s="18" t="n">
        <v>0</v>
      </c>
      <c r="N49" s="20" t="n">
        <v>0</v>
      </c>
      <c r="O49" s="18" t="n">
        <v>0</v>
      </c>
      <c r="P49" s="20" t="n">
        <v>0</v>
      </c>
      <c r="Q49" s="18" t="n">
        <v>0.48970216</v>
      </c>
      <c r="R49" s="20" t="n">
        <v>0.22787038</v>
      </c>
    </row>
    <row r="50" spans="1:18">
      <c r="A50" s="15" t="s">
        <v>609</v>
      </c>
      <c r="B50" s="17" t="n">
        <v>6866</v>
      </c>
      <c r="C50" s="18">
        <f>(6214.0/B50*100)</f>
        <v/>
      </c>
      <c r="D50" s="19" t="n">
        <v>652</v>
      </c>
      <c r="E50" s="18" t="n">
        <v>69.28316083999999</v>
      </c>
      <c r="F50" s="20" t="n">
        <v>2.01076673</v>
      </c>
      <c r="G50" s="18" t="n">
        <v>30.02025567</v>
      </c>
      <c r="H50" s="20" t="n">
        <v>1.98437408</v>
      </c>
      <c r="I50" s="18" t="n">
        <v>0</v>
      </c>
      <c r="J50" s="20" t="n">
        <v>0</v>
      </c>
      <c r="K50" s="18" t="n">
        <v>0</v>
      </c>
      <c r="L50" s="20" t="n">
        <v>0</v>
      </c>
      <c r="M50" s="18" t="n">
        <v>0</v>
      </c>
      <c r="N50" s="20" t="n">
        <v>0</v>
      </c>
      <c r="O50" s="18" t="n">
        <v>0</v>
      </c>
      <c r="P50" s="20" t="n">
        <v>0</v>
      </c>
      <c r="Q50" s="18" t="n">
        <v>0.69658349</v>
      </c>
      <c r="R50" s="20" t="n">
        <v>0.29202462</v>
      </c>
    </row>
    <row r="51" spans="1:18">
      <c r="A51" s="15" t="s">
        <v>610</v>
      </c>
      <c r="B51" s="17" t="n">
        <v>5809</v>
      </c>
      <c r="C51" s="18">
        <f>(5128.0/B51*100)</f>
        <v/>
      </c>
      <c r="D51" s="19" t="n">
        <v>681</v>
      </c>
      <c r="E51" s="18" t="n">
        <v>45.67999479</v>
      </c>
      <c r="F51" s="20" t="n">
        <v>1.91294191</v>
      </c>
      <c r="G51" s="18" t="n">
        <v>53.44126627</v>
      </c>
      <c r="H51" s="20" t="n">
        <v>1.93594494</v>
      </c>
      <c r="I51" s="18" t="n">
        <v>0</v>
      </c>
      <c r="J51" s="20" t="n">
        <v>0</v>
      </c>
      <c r="K51" s="18" t="n">
        <v>0.11063553</v>
      </c>
      <c r="L51" s="20" t="n">
        <v>0.11103925</v>
      </c>
      <c r="M51" s="18" t="n">
        <v>0</v>
      </c>
      <c r="N51" s="20" t="n">
        <v>0</v>
      </c>
      <c r="O51" s="18" t="n">
        <v>0</v>
      </c>
      <c r="P51" s="20" t="n">
        <v>0</v>
      </c>
      <c r="Q51" s="18" t="n">
        <v>0.76810341</v>
      </c>
      <c r="R51" s="20" t="n">
        <v>0.34331859</v>
      </c>
    </row>
    <row r="52" spans="1:18">
      <c r="A52" s="15" t="s">
        <v>611</v>
      </c>
      <c r="B52" s="17" t="n">
        <v>5571</v>
      </c>
      <c r="C52" s="18">
        <f>(4963.0/B52*100)</f>
        <v/>
      </c>
      <c r="D52" s="19" t="n">
        <v>608</v>
      </c>
      <c r="E52" s="18" t="n">
        <v>59.41167687</v>
      </c>
      <c r="F52" s="20" t="n">
        <v>2.1703689</v>
      </c>
      <c r="G52" s="18" t="n">
        <v>39.24405487</v>
      </c>
      <c r="H52" s="20" t="n">
        <v>2.12053772</v>
      </c>
      <c r="I52" s="18" t="n">
        <v>0</v>
      </c>
      <c r="J52" s="20" t="n">
        <v>0</v>
      </c>
      <c r="K52" s="18" t="n">
        <v>0.30279709</v>
      </c>
      <c r="L52" s="20" t="n">
        <v>0.29919226</v>
      </c>
      <c r="M52" s="18" t="n">
        <v>0</v>
      </c>
      <c r="N52" s="20" t="n">
        <v>0</v>
      </c>
      <c r="O52" s="18" t="n">
        <v>0</v>
      </c>
      <c r="P52" s="20" t="n">
        <v>0</v>
      </c>
      <c r="Q52" s="18" t="n">
        <v>1.04147118</v>
      </c>
      <c r="R52" s="20" t="n">
        <v>0.39948111</v>
      </c>
    </row>
    <row r="53" spans="1:18">
      <c r="A53" s="15" t="s">
        <v>612</v>
      </c>
      <c r="B53" s="17" t="n">
        <v>4740</v>
      </c>
      <c r="C53" s="18">
        <f>(4246.0/B53*100)</f>
        <v/>
      </c>
      <c r="D53" s="19" t="n">
        <v>494</v>
      </c>
      <c r="E53" s="18" t="n">
        <v>74.09986965</v>
      </c>
      <c r="F53" s="20" t="n">
        <v>2.26006754</v>
      </c>
      <c r="G53" s="18" t="n">
        <v>10.13633699</v>
      </c>
      <c r="H53" s="20" t="n">
        <v>1.31138629</v>
      </c>
      <c r="I53" s="18" t="n">
        <v>0</v>
      </c>
      <c r="J53" s="20" t="n">
        <v>0</v>
      </c>
      <c r="K53" s="18" t="n">
        <v>11.8198355</v>
      </c>
      <c r="L53" s="20" t="n">
        <v>1.5495177</v>
      </c>
      <c r="M53" s="18" t="n">
        <v>0</v>
      </c>
      <c r="N53" s="20" t="n">
        <v>0</v>
      </c>
      <c r="O53" s="18" t="n">
        <v>0</v>
      </c>
      <c r="P53" s="20" t="n">
        <v>0</v>
      </c>
      <c r="Q53" s="18" t="n">
        <v>3.94395786</v>
      </c>
      <c r="R53" s="20" t="n">
        <v>1.00847681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(4749.0/B55*100)</f>
        <v/>
      </c>
      <c r="D55" s="19" t="n">
        <v>610</v>
      </c>
      <c r="E55" s="18" t="n">
        <v>40.40126908</v>
      </c>
      <c r="F55" s="20" t="n">
        <v>2.28759043</v>
      </c>
      <c r="G55" s="18" t="n">
        <v>58.95896624</v>
      </c>
      <c r="H55" s="20" t="n">
        <v>2.30559566</v>
      </c>
      <c r="I55" s="18" t="n">
        <v>0</v>
      </c>
      <c r="J55" s="20" t="n">
        <v>0</v>
      </c>
      <c r="K55" s="18" t="n">
        <v>0.35502912</v>
      </c>
      <c r="L55" s="20" t="n">
        <v>0.23083939</v>
      </c>
      <c r="M55" s="18" t="n">
        <v>0</v>
      </c>
      <c r="N55" s="20" t="n">
        <v>0</v>
      </c>
      <c r="O55" s="18" t="n">
        <v>0</v>
      </c>
      <c r="P55" s="20" t="n">
        <v>0</v>
      </c>
      <c r="Q55" s="18" t="n">
        <v>0.28473556</v>
      </c>
      <c r="R55" s="20" t="n">
        <v>0.20536841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(5769.0/B61*100)</f>
        <v/>
      </c>
      <c r="D61" s="19" t="n">
        <v>756</v>
      </c>
      <c r="E61" s="18" t="n">
        <v>52.70983606</v>
      </c>
      <c r="F61" s="20" t="n">
        <v>2.05515111</v>
      </c>
      <c r="G61" s="18" t="n">
        <v>46.94863867</v>
      </c>
      <c r="H61" s="20" t="n">
        <v>2.08501983</v>
      </c>
      <c r="I61" s="18" t="n">
        <v>0</v>
      </c>
      <c r="J61" s="20" t="n">
        <v>0</v>
      </c>
      <c r="K61" s="18" t="n">
        <v>0</v>
      </c>
      <c r="L61" s="20" t="n">
        <v>0</v>
      </c>
      <c r="M61" s="18" t="n">
        <v>0</v>
      </c>
      <c r="N61" s="20" t="n">
        <v>0</v>
      </c>
      <c r="O61" s="18" t="n">
        <v>0</v>
      </c>
      <c r="P61" s="20" t="n">
        <v>0</v>
      </c>
      <c r="Q61" s="18" t="n">
        <v>0.34152527</v>
      </c>
      <c r="R61" s="20" t="n">
        <v>0.22473354</v>
      </c>
    </row>
    <row r="62" spans="1:18">
      <c r="A62" s="15" t="s">
        <v>622</v>
      </c>
      <c r="B62" s="17" t="n">
        <v>4476</v>
      </c>
      <c r="C62" s="18">
        <f>(3983.0/B62*100)</f>
        <v/>
      </c>
      <c r="D62" s="19" t="n">
        <v>493</v>
      </c>
      <c r="E62" s="18" t="n">
        <v>52.76229768</v>
      </c>
      <c r="F62" s="20" t="n">
        <v>1.63895208</v>
      </c>
      <c r="G62" s="18" t="n">
        <v>47.03129682</v>
      </c>
      <c r="H62" s="20" t="n">
        <v>1.60933716</v>
      </c>
      <c r="I62" s="18" t="n">
        <v>0</v>
      </c>
      <c r="J62" s="20" t="n">
        <v>0</v>
      </c>
      <c r="K62" s="18" t="n">
        <v>0</v>
      </c>
      <c r="L62" s="20" t="n">
        <v>0</v>
      </c>
      <c r="M62" s="18" t="n">
        <v>0</v>
      </c>
      <c r="N62" s="20" t="n">
        <v>0</v>
      </c>
      <c r="O62" s="18" t="n">
        <v>0</v>
      </c>
      <c r="P62" s="20" t="n">
        <v>0</v>
      </c>
      <c r="Q62" s="18" t="n">
        <v>0.2064055</v>
      </c>
      <c r="R62" s="20" t="n">
        <v>0.20687463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(5042.0/B67*100)</f>
        <v/>
      </c>
      <c r="D67" s="19" t="n">
        <v>623</v>
      </c>
      <c r="E67" s="18" t="n">
        <v>59.01014004</v>
      </c>
      <c r="F67" s="20" t="n">
        <v>1.93381081</v>
      </c>
      <c r="G67" s="18" t="n">
        <v>37.66439874</v>
      </c>
      <c r="H67" s="20" t="n">
        <v>1.92402621</v>
      </c>
      <c r="I67" s="18" t="n">
        <v>0</v>
      </c>
      <c r="J67" s="20" t="n">
        <v>0</v>
      </c>
      <c r="K67" s="18" t="n">
        <v>0.35831266</v>
      </c>
      <c r="L67" s="20" t="n">
        <v>0.35334431</v>
      </c>
      <c r="M67" s="18" t="n">
        <v>0</v>
      </c>
      <c r="N67" s="20" t="n">
        <v>0</v>
      </c>
      <c r="O67" s="18" t="n">
        <v>0</v>
      </c>
      <c r="P67" s="20" t="n">
        <v>0</v>
      </c>
      <c r="Q67" s="18" t="n">
        <v>2.96714856</v>
      </c>
      <c r="R67" s="20" t="n">
        <v>0.85701972</v>
      </c>
    </row>
    <row r="68" spans="1:18">
      <c r="A68" s="15" t="s">
        <v>628</v>
      </c>
      <c r="B68" s="17" t="n">
        <v>6971</v>
      </c>
      <c r="C68" s="18">
        <f>(6262.0/B68*100)</f>
        <v/>
      </c>
      <c r="D68" s="19" t="n">
        <v>709</v>
      </c>
      <c r="E68" s="18" t="n">
        <v>67.86214696</v>
      </c>
      <c r="F68" s="20" t="n">
        <v>1.85134862</v>
      </c>
      <c r="G68" s="18" t="n">
        <v>31.63644963</v>
      </c>
      <c r="H68" s="20" t="n">
        <v>1.81349759</v>
      </c>
      <c r="I68" s="18" t="n">
        <v>0</v>
      </c>
      <c r="J68" s="20" t="n">
        <v>0</v>
      </c>
      <c r="K68" s="18" t="n">
        <v>0.22670627</v>
      </c>
      <c r="L68" s="20" t="n">
        <v>0.23134028</v>
      </c>
      <c r="M68" s="18" t="n">
        <v>0</v>
      </c>
      <c r="N68" s="20" t="n">
        <v>0</v>
      </c>
      <c r="O68" s="18" t="n">
        <v>0</v>
      </c>
      <c r="P68" s="20" t="n">
        <v>0</v>
      </c>
      <c r="Q68" s="18" t="n">
        <v>0.27469714</v>
      </c>
      <c r="R68" s="20" t="n">
        <v>0.19689551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(10789.0/B70*100)</f>
        <v/>
      </c>
      <c r="D70" s="19" t="n">
        <v>1294</v>
      </c>
      <c r="E70" s="18" t="n">
        <v>61.86807932</v>
      </c>
      <c r="F70" s="20" t="n">
        <v>1.26570327</v>
      </c>
      <c r="G70" s="18" t="n">
        <v>35.26280653</v>
      </c>
      <c r="H70" s="20" t="n">
        <v>1.30735626</v>
      </c>
      <c r="I70" s="18" t="n">
        <v>0</v>
      </c>
      <c r="J70" s="20" t="n">
        <v>0</v>
      </c>
      <c r="K70" s="18" t="n">
        <v>1.90704086</v>
      </c>
      <c r="L70" s="20" t="n">
        <v>0.42234859</v>
      </c>
      <c r="M70" s="18" t="n">
        <v>0</v>
      </c>
      <c r="N70" s="20" t="n">
        <v>0</v>
      </c>
      <c r="O70" s="18" t="n">
        <v>0</v>
      </c>
      <c r="P70" s="20" t="n">
        <v>0</v>
      </c>
      <c r="Q70" s="18" t="n">
        <v>0.96207329</v>
      </c>
      <c r="R70" s="20" t="n">
        <v>0.27177869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(5344.0/B72*100)</f>
        <v/>
      </c>
      <c r="D72" s="19" t="n">
        <v>692</v>
      </c>
      <c r="E72" s="18" t="n">
        <v>46.87105441</v>
      </c>
      <c r="F72" s="20" t="n">
        <v>1.81818007</v>
      </c>
      <c r="G72" s="18" t="n">
        <v>52.31401559</v>
      </c>
      <c r="H72" s="20" t="n">
        <v>1.90552944</v>
      </c>
      <c r="I72" s="18" t="n">
        <v>0</v>
      </c>
      <c r="J72" s="20" t="n">
        <v>0</v>
      </c>
      <c r="K72" s="18" t="n">
        <v>0.18570956</v>
      </c>
      <c r="L72" s="20" t="n">
        <v>0.18590376</v>
      </c>
      <c r="M72" s="18" t="n">
        <v>0</v>
      </c>
      <c r="N72" s="20" t="n">
        <v>0</v>
      </c>
      <c r="O72" s="18" t="n">
        <v>0</v>
      </c>
      <c r="P72" s="20" t="n">
        <v>0</v>
      </c>
      <c r="Q72" s="18" t="n">
        <v>0.62922045</v>
      </c>
      <c r="R72" s="20" t="n">
        <v>0.28258509</v>
      </c>
    </row>
    <row r="73" spans="1:18">
      <c r="A73" s="15" t="s">
        <v>633</v>
      </c>
      <c r="B73" s="17" t="n">
        <v>6115</v>
      </c>
      <c r="C73" s="18">
        <f>(5456.0/B73*100)</f>
        <v/>
      </c>
      <c r="D73" s="19" t="n">
        <v>659</v>
      </c>
      <c r="E73" s="18" t="n">
        <v>36.59332259</v>
      </c>
      <c r="F73" s="20" t="n">
        <v>1.95331844</v>
      </c>
      <c r="G73" s="18" t="n">
        <v>62.78986698</v>
      </c>
      <c r="H73" s="20" t="n">
        <v>1.96130908</v>
      </c>
      <c r="I73" s="18" t="n">
        <v>0</v>
      </c>
      <c r="J73" s="20" t="n">
        <v>0</v>
      </c>
      <c r="K73" s="18" t="n">
        <v>0.3106443</v>
      </c>
      <c r="L73" s="20" t="n">
        <v>0.22191982</v>
      </c>
      <c r="M73" s="18" t="n">
        <v>0</v>
      </c>
      <c r="N73" s="20" t="n">
        <v>0</v>
      </c>
      <c r="O73" s="18" t="n">
        <v>0</v>
      </c>
      <c r="P73" s="20" t="n">
        <v>0</v>
      </c>
      <c r="Q73" s="18" t="n">
        <v>0.30616613</v>
      </c>
      <c r="R73" s="20" t="n">
        <v>0.21807521</v>
      </c>
    </row>
    <row r="74" spans="1:18">
      <c r="A74" s="15" t="s">
        <v>634</v>
      </c>
      <c r="B74" s="17" t="n">
        <v>7708</v>
      </c>
      <c r="C74" s="18">
        <f>(6876.0/B74*100)</f>
        <v/>
      </c>
      <c r="D74" s="19" t="n">
        <v>832</v>
      </c>
      <c r="E74" s="18" t="n">
        <v>58.16398315</v>
      </c>
      <c r="F74" s="20" t="n">
        <v>1.84666539</v>
      </c>
      <c r="G74" s="18" t="n">
        <v>41.83601685</v>
      </c>
      <c r="H74" s="20" t="n">
        <v>1.84666539</v>
      </c>
      <c r="I74" s="18" t="n">
        <v>0</v>
      </c>
      <c r="J74" s="20" t="n">
        <v>0</v>
      </c>
      <c r="K74" s="18" t="n">
        <v>0</v>
      </c>
      <c r="L74" s="20" t="n">
        <v>0</v>
      </c>
      <c r="M74" s="18" t="n">
        <v>0</v>
      </c>
      <c r="N74" s="20" t="n">
        <v>0</v>
      </c>
      <c r="O74" s="18" t="n">
        <v>0</v>
      </c>
      <c r="P74" s="20" t="n">
        <v>0</v>
      </c>
      <c r="Q74" s="18" t="n">
        <v>0</v>
      </c>
      <c r="R74" s="20" t="n">
        <v>0</v>
      </c>
    </row>
    <row r="75" spans="1:18">
      <c r="A75" s="15" t="s">
        <v>635</v>
      </c>
      <c r="B75" s="17" t="n">
        <v>8249</v>
      </c>
      <c r="C75" s="18">
        <f>(7340.0/B75*100)</f>
        <v/>
      </c>
      <c r="D75" s="19" t="n">
        <v>909</v>
      </c>
      <c r="E75" s="18" t="n">
        <v>64.0118269</v>
      </c>
      <c r="F75" s="20" t="n">
        <v>1.92587422</v>
      </c>
      <c r="G75" s="18" t="n">
        <v>35.57769285</v>
      </c>
      <c r="H75" s="20" t="n">
        <v>1.87448513</v>
      </c>
      <c r="I75" s="18" t="n">
        <v>0</v>
      </c>
      <c r="J75" s="20" t="n">
        <v>0</v>
      </c>
      <c r="K75" s="18" t="n">
        <v>0</v>
      </c>
      <c r="L75" s="20" t="n">
        <v>0</v>
      </c>
      <c r="M75" s="18" t="n">
        <v>0</v>
      </c>
      <c r="N75" s="20" t="n">
        <v>0</v>
      </c>
      <c r="O75" s="18" t="n">
        <v>0</v>
      </c>
      <c r="P75" s="20" t="n">
        <v>0</v>
      </c>
      <c r="Q75" s="18" t="n">
        <v>0.41048025</v>
      </c>
      <c r="R75" s="20" t="n">
        <v>0.23526585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(4829.0/B77*100)</f>
        <v/>
      </c>
      <c r="D77" s="19" t="n">
        <v>546</v>
      </c>
      <c r="E77" s="18" t="n">
        <v>63.48230236</v>
      </c>
      <c r="F77" s="20" t="n">
        <v>2.11903044</v>
      </c>
      <c r="G77" s="18" t="n">
        <v>31.67911259</v>
      </c>
      <c r="H77" s="20" t="n">
        <v>1.87611813</v>
      </c>
      <c r="I77" s="18" t="n">
        <v>0</v>
      </c>
      <c r="J77" s="20" t="n">
        <v>0</v>
      </c>
      <c r="K77" s="18" t="n">
        <v>2.93295954</v>
      </c>
      <c r="L77" s="20" t="n">
        <v>0.75440984</v>
      </c>
      <c r="M77" s="18" t="n">
        <v>0</v>
      </c>
      <c r="N77" s="20" t="n">
        <v>0</v>
      </c>
      <c r="O77" s="18" t="n">
        <v>0</v>
      </c>
      <c r="P77" s="20" t="n">
        <v>0</v>
      </c>
      <c r="Q77" s="18" t="n">
        <v>1.9056255</v>
      </c>
      <c r="R77" s="20" t="n">
        <v>0.6285876</v>
      </c>
    </row>
    <row r="78" spans="1:18">
      <c r="A78" s="15" t="s">
        <v>638</v>
      </c>
      <c r="B78" s="17" t="n">
        <v>14167</v>
      </c>
      <c r="C78" s="18">
        <f>(12625.0/B78*100)</f>
        <v/>
      </c>
      <c r="D78" s="19" t="n">
        <v>1542</v>
      </c>
      <c r="E78" s="18" t="n">
        <v>59.35522114</v>
      </c>
      <c r="F78" s="20" t="n">
        <v>1.5277595</v>
      </c>
      <c r="G78" s="18" t="n">
        <v>39.67102227</v>
      </c>
      <c r="H78" s="20" t="n">
        <v>1.55263061</v>
      </c>
      <c r="I78" s="18" t="n">
        <v>0</v>
      </c>
      <c r="J78" s="20" t="n">
        <v>0</v>
      </c>
      <c r="K78" s="18" t="n">
        <v>0.38251362</v>
      </c>
      <c r="L78" s="20" t="n">
        <v>0.15848189</v>
      </c>
      <c r="M78" s="18" t="n">
        <v>0</v>
      </c>
      <c r="N78" s="20" t="n">
        <v>0</v>
      </c>
      <c r="O78" s="18" t="n">
        <v>0</v>
      </c>
      <c r="P78" s="20" t="n">
        <v>0</v>
      </c>
      <c r="Q78" s="18" t="n">
        <v>0.59124297</v>
      </c>
      <c r="R78" s="20" t="n">
        <v>0.26297223</v>
      </c>
    </row>
    <row r="79" spans="1:18">
      <c r="A79" s="15" t="s">
        <v>639</v>
      </c>
      <c r="B79" s="17" t="n">
        <v>6062</v>
      </c>
      <c r="C79" s="18">
        <f>(5428.0/B79*100)</f>
        <v/>
      </c>
      <c r="D79" s="19" t="n">
        <v>634</v>
      </c>
      <c r="E79" s="18" t="n">
        <v>61.12062313</v>
      </c>
      <c r="F79" s="20" t="n">
        <v>2.00988628</v>
      </c>
      <c r="G79" s="18" t="n">
        <v>35.75477403</v>
      </c>
      <c r="H79" s="20" t="n">
        <v>1.99809107</v>
      </c>
      <c r="I79" s="18" t="n">
        <v>0</v>
      </c>
      <c r="J79" s="20" t="n">
        <v>0</v>
      </c>
      <c r="K79" s="18" t="n">
        <v>1.20904949</v>
      </c>
      <c r="L79" s="20" t="n">
        <v>0.51258507</v>
      </c>
      <c r="M79" s="18" t="n">
        <v>0</v>
      </c>
      <c r="N79" s="20" t="n">
        <v>0</v>
      </c>
      <c r="O79" s="18" t="n">
        <v>0</v>
      </c>
      <c r="P79" s="20" t="n">
        <v>0</v>
      </c>
      <c r="Q79" s="18" t="n">
        <v>1.91555335</v>
      </c>
      <c r="R79" s="20" t="n">
        <v>0.60310312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(28815.0/B82*100)</f>
        <v/>
      </c>
      <c r="D82" s="19" t="n">
        <v>3515</v>
      </c>
      <c r="E82" s="18" t="n">
        <v>42.06535465</v>
      </c>
      <c r="F82" s="20" t="n">
        <v>1.21640462</v>
      </c>
      <c r="G82" s="18" t="n">
        <v>56.50623779</v>
      </c>
      <c r="H82" s="20" t="n">
        <v>1.22164617</v>
      </c>
      <c r="I82" s="18" t="n">
        <v>0</v>
      </c>
      <c r="J82" s="20" t="n">
        <v>0</v>
      </c>
      <c r="K82" s="18" t="n">
        <v>0.20001784</v>
      </c>
      <c r="L82" s="20" t="n">
        <v>0.07452317999999999</v>
      </c>
      <c r="M82" s="18" t="n">
        <v>0</v>
      </c>
      <c r="N82" s="20" t="n">
        <v>0</v>
      </c>
      <c r="O82" s="18" t="n">
        <v>0</v>
      </c>
      <c r="P82" s="20" t="n">
        <v>0</v>
      </c>
      <c r="Q82" s="18" t="n">
        <v>1.22838972</v>
      </c>
      <c r="R82" s="20" t="n">
        <v>0.33048948</v>
      </c>
    </row>
    <row r="83" spans="1:18">
      <c r="A83" s="15" t="s">
        <v>643</v>
      </c>
      <c r="B83" s="17" t="n">
        <v>1652</v>
      </c>
      <c r="C83" s="18">
        <f>(1472.0/B83*100)</f>
        <v/>
      </c>
      <c r="D83" s="19" t="n">
        <v>180</v>
      </c>
      <c r="E83" s="18" t="n">
        <v>48.97240222</v>
      </c>
      <c r="F83" s="20" t="n">
        <v>3.8730685</v>
      </c>
      <c r="G83" s="18" t="n">
        <v>51.02759778</v>
      </c>
      <c r="H83" s="20" t="n">
        <v>3.8730685</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(1675.0/B84*100)</f>
        <v/>
      </c>
      <c r="D84" s="19" t="n">
        <v>212</v>
      </c>
      <c r="E84" s="18" t="n">
        <v>48.03189051</v>
      </c>
      <c r="F84" s="20" t="n">
        <v>3.97654069</v>
      </c>
      <c r="G84" s="18" t="n">
        <v>51.96810949</v>
      </c>
      <c r="H84" s="20" t="n">
        <v>3.97654069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(12969.0/B7*100)</f>
        <v/>
      </c>
      <c r="D7" s="19" t="n">
        <v>1561</v>
      </c>
      <c r="E7" s="18" t="n">
        <v>39.67212021</v>
      </c>
      <c r="F7" s="20" t="n">
        <v>1.57647294</v>
      </c>
      <c r="G7" s="18" t="n">
        <v>59.15249547</v>
      </c>
      <c r="H7" s="20" t="n">
        <v>1.61982683</v>
      </c>
      <c r="I7" s="18" t="n">
        <v>0</v>
      </c>
      <c r="J7" s="20" t="n">
        <v>0</v>
      </c>
      <c r="K7" s="18" t="n">
        <v>0.25849573</v>
      </c>
      <c r="L7" s="20" t="n">
        <v>0.15261178</v>
      </c>
      <c r="M7" s="18" t="n">
        <v>0</v>
      </c>
      <c r="N7" s="20" t="n">
        <v>0</v>
      </c>
      <c r="O7" s="18" t="n">
        <v>0</v>
      </c>
      <c r="P7" s="20" t="n">
        <v>0</v>
      </c>
      <c r="Q7" s="18" t="n">
        <v>0.9168886000000001</v>
      </c>
      <c r="R7" s="20" t="n">
        <v>0.23718377</v>
      </c>
    </row>
    <row r="8" spans="1:18">
      <c r="A8" s="15" t="s">
        <v>566</v>
      </c>
      <c r="B8" s="17" t="n">
        <v>7007</v>
      </c>
      <c r="C8" s="18">
        <f>(6233.0/B8*100)</f>
        <v/>
      </c>
      <c r="D8" s="19" t="n">
        <v>774</v>
      </c>
      <c r="E8" s="18" t="n">
        <v>27.86645932</v>
      </c>
      <c r="F8" s="20" t="n">
        <v>1.67077493</v>
      </c>
      <c r="G8" s="18" t="n">
        <v>70.29004801000001</v>
      </c>
      <c r="H8" s="20" t="n">
        <v>1.6877217</v>
      </c>
      <c r="I8" s="18" t="n">
        <v>0</v>
      </c>
      <c r="J8" s="20" t="n">
        <v>0</v>
      </c>
      <c r="K8" s="18" t="n">
        <v>0.15046797</v>
      </c>
      <c r="L8" s="20" t="n">
        <v>0.17175008</v>
      </c>
      <c r="M8" s="18" t="n">
        <v>0</v>
      </c>
      <c r="N8" s="20" t="n">
        <v>0</v>
      </c>
      <c r="O8" s="18" t="n">
        <v>0</v>
      </c>
      <c r="P8" s="20" t="n">
        <v>0</v>
      </c>
      <c r="Q8" s="18" t="n">
        <v>1.6930247</v>
      </c>
      <c r="R8" s="20" t="n">
        <v>0.47831355</v>
      </c>
    </row>
    <row r="9" spans="1:18">
      <c r="A9" s="15" t="s">
        <v>567</v>
      </c>
      <c r="B9" s="17" t="n">
        <v>9651</v>
      </c>
      <c r="C9" s="18">
        <f>(8621.0/B9*100)</f>
        <v/>
      </c>
      <c r="D9" s="19" t="n">
        <v>1030</v>
      </c>
      <c r="E9" s="18" t="n">
        <v>31.72825942</v>
      </c>
      <c r="F9" s="20" t="n">
        <v>1.6350778</v>
      </c>
      <c r="G9" s="18" t="n">
        <v>66.96590738</v>
      </c>
      <c r="H9" s="20" t="n">
        <v>1.66239861</v>
      </c>
      <c r="I9" s="18" t="n">
        <v>0</v>
      </c>
      <c r="J9" s="20" t="n">
        <v>0</v>
      </c>
      <c r="K9" s="18" t="n">
        <v>0.07941011000000001</v>
      </c>
      <c r="L9" s="20" t="n">
        <v>0.07616219</v>
      </c>
      <c r="M9" s="18" t="n">
        <v>0</v>
      </c>
      <c r="N9" s="20" t="n">
        <v>0</v>
      </c>
      <c r="O9" s="18" t="n">
        <v>0</v>
      </c>
      <c r="P9" s="20" t="n">
        <v>0</v>
      </c>
      <c r="Q9" s="18" t="n">
        <v>1.22642309</v>
      </c>
      <c r="R9" s="20" t="n">
        <v>0.36157462</v>
      </c>
    </row>
    <row r="10" spans="1:18">
      <c r="A10" s="15" t="s">
        <v>568</v>
      </c>
      <c r="B10" s="17" t="n">
        <v>20058</v>
      </c>
      <c r="C10" s="18">
        <f>(17766.0/B10*100)</f>
        <v/>
      </c>
      <c r="D10" s="19" t="n">
        <v>2292</v>
      </c>
      <c r="E10" s="18" t="n">
        <v>35.86949574</v>
      </c>
      <c r="F10" s="20" t="n">
        <v>1.32784898</v>
      </c>
      <c r="G10" s="18" t="n">
        <v>63.08736601</v>
      </c>
      <c r="H10" s="20" t="n">
        <v>1.38167144</v>
      </c>
      <c r="I10" s="18" t="n">
        <v>0</v>
      </c>
      <c r="J10" s="20" t="n">
        <v>0</v>
      </c>
      <c r="K10" s="18" t="n">
        <v>0.61330722</v>
      </c>
      <c r="L10" s="20" t="n">
        <v>0.29737354</v>
      </c>
      <c r="M10" s="18" t="n">
        <v>0</v>
      </c>
      <c r="N10" s="20" t="n">
        <v>0</v>
      </c>
      <c r="O10" s="18" t="n">
        <v>0</v>
      </c>
      <c r="P10" s="20" t="n">
        <v>0</v>
      </c>
      <c r="Q10" s="18" t="n">
        <v>0.42983103</v>
      </c>
      <c r="R10" s="20" t="n">
        <v>0.14702154</v>
      </c>
    </row>
    <row r="11" spans="1:18">
      <c r="A11" s="15" t="s">
        <v>569</v>
      </c>
      <c r="B11" s="17" t="n">
        <v>7053</v>
      </c>
      <c r="C11" s="18">
        <f>(6312.0/B11*100)</f>
        <v/>
      </c>
      <c r="D11" s="19" t="n">
        <v>741</v>
      </c>
      <c r="E11" s="18" t="n">
        <v>55.74243919</v>
      </c>
      <c r="F11" s="20" t="n">
        <v>2.37570695</v>
      </c>
      <c r="G11" s="18" t="n">
        <v>42.06068012</v>
      </c>
      <c r="H11" s="20" t="n">
        <v>2.34961567</v>
      </c>
      <c r="I11" s="18" t="n">
        <v>0</v>
      </c>
      <c r="J11" s="20" t="n">
        <v>0</v>
      </c>
      <c r="K11" s="18" t="n">
        <v>1.19247695</v>
      </c>
      <c r="L11" s="20" t="n">
        <v>0.42038213</v>
      </c>
      <c r="M11" s="18" t="n">
        <v>0</v>
      </c>
      <c r="N11" s="20" t="n">
        <v>0</v>
      </c>
      <c r="O11" s="18" t="n">
        <v>0</v>
      </c>
      <c r="P11" s="20" t="n">
        <v>0</v>
      </c>
      <c r="Q11" s="18" t="n">
        <v>1.00440375</v>
      </c>
      <c r="R11" s="20" t="n">
        <v>0.31455744</v>
      </c>
    </row>
    <row r="12" spans="1:18">
      <c r="A12" s="15" t="s">
        <v>570</v>
      </c>
      <c r="B12" s="17" t="n">
        <v>6894</v>
      </c>
      <c r="C12" s="18">
        <f>(6131.0/B12*100)</f>
        <v/>
      </c>
      <c r="D12" s="19" t="n">
        <v>763</v>
      </c>
      <c r="E12" s="18" t="n">
        <v>28.56706735</v>
      </c>
      <c r="F12" s="20" t="n">
        <v>1.91791269</v>
      </c>
      <c r="G12" s="18" t="n">
        <v>70.08625014</v>
      </c>
      <c r="H12" s="20" t="n">
        <v>1.8930032</v>
      </c>
      <c r="I12" s="18" t="n">
        <v>0</v>
      </c>
      <c r="J12" s="20" t="n">
        <v>0</v>
      </c>
      <c r="K12" s="18" t="n">
        <v>0.24678048</v>
      </c>
      <c r="L12" s="20" t="n">
        <v>0.17165373</v>
      </c>
      <c r="M12" s="18" t="n">
        <v>0</v>
      </c>
      <c r="N12" s="20" t="n">
        <v>0</v>
      </c>
      <c r="O12" s="18" t="n">
        <v>0</v>
      </c>
      <c r="P12" s="20" t="n">
        <v>0</v>
      </c>
      <c r="Q12" s="18" t="n">
        <v>1.09990203</v>
      </c>
      <c r="R12" s="20" t="n">
        <v>0.54213209</v>
      </c>
    </row>
    <row r="13" spans="1:18">
      <c r="A13" s="15" t="s">
        <v>571</v>
      </c>
      <c r="B13" s="17" t="n">
        <v>7161</v>
      </c>
      <c r="C13" s="18">
        <f>(6378.0/B13*100)</f>
        <v/>
      </c>
      <c r="D13" s="19" t="n">
        <v>783</v>
      </c>
      <c r="E13" s="18" t="n">
        <v>23.1509197</v>
      </c>
      <c r="F13" s="20" t="n">
        <v>1.81410601</v>
      </c>
      <c r="G13" s="18" t="n">
        <v>75.24218892</v>
      </c>
      <c r="H13" s="20" t="n">
        <v>1.86991573</v>
      </c>
      <c r="I13" s="18" t="n">
        <v>0</v>
      </c>
      <c r="J13" s="20" t="n">
        <v>0</v>
      </c>
      <c r="K13" s="18" t="n">
        <v>0.41952921</v>
      </c>
      <c r="L13" s="20" t="n">
        <v>0.29314806</v>
      </c>
      <c r="M13" s="18" t="n">
        <v>0</v>
      </c>
      <c r="N13" s="20" t="n">
        <v>0</v>
      </c>
      <c r="O13" s="18" t="n">
        <v>0</v>
      </c>
      <c r="P13" s="20" t="n">
        <v>0</v>
      </c>
      <c r="Q13" s="18" t="n">
        <v>1.18736218</v>
      </c>
      <c r="R13" s="20" t="n">
        <v>0.5198152</v>
      </c>
    </row>
    <row r="14" spans="1:18">
      <c r="A14" s="15" t="s">
        <v>572</v>
      </c>
      <c r="B14" s="17" t="n">
        <v>5587</v>
      </c>
      <c r="C14" s="18">
        <f>(4960.0/B14*100)</f>
        <v/>
      </c>
      <c r="D14" s="19" t="n">
        <v>627</v>
      </c>
      <c r="E14" s="18" t="n">
        <v>26.8442136</v>
      </c>
      <c r="F14" s="20" t="n">
        <v>1.91250192</v>
      </c>
      <c r="G14" s="18" t="n">
        <v>72.51018335000001</v>
      </c>
      <c r="H14" s="20" t="n">
        <v>1.98745997</v>
      </c>
      <c r="I14" s="18" t="n">
        <v>0</v>
      </c>
      <c r="J14" s="20" t="n">
        <v>0</v>
      </c>
      <c r="K14" s="18" t="n">
        <v>0</v>
      </c>
      <c r="L14" s="20" t="n">
        <v>0</v>
      </c>
      <c r="M14" s="18" t="n">
        <v>0</v>
      </c>
      <c r="N14" s="20" t="n">
        <v>0</v>
      </c>
      <c r="O14" s="18" t="n">
        <v>0</v>
      </c>
      <c r="P14" s="20" t="n">
        <v>0</v>
      </c>
      <c r="Q14" s="18" t="n">
        <v>0.64560305</v>
      </c>
      <c r="R14" s="20" t="n">
        <v>0.40760816</v>
      </c>
    </row>
    <row r="15" spans="1:18">
      <c r="A15" s="15" t="s">
        <v>573</v>
      </c>
      <c r="B15" s="17" t="n">
        <v>5882</v>
      </c>
      <c r="C15" s="18">
        <f>(5280.0/B15*100)</f>
        <v/>
      </c>
      <c r="D15" s="19" t="n">
        <v>602</v>
      </c>
      <c r="E15" s="18" t="n">
        <v>25.5103303</v>
      </c>
      <c r="F15" s="20" t="n">
        <v>1.59169976</v>
      </c>
      <c r="G15" s="18" t="n">
        <v>74.32432446</v>
      </c>
      <c r="H15" s="20" t="n">
        <v>1.60529615</v>
      </c>
      <c r="I15" s="18" t="n">
        <v>0</v>
      </c>
      <c r="J15" s="20" t="n">
        <v>0</v>
      </c>
      <c r="K15" s="18" t="n">
        <v>0</v>
      </c>
      <c r="L15" s="20" t="n">
        <v>0</v>
      </c>
      <c r="M15" s="18" t="n">
        <v>0</v>
      </c>
      <c r="N15" s="20" t="n">
        <v>0</v>
      </c>
      <c r="O15" s="18" t="n">
        <v>0</v>
      </c>
      <c r="P15" s="20" t="n">
        <v>0</v>
      </c>
      <c r="Q15" s="18" t="n">
        <v>0.16534524</v>
      </c>
      <c r="R15" s="20" t="n">
        <v>0.15848071</v>
      </c>
    </row>
    <row r="16" spans="1:18">
      <c r="A16" s="15" t="s">
        <v>574</v>
      </c>
      <c r="B16" s="17" t="n">
        <v>6108</v>
      </c>
      <c r="C16" s="18">
        <f>(5446.0/B16*100)</f>
        <v/>
      </c>
      <c r="D16" s="19" t="n">
        <v>662</v>
      </c>
      <c r="E16" s="18" t="n">
        <v>32.49475071</v>
      </c>
      <c r="F16" s="20" t="n">
        <v>1.91112498</v>
      </c>
      <c r="G16" s="18" t="n">
        <v>64.76769173</v>
      </c>
      <c r="H16" s="20" t="n">
        <v>1.91094493</v>
      </c>
      <c r="I16" s="18" t="n">
        <v>0</v>
      </c>
      <c r="J16" s="20" t="n">
        <v>0</v>
      </c>
      <c r="K16" s="18" t="n">
        <v>1.05243351</v>
      </c>
      <c r="L16" s="20" t="n">
        <v>0.55488634</v>
      </c>
      <c r="M16" s="18" t="n">
        <v>0</v>
      </c>
      <c r="N16" s="20" t="n">
        <v>0</v>
      </c>
      <c r="O16" s="18" t="n">
        <v>0</v>
      </c>
      <c r="P16" s="20" t="n">
        <v>0</v>
      </c>
      <c r="Q16" s="18" t="n">
        <v>1.68512405</v>
      </c>
      <c r="R16" s="20" t="n">
        <v>0.75898504</v>
      </c>
    </row>
    <row r="17" spans="1:18">
      <c r="A17" s="15" t="s">
        <v>575</v>
      </c>
      <c r="B17" s="17" t="n">
        <v>6504</v>
      </c>
      <c r="C17" s="18">
        <f>(5819.0/B17*100)</f>
        <v/>
      </c>
      <c r="D17" s="19" t="n">
        <v>685</v>
      </c>
      <c r="E17" s="18" t="n">
        <v>24.71600823</v>
      </c>
      <c r="F17" s="20" t="n">
        <v>1.87344947</v>
      </c>
      <c r="G17" s="18" t="n">
        <v>74.56678322</v>
      </c>
      <c r="H17" s="20" t="n">
        <v>1.86010117</v>
      </c>
      <c r="I17" s="18" t="n">
        <v>0</v>
      </c>
      <c r="J17" s="20" t="n">
        <v>0</v>
      </c>
      <c r="K17" s="18" t="n">
        <v>0.33120223</v>
      </c>
      <c r="L17" s="20" t="n">
        <v>0.17522186</v>
      </c>
      <c r="M17" s="18" t="n">
        <v>0</v>
      </c>
      <c r="N17" s="20" t="n">
        <v>0</v>
      </c>
      <c r="O17" s="18" t="n">
        <v>0</v>
      </c>
      <c r="P17" s="20" t="n">
        <v>0</v>
      </c>
      <c r="Q17" s="18" t="n">
        <v>0.38600632</v>
      </c>
      <c r="R17" s="20" t="n">
        <v>0.22514462</v>
      </c>
    </row>
    <row r="18" spans="1:18">
      <c r="A18" s="15" t="s">
        <v>576</v>
      </c>
      <c r="B18" s="17" t="n">
        <v>5532</v>
      </c>
      <c r="C18" s="18">
        <f>(4915.0/B18*100)</f>
        <v/>
      </c>
      <c r="D18" s="19" t="n">
        <v>617</v>
      </c>
      <c r="E18" s="18" t="n">
        <v>36.2801458</v>
      </c>
      <c r="F18" s="20" t="n">
        <v>1.90771884</v>
      </c>
      <c r="G18" s="18" t="n">
        <v>62.7942616</v>
      </c>
      <c r="H18" s="20" t="n">
        <v>1.8548051</v>
      </c>
      <c r="I18" s="18" t="n">
        <v>0</v>
      </c>
      <c r="J18" s="20" t="n">
        <v>0</v>
      </c>
      <c r="K18" s="18" t="n">
        <v>0.29108929</v>
      </c>
      <c r="L18" s="20" t="n">
        <v>0.20357424</v>
      </c>
      <c r="M18" s="18" t="n">
        <v>0</v>
      </c>
      <c r="N18" s="20" t="n">
        <v>0</v>
      </c>
      <c r="O18" s="18" t="n">
        <v>0</v>
      </c>
      <c r="P18" s="20" t="n">
        <v>0</v>
      </c>
      <c r="Q18" s="18" t="n">
        <v>0.63450331</v>
      </c>
      <c r="R18" s="20" t="n">
        <v>0.32468475</v>
      </c>
    </row>
    <row r="19" spans="1:18">
      <c r="A19" s="15" t="s">
        <v>577</v>
      </c>
      <c r="B19" s="17" t="n">
        <v>5658</v>
      </c>
      <c r="C19" s="18">
        <f>(5049.0/B19*100)</f>
        <v/>
      </c>
      <c r="D19" s="19" t="n">
        <v>609</v>
      </c>
      <c r="E19" s="18" t="n">
        <v>39.47635158</v>
      </c>
      <c r="F19" s="20" t="n">
        <v>2.26036983</v>
      </c>
      <c r="G19" s="18" t="n">
        <v>60.03138059</v>
      </c>
      <c r="H19" s="20" t="n">
        <v>2.31407673</v>
      </c>
      <c r="I19" s="18" t="n">
        <v>0</v>
      </c>
      <c r="J19" s="20" t="n">
        <v>0</v>
      </c>
      <c r="K19" s="18" t="n">
        <v>0</v>
      </c>
      <c r="L19" s="20" t="n">
        <v>0</v>
      </c>
      <c r="M19" s="18" t="n">
        <v>0</v>
      </c>
      <c r="N19" s="20" t="n">
        <v>0</v>
      </c>
      <c r="O19" s="18" t="n">
        <v>0</v>
      </c>
      <c r="P19" s="20" t="n">
        <v>0</v>
      </c>
      <c r="Q19" s="18" t="n">
        <v>0.49226783</v>
      </c>
      <c r="R19" s="20" t="n">
        <v>0.30230121</v>
      </c>
    </row>
    <row r="20" spans="1:18">
      <c r="A20" s="15" t="s">
        <v>578</v>
      </c>
      <c r="B20" s="17" t="n">
        <v>3371</v>
      </c>
      <c r="C20" s="18">
        <f>(2976.0/B20*100)</f>
        <v/>
      </c>
      <c r="D20" s="19" t="n">
        <v>395</v>
      </c>
      <c r="E20" s="18" t="n">
        <v>37.07078431</v>
      </c>
      <c r="F20" s="20" t="n">
        <v>2.67849848</v>
      </c>
      <c r="G20" s="18" t="n">
        <v>60.37945755</v>
      </c>
      <c r="H20" s="20" t="n">
        <v>2.68605864</v>
      </c>
      <c r="I20" s="18" t="n">
        <v>0</v>
      </c>
      <c r="J20" s="20" t="n">
        <v>0</v>
      </c>
      <c r="K20" s="18" t="n">
        <v>0.24983196</v>
      </c>
      <c r="L20" s="20" t="n">
        <v>0.25083511</v>
      </c>
      <c r="M20" s="18" t="n">
        <v>0</v>
      </c>
      <c r="N20" s="20" t="n">
        <v>0</v>
      </c>
      <c r="O20" s="18" t="n">
        <v>0</v>
      </c>
      <c r="P20" s="20" t="n">
        <v>0</v>
      </c>
      <c r="Q20" s="18" t="n">
        <v>2.29992618</v>
      </c>
      <c r="R20" s="20" t="n">
        <v>0.79395126</v>
      </c>
    </row>
    <row r="21" spans="1:18">
      <c r="A21" s="15" t="s">
        <v>579</v>
      </c>
      <c r="B21" s="17" t="n">
        <v>5741</v>
      </c>
      <c r="C21" s="18">
        <f>(5119.0/B21*100)</f>
        <v/>
      </c>
      <c r="D21" s="19" t="n">
        <v>622</v>
      </c>
      <c r="E21" s="18" t="n">
        <v>40.71741723</v>
      </c>
      <c r="F21" s="20" t="n">
        <v>1.86667995</v>
      </c>
      <c r="G21" s="18" t="n">
        <v>58.54227655</v>
      </c>
      <c r="H21" s="20" t="n">
        <v>1.92873895</v>
      </c>
      <c r="I21" s="18" t="n">
        <v>0</v>
      </c>
      <c r="J21" s="20" t="n">
        <v>0</v>
      </c>
      <c r="K21" s="18" t="n">
        <v>0.13497007</v>
      </c>
      <c r="L21" s="20" t="n">
        <v>0.13368333</v>
      </c>
      <c r="M21" s="18" t="n">
        <v>0</v>
      </c>
      <c r="N21" s="20" t="n">
        <v>0</v>
      </c>
      <c r="O21" s="18" t="n">
        <v>0</v>
      </c>
      <c r="P21" s="20" t="n">
        <v>0</v>
      </c>
      <c r="Q21" s="18" t="n">
        <v>0.60533615</v>
      </c>
      <c r="R21" s="20" t="n">
        <v>0.32842663</v>
      </c>
    </row>
    <row r="22" spans="1:18">
      <c r="A22" s="15" t="s">
        <v>580</v>
      </c>
      <c r="B22" s="17" t="n">
        <v>6598</v>
      </c>
      <c r="C22" s="18">
        <f>(5851.0/B22*100)</f>
        <v/>
      </c>
      <c r="D22" s="19" t="n">
        <v>747</v>
      </c>
      <c r="E22" s="18" t="n">
        <v>40.94946453</v>
      </c>
      <c r="F22" s="20" t="n">
        <v>1.91547678</v>
      </c>
      <c r="G22" s="18" t="n">
        <v>56.5720247</v>
      </c>
      <c r="H22" s="20" t="n">
        <v>1.92693324</v>
      </c>
      <c r="I22" s="18" t="n">
        <v>0</v>
      </c>
      <c r="J22" s="20" t="n">
        <v>0</v>
      </c>
      <c r="K22" s="18" t="n">
        <v>0.50107624</v>
      </c>
      <c r="L22" s="20" t="n">
        <v>0.25690248</v>
      </c>
      <c r="M22" s="18" t="n">
        <v>0</v>
      </c>
      <c r="N22" s="20" t="n">
        <v>0</v>
      </c>
      <c r="O22" s="18" t="n">
        <v>0</v>
      </c>
      <c r="P22" s="20" t="n">
        <v>0</v>
      </c>
      <c r="Q22" s="18" t="n">
        <v>1.97743453</v>
      </c>
      <c r="R22" s="20" t="n">
        <v>0.60124324</v>
      </c>
    </row>
    <row r="23" spans="1:18">
      <c r="A23" s="15" t="s">
        <v>581</v>
      </c>
      <c r="B23" s="17" t="n">
        <v>11583</v>
      </c>
      <c r="C23" s="18">
        <f>(10342.0/B23*100)</f>
        <v/>
      </c>
      <c r="D23" s="19" t="n">
        <v>1241</v>
      </c>
      <c r="E23" s="18" t="n">
        <v>33.90348071</v>
      </c>
      <c r="F23" s="20" t="n">
        <v>2.00637183</v>
      </c>
      <c r="G23" s="18" t="n">
        <v>64.74534788</v>
      </c>
      <c r="H23" s="20" t="n">
        <v>2.0999576</v>
      </c>
      <c r="I23" s="18" t="n">
        <v>0</v>
      </c>
      <c r="J23" s="20" t="n">
        <v>0</v>
      </c>
      <c r="K23" s="18" t="n">
        <v>0.22230096</v>
      </c>
      <c r="L23" s="20" t="n">
        <v>0.1518962</v>
      </c>
      <c r="M23" s="18" t="n">
        <v>0</v>
      </c>
      <c r="N23" s="20" t="n">
        <v>0</v>
      </c>
      <c r="O23" s="18" t="n">
        <v>0</v>
      </c>
      <c r="P23" s="20" t="n">
        <v>0</v>
      </c>
      <c r="Q23" s="18" t="n">
        <v>1.12887045</v>
      </c>
      <c r="R23" s="20" t="n">
        <v>0.50234908</v>
      </c>
    </row>
    <row r="24" spans="1:18">
      <c r="A24" s="15" t="s">
        <v>582</v>
      </c>
      <c r="B24" s="17" t="n">
        <v>6647</v>
      </c>
      <c r="C24" s="18">
        <f>(5924.0/B24*100)</f>
        <v/>
      </c>
      <c r="D24" s="19" t="n">
        <v>723</v>
      </c>
      <c r="E24" s="18" t="n">
        <v>38.72864695</v>
      </c>
      <c r="F24" s="20" t="n">
        <v>1.99765343</v>
      </c>
      <c r="G24" s="18" t="n">
        <v>61.13802866</v>
      </c>
      <c r="H24" s="20" t="n">
        <v>2.00721128</v>
      </c>
      <c r="I24" s="18" t="n">
        <v>0</v>
      </c>
      <c r="J24" s="20" t="n">
        <v>0</v>
      </c>
      <c r="K24" s="18" t="n">
        <v>0</v>
      </c>
      <c r="L24" s="20" t="n">
        <v>0</v>
      </c>
      <c r="M24" s="18" t="n">
        <v>0</v>
      </c>
      <c r="N24" s="20" t="n">
        <v>0</v>
      </c>
      <c r="O24" s="18" t="n">
        <v>0</v>
      </c>
      <c r="P24" s="20" t="n">
        <v>0</v>
      </c>
      <c r="Q24" s="18" t="n">
        <v>0.13332439</v>
      </c>
      <c r="R24" s="20" t="n">
        <v>0.13367055</v>
      </c>
    </row>
    <row r="25" spans="1:18">
      <c r="A25" s="15" t="s">
        <v>583</v>
      </c>
      <c r="B25" s="17" t="n">
        <v>5581</v>
      </c>
      <c r="C25" s="18">
        <f>(4963.0/B25*100)</f>
        <v/>
      </c>
      <c r="D25" s="19" t="n">
        <v>618</v>
      </c>
      <c r="E25" s="18" t="n">
        <v>32.29752048</v>
      </c>
      <c r="F25" s="20" t="n">
        <v>1.77488828</v>
      </c>
      <c r="G25" s="18" t="n">
        <v>67.24627416</v>
      </c>
      <c r="H25" s="20" t="n">
        <v>1.76822506</v>
      </c>
      <c r="I25" s="18" t="n">
        <v>0</v>
      </c>
      <c r="J25" s="20" t="n">
        <v>0</v>
      </c>
      <c r="K25" s="18" t="n">
        <v>0.45620535</v>
      </c>
      <c r="L25" s="20" t="n">
        <v>0.26785385</v>
      </c>
      <c r="M25" s="18" t="n">
        <v>0</v>
      </c>
      <c r="N25" s="20" t="n">
        <v>0</v>
      </c>
      <c r="O25" s="18" t="n">
        <v>0</v>
      </c>
      <c r="P25" s="20" t="n">
        <v>0</v>
      </c>
      <c r="Q25" s="18" t="n">
        <v>0</v>
      </c>
      <c r="R25" s="20" t="n">
        <v>0</v>
      </c>
    </row>
    <row r="26" spans="1:18">
      <c r="A26" s="15" t="s">
        <v>584</v>
      </c>
      <c r="B26" s="17" t="n">
        <v>4869</v>
      </c>
      <c r="C26" s="18">
        <f>(4330.0/B26*100)</f>
        <v/>
      </c>
      <c r="D26" s="19" t="n">
        <v>539</v>
      </c>
      <c r="E26" s="18" t="n">
        <v>44.00848026</v>
      </c>
      <c r="F26" s="20" t="n">
        <v>2.51093708</v>
      </c>
      <c r="G26" s="18" t="n">
        <v>55.67078476</v>
      </c>
      <c r="H26" s="20" t="n">
        <v>2.51178733</v>
      </c>
      <c r="I26" s="18" t="n">
        <v>0</v>
      </c>
      <c r="J26" s="20" t="n">
        <v>0</v>
      </c>
      <c r="K26" s="18" t="n">
        <v>0</v>
      </c>
      <c r="L26" s="20" t="n">
        <v>0</v>
      </c>
      <c r="M26" s="18" t="n">
        <v>0</v>
      </c>
      <c r="N26" s="20" t="n">
        <v>0</v>
      </c>
      <c r="O26" s="18" t="n">
        <v>0</v>
      </c>
      <c r="P26" s="20" t="n">
        <v>0</v>
      </c>
      <c r="Q26" s="18" t="n">
        <v>0.32073498</v>
      </c>
      <c r="R26" s="20" t="n">
        <v>0.22474375</v>
      </c>
    </row>
    <row r="27" spans="1:18">
      <c r="A27" s="15" t="s">
        <v>585</v>
      </c>
      <c r="B27" s="17" t="n">
        <v>5299</v>
      </c>
      <c r="C27" s="18">
        <f>(4716.0/B27*100)</f>
        <v/>
      </c>
      <c r="D27" s="19" t="n">
        <v>583</v>
      </c>
      <c r="E27" s="18" t="n">
        <v>31.74332425</v>
      </c>
      <c r="F27" s="20" t="n">
        <v>1.92937607</v>
      </c>
      <c r="G27" s="18" t="n">
        <v>66.04332377999999</v>
      </c>
      <c r="H27" s="20" t="n">
        <v>1.89681769</v>
      </c>
      <c r="I27" s="18" t="n">
        <v>0</v>
      </c>
      <c r="J27" s="20" t="n">
        <v>0</v>
      </c>
      <c r="K27" s="18" t="n">
        <v>0.34687071</v>
      </c>
      <c r="L27" s="20" t="n">
        <v>0.24563288</v>
      </c>
      <c r="M27" s="18" t="n">
        <v>0</v>
      </c>
      <c r="N27" s="20" t="n">
        <v>0</v>
      </c>
      <c r="O27" s="18" t="n">
        <v>0</v>
      </c>
      <c r="P27" s="20" t="n">
        <v>0</v>
      </c>
      <c r="Q27" s="18" t="n">
        <v>1.86648125</v>
      </c>
      <c r="R27" s="20" t="n">
        <v>0.53967434</v>
      </c>
    </row>
    <row r="28" spans="1:18">
      <c r="A28" s="15" t="s">
        <v>586</v>
      </c>
      <c r="B28" s="17" t="n">
        <v>7568</v>
      </c>
      <c r="C28" s="18">
        <f>(6798.0/B28*100)</f>
        <v/>
      </c>
      <c r="D28" s="19" t="n">
        <v>770</v>
      </c>
      <c r="E28" s="18" t="n">
        <v>50.71222555</v>
      </c>
      <c r="F28" s="20" t="n">
        <v>1.9959947</v>
      </c>
      <c r="G28" s="18" t="n">
        <v>47.65172357</v>
      </c>
      <c r="H28" s="20" t="n">
        <v>2.0440864</v>
      </c>
      <c r="I28" s="18" t="n">
        <v>0</v>
      </c>
      <c r="J28" s="20" t="n">
        <v>0</v>
      </c>
      <c r="K28" s="18" t="n">
        <v>0.7577106</v>
      </c>
      <c r="L28" s="20" t="n">
        <v>0.30049125</v>
      </c>
      <c r="M28" s="18" t="n">
        <v>0</v>
      </c>
      <c r="N28" s="20" t="n">
        <v>0</v>
      </c>
      <c r="O28" s="18" t="n">
        <v>0</v>
      </c>
      <c r="P28" s="20" t="n">
        <v>0</v>
      </c>
      <c r="Q28" s="18" t="n">
        <v>0.87834028</v>
      </c>
      <c r="R28" s="20" t="n">
        <v>0.43772242</v>
      </c>
    </row>
    <row r="29" spans="1:18">
      <c r="A29" s="15" t="s">
        <v>587</v>
      </c>
      <c r="B29" s="17" t="n">
        <v>5385</v>
      </c>
      <c r="C29" s="18">
        <f>(4802.0/B29*100)</f>
        <v/>
      </c>
      <c r="D29" s="19" t="n">
        <v>583</v>
      </c>
      <c r="E29" s="18" t="n">
        <v>25.97884026</v>
      </c>
      <c r="F29" s="20" t="n">
        <v>2.10775392</v>
      </c>
      <c r="G29" s="18" t="n">
        <v>73.03315086000001</v>
      </c>
      <c r="H29" s="20" t="n">
        <v>2.05642145</v>
      </c>
      <c r="I29" s="18" t="n">
        <v>0</v>
      </c>
      <c r="J29" s="20" t="n">
        <v>0</v>
      </c>
      <c r="K29" s="18" t="n">
        <v>0.21086583</v>
      </c>
      <c r="L29" s="20" t="n">
        <v>0.19765015</v>
      </c>
      <c r="M29" s="18" t="n">
        <v>0</v>
      </c>
      <c r="N29" s="20" t="n">
        <v>0</v>
      </c>
      <c r="O29" s="18" t="n">
        <v>0</v>
      </c>
      <c r="P29" s="20" t="n">
        <v>0</v>
      </c>
      <c r="Q29" s="18" t="n">
        <v>0.7771430499999999</v>
      </c>
      <c r="R29" s="20" t="n">
        <v>0.34385555</v>
      </c>
    </row>
    <row r="30" spans="1:18">
      <c r="A30" s="15" t="s">
        <v>588</v>
      </c>
      <c r="B30" s="17" t="n">
        <v>4520</v>
      </c>
      <c r="C30" s="18">
        <f>(4037.0/B30*100)</f>
        <v/>
      </c>
      <c r="D30" s="19" t="n">
        <v>483</v>
      </c>
      <c r="E30" s="18" t="n">
        <v>38.30096211</v>
      </c>
      <c r="F30" s="20" t="n">
        <v>2.42892291</v>
      </c>
      <c r="G30" s="18" t="n">
        <v>58.96232336</v>
      </c>
      <c r="H30" s="20" t="n">
        <v>2.64814816</v>
      </c>
      <c r="I30" s="18" t="n">
        <v>0</v>
      </c>
      <c r="J30" s="20" t="n">
        <v>0</v>
      </c>
      <c r="K30" s="18" t="n">
        <v>0</v>
      </c>
      <c r="L30" s="20" t="n">
        <v>0</v>
      </c>
      <c r="M30" s="18" t="n">
        <v>0</v>
      </c>
      <c r="N30" s="20" t="n">
        <v>0</v>
      </c>
      <c r="O30" s="18" t="n">
        <v>0</v>
      </c>
      <c r="P30" s="20" t="n">
        <v>0</v>
      </c>
      <c r="Q30" s="18" t="n">
        <v>2.73671453</v>
      </c>
      <c r="R30" s="20" t="n">
        <v>0.8482311300000001</v>
      </c>
    </row>
    <row r="31" spans="1:18">
      <c r="A31" s="15" t="s">
        <v>589</v>
      </c>
      <c r="B31" s="17" t="n">
        <v>5456</v>
      </c>
      <c r="C31" s="18">
        <f>(4852.0/B31*100)</f>
        <v/>
      </c>
      <c r="D31" s="19" t="n">
        <v>604</v>
      </c>
      <c r="E31" s="18" t="n">
        <v>33.11148773</v>
      </c>
      <c r="F31" s="20" t="n">
        <v>1.92774999</v>
      </c>
      <c r="G31" s="18" t="n">
        <v>64.28824093</v>
      </c>
      <c r="H31" s="20" t="n">
        <v>1.91654067</v>
      </c>
      <c r="I31" s="18" t="n">
        <v>0</v>
      </c>
      <c r="J31" s="20" t="n">
        <v>0</v>
      </c>
      <c r="K31" s="18" t="n">
        <v>0.30745626</v>
      </c>
      <c r="L31" s="20" t="n">
        <v>0.20856386</v>
      </c>
      <c r="M31" s="18" t="n">
        <v>0</v>
      </c>
      <c r="N31" s="20" t="n">
        <v>0</v>
      </c>
      <c r="O31" s="18" t="n">
        <v>0</v>
      </c>
      <c r="P31" s="20" t="n">
        <v>0</v>
      </c>
      <c r="Q31" s="18" t="n">
        <v>2.29281507</v>
      </c>
      <c r="R31" s="20" t="n">
        <v>0.6101056</v>
      </c>
    </row>
    <row r="32" spans="1:18">
      <c r="A32" s="15" t="s">
        <v>590</v>
      </c>
      <c r="B32" s="17" t="n">
        <v>4478</v>
      </c>
      <c r="C32" s="18">
        <f>(3970.0/B32*100)</f>
        <v/>
      </c>
      <c r="D32" s="19" t="n">
        <v>508</v>
      </c>
      <c r="E32" s="18" t="n">
        <v>29.93469049</v>
      </c>
      <c r="F32" s="20" t="n">
        <v>2.1076616</v>
      </c>
      <c r="G32" s="18" t="n">
        <v>70.06530951000001</v>
      </c>
      <c r="H32" s="20" t="n">
        <v>2.1076616</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(6520.0/B33*100)</f>
        <v/>
      </c>
      <c r="D33" s="19" t="n">
        <v>805</v>
      </c>
      <c r="E33" s="18" t="n">
        <v>28.56536954</v>
      </c>
      <c r="F33" s="20" t="n">
        <v>1.71223642</v>
      </c>
      <c r="G33" s="18" t="n">
        <v>70.23629093</v>
      </c>
      <c r="H33" s="20" t="n">
        <v>1.72211071</v>
      </c>
      <c r="I33" s="18" t="n">
        <v>0</v>
      </c>
      <c r="J33" s="20" t="n">
        <v>0</v>
      </c>
      <c r="K33" s="18" t="n">
        <v>0.35424205</v>
      </c>
      <c r="L33" s="20" t="n">
        <v>0.23581674</v>
      </c>
      <c r="M33" s="18" t="n">
        <v>0</v>
      </c>
      <c r="N33" s="20" t="n">
        <v>0</v>
      </c>
      <c r="O33" s="18" t="n">
        <v>0</v>
      </c>
      <c r="P33" s="20" t="n">
        <v>0</v>
      </c>
      <c r="Q33" s="18" t="n">
        <v>0.84409748</v>
      </c>
      <c r="R33" s="20" t="n">
        <v>0.41458707</v>
      </c>
    </row>
    <row r="34" spans="1:18">
      <c r="A34" s="15" t="s">
        <v>592</v>
      </c>
      <c r="B34" s="17" t="n">
        <v>6350</v>
      </c>
      <c r="C34" s="18">
        <f>(5647.0/B34*100)</f>
        <v/>
      </c>
      <c r="D34" s="19" t="n">
        <v>703</v>
      </c>
      <c r="E34" s="18" t="n">
        <v>35.1578049</v>
      </c>
      <c r="F34" s="20" t="n">
        <v>1.98337161</v>
      </c>
      <c r="G34" s="18" t="n">
        <v>64.36485150999999</v>
      </c>
      <c r="H34" s="20" t="n">
        <v>1.94067027</v>
      </c>
      <c r="I34" s="18" t="n">
        <v>0</v>
      </c>
      <c r="J34" s="20" t="n">
        <v>0</v>
      </c>
      <c r="K34" s="18" t="n">
        <v>0</v>
      </c>
      <c r="L34" s="20" t="n">
        <v>0</v>
      </c>
      <c r="M34" s="18" t="n">
        <v>0</v>
      </c>
      <c r="N34" s="20" t="n">
        <v>0</v>
      </c>
      <c r="O34" s="18" t="n">
        <v>0</v>
      </c>
      <c r="P34" s="20" t="n">
        <v>0</v>
      </c>
      <c r="Q34" s="18" t="n">
        <v>0.47734359</v>
      </c>
      <c r="R34" s="20" t="n">
        <v>0.28124011</v>
      </c>
    </row>
    <row r="35" spans="1:18">
      <c r="A35" s="15" t="s">
        <v>593</v>
      </c>
      <c r="B35" s="17" t="n">
        <v>6406</v>
      </c>
      <c r="C35" s="18">
        <f>(5749.0/B35*100)</f>
        <v/>
      </c>
      <c r="D35" s="19" t="n">
        <v>657</v>
      </c>
      <c r="E35" s="18" t="n">
        <v>33.00010126</v>
      </c>
      <c r="F35" s="20" t="n">
        <v>2.12566753</v>
      </c>
      <c r="G35" s="18" t="n">
        <v>66.51098379</v>
      </c>
      <c r="H35" s="20" t="n">
        <v>2.13539719</v>
      </c>
      <c r="I35" s="18" t="n">
        <v>0</v>
      </c>
      <c r="J35" s="20" t="n">
        <v>0</v>
      </c>
      <c r="K35" s="18" t="n">
        <v>0</v>
      </c>
      <c r="L35" s="20" t="n">
        <v>0</v>
      </c>
      <c r="M35" s="18" t="n">
        <v>0</v>
      </c>
      <c r="N35" s="20" t="n">
        <v>0</v>
      </c>
      <c r="O35" s="18" t="n">
        <v>0</v>
      </c>
      <c r="P35" s="20" t="n">
        <v>0</v>
      </c>
      <c r="Q35" s="18" t="n">
        <v>0.48891495</v>
      </c>
      <c r="R35" s="20" t="n">
        <v>0.27199793</v>
      </c>
    </row>
    <row r="36" spans="1:18">
      <c r="A36" s="15" t="s">
        <v>594</v>
      </c>
      <c r="B36" s="17" t="n">
        <v>6736</v>
      </c>
      <c r="C36" s="18">
        <f>(6029.0/B36*100)</f>
        <v/>
      </c>
      <c r="D36" s="19" t="n">
        <v>707</v>
      </c>
      <c r="E36" s="18" t="n">
        <v>30.40848242</v>
      </c>
      <c r="F36" s="20" t="n">
        <v>1.74583852</v>
      </c>
      <c r="G36" s="18" t="n">
        <v>68.42501661</v>
      </c>
      <c r="H36" s="20" t="n">
        <v>1.70215498</v>
      </c>
      <c r="I36" s="18" t="n">
        <v>0</v>
      </c>
      <c r="J36" s="20" t="n">
        <v>0</v>
      </c>
      <c r="K36" s="18" t="n">
        <v>0.16907134</v>
      </c>
      <c r="L36" s="20" t="n">
        <v>0.1241322</v>
      </c>
      <c r="M36" s="18" t="n">
        <v>0</v>
      </c>
      <c r="N36" s="20" t="n">
        <v>0</v>
      </c>
      <c r="O36" s="18" t="n">
        <v>0</v>
      </c>
      <c r="P36" s="20" t="n">
        <v>0</v>
      </c>
      <c r="Q36" s="18" t="n">
        <v>0.99742964</v>
      </c>
      <c r="R36" s="20" t="n">
        <v>0.36838095</v>
      </c>
    </row>
    <row r="37" spans="1:18">
      <c r="A37" s="15" t="s">
        <v>595</v>
      </c>
      <c r="B37" s="17" t="n">
        <v>5458</v>
      </c>
      <c r="C37" s="18">
        <f>(4857.0/B37*100)</f>
        <v/>
      </c>
      <c r="D37" s="19" t="n">
        <v>601</v>
      </c>
      <c r="E37" s="18" t="n">
        <v>32.18543525</v>
      </c>
      <c r="F37" s="20" t="n">
        <v>2.07080894</v>
      </c>
      <c r="G37" s="18" t="n">
        <v>65.01565558</v>
      </c>
      <c r="H37" s="20" t="n">
        <v>2.24761815</v>
      </c>
      <c r="I37" s="18" t="n">
        <v>0</v>
      </c>
      <c r="J37" s="20" t="n">
        <v>0</v>
      </c>
      <c r="K37" s="18" t="n">
        <v>0.8265977799999999</v>
      </c>
      <c r="L37" s="20" t="n">
        <v>0.3706579</v>
      </c>
      <c r="M37" s="18" t="n">
        <v>0</v>
      </c>
      <c r="N37" s="20" t="n">
        <v>0</v>
      </c>
      <c r="O37" s="18" t="n">
        <v>0</v>
      </c>
      <c r="P37" s="20" t="n">
        <v>0</v>
      </c>
      <c r="Q37" s="18" t="n">
        <v>1.97231138</v>
      </c>
      <c r="R37" s="20" t="n">
        <v>0.63112757</v>
      </c>
    </row>
    <row r="38" spans="1:18">
      <c r="A38" s="15" t="s">
        <v>596</v>
      </c>
      <c r="B38" s="17" t="n">
        <v>5860</v>
      </c>
      <c r="C38" s="18">
        <f>(5201.0/B38*100)</f>
        <v/>
      </c>
      <c r="D38" s="19" t="n">
        <v>659</v>
      </c>
      <c r="E38" s="18" t="n">
        <v>26.44774716</v>
      </c>
      <c r="F38" s="20" t="n">
        <v>2.06793079</v>
      </c>
      <c r="G38" s="18" t="n">
        <v>71.55476264000001</v>
      </c>
      <c r="H38" s="20" t="n">
        <v>2.1381473</v>
      </c>
      <c r="I38" s="18" t="n">
        <v>0</v>
      </c>
      <c r="J38" s="20" t="n">
        <v>0</v>
      </c>
      <c r="K38" s="18" t="n">
        <v>0.36535913</v>
      </c>
      <c r="L38" s="20" t="n">
        <v>0.23595311</v>
      </c>
      <c r="M38" s="18" t="n">
        <v>0</v>
      </c>
      <c r="N38" s="20" t="n">
        <v>0</v>
      </c>
      <c r="O38" s="18" t="n">
        <v>0</v>
      </c>
      <c r="P38" s="20" t="n">
        <v>0</v>
      </c>
      <c r="Q38" s="18" t="n">
        <v>1.63213106</v>
      </c>
      <c r="R38" s="20" t="n">
        <v>0.56669523</v>
      </c>
    </row>
    <row r="39" spans="1:18">
      <c r="A39" s="15" t="s">
        <v>597</v>
      </c>
      <c r="B39" s="17" t="n">
        <v>5895</v>
      </c>
      <c r="C39" s="18">
        <f>(5237.0/B39*100)</f>
        <v/>
      </c>
      <c r="D39" s="19" t="n">
        <v>658</v>
      </c>
      <c r="E39" s="18" t="n">
        <v>63.27902888</v>
      </c>
      <c r="F39" s="20" t="n">
        <v>1.91673753</v>
      </c>
      <c r="G39" s="18" t="n">
        <v>36.27248146</v>
      </c>
      <c r="H39" s="20" t="n">
        <v>1.88716971</v>
      </c>
      <c r="I39" s="18" t="n">
        <v>0</v>
      </c>
      <c r="J39" s="20" t="n">
        <v>0</v>
      </c>
      <c r="K39" s="18" t="n">
        <v>0</v>
      </c>
      <c r="L39" s="20" t="n">
        <v>0</v>
      </c>
      <c r="M39" s="18" t="n">
        <v>0</v>
      </c>
      <c r="N39" s="20" t="n">
        <v>0</v>
      </c>
      <c r="O39" s="18" t="n">
        <v>0</v>
      </c>
      <c r="P39" s="20" t="n">
        <v>0</v>
      </c>
      <c r="Q39" s="18" t="n">
        <v>0.44848966</v>
      </c>
      <c r="R39" s="20" t="n">
        <v>0.24385964</v>
      </c>
    </row>
    <row r="40" spans="1:18">
      <c r="A40" s="15" t="s">
        <v>598</v>
      </c>
      <c r="B40" s="17" t="n">
        <v>14157</v>
      </c>
      <c r="C40" s="18">
        <f>(12599.0/B40*100)</f>
        <v/>
      </c>
      <c r="D40" s="19" t="n">
        <v>1558</v>
      </c>
      <c r="E40" s="18" t="n">
        <v>31.12509923</v>
      </c>
      <c r="F40" s="20" t="n">
        <v>1.83205821</v>
      </c>
      <c r="G40" s="18" t="n">
        <v>67.88159645</v>
      </c>
      <c r="H40" s="20" t="n">
        <v>1.87407369</v>
      </c>
      <c r="I40" s="18" t="n">
        <v>0</v>
      </c>
      <c r="J40" s="20" t="n">
        <v>0</v>
      </c>
      <c r="K40" s="18" t="n">
        <v>0.43896507</v>
      </c>
      <c r="L40" s="20" t="n">
        <v>0.24253302</v>
      </c>
      <c r="M40" s="18" t="n">
        <v>0</v>
      </c>
      <c r="N40" s="20" t="n">
        <v>0</v>
      </c>
      <c r="O40" s="18" t="n">
        <v>0</v>
      </c>
      <c r="P40" s="20" t="n">
        <v>0</v>
      </c>
      <c r="Q40" s="18" t="n">
        <v>0.55433925</v>
      </c>
      <c r="R40" s="20" t="n">
        <v>0.28941186</v>
      </c>
    </row>
    <row r="41" spans="1:18">
      <c r="A41" s="15" t="s">
        <v>599</v>
      </c>
      <c r="B41" s="17" t="n">
        <v>5712</v>
      </c>
      <c r="C41" s="18">
        <f>(5086.0/B41*100)</f>
        <v/>
      </c>
      <c r="D41" s="19" t="n">
        <v>626</v>
      </c>
      <c r="E41" s="18" t="n">
        <v>43.6941265</v>
      </c>
      <c r="F41" s="20" t="n">
        <v>2.34711886</v>
      </c>
      <c r="G41" s="18" t="n">
        <v>56.05354676</v>
      </c>
      <c r="H41" s="20" t="n">
        <v>2.38395992</v>
      </c>
      <c r="I41" s="18" t="n">
        <v>0</v>
      </c>
      <c r="J41" s="20" t="n">
        <v>0</v>
      </c>
      <c r="K41" s="18" t="n">
        <v>0</v>
      </c>
      <c r="L41" s="20" t="n">
        <v>0</v>
      </c>
      <c r="M41" s="18" t="n">
        <v>0</v>
      </c>
      <c r="N41" s="20" t="n">
        <v>0</v>
      </c>
      <c r="O41" s="18" t="n">
        <v>0</v>
      </c>
      <c r="P41" s="20" t="n">
        <v>0</v>
      </c>
      <c r="Q41" s="18" t="n">
        <v>0.25232674</v>
      </c>
      <c r="R41" s="20" t="n">
        <v>0.18081933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(21075.0/B46*100)</f>
        <v/>
      </c>
      <c r="D46" s="19" t="n">
        <v>2066</v>
      </c>
      <c r="E46" s="18" t="n">
        <v>40.07670071</v>
      </c>
      <c r="F46" s="20" t="n">
        <v>1.46480505</v>
      </c>
      <c r="G46" s="18" t="n">
        <v>57.12877957</v>
      </c>
      <c r="H46" s="20" t="n">
        <v>1.58022313</v>
      </c>
      <c r="I46" s="18" t="n">
        <v>0</v>
      </c>
      <c r="J46" s="20" t="n">
        <v>0</v>
      </c>
      <c r="K46" s="18" t="n">
        <v>0.8779642600000001</v>
      </c>
      <c r="L46" s="20" t="n">
        <v>0.27108189</v>
      </c>
      <c r="M46" s="18" t="n">
        <v>0</v>
      </c>
      <c r="N46" s="20" t="n">
        <v>0</v>
      </c>
      <c r="O46" s="18" t="n">
        <v>0</v>
      </c>
      <c r="P46" s="20" t="n">
        <v>0</v>
      </c>
      <c r="Q46" s="18" t="n">
        <v>1.91655545</v>
      </c>
      <c r="R46" s="20" t="n">
        <v>0.43018866</v>
      </c>
    </row>
    <row r="47" spans="1:18">
      <c r="A47" s="15" t="s">
        <v>606</v>
      </c>
      <c r="B47" s="17" t="n">
        <v>5928</v>
      </c>
      <c r="C47" s="18">
        <f>(5259.0/B47*100)</f>
        <v/>
      </c>
      <c r="D47" s="19" t="n">
        <v>669</v>
      </c>
      <c r="E47" s="18" t="n">
        <v>45.7052772</v>
      </c>
      <c r="F47" s="20" t="n">
        <v>2.1725862</v>
      </c>
      <c r="G47" s="18" t="n">
        <v>52.84392217</v>
      </c>
      <c r="H47" s="20" t="n">
        <v>2.20237821</v>
      </c>
      <c r="I47" s="18" t="n">
        <v>0</v>
      </c>
      <c r="J47" s="20" t="n">
        <v>0</v>
      </c>
      <c r="K47" s="18" t="n">
        <v>0.30150424</v>
      </c>
      <c r="L47" s="20" t="n">
        <v>0.26484015</v>
      </c>
      <c r="M47" s="18" t="n">
        <v>0</v>
      </c>
      <c r="N47" s="20" t="n">
        <v>0</v>
      </c>
      <c r="O47" s="18" t="n">
        <v>0</v>
      </c>
      <c r="P47" s="20" t="n">
        <v>0</v>
      </c>
      <c r="Q47" s="18" t="n">
        <v>1.14929639</v>
      </c>
      <c r="R47" s="20" t="n">
        <v>0.40269159</v>
      </c>
    </row>
    <row r="48" spans="1:18">
      <c r="A48" s="15" t="s">
        <v>607</v>
      </c>
      <c r="B48" s="17" t="n">
        <v>9841</v>
      </c>
      <c r="C48" s="18">
        <f>(8727.0/B48*100)</f>
        <v/>
      </c>
      <c r="D48" s="19" t="n">
        <v>1114</v>
      </c>
      <c r="E48" s="18" t="n">
        <v>27.50318661</v>
      </c>
      <c r="F48" s="20" t="n">
        <v>1.832833</v>
      </c>
      <c r="G48" s="18" t="n">
        <v>71.92230305</v>
      </c>
      <c r="H48" s="20" t="n">
        <v>1.87102249</v>
      </c>
      <c r="I48" s="18" t="n">
        <v>0</v>
      </c>
      <c r="J48" s="20" t="n">
        <v>0</v>
      </c>
      <c r="K48" s="18" t="n">
        <v>0.27266202</v>
      </c>
      <c r="L48" s="20" t="n">
        <v>0.21900146</v>
      </c>
      <c r="M48" s="18" t="n">
        <v>0</v>
      </c>
      <c r="N48" s="20" t="n">
        <v>0</v>
      </c>
      <c r="O48" s="18" t="n">
        <v>0</v>
      </c>
      <c r="P48" s="20" t="n">
        <v>0</v>
      </c>
      <c r="Q48" s="18" t="n">
        <v>0.30184832</v>
      </c>
      <c r="R48" s="20" t="n">
        <v>0.20804837</v>
      </c>
    </row>
    <row r="49" spans="1:18">
      <c r="A49" s="15" t="s">
        <v>608</v>
      </c>
      <c r="B49" s="17" t="n">
        <v>11795</v>
      </c>
      <c r="C49" s="18">
        <f>(10471.0/B49*100)</f>
        <v/>
      </c>
      <c r="D49" s="19" t="n">
        <v>1324</v>
      </c>
      <c r="E49" s="18" t="n">
        <v>49.55884016</v>
      </c>
      <c r="F49" s="20" t="n">
        <v>1.61485272</v>
      </c>
      <c r="G49" s="18" t="n">
        <v>48.52174167</v>
      </c>
      <c r="H49" s="20" t="n">
        <v>1.60549638</v>
      </c>
      <c r="I49" s="18" t="n">
        <v>0</v>
      </c>
      <c r="J49" s="20" t="n">
        <v>0</v>
      </c>
      <c r="K49" s="18" t="n">
        <v>1.1065801</v>
      </c>
      <c r="L49" s="20" t="n">
        <v>0.4629947</v>
      </c>
      <c r="M49" s="18" t="n">
        <v>0</v>
      </c>
      <c r="N49" s="20" t="n">
        <v>0</v>
      </c>
      <c r="O49" s="18" t="n">
        <v>0</v>
      </c>
      <c r="P49" s="20" t="n">
        <v>0</v>
      </c>
      <c r="Q49" s="18" t="n">
        <v>0.81283807</v>
      </c>
      <c r="R49" s="20" t="n">
        <v>0.33865548</v>
      </c>
    </row>
    <row r="50" spans="1:18">
      <c r="A50" s="15" t="s">
        <v>609</v>
      </c>
      <c r="B50" s="17" t="n">
        <v>6866</v>
      </c>
      <c r="C50" s="18">
        <f>(6216.0/B50*100)</f>
        <v/>
      </c>
      <c r="D50" s="19" t="n">
        <v>650</v>
      </c>
      <c r="E50" s="18" t="n">
        <v>61.3176425</v>
      </c>
      <c r="F50" s="20" t="n">
        <v>1.83125218</v>
      </c>
      <c r="G50" s="18" t="n">
        <v>37.93845647</v>
      </c>
      <c r="H50" s="20" t="n">
        <v>1.8015847</v>
      </c>
      <c r="I50" s="18" t="n">
        <v>0</v>
      </c>
      <c r="J50" s="20" t="n">
        <v>0</v>
      </c>
      <c r="K50" s="18" t="n">
        <v>0</v>
      </c>
      <c r="L50" s="20" t="n">
        <v>0</v>
      </c>
      <c r="M50" s="18" t="n">
        <v>0</v>
      </c>
      <c r="N50" s="20" t="n">
        <v>0</v>
      </c>
      <c r="O50" s="18" t="n">
        <v>0</v>
      </c>
      <c r="P50" s="20" t="n">
        <v>0</v>
      </c>
      <c r="Q50" s="18" t="n">
        <v>0.74390103</v>
      </c>
      <c r="R50" s="20" t="n">
        <v>0.28274308</v>
      </c>
    </row>
    <row r="51" spans="1:18">
      <c r="A51" s="15" t="s">
        <v>610</v>
      </c>
      <c r="B51" s="17" t="n">
        <v>5809</v>
      </c>
      <c r="C51" s="18">
        <f>(5129.0/B51*100)</f>
        <v/>
      </c>
      <c r="D51" s="19" t="n">
        <v>680</v>
      </c>
      <c r="E51" s="18" t="n">
        <v>49.90411385</v>
      </c>
      <c r="F51" s="20" t="n">
        <v>2.11187653</v>
      </c>
      <c r="G51" s="18" t="n">
        <v>49.24864486</v>
      </c>
      <c r="H51" s="20" t="n">
        <v>2.06043698</v>
      </c>
      <c r="I51" s="18" t="n">
        <v>0</v>
      </c>
      <c r="J51" s="20" t="n">
        <v>0</v>
      </c>
      <c r="K51" s="18" t="n">
        <v>0.11078977</v>
      </c>
      <c r="L51" s="20" t="n">
        <v>0.1111909</v>
      </c>
      <c r="M51" s="18" t="n">
        <v>0</v>
      </c>
      <c r="N51" s="20" t="n">
        <v>0</v>
      </c>
      <c r="O51" s="18" t="n">
        <v>0</v>
      </c>
      <c r="P51" s="20" t="n">
        <v>0</v>
      </c>
      <c r="Q51" s="18" t="n">
        <v>0.73645152</v>
      </c>
      <c r="R51" s="20" t="n">
        <v>0.32837474</v>
      </c>
    </row>
    <row r="52" spans="1:18">
      <c r="A52" s="15" t="s">
        <v>611</v>
      </c>
      <c r="B52" s="17" t="n">
        <v>5571</v>
      </c>
      <c r="C52" s="18">
        <f>(4964.0/B52*100)</f>
        <v/>
      </c>
      <c r="D52" s="19" t="n">
        <v>607</v>
      </c>
      <c r="E52" s="18" t="n">
        <v>42.89112444</v>
      </c>
      <c r="F52" s="20" t="n">
        <v>2.0867606</v>
      </c>
      <c r="G52" s="18" t="n">
        <v>55.52663796</v>
      </c>
      <c r="H52" s="20" t="n">
        <v>2.05045965</v>
      </c>
      <c r="I52" s="18" t="n">
        <v>0</v>
      </c>
      <c r="J52" s="20" t="n">
        <v>0</v>
      </c>
      <c r="K52" s="18" t="n">
        <v>0.30352685</v>
      </c>
      <c r="L52" s="20" t="n">
        <v>0.29990303</v>
      </c>
      <c r="M52" s="18" t="n">
        <v>0</v>
      </c>
      <c r="N52" s="20" t="n">
        <v>0</v>
      </c>
      <c r="O52" s="18" t="n">
        <v>0</v>
      </c>
      <c r="P52" s="20" t="n">
        <v>0</v>
      </c>
      <c r="Q52" s="18" t="n">
        <v>1.27871075</v>
      </c>
      <c r="R52" s="20" t="n">
        <v>0.46931004</v>
      </c>
    </row>
    <row r="53" spans="1:18">
      <c r="A53" s="15" t="s">
        <v>612</v>
      </c>
      <c r="B53" s="17" t="n">
        <v>4740</v>
      </c>
      <c r="C53" s="18">
        <f>(4247.0/B53*100)</f>
        <v/>
      </c>
      <c r="D53" s="19" t="n">
        <v>493</v>
      </c>
      <c r="E53" s="18" t="n">
        <v>54.87450304</v>
      </c>
      <c r="F53" s="20" t="n">
        <v>2.43912528</v>
      </c>
      <c r="G53" s="18" t="n">
        <v>26.72633887</v>
      </c>
      <c r="H53" s="20" t="n">
        <v>1.99773224</v>
      </c>
      <c r="I53" s="18" t="n">
        <v>0</v>
      </c>
      <c r="J53" s="20" t="n">
        <v>0</v>
      </c>
      <c r="K53" s="18" t="n">
        <v>13.87360692</v>
      </c>
      <c r="L53" s="20" t="n">
        <v>1.74283397</v>
      </c>
      <c r="M53" s="18" t="n">
        <v>0</v>
      </c>
      <c r="N53" s="20" t="n">
        <v>0</v>
      </c>
      <c r="O53" s="18" t="n">
        <v>0</v>
      </c>
      <c r="P53" s="20" t="n">
        <v>0</v>
      </c>
      <c r="Q53" s="18" t="n">
        <v>4.52555117</v>
      </c>
      <c r="R53" s="20" t="n">
        <v>1.0762934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(4749.0/B55*100)</f>
        <v/>
      </c>
      <c r="D55" s="19" t="n">
        <v>610</v>
      </c>
      <c r="E55" s="18" t="n">
        <v>15.94019104</v>
      </c>
      <c r="F55" s="20" t="n">
        <v>1.67603395</v>
      </c>
      <c r="G55" s="18" t="n">
        <v>83.59295727999999</v>
      </c>
      <c r="H55" s="20" t="n">
        <v>1.69650816</v>
      </c>
      <c r="I55" s="18" t="n">
        <v>0</v>
      </c>
      <c r="J55" s="20" t="n">
        <v>0</v>
      </c>
      <c r="K55" s="18" t="n">
        <v>0.35502912</v>
      </c>
      <c r="L55" s="20" t="n">
        <v>0.23083939</v>
      </c>
      <c r="M55" s="18" t="n">
        <v>0</v>
      </c>
      <c r="N55" s="20" t="n">
        <v>0</v>
      </c>
      <c r="O55" s="18" t="n">
        <v>0</v>
      </c>
      <c r="P55" s="20" t="n">
        <v>0</v>
      </c>
      <c r="Q55" s="18" t="n">
        <v>0.11182256</v>
      </c>
      <c r="R55" s="20" t="n">
        <v>0.11155528</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(5770.0/B61*100)</f>
        <v/>
      </c>
      <c r="D61" s="19" t="n">
        <v>755</v>
      </c>
      <c r="E61" s="18" t="n">
        <v>43.96253745</v>
      </c>
      <c r="F61" s="20" t="n">
        <v>1.82880313</v>
      </c>
      <c r="G61" s="18" t="n">
        <v>55.57609297</v>
      </c>
      <c r="H61" s="20" t="n">
        <v>1.8180256</v>
      </c>
      <c r="I61" s="18" t="n">
        <v>0</v>
      </c>
      <c r="J61" s="20" t="n">
        <v>0</v>
      </c>
      <c r="K61" s="18" t="n">
        <v>0</v>
      </c>
      <c r="L61" s="20" t="n">
        <v>0</v>
      </c>
      <c r="M61" s="18" t="n">
        <v>0</v>
      </c>
      <c r="N61" s="20" t="n">
        <v>0</v>
      </c>
      <c r="O61" s="18" t="n">
        <v>0</v>
      </c>
      <c r="P61" s="20" t="n">
        <v>0</v>
      </c>
      <c r="Q61" s="18" t="n">
        <v>0.46136958</v>
      </c>
      <c r="R61" s="20" t="n">
        <v>0.26968362</v>
      </c>
    </row>
    <row r="62" spans="1:18">
      <c r="A62" s="15" t="s">
        <v>622</v>
      </c>
      <c r="B62" s="17" t="n">
        <v>4476</v>
      </c>
      <c r="C62" s="18">
        <f>(3983.0/B62*100)</f>
        <v/>
      </c>
      <c r="D62" s="19" t="n">
        <v>493</v>
      </c>
      <c r="E62" s="18" t="n">
        <v>25.78254448</v>
      </c>
      <c r="F62" s="20" t="n">
        <v>1.70446588</v>
      </c>
      <c r="G62" s="18" t="n">
        <v>74.01105003000001</v>
      </c>
      <c r="H62" s="20" t="n">
        <v>1.71009362</v>
      </c>
      <c r="I62" s="18" t="n">
        <v>0</v>
      </c>
      <c r="J62" s="20" t="n">
        <v>0</v>
      </c>
      <c r="K62" s="18" t="n">
        <v>0</v>
      </c>
      <c r="L62" s="20" t="n">
        <v>0</v>
      </c>
      <c r="M62" s="18" t="n">
        <v>0</v>
      </c>
      <c r="N62" s="20" t="n">
        <v>0</v>
      </c>
      <c r="O62" s="18" t="n">
        <v>0</v>
      </c>
      <c r="P62" s="20" t="n">
        <v>0</v>
      </c>
      <c r="Q62" s="18" t="n">
        <v>0.2064055</v>
      </c>
      <c r="R62" s="20" t="n">
        <v>0.20687463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(5042.0/B67*100)</f>
        <v/>
      </c>
      <c r="D67" s="19" t="n">
        <v>623</v>
      </c>
      <c r="E67" s="18" t="n">
        <v>47.58670251</v>
      </c>
      <c r="F67" s="20" t="n">
        <v>1.98582339</v>
      </c>
      <c r="G67" s="18" t="n">
        <v>49.01628294</v>
      </c>
      <c r="H67" s="20" t="n">
        <v>1.89460301</v>
      </c>
      <c r="I67" s="18" t="n">
        <v>0</v>
      </c>
      <c r="J67" s="20" t="n">
        <v>0</v>
      </c>
      <c r="K67" s="18" t="n">
        <v>0.50107024</v>
      </c>
      <c r="L67" s="20" t="n">
        <v>0.38166595</v>
      </c>
      <c r="M67" s="18" t="n">
        <v>0</v>
      </c>
      <c r="N67" s="20" t="n">
        <v>0</v>
      </c>
      <c r="O67" s="18" t="n">
        <v>0</v>
      </c>
      <c r="P67" s="20" t="n">
        <v>0</v>
      </c>
      <c r="Q67" s="18" t="n">
        <v>2.8959443</v>
      </c>
      <c r="R67" s="20" t="n">
        <v>0.66854482</v>
      </c>
    </row>
    <row r="68" spans="1:18">
      <c r="A68" s="15" t="s">
        <v>628</v>
      </c>
      <c r="B68" s="17" t="n">
        <v>6971</v>
      </c>
      <c r="C68" s="18">
        <f>(6268.0/B68*100)</f>
        <v/>
      </c>
      <c r="D68" s="19" t="n">
        <v>703</v>
      </c>
      <c r="E68" s="18" t="n">
        <v>62.2442711</v>
      </c>
      <c r="F68" s="20" t="n">
        <v>1.54104412</v>
      </c>
      <c r="G68" s="18" t="n">
        <v>37.26635145</v>
      </c>
      <c r="H68" s="20" t="n">
        <v>1.53319318</v>
      </c>
      <c r="I68" s="18" t="n">
        <v>0</v>
      </c>
      <c r="J68" s="20" t="n">
        <v>0</v>
      </c>
      <c r="K68" s="18" t="n">
        <v>0.22902771</v>
      </c>
      <c r="L68" s="20" t="n">
        <v>0.2337272</v>
      </c>
      <c r="M68" s="18" t="n">
        <v>0</v>
      </c>
      <c r="N68" s="20" t="n">
        <v>0</v>
      </c>
      <c r="O68" s="18" t="n">
        <v>0</v>
      </c>
      <c r="P68" s="20" t="n">
        <v>0</v>
      </c>
      <c r="Q68" s="18" t="n">
        <v>0.26034975</v>
      </c>
      <c r="R68" s="20" t="n">
        <v>0.18569347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(10789.0/B70*100)</f>
        <v/>
      </c>
      <c r="D70" s="19" t="n">
        <v>1294</v>
      </c>
      <c r="E70" s="18" t="n">
        <v>47.12125179</v>
      </c>
      <c r="F70" s="20" t="n">
        <v>1.50485111</v>
      </c>
      <c r="G70" s="18" t="n">
        <v>48.85442383</v>
      </c>
      <c r="H70" s="20" t="n">
        <v>1.58766543</v>
      </c>
      <c r="I70" s="18" t="n">
        <v>0</v>
      </c>
      <c r="J70" s="20" t="n">
        <v>0</v>
      </c>
      <c r="K70" s="18" t="n">
        <v>2.06446551</v>
      </c>
      <c r="L70" s="20" t="n">
        <v>0.41976861</v>
      </c>
      <c r="M70" s="18" t="n">
        <v>0</v>
      </c>
      <c r="N70" s="20" t="n">
        <v>0</v>
      </c>
      <c r="O70" s="18" t="n">
        <v>0</v>
      </c>
      <c r="P70" s="20" t="n">
        <v>0</v>
      </c>
      <c r="Q70" s="18" t="n">
        <v>1.95985887</v>
      </c>
      <c r="R70" s="20" t="n">
        <v>0.31828951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(5345.0/B72*100)</f>
        <v/>
      </c>
      <c r="D72" s="19" t="n">
        <v>691</v>
      </c>
      <c r="E72" s="18" t="n">
        <v>30.60066486</v>
      </c>
      <c r="F72" s="20" t="n">
        <v>2.29986902</v>
      </c>
      <c r="G72" s="18" t="n">
        <v>68.53687050000001</v>
      </c>
      <c r="H72" s="20" t="n">
        <v>2.27428795</v>
      </c>
      <c r="I72" s="18" t="n">
        <v>0</v>
      </c>
      <c r="J72" s="20" t="n">
        <v>0</v>
      </c>
      <c r="K72" s="18" t="n">
        <v>0.18593817</v>
      </c>
      <c r="L72" s="20" t="n">
        <v>0.18612698</v>
      </c>
      <c r="M72" s="18" t="n">
        <v>0</v>
      </c>
      <c r="N72" s="20" t="n">
        <v>0</v>
      </c>
      <c r="O72" s="18" t="n">
        <v>0</v>
      </c>
      <c r="P72" s="20" t="n">
        <v>0</v>
      </c>
      <c r="Q72" s="18" t="n">
        <v>0.6765264600000001</v>
      </c>
      <c r="R72" s="20" t="n">
        <v>0.26308025</v>
      </c>
    </row>
    <row r="73" spans="1:18">
      <c r="A73" s="15" t="s">
        <v>633</v>
      </c>
      <c r="B73" s="17" t="n">
        <v>6115</v>
      </c>
      <c r="C73" s="18">
        <f>(5456.0/B73*100)</f>
        <v/>
      </c>
      <c r="D73" s="19" t="n">
        <v>659</v>
      </c>
      <c r="E73" s="18" t="n">
        <v>31.72325314</v>
      </c>
      <c r="F73" s="20" t="n">
        <v>1.91606961</v>
      </c>
      <c r="G73" s="18" t="n">
        <v>67.82433073</v>
      </c>
      <c r="H73" s="20" t="n">
        <v>1.91450935</v>
      </c>
      <c r="I73" s="18" t="n">
        <v>0</v>
      </c>
      <c r="J73" s="20" t="n">
        <v>0</v>
      </c>
      <c r="K73" s="18" t="n">
        <v>0.3106443</v>
      </c>
      <c r="L73" s="20" t="n">
        <v>0.22191982</v>
      </c>
      <c r="M73" s="18" t="n">
        <v>0</v>
      </c>
      <c r="N73" s="20" t="n">
        <v>0</v>
      </c>
      <c r="O73" s="18" t="n">
        <v>0</v>
      </c>
      <c r="P73" s="20" t="n">
        <v>0</v>
      </c>
      <c r="Q73" s="18" t="n">
        <v>0.14177184</v>
      </c>
      <c r="R73" s="20" t="n">
        <v>0.14125419</v>
      </c>
    </row>
    <row r="74" spans="1:18">
      <c r="A74" s="15" t="s">
        <v>634</v>
      </c>
      <c r="B74" s="17" t="n">
        <v>7708</v>
      </c>
      <c r="C74" s="18">
        <f>(6876.0/B74*100)</f>
        <v/>
      </c>
      <c r="D74" s="19" t="n">
        <v>832</v>
      </c>
      <c r="E74" s="18" t="n">
        <v>32.36382359</v>
      </c>
      <c r="F74" s="20" t="n">
        <v>1.75487401</v>
      </c>
      <c r="G74" s="18" t="n">
        <v>67.33485431</v>
      </c>
      <c r="H74" s="20" t="n">
        <v>1.73309915</v>
      </c>
      <c r="I74" s="18" t="n">
        <v>0</v>
      </c>
      <c r="J74" s="20" t="n">
        <v>0</v>
      </c>
      <c r="K74" s="18" t="n">
        <v>0</v>
      </c>
      <c r="L74" s="20" t="n">
        <v>0</v>
      </c>
      <c r="M74" s="18" t="n">
        <v>0</v>
      </c>
      <c r="N74" s="20" t="n">
        <v>0</v>
      </c>
      <c r="O74" s="18" t="n">
        <v>0</v>
      </c>
      <c r="P74" s="20" t="n">
        <v>0</v>
      </c>
      <c r="Q74" s="18" t="n">
        <v>0.3013221</v>
      </c>
      <c r="R74" s="20" t="n">
        <v>0.21380497</v>
      </c>
    </row>
    <row r="75" spans="1:18">
      <c r="A75" s="15" t="s">
        <v>635</v>
      </c>
      <c r="B75" s="17" t="n">
        <v>8249</v>
      </c>
      <c r="C75" s="18">
        <f>(7343.0/B75*100)</f>
        <v/>
      </c>
      <c r="D75" s="19" t="n">
        <v>906</v>
      </c>
      <c r="E75" s="18" t="n">
        <v>51.11364244</v>
      </c>
      <c r="F75" s="20" t="n">
        <v>1.83023234</v>
      </c>
      <c r="G75" s="18" t="n">
        <v>48.66250836</v>
      </c>
      <c r="H75" s="20" t="n">
        <v>1.84127113</v>
      </c>
      <c r="I75" s="18" t="n">
        <v>0</v>
      </c>
      <c r="J75" s="20" t="n">
        <v>0</v>
      </c>
      <c r="K75" s="18" t="n">
        <v>0</v>
      </c>
      <c r="L75" s="20" t="n">
        <v>0</v>
      </c>
      <c r="M75" s="18" t="n">
        <v>0</v>
      </c>
      <c r="N75" s="20" t="n">
        <v>0</v>
      </c>
      <c r="O75" s="18" t="n">
        <v>0</v>
      </c>
      <c r="P75" s="20" t="n">
        <v>0</v>
      </c>
      <c r="Q75" s="18" t="n">
        <v>0.2238492</v>
      </c>
      <c r="R75" s="20" t="n">
        <v>0.17450071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(4832.0/B77*100)</f>
        <v/>
      </c>
      <c r="D77" s="19" t="n">
        <v>543</v>
      </c>
      <c r="E77" s="18" t="n">
        <v>53.37507403</v>
      </c>
      <c r="F77" s="20" t="n">
        <v>2.05683374</v>
      </c>
      <c r="G77" s="18" t="n">
        <v>40.56063421</v>
      </c>
      <c r="H77" s="20" t="n">
        <v>2.28745689</v>
      </c>
      <c r="I77" s="18" t="n">
        <v>0</v>
      </c>
      <c r="J77" s="20" t="n">
        <v>0</v>
      </c>
      <c r="K77" s="18" t="n">
        <v>2.95130702</v>
      </c>
      <c r="L77" s="20" t="n">
        <v>0.7591385</v>
      </c>
      <c r="M77" s="18" t="n">
        <v>0</v>
      </c>
      <c r="N77" s="20" t="n">
        <v>0</v>
      </c>
      <c r="O77" s="18" t="n">
        <v>0</v>
      </c>
      <c r="P77" s="20" t="n">
        <v>0</v>
      </c>
      <c r="Q77" s="18" t="n">
        <v>3.11298474</v>
      </c>
      <c r="R77" s="20" t="n">
        <v>0.99470148</v>
      </c>
    </row>
    <row r="78" spans="1:18">
      <c r="A78" s="15" t="s">
        <v>638</v>
      </c>
      <c r="B78" s="17" t="n">
        <v>14167</v>
      </c>
      <c r="C78" s="18">
        <f>(12625.0/B78*100)</f>
        <v/>
      </c>
      <c r="D78" s="19" t="n">
        <v>1542</v>
      </c>
      <c r="E78" s="18" t="n">
        <v>52.17216104</v>
      </c>
      <c r="F78" s="20" t="n">
        <v>1.49573259</v>
      </c>
      <c r="G78" s="18" t="n">
        <v>45.83362417</v>
      </c>
      <c r="H78" s="20" t="n">
        <v>1.59219377</v>
      </c>
      <c r="I78" s="18" t="n">
        <v>0</v>
      </c>
      <c r="J78" s="20" t="n">
        <v>0</v>
      </c>
      <c r="K78" s="18" t="n">
        <v>0.51493524</v>
      </c>
      <c r="L78" s="20" t="n">
        <v>0.19138735</v>
      </c>
      <c r="M78" s="18" t="n">
        <v>0</v>
      </c>
      <c r="N78" s="20" t="n">
        <v>0</v>
      </c>
      <c r="O78" s="18" t="n">
        <v>0</v>
      </c>
      <c r="P78" s="20" t="n">
        <v>0</v>
      </c>
      <c r="Q78" s="18" t="n">
        <v>1.47927955</v>
      </c>
      <c r="R78" s="20" t="n">
        <v>0.39799084</v>
      </c>
    </row>
    <row r="79" spans="1:18">
      <c r="A79" s="15" t="s">
        <v>639</v>
      </c>
      <c r="B79" s="17" t="n">
        <v>6062</v>
      </c>
      <c r="C79" s="18">
        <f>(5429.0/B79*100)</f>
        <v/>
      </c>
      <c r="D79" s="19" t="n">
        <v>633</v>
      </c>
      <c r="E79" s="18" t="n">
        <v>46.77066224</v>
      </c>
      <c r="F79" s="20" t="n">
        <v>2.22810371</v>
      </c>
      <c r="G79" s="18" t="n">
        <v>50.81982053</v>
      </c>
      <c r="H79" s="20" t="n">
        <v>2.15837776</v>
      </c>
      <c r="I79" s="18" t="n">
        <v>0</v>
      </c>
      <c r="J79" s="20" t="n">
        <v>0</v>
      </c>
      <c r="K79" s="18" t="n">
        <v>1.21042939</v>
      </c>
      <c r="L79" s="20" t="n">
        <v>0.51311116</v>
      </c>
      <c r="M79" s="18" t="n">
        <v>0</v>
      </c>
      <c r="N79" s="20" t="n">
        <v>0</v>
      </c>
      <c r="O79" s="18" t="n">
        <v>0</v>
      </c>
      <c r="P79" s="20" t="n">
        <v>0</v>
      </c>
      <c r="Q79" s="18" t="n">
        <v>1.19908785</v>
      </c>
      <c r="R79" s="20" t="n">
        <v>0.50036116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(28820.0/B82*100)</f>
        <v/>
      </c>
      <c r="D82" s="19" t="n">
        <v>3510</v>
      </c>
      <c r="E82" s="18" t="n">
        <v>32.69721118</v>
      </c>
      <c r="F82" s="20" t="n">
        <v>1.21488669</v>
      </c>
      <c r="G82" s="18" t="n">
        <v>66.32655253999999</v>
      </c>
      <c r="H82" s="20" t="n">
        <v>1.24812298</v>
      </c>
      <c r="I82" s="18" t="n">
        <v>0</v>
      </c>
      <c r="J82" s="20" t="n">
        <v>0</v>
      </c>
      <c r="K82" s="18" t="n">
        <v>0.22110282</v>
      </c>
      <c r="L82" s="20" t="n">
        <v>0.07788431</v>
      </c>
      <c r="M82" s="18" t="n">
        <v>0</v>
      </c>
      <c r="N82" s="20" t="n">
        <v>0</v>
      </c>
      <c r="O82" s="18" t="n">
        <v>0</v>
      </c>
      <c r="P82" s="20" t="n">
        <v>0</v>
      </c>
      <c r="Q82" s="18" t="n">
        <v>0.75513346</v>
      </c>
      <c r="R82" s="20" t="n">
        <v>0.20599862</v>
      </c>
    </row>
    <row r="83" spans="1:18">
      <c r="A83" s="15" t="s">
        <v>643</v>
      </c>
      <c r="B83" s="17" t="n">
        <v>1652</v>
      </c>
      <c r="C83" s="18">
        <f>(1473.0/B83*100)</f>
        <v/>
      </c>
      <c r="D83" s="19" t="n">
        <v>179</v>
      </c>
      <c r="E83" s="18" t="n">
        <v>41.1510922</v>
      </c>
      <c r="F83" s="20" t="n">
        <v>4.19034169</v>
      </c>
      <c r="G83" s="18" t="n">
        <v>58.8489078</v>
      </c>
      <c r="H83" s="20" t="n">
        <v>4.19034169</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(1675.0/B84*100)</f>
        <v/>
      </c>
      <c r="D84" s="19" t="n">
        <v>212</v>
      </c>
      <c r="E84" s="18" t="n">
        <v>39.33705644</v>
      </c>
      <c r="F84" s="20" t="n">
        <v>3.58801422</v>
      </c>
      <c r="G84" s="18" t="n">
        <v>60.40651563</v>
      </c>
      <c r="H84" s="20" t="n">
        <v>3.65344702</v>
      </c>
      <c r="I84" s="18" t="n">
        <v>0</v>
      </c>
      <c r="J84" s="20" t="n">
        <v>0</v>
      </c>
      <c r="K84" s="18" t="n">
        <v>0</v>
      </c>
      <c r="L84" s="20" t="n">
        <v>0</v>
      </c>
      <c r="M84" s="18" t="n">
        <v>0</v>
      </c>
      <c r="N84" s="20" t="n">
        <v>0</v>
      </c>
      <c r="O84" s="18" t="n">
        <v>0</v>
      </c>
      <c r="P84" s="20" t="n">
        <v>0</v>
      </c>
      <c r="Q84" s="18" t="n">
        <v>0.25642793</v>
      </c>
      <c r="R84" s="20" t="n">
        <v>0.25930054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(12977.0/B7*100)</f>
        <v/>
      </c>
      <c r="D7" s="19" t="n">
        <v>1553</v>
      </c>
      <c r="E7" s="18" t="n">
        <v>65.30965916</v>
      </c>
      <c r="F7" s="20" t="n">
        <v>1.37759657</v>
      </c>
      <c r="G7" s="18" t="n">
        <v>31.08080228</v>
      </c>
      <c r="H7" s="20" t="n">
        <v>1.40850898</v>
      </c>
      <c r="I7" s="18" t="n">
        <v>0</v>
      </c>
      <c r="J7" s="20" t="n">
        <v>0</v>
      </c>
      <c r="K7" s="18" t="n">
        <v>0.40505637</v>
      </c>
      <c r="L7" s="20" t="n">
        <v>0.18119668</v>
      </c>
      <c r="M7" s="18" t="n">
        <v>0</v>
      </c>
      <c r="N7" s="20" t="n">
        <v>0</v>
      </c>
      <c r="O7" s="18" t="n">
        <v>0</v>
      </c>
      <c r="P7" s="20" t="n">
        <v>0</v>
      </c>
      <c r="Q7" s="18" t="n">
        <v>3.20448219</v>
      </c>
      <c r="R7" s="20" t="n">
        <v>0.46243185</v>
      </c>
    </row>
    <row r="8" spans="1:18">
      <c r="A8" s="15" t="s">
        <v>566</v>
      </c>
      <c r="B8" s="17" t="n">
        <v>7007</v>
      </c>
      <c r="C8" s="18">
        <f>(6234.0/B8*100)</f>
        <v/>
      </c>
      <c r="D8" s="19" t="n">
        <v>773</v>
      </c>
      <c r="E8" s="18" t="n">
        <v>61.67701729</v>
      </c>
      <c r="F8" s="20" t="n">
        <v>2.34915724</v>
      </c>
      <c r="G8" s="18" t="n">
        <v>35.41933711</v>
      </c>
      <c r="H8" s="20" t="n">
        <v>2.3809325</v>
      </c>
      <c r="I8" s="18" t="n">
        <v>0</v>
      </c>
      <c r="J8" s="20" t="n">
        <v>0</v>
      </c>
      <c r="K8" s="18" t="n">
        <v>0.15069476</v>
      </c>
      <c r="L8" s="20" t="n">
        <v>0.17201524</v>
      </c>
      <c r="M8" s="18" t="n">
        <v>0</v>
      </c>
      <c r="N8" s="20" t="n">
        <v>0</v>
      </c>
      <c r="O8" s="18" t="n">
        <v>0</v>
      </c>
      <c r="P8" s="20" t="n">
        <v>0</v>
      </c>
      <c r="Q8" s="18" t="n">
        <v>2.75295084</v>
      </c>
      <c r="R8" s="20" t="n">
        <v>0.60334964</v>
      </c>
    </row>
    <row r="9" spans="1:18">
      <c r="A9" s="15" t="s">
        <v>567</v>
      </c>
      <c r="B9" s="17" t="n">
        <v>9651</v>
      </c>
      <c r="C9" s="18">
        <f>(8627.0/B9*100)</f>
        <v/>
      </c>
      <c r="D9" s="19" t="n">
        <v>1024</v>
      </c>
      <c r="E9" s="18" t="n">
        <v>69.76215119</v>
      </c>
      <c r="F9" s="20" t="n">
        <v>1.47811265</v>
      </c>
      <c r="G9" s="18" t="n">
        <v>28.35909241</v>
      </c>
      <c r="H9" s="20" t="n">
        <v>1.48206573</v>
      </c>
      <c r="I9" s="18" t="n">
        <v>0</v>
      </c>
      <c r="J9" s="20" t="n">
        <v>0</v>
      </c>
      <c r="K9" s="18" t="n">
        <v>0.08008672999999999</v>
      </c>
      <c r="L9" s="20" t="n">
        <v>0.07681412999999999</v>
      </c>
      <c r="M9" s="18" t="n">
        <v>0</v>
      </c>
      <c r="N9" s="20" t="n">
        <v>0</v>
      </c>
      <c r="O9" s="18" t="n">
        <v>0</v>
      </c>
      <c r="P9" s="20" t="n">
        <v>0</v>
      </c>
      <c r="Q9" s="18" t="n">
        <v>1.79866967</v>
      </c>
      <c r="R9" s="20" t="n">
        <v>0.41245897</v>
      </c>
    </row>
    <row r="10" spans="1:18">
      <c r="A10" s="15" t="s">
        <v>568</v>
      </c>
      <c r="B10" s="17" t="n">
        <v>20058</v>
      </c>
      <c r="C10" s="18">
        <f>(17771.0/B10*100)</f>
        <v/>
      </c>
      <c r="D10" s="19" t="n">
        <v>2287</v>
      </c>
      <c r="E10" s="18" t="n">
        <v>53.19183458</v>
      </c>
      <c r="F10" s="20" t="n">
        <v>1.61446239</v>
      </c>
      <c r="G10" s="18" t="n">
        <v>44.76600844</v>
      </c>
      <c r="H10" s="20" t="n">
        <v>1.59172502</v>
      </c>
      <c r="I10" s="18" t="n">
        <v>0</v>
      </c>
      <c r="J10" s="20" t="n">
        <v>0</v>
      </c>
      <c r="K10" s="18" t="n">
        <v>0.61438073</v>
      </c>
      <c r="L10" s="20" t="n">
        <v>0.29791911</v>
      </c>
      <c r="M10" s="18" t="n">
        <v>0</v>
      </c>
      <c r="N10" s="20" t="n">
        <v>0</v>
      </c>
      <c r="O10" s="18" t="n">
        <v>0</v>
      </c>
      <c r="P10" s="20" t="n">
        <v>0</v>
      </c>
      <c r="Q10" s="18" t="n">
        <v>1.42777625</v>
      </c>
      <c r="R10" s="20" t="n">
        <v>0.2953436</v>
      </c>
    </row>
    <row r="11" spans="1:18">
      <c r="A11" s="15" t="s">
        <v>569</v>
      </c>
      <c r="B11" s="17" t="n">
        <v>7053</v>
      </c>
      <c r="C11" s="18">
        <f>(6316.0/B11*100)</f>
        <v/>
      </c>
      <c r="D11" s="19" t="n">
        <v>737</v>
      </c>
      <c r="E11" s="18" t="n">
        <v>76.34428363000001</v>
      </c>
      <c r="F11" s="20" t="n">
        <v>1.57445433</v>
      </c>
      <c r="G11" s="18" t="n">
        <v>18.29325567</v>
      </c>
      <c r="H11" s="20" t="n">
        <v>1.46681562</v>
      </c>
      <c r="I11" s="18" t="n">
        <v>0</v>
      </c>
      <c r="J11" s="20" t="n">
        <v>0</v>
      </c>
      <c r="K11" s="18" t="n">
        <v>1.19839118</v>
      </c>
      <c r="L11" s="20" t="n">
        <v>0.42260252</v>
      </c>
      <c r="M11" s="18" t="n">
        <v>0</v>
      </c>
      <c r="N11" s="20" t="n">
        <v>0</v>
      </c>
      <c r="O11" s="18" t="n">
        <v>0</v>
      </c>
      <c r="P11" s="20" t="n">
        <v>0</v>
      </c>
      <c r="Q11" s="18" t="n">
        <v>4.16406952</v>
      </c>
      <c r="R11" s="20" t="n">
        <v>0.92027682</v>
      </c>
    </row>
    <row r="12" spans="1:18">
      <c r="A12" s="15" t="s">
        <v>570</v>
      </c>
      <c r="B12" s="17" t="n">
        <v>6894</v>
      </c>
      <c r="C12" s="18">
        <f>(6131.0/B12*100)</f>
        <v/>
      </c>
      <c r="D12" s="19" t="n">
        <v>763</v>
      </c>
      <c r="E12" s="18" t="n">
        <v>56.29245497</v>
      </c>
      <c r="F12" s="20" t="n">
        <v>1.89909438</v>
      </c>
      <c r="G12" s="18" t="n">
        <v>40.07956648</v>
      </c>
      <c r="H12" s="20" t="n">
        <v>1.88878057</v>
      </c>
      <c r="I12" s="18" t="n">
        <v>0</v>
      </c>
      <c r="J12" s="20" t="n">
        <v>0</v>
      </c>
      <c r="K12" s="18" t="n">
        <v>0.24678048</v>
      </c>
      <c r="L12" s="20" t="n">
        <v>0.17165373</v>
      </c>
      <c r="M12" s="18" t="n">
        <v>0</v>
      </c>
      <c r="N12" s="20" t="n">
        <v>0</v>
      </c>
      <c r="O12" s="18" t="n">
        <v>0</v>
      </c>
      <c r="P12" s="20" t="n">
        <v>0</v>
      </c>
      <c r="Q12" s="18" t="n">
        <v>3.38119807</v>
      </c>
      <c r="R12" s="20" t="n">
        <v>0.69107153</v>
      </c>
    </row>
    <row r="13" spans="1:18">
      <c r="A13" s="15" t="s">
        <v>571</v>
      </c>
      <c r="B13" s="17" t="n">
        <v>7161</v>
      </c>
      <c r="C13" s="18">
        <f>(6381.0/B13*100)</f>
        <v/>
      </c>
      <c r="D13" s="19" t="n">
        <v>780</v>
      </c>
      <c r="E13" s="18" t="n">
        <v>66.35617859</v>
      </c>
      <c r="F13" s="20" t="n">
        <v>2.00924275</v>
      </c>
      <c r="G13" s="18" t="n">
        <v>30.27796094</v>
      </c>
      <c r="H13" s="20" t="n">
        <v>1.98208013</v>
      </c>
      <c r="I13" s="18" t="n">
        <v>0</v>
      </c>
      <c r="J13" s="20" t="n">
        <v>0</v>
      </c>
      <c r="K13" s="18" t="n">
        <v>0.42211448</v>
      </c>
      <c r="L13" s="20" t="n">
        <v>0.29491709</v>
      </c>
      <c r="M13" s="18" t="n">
        <v>0</v>
      </c>
      <c r="N13" s="20" t="n">
        <v>0</v>
      </c>
      <c r="O13" s="18" t="n">
        <v>0</v>
      </c>
      <c r="P13" s="20" t="n">
        <v>0</v>
      </c>
      <c r="Q13" s="18" t="n">
        <v>2.943746</v>
      </c>
      <c r="R13" s="20" t="n">
        <v>0.70072477</v>
      </c>
    </row>
    <row r="14" spans="1:18">
      <c r="A14" s="15" t="s">
        <v>572</v>
      </c>
      <c r="B14" s="17" t="n">
        <v>5587</v>
      </c>
      <c r="C14" s="18">
        <f>(4961.0/B14*100)</f>
        <v/>
      </c>
      <c r="D14" s="19" t="n">
        <v>626</v>
      </c>
      <c r="E14" s="18" t="n">
        <v>47.97295389</v>
      </c>
      <c r="F14" s="20" t="n">
        <v>2.53350984</v>
      </c>
      <c r="G14" s="18" t="n">
        <v>50.08310139</v>
      </c>
      <c r="H14" s="20" t="n">
        <v>2.56917097</v>
      </c>
      <c r="I14" s="18" t="n">
        <v>0</v>
      </c>
      <c r="J14" s="20" t="n">
        <v>0</v>
      </c>
      <c r="K14" s="18" t="n">
        <v>0</v>
      </c>
      <c r="L14" s="20" t="n">
        <v>0</v>
      </c>
      <c r="M14" s="18" t="n">
        <v>0</v>
      </c>
      <c r="N14" s="20" t="n">
        <v>0</v>
      </c>
      <c r="O14" s="18" t="n">
        <v>0</v>
      </c>
      <c r="P14" s="20" t="n">
        <v>0</v>
      </c>
      <c r="Q14" s="18" t="n">
        <v>1.94394472</v>
      </c>
      <c r="R14" s="20" t="n">
        <v>0.61068873</v>
      </c>
    </row>
    <row r="15" spans="1:18">
      <c r="A15" s="15" t="s">
        <v>573</v>
      </c>
      <c r="B15" s="17" t="n">
        <v>5882</v>
      </c>
      <c r="C15" s="18">
        <f>(5280.0/B15*100)</f>
        <v/>
      </c>
      <c r="D15" s="19" t="n">
        <v>602</v>
      </c>
      <c r="E15" s="18" t="n">
        <v>51.37344944</v>
      </c>
      <c r="F15" s="20" t="n">
        <v>2.05673101</v>
      </c>
      <c r="G15" s="18" t="n">
        <v>46.94368557</v>
      </c>
      <c r="H15" s="20" t="n">
        <v>2.04249714</v>
      </c>
      <c r="I15" s="18" t="n">
        <v>0</v>
      </c>
      <c r="J15" s="20" t="n">
        <v>0</v>
      </c>
      <c r="K15" s="18" t="n">
        <v>0</v>
      </c>
      <c r="L15" s="20" t="n">
        <v>0</v>
      </c>
      <c r="M15" s="18" t="n">
        <v>0</v>
      </c>
      <c r="N15" s="20" t="n">
        <v>0</v>
      </c>
      <c r="O15" s="18" t="n">
        <v>0</v>
      </c>
      <c r="P15" s="20" t="n">
        <v>0</v>
      </c>
      <c r="Q15" s="18" t="n">
        <v>1.68286499</v>
      </c>
      <c r="R15" s="20" t="n">
        <v>0.60497565</v>
      </c>
    </row>
    <row r="16" spans="1:18">
      <c r="A16" s="15" t="s">
        <v>574</v>
      </c>
      <c r="B16" s="17" t="n">
        <v>6108</v>
      </c>
      <c r="C16" s="18">
        <f>(5446.0/B16*100)</f>
        <v/>
      </c>
      <c r="D16" s="19" t="n">
        <v>662</v>
      </c>
      <c r="E16" s="18" t="n">
        <v>60.2818691</v>
      </c>
      <c r="F16" s="20" t="n">
        <v>1.70325968</v>
      </c>
      <c r="G16" s="18" t="n">
        <v>35.44962817</v>
      </c>
      <c r="H16" s="20" t="n">
        <v>1.70381361</v>
      </c>
      <c r="I16" s="18" t="n">
        <v>0</v>
      </c>
      <c r="J16" s="20" t="n">
        <v>0</v>
      </c>
      <c r="K16" s="18" t="n">
        <v>1.05243351</v>
      </c>
      <c r="L16" s="20" t="n">
        <v>0.55488634</v>
      </c>
      <c r="M16" s="18" t="n">
        <v>0</v>
      </c>
      <c r="N16" s="20" t="n">
        <v>0</v>
      </c>
      <c r="O16" s="18" t="n">
        <v>0</v>
      </c>
      <c r="P16" s="20" t="n">
        <v>0</v>
      </c>
      <c r="Q16" s="18" t="n">
        <v>3.21606921</v>
      </c>
      <c r="R16" s="20" t="n">
        <v>0.59948762</v>
      </c>
    </row>
    <row r="17" spans="1:18">
      <c r="A17" s="15" t="s">
        <v>575</v>
      </c>
      <c r="B17" s="17" t="n">
        <v>6504</v>
      </c>
      <c r="C17" s="18">
        <f>(5821.0/B17*100)</f>
        <v/>
      </c>
      <c r="D17" s="19" t="n">
        <v>683</v>
      </c>
      <c r="E17" s="18" t="n">
        <v>60.10854445</v>
      </c>
      <c r="F17" s="20" t="n">
        <v>1.84226513</v>
      </c>
      <c r="G17" s="18" t="n">
        <v>37.14278787</v>
      </c>
      <c r="H17" s="20" t="n">
        <v>1.83849064</v>
      </c>
      <c r="I17" s="18" t="n">
        <v>0</v>
      </c>
      <c r="J17" s="20" t="n">
        <v>0</v>
      </c>
      <c r="K17" s="18" t="n">
        <v>0.33222832</v>
      </c>
      <c r="L17" s="20" t="n">
        <v>0.17576052</v>
      </c>
      <c r="M17" s="18" t="n">
        <v>0</v>
      </c>
      <c r="N17" s="20" t="n">
        <v>0</v>
      </c>
      <c r="O17" s="18" t="n">
        <v>0</v>
      </c>
      <c r="P17" s="20" t="n">
        <v>0</v>
      </c>
      <c r="Q17" s="18" t="n">
        <v>2.41643936</v>
      </c>
      <c r="R17" s="20" t="n">
        <v>0.6239193</v>
      </c>
    </row>
    <row r="18" spans="1:18">
      <c r="A18" s="15" t="s">
        <v>576</v>
      </c>
      <c r="B18" s="17" t="n">
        <v>5532</v>
      </c>
      <c r="C18" s="18">
        <f>(4915.0/B18*100)</f>
        <v/>
      </c>
      <c r="D18" s="19" t="n">
        <v>617</v>
      </c>
      <c r="E18" s="18" t="n">
        <v>69.61986664</v>
      </c>
      <c r="F18" s="20" t="n">
        <v>1.9530164</v>
      </c>
      <c r="G18" s="18" t="n">
        <v>26.65811243</v>
      </c>
      <c r="H18" s="20" t="n">
        <v>1.93463323</v>
      </c>
      <c r="I18" s="18" t="n">
        <v>0</v>
      </c>
      <c r="J18" s="20" t="n">
        <v>0</v>
      </c>
      <c r="K18" s="18" t="n">
        <v>0.29108929</v>
      </c>
      <c r="L18" s="20" t="n">
        <v>0.20357424</v>
      </c>
      <c r="M18" s="18" t="n">
        <v>0</v>
      </c>
      <c r="N18" s="20" t="n">
        <v>0</v>
      </c>
      <c r="O18" s="18" t="n">
        <v>0</v>
      </c>
      <c r="P18" s="20" t="n">
        <v>0</v>
      </c>
      <c r="Q18" s="18" t="n">
        <v>3.43093164</v>
      </c>
      <c r="R18" s="20" t="n">
        <v>0.65921529</v>
      </c>
    </row>
    <row r="19" spans="1:18">
      <c r="A19" s="15" t="s">
        <v>577</v>
      </c>
      <c r="B19" s="17" t="n">
        <v>5658</v>
      </c>
      <c r="C19" s="18">
        <f>(5050.0/B19*100)</f>
        <v/>
      </c>
      <c r="D19" s="19" t="n">
        <v>608</v>
      </c>
      <c r="E19" s="18" t="n">
        <v>57.6576419</v>
      </c>
      <c r="F19" s="20" t="n">
        <v>2.1300856</v>
      </c>
      <c r="G19" s="18" t="n">
        <v>38.75949876</v>
      </c>
      <c r="H19" s="20" t="n">
        <v>2.07044216</v>
      </c>
      <c r="I19" s="18" t="n">
        <v>0</v>
      </c>
      <c r="J19" s="20" t="n">
        <v>0</v>
      </c>
      <c r="K19" s="18" t="n">
        <v>0</v>
      </c>
      <c r="L19" s="20" t="n">
        <v>0</v>
      </c>
      <c r="M19" s="18" t="n">
        <v>0</v>
      </c>
      <c r="N19" s="20" t="n">
        <v>0</v>
      </c>
      <c r="O19" s="18" t="n">
        <v>0</v>
      </c>
      <c r="P19" s="20" t="n">
        <v>0</v>
      </c>
      <c r="Q19" s="18" t="n">
        <v>3.58285934</v>
      </c>
      <c r="R19" s="20" t="n">
        <v>0.82113017</v>
      </c>
    </row>
    <row r="20" spans="1:18">
      <c r="A20" s="15" t="s">
        <v>578</v>
      </c>
      <c r="B20" s="17" t="n">
        <v>3371</v>
      </c>
      <c r="C20" s="18">
        <f>(2976.0/B20*100)</f>
        <v/>
      </c>
      <c r="D20" s="19" t="n">
        <v>395</v>
      </c>
      <c r="E20" s="18" t="n">
        <v>62.1273148</v>
      </c>
      <c r="F20" s="20" t="n">
        <v>2.86114684</v>
      </c>
      <c r="G20" s="18" t="n">
        <v>34.3403158</v>
      </c>
      <c r="H20" s="20" t="n">
        <v>2.6621974</v>
      </c>
      <c r="I20" s="18" t="n">
        <v>0</v>
      </c>
      <c r="J20" s="20" t="n">
        <v>0</v>
      </c>
      <c r="K20" s="18" t="n">
        <v>0.24981263</v>
      </c>
      <c r="L20" s="20" t="n">
        <v>0.25083657</v>
      </c>
      <c r="M20" s="18" t="n">
        <v>0</v>
      </c>
      <c r="N20" s="20" t="n">
        <v>0</v>
      </c>
      <c r="O20" s="18" t="n">
        <v>0</v>
      </c>
      <c r="P20" s="20" t="n">
        <v>0</v>
      </c>
      <c r="Q20" s="18" t="n">
        <v>3.28255677</v>
      </c>
      <c r="R20" s="20" t="n">
        <v>0.96503745</v>
      </c>
    </row>
    <row r="21" spans="1:18">
      <c r="A21" s="15" t="s">
        <v>579</v>
      </c>
      <c r="B21" s="17" t="n">
        <v>5741</v>
      </c>
      <c r="C21" s="18">
        <f>(5119.0/B21*100)</f>
        <v/>
      </c>
      <c r="D21" s="19" t="n">
        <v>622</v>
      </c>
      <c r="E21" s="18" t="n">
        <v>58.73021677</v>
      </c>
      <c r="F21" s="20" t="n">
        <v>1.90240796</v>
      </c>
      <c r="G21" s="18" t="n">
        <v>39.88228897</v>
      </c>
      <c r="H21" s="20" t="n">
        <v>1.80995449</v>
      </c>
      <c r="I21" s="18" t="n">
        <v>0</v>
      </c>
      <c r="J21" s="20" t="n">
        <v>0</v>
      </c>
      <c r="K21" s="18" t="n">
        <v>0.13497007</v>
      </c>
      <c r="L21" s="20" t="n">
        <v>0.13368333</v>
      </c>
      <c r="M21" s="18" t="n">
        <v>0</v>
      </c>
      <c r="N21" s="20" t="n">
        <v>0</v>
      </c>
      <c r="O21" s="18" t="n">
        <v>0</v>
      </c>
      <c r="P21" s="20" t="n">
        <v>0</v>
      </c>
      <c r="Q21" s="18" t="n">
        <v>1.25252419</v>
      </c>
      <c r="R21" s="20" t="n">
        <v>0.45708295</v>
      </c>
    </row>
    <row r="22" spans="1:18">
      <c r="A22" s="15" t="s">
        <v>580</v>
      </c>
      <c r="B22" s="17" t="n">
        <v>6598</v>
      </c>
      <c r="C22" s="18">
        <f>(5852.0/B22*100)</f>
        <v/>
      </c>
      <c r="D22" s="19" t="n">
        <v>746</v>
      </c>
      <c r="E22" s="18" t="n">
        <v>64.97698214</v>
      </c>
      <c r="F22" s="20" t="n">
        <v>2.16997811</v>
      </c>
      <c r="G22" s="18" t="n">
        <v>29.65245659</v>
      </c>
      <c r="H22" s="20" t="n">
        <v>1.97348288</v>
      </c>
      <c r="I22" s="18" t="n">
        <v>0</v>
      </c>
      <c r="J22" s="20" t="n">
        <v>0</v>
      </c>
      <c r="K22" s="18" t="n">
        <v>0.81911414</v>
      </c>
      <c r="L22" s="20" t="n">
        <v>0.33519263</v>
      </c>
      <c r="M22" s="18" t="n">
        <v>0</v>
      </c>
      <c r="N22" s="20" t="n">
        <v>0</v>
      </c>
      <c r="O22" s="18" t="n">
        <v>0</v>
      </c>
      <c r="P22" s="20" t="n">
        <v>0</v>
      </c>
      <c r="Q22" s="18" t="n">
        <v>4.55144712</v>
      </c>
      <c r="R22" s="20" t="n">
        <v>0.73867642</v>
      </c>
    </row>
    <row r="23" spans="1:18">
      <c r="A23" s="15" t="s">
        <v>581</v>
      </c>
      <c r="B23" s="17" t="n">
        <v>11583</v>
      </c>
      <c r="C23" s="18">
        <f>(10345.0/B23*100)</f>
        <v/>
      </c>
      <c r="D23" s="19" t="n">
        <v>1238</v>
      </c>
      <c r="E23" s="18" t="n">
        <v>63.25811202</v>
      </c>
      <c r="F23" s="20" t="n">
        <v>1.86990954</v>
      </c>
      <c r="G23" s="18" t="n">
        <v>31.03860836</v>
      </c>
      <c r="H23" s="20" t="n">
        <v>1.80738707</v>
      </c>
      <c r="I23" s="18" t="n">
        <v>0</v>
      </c>
      <c r="J23" s="20" t="n">
        <v>0</v>
      </c>
      <c r="K23" s="18" t="n">
        <v>0.22233265</v>
      </c>
      <c r="L23" s="20" t="n">
        <v>0.15191838</v>
      </c>
      <c r="M23" s="18" t="n">
        <v>0</v>
      </c>
      <c r="N23" s="20" t="n">
        <v>0</v>
      </c>
      <c r="O23" s="18" t="n">
        <v>0</v>
      </c>
      <c r="P23" s="20" t="n">
        <v>0</v>
      </c>
      <c r="Q23" s="18" t="n">
        <v>5.48094698</v>
      </c>
      <c r="R23" s="20" t="n">
        <v>0.80003099</v>
      </c>
    </row>
    <row r="24" spans="1:18">
      <c r="A24" s="15" t="s">
        <v>582</v>
      </c>
      <c r="B24" s="17" t="n">
        <v>6647</v>
      </c>
      <c r="C24" s="18">
        <f>(5924.0/B24*100)</f>
        <v/>
      </c>
      <c r="D24" s="19" t="n">
        <v>723</v>
      </c>
      <c r="E24" s="18" t="n">
        <v>47.7604151</v>
      </c>
      <c r="F24" s="20" t="n">
        <v>2.13246704</v>
      </c>
      <c r="G24" s="18" t="n">
        <v>50.32659322</v>
      </c>
      <c r="H24" s="20" t="n">
        <v>2.12167247</v>
      </c>
      <c r="I24" s="18" t="n">
        <v>0</v>
      </c>
      <c r="J24" s="20" t="n">
        <v>0</v>
      </c>
      <c r="K24" s="18" t="n">
        <v>0</v>
      </c>
      <c r="L24" s="20" t="n">
        <v>0</v>
      </c>
      <c r="M24" s="18" t="n">
        <v>0</v>
      </c>
      <c r="N24" s="20" t="n">
        <v>0</v>
      </c>
      <c r="O24" s="18" t="n">
        <v>0</v>
      </c>
      <c r="P24" s="20" t="n">
        <v>0</v>
      </c>
      <c r="Q24" s="18" t="n">
        <v>1.91299168</v>
      </c>
      <c r="R24" s="20" t="n">
        <v>0.5788215</v>
      </c>
    </row>
    <row r="25" spans="1:18">
      <c r="A25" s="15" t="s">
        <v>583</v>
      </c>
      <c r="B25" s="17" t="n">
        <v>5581</v>
      </c>
      <c r="C25" s="18">
        <f>(4963.0/B25*100)</f>
        <v/>
      </c>
      <c r="D25" s="19" t="n">
        <v>618</v>
      </c>
      <c r="E25" s="18" t="n">
        <v>47.99905383</v>
      </c>
      <c r="F25" s="20" t="n">
        <v>2.24070024</v>
      </c>
      <c r="G25" s="18" t="n">
        <v>49.85373463</v>
      </c>
      <c r="H25" s="20" t="n">
        <v>2.28584685</v>
      </c>
      <c r="I25" s="18" t="n">
        <v>0</v>
      </c>
      <c r="J25" s="20" t="n">
        <v>0</v>
      </c>
      <c r="K25" s="18" t="n">
        <v>0.45620535</v>
      </c>
      <c r="L25" s="20" t="n">
        <v>0.26785385</v>
      </c>
      <c r="M25" s="18" t="n">
        <v>0</v>
      </c>
      <c r="N25" s="20" t="n">
        <v>0</v>
      </c>
      <c r="O25" s="18" t="n">
        <v>0</v>
      </c>
      <c r="P25" s="20" t="n">
        <v>0</v>
      </c>
      <c r="Q25" s="18" t="n">
        <v>1.69100618</v>
      </c>
      <c r="R25" s="20" t="n">
        <v>0.49294925</v>
      </c>
    </row>
    <row r="26" spans="1:18">
      <c r="A26" s="15" t="s">
        <v>584</v>
      </c>
      <c r="B26" s="17" t="n">
        <v>4869</v>
      </c>
      <c r="C26" s="18">
        <f>(4331.0/B26*100)</f>
        <v/>
      </c>
      <c r="D26" s="19" t="n">
        <v>538</v>
      </c>
      <c r="E26" s="18" t="n">
        <v>61.85075134</v>
      </c>
      <c r="F26" s="20" t="n">
        <v>2.37656326</v>
      </c>
      <c r="G26" s="18" t="n">
        <v>37.82689069</v>
      </c>
      <c r="H26" s="20" t="n">
        <v>2.34015091</v>
      </c>
      <c r="I26" s="18" t="n">
        <v>0</v>
      </c>
      <c r="J26" s="20" t="n">
        <v>0</v>
      </c>
      <c r="K26" s="18" t="n">
        <v>0.1483869</v>
      </c>
      <c r="L26" s="20" t="n">
        <v>0.16152774</v>
      </c>
      <c r="M26" s="18" t="n">
        <v>0</v>
      </c>
      <c r="N26" s="20" t="n">
        <v>0</v>
      </c>
      <c r="O26" s="18" t="n">
        <v>0</v>
      </c>
      <c r="P26" s="20" t="n">
        <v>0</v>
      </c>
      <c r="Q26" s="18" t="n">
        <v>0.17397107</v>
      </c>
      <c r="R26" s="20" t="n">
        <v>0.16565622</v>
      </c>
    </row>
    <row r="27" spans="1:18">
      <c r="A27" s="15" t="s">
        <v>585</v>
      </c>
      <c r="B27" s="17" t="n">
        <v>5299</v>
      </c>
      <c r="C27" s="18">
        <f>(4717.0/B27*100)</f>
        <v/>
      </c>
      <c r="D27" s="19" t="n">
        <v>582</v>
      </c>
      <c r="E27" s="18" t="n">
        <v>58.63285667</v>
      </c>
      <c r="F27" s="20" t="n">
        <v>1.6960107</v>
      </c>
      <c r="G27" s="18" t="n">
        <v>37.06131162</v>
      </c>
      <c r="H27" s="20" t="n">
        <v>1.73629501</v>
      </c>
      <c r="I27" s="18" t="n">
        <v>0</v>
      </c>
      <c r="J27" s="20" t="n">
        <v>0</v>
      </c>
      <c r="K27" s="18" t="n">
        <v>0.52528153</v>
      </c>
      <c r="L27" s="20" t="n">
        <v>0.30397056</v>
      </c>
      <c r="M27" s="18" t="n">
        <v>0</v>
      </c>
      <c r="N27" s="20" t="n">
        <v>0</v>
      </c>
      <c r="O27" s="18" t="n">
        <v>0</v>
      </c>
      <c r="P27" s="20" t="n">
        <v>0</v>
      </c>
      <c r="Q27" s="18" t="n">
        <v>3.78055018</v>
      </c>
      <c r="R27" s="20" t="n">
        <v>0.77201548</v>
      </c>
    </row>
    <row r="28" spans="1:18">
      <c r="A28" s="15" t="s">
        <v>586</v>
      </c>
      <c r="B28" s="17" t="n">
        <v>7568</v>
      </c>
      <c r="C28" s="18">
        <f>(6804.0/B28*100)</f>
        <v/>
      </c>
      <c r="D28" s="19" t="n">
        <v>764</v>
      </c>
      <c r="E28" s="18" t="n">
        <v>84.11719298</v>
      </c>
      <c r="F28" s="20" t="n">
        <v>1.59203672</v>
      </c>
      <c r="G28" s="18" t="n">
        <v>11.53103256</v>
      </c>
      <c r="H28" s="20" t="n">
        <v>1.30013785</v>
      </c>
      <c r="I28" s="18" t="n">
        <v>0</v>
      </c>
      <c r="J28" s="20" t="n">
        <v>0</v>
      </c>
      <c r="K28" s="18" t="n">
        <v>1.15099208</v>
      </c>
      <c r="L28" s="20" t="n">
        <v>0.40954846</v>
      </c>
      <c r="M28" s="18" t="n">
        <v>0</v>
      </c>
      <c r="N28" s="20" t="n">
        <v>0</v>
      </c>
      <c r="O28" s="18" t="n">
        <v>0</v>
      </c>
      <c r="P28" s="20" t="n">
        <v>0</v>
      </c>
      <c r="Q28" s="18" t="n">
        <v>3.20078238</v>
      </c>
      <c r="R28" s="20" t="n">
        <v>0.85913922</v>
      </c>
    </row>
    <row r="29" spans="1:18">
      <c r="A29" s="15" t="s">
        <v>587</v>
      </c>
      <c r="B29" s="17" t="n">
        <v>5385</v>
      </c>
      <c r="C29" s="18">
        <f>(4802.0/B29*100)</f>
        <v/>
      </c>
      <c r="D29" s="19" t="n">
        <v>583</v>
      </c>
      <c r="E29" s="18" t="n">
        <v>60.92773949</v>
      </c>
      <c r="F29" s="20" t="n">
        <v>2.09459159</v>
      </c>
      <c r="G29" s="18" t="n">
        <v>37.38959534</v>
      </c>
      <c r="H29" s="20" t="n">
        <v>1.99737051</v>
      </c>
      <c r="I29" s="18" t="n">
        <v>0</v>
      </c>
      <c r="J29" s="20" t="n">
        <v>0</v>
      </c>
      <c r="K29" s="18" t="n">
        <v>0.21086583</v>
      </c>
      <c r="L29" s="20" t="n">
        <v>0.19765015</v>
      </c>
      <c r="M29" s="18" t="n">
        <v>0</v>
      </c>
      <c r="N29" s="20" t="n">
        <v>0</v>
      </c>
      <c r="O29" s="18" t="n">
        <v>0</v>
      </c>
      <c r="P29" s="20" t="n">
        <v>0</v>
      </c>
      <c r="Q29" s="18" t="n">
        <v>1.47179933</v>
      </c>
      <c r="R29" s="20" t="n">
        <v>0.51290272</v>
      </c>
    </row>
    <row r="30" spans="1:18">
      <c r="A30" s="15" t="s">
        <v>588</v>
      </c>
      <c r="B30" s="17" t="n">
        <v>4520</v>
      </c>
      <c r="C30" s="18">
        <f>(4042.0/B30*100)</f>
        <v/>
      </c>
      <c r="D30" s="19" t="n">
        <v>478</v>
      </c>
      <c r="E30" s="18" t="n">
        <v>63.85891474</v>
      </c>
      <c r="F30" s="20" t="n">
        <v>2.50438422</v>
      </c>
      <c r="G30" s="18" t="n">
        <v>30.99475299</v>
      </c>
      <c r="H30" s="20" t="n">
        <v>2.4954201</v>
      </c>
      <c r="I30" s="18" t="n">
        <v>0</v>
      </c>
      <c r="J30" s="20" t="n">
        <v>0</v>
      </c>
      <c r="K30" s="18" t="n">
        <v>0</v>
      </c>
      <c r="L30" s="20" t="n">
        <v>0</v>
      </c>
      <c r="M30" s="18" t="n">
        <v>0</v>
      </c>
      <c r="N30" s="20" t="n">
        <v>0</v>
      </c>
      <c r="O30" s="18" t="n">
        <v>0</v>
      </c>
      <c r="P30" s="20" t="n">
        <v>0</v>
      </c>
      <c r="Q30" s="18" t="n">
        <v>5.14633227</v>
      </c>
      <c r="R30" s="20" t="n">
        <v>1.103511</v>
      </c>
    </row>
    <row r="31" spans="1:18">
      <c r="A31" s="15" t="s">
        <v>589</v>
      </c>
      <c r="B31" s="17" t="n">
        <v>5456</v>
      </c>
      <c r="C31" s="18">
        <f>(4854.0/B31*100)</f>
        <v/>
      </c>
      <c r="D31" s="19" t="n">
        <v>602</v>
      </c>
      <c r="E31" s="18" t="n">
        <v>68.50521195</v>
      </c>
      <c r="F31" s="20" t="n">
        <v>1.78693684</v>
      </c>
      <c r="G31" s="18" t="n">
        <v>27.23639023</v>
      </c>
      <c r="H31" s="20" t="n">
        <v>1.83371656</v>
      </c>
      <c r="I31" s="18" t="n">
        <v>0</v>
      </c>
      <c r="J31" s="20" t="n">
        <v>0</v>
      </c>
      <c r="K31" s="18" t="n">
        <v>0.4578044</v>
      </c>
      <c r="L31" s="20" t="n">
        <v>0.25905746</v>
      </c>
      <c r="M31" s="18" t="n">
        <v>0</v>
      </c>
      <c r="N31" s="20" t="n">
        <v>0</v>
      </c>
      <c r="O31" s="18" t="n">
        <v>0</v>
      </c>
      <c r="P31" s="20" t="n">
        <v>0</v>
      </c>
      <c r="Q31" s="18" t="n">
        <v>3.80059341</v>
      </c>
      <c r="R31" s="20" t="n">
        <v>0.79952702</v>
      </c>
    </row>
    <row r="32" spans="1:18">
      <c r="A32" s="15" t="s">
        <v>590</v>
      </c>
      <c r="B32" s="17" t="n">
        <v>4478</v>
      </c>
      <c r="C32" s="18">
        <f>(3972.0/B32*100)</f>
        <v/>
      </c>
      <c r="D32" s="19" t="n">
        <v>506</v>
      </c>
      <c r="E32" s="18" t="n">
        <v>59.30504907</v>
      </c>
      <c r="F32" s="20" t="n">
        <v>2.55177206</v>
      </c>
      <c r="G32" s="18" t="n">
        <v>40.23325952</v>
      </c>
      <c r="H32" s="20" t="n">
        <v>2.53699684</v>
      </c>
      <c r="I32" s="18" t="n">
        <v>0</v>
      </c>
      <c r="J32" s="20" t="n">
        <v>0</v>
      </c>
      <c r="K32" s="18" t="n">
        <v>0</v>
      </c>
      <c r="L32" s="20" t="n">
        <v>0</v>
      </c>
      <c r="M32" s="18" t="n">
        <v>0</v>
      </c>
      <c r="N32" s="20" t="n">
        <v>0</v>
      </c>
      <c r="O32" s="18" t="n">
        <v>0</v>
      </c>
      <c r="P32" s="20" t="n">
        <v>0</v>
      </c>
      <c r="Q32" s="18" t="n">
        <v>0.46169142</v>
      </c>
      <c r="R32" s="20" t="n">
        <v>0.27985847</v>
      </c>
    </row>
    <row r="33" spans="1:18">
      <c r="A33" s="15" t="s">
        <v>591</v>
      </c>
      <c r="B33" s="17" t="n">
        <v>7325</v>
      </c>
      <c r="C33" s="18">
        <f>(6526.0/B33*100)</f>
        <v/>
      </c>
      <c r="D33" s="19" t="n">
        <v>799</v>
      </c>
      <c r="E33" s="18" t="n">
        <v>62.33066048</v>
      </c>
      <c r="F33" s="20" t="n">
        <v>1.93741868</v>
      </c>
      <c r="G33" s="18" t="n">
        <v>36.28115087</v>
      </c>
      <c r="H33" s="20" t="n">
        <v>1.98537679</v>
      </c>
      <c r="I33" s="18" t="n">
        <v>0</v>
      </c>
      <c r="J33" s="20" t="n">
        <v>0</v>
      </c>
      <c r="K33" s="18" t="n">
        <v>0.35687386</v>
      </c>
      <c r="L33" s="20" t="n">
        <v>0.2376319</v>
      </c>
      <c r="M33" s="18" t="n">
        <v>0</v>
      </c>
      <c r="N33" s="20" t="n">
        <v>0</v>
      </c>
      <c r="O33" s="18" t="n">
        <v>0</v>
      </c>
      <c r="P33" s="20" t="n">
        <v>0</v>
      </c>
      <c r="Q33" s="18" t="n">
        <v>1.03131479</v>
      </c>
      <c r="R33" s="20" t="n">
        <v>0.39259382</v>
      </c>
    </row>
    <row r="34" spans="1:18">
      <c r="A34" s="15" t="s">
        <v>592</v>
      </c>
      <c r="B34" s="17" t="n">
        <v>6350</v>
      </c>
      <c r="C34" s="18">
        <f>(5649.0/B34*100)</f>
        <v/>
      </c>
      <c r="D34" s="19" t="n">
        <v>701</v>
      </c>
      <c r="E34" s="18" t="n">
        <v>62.32721795</v>
      </c>
      <c r="F34" s="20" t="n">
        <v>2.14402353</v>
      </c>
      <c r="G34" s="18" t="n">
        <v>33.70766035</v>
      </c>
      <c r="H34" s="20" t="n">
        <v>2.02892114</v>
      </c>
      <c r="I34" s="18" t="n">
        <v>0</v>
      </c>
      <c r="J34" s="20" t="n">
        <v>0</v>
      </c>
      <c r="K34" s="18" t="n">
        <v>0.12901296</v>
      </c>
      <c r="L34" s="20" t="n">
        <v>0.12886963</v>
      </c>
      <c r="M34" s="18" t="n">
        <v>0</v>
      </c>
      <c r="N34" s="20" t="n">
        <v>0</v>
      </c>
      <c r="O34" s="18" t="n">
        <v>0</v>
      </c>
      <c r="P34" s="20" t="n">
        <v>0</v>
      </c>
      <c r="Q34" s="18" t="n">
        <v>3.83610873</v>
      </c>
      <c r="R34" s="20" t="n">
        <v>0.76002709</v>
      </c>
    </row>
    <row r="35" spans="1:18">
      <c r="A35" s="15" t="s">
        <v>593</v>
      </c>
      <c r="B35" s="17" t="n">
        <v>6406</v>
      </c>
      <c r="C35" s="18">
        <f>(5749.0/B35*100)</f>
        <v/>
      </c>
      <c r="D35" s="19" t="n">
        <v>657</v>
      </c>
      <c r="E35" s="18" t="n">
        <v>52.09959486</v>
      </c>
      <c r="F35" s="20" t="n">
        <v>2.54053725</v>
      </c>
      <c r="G35" s="18" t="n">
        <v>45.74419924</v>
      </c>
      <c r="H35" s="20" t="n">
        <v>2.66496326</v>
      </c>
      <c r="I35" s="18" t="n">
        <v>0</v>
      </c>
      <c r="J35" s="20" t="n">
        <v>0</v>
      </c>
      <c r="K35" s="18" t="n">
        <v>0.06603816</v>
      </c>
      <c r="L35" s="20" t="n">
        <v>0.06654951000000001</v>
      </c>
      <c r="M35" s="18" t="n">
        <v>0</v>
      </c>
      <c r="N35" s="20" t="n">
        <v>0</v>
      </c>
      <c r="O35" s="18" t="n">
        <v>0</v>
      </c>
      <c r="P35" s="20" t="n">
        <v>0</v>
      </c>
      <c r="Q35" s="18" t="n">
        <v>2.09016774</v>
      </c>
      <c r="R35" s="20" t="n">
        <v>0.57651466</v>
      </c>
    </row>
    <row r="36" spans="1:18">
      <c r="A36" s="15" t="s">
        <v>594</v>
      </c>
      <c r="B36" s="17" t="n">
        <v>6736</v>
      </c>
      <c r="C36" s="18">
        <f>(6033.0/B36*100)</f>
        <v/>
      </c>
      <c r="D36" s="19" t="n">
        <v>703</v>
      </c>
      <c r="E36" s="18" t="n">
        <v>63.81143392</v>
      </c>
      <c r="F36" s="20" t="n">
        <v>1.88470683</v>
      </c>
      <c r="G36" s="18" t="n">
        <v>33.01282649</v>
      </c>
      <c r="H36" s="20" t="n">
        <v>1.97723647</v>
      </c>
      <c r="I36" s="18" t="n">
        <v>0</v>
      </c>
      <c r="J36" s="20" t="n">
        <v>0</v>
      </c>
      <c r="K36" s="18" t="n">
        <v>0.16976334</v>
      </c>
      <c r="L36" s="20" t="n">
        <v>0.12463759</v>
      </c>
      <c r="M36" s="18" t="n">
        <v>0</v>
      </c>
      <c r="N36" s="20" t="n">
        <v>0</v>
      </c>
      <c r="O36" s="18" t="n">
        <v>0</v>
      </c>
      <c r="P36" s="20" t="n">
        <v>0</v>
      </c>
      <c r="Q36" s="18" t="n">
        <v>3.00597625</v>
      </c>
      <c r="R36" s="20" t="n">
        <v>0.67276259</v>
      </c>
    </row>
    <row r="37" spans="1:18">
      <c r="A37" s="15" t="s">
        <v>595</v>
      </c>
      <c r="B37" s="17" t="n">
        <v>5458</v>
      </c>
      <c r="C37" s="18">
        <f>(4859.0/B37*100)</f>
        <v/>
      </c>
      <c r="D37" s="19" t="n">
        <v>599</v>
      </c>
      <c r="E37" s="18" t="n">
        <v>71.45883310000001</v>
      </c>
      <c r="F37" s="20" t="n">
        <v>1.99223434</v>
      </c>
      <c r="G37" s="18" t="n">
        <v>23.11498742</v>
      </c>
      <c r="H37" s="20" t="n">
        <v>2.13010937</v>
      </c>
      <c r="I37" s="18" t="n">
        <v>0</v>
      </c>
      <c r="J37" s="20" t="n">
        <v>0</v>
      </c>
      <c r="K37" s="18" t="n">
        <v>0.98773886</v>
      </c>
      <c r="L37" s="20" t="n">
        <v>0.40375066</v>
      </c>
      <c r="M37" s="18" t="n">
        <v>0</v>
      </c>
      <c r="N37" s="20" t="n">
        <v>0</v>
      </c>
      <c r="O37" s="18" t="n">
        <v>0</v>
      </c>
      <c r="P37" s="20" t="n">
        <v>0</v>
      </c>
      <c r="Q37" s="18" t="n">
        <v>4.43844062</v>
      </c>
      <c r="R37" s="20" t="n">
        <v>0.9599484</v>
      </c>
    </row>
    <row r="38" spans="1:18">
      <c r="A38" s="15" t="s">
        <v>596</v>
      </c>
      <c r="B38" s="17" t="n">
        <v>5860</v>
      </c>
      <c r="C38" s="18">
        <f>(5204.0/B38*100)</f>
        <v/>
      </c>
      <c r="D38" s="19" t="n">
        <v>656</v>
      </c>
      <c r="E38" s="18" t="n">
        <v>56.06697387</v>
      </c>
      <c r="F38" s="20" t="n">
        <v>2.24130721</v>
      </c>
      <c r="G38" s="18" t="n">
        <v>40.09279631</v>
      </c>
      <c r="H38" s="20" t="n">
        <v>2.06229219</v>
      </c>
      <c r="I38" s="18" t="n">
        <v>0</v>
      </c>
      <c r="J38" s="20" t="n">
        <v>0</v>
      </c>
      <c r="K38" s="18" t="n">
        <v>0.36729465</v>
      </c>
      <c r="L38" s="20" t="n">
        <v>0.23720378</v>
      </c>
      <c r="M38" s="18" t="n">
        <v>0</v>
      </c>
      <c r="N38" s="20" t="n">
        <v>0</v>
      </c>
      <c r="O38" s="18" t="n">
        <v>0</v>
      </c>
      <c r="P38" s="20" t="n">
        <v>0</v>
      </c>
      <c r="Q38" s="18" t="n">
        <v>3.47293517</v>
      </c>
      <c r="R38" s="20" t="n">
        <v>0.90488178</v>
      </c>
    </row>
    <row r="39" spans="1:18">
      <c r="A39" s="15" t="s">
        <v>597</v>
      </c>
      <c r="B39" s="17" t="n">
        <v>5895</v>
      </c>
      <c r="C39" s="18">
        <f>(5237.0/B39*100)</f>
        <v/>
      </c>
      <c r="D39" s="19" t="n">
        <v>658</v>
      </c>
      <c r="E39" s="18" t="n">
        <v>68.20529687</v>
      </c>
      <c r="F39" s="20" t="n">
        <v>2.17878188</v>
      </c>
      <c r="G39" s="18" t="n">
        <v>27.22105147</v>
      </c>
      <c r="H39" s="20" t="n">
        <v>2.19456676</v>
      </c>
      <c r="I39" s="18" t="n">
        <v>0</v>
      </c>
      <c r="J39" s="20" t="n">
        <v>0</v>
      </c>
      <c r="K39" s="18" t="n">
        <v>0</v>
      </c>
      <c r="L39" s="20" t="n">
        <v>0</v>
      </c>
      <c r="M39" s="18" t="n">
        <v>0</v>
      </c>
      <c r="N39" s="20" t="n">
        <v>0</v>
      </c>
      <c r="O39" s="18" t="n">
        <v>0</v>
      </c>
      <c r="P39" s="20" t="n">
        <v>0</v>
      </c>
      <c r="Q39" s="18" t="n">
        <v>4.57365166</v>
      </c>
      <c r="R39" s="20" t="n">
        <v>0.7027361</v>
      </c>
    </row>
    <row r="40" spans="1:18">
      <c r="A40" s="15" t="s">
        <v>598</v>
      </c>
      <c r="B40" s="17" t="n">
        <v>14157</v>
      </c>
      <c r="C40" s="18">
        <f>(12600.0/B40*100)</f>
        <v/>
      </c>
      <c r="D40" s="19" t="n">
        <v>1557</v>
      </c>
      <c r="E40" s="18" t="n">
        <v>66.50495748</v>
      </c>
      <c r="F40" s="20" t="n">
        <v>1.7840127</v>
      </c>
      <c r="G40" s="18" t="n">
        <v>29.795595</v>
      </c>
      <c r="H40" s="20" t="n">
        <v>1.65931821</v>
      </c>
      <c r="I40" s="18" t="n">
        <v>0</v>
      </c>
      <c r="J40" s="20" t="n">
        <v>0</v>
      </c>
      <c r="K40" s="18" t="n">
        <v>0.43904617</v>
      </c>
      <c r="L40" s="20" t="n">
        <v>0.24258093</v>
      </c>
      <c r="M40" s="18" t="n">
        <v>0</v>
      </c>
      <c r="N40" s="20" t="n">
        <v>0</v>
      </c>
      <c r="O40" s="18" t="n">
        <v>0</v>
      </c>
      <c r="P40" s="20" t="n">
        <v>0</v>
      </c>
      <c r="Q40" s="18" t="n">
        <v>3.26040135</v>
      </c>
      <c r="R40" s="20" t="n">
        <v>0.72640391</v>
      </c>
    </row>
    <row r="41" spans="1:18">
      <c r="A41" s="15" t="s">
        <v>599</v>
      </c>
      <c r="B41" s="17" t="n">
        <v>5712</v>
      </c>
      <c r="C41" s="18">
        <f>(5089.0/B41*100)</f>
        <v/>
      </c>
      <c r="D41" s="19" t="n">
        <v>623</v>
      </c>
      <c r="E41" s="18" t="n">
        <v>68.40495696000001</v>
      </c>
      <c r="F41" s="20" t="n">
        <v>2.39820644</v>
      </c>
      <c r="G41" s="18" t="n">
        <v>30.61854557</v>
      </c>
      <c r="H41" s="20" t="n">
        <v>2.40355883</v>
      </c>
      <c r="I41" s="18" t="n">
        <v>0</v>
      </c>
      <c r="J41" s="20" t="n">
        <v>0</v>
      </c>
      <c r="K41" s="18" t="n">
        <v>0</v>
      </c>
      <c r="L41" s="20" t="n">
        <v>0</v>
      </c>
      <c r="M41" s="18" t="n">
        <v>0</v>
      </c>
      <c r="N41" s="20" t="n">
        <v>0</v>
      </c>
      <c r="O41" s="18" t="n">
        <v>0</v>
      </c>
      <c r="P41" s="20" t="n">
        <v>0</v>
      </c>
      <c r="Q41" s="18" t="n">
        <v>0.97649747</v>
      </c>
      <c r="R41" s="20" t="n">
        <v>0.40465287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(21126.0/B46*100)</f>
        <v/>
      </c>
      <c r="D46" s="19" t="n">
        <v>2015</v>
      </c>
      <c r="E46" s="18" t="n">
        <v>75.07826415</v>
      </c>
      <c r="F46" s="20" t="n">
        <v>1.32630922</v>
      </c>
      <c r="G46" s="18" t="n">
        <v>15.92953177</v>
      </c>
      <c r="H46" s="20" t="n">
        <v>1.11915289</v>
      </c>
      <c r="I46" s="18" t="n">
        <v>0</v>
      </c>
      <c r="J46" s="20" t="n">
        <v>0</v>
      </c>
      <c r="K46" s="18" t="n">
        <v>0.91359649</v>
      </c>
      <c r="L46" s="20" t="n">
        <v>0.27693694</v>
      </c>
      <c r="M46" s="18" t="n">
        <v>0</v>
      </c>
      <c r="N46" s="20" t="n">
        <v>0</v>
      </c>
      <c r="O46" s="18" t="n">
        <v>0</v>
      </c>
      <c r="P46" s="20" t="n">
        <v>0</v>
      </c>
      <c r="Q46" s="18" t="n">
        <v>8.0786076</v>
      </c>
      <c r="R46" s="20" t="n">
        <v>0.928781</v>
      </c>
    </row>
    <row r="47" spans="1:18">
      <c r="A47" s="15" t="s">
        <v>606</v>
      </c>
      <c r="B47" s="17" t="n">
        <v>5928</v>
      </c>
      <c r="C47" s="18">
        <f>(5261.0/B47*100)</f>
        <v/>
      </c>
      <c r="D47" s="19" t="n">
        <v>667</v>
      </c>
      <c r="E47" s="18" t="n">
        <v>65.51226776999999</v>
      </c>
      <c r="F47" s="20" t="n">
        <v>2.25424911</v>
      </c>
      <c r="G47" s="18" t="n">
        <v>28.15088888</v>
      </c>
      <c r="H47" s="20" t="n">
        <v>2.10694076</v>
      </c>
      <c r="I47" s="18" t="n">
        <v>0</v>
      </c>
      <c r="J47" s="20" t="n">
        <v>0</v>
      </c>
      <c r="K47" s="18" t="n">
        <v>0.43427212</v>
      </c>
      <c r="L47" s="20" t="n">
        <v>0.29598713</v>
      </c>
      <c r="M47" s="18" t="n">
        <v>0</v>
      </c>
      <c r="N47" s="20" t="n">
        <v>0</v>
      </c>
      <c r="O47" s="18" t="n">
        <v>0</v>
      </c>
      <c r="P47" s="20" t="n">
        <v>0</v>
      </c>
      <c r="Q47" s="18" t="n">
        <v>5.90257123</v>
      </c>
      <c r="R47" s="20" t="n">
        <v>1.02787368</v>
      </c>
    </row>
    <row r="48" spans="1:18">
      <c r="A48" s="15" t="s">
        <v>607</v>
      </c>
      <c r="B48" s="17" t="n">
        <v>9841</v>
      </c>
      <c r="C48" s="18">
        <f>(8727.0/B48*100)</f>
        <v/>
      </c>
      <c r="D48" s="19" t="n">
        <v>1114</v>
      </c>
      <c r="E48" s="18" t="n">
        <v>50.52284629</v>
      </c>
      <c r="F48" s="20" t="n">
        <v>2.11075343</v>
      </c>
      <c r="G48" s="18" t="n">
        <v>47.57103638</v>
      </c>
      <c r="H48" s="20" t="n">
        <v>2.14253353</v>
      </c>
      <c r="I48" s="18" t="n">
        <v>0</v>
      </c>
      <c r="J48" s="20" t="n">
        <v>0</v>
      </c>
      <c r="K48" s="18" t="n">
        <v>0.28392456</v>
      </c>
      <c r="L48" s="20" t="n">
        <v>0.21946995</v>
      </c>
      <c r="M48" s="18" t="n">
        <v>0</v>
      </c>
      <c r="N48" s="20" t="n">
        <v>0</v>
      </c>
      <c r="O48" s="18" t="n">
        <v>0</v>
      </c>
      <c r="P48" s="20" t="n">
        <v>0</v>
      </c>
      <c r="Q48" s="18" t="n">
        <v>1.62219277</v>
      </c>
      <c r="R48" s="20" t="n">
        <v>0.50782942</v>
      </c>
    </row>
    <row r="49" spans="1:18">
      <c r="A49" s="15" t="s">
        <v>608</v>
      </c>
      <c r="B49" s="17" t="n">
        <v>11795</v>
      </c>
      <c r="C49" s="18">
        <f>(10479.0/B49*100)</f>
        <v/>
      </c>
      <c r="D49" s="19" t="n">
        <v>1316</v>
      </c>
      <c r="E49" s="18" t="n">
        <v>82.07154221</v>
      </c>
      <c r="F49" s="20" t="n">
        <v>1.64467167</v>
      </c>
      <c r="G49" s="18" t="n">
        <v>13.64090455</v>
      </c>
      <c r="H49" s="20" t="n">
        <v>1.36625189</v>
      </c>
      <c r="I49" s="18" t="n">
        <v>0</v>
      </c>
      <c r="J49" s="20" t="n">
        <v>0</v>
      </c>
      <c r="K49" s="18" t="n">
        <v>1.5157039</v>
      </c>
      <c r="L49" s="20" t="n">
        <v>0.61719365</v>
      </c>
      <c r="M49" s="18" t="n">
        <v>0</v>
      </c>
      <c r="N49" s="20" t="n">
        <v>0</v>
      </c>
      <c r="O49" s="18" t="n">
        <v>0</v>
      </c>
      <c r="P49" s="20" t="n">
        <v>0</v>
      </c>
      <c r="Q49" s="18" t="n">
        <v>2.77184934</v>
      </c>
      <c r="R49" s="20" t="n">
        <v>0.74290067</v>
      </c>
    </row>
    <row r="50" spans="1:18">
      <c r="A50" s="15" t="s">
        <v>609</v>
      </c>
      <c r="B50" s="17" t="n">
        <v>6866</v>
      </c>
      <c r="C50" s="18">
        <f>(6221.0/B50*100)</f>
        <v/>
      </c>
      <c r="D50" s="19" t="n">
        <v>645</v>
      </c>
      <c r="E50" s="18" t="n">
        <v>81.52769232</v>
      </c>
      <c r="F50" s="20" t="n">
        <v>1.58562979</v>
      </c>
      <c r="G50" s="18" t="n">
        <v>13.87328339</v>
      </c>
      <c r="H50" s="20" t="n">
        <v>1.36025709</v>
      </c>
      <c r="I50" s="18" t="n">
        <v>0</v>
      </c>
      <c r="J50" s="20" t="n">
        <v>0</v>
      </c>
      <c r="K50" s="18" t="n">
        <v>0.21415468</v>
      </c>
      <c r="L50" s="20" t="n">
        <v>0.20777524</v>
      </c>
      <c r="M50" s="18" t="n">
        <v>0</v>
      </c>
      <c r="N50" s="20" t="n">
        <v>0</v>
      </c>
      <c r="O50" s="18" t="n">
        <v>0</v>
      </c>
      <c r="P50" s="20" t="n">
        <v>0</v>
      </c>
      <c r="Q50" s="18" t="n">
        <v>4.3848696</v>
      </c>
      <c r="R50" s="20" t="n">
        <v>1.07692033</v>
      </c>
    </row>
    <row r="51" spans="1:18">
      <c r="A51" s="15" t="s">
        <v>610</v>
      </c>
      <c r="B51" s="17" t="n">
        <v>5809</v>
      </c>
      <c r="C51" s="18">
        <f>(5129.0/B51*100)</f>
        <v/>
      </c>
      <c r="D51" s="19" t="n">
        <v>680</v>
      </c>
      <c r="E51" s="18" t="n">
        <v>62.25071073</v>
      </c>
      <c r="F51" s="20" t="n">
        <v>1.90074207</v>
      </c>
      <c r="G51" s="18" t="n">
        <v>34.70510367</v>
      </c>
      <c r="H51" s="20" t="n">
        <v>1.87836904</v>
      </c>
      <c r="I51" s="18" t="n">
        <v>0</v>
      </c>
      <c r="J51" s="20" t="n">
        <v>0</v>
      </c>
      <c r="K51" s="18" t="n">
        <v>0.11078977</v>
      </c>
      <c r="L51" s="20" t="n">
        <v>0.1111909</v>
      </c>
      <c r="M51" s="18" t="n">
        <v>0</v>
      </c>
      <c r="N51" s="20" t="n">
        <v>0</v>
      </c>
      <c r="O51" s="18" t="n">
        <v>0</v>
      </c>
      <c r="P51" s="20" t="n">
        <v>0</v>
      </c>
      <c r="Q51" s="18" t="n">
        <v>2.93339583</v>
      </c>
      <c r="R51" s="20" t="n">
        <v>0.70492035</v>
      </c>
    </row>
    <row r="52" spans="1:18">
      <c r="A52" s="15" t="s">
        <v>611</v>
      </c>
      <c r="B52" s="17" t="n">
        <v>5571</v>
      </c>
      <c r="C52" s="18">
        <f>(4965.0/B52*100)</f>
        <v/>
      </c>
      <c r="D52" s="19" t="n">
        <v>606</v>
      </c>
      <c r="E52" s="18" t="n">
        <v>69.76552968999999</v>
      </c>
      <c r="F52" s="20" t="n">
        <v>1.93297643</v>
      </c>
      <c r="G52" s="18" t="n">
        <v>26.27649678</v>
      </c>
      <c r="H52" s="20" t="n">
        <v>1.91348775</v>
      </c>
      <c r="I52" s="18" t="n">
        <v>0</v>
      </c>
      <c r="J52" s="20" t="n">
        <v>0</v>
      </c>
      <c r="K52" s="18" t="n">
        <v>0.30422403</v>
      </c>
      <c r="L52" s="20" t="n">
        <v>0.30058863</v>
      </c>
      <c r="M52" s="18" t="n">
        <v>0</v>
      </c>
      <c r="N52" s="20" t="n">
        <v>0</v>
      </c>
      <c r="O52" s="18" t="n">
        <v>0</v>
      </c>
      <c r="P52" s="20" t="n">
        <v>0</v>
      </c>
      <c r="Q52" s="18" t="n">
        <v>3.6537495</v>
      </c>
      <c r="R52" s="20" t="n">
        <v>0.80084542</v>
      </c>
    </row>
    <row r="53" spans="1:18">
      <c r="A53" s="15" t="s">
        <v>612</v>
      </c>
      <c r="B53" s="17" t="n">
        <v>4740</v>
      </c>
      <c r="C53" s="18">
        <f>(4249.0/B53*100)</f>
        <v/>
      </c>
      <c r="D53" s="19" t="n">
        <v>491</v>
      </c>
      <c r="E53" s="18" t="n">
        <v>64.83120934999999</v>
      </c>
      <c r="F53" s="20" t="n">
        <v>2.31523482</v>
      </c>
      <c r="G53" s="18" t="n">
        <v>2.79586129</v>
      </c>
      <c r="H53" s="20" t="n">
        <v>0.73106984</v>
      </c>
      <c r="I53" s="18" t="n">
        <v>0</v>
      </c>
      <c r="J53" s="20" t="n">
        <v>0</v>
      </c>
      <c r="K53" s="18" t="n">
        <v>14.64644869</v>
      </c>
      <c r="L53" s="20" t="n">
        <v>1.79321921</v>
      </c>
      <c r="M53" s="18" t="n">
        <v>0</v>
      </c>
      <c r="N53" s="20" t="n">
        <v>0</v>
      </c>
      <c r="O53" s="18" t="n">
        <v>0</v>
      </c>
      <c r="P53" s="20" t="n">
        <v>0</v>
      </c>
      <c r="Q53" s="18" t="n">
        <v>17.72648067</v>
      </c>
      <c r="R53" s="20" t="n">
        <v>1.64637765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(4751.0/B55*100)</f>
        <v/>
      </c>
      <c r="D55" s="19" t="n">
        <v>608</v>
      </c>
      <c r="E55" s="18" t="n">
        <v>57.15390293</v>
      </c>
      <c r="F55" s="20" t="n">
        <v>2.4634304</v>
      </c>
      <c r="G55" s="18" t="n">
        <v>41.92394886</v>
      </c>
      <c r="H55" s="20" t="n">
        <v>2.43572307</v>
      </c>
      <c r="I55" s="18" t="n">
        <v>0</v>
      </c>
      <c r="J55" s="20" t="n">
        <v>0</v>
      </c>
      <c r="K55" s="18" t="n">
        <v>0.35591654</v>
      </c>
      <c r="L55" s="20" t="n">
        <v>0.23141234</v>
      </c>
      <c r="M55" s="18" t="n">
        <v>0</v>
      </c>
      <c r="N55" s="20" t="n">
        <v>0</v>
      </c>
      <c r="O55" s="18" t="n">
        <v>0</v>
      </c>
      <c r="P55" s="20" t="n">
        <v>0</v>
      </c>
      <c r="Q55" s="18" t="n">
        <v>0.56623167</v>
      </c>
      <c r="R55" s="20" t="n">
        <v>0.24715115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(5771.0/B61*100)</f>
        <v/>
      </c>
      <c r="D61" s="19" t="n">
        <v>754</v>
      </c>
      <c r="E61" s="18" t="n">
        <v>58.66916617</v>
      </c>
      <c r="F61" s="20" t="n">
        <v>2.08813526</v>
      </c>
      <c r="G61" s="18" t="n">
        <v>38.42894157</v>
      </c>
      <c r="H61" s="20" t="n">
        <v>2.1589347</v>
      </c>
      <c r="I61" s="18" t="n">
        <v>0</v>
      </c>
      <c r="J61" s="20" t="n">
        <v>0</v>
      </c>
      <c r="K61" s="18" t="n">
        <v>0</v>
      </c>
      <c r="L61" s="20" t="n">
        <v>0</v>
      </c>
      <c r="M61" s="18" t="n">
        <v>0</v>
      </c>
      <c r="N61" s="20" t="n">
        <v>0</v>
      </c>
      <c r="O61" s="18" t="n">
        <v>0</v>
      </c>
      <c r="P61" s="20" t="n">
        <v>0</v>
      </c>
      <c r="Q61" s="18" t="n">
        <v>2.90189225</v>
      </c>
      <c r="R61" s="20" t="n">
        <v>0.74095841</v>
      </c>
    </row>
    <row r="62" spans="1:18">
      <c r="A62" s="15" t="s">
        <v>622</v>
      </c>
      <c r="B62" s="17" t="n">
        <v>4476</v>
      </c>
      <c r="C62" s="18">
        <f>(3984.0/B62*100)</f>
        <v/>
      </c>
      <c r="D62" s="19" t="n">
        <v>492</v>
      </c>
      <c r="E62" s="18" t="n">
        <v>51.65650991</v>
      </c>
      <c r="F62" s="20" t="n">
        <v>2.1022165</v>
      </c>
      <c r="G62" s="18" t="n">
        <v>46.92940229</v>
      </c>
      <c r="H62" s="20" t="n">
        <v>2.24286561</v>
      </c>
      <c r="I62" s="18" t="n">
        <v>0</v>
      </c>
      <c r="J62" s="20" t="n">
        <v>0</v>
      </c>
      <c r="K62" s="18" t="n">
        <v>0</v>
      </c>
      <c r="L62" s="20" t="n">
        <v>0</v>
      </c>
      <c r="M62" s="18" t="n">
        <v>0</v>
      </c>
      <c r="N62" s="20" t="n">
        <v>0</v>
      </c>
      <c r="O62" s="18" t="n">
        <v>0</v>
      </c>
      <c r="P62" s="20" t="n">
        <v>0</v>
      </c>
      <c r="Q62" s="18" t="n">
        <v>1.41408779</v>
      </c>
      <c r="R62" s="20" t="n">
        <v>0.53189226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(5045.0/B67*100)</f>
        <v/>
      </c>
      <c r="D67" s="19" t="n">
        <v>620</v>
      </c>
      <c r="E67" s="18" t="n">
        <v>71.64252997</v>
      </c>
      <c r="F67" s="20" t="n">
        <v>1.80435519</v>
      </c>
      <c r="G67" s="18" t="n">
        <v>19.81749637</v>
      </c>
      <c r="H67" s="20" t="n">
        <v>1.6952822</v>
      </c>
      <c r="I67" s="18" t="n">
        <v>0</v>
      </c>
      <c r="J67" s="20" t="n">
        <v>0</v>
      </c>
      <c r="K67" s="18" t="n">
        <v>0.5034735299999999</v>
      </c>
      <c r="L67" s="20" t="n">
        <v>0.38316821</v>
      </c>
      <c r="M67" s="18" t="n">
        <v>0</v>
      </c>
      <c r="N67" s="20" t="n">
        <v>0</v>
      </c>
      <c r="O67" s="18" t="n">
        <v>0</v>
      </c>
      <c r="P67" s="20" t="n">
        <v>0</v>
      </c>
      <c r="Q67" s="18" t="n">
        <v>8.03650013</v>
      </c>
      <c r="R67" s="20" t="n">
        <v>1.22508498</v>
      </c>
    </row>
    <row r="68" spans="1:18">
      <c r="A68" s="15" t="s">
        <v>628</v>
      </c>
      <c r="B68" s="17" t="n">
        <v>6971</v>
      </c>
      <c r="C68" s="18">
        <f>(6280.0/B68*100)</f>
        <v/>
      </c>
      <c r="D68" s="19" t="n">
        <v>691</v>
      </c>
      <c r="E68" s="18" t="n">
        <v>83.4259033</v>
      </c>
      <c r="F68" s="20" t="n">
        <v>1.55975821</v>
      </c>
      <c r="G68" s="18" t="n">
        <v>8.60045188</v>
      </c>
      <c r="H68" s="20" t="n">
        <v>1.22928288</v>
      </c>
      <c r="I68" s="18" t="n">
        <v>0</v>
      </c>
      <c r="J68" s="20" t="n">
        <v>0</v>
      </c>
      <c r="K68" s="18" t="n">
        <v>0.23272176</v>
      </c>
      <c r="L68" s="20" t="n">
        <v>0.23749625</v>
      </c>
      <c r="M68" s="18" t="n">
        <v>0</v>
      </c>
      <c r="N68" s="20" t="n">
        <v>0</v>
      </c>
      <c r="O68" s="18" t="n">
        <v>0</v>
      </c>
      <c r="P68" s="20" t="n">
        <v>0</v>
      </c>
      <c r="Q68" s="18" t="n">
        <v>7.74092306</v>
      </c>
      <c r="R68" s="20" t="n">
        <v>0.99306885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(10792.0/B70*100)</f>
        <v/>
      </c>
      <c r="D70" s="19" t="n">
        <v>1291</v>
      </c>
      <c r="E70" s="18" t="n">
        <v>70.71482797</v>
      </c>
      <c r="F70" s="20" t="n">
        <v>1.20677902</v>
      </c>
      <c r="G70" s="18" t="n">
        <v>22.12320545</v>
      </c>
      <c r="H70" s="20" t="n">
        <v>1.15411863</v>
      </c>
      <c r="I70" s="18" t="n">
        <v>0</v>
      </c>
      <c r="J70" s="20" t="n">
        <v>0</v>
      </c>
      <c r="K70" s="18" t="n">
        <v>2.14540411</v>
      </c>
      <c r="L70" s="20" t="n">
        <v>0.42412029</v>
      </c>
      <c r="M70" s="18" t="n">
        <v>0</v>
      </c>
      <c r="N70" s="20" t="n">
        <v>0</v>
      </c>
      <c r="O70" s="18" t="n">
        <v>0</v>
      </c>
      <c r="P70" s="20" t="n">
        <v>0</v>
      </c>
      <c r="Q70" s="18" t="n">
        <v>5.01656247</v>
      </c>
      <c r="R70" s="20" t="n">
        <v>0.62119907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(5348.0/B72*100)</f>
        <v/>
      </c>
      <c r="D72" s="19" t="n">
        <v>688</v>
      </c>
      <c r="E72" s="18" t="n">
        <v>61.33340679</v>
      </c>
      <c r="F72" s="20" t="n">
        <v>2.54674732</v>
      </c>
      <c r="G72" s="18" t="n">
        <v>36.04518064</v>
      </c>
      <c r="H72" s="20" t="n">
        <v>2.63211524</v>
      </c>
      <c r="I72" s="18" t="n">
        <v>0</v>
      </c>
      <c r="J72" s="20" t="n">
        <v>0</v>
      </c>
      <c r="K72" s="18" t="n">
        <v>0.38732953</v>
      </c>
      <c r="L72" s="20" t="n">
        <v>0.26911104</v>
      </c>
      <c r="M72" s="18" t="n">
        <v>0</v>
      </c>
      <c r="N72" s="20" t="n">
        <v>0</v>
      </c>
      <c r="O72" s="18" t="n">
        <v>0</v>
      </c>
      <c r="P72" s="20" t="n">
        <v>0</v>
      </c>
      <c r="Q72" s="18" t="n">
        <v>2.23408304</v>
      </c>
      <c r="R72" s="20" t="n">
        <v>0.5340709</v>
      </c>
    </row>
    <row r="73" spans="1:18">
      <c r="A73" s="15" t="s">
        <v>633</v>
      </c>
      <c r="B73" s="17" t="n">
        <v>6115</v>
      </c>
      <c r="C73" s="18">
        <f>(5458.0/B73*100)</f>
        <v/>
      </c>
      <c r="D73" s="19" t="n">
        <v>657</v>
      </c>
      <c r="E73" s="18" t="n">
        <v>39.98471532</v>
      </c>
      <c r="F73" s="20" t="n">
        <v>1.91767905</v>
      </c>
      <c r="G73" s="18" t="n">
        <v>59.38543356</v>
      </c>
      <c r="H73" s="20" t="n">
        <v>1.89783421</v>
      </c>
      <c r="I73" s="18" t="n">
        <v>0</v>
      </c>
      <c r="J73" s="20" t="n">
        <v>0</v>
      </c>
      <c r="K73" s="18" t="n">
        <v>0.31084672</v>
      </c>
      <c r="L73" s="20" t="n">
        <v>0.2217699</v>
      </c>
      <c r="M73" s="18" t="n">
        <v>0</v>
      </c>
      <c r="N73" s="20" t="n">
        <v>0</v>
      </c>
      <c r="O73" s="18" t="n">
        <v>0</v>
      </c>
      <c r="P73" s="20" t="n">
        <v>0</v>
      </c>
      <c r="Q73" s="18" t="n">
        <v>0.31900439</v>
      </c>
      <c r="R73" s="20" t="n">
        <v>0.22582274</v>
      </c>
    </row>
    <row r="74" spans="1:18">
      <c r="A74" s="15" t="s">
        <v>634</v>
      </c>
      <c r="B74" s="17" t="n">
        <v>7708</v>
      </c>
      <c r="C74" s="18">
        <f>(6877.0/B74*100)</f>
        <v/>
      </c>
      <c r="D74" s="19" t="n">
        <v>831</v>
      </c>
      <c r="E74" s="18" t="n">
        <v>50.12665604</v>
      </c>
      <c r="F74" s="20" t="n">
        <v>1.88189208</v>
      </c>
      <c r="G74" s="18" t="n">
        <v>48.60120973</v>
      </c>
      <c r="H74" s="20" t="n">
        <v>1.89343939</v>
      </c>
      <c r="I74" s="18" t="n">
        <v>0</v>
      </c>
      <c r="J74" s="20" t="n">
        <v>0</v>
      </c>
      <c r="K74" s="18" t="n">
        <v>0</v>
      </c>
      <c r="L74" s="20" t="n">
        <v>0</v>
      </c>
      <c r="M74" s="18" t="n">
        <v>0</v>
      </c>
      <c r="N74" s="20" t="n">
        <v>0</v>
      </c>
      <c r="O74" s="18" t="n">
        <v>0</v>
      </c>
      <c r="P74" s="20" t="n">
        <v>0</v>
      </c>
      <c r="Q74" s="18" t="n">
        <v>1.27213423</v>
      </c>
      <c r="R74" s="20" t="n">
        <v>0.39335642</v>
      </c>
    </row>
    <row r="75" spans="1:18">
      <c r="A75" s="15" t="s">
        <v>635</v>
      </c>
      <c r="B75" s="17" t="n">
        <v>8249</v>
      </c>
      <c r="C75" s="18">
        <f>(7345.0/B75*100)</f>
        <v/>
      </c>
      <c r="D75" s="19" t="n">
        <v>904</v>
      </c>
      <c r="E75" s="18" t="n">
        <v>78.20205878</v>
      </c>
      <c r="F75" s="20" t="n">
        <v>1.9028901</v>
      </c>
      <c r="G75" s="18" t="n">
        <v>17.29723647</v>
      </c>
      <c r="H75" s="20" t="n">
        <v>1.76312478</v>
      </c>
      <c r="I75" s="18" t="n">
        <v>0</v>
      </c>
      <c r="J75" s="20" t="n">
        <v>0</v>
      </c>
      <c r="K75" s="18" t="n">
        <v>0</v>
      </c>
      <c r="L75" s="20" t="n">
        <v>0</v>
      </c>
      <c r="M75" s="18" t="n">
        <v>0</v>
      </c>
      <c r="N75" s="20" t="n">
        <v>0</v>
      </c>
      <c r="O75" s="18" t="n">
        <v>0</v>
      </c>
      <c r="P75" s="20" t="n">
        <v>0</v>
      </c>
      <c r="Q75" s="18" t="n">
        <v>4.50070474</v>
      </c>
      <c r="R75" s="20" t="n">
        <v>0.86776767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(4833.0/B77*100)</f>
        <v/>
      </c>
      <c r="D77" s="19" t="n">
        <v>542</v>
      </c>
      <c r="E77" s="18" t="n">
        <v>75.42427898</v>
      </c>
      <c r="F77" s="20" t="n">
        <v>2.09116398</v>
      </c>
      <c r="G77" s="18" t="n">
        <v>14.54022239</v>
      </c>
      <c r="H77" s="20" t="n">
        <v>1.54647284</v>
      </c>
      <c r="I77" s="18" t="n">
        <v>0</v>
      </c>
      <c r="J77" s="20" t="n">
        <v>0</v>
      </c>
      <c r="K77" s="18" t="n">
        <v>3.55845274</v>
      </c>
      <c r="L77" s="20" t="n">
        <v>0.90032641</v>
      </c>
      <c r="M77" s="18" t="n">
        <v>0</v>
      </c>
      <c r="N77" s="20" t="n">
        <v>0</v>
      </c>
      <c r="O77" s="18" t="n">
        <v>0</v>
      </c>
      <c r="P77" s="20" t="n">
        <v>0</v>
      </c>
      <c r="Q77" s="18" t="n">
        <v>6.47704589</v>
      </c>
      <c r="R77" s="20" t="n">
        <v>1.05568857</v>
      </c>
    </row>
    <row r="78" spans="1:18">
      <c r="A78" s="15" t="s">
        <v>638</v>
      </c>
      <c r="B78" s="17" t="n">
        <v>14167</v>
      </c>
      <c r="C78" s="18">
        <f>(12627.0/B78*100)</f>
        <v/>
      </c>
      <c r="D78" s="19" t="n">
        <v>1540</v>
      </c>
      <c r="E78" s="18" t="n">
        <v>68.15256239999999</v>
      </c>
      <c r="F78" s="20" t="n">
        <v>1.44285813</v>
      </c>
      <c r="G78" s="18" t="n">
        <v>28.55915595</v>
      </c>
      <c r="H78" s="20" t="n">
        <v>1.41671462</v>
      </c>
      <c r="I78" s="18" t="n">
        <v>0</v>
      </c>
      <c r="J78" s="20" t="n">
        <v>0</v>
      </c>
      <c r="K78" s="18" t="n">
        <v>0.59651074</v>
      </c>
      <c r="L78" s="20" t="n">
        <v>0.20782137</v>
      </c>
      <c r="M78" s="18" t="n">
        <v>0</v>
      </c>
      <c r="N78" s="20" t="n">
        <v>0</v>
      </c>
      <c r="O78" s="18" t="n">
        <v>0</v>
      </c>
      <c r="P78" s="20" t="n">
        <v>0</v>
      </c>
      <c r="Q78" s="18" t="n">
        <v>2.69177092</v>
      </c>
      <c r="R78" s="20" t="n">
        <v>0.45169555</v>
      </c>
    </row>
    <row r="79" spans="1:18">
      <c r="A79" s="15" t="s">
        <v>639</v>
      </c>
      <c r="B79" s="17" t="n">
        <v>6062</v>
      </c>
      <c r="C79" s="18">
        <f>(5434.0/B79*100)</f>
        <v/>
      </c>
      <c r="D79" s="19" t="n">
        <v>628</v>
      </c>
      <c r="E79" s="18" t="n">
        <v>68.48842623</v>
      </c>
      <c r="F79" s="20" t="n">
        <v>1.96205297</v>
      </c>
      <c r="G79" s="18" t="n">
        <v>23.83011664</v>
      </c>
      <c r="H79" s="20" t="n">
        <v>1.81246605</v>
      </c>
      <c r="I79" s="18" t="n">
        <v>0</v>
      </c>
      <c r="J79" s="20" t="n">
        <v>0</v>
      </c>
      <c r="K79" s="18" t="n">
        <v>1.21968922</v>
      </c>
      <c r="L79" s="20" t="n">
        <v>0.51678052</v>
      </c>
      <c r="M79" s="18" t="n">
        <v>0</v>
      </c>
      <c r="N79" s="20" t="n">
        <v>0</v>
      </c>
      <c r="O79" s="18" t="n">
        <v>0</v>
      </c>
      <c r="P79" s="20" t="n">
        <v>0</v>
      </c>
      <c r="Q79" s="18" t="n">
        <v>6.46176791</v>
      </c>
      <c r="R79" s="20" t="n">
        <v>0.97375552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(28828.0/B82*100)</f>
        <v/>
      </c>
      <c r="D82" s="19" t="n">
        <v>3502</v>
      </c>
      <c r="E82" s="18" t="n">
        <v>64.11751638</v>
      </c>
      <c r="F82" s="20" t="n">
        <v>1.11514851</v>
      </c>
      <c r="G82" s="18" t="n">
        <v>32.56843221</v>
      </c>
      <c r="H82" s="20" t="n">
        <v>1.10764037</v>
      </c>
      <c r="I82" s="18" t="n">
        <v>0</v>
      </c>
      <c r="J82" s="20" t="n">
        <v>0</v>
      </c>
      <c r="K82" s="18" t="n">
        <v>0.32495567</v>
      </c>
      <c r="L82" s="20" t="n">
        <v>0.11680554</v>
      </c>
      <c r="M82" s="18" t="n">
        <v>0</v>
      </c>
      <c r="N82" s="20" t="n">
        <v>0</v>
      </c>
      <c r="O82" s="18" t="n">
        <v>0</v>
      </c>
      <c r="P82" s="20" t="n">
        <v>0</v>
      </c>
      <c r="Q82" s="18" t="n">
        <v>2.98909574</v>
      </c>
      <c r="R82" s="20" t="n">
        <v>0.53317869</v>
      </c>
    </row>
    <row r="83" spans="1:18">
      <c r="A83" s="15" t="s">
        <v>643</v>
      </c>
      <c r="B83" s="17" t="n">
        <v>1652</v>
      </c>
      <c r="C83" s="18">
        <f>(1472.0/B83*100)</f>
        <v/>
      </c>
      <c r="D83" s="19" t="n">
        <v>180</v>
      </c>
      <c r="E83" s="18" t="n">
        <v>46.77380344</v>
      </c>
      <c r="F83" s="20" t="n">
        <v>3.1581353</v>
      </c>
      <c r="G83" s="18" t="n">
        <v>52.72212743</v>
      </c>
      <c r="H83" s="20" t="n">
        <v>3.3223629</v>
      </c>
      <c r="I83" s="18" t="n">
        <v>0</v>
      </c>
      <c r="J83" s="20" t="n">
        <v>0</v>
      </c>
      <c r="K83" s="18" t="n">
        <v>0</v>
      </c>
      <c r="L83" s="20" t="n">
        <v>0</v>
      </c>
      <c r="M83" s="18" t="n">
        <v>0</v>
      </c>
      <c r="N83" s="20" t="n">
        <v>0</v>
      </c>
      <c r="O83" s="18" t="n">
        <v>0</v>
      </c>
      <c r="P83" s="20" t="n">
        <v>0</v>
      </c>
      <c r="Q83" s="18" t="n">
        <v>0.50406912</v>
      </c>
      <c r="R83" s="20" t="n">
        <v>0.47867021</v>
      </c>
    </row>
    <row r="84" spans="1:18">
      <c r="A84" s="23" t="s">
        <v>644</v>
      </c>
      <c r="B84" s="24" t="n">
        <v>1887</v>
      </c>
      <c r="C84" s="25">
        <f>(1675.0/B84*100)</f>
        <v/>
      </c>
      <c r="D84" s="19" t="n">
        <v>212</v>
      </c>
      <c r="E84" s="18" t="n">
        <v>63.09235707</v>
      </c>
      <c r="F84" s="20" t="n">
        <v>3.16083976</v>
      </c>
      <c r="G84" s="18" t="n">
        <v>34.76488297</v>
      </c>
      <c r="H84" s="20" t="n">
        <v>3.14211334</v>
      </c>
      <c r="I84" s="18" t="n">
        <v>0</v>
      </c>
      <c r="J84" s="20" t="n">
        <v>0</v>
      </c>
      <c r="K84" s="18" t="n">
        <v>0</v>
      </c>
      <c r="L84" s="20" t="n">
        <v>0</v>
      </c>
      <c r="M84" s="18" t="n">
        <v>0</v>
      </c>
      <c r="N84" s="20" t="n">
        <v>0</v>
      </c>
      <c r="O84" s="18" t="n">
        <v>0</v>
      </c>
      <c r="P84" s="20" t="n">
        <v>0</v>
      </c>
      <c r="Q84" s="18" t="n">
        <v>2.14275996</v>
      </c>
      <c r="R84" s="20" t="n">
        <v>1.05808531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(12979.0/B7*100)</f>
        <v/>
      </c>
      <c r="D7" s="19" t="n">
        <v>1551</v>
      </c>
      <c r="E7" s="18" t="n">
        <v>52.11848575</v>
      </c>
      <c r="F7" s="20" t="n">
        <v>1.56292439</v>
      </c>
      <c r="G7" s="18" t="n">
        <v>46.8753915</v>
      </c>
      <c r="H7" s="20" t="n">
        <v>1.54777961</v>
      </c>
      <c r="I7" s="18" t="n">
        <v>0</v>
      </c>
      <c r="J7" s="20" t="n">
        <v>0</v>
      </c>
      <c r="K7" s="18" t="n">
        <v>0.49055956</v>
      </c>
      <c r="L7" s="20" t="n">
        <v>0.19202029</v>
      </c>
      <c r="M7" s="18" t="n">
        <v>0</v>
      </c>
      <c r="N7" s="20" t="n">
        <v>0</v>
      </c>
      <c r="O7" s="18" t="n">
        <v>0</v>
      </c>
      <c r="P7" s="20" t="n">
        <v>0</v>
      </c>
      <c r="Q7" s="18" t="n">
        <v>0.51556318</v>
      </c>
      <c r="R7" s="20" t="n">
        <v>0.17002429</v>
      </c>
    </row>
    <row r="8" spans="1:18">
      <c r="A8" s="15" t="s">
        <v>566</v>
      </c>
      <c r="B8" s="17" t="n">
        <v>7007</v>
      </c>
      <c r="C8" s="18">
        <f>(6234.0/B8*100)</f>
        <v/>
      </c>
      <c r="D8" s="19" t="n">
        <v>773</v>
      </c>
      <c r="E8" s="18" t="n">
        <v>49.32692976</v>
      </c>
      <c r="F8" s="20" t="n">
        <v>1.93060796</v>
      </c>
      <c r="G8" s="18" t="n">
        <v>50.14230667</v>
      </c>
      <c r="H8" s="20" t="n">
        <v>1.9846346</v>
      </c>
      <c r="I8" s="18" t="n">
        <v>0</v>
      </c>
      <c r="J8" s="20" t="n">
        <v>0</v>
      </c>
      <c r="K8" s="18" t="n">
        <v>0.15069476</v>
      </c>
      <c r="L8" s="20" t="n">
        <v>0.17201524</v>
      </c>
      <c r="M8" s="18" t="n">
        <v>0</v>
      </c>
      <c r="N8" s="20" t="n">
        <v>0</v>
      </c>
      <c r="O8" s="18" t="n">
        <v>0</v>
      </c>
      <c r="P8" s="20" t="n">
        <v>0</v>
      </c>
      <c r="Q8" s="18" t="n">
        <v>0.38006882</v>
      </c>
      <c r="R8" s="20" t="n">
        <v>0.26691166</v>
      </c>
    </row>
    <row r="9" spans="1:18">
      <c r="A9" s="15" t="s">
        <v>567</v>
      </c>
      <c r="B9" s="17" t="n">
        <v>9651</v>
      </c>
      <c r="C9" s="18">
        <f>(8630.0/B9*100)</f>
        <v/>
      </c>
      <c r="D9" s="19" t="n">
        <v>1021</v>
      </c>
      <c r="E9" s="18" t="n">
        <v>66.42482953</v>
      </c>
      <c r="F9" s="20" t="n">
        <v>1.52357794</v>
      </c>
      <c r="G9" s="18" t="n">
        <v>32.76046122</v>
      </c>
      <c r="H9" s="20" t="n">
        <v>1.50648432</v>
      </c>
      <c r="I9" s="18" t="n">
        <v>0</v>
      </c>
      <c r="J9" s="20" t="n">
        <v>0</v>
      </c>
      <c r="K9" s="18" t="n">
        <v>0.27103641</v>
      </c>
      <c r="L9" s="20" t="n">
        <v>0.17673878</v>
      </c>
      <c r="M9" s="18" t="n">
        <v>0</v>
      </c>
      <c r="N9" s="20" t="n">
        <v>0</v>
      </c>
      <c r="O9" s="18" t="n">
        <v>0</v>
      </c>
      <c r="P9" s="20" t="n">
        <v>0</v>
      </c>
      <c r="Q9" s="18" t="n">
        <v>0.54367283</v>
      </c>
      <c r="R9" s="20" t="n">
        <v>0.23355875</v>
      </c>
    </row>
    <row r="10" spans="1:18">
      <c r="A10" s="15" t="s">
        <v>568</v>
      </c>
      <c r="B10" s="17" t="n">
        <v>20058</v>
      </c>
      <c r="C10" s="18">
        <f>(17771.0/B10*100)</f>
        <v/>
      </c>
      <c r="D10" s="19" t="n">
        <v>2287</v>
      </c>
      <c r="E10" s="18" t="n">
        <v>48.51145761</v>
      </c>
      <c r="F10" s="20" t="n">
        <v>1.71293024</v>
      </c>
      <c r="G10" s="18" t="n">
        <v>50.35187116</v>
      </c>
      <c r="H10" s="20" t="n">
        <v>1.76198706</v>
      </c>
      <c r="I10" s="18" t="n">
        <v>0</v>
      </c>
      <c r="J10" s="20" t="n">
        <v>0</v>
      </c>
      <c r="K10" s="18" t="n">
        <v>0.73832092</v>
      </c>
      <c r="L10" s="20" t="n">
        <v>0.32183144</v>
      </c>
      <c r="M10" s="18" t="n">
        <v>0</v>
      </c>
      <c r="N10" s="20" t="n">
        <v>0</v>
      </c>
      <c r="O10" s="18" t="n">
        <v>0</v>
      </c>
      <c r="P10" s="20" t="n">
        <v>0</v>
      </c>
      <c r="Q10" s="18" t="n">
        <v>0.3983503</v>
      </c>
      <c r="R10" s="20" t="n">
        <v>0.14501782</v>
      </c>
    </row>
    <row r="11" spans="1:18">
      <c r="A11" s="15" t="s">
        <v>569</v>
      </c>
      <c r="B11" s="17" t="n">
        <v>7053</v>
      </c>
      <c r="C11" s="18">
        <f>(6321.0/B11*100)</f>
        <v/>
      </c>
      <c r="D11" s="19" t="n">
        <v>732</v>
      </c>
      <c r="E11" s="18" t="n">
        <v>71.87889233999999</v>
      </c>
      <c r="F11" s="20" t="n">
        <v>2.1795752</v>
      </c>
      <c r="G11" s="18" t="n">
        <v>26.09138168</v>
      </c>
      <c r="H11" s="20" t="n">
        <v>2.20933762</v>
      </c>
      <c r="I11" s="18" t="n">
        <v>0</v>
      </c>
      <c r="J11" s="20" t="n">
        <v>0</v>
      </c>
      <c r="K11" s="18" t="n">
        <v>1.20768565</v>
      </c>
      <c r="L11" s="20" t="n">
        <v>0.42584787</v>
      </c>
      <c r="M11" s="18" t="n">
        <v>0</v>
      </c>
      <c r="N11" s="20" t="n">
        <v>0</v>
      </c>
      <c r="O11" s="18" t="n">
        <v>0</v>
      </c>
      <c r="P11" s="20" t="n">
        <v>0</v>
      </c>
      <c r="Q11" s="18" t="n">
        <v>0.82204033</v>
      </c>
      <c r="R11" s="20" t="n">
        <v>0.37230728</v>
      </c>
    </row>
    <row r="12" spans="1:18">
      <c r="A12" s="15" t="s">
        <v>570</v>
      </c>
      <c r="B12" s="17" t="n">
        <v>6894</v>
      </c>
      <c r="C12" s="18">
        <f>(6131.0/B12*100)</f>
        <v/>
      </c>
      <c r="D12" s="19" t="n">
        <v>763</v>
      </c>
      <c r="E12" s="18" t="n">
        <v>58.54351417</v>
      </c>
      <c r="F12" s="20" t="n">
        <v>2.03581224</v>
      </c>
      <c r="G12" s="18" t="n">
        <v>40.68644309</v>
      </c>
      <c r="H12" s="20" t="n">
        <v>1.97503419</v>
      </c>
      <c r="I12" s="18" t="n">
        <v>0</v>
      </c>
      <c r="J12" s="20" t="n">
        <v>0</v>
      </c>
      <c r="K12" s="18" t="n">
        <v>0.24678048</v>
      </c>
      <c r="L12" s="20" t="n">
        <v>0.17165373</v>
      </c>
      <c r="M12" s="18" t="n">
        <v>0</v>
      </c>
      <c r="N12" s="20" t="n">
        <v>0</v>
      </c>
      <c r="O12" s="18" t="n">
        <v>0</v>
      </c>
      <c r="P12" s="20" t="n">
        <v>0</v>
      </c>
      <c r="Q12" s="18" t="n">
        <v>0.52326226</v>
      </c>
      <c r="R12" s="20" t="n">
        <v>0.41767984</v>
      </c>
    </row>
    <row r="13" spans="1:18">
      <c r="A13" s="15" t="s">
        <v>571</v>
      </c>
      <c r="B13" s="17" t="n">
        <v>7161</v>
      </c>
      <c r="C13" s="18">
        <f>(6381.0/B13*100)</f>
        <v/>
      </c>
      <c r="D13" s="19" t="n">
        <v>780</v>
      </c>
      <c r="E13" s="18" t="n">
        <v>60.57214831</v>
      </c>
      <c r="F13" s="20" t="n">
        <v>2.26987017</v>
      </c>
      <c r="G13" s="18" t="n">
        <v>37.80226202</v>
      </c>
      <c r="H13" s="20" t="n">
        <v>2.22198182</v>
      </c>
      <c r="I13" s="18" t="n">
        <v>0</v>
      </c>
      <c r="J13" s="20" t="n">
        <v>0</v>
      </c>
      <c r="K13" s="18" t="n">
        <v>0.42218086</v>
      </c>
      <c r="L13" s="20" t="n">
        <v>0.29495722</v>
      </c>
      <c r="M13" s="18" t="n">
        <v>0</v>
      </c>
      <c r="N13" s="20" t="n">
        <v>0</v>
      </c>
      <c r="O13" s="18" t="n">
        <v>0</v>
      </c>
      <c r="P13" s="20" t="n">
        <v>0</v>
      </c>
      <c r="Q13" s="18" t="n">
        <v>1.20340881</v>
      </c>
      <c r="R13" s="20" t="n">
        <v>0.41185503</v>
      </c>
    </row>
    <row r="14" spans="1:18">
      <c r="A14" s="15" t="s">
        <v>572</v>
      </c>
      <c r="B14" s="17" t="n">
        <v>5587</v>
      </c>
      <c r="C14" s="18">
        <f>(4961.0/B14*100)</f>
        <v/>
      </c>
      <c r="D14" s="19" t="n">
        <v>626</v>
      </c>
      <c r="E14" s="18" t="n">
        <v>49.74540516</v>
      </c>
      <c r="F14" s="20" t="n">
        <v>1.97103903</v>
      </c>
      <c r="G14" s="18" t="n">
        <v>49.73192831</v>
      </c>
      <c r="H14" s="20" t="n">
        <v>2.02086716</v>
      </c>
      <c r="I14" s="18" t="n">
        <v>0</v>
      </c>
      <c r="J14" s="20" t="n">
        <v>0</v>
      </c>
      <c r="K14" s="18" t="n">
        <v>0</v>
      </c>
      <c r="L14" s="20" t="n">
        <v>0</v>
      </c>
      <c r="M14" s="18" t="n">
        <v>0</v>
      </c>
      <c r="N14" s="20" t="n">
        <v>0</v>
      </c>
      <c r="O14" s="18" t="n">
        <v>0</v>
      </c>
      <c r="P14" s="20" t="n">
        <v>0</v>
      </c>
      <c r="Q14" s="18" t="n">
        <v>0.52266652</v>
      </c>
      <c r="R14" s="20" t="n">
        <v>0.42724496</v>
      </c>
    </row>
    <row r="15" spans="1:18">
      <c r="A15" s="15" t="s">
        <v>573</v>
      </c>
      <c r="B15" s="17" t="n">
        <v>5882</v>
      </c>
      <c r="C15" s="18">
        <f>(5280.0/B15*100)</f>
        <v/>
      </c>
      <c r="D15" s="19" t="n">
        <v>602</v>
      </c>
      <c r="E15" s="18" t="n">
        <v>25.15775809</v>
      </c>
      <c r="F15" s="20" t="n">
        <v>1.98294462</v>
      </c>
      <c r="G15" s="18" t="n">
        <v>74.84224191</v>
      </c>
      <c r="H15" s="20" t="n">
        <v>1.98294462</v>
      </c>
      <c r="I15" s="18" t="n">
        <v>0</v>
      </c>
      <c r="J15" s="20" t="n">
        <v>0</v>
      </c>
      <c r="K15" s="18" t="n">
        <v>0</v>
      </c>
      <c r="L15" s="20" t="n">
        <v>0</v>
      </c>
      <c r="M15" s="18" t="n">
        <v>0</v>
      </c>
      <c r="N15" s="20" t="n">
        <v>0</v>
      </c>
      <c r="O15" s="18" t="n">
        <v>0</v>
      </c>
      <c r="P15" s="20" t="n">
        <v>0</v>
      </c>
      <c r="Q15" s="18" t="n">
        <v>0</v>
      </c>
      <c r="R15" s="20" t="n">
        <v>0</v>
      </c>
    </row>
    <row r="16" spans="1:18">
      <c r="A16" s="15" t="s">
        <v>574</v>
      </c>
      <c r="B16" s="17" t="n">
        <v>6108</v>
      </c>
      <c r="C16" s="18">
        <f>(5446.0/B16*100)</f>
        <v/>
      </c>
      <c r="D16" s="19" t="n">
        <v>662</v>
      </c>
      <c r="E16" s="18" t="n">
        <v>68.51364676</v>
      </c>
      <c r="F16" s="20" t="n">
        <v>1.71274812</v>
      </c>
      <c r="G16" s="18" t="n">
        <v>29.34259163</v>
      </c>
      <c r="H16" s="20" t="n">
        <v>1.75679156</v>
      </c>
      <c r="I16" s="18" t="n">
        <v>0</v>
      </c>
      <c r="J16" s="20" t="n">
        <v>0</v>
      </c>
      <c r="K16" s="18" t="n">
        <v>1.05243351</v>
      </c>
      <c r="L16" s="20" t="n">
        <v>0.55488634</v>
      </c>
      <c r="M16" s="18" t="n">
        <v>0</v>
      </c>
      <c r="N16" s="20" t="n">
        <v>0</v>
      </c>
      <c r="O16" s="18" t="n">
        <v>0</v>
      </c>
      <c r="P16" s="20" t="n">
        <v>0</v>
      </c>
      <c r="Q16" s="18" t="n">
        <v>1.09132809</v>
      </c>
      <c r="R16" s="20" t="n">
        <v>0.40701592</v>
      </c>
    </row>
    <row r="17" spans="1:18">
      <c r="A17" s="15" t="s">
        <v>575</v>
      </c>
      <c r="B17" s="17" t="n">
        <v>6504</v>
      </c>
      <c r="C17" s="18">
        <f>(5821.0/B17*100)</f>
        <v/>
      </c>
      <c r="D17" s="19" t="n">
        <v>683</v>
      </c>
      <c r="E17" s="18" t="n">
        <v>47.95774482</v>
      </c>
      <c r="F17" s="20" t="n">
        <v>2.10363104</v>
      </c>
      <c r="G17" s="18" t="n">
        <v>51.04638554</v>
      </c>
      <c r="H17" s="20" t="n">
        <v>2.07387665</v>
      </c>
      <c r="I17" s="18" t="n">
        <v>0</v>
      </c>
      <c r="J17" s="20" t="n">
        <v>0</v>
      </c>
      <c r="K17" s="18" t="n">
        <v>0.33222832</v>
      </c>
      <c r="L17" s="20" t="n">
        <v>0.17576052</v>
      </c>
      <c r="M17" s="18" t="n">
        <v>0</v>
      </c>
      <c r="N17" s="20" t="n">
        <v>0</v>
      </c>
      <c r="O17" s="18" t="n">
        <v>0</v>
      </c>
      <c r="P17" s="20" t="n">
        <v>0</v>
      </c>
      <c r="Q17" s="18" t="n">
        <v>0.66364131</v>
      </c>
      <c r="R17" s="20" t="n">
        <v>0.30467049</v>
      </c>
    </row>
    <row r="18" spans="1:18">
      <c r="A18" s="15" t="s">
        <v>576</v>
      </c>
      <c r="B18" s="17" t="n">
        <v>5532</v>
      </c>
      <c r="C18" s="18">
        <f>(4916.0/B18*100)</f>
        <v/>
      </c>
      <c r="D18" s="19" t="n">
        <v>616</v>
      </c>
      <c r="E18" s="18" t="n">
        <v>75.79021364</v>
      </c>
      <c r="F18" s="20" t="n">
        <v>2.04729289</v>
      </c>
      <c r="G18" s="18" t="n">
        <v>23.13018803</v>
      </c>
      <c r="H18" s="20" t="n">
        <v>1.9619725</v>
      </c>
      <c r="I18" s="18" t="n">
        <v>0</v>
      </c>
      <c r="J18" s="20" t="n">
        <v>0</v>
      </c>
      <c r="K18" s="18" t="n">
        <v>0.46150869</v>
      </c>
      <c r="L18" s="20" t="n">
        <v>0.25810315</v>
      </c>
      <c r="M18" s="18" t="n">
        <v>0</v>
      </c>
      <c r="N18" s="20" t="n">
        <v>0</v>
      </c>
      <c r="O18" s="18" t="n">
        <v>0</v>
      </c>
      <c r="P18" s="20" t="n">
        <v>0</v>
      </c>
      <c r="Q18" s="18" t="n">
        <v>0.6180896299999999</v>
      </c>
      <c r="R18" s="20" t="n">
        <v>0.2847504</v>
      </c>
    </row>
    <row r="19" spans="1:18">
      <c r="A19" s="15" t="s">
        <v>577</v>
      </c>
      <c r="B19" s="17" t="n">
        <v>5658</v>
      </c>
      <c r="C19" s="18">
        <f>(5053.0/B19*100)</f>
        <v/>
      </c>
      <c r="D19" s="19" t="n">
        <v>605</v>
      </c>
      <c r="E19" s="18" t="n">
        <v>61.11798624</v>
      </c>
      <c r="F19" s="20" t="n">
        <v>2.26780708</v>
      </c>
      <c r="G19" s="18" t="n">
        <v>37.56938221</v>
      </c>
      <c r="H19" s="20" t="n">
        <v>2.19450665</v>
      </c>
      <c r="I19" s="18" t="n">
        <v>0</v>
      </c>
      <c r="J19" s="20" t="n">
        <v>0</v>
      </c>
      <c r="K19" s="18" t="n">
        <v>0</v>
      </c>
      <c r="L19" s="20" t="n">
        <v>0</v>
      </c>
      <c r="M19" s="18" t="n">
        <v>0</v>
      </c>
      <c r="N19" s="20" t="n">
        <v>0</v>
      </c>
      <c r="O19" s="18" t="n">
        <v>0</v>
      </c>
      <c r="P19" s="20" t="n">
        <v>0</v>
      </c>
      <c r="Q19" s="18" t="n">
        <v>1.31263154</v>
      </c>
      <c r="R19" s="20" t="n">
        <v>0.56619025</v>
      </c>
    </row>
    <row r="20" spans="1:18">
      <c r="A20" s="15" t="s">
        <v>578</v>
      </c>
      <c r="B20" s="17" t="n">
        <v>3371</v>
      </c>
      <c r="C20" s="18">
        <f>(2979.0/B20*100)</f>
        <v/>
      </c>
      <c r="D20" s="19" t="n">
        <v>392</v>
      </c>
      <c r="E20" s="18" t="n">
        <v>54.30206293</v>
      </c>
      <c r="F20" s="20" t="n">
        <v>2.33506418</v>
      </c>
      <c r="G20" s="18" t="n">
        <v>43.78800831</v>
      </c>
      <c r="H20" s="20" t="n">
        <v>2.23367845</v>
      </c>
      <c r="I20" s="18" t="n">
        <v>0</v>
      </c>
      <c r="J20" s="20" t="n">
        <v>0</v>
      </c>
      <c r="K20" s="18" t="n">
        <v>0.25191152</v>
      </c>
      <c r="L20" s="20" t="n">
        <v>0.25350492</v>
      </c>
      <c r="M20" s="18" t="n">
        <v>0</v>
      </c>
      <c r="N20" s="20" t="n">
        <v>0</v>
      </c>
      <c r="O20" s="18" t="n">
        <v>0</v>
      </c>
      <c r="P20" s="20" t="n">
        <v>0</v>
      </c>
      <c r="Q20" s="18" t="n">
        <v>1.65801723</v>
      </c>
      <c r="R20" s="20" t="n">
        <v>0.6459526</v>
      </c>
    </row>
    <row r="21" spans="1:18">
      <c r="A21" s="15" t="s">
        <v>579</v>
      </c>
      <c r="B21" s="17" t="n">
        <v>5741</v>
      </c>
      <c r="C21" s="18">
        <f>(5119.0/B21*100)</f>
        <v/>
      </c>
      <c r="D21" s="19" t="n">
        <v>622</v>
      </c>
      <c r="E21" s="18" t="n">
        <v>48.61782215</v>
      </c>
      <c r="F21" s="20" t="n">
        <v>2.04803229</v>
      </c>
      <c r="G21" s="18" t="n">
        <v>50.70694575</v>
      </c>
      <c r="H21" s="20" t="n">
        <v>2.04284591</v>
      </c>
      <c r="I21" s="18" t="n">
        <v>0</v>
      </c>
      <c r="J21" s="20" t="n">
        <v>0</v>
      </c>
      <c r="K21" s="18" t="n">
        <v>0.29581747</v>
      </c>
      <c r="L21" s="20" t="n">
        <v>0.20945097</v>
      </c>
      <c r="M21" s="18" t="n">
        <v>0</v>
      </c>
      <c r="N21" s="20" t="n">
        <v>0</v>
      </c>
      <c r="O21" s="18" t="n">
        <v>0</v>
      </c>
      <c r="P21" s="20" t="n">
        <v>0</v>
      </c>
      <c r="Q21" s="18" t="n">
        <v>0.37941463</v>
      </c>
      <c r="R21" s="20" t="n">
        <v>0.27054428</v>
      </c>
    </row>
    <row r="22" spans="1:18">
      <c r="A22" s="15" t="s">
        <v>580</v>
      </c>
      <c r="B22" s="17" t="n">
        <v>6598</v>
      </c>
      <c r="C22" s="18">
        <f>(5856.0/B22*100)</f>
        <v/>
      </c>
      <c r="D22" s="19" t="n">
        <v>742</v>
      </c>
      <c r="E22" s="18" t="n">
        <v>62.59383268</v>
      </c>
      <c r="F22" s="20" t="n">
        <v>2.27331442</v>
      </c>
      <c r="G22" s="18" t="n">
        <v>35.39450402</v>
      </c>
      <c r="H22" s="20" t="n">
        <v>2.2397746</v>
      </c>
      <c r="I22" s="18" t="n">
        <v>0</v>
      </c>
      <c r="J22" s="20" t="n">
        <v>0</v>
      </c>
      <c r="K22" s="18" t="n">
        <v>0.93218897</v>
      </c>
      <c r="L22" s="20" t="n">
        <v>0.3532946</v>
      </c>
      <c r="M22" s="18" t="n">
        <v>0</v>
      </c>
      <c r="N22" s="20" t="n">
        <v>0</v>
      </c>
      <c r="O22" s="18" t="n">
        <v>0</v>
      </c>
      <c r="P22" s="20" t="n">
        <v>0</v>
      </c>
      <c r="Q22" s="18" t="n">
        <v>1.07947432</v>
      </c>
      <c r="R22" s="20" t="n">
        <v>0.43264784</v>
      </c>
    </row>
    <row r="23" spans="1:18">
      <c r="A23" s="15" t="s">
        <v>581</v>
      </c>
      <c r="B23" s="17" t="n">
        <v>11583</v>
      </c>
      <c r="C23" s="18">
        <f>(10345.0/B23*100)</f>
        <v/>
      </c>
      <c r="D23" s="19" t="n">
        <v>1238</v>
      </c>
      <c r="E23" s="18" t="n">
        <v>69.0712685</v>
      </c>
      <c r="F23" s="20" t="n">
        <v>1.92025276</v>
      </c>
      <c r="G23" s="18" t="n">
        <v>29.74598703</v>
      </c>
      <c r="H23" s="20" t="n">
        <v>1.8518677</v>
      </c>
      <c r="I23" s="18" t="n">
        <v>0</v>
      </c>
      <c r="J23" s="20" t="n">
        <v>0</v>
      </c>
      <c r="K23" s="18" t="n">
        <v>0.22233265</v>
      </c>
      <c r="L23" s="20" t="n">
        <v>0.15191838</v>
      </c>
      <c r="M23" s="18" t="n">
        <v>0</v>
      </c>
      <c r="N23" s="20" t="n">
        <v>0</v>
      </c>
      <c r="O23" s="18" t="n">
        <v>0</v>
      </c>
      <c r="P23" s="20" t="n">
        <v>0</v>
      </c>
      <c r="Q23" s="18" t="n">
        <v>0.96041182</v>
      </c>
      <c r="R23" s="20" t="n">
        <v>0.35854047</v>
      </c>
    </row>
    <row r="24" spans="1:18">
      <c r="A24" s="15" t="s">
        <v>582</v>
      </c>
      <c r="B24" s="17" t="n">
        <v>6647</v>
      </c>
      <c r="C24" s="18">
        <f>(5924.0/B24*100)</f>
        <v/>
      </c>
      <c r="D24" s="19" t="n">
        <v>723</v>
      </c>
      <c r="E24" s="18" t="n">
        <v>41.54948647</v>
      </c>
      <c r="F24" s="20" t="n">
        <v>2.02900887</v>
      </c>
      <c r="G24" s="18" t="n">
        <v>57.93729933</v>
      </c>
      <c r="H24" s="20" t="n">
        <v>2.05021716</v>
      </c>
      <c r="I24" s="18" t="n">
        <v>0</v>
      </c>
      <c r="J24" s="20" t="n">
        <v>0</v>
      </c>
      <c r="K24" s="18" t="n">
        <v>0</v>
      </c>
      <c r="L24" s="20" t="n">
        <v>0</v>
      </c>
      <c r="M24" s="18" t="n">
        <v>0</v>
      </c>
      <c r="N24" s="20" t="n">
        <v>0</v>
      </c>
      <c r="O24" s="18" t="n">
        <v>0</v>
      </c>
      <c r="P24" s="20" t="n">
        <v>0</v>
      </c>
      <c r="Q24" s="18" t="n">
        <v>0.5132142</v>
      </c>
      <c r="R24" s="20" t="n">
        <v>0.25674254</v>
      </c>
    </row>
    <row r="25" spans="1:18">
      <c r="A25" s="15" t="s">
        <v>583</v>
      </c>
      <c r="B25" s="17" t="n">
        <v>5581</v>
      </c>
      <c r="C25" s="18">
        <f>(4963.0/B25*100)</f>
        <v/>
      </c>
      <c r="D25" s="19" t="n">
        <v>618</v>
      </c>
      <c r="E25" s="18" t="n">
        <v>58.16757272</v>
      </c>
      <c r="F25" s="20" t="n">
        <v>2.25467871</v>
      </c>
      <c r="G25" s="18" t="n">
        <v>41.37622193</v>
      </c>
      <c r="H25" s="20" t="n">
        <v>2.26261735</v>
      </c>
      <c r="I25" s="18" t="n">
        <v>0</v>
      </c>
      <c r="J25" s="20" t="n">
        <v>0</v>
      </c>
      <c r="K25" s="18" t="n">
        <v>0.45620535</v>
      </c>
      <c r="L25" s="20" t="n">
        <v>0.26785385</v>
      </c>
      <c r="M25" s="18" t="n">
        <v>0</v>
      </c>
      <c r="N25" s="20" t="n">
        <v>0</v>
      </c>
      <c r="O25" s="18" t="n">
        <v>0</v>
      </c>
      <c r="P25" s="20" t="n">
        <v>0</v>
      </c>
      <c r="Q25" s="18" t="n">
        <v>0</v>
      </c>
      <c r="R25" s="20" t="n">
        <v>0</v>
      </c>
    </row>
    <row r="26" spans="1:18">
      <c r="A26" s="15" t="s">
        <v>584</v>
      </c>
      <c r="B26" s="17" t="n">
        <v>4869</v>
      </c>
      <c r="C26" s="18">
        <f>(4331.0/B26*100)</f>
        <v/>
      </c>
      <c r="D26" s="19" t="n">
        <v>538</v>
      </c>
      <c r="E26" s="18" t="n">
        <v>57.59902259</v>
      </c>
      <c r="F26" s="20" t="n">
        <v>2.10039582</v>
      </c>
      <c r="G26" s="18" t="n">
        <v>42.05310222</v>
      </c>
      <c r="H26" s="20" t="n">
        <v>2.07632663</v>
      </c>
      <c r="I26" s="18" t="n">
        <v>0</v>
      </c>
      <c r="J26" s="20" t="n">
        <v>0</v>
      </c>
      <c r="K26" s="18" t="n">
        <v>0.1483869</v>
      </c>
      <c r="L26" s="20" t="n">
        <v>0.16152774</v>
      </c>
      <c r="M26" s="18" t="n">
        <v>0</v>
      </c>
      <c r="N26" s="20" t="n">
        <v>0</v>
      </c>
      <c r="O26" s="18" t="n">
        <v>0</v>
      </c>
      <c r="P26" s="20" t="n">
        <v>0</v>
      </c>
      <c r="Q26" s="18" t="n">
        <v>0.19948829</v>
      </c>
      <c r="R26" s="20" t="n">
        <v>0.13673415</v>
      </c>
    </row>
    <row r="27" spans="1:18">
      <c r="A27" s="15" t="s">
        <v>585</v>
      </c>
      <c r="B27" s="17" t="n">
        <v>5299</v>
      </c>
      <c r="C27" s="18">
        <f>(4719.0/B27*100)</f>
        <v/>
      </c>
      <c r="D27" s="19" t="n">
        <v>580</v>
      </c>
      <c r="E27" s="18" t="n">
        <v>60.63615791</v>
      </c>
      <c r="F27" s="20" t="n">
        <v>1.69704591</v>
      </c>
      <c r="G27" s="18" t="n">
        <v>36.78197408</v>
      </c>
      <c r="H27" s="20" t="n">
        <v>1.6106356</v>
      </c>
      <c r="I27" s="18" t="n">
        <v>0</v>
      </c>
      <c r="J27" s="20" t="n">
        <v>0</v>
      </c>
      <c r="K27" s="18" t="n">
        <v>0.6985064</v>
      </c>
      <c r="L27" s="20" t="n">
        <v>0.34834681</v>
      </c>
      <c r="M27" s="18" t="n">
        <v>0</v>
      </c>
      <c r="N27" s="20" t="n">
        <v>0</v>
      </c>
      <c r="O27" s="18" t="n">
        <v>0</v>
      </c>
      <c r="P27" s="20" t="n">
        <v>0</v>
      </c>
      <c r="Q27" s="18" t="n">
        <v>1.88336161</v>
      </c>
      <c r="R27" s="20" t="n">
        <v>0.5509903</v>
      </c>
    </row>
    <row r="28" spans="1:18">
      <c r="A28" s="15" t="s">
        <v>586</v>
      </c>
      <c r="B28" s="17" t="n">
        <v>7568</v>
      </c>
      <c r="C28" s="18">
        <f>(6812.0/B28*100)</f>
        <v/>
      </c>
      <c r="D28" s="19" t="n">
        <v>756</v>
      </c>
      <c r="E28" s="18" t="n">
        <v>72.58218991</v>
      </c>
      <c r="F28" s="20" t="n">
        <v>1.78601966</v>
      </c>
      <c r="G28" s="18" t="n">
        <v>25.5046249</v>
      </c>
      <c r="H28" s="20" t="n">
        <v>1.70006515</v>
      </c>
      <c r="I28" s="18" t="n">
        <v>0</v>
      </c>
      <c r="J28" s="20" t="n">
        <v>0</v>
      </c>
      <c r="K28" s="18" t="n">
        <v>1.29710663</v>
      </c>
      <c r="L28" s="20" t="n">
        <v>0.47541674</v>
      </c>
      <c r="M28" s="18" t="n">
        <v>0</v>
      </c>
      <c r="N28" s="20" t="n">
        <v>0</v>
      </c>
      <c r="O28" s="18" t="n">
        <v>0</v>
      </c>
      <c r="P28" s="20" t="n">
        <v>0</v>
      </c>
      <c r="Q28" s="18" t="n">
        <v>0.61607857</v>
      </c>
      <c r="R28" s="20" t="n">
        <v>0.34909266</v>
      </c>
    </row>
    <row r="29" spans="1:18">
      <c r="A29" s="15" t="s">
        <v>587</v>
      </c>
      <c r="B29" s="17" t="n">
        <v>5385</v>
      </c>
      <c r="C29" s="18">
        <f>(4802.0/B29*100)</f>
        <v/>
      </c>
      <c r="D29" s="19" t="n">
        <v>583</v>
      </c>
      <c r="E29" s="18" t="n">
        <v>57.47910989</v>
      </c>
      <c r="F29" s="20" t="n">
        <v>2.13925934</v>
      </c>
      <c r="G29" s="18" t="n">
        <v>41.6870945</v>
      </c>
      <c r="H29" s="20" t="n">
        <v>2.03790735</v>
      </c>
      <c r="I29" s="18" t="n">
        <v>0</v>
      </c>
      <c r="J29" s="20" t="n">
        <v>0</v>
      </c>
      <c r="K29" s="18" t="n">
        <v>0.21086583</v>
      </c>
      <c r="L29" s="20" t="n">
        <v>0.19765015</v>
      </c>
      <c r="M29" s="18" t="n">
        <v>0</v>
      </c>
      <c r="N29" s="20" t="n">
        <v>0</v>
      </c>
      <c r="O29" s="18" t="n">
        <v>0</v>
      </c>
      <c r="P29" s="20" t="n">
        <v>0</v>
      </c>
      <c r="Q29" s="18" t="n">
        <v>0.62292979</v>
      </c>
      <c r="R29" s="20" t="n">
        <v>0.31814857</v>
      </c>
    </row>
    <row r="30" spans="1:18">
      <c r="A30" s="15" t="s">
        <v>588</v>
      </c>
      <c r="B30" s="17" t="n">
        <v>4520</v>
      </c>
      <c r="C30" s="18">
        <f>(4042.0/B30*100)</f>
        <v/>
      </c>
      <c r="D30" s="19" t="n">
        <v>478</v>
      </c>
      <c r="E30" s="18" t="n">
        <v>50.42755118</v>
      </c>
      <c r="F30" s="20" t="n">
        <v>2.43803286</v>
      </c>
      <c r="G30" s="18" t="n">
        <v>48.17776432</v>
      </c>
      <c r="H30" s="20" t="n">
        <v>2.46603918</v>
      </c>
      <c r="I30" s="18" t="n">
        <v>0</v>
      </c>
      <c r="J30" s="20" t="n">
        <v>0</v>
      </c>
      <c r="K30" s="18" t="n">
        <v>0</v>
      </c>
      <c r="L30" s="20" t="n">
        <v>0</v>
      </c>
      <c r="M30" s="18" t="n">
        <v>0</v>
      </c>
      <c r="N30" s="20" t="n">
        <v>0</v>
      </c>
      <c r="O30" s="18" t="n">
        <v>0</v>
      </c>
      <c r="P30" s="20" t="n">
        <v>0</v>
      </c>
      <c r="Q30" s="18" t="n">
        <v>1.3946845</v>
      </c>
      <c r="R30" s="20" t="n">
        <v>0.56229548</v>
      </c>
    </row>
    <row r="31" spans="1:18">
      <c r="A31" s="15" t="s">
        <v>589</v>
      </c>
      <c r="B31" s="17" t="n">
        <v>5456</v>
      </c>
      <c r="C31" s="18">
        <f>(4855.0/B31*100)</f>
        <v/>
      </c>
      <c r="D31" s="19" t="n">
        <v>601</v>
      </c>
      <c r="E31" s="18" t="n">
        <v>53.74349626</v>
      </c>
      <c r="F31" s="20" t="n">
        <v>2.40005765</v>
      </c>
      <c r="G31" s="18" t="n">
        <v>43.32914148</v>
      </c>
      <c r="H31" s="20" t="n">
        <v>2.44454975</v>
      </c>
      <c r="I31" s="18" t="n">
        <v>0</v>
      </c>
      <c r="J31" s="20" t="n">
        <v>0</v>
      </c>
      <c r="K31" s="18" t="n">
        <v>0.80255861</v>
      </c>
      <c r="L31" s="20" t="n">
        <v>0.40789113</v>
      </c>
      <c r="M31" s="18" t="n">
        <v>0</v>
      </c>
      <c r="N31" s="20" t="n">
        <v>0</v>
      </c>
      <c r="O31" s="18" t="n">
        <v>0</v>
      </c>
      <c r="P31" s="20" t="n">
        <v>0</v>
      </c>
      <c r="Q31" s="18" t="n">
        <v>2.12480366</v>
      </c>
      <c r="R31" s="20" t="n">
        <v>0.5836915499999999</v>
      </c>
    </row>
    <row r="32" spans="1:18">
      <c r="A32" s="15" t="s">
        <v>590</v>
      </c>
      <c r="B32" s="17" t="n">
        <v>4478</v>
      </c>
      <c r="C32" s="18">
        <f>(3972.0/B32*100)</f>
        <v/>
      </c>
      <c r="D32" s="19" t="n">
        <v>506</v>
      </c>
      <c r="E32" s="18" t="n">
        <v>55.38916496</v>
      </c>
      <c r="F32" s="20" t="n">
        <v>2.52474933</v>
      </c>
      <c r="G32" s="18" t="n">
        <v>44.61083504</v>
      </c>
      <c r="H32" s="20" t="n">
        <v>2.52474933</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(6530.0/B33*100)</f>
        <v/>
      </c>
      <c r="D33" s="19" t="n">
        <v>795</v>
      </c>
      <c r="E33" s="18" t="n">
        <v>75.78208445</v>
      </c>
      <c r="F33" s="20" t="n">
        <v>1.52096346</v>
      </c>
      <c r="G33" s="18" t="n">
        <v>23.50966749</v>
      </c>
      <c r="H33" s="20" t="n">
        <v>1.56761937</v>
      </c>
      <c r="I33" s="18" t="n">
        <v>0</v>
      </c>
      <c r="J33" s="20" t="n">
        <v>0</v>
      </c>
      <c r="K33" s="18" t="n">
        <v>0.35881228</v>
      </c>
      <c r="L33" s="20" t="n">
        <v>0.23887092</v>
      </c>
      <c r="M33" s="18" t="n">
        <v>0</v>
      </c>
      <c r="N33" s="20" t="n">
        <v>0</v>
      </c>
      <c r="O33" s="18" t="n">
        <v>0</v>
      </c>
      <c r="P33" s="20" t="n">
        <v>0</v>
      </c>
      <c r="Q33" s="18" t="n">
        <v>0.34943578</v>
      </c>
      <c r="R33" s="20" t="n">
        <v>0.19964483</v>
      </c>
    </row>
    <row r="34" spans="1:18">
      <c r="A34" s="15" t="s">
        <v>592</v>
      </c>
      <c r="B34" s="17" t="n">
        <v>6350</v>
      </c>
      <c r="C34" s="18">
        <f>(5648.0/B34*100)</f>
        <v/>
      </c>
      <c r="D34" s="19" t="n">
        <v>702</v>
      </c>
      <c r="E34" s="18" t="n">
        <v>63.84682744</v>
      </c>
      <c r="F34" s="20" t="n">
        <v>1.77636754</v>
      </c>
      <c r="G34" s="18" t="n">
        <v>35.90276238</v>
      </c>
      <c r="H34" s="20" t="n">
        <v>1.73665442</v>
      </c>
      <c r="I34" s="18" t="n">
        <v>0</v>
      </c>
      <c r="J34" s="20" t="n">
        <v>0</v>
      </c>
      <c r="K34" s="18" t="n">
        <v>0.12885614</v>
      </c>
      <c r="L34" s="20" t="n">
        <v>0.12856001</v>
      </c>
      <c r="M34" s="18" t="n">
        <v>0</v>
      </c>
      <c r="N34" s="20" t="n">
        <v>0</v>
      </c>
      <c r="O34" s="18" t="n">
        <v>0</v>
      </c>
      <c r="P34" s="20" t="n">
        <v>0</v>
      </c>
      <c r="Q34" s="18" t="n">
        <v>0.12155404</v>
      </c>
      <c r="R34" s="20" t="n">
        <v>0.1196124</v>
      </c>
    </row>
    <row r="35" spans="1:18">
      <c r="A35" s="15" t="s">
        <v>593</v>
      </c>
      <c r="B35" s="17" t="n">
        <v>6406</v>
      </c>
      <c r="C35" s="18">
        <f>(5750.0/B35*100)</f>
        <v/>
      </c>
      <c r="D35" s="19" t="n">
        <v>656</v>
      </c>
      <c r="E35" s="18" t="n">
        <v>66.78537968000001</v>
      </c>
      <c r="F35" s="20" t="n">
        <v>2.41258041</v>
      </c>
      <c r="G35" s="18" t="n">
        <v>32.79643955</v>
      </c>
      <c r="H35" s="20" t="n">
        <v>2.36903957</v>
      </c>
      <c r="I35" s="18" t="n">
        <v>0</v>
      </c>
      <c r="J35" s="20" t="n">
        <v>0</v>
      </c>
      <c r="K35" s="18" t="n">
        <v>0.06675483</v>
      </c>
      <c r="L35" s="20" t="n">
        <v>0.06724663</v>
      </c>
      <c r="M35" s="18" t="n">
        <v>0</v>
      </c>
      <c r="N35" s="20" t="n">
        <v>0</v>
      </c>
      <c r="O35" s="18" t="n">
        <v>0</v>
      </c>
      <c r="P35" s="20" t="n">
        <v>0</v>
      </c>
      <c r="Q35" s="18" t="n">
        <v>0.35142593</v>
      </c>
      <c r="R35" s="20" t="n">
        <v>0.2395123</v>
      </c>
    </row>
    <row r="36" spans="1:18">
      <c r="A36" s="15" t="s">
        <v>594</v>
      </c>
      <c r="B36" s="17" t="n">
        <v>6736</v>
      </c>
      <c r="C36" s="18">
        <f>(6034.0/B36*100)</f>
        <v/>
      </c>
      <c r="D36" s="19" t="n">
        <v>702</v>
      </c>
      <c r="E36" s="18" t="n">
        <v>69.34563984</v>
      </c>
      <c r="F36" s="20" t="n">
        <v>1.61720551</v>
      </c>
      <c r="G36" s="18" t="n">
        <v>29.98659616</v>
      </c>
      <c r="H36" s="20" t="n">
        <v>1.62558743</v>
      </c>
      <c r="I36" s="18" t="n">
        <v>0</v>
      </c>
      <c r="J36" s="20" t="n">
        <v>0</v>
      </c>
      <c r="K36" s="18" t="n">
        <v>0.16998526</v>
      </c>
      <c r="L36" s="20" t="n">
        <v>0.12478215</v>
      </c>
      <c r="M36" s="18" t="n">
        <v>0</v>
      </c>
      <c r="N36" s="20" t="n">
        <v>0</v>
      </c>
      <c r="O36" s="18" t="n">
        <v>0</v>
      </c>
      <c r="P36" s="20" t="n">
        <v>0</v>
      </c>
      <c r="Q36" s="18" t="n">
        <v>0.49777874</v>
      </c>
      <c r="R36" s="20" t="n">
        <v>0.26474548</v>
      </c>
    </row>
    <row r="37" spans="1:18">
      <c r="A37" s="15" t="s">
        <v>595</v>
      </c>
      <c r="B37" s="17" t="n">
        <v>5458</v>
      </c>
      <c r="C37" s="18">
        <f>(4861.0/B37*100)</f>
        <v/>
      </c>
      <c r="D37" s="19" t="n">
        <v>597</v>
      </c>
      <c r="E37" s="18" t="n">
        <v>57.44763245</v>
      </c>
      <c r="F37" s="20" t="n">
        <v>2.18267573</v>
      </c>
      <c r="G37" s="18" t="n">
        <v>39.89699266</v>
      </c>
      <c r="H37" s="20" t="n">
        <v>2.30849906</v>
      </c>
      <c r="I37" s="18" t="n">
        <v>0</v>
      </c>
      <c r="J37" s="20" t="n">
        <v>0</v>
      </c>
      <c r="K37" s="18" t="n">
        <v>1.27648826</v>
      </c>
      <c r="L37" s="20" t="n">
        <v>0.45129145</v>
      </c>
      <c r="M37" s="18" t="n">
        <v>0</v>
      </c>
      <c r="N37" s="20" t="n">
        <v>0</v>
      </c>
      <c r="O37" s="18" t="n">
        <v>0</v>
      </c>
      <c r="P37" s="20" t="n">
        <v>0</v>
      </c>
      <c r="Q37" s="18" t="n">
        <v>1.37888663</v>
      </c>
      <c r="R37" s="20" t="n">
        <v>0.55775072</v>
      </c>
    </row>
    <row r="38" spans="1:18">
      <c r="A38" s="15" t="s">
        <v>596</v>
      </c>
      <c r="B38" s="17" t="n">
        <v>5860</v>
      </c>
      <c r="C38" s="18">
        <f>(5204.0/B38*100)</f>
        <v/>
      </c>
      <c r="D38" s="19" t="n">
        <v>656</v>
      </c>
      <c r="E38" s="18" t="n">
        <v>60.12550375</v>
      </c>
      <c r="F38" s="20" t="n">
        <v>2.12440584</v>
      </c>
      <c r="G38" s="18" t="n">
        <v>38.48655097</v>
      </c>
      <c r="H38" s="20" t="n">
        <v>2.09179002</v>
      </c>
      <c r="I38" s="18" t="n">
        <v>0</v>
      </c>
      <c r="J38" s="20" t="n">
        <v>0</v>
      </c>
      <c r="K38" s="18" t="n">
        <v>0.36729465</v>
      </c>
      <c r="L38" s="20" t="n">
        <v>0.23720378</v>
      </c>
      <c r="M38" s="18" t="n">
        <v>0</v>
      </c>
      <c r="N38" s="20" t="n">
        <v>0</v>
      </c>
      <c r="O38" s="18" t="n">
        <v>0</v>
      </c>
      <c r="P38" s="20" t="n">
        <v>0</v>
      </c>
      <c r="Q38" s="18" t="n">
        <v>1.02065063</v>
      </c>
      <c r="R38" s="20" t="n">
        <v>0.42593878</v>
      </c>
    </row>
    <row r="39" spans="1:18">
      <c r="A39" s="15" t="s">
        <v>597</v>
      </c>
      <c r="B39" s="17" t="n">
        <v>5895</v>
      </c>
      <c r="C39" s="18">
        <f>(5237.0/B39*100)</f>
        <v/>
      </c>
      <c r="D39" s="19" t="n">
        <v>658</v>
      </c>
      <c r="E39" s="18" t="n">
        <v>71.51194734000001</v>
      </c>
      <c r="F39" s="20" t="n">
        <v>2.24864616</v>
      </c>
      <c r="G39" s="18" t="n">
        <v>28.38904472</v>
      </c>
      <c r="H39" s="20" t="n">
        <v>2.25328542</v>
      </c>
      <c r="I39" s="18" t="n">
        <v>0</v>
      </c>
      <c r="J39" s="20" t="n">
        <v>0</v>
      </c>
      <c r="K39" s="18" t="n">
        <v>0</v>
      </c>
      <c r="L39" s="20" t="n">
        <v>0</v>
      </c>
      <c r="M39" s="18" t="n">
        <v>0</v>
      </c>
      <c r="N39" s="20" t="n">
        <v>0</v>
      </c>
      <c r="O39" s="18" t="n">
        <v>0</v>
      </c>
      <c r="P39" s="20" t="n">
        <v>0</v>
      </c>
      <c r="Q39" s="18" t="n">
        <v>0.09900794</v>
      </c>
      <c r="R39" s="20" t="n">
        <v>0.09954926</v>
      </c>
    </row>
    <row r="40" spans="1:18">
      <c r="A40" s="15" t="s">
        <v>598</v>
      </c>
      <c r="B40" s="17" t="n">
        <v>14157</v>
      </c>
      <c r="C40" s="18">
        <f>(12601.0/B40*100)</f>
        <v/>
      </c>
      <c r="D40" s="19" t="n">
        <v>1556</v>
      </c>
      <c r="E40" s="18" t="n">
        <v>50.44072511</v>
      </c>
      <c r="F40" s="20" t="n">
        <v>2.16527957</v>
      </c>
      <c r="G40" s="18" t="n">
        <v>49.01481516</v>
      </c>
      <c r="H40" s="20" t="n">
        <v>2.17243598</v>
      </c>
      <c r="I40" s="18" t="n">
        <v>0</v>
      </c>
      <c r="J40" s="20" t="n">
        <v>0</v>
      </c>
      <c r="K40" s="18" t="n">
        <v>0.43913174</v>
      </c>
      <c r="L40" s="20" t="n">
        <v>0.2425852</v>
      </c>
      <c r="M40" s="18" t="n">
        <v>0</v>
      </c>
      <c r="N40" s="20" t="n">
        <v>0</v>
      </c>
      <c r="O40" s="18" t="n">
        <v>0</v>
      </c>
      <c r="P40" s="20" t="n">
        <v>0</v>
      </c>
      <c r="Q40" s="18" t="n">
        <v>0.10532798</v>
      </c>
      <c r="R40" s="20" t="n">
        <v>0.04227575</v>
      </c>
    </row>
    <row r="41" spans="1:18">
      <c r="A41" s="15" t="s">
        <v>599</v>
      </c>
      <c r="B41" s="17" t="n">
        <v>5712</v>
      </c>
      <c r="C41" s="18">
        <f>(5090.0/B41*100)</f>
        <v/>
      </c>
      <c r="D41" s="19" t="n">
        <v>622</v>
      </c>
      <c r="E41" s="18" t="n">
        <v>61.52878315</v>
      </c>
      <c r="F41" s="20" t="n">
        <v>2.52351349</v>
      </c>
      <c r="G41" s="18" t="n">
        <v>38.30111178</v>
      </c>
      <c r="H41" s="20" t="n">
        <v>2.51638594</v>
      </c>
      <c r="I41" s="18" t="n">
        <v>0</v>
      </c>
      <c r="J41" s="20" t="n">
        <v>0</v>
      </c>
      <c r="K41" s="18" t="n">
        <v>0</v>
      </c>
      <c r="L41" s="20" t="n">
        <v>0</v>
      </c>
      <c r="M41" s="18" t="n">
        <v>0</v>
      </c>
      <c r="N41" s="20" t="n">
        <v>0</v>
      </c>
      <c r="O41" s="18" t="n">
        <v>0</v>
      </c>
      <c r="P41" s="20" t="n">
        <v>0</v>
      </c>
      <c r="Q41" s="18" t="n">
        <v>0.17010507</v>
      </c>
      <c r="R41" s="20" t="n">
        <v>0.19187533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(21162.0/B46*100)</f>
        <v/>
      </c>
      <c r="D46" s="19" t="n">
        <v>1979</v>
      </c>
      <c r="E46" s="18" t="n">
        <v>77.25056342000001</v>
      </c>
      <c r="F46" s="20" t="n">
        <v>1.48843301</v>
      </c>
      <c r="G46" s="18" t="n">
        <v>19.63155887</v>
      </c>
      <c r="H46" s="20" t="n">
        <v>1.41408029</v>
      </c>
      <c r="I46" s="18" t="n">
        <v>0</v>
      </c>
      <c r="J46" s="20" t="n">
        <v>0</v>
      </c>
      <c r="K46" s="18" t="n">
        <v>0.97922753</v>
      </c>
      <c r="L46" s="20" t="n">
        <v>0.28230806</v>
      </c>
      <c r="M46" s="18" t="n">
        <v>0</v>
      </c>
      <c r="N46" s="20" t="n">
        <v>0</v>
      </c>
      <c r="O46" s="18" t="n">
        <v>0</v>
      </c>
      <c r="P46" s="20" t="n">
        <v>0</v>
      </c>
      <c r="Q46" s="18" t="n">
        <v>2.13865017</v>
      </c>
      <c r="R46" s="20" t="n">
        <v>0.49899363</v>
      </c>
    </row>
    <row r="47" spans="1:18">
      <c r="A47" s="15" t="s">
        <v>606</v>
      </c>
      <c r="B47" s="17" t="n">
        <v>5928</v>
      </c>
      <c r="C47" s="18">
        <f>(5266.0/B47*100)</f>
        <v/>
      </c>
      <c r="D47" s="19" t="n">
        <v>662</v>
      </c>
      <c r="E47" s="18" t="n">
        <v>74.29534805</v>
      </c>
      <c r="F47" s="20" t="n">
        <v>1.67497149</v>
      </c>
      <c r="G47" s="18" t="n">
        <v>24.39055865</v>
      </c>
      <c r="H47" s="20" t="n">
        <v>1.68271616</v>
      </c>
      <c r="I47" s="18" t="n">
        <v>0</v>
      </c>
      <c r="J47" s="20" t="n">
        <v>0</v>
      </c>
      <c r="K47" s="18" t="n">
        <v>0.58392554</v>
      </c>
      <c r="L47" s="20" t="n">
        <v>0.33057553</v>
      </c>
      <c r="M47" s="18" t="n">
        <v>0</v>
      </c>
      <c r="N47" s="20" t="n">
        <v>0</v>
      </c>
      <c r="O47" s="18" t="n">
        <v>0</v>
      </c>
      <c r="P47" s="20" t="n">
        <v>0</v>
      </c>
      <c r="Q47" s="18" t="n">
        <v>0.7301677600000001</v>
      </c>
      <c r="R47" s="20" t="n">
        <v>0.31937351</v>
      </c>
    </row>
    <row r="48" spans="1:18">
      <c r="A48" s="15" t="s">
        <v>607</v>
      </c>
      <c r="B48" s="17" t="n">
        <v>9841</v>
      </c>
      <c r="C48" s="18">
        <f>(8727.0/B48*100)</f>
        <v/>
      </c>
      <c r="D48" s="19" t="n">
        <v>1114</v>
      </c>
      <c r="E48" s="18" t="n">
        <v>54.85387939</v>
      </c>
      <c r="F48" s="20" t="n">
        <v>2.0131256</v>
      </c>
      <c r="G48" s="18" t="n">
        <v>44.57854785</v>
      </c>
      <c r="H48" s="20" t="n">
        <v>2.00338342</v>
      </c>
      <c r="I48" s="18" t="n">
        <v>0</v>
      </c>
      <c r="J48" s="20" t="n">
        <v>0</v>
      </c>
      <c r="K48" s="18" t="n">
        <v>0.28392456</v>
      </c>
      <c r="L48" s="20" t="n">
        <v>0.21946995</v>
      </c>
      <c r="M48" s="18" t="n">
        <v>0</v>
      </c>
      <c r="N48" s="20" t="n">
        <v>0</v>
      </c>
      <c r="O48" s="18" t="n">
        <v>0</v>
      </c>
      <c r="P48" s="20" t="n">
        <v>0</v>
      </c>
      <c r="Q48" s="18" t="n">
        <v>0.28364819</v>
      </c>
      <c r="R48" s="20" t="n">
        <v>0.19408937</v>
      </c>
    </row>
    <row r="49" spans="1:18">
      <c r="A49" s="15" t="s">
        <v>608</v>
      </c>
      <c r="B49" s="17" t="n">
        <v>11795</v>
      </c>
      <c r="C49" s="18">
        <f>(10480.0/B49*100)</f>
        <v/>
      </c>
      <c r="D49" s="19" t="n">
        <v>1315</v>
      </c>
      <c r="E49" s="18" t="n">
        <v>77.14286863</v>
      </c>
      <c r="F49" s="20" t="n">
        <v>1.62690202</v>
      </c>
      <c r="G49" s="18" t="n">
        <v>20.12401904</v>
      </c>
      <c r="H49" s="20" t="n">
        <v>1.44378828</v>
      </c>
      <c r="I49" s="18" t="n">
        <v>0</v>
      </c>
      <c r="J49" s="20" t="n">
        <v>0</v>
      </c>
      <c r="K49" s="18" t="n">
        <v>1.82669915</v>
      </c>
      <c r="L49" s="20" t="n">
        <v>0.63518804</v>
      </c>
      <c r="M49" s="18" t="n">
        <v>0</v>
      </c>
      <c r="N49" s="20" t="n">
        <v>0</v>
      </c>
      <c r="O49" s="18" t="n">
        <v>0</v>
      </c>
      <c r="P49" s="20" t="n">
        <v>0</v>
      </c>
      <c r="Q49" s="18" t="n">
        <v>0.90641319</v>
      </c>
      <c r="R49" s="20" t="n">
        <v>0.28895203</v>
      </c>
    </row>
    <row r="50" spans="1:18">
      <c r="A50" s="15" t="s">
        <v>609</v>
      </c>
      <c r="B50" s="17" t="n">
        <v>6866</v>
      </c>
      <c r="C50" s="18">
        <f>(6224.0/B50*100)</f>
        <v/>
      </c>
      <c r="D50" s="19" t="n">
        <v>642</v>
      </c>
      <c r="E50" s="18" t="n">
        <v>80.42148899999999</v>
      </c>
      <c r="F50" s="20" t="n">
        <v>1.58469681</v>
      </c>
      <c r="G50" s="18" t="n">
        <v>18.49988184</v>
      </c>
      <c r="H50" s="20" t="n">
        <v>1.48666938</v>
      </c>
      <c r="I50" s="18" t="n">
        <v>0</v>
      </c>
      <c r="J50" s="20" t="n">
        <v>0</v>
      </c>
      <c r="K50" s="18" t="n">
        <v>0.21505011</v>
      </c>
      <c r="L50" s="20" t="n">
        <v>0.20865353</v>
      </c>
      <c r="M50" s="18" t="n">
        <v>0</v>
      </c>
      <c r="N50" s="20" t="n">
        <v>0</v>
      </c>
      <c r="O50" s="18" t="n">
        <v>0</v>
      </c>
      <c r="P50" s="20" t="n">
        <v>0</v>
      </c>
      <c r="Q50" s="18" t="n">
        <v>0.86357905</v>
      </c>
      <c r="R50" s="20" t="n">
        <v>0.42288345</v>
      </c>
    </row>
    <row r="51" spans="1:18">
      <c r="A51" s="15" t="s">
        <v>610</v>
      </c>
      <c r="B51" s="17" t="n">
        <v>5809</v>
      </c>
      <c r="C51" s="18">
        <f>(5129.0/B51*100)</f>
        <v/>
      </c>
      <c r="D51" s="19" t="n">
        <v>680</v>
      </c>
      <c r="E51" s="18" t="n">
        <v>70.01729786</v>
      </c>
      <c r="F51" s="20" t="n">
        <v>1.83022495</v>
      </c>
      <c r="G51" s="18" t="n">
        <v>29.24856797</v>
      </c>
      <c r="H51" s="20" t="n">
        <v>1.84804514</v>
      </c>
      <c r="I51" s="18" t="n">
        <v>0</v>
      </c>
      <c r="J51" s="20" t="n">
        <v>0</v>
      </c>
      <c r="K51" s="18" t="n">
        <v>0.11078977</v>
      </c>
      <c r="L51" s="20" t="n">
        <v>0.1111909</v>
      </c>
      <c r="M51" s="18" t="n">
        <v>0</v>
      </c>
      <c r="N51" s="20" t="n">
        <v>0</v>
      </c>
      <c r="O51" s="18" t="n">
        <v>0</v>
      </c>
      <c r="P51" s="20" t="n">
        <v>0</v>
      </c>
      <c r="Q51" s="18" t="n">
        <v>0.62334441</v>
      </c>
      <c r="R51" s="20" t="n">
        <v>0.27064061</v>
      </c>
    </row>
    <row r="52" spans="1:18">
      <c r="A52" s="15" t="s">
        <v>611</v>
      </c>
      <c r="B52" s="17" t="n">
        <v>5571</v>
      </c>
      <c r="C52" s="18">
        <f>(4965.0/B52*100)</f>
        <v/>
      </c>
      <c r="D52" s="19" t="n">
        <v>606</v>
      </c>
      <c r="E52" s="18" t="n">
        <v>80.38798052</v>
      </c>
      <c r="F52" s="20" t="n">
        <v>1.61432607</v>
      </c>
      <c r="G52" s="18" t="n">
        <v>17.86978455</v>
      </c>
      <c r="H52" s="20" t="n">
        <v>1.52480766</v>
      </c>
      <c r="I52" s="18" t="n">
        <v>0</v>
      </c>
      <c r="J52" s="20" t="n">
        <v>0</v>
      </c>
      <c r="K52" s="18" t="n">
        <v>0.43482456</v>
      </c>
      <c r="L52" s="20" t="n">
        <v>0.3261021</v>
      </c>
      <c r="M52" s="18" t="n">
        <v>0</v>
      </c>
      <c r="N52" s="20" t="n">
        <v>0</v>
      </c>
      <c r="O52" s="18" t="n">
        <v>0</v>
      </c>
      <c r="P52" s="20" t="n">
        <v>0</v>
      </c>
      <c r="Q52" s="18" t="n">
        <v>1.30741037</v>
      </c>
      <c r="R52" s="20" t="n">
        <v>0.52607079</v>
      </c>
    </row>
    <row r="53" spans="1:18">
      <c r="A53" s="15" t="s">
        <v>612</v>
      </c>
      <c r="B53" s="17" t="n">
        <v>4740</v>
      </c>
      <c r="C53" s="18">
        <f>(4248.0/B53*100)</f>
        <v/>
      </c>
      <c r="D53" s="19" t="n">
        <v>492</v>
      </c>
      <c r="E53" s="18" t="n">
        <v>63.57973734</v>
      </c>
      <c r="F53" s="20" t="n">
        <v>2.06839006</v>
      </c>
      <c r="G53" s="18" t="n">
        <v>17.92397359</v>
      </c>
      <c r="H53" s="20" t="n">
        <v>1.67414732</v>
      </c>
      <c r="I53" s="18" t="n">
        <v>0</v>
      </c>
      <c r="J53" s="20" t="n">
        <v>0</v>
      </c>
      <c r="K53" s="18" t="n">
        <v>15.55221145</v>
      </c>
      <c r="L53" s="20" t="n">
        <v>1.80641686</v>
      </c>
      <c r="M53" s="18" t="n">
        <v>0</v>
      </c>
      <c r="N53" s="20" t="n">
        <v>0</v>
      </c>
      <c r="O53" s="18" t="n">
        <v>0</v>
      </c>
      <c r="P53" s="20" t="n">
        <v>0</v>
      </c>
      <c r="Q53" s="18" t="n">
        <v>2.94407762</v>
      </c>
      <c r="R53" s="20" t="n">
        <v>0.78483994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(4751.0/B55*100)</f>
        <v/>
      </c>
      <c r="D55" s="19" t="n">
        <v>608</v>
      </c>
      <c r="E55" s="18" t="n">
        <v>43.07759351</v>
      </c>
      <c r="F55" s="20" t="n">
        <v>1.75626966</v>
      </c>
      <c r="G55" s="18" t="n">
        <v>56.56633833</v>
      </c>
      <c r="H55" s="20" t="n">
        <v>1.77791172</v>
      </c>
      <c r="I55" s="18" t="n">
        <v>0</v>
      </c>
      <c r="J55" s="20" t="n">
        <v>0</v>
      </c>
      <c r="K55" s="18" t="n">
        <v>0.35606816</v>
      </c>
      <c r="L55" s="20" t="n">
        <v>0.23151693</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(5771.0/B61*100)</f>
        <v/>
      </c>
      <c r="D61" s="19" t="n">
        <v>754</v>
      </c>
      <c r="E61" s="18" t="n">
        <v>64.46494082</v>
      </c>
      <c r="F61" s="20" t="n">
        <v>1.86683116</v>
      </c>
      <c r="G61" s="18" t="n">
        <v>34.96488112</v>
      </c>
      <c r="H61" s="20" t="n">
        <v>1.92442087</v>
      </c>
      <c r="I61" s="18" t="n">
        <v>0</v>
      </c>
      <c r="J61" s="20" t="n">
        <v>0</v>
      </c>
      <c r="K61" s="18" t="n">
        <v>0</v>
      </c>
      <c r="L61" s="20" t="n">
        <v>0</v>
      </c>
      <c r="M61" s="18" t="n">
        <v>0</v>
      </c>
      <c r="N61" s="20" t="n">
        <v>0</v>
      </c>
      <c r="O61" s="18" t="n">
        <v>0</v>
      </c>
      <c r="P61" s="20" t="n">
        <v>0</v>
      </c>
      <c r="Q61" s="18" t="n">
        <v>0.57017806</v>
      </c>
      <c r="R61" s="20" t="n">
        <v>0.28684577</v>
      </c>
    </row>
    <row r="62" spans="1:18">
      <c r="A62" s="15" t="s">
        <v>622</v>
      </c>
      <c r="B62" s="17" t="n">
        <v>4476</v>
      </c>
      <c r="C62" s="18">
        <f>(3984.0/B62*100)</f>
        <v/>
      </c>
      <c r="D62" s="19" t="n">
        <v>492</v>
      </c>
      <c r="E62" s="18" t="n">
        <v>53.89997232</v>
      </c>
      <c r="F62" s="20" t="n">
        <v>2.68038529</v>
      </c>
      <c r="G62" s="18" t="n">
        <v>45.89801514</v>
      </c>
      <c r="H62" s="20" t="n">
        <v>2.68680443</v>
      </c>
      <c r="I62" s="18" t="n">
        <v>0</v>
      </c>
      <c r="J62" s="20" t="n">
        <v>0</v>
      </c>
      <c r="K62" s="18" t="n">
        <v>0</v>
      </c>
      <c r="L62" s="20" t="n">
        <v>0</v>
      </c>
      <c r="M62" s="18" t="n">
        <v>0</v>
      </c>
      <c r="N62" s="20" t="n">
        <v>0</v>
      </c>
      <c r="O62" s="18" t="n">
        <v>0</v>
      </c>
      <c r="P62" s="20" t="n">
        <v>0</v>
      </c>
      <c r="Q62" s="18" t="n">
        <v>0.20201254</v>
      </c>
      <c r="R62" s="20" t="n">
        <v>0.20212826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(5048.0/B67*100)</f>
        <v/>
      </c>
      <c r="D67" s="19" t="n">
        <v>617</v>
      </c>
      <c r="E67" s="18" t="n">
        <v>77.84847798</v>
      </c>
      <c r="F67" s="20" t="n">
        <v>1.70456796</v>
      </c>
      <c r="G67" s="18" t="n">
        <v>19.41144395</v>
      </c>
      <c r="H67" s="20" t="n">
        <v>1.68187821</v>
      </c>
      <c r="I67" s="18" t="n">
        <v>0</v>
      </c>
      <c r="J67" s="20" t="n">
        <v>0</v>
      </c>
      <c r="K67" s="18" t="n">
        <v>0.50568944</v>
      </c>
      <c r="L67" s="20" t="n">
        <v>0.38485426</v>
      </c>
      <c r="M67" s="18" t="n">
        <v>0</v>
      </c>
      <c r="N67" s="20" t="n">
        <v>0</v>
      </c>
      <c r="O67" s="18" t="n">
        <v>0</v>
      </c>
      <c r="P67" s="20" t="n">
        <v>0</v>
      </c>
      <c r="Q67" s="18" t="n">
        <v>2.23438864</v>
      </c>
      <c r="R67" s="20" t="n">
        <v>0.64424011</v>
      </c>
    </row>
    <row r="68" spans="1:18">
      <c r="A68" s="15" t="s">
        <v>628</v>
      </c>
      <c r="B68" s="17" t="n">
        <v>6971</v>
      </c>
      <c r="C68" s="18">
        <f>(6289.0/B68*100)</f>
        <v/>
      </c>
      <c r="D68" s="19" t="n">
        <v>682</v>
      </c>
      <c r="E68" s="18" t="n">
        <v>76.41393308000001</v>
      </c>
      <c r="F68" s="20" t="n">
        <v>1.87658143</v>
      </c>
      <c r="G68" s="18" t="n">
        <v>22.75866635</v>
      </c>
      <c r="H68" s="20" t="n">
        <v>1.81430122</v>
      </c>
      <c r="I68" s="18" t="n">
        <v>0</v>
      </c>
      <c r="J68" s="20" t="n">
        <v>0</v>
      </c>
      <c r="K68" s="18" t="n">
        <v>0.23551691</v>
      </c>
      <c r="L68" s="20" t="n">
        <v>0.24034586</v>
      </c>
      <c r="M68" s="18" t="n">
        <v>0</v>
      </c>
      <c r="N68" s="20" t="n">
        <v>0</v>
      </c>
      <c r="O68" s="18" t="n">
        <v>0</v>
      </c>
      <c r="P68" s="20" t="n">
        <v>0</v>
      </c>
      <c r="Q68" s="18" t="n">
        <v>0.59188366</v>
      </c>
      <c r="R68" s="20" t="n">
        <v>0.30372133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(10791.0/B70*100)</f>
        <v/>
      </c>
      <c r="D70" s="19" t="n">
        <v>1292</v>
      </c>
      <c r="E70" s="18" t="n">
        <v>70.54370931</v>
      </c>
      <c r="F70" s="20" t="n">
        <v>1.270626</v>
      </c>
      <c r="G70" s="18" t="n">
        <v>25.40112088</v>
      </c>
      <c r="H70" s="20" t="n">
        <v>1.15580151</v>
      </c>
      <c r="I70" s="18" t="n">
        <v>0</v>
      </c>
      <c r="J70" s="20" t="n">
        <v>0</v>
      </c>
      <c r="K70" s="18" t="n">
        <v>2.52185987</v>
      </c>
      <c r="L70" s="20" t="n">
        <v>0.45348847</v>
      </c>
      <c r="M70" s="18" t="n">
        <v>0</v>
      </c>
      <c r="N70" s="20" t="n">
        <v>0</v>
      </c>
      <c r="O70" s="18" t="n">
        <v>0</v>
      </c>
      <c r="P70" s="20" t="n">
        <v>0</v>
      </c>
      <c r="Q70" s="18" t="n">
        <v>1.53330994</v>
      </c>
      <c r="R70" s="20" t="n">
        <v>0.31282781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(5351.0/B72*100)</f>
        <v/>
      </c>
      <c r="D72" s="19" t="n">
        <v>685</v>
      </c>
      <c r="E72" s="18" t="n">
        <v>60.83734385</v>
      </c>
      <c r="F72" s="20" t="n">
        <v>1.71669511</v>
      </c>
      <c r="G72" s="18" t="n">
        <v>37.75596776</v>
      </c>
      <c r="H72" s="20" t="n">
        <v>1.70526754</v>
      </c>
      <c r="I72" s="18" t="n">
        <v>0</v>
      </c>
      <c r="J72" s="20" t="n">
        <v>0</v>
      </c>
      <c r="K72" s="18" t="n">
        <v>0.38883619</v>
      </c>
      <c r="L72" s="20" t="n">
        <v>0.27015854</v>
      </c>
      <c r="M72" s="18" t="n">
        <v>0</v>
      </c>
      <c r="N72" s="20" t="n">
        <v>0</v>
      </c>
      <c r="O72" s="18" t="n">
        <v>0</v>
      </c>
      <c r="P72" s="20" t="n">
        <v>0</v>
      </c>
      <c r="Q72" s="18" t="n">
        <v>1.0178522</v>
      </c>
      <c r="R72" s="20" t="n">
        <v>0.39269176</v>
      </c>
    </row>
    <row r="73" spans="1:18">
      <c r="A73" s="15" t="s">
        <v>633</v>
      </c>
      <c r="B73" s="17" t="n">
        <v>6115</v>
      </c>
      <c r="C73" s="18">
        <f>(5458.0/B73*100)</f>
        <v/>
      </c>
      <c r="D73" s="19" t="n">
        <v>657</v>
      </c>
      <c r="E73" s="18" t="n">
        <v>37.01665093</v>
      </c>
      <c r="F73" s="20" t="n">
        <v>1.99377028</v>
      </c>
      <c r="G73" s="18" t="n">
        <v>62.67250235</v>
      </c>
      <c r="H73" s="20" t="n">
        <v>1.94880377</v>
      </c>
      <c r="I73" s="18" t="n">
        <v>0</v>
      </c>
      <c r="J73" s="20" t="n">
        <v>0</v>
      </c>
      <c r="K73" s="18" t="n">
        <v>0.31084672</v>
      </c>
      <c r="L73" s="20" t="n">
        <v>0.2217699</v>
      </c>
      <c r="M73" s="18" t="n">
        <v>0</v>
      </c>
      <c r="N73" s="20" t="n">
        <v>0</v>
      </c>
      <c r="O73" s="18" t="n">
        <v>0</v>
      </c>
      <c r="P73" s="20" t="n">
        <v>0</v>
      </c>
      <c r="Q73" s="18" t="n">
        <v>0</v>
      </c>
      <c r="R73" s="20" t="n">
        <v>0</v>
      </c>
    </row>
    <row r="74" spans="1:18">
      <c r="A74" s="15" t="s">
        <v>634</v>
      </c>
      <c r="B74" s="17" t="n">
        <v>7708</v>
      </c>
      <c r="C74" s="18">
        <f>(6877.0/B74*100)</f>
        <v/>
      </c>
      <c r="D74" s="19" t="n">
        <v>831</v>
      </c>
      <c r="E74" s="18" t="n">
        <v>54.04975239</v>
      </c>
      <c r="F74" s="20" t="n">
        <v>1.84045122</v>
      </c>
      <c r="G74" s="18" t="n">
        <v>45.65066843</v>
      </c>
      <c r="H74" s="20" t="n">
        <v>1.84466787</v>
      </c>
      <c r="I74" s="18" t="n">
        <v>0</v>
      </c>
      <c r="J74" s="20" t="n">
        <v>0</v>
      </c>
      <c r="K74" s="18" t="n">
        <v>0</v>
      </c>
      <c r="L74" s="20" t="n">
        <v>0</v>
      </c>
      <c r="M74" s="18" t="n">
        <v>0</v>
      </c>
      <c r="N74" s="20" t="n">
        <v>0</v>
      </c>
      <c r="O74" s="18" t="n">
        <v>0</v>
      </c>
      <c r="P74" s="20" t="n">
        <v>0</v>
      </c>
      <c r="Q74" s="18" t="n">
        <v>0.29957918</v>
      </c>
      <c r="R74" s="20" t="n">
        <v>0.21487748</v>
      </c>
    </row>
    <row r="75" spans="1:18">
      <c r="A75" s="15" t="s">
        <v>635</v>
      </c>
      <c r="B75" s="17" t="n">
        <v>8249</v>
      </c>
      <c r="C75" s="18">
        <f>(7348.0/B75*100)</f>
        <v/>
      </c>
      <c r="D75" s="19" t="n">
        <v>901</v>
      </c>
      <c r="E75" s="18" t="n">
        <v>76.14905765</v>
      </c>
      <c r="F75" s="20" t="n">
        <v>1.56640221</v>
      </c>
      <c r="G75" s="18" t="n">
        <v>23.1744585</v>
      </c>
      <c r="H75" s="20" t="n">
        <v>1.50758692</v>
      </c>
      <c r="I75" s="18" t="n">
        <v>0</v>
      </c>
      <c r="J75" s="20" t="n">
        <v>0</v>
      </c>
      <c r="K75" s="18" t="n">
        <v>0</v>
      </c>
      <c r="L75" s="20" t="n">
        <v>0</v>
      </c>
      <c r="M75" s="18" t="n">
        <v>0</v>
      </c>
      <c r="N75" s="20" t="n">
        <v>0</v>
      </c>
      <c r="O75" s="18" t="n">
        <v>0</v>
      </c>
      <c r="P75" s="20" t="n">
        <v>0</v>
      </c>
      <c r="Q75" s="18" t="n">
        <v>0.6764838399999999</v>
      </c>
      <c r="R75" s="20" t="n">
        <v>0.31969528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(4833.0/B77*100)</f>
        <v/>
      </c>
      <c r="D77" s="19" t="n">
        <v>542</v>
      </c>
      <c r="E77" s="18" t="n">
        <v>76.13567599</v>
      </c>
      <c r="F77" s="20" t="n">
        <v>1.79084584</v>
      </c>
      <c r="G77" s="18" t="n">
        <v>17.37295981</v>
      </c>
      <c r="H77" s="20" t="n">
        <v>1.53765275</v>
      </c>
      <c r="I77" s="18" t="n">
        <v>0</v>
      </c>
      <c r="J77" s="20" t="n">
        <v>0</v>
      </c>
      <c r="K77" s="18" t="n">
        <v>3.99247707</v>
      </c>
      <c r="L77" s="20" t="n">
        <v>0.91268913</v>
      </c>
      <c r="M77" s="18" t="n">
        <v>0</v>
      </c>
      <c r="N77" s="20" t="n">
        <v>0</v>
      </c>
      <c r="O77" s="18" t="n">
        <v>0</v>
      </c>
      <c r="P77" s="20" t="n">
        <v>0</v>
      </c>
      <c r="Q77" s="18" t="n">
        <v>2.49888713</v>
      </c>
      <c r="R77" s="20" t="n">
        <v>0.66773089</v>
      </c>
    </row>
    <row r="78" spans="1:18">
      <c r="A78" s="15" t="s">
        <v>638</v>
      </c>
      <c r="B78" s="17" t="n">
        <v>14167</v>
      </c>
      <c r="C78" s="18">
        <f>(12627.0/B78*100)</f>
        <v/>
      </c>
      <c r="D78" s="19" t="n">
        <v>1540</v>
      </c>
      <c r="E78" s="18" t="n">
        <v>70.10599525000001</v>
      </c>
      <c r="F78" s="20" t="n">
        <v>1.4194668</v>
      </c>
      <c r="G78" s="18" t="n">
        <v>28.61534608</v>
      </c>
      <c r="H78" s="20" t="n">
        <v>1.41495733</v>
      </c>
      <c r="I78" s="18" t="n">
        <v>0</v>
      </c>
      <c r="J78" s="20" t="n">
        <v>0</v>
      </c>
      <c r="K78" s="18" t="n">
        <v>0.59651074</v>
      </c>
      <c r="L78" s="20" t="n">
        <v>0.20782137</v>
      </c>
      <c r="M78" s="18" t="n">
        <v>0</v>
      </c>
      <c r="N78" s="20" t="n">
        <v>0</v>
      </c>
      <c r="O78" s="18" t="n">
        <v>0</v>
      </c>
      <c r="P78" s="20" t="n">
        <v>0</v>
      </c>
      <c r="Q78" s="18" t="n">
        <v>0.68214793</v>
      </c>
      <c r="R78" s="20" t="n">
        <v>0.2531815</v>
      </c>
    </row>
    <row r="79" spans="1:18">
      <c r="A79" s="15" t="s">
        <v>639</v>
      </c>
      <c r="B79" s="17" t="n">
        <v>6062</v>
      </c>
      <c r="C79" s="18">
        <f>(5438.0/B79*100)</f>
        <v/>
      </c>
      <c r="D79" s="19" t="n">
        <v>624</v>
      </c>
      <c r="E79" s="18" t="n">
        <v>69.54414482</v>
      </c>
      <c r="F79" s="20" t="n">
        <v>1.91603538</v>
      </c>
      <c r="G79" s="18" t="n">
        <v>27.56961509</v>
      </c>
      <c r="H79" s="20" t="n">
        <v>1.76293016</v>
      </c>
      <c r="I79" s="18" t="n">
        <v>0</v>
      </c>
      <c r="J79" s="20" t="n">
        <v>0</v>
      </c>
      <c r="K79" s="18" t="n">
        <v>1.36233691</v>
      </c>
      <c r="L79" s="20" t="n">
        <v>0.53406152</v>
      </c>
      <c r="M79" s="18" t="n">
        <v>0</v>
      </c>
      <c r="N79" s="20" t="n">
        <v>0</v>
      </c>
      <c r="O79" s="18" t="n">
        <v>0</v>
      </c>
      <c r="P79" s="20" t="n">
        <v>0</v>
      </c>
      <c r="Q79" s="18" t="n">
        <v>1.52390318</v>
      </c>
      <c r="R79" s="20" t="n">
        <v>0.50061657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(28838.0/B82*100)</f>
        <v/>
      </c>
      <c r="D82" s="19" t="n">
        <v>3492</v>
      </c>
      <c r="E82" s="18" t="n">
        <v>66.57266924</v>
      </c>
      <c r="F82" s="20" t="n">
        <v>1.10729192</v>
      </c>
      <c r="G82" s="18" t="n">
        <v>32.42301745</v>
      </c>
      <c r="H82" s="20" t="n">
        <v>1.10799531</v>
      </c>
      <c r="I82" s="18" t="n">
        <v>0</v>
      </c>
      <c r="J82" s="20" t="n">
        <v>0</v>
      </c>
      <c r="K82" s="18" t="n">
        <v>0.33851701</v>
      </c>
      <c r="L82" s="20" t="n">
        <v>0.12015596</v>
      </c>
      <c r="M82" s="18" t="n">
        <v>0</v>
      </c>
      <c r="N82" s="20" t="n">
        <v>0</v>
      </c>
      <c r="O82" s="18" t="n">
        <v>0</v>
      </c>
      <c r="P82" s="20" t="n">
        <v>0</v>
      </c>
      <c r="Q82" s="18" t="n">
        <v>0.6657963</v>
      </c>
      <c r="R82" s="20" t="n">
        <v>0.18027805</v>
      </c>
    </row>
    <row r="83" spans="1:18">
      <c r="A83" s="15" t="s">
        <v>643</v>
      </c>
      <c r="B83" s="17" t="n">
        <v>1652</v>
      </c>
      <c r="C83" s="18">
        <f>(1472.0/B83*100)</f>
        <v/>
      </c>
      <c r="D83" s="19" t="n">
        <v>180</v>
      </c>
      <c r="E83" s="18" t="n">
        <v>54.13873567</v>
      </c>
      <c r="F83" s="20" t="n">
        <v>3.03380489</v>
      </c>
      <c r="G83" s="18" t="n">
        <v>45.20857089</v>
      </c>
      <c r="H83" s="20" t="n">
        <v>2.91268246</v>
      </c>
      <c r="I83" s="18" t="n">
        <v>0</v>
      </c>
      <c r="J83" s="20" t="n">
        <v>0</v>
      </c>
      <c r="K83" s="18" t="n">
        <v>0.65269345</v>
      </c>
      <c r="L83" s="20" t="n">
        <v>0.60782277</v>
      </c>
      <c r="M83" s="18" t="n">
        <v>0</v>
      </c>
      <c r="N83" s="20" t="n">
        <v>0</v>
      </c>
      <c r="O83" s="18" t="n">
        <v>0</v>
      </c>
      <c r="P83" s="20" t="n">
        <v>0</v>
      </c>
      <c r="Q83" s="18" t="n">
        <v>0</v>
      </c>
      <c r="R83" s="20" t="n">
        <v>0</v>
      </c>
    </row>
    <row r="84" spans="1:18">
      <c r="A84" s="23" t="s">
        <v>644</v>
      </c>
      <c r="B84" s="24" t="n">
        <v>1887</v>
      </c>
      <c r="C84" s="25">
        <f>(1676.0/B84*100)</f>
        <v/>
      </c>
      <c r="D84" s="19" t="n">
        <v>211</v>
      </c>
      <c r="E84" s="18" t="n">
        <v>56.87788873</v>
      </c>
      <c r="F84" s="20" t="n">
        <v>3.89228954</v>
      </c>
      <c r="G84" s="18" t="n">
        <v>42.62659904</v>
      </c>
      <c r="H84" s="20" t="n">
        <v>4.02559965</v>
      </c>
      <c r="I84" s="18" t="n">
        <v>0</v>
      </c>
      <c r="J84" s="20" t="n">
        <v>0</v>
      </c>
      <c r="K84" s="18" t="n">
        <v>0</v>
      </c>
      <c r="L84" s="20" t="n">
        <v>0</v>
      </c>
      <c r="M84" s="18" t="n">
        <v>0</v>
      </c>
      <c r="N84" s="20" t="n">
        <v>0</v>
      </c>
      <c r="O84" s="18" t="n">
        <v>0</v>
      </c>
      <c r="P84" s="20" t="n">
        <v>0</v>
      </c>
      <c r="Q84" s="18" t="n">
        <v>0.49551224</v>
      </c>
      <c r="R84" s="20" t="n">
        <v>0.47938763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689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(12983.0/B7*100)</f>
        <v/>
      </c>
      <c r="D7" s="19" t="n">
        <v>1547</v>
      </c>
      <c r="E7" s="18" t="n">
        <v>30.62491615</v>
      </c>
      <c r="F7" s="20" t="n">
        <v>1.29158319</v>
      </c>
      <c r="G7" s="18" t="n">
        <v>67.65440984999999</v>
      </c>
      <c r="H7" s="20" t="n">
        <v>1.36506015</v>
      </c>
      <c r="I7" s="18" t="n">
        <v>0</v>
      </c>
      <c r="J7" s="20" t="n">
        <v>0</v>
      </c>
      <c r="K7" s="18" t="n">
        <v>0.49180372</v>
      </c>
      <c r="L7" s="20" t="n">
        <v>0.19262539</v>
      </c>
      <c r="M7" s="18" t="n">
        <v>0</v>
      </c>
      <c r="N7" s="20" t="n">
        <v>0</v>
      </c>
      <c r="O7" s="18" t="n">
        <v>0</v>
      </c>
      <c r="P7" s="20" t="n">
        <v>0</v>
      </c>
      <c r="Q7" s="18" t="n">
        <v>1.22887028</v>
      </c>
      <c r="R7" s="20" t="n">
        <v>0.33463079</v>
      </c>
    </row>
    <row r="8" spans="1:18">
      <c r="A8" s="15" t="s">
        <v>566</v>
      </c>
      <c r="B8" s="17" t="n">
        <v>7007</v>
      </c>
      <c r="C8" s="18">
        <f>(6235.0/B8*100)</f>
        <v/>
      </c>
      <c r="D8" s="19" t="n">
        <v>772</v>
      </c>
      <c r="E8" s="18" t="n">
        <v>27.2811961</v>
      </c>
      <c r="F8" s="20" t="n">
        <v>1.85473447</v>
      </c>
      <c r="G8" s="18" t="n">
        <v>71.63149248000001</v>
      </c>
      <c r="H8" s="20" t="n">
        <v>1.8392867</v>
      </c>
      <c r="I8" s="18" t="n">
        <v>0</v>
      </c>
      <c r="J8" s="20" t="n">
        <v>0</v>
      </c>
      <c r="K8" s="18" t="n">
        <v>0.32591387</v>
      </c>
      <c r="L8" s="20" t="n">
        <v>0.24475037</v>
      </c>
      <c r="M8" s="18" t="n">
        <v>0</v>
      </c>
      <c r="N8" s="20" t="n">
        <v>0</v>
      </c>
      <c r="O8" s="18" t="n">
        <v>0</v>
      </c>
      <c r="P8" s="20" t="n">
        <v>0</v>
      </c>
      <c r="Q8" s="18" t="n">
        <v>0.76139754</v>
      </c>
      <c r="R8" s="20" t="n">
        <v>0.37484848</v>
      </c>
    </row>
    <row r="9" spans="1:18">
      <c r="A9" s="15" t="s">
        <v>567</v>
      </c>
      <c r="B9" s="17" t="n">
        <v>9651</v>
      </c>
      <c r="C9" s="18">
        <f>(8634.0/B9*100)</f>
        <v/>
      </c>
      <c r="D9" s="19" t="n">
        <v>1017</v>
      </c>
      <c r="E9" s="18" t="n">
        <v>33.16856765</v>
      </c>
      <c r="F9" s="20" t="n">
        <v>1.57048466</v>
      </c>
      <c r="G9" s="18" t="n">
        <v>65.5232972</v>
      </c>
      <c r="H9" s="20" t="n">
        <v>1.67791003</v>
      </c>
      <c r="I9" s="18" t="n">
        <v>0</v>
      </c>
      <c r="J9" s="20" t="n">
        <v>0</v>
      </c>
      <c r="K9" s="18" t="n">
        <v>0.27222319</v>
      </c>
      <c r="L9" s="20" t="n">
        <v>0.17752242</v>
      </c>
      <c r="M9" s="18" t="n">
        <v>0</v>
      </c>
      <c r="N9" s="20" t="n">
        <v>0</v>
      </c>
      <c r="O9" s="18" t="n">
        <v>0</v>
      </c>
      <c r="P9" s="20" t="n">
        <v>0</v>
      </c>
      <c r="Q9" s="18" t="n">
        <v>1.03591196</v>
      </c>
      <c r="R9" s="20" t="n">
        <v>0.31204704</v>
      </c>
    </row>
    <row r="10" spans="1:18">
      <c r="A10" s="15" t="s">
        <v>568</v>
      </c>
      <c r="B10" s="17" t="n">
        <v>20058</v>
      </c>
      <c r="C10" s="18">
        <f>(17772.0/B10*100)</f>
        <v/>
      </c>
      <c r="D10" s="19" t="n">
        <v>2286</v>
      </c>
      <c r="E10" s="18" t="n">
        <v>30.64918918</v>
      </c>
      <c r="F10" s="20" t="n">
        <v>1.09795805</v>
      </c>
      <c r="G10" s="18" t="n">
        <v>67.81403731</v>
      </c>
      <c r="H10" s="20" t="n">
        <v>1.22690922</v>
      </c>
      <c r="I10" s="18" t="n">
        <v>0</v>
      </c>
      <c r="J10" s="20" t="n">
        <v>0</v>
      </c>
      <c r="K10" s="18" t="n">
        <v>0.78794173</v>
      </c>
      <c r="L10" s="20" t="n">
        <v>0.32314825</v>
      </c>
      <c r="M10" s="18" t="n">
        <v>0</v>
      </c>
      <c r="N10" s="20" t="n">
        <v>0</v>
      </c>
      <c r="O10" s="18" t="n">
        <v>0</v>
      </c>
      <c r="P10" s="20" t="n">
        <v>0</v>
      </c>
      <c r="Q10" s="18" t="n">
        <v>0.7488317799999999</v>
      </c>
      <c r="R10" s="20" t="n">
        <v>0.22649548</v>
      </c>
    </row>
    <row r="11" spans="1:18">
      <c r="A11" s="15" t="s">
        <v>569</v>
      </c>
      <c r="B11" s="17" t="n">
        <v>7053</v>
      </c>
      <c r="C11" s="18">
        <f>(6323.0/B11*100)</f>
        <v/>
      </c>
      <c r="D11" s="19" t="n">
        <v>730</v>
      </c>
      <c r="E11" s="18" t="n">
        <v>39.60341115</v>
      </c>
      <c r="F11" s="20" t="n">
        <v>2.29962618</v>
      </c>
      <c r="G11" s="18" t="n">
        <v>57.35680391</v>
      </c>
      <c r="H11" s="20" t="n">
        <v>2.29681796</v>
      </c>
      <c r="I11" s="18" t="n">
        <v>0</v>
      </c>
      <c r="J11" s="20" t="n">
        <v>0</v>
      </c>
      <c r="K11" s="18" t="n">
        <v>1.40084315</v>
      </c>
      <c r="L11" s="20" t="n">
        <v>0.47703506</v>
      </c>
      <c r="M11" s="18" t="n">
        <v>0</v>
      </c>
      <c r="N11" s="20" t="n">
        <v>0</v>
      </c>
      <c r="O11" s="18" t="n">
        <v>0</v>
      </c>
      <c r="P11" s="20" t="n">
        <v>0</v>
      </c>
      <c r="Q11" s="18" t="n">
        <v>1.63894179</v>
      </c>
      <c r="R11" s="20" t="n">
        <v>0.60266025</v>
      </c>
    </row>
    <row r="12" spans="1:18">
      <c r="A12" s="15" t="s">
        <v>570</v>
      </c>
      <c r="B12" s="17" t="n">
        <v>6894</v>
      </c>
      <c r="C12" s="18">
        <f>(6133.0/B12*100)</f>
        <v/>
      </c>
      <c r="D12" s="19" t="n">
        <v>761</v>
      </c>
      <c r="E12" s="18" t="n">
        <v>19.89112287</v>
      </c>
      <c r="F12" s="20" t="n">
        <v>1.4714442</v>
      </c>
      <c r="G12" s="18" t="n">
        <v>78.25449738</v>
      </c>
      <c r="H12" s="20" t="n">
        <v>1.45436565</v>
      </c>
      <c r="I12" s="18" t="n">
        <v>0</v>
      </c>
      <c r="J12" s="20" t="n">
        <v>0</v>
      </c>
      <c r="K12" s="18" t="n">
        <v>0.24749121</v>
      </c>
      <c r="L12" s="20" t="n">
        <v>0.17214294</v>
      </c>
      <c r="M12" s="18" t="n">
        <v>0</v>
      </c>
      <c r="N12" s="20" t="n">
        <v>0</v>
      </c>
      <c r="O12" s="18" t="n">
        <v>0</v>
      </c>
      <c r="P12" s="20" t="n">
        <v>0</v>
      </c>
      <c r="Q12" s="18" t="n">
        <v>1.60688853</v>
      </c>
      <c r="R12" s="20" t="n">
        <v>0.58381089</v>
      </c>
    </row>
    <row r="13" spans="1:18">
      <c r="A13" s="15" t="s">
        <v>571</v>
      </c>
      <c r="B13" s="17" t="n">
        <v>7161</v>
      </c>
      <c r="C13" s="18">
        <f>(6382.0/B13*100)</f>
        <v/>
      </c>
      <c r="D13" s="19" t="n">
        <v>779</v>
      </c>
      <c r="E13" s="18" t="n">
        <v>35.39051261</v>
      </c>
      <c r="F13" s="20" t="n">
        <v>2.15908478</v>
      </c>
      <c r="G13" s="18" t="n">
        <v>62.44698976</v>
      </c>
      <c r="H13" s="20" t="n">
        <v>2.11266659</v>
      </c>
      <c r="I13" s="18" t="n">
        <v>0</v>
      </c>
      <c r="J13" s="20" t="n">
        <v>0</v>
      </c>
      <c r="K13" s="18" t="n">
        <v>0.42329459</v>
      </c>
      <c r="L13" s="20" t="n">
        <v>0.29581808</v>
      </c>
      <c r="M13" s="18" t="n">
        <v>0</v>
      </c>
      <c r="N13" s="20" t="n">
        <v>0</v>
      </c>
      <c r="O13" s="18" t="n">
        <v>0</v>
      </c>
      <c r="P13" s="20" t="n">
        <v>0</v>
      </c>
      <c r="Q13" s="18" t="n">
        <v>1.73920304</v>
      </c>
      <c r="R13" s="20" t="n">
        <v>0.55400349</v>
      </c>
    </row>
    <row r="14" spans="1:18">
      <c r="A14" s="15" t="s">
        <v>572</v>
      </c>
      <c r="B14" s="17" t="n">
        <v>5587</v>
      </c>
      <c r="C14" s="18">
        <f>(4962.0/B14*100)</f>
        <v/>
      </c>
      <c r="D14" s="19" t="n">
        <v>625</v>
      </c>
      <c r="E14" s="18" t="n">
        <v>25.16328594</v>
      </c>
      <c r="F14" s="20" t="n">
        <v>2.00994796</v>
      </c>
      <c r="G14" s="18" t="n">
        <v>74.18952793</v>
      </c>
      <c r="H14" s="20" t="n">
        <v>2.05938246</v>
      </c>
      <c r="I14" s="18" t="n">
        <v>0</v>
      </c>
      <c r="J14" s="20" t="n">
        <v>0</v>
      </c>
      <c r="K14" s="18" t="n">
        <v>0</v>
      </c>
      <c r="L14" s="20" t="n">
        <v>0</v>
      </c>
      <c r="M14" s="18" t="n">
        <v>0</v>
      </c>
      <c r="N14" s="20" t="n">
        <v>0</v>
      </c>
      <c r="O14" s="18" t="n">
        <v>0</v>
      </c>
      <c r="P14" s="20" t="n">
        <v>0</v>
      </c>
      <c r="Q14" s="18" t="n">
        <v>0.64718612</v>
      </c>
      <c r="R14" s="20" t="n">
        <v>0.45028964</v>
      </c>
    </row>
    <row r="15" spans="1:18">
      <c r="A15" s="15" t="s">
        <v>573</v>
      </c>
      <c r="B15" s="17" t="n">
        <v>5882</v>
      </c>
      <c r="C15" s="18">
        <f>(5280.0/B15*100)</f>
        <v/>
      </c>
      <c r="D15" s="19" t="n">
        <v>602</v>
      </c>
      <c r="E15" s="18" t="n">
        <v>15.79376822</v>
      </c>
      <c r="F15" s="20" t="n">
        <v>1.69503484</v>
      </c>
      <c r="G15" s="18" t="n">
        <v>84.02542868</v>
      </c>
      <c r="H15" s="20" t="n">
        <v>1.70289076</v>
      </c>
      <c r="I15" s="18" t="n">
        <v>0</v>
      </c>
      <c r="J15" s="20" t="n">
        <v>0</v>
      </c>
      <c r="K15" s="18" t="n">
        <v>0</v>
      </c>
      <c r="L15" s="20" t="n">
        <v>0</v>
      </c>
      <c r="M15" s="18" t="n">
        <v>0</v>
      </c>
      <c r="N15" s="20" t="n">
        <v>0</v>
      </c>
      <c r="O15" s="18" t="n">
        <v>0</v>
      </c>
      <c r="P15" s="20" t="n">
        <v>0</v>
      </c>
      <c r="Q15" s="18" t="n">
        <v>0.18080311</v>
      </c>
      <c r="R15" s="20" t="n">
        <v>0.17336685</v>
      </c>
    </row>
    <row r="16" spans="1:18">
      <c r="A16" s="15" t="s">
        <v>574</v>
      </c>
      <c r="B16" s="17" t="n">
        <v>6108</v>
      </c>
      <c r="C16" s="18">
        <f>(5446.0/B16*100)</f>
        <v/>
      </c>
      <c r="D16" s="19" t="n">
        <v>662</v>
      </c>
      <c r="E16" s="18" t="n">
        <v>33.51761914</v>
      </c>
      <c r="F16" s="20" t="n">
        <v>1.75196563</v>
      </c>
      <c r="G16" s="18" t="n">
        <v>63.97446363</v>
      </c>
      <c r="H16" s="20" t="n">
        <v>1.82177411</v>
      </c>
      <c r="I16" s="18" t="n">
        <v>0</v>
      </c>
      <c r="J16" s="20" t="n">
        <v>0</v>
      </c>
      <c r="K16" s="18" t="n">
        <v>1.05243351</v>
      </c>
      <c r="L16" s="20" t="n">
        <v>0.55488634</v>
      </c>
      <c r="M16" s="18" t="n">
        <v>0</v>
      </c>
      <c r="N16" s="20" t="n">
        <v>0</v>
      </c>
      <c r="O16" s="18" t="n">
        <v>0</v>
      </c>
      <c r="P16" s="20" t="n">
        <v>0</v>
      </c>
      <c r="Q16" s="18" t="n">
        <v>1.45548372</v>
      </c>
      <c r="R16" s="20" t="n">
        <v>0.38376313</v>
      </c>
    </row>
    <row r="17" spans="1:18">
      <c r="A17" s="15" t="s">
        <v>575</v>
      </c>
      <c r="B17" s="17" t="n">
        <v>6504</v>
      </c>
      <c r="C17" s="18">
        <f>(5821.0/B17*100)</f>
        <v/>
      </c>
      <c r="D17" s="19" t="n">
        <v>683</v>
      </c>
      <c r="E17" s="18" t="n">
        <v>28.14123901</v>
      </c>
      <c r="F17" s="20" t="n">
        <v>1.7937215</v>
      </c>
      <c r="G17" s="18" t="n">
        <v>70.52435321999999</v>
      </c>
      <c r="H17" s="20" t="n">
        <v>1.93880737</v>
      </c>
      <c r="I17" s="18" t="n">
        <v>0</v>
      </c>
      <c r="J17" s="20" t="n">
        <v>0</v>
      </c>
      <c r="K17" s="18" t="n">
        <v>0.33222832</v>
      </c>
      <c r="L17" s="20" t="n">
        <v>0.17576052</v>
      </c>
      <c r="M17" s="18" t="n">
        <v>0</v>
      </c>
      <c r="N17" s="20" t="n">
        <v>0</v>
      </c>
      <c r="O17" s="18" t="n">
        <v>0</v>
      </c>
      <c r="P17" s="20" t="n">
        <v>0</v>
      </c>
      <c r="Q17" s="18" t="n">
        <v>1.00217945</v>
      </c>
      <c r="R17" s="20" t="n">
        <v>0.53330537</v>
      </c>
    </row>
    <row r="18" spans="1:18">
      <c r="A18" s="15" t="s">
        <v>576</v>
      </c>
      <c r="B18" s="17" t="n">
        <v>5532</v>
      </c>
      <c r="C18" s="18">
        <f>(4916.0/B18*100)</f>
        <v/>
      </c>
      <c r="D18" s="19" t="n">
        <v>616</v>
      </c>
      <c r="E18" s="18" t="n">
        <v>30.06025374</v>
      </c>
      <c r="F18" s="20" t="n">
        <v>2.39734905</v>
      </c>
      <c r="G18" s="18" t="n">
        <v>67.21909032000001</v>
      </c>
      <c r="H18" s="20" t="n">
        <v>2.4275533</v>
      </c>
      <c r="I18" s="18" t="n">
        <v>0</v>
      </c>
      <c r="J18" s="20" t="n">
        <v>0</v>
      </c>
      <c r="K18" s="18" t="n">
        <v>0.46150869</v>
      </c>
      <c r="L18" s="20" t="n">
        <v>0.25810315</v>
      </c>
      <c r="M18" s="18" t="n">
        <v>0</v>
      </c>
      <c r="N18" s="20" t="n">
        <v>0</v>
      </c>
      <c r="O18" s="18" t="n">
        <v>0</v>
      </c>
      <c r="P18" s="20" t="n">
        <v>0</v>
      </c>
      <c r="Q18" s="18" t="n">
        <v>2.25914725</v>
      </c>
      <c r="R18" s="20" t="n">
        <v>0.68750187</v>
      </c>
    </row>
    <row r="19" spans="1:18">
      <c r="A19" s="15" t="s">
        <v>577</v>
      </c>
      <c r="B19" s="17" t="n">
        <v>5658</v>
      </c>
      <c r="C19" s="18">
        <f>(5055.0/B19*100)</f>
        <v/>
      </c>
      <c r="D19" s="19" t="n">
        <v>603</v>
      </c>
      <c r="E19" s="18" t="n">
        <v>26.95487554</v>
      </c>
      <c r="F19" s="20" t="n">
        <v>2.04473402</v>
      </c>
      <c r="G19" s="18" t="n">
        <v>71.64817318</v>
      </c>
      <c r="H19" s="20" t="n">
        <v>2.05982297</v>
      </c>
      <c r="I19" s="18" t="n">
        <v>0</v>
      </c>
      <c r="J19" s="20" t="n">
        <v>0</v>
      </c>
      <c r="K19" s="18" t="n">
        <v>0</v>
      </c>
      <c r="L19" s="20" t="n">
        <v>0</v>
      </c>
      <c r="M19" s="18" t="n">
        <v>0</v>
      </c>
      <c r="N19" s="20" t="n">
        <v>0</v>
      </c>
      <c r="O19" s="18" t="n">
        <v>0</v>
      </c>
      <c r="P19" s="20" t="n">
        <v>0</v>
      </c>
      <c r="Q19" s="18" t="n">
        <v>1.39695129</v>
      </c>
      <c r="R19" s="20" t="n">
        <v>0.61133899</v>
      </c>
    </row>
    <row r="20" spans="1:18">
      <c r="A20" s="15" t="s">
        <v>578</v>
      </c>
      <c r="B20" s="17" t="n">
        <v>3371</v>
      </c>
      <c r="C20" s="18">
        <f>(2980.0/B20*100)</f>
        <v/>
      </c>
      <c r="D20" s="19" t="n">
        <v>391</v>
      </c>
      <c r="E20" s="18" t="n">
        <v>29.4407244</v>
      </c>
      <c r="F20" s="20" t="n">
        <v>2.45003371</v>
      </c>
      <c r="G20" s="18" t="n">
        <v>67.15696907</v>
      </c>
      <c r="H20" s="20" t="n">
        <v>2.69454953</v>
      </c>
      <c r="I20" s="18" t="n">
        <v>0</v>
      </c>
      <c r="J20" s="20" t="n">
        <v>0</v>
      </c>
      <c r="K20" s="18" t="n">
        <v>0.25256521</v>
      </c>
      <c r="L20" s="20" t="n">
        <v>0.25416265</v>
      </c>
      <c r="M20" s="18" t="n">
        <v>0</v>
      </c>
      <c r="N20" s="20" t="n">
        <v>0</v>
      </c>
      <c r="O20" s="18" t="n">
        <v>0</v>
      </c>
      <c r="P20" s="20" t="n">
        <v>0</v>
      </c>
      <c r="Q20" s="18" t="n">
        <v>3.14974131</v>
      </c>
      <c r="R20" s="20" t="n">
        <v>0.95330409</v>
      </c>
    </row>
    <row r="21" spans="1:18">
      <c r="A21" s="15" t="s">
        <v>579</v>
      </c>
      <c r="B21" s="17" t="n">
        <v>5741</v>
      </c>
      <c r="C21" s="18">
        <f>(5119.0/B21*100)</f>
        <v/>
      </c>
      <c r="D21" s="19" t="n">
        <v>622</v>
      </c>
      <c r="E21" s="18" t="n">
        <v>32.54695496</v>
      </c>
      <c r="F21" s="20" t="n">
        <v>2.0208993</v>
      </c>
      <c r="G21" s="18" t="n">
        <v>66.53444947</v>
      </c>
      <c r="H21" s="20" t="n">
        <v>2.07418751</v>
      </c>
      <c r="I21" s="18" t="n">
        <v>0</v>
      </c>
      <c r="J21" s="20" t="n">
        <v>0</v>
      </c>
      <c r="K21" s="18" t="n">
        <v>0.29581747</v>
      </c>
      <c r="L21" s="20" t="n">
        <v>0.20945097</v>
      </c>
      <c r="M21" s="18" t="n">
        <v>0</v>
      </c>
      <c r="N21" s="20" t="n">
        <v>0</v>
      </c>
      <c r="O21" s="18" t="n">
        <v>0</v>
      </c>
      <c r="P21" s="20" t="n">
        <v>0</v>
      </c>
      <c r="Q21" s="18" t="n">
        <v>0.6227781</v>
      </c>
      <c r="R21" s="20" t="n">
        <v>0.35547238</v>
      </c>
    </row>
    <row r="22" spans="1:18">
      <c r="A22" s="15" t="s">
        <v>580</v>
      </c>
      <c r="B22" s="17" t="n">
        <v>6598</v>
      </c>
      <c r="C22" s="18">
        <f>(5861.0/B22*100)</f>
        <v/>
      </c>
      <c r="D22" s="19" t="n">
        <v>737</v>
      </c>
      <c r="E22" s="18" t="n">
        <v>41.82474351</v>
      </c>
      <c r="F22" s="20" t="n">
        <v>2.03322564</v>
      </c>
      <c r="G22" s="18" t="n">
        <v>55.01309744</v>
      </c>
      <c r="H22" s="20" t="n">
        <v>2.15231495</v>
      </c>
      <c r="I22" s="18" t="n">
        <v>0</v>
      </c>
      <c r="J22" s="20" t="n">
        <v>0</v>
      </c>
      <c r="K22" s="18" t="n">
        <v>1.06645955</v>
      </c>
      <c r="L22" s="20" t="n">
        <v>0.37995344</v>
      </c>
      <c r="M22" s="18" t="n">
        <v>0</v>
      </c>
      <c r="N22" s="20" t="n">
        <v>0</v>
      </c>
      <c r="O22" s="18" t="n">
        <v>0</v>
      </c>
      <c r="P22" s="20" t="n">
        <v>0</v>
      </c>
      <c r="Q22" s="18" t="n">
        <v>2.0956995</v>
      </c>
      <c r="R22" s="20" t="n">
        <v>0.6101050099999999</v>
      </c>
    </row>
    <row r="23" spans="1:18">
      <c r="A23" s="15" t="s">
        <v>581</v>
      </c>
      <c r="B23" s="17" t="n">
        <v>11583</v>
      </c>
      <c r="C23" s="18">
        <f>(10348.0/B23*100)</f>
        <v/>
      </c>
      <c r="D23" s="19" t="n">
        <v>1235</v>
      </c>
      <c r="E23" s="18" t="n">
        <v>29.19051811</v>
      </c>
      <c r="F23" s="20" t="n">
        <v>1.69203719</v>
      </c>
      <c r="G23" s="18" t="n">
        <v>69.35772915</v>
      </c>
      <c r="H23" s="20" t="n">
        <v>1.78276306</v>
      </c>
      <c r="I23" s="18" t="n">
        <v>0</v>
      </c>
      <c r="J23" s="20" t="n">
        <v>0</v>
      </c>
      <c r="K23" s="18" t="n">
        <v>0.22797751</v>
      </c>
      <c r="L23" s="20" t="n">
        <v>0.15277589</v>
      </c>
      <c r="M23" s="18" t="n">
        <v>0</v>
      </c>
      <c r="N23" s="20" t="n">
        <v>0</v>
      </c>
      <c r="O23" s="18" t="n">
        <v>0</v>
      </c>
      <c r="P23" s="20" t="n">
        <v>0</v>
      </c>
      <c r="Q23" s="18" t="n">
        <v>1.22377522</v>
      </c>
      <c r="R23" s="20" t="n">
        <v>0.42180699</v>
      </c>
    </row>
    <row r="24" spans="1:18">
      <c r="A24" s="15" t="s">
        <v>582</v>
      </c>
      <c r="B24" s="17" t="n">
        <v>6647</v>
      </c>
      <c r="C24" s="18">
        <f>(5924.0/B24*100)</f>
        <v/>
      </c>
      <c r="D24" s="19" t="n">
        <v>723</v>
      </c>
      <c r="E24" s="18" t="n">
        <v>26.30996082</v>
      </c>
      <c r="F24" s="20" t="n">
        <v>1.75474152</v>
      </c>
      <c r="G24" s="18" t="n">
        <v>72.23754753</v>
      </c>
      <c r="H24" s="20" t="n">
        <v>1.6968018</v>
      </c>
      <c r="I24" s="18" t="n">
        <v>0</v>
      </c>
      <c r="J24" s="20" t="n">
        <v>0</v>
      </c>
      <c r="K24" s="18" t="n">
        <v>0.1642001</v>
      </c>
      <c r="L24" s="20" t="n">
        <v>0.16473842</v>
      </c>
      <c r="M24" s="18" t="n">
        <v>0</v>
      </c>
      <c r="N24" s="20" t="n">
        <v>0</v>
      </c>
      <c r="O24" s="18" t="n">
        <v>0</v>
      </c>
      <c r="P24" s="20" t="n">
        <v>0</v>
      </c>
      <c r="Q24" s="18" t="n">
        <v>1.28829155</v>
      </c>
      <c r="R24" s="20" t="n">
        <v>0.3668585</v>
      </c>
    </row>
    <row r="25" spans="1:18">
      <c r="A25" s="15" t="s">
        <v>583</v>
      </c>
      <c r="B25" s="17" t="n">
        <v>5581</v>
      </c>
      <c r="C25" s="18">
        <f>(4963.0/B25*100)</f>
        <v/>
      </c>
      <c r="D25" s="19" t="n">
        <v>618</v>
      </c>
      <c r="E25" s="18" t="n">
        <v>26.21648351</v>
      </c>
      <c r="F25" s="20" t="n">
        <v>1.60036317</v>
      </c>
      <c r="G25" s="18" t="n">
        <v>73.15385096</v>
      </c>
      <c r="H25" s="20" t="n">
        <v>1.63739136</v>
      </c>
      <c r="I25" s="18" t="n">
        <v>0</v>
      </c>
      <c r="J25" s="20" t="n">
        <v>0</v>
      </c>
      <c r="K25" s="18" t="n">
        <v>0.45620535</v>
      </c>
      <c r="L25" s="20" t="n">
        <v>0.26785385</v>
      </c>
      <c r="M25" s="18" t="n">
        <v>0</v>
      </c>
      <c r="N25" s="20" t="n">
        <v>0</v>
      </c>
      <c r="O25" s="18" t="n">
        <v>0</v>
      </c>
      <c r="P25" s="20" t="n">
        <v>0</v>
      </c>
      <c r="Q25" s="18" t="n">
        <v>0.17346017</v>
      </c>
      <c r="R25" s="20" t="n">
        <v>0.17386958</v>
      </c>
    </row>
    <row r="26" spans="1:18">
      <c r="A26" s="15" t="s">
        <v>584</v>
      </c>
      <c r="B26" s="17" t="n">
        <v>4869</v>
      </c>
      <c r="C26" s="18">
        <f>(4332.0/B26*100)</f>
        <v/>
      </c>
      <c r="D26" s="19" t="n">
        <v>537</v>
      </c>
      <c r="E26" s="18" t="n">
        <v>25.41318545</v>
      </c>
      <c r="F26" s="20" t="n">
        <v>1.90220099</v>
      </c>
      <c r="G26" s="18" t="n">
        <v>74.23842127</v>
      </c>
      <c r="H26" s="20" t="n">
        <v>1.87974233</v>
      </c>
      <c r="I26" s="18" t="n">
        <v>0</v>
      </c>
      <c r="J26" s="20" t="n">
        <v>0</v>
      </c>
      <c r="K26" s="18" t="n">
        <v>0.14860789</v>
      </c>
      <c r="L26" s="20" t="n">
        <v>0.16176504</v>
      </c>
      <c r="M26" s="18" t="n">
        <v>0</v>
      </c>
      <c r="N26" s="20" t="n">
        <v>0</v>
      </c>
      <c r="O26" s="18" t="n">
        <v>0</v>
      </c>
      <c r="P26" s="20" t="n">
        <v>0</v>
      </c>
      <c r="Q26" s="18" t="n">
        <v>0.1997854</v>
      </c>
      <c r="R26" s="20" t="n">
        <v>0.13693318</v>
      </c>
    </row>
    <row r="27" spans="1:18">
      <c r="A27" s="15" t="s">
        <v>585</v>
      </c>
      <c r="B27" s="17" t="n">
        <v>5299</v>
      </c>
      <c r="C27" s="18">
        <f>(4721.0/B27*100)</f>
        <v/>
      </c>
      <c r="D27" s="19" t="n">
        <v>578</v>
      </c>
      <c r="E27" s="18" t="n">
        <v>39.29516557</v>
      </c>
      <c r="F27" s="20" t="n">
        <v>2.12699232</v>
      </c>
      <c r="G27" s="18" t="n">
        <v>57.76855359</v>
      </c>
      <c r="H27" s="20" t="n">
        <v>2.02990363</v>
      </c>
      <c r="I27" s="18" t="n">
        <v>0</v>
      </c>
      <c r="J27" s="20" t="n">
        <v>0</v>
      </c>
      <c r="K27" s="18" t="n">
        <v>0.70091322</v>
      </c>
      <c r="L27" s="20" t="n">
        <v>0.34959915</v>
      </c>
      <c r="M27" s="18" t="n">
        <v>0</v>
      </c>
      <c r="N27" s="20" t="n">
        <v>0</v>
      </c>
      <c r="O27" s="18" t="n">
        <v>0</v>
      </c>
      <c r="P27" s="20" t="n">
        <v>0</v>
      </c>
      <c r="Q27" s="18" t="n">
        <v>2.23536762</v>
      </c>
      <c r="R27" s="20" t="n">
        <v>0.64866871</v>
      </c>
    </row>
    <row r="28" spans="1:18">
      <c r="A28" s="15" t="s">
        <v>586</v>
      </c>
      <c r="B28" s="17" t="n">
        <v>7568</v>
      </c>
      <c r="C28" s="18">
        <f>(6816.0/B28*100)</f>
        <v/>
      </c>
      <c r="D28" s="19" t="n">
        <v>752</v>
      </c>
      <c r="E28" s="18" t="n">
        <v>36.52634016</v>
      </c>
      <c r="F28" s="20" t="n">
        <v>1.95042146</v>
      </c>
      <c r="G28" s="18" t="n">
        <v>61.08363217</v>
      </c>
      <c r="H28" s="20" t="n">
        <v>1.98605222</v>
      </c>
      <c r="I28" s="18" t="n">
        <v>0</v>
      </c>
      <c r="J28" s="20" t="n">
        <v>0</v>
      </c>
      <c r="K28" s="18" t="n">
        <v>1.39179305</v>
      </c>
      <c r="L28" s="20" t="n">
        <v>0.48561396</v>
      </c>
      <c r="M28" s="18" t="n">
        <v>0</v>
      </c>
      <c r="N28" s="20" t="n">
        <v>0</v>
      </c>
      <c r="O28" s="18" t="n">
        <v>0</v>
      </c>
      <c r="P28" s="20" t="n">
        <v>0</v>
      </c>
      <c r="Q28" s="18" t="n">
        <v>0.99823463</v>
      </c>
      <c r="R28" s="20" t="n">
        <v>0.60627464</v>
      </c>
    </row>
    <row r="29" spans="1:18">
      <c r="A29" s="15" t="s">
        <v>587</v>
      </c>
      <c r="B29" s="17" t="n">
        <v>5385</v>
      </c>
      <c r="C29" s="18">
        <f>(4802.0/B29*100)</f>
        <v/>
      </c>
      <c r="D29" s="19" t="n">
        <v>583</v>
      </c>
      <c r="E29" s="18" t="n">
        <v>33.09542822</v>
      </c>
      <c r="F29" s="20" t="n">
        <v>2.04204027</v>
      </c>
      <c r="G29" s="18" t="n">
        <v>65.58516293</v>
      </c>
      <c r="H29" s="20" t="n">
        <v>2.01735816</v>
      </c>
      <c r="I29" s="18" t="n">
        <v>0</v>
      </c>
      <c r="J29" s="20" t="n">
        <v>0</v>
      </c>
      <c r="K29" s="18" t="n">
        <v>0.34697457</v>
      </c>
      <c r="L29" s="20" t="n">
        <v>0.23807124</v>
      </c>
      <c r="M29" s="18" t="n">
        <v>0</v>
      </c>
      <c r="N29" s="20" t="n">
        <v>0</v>
      </c>
      <c r="O29" s="18" t="n">
        <v>0</v>
      </c>
      <c r="P29" s="20" t="n">
        <v>0</v>
      </c>
      <c r="Q29" s="18" t="n">
        <v>0.97243428</v>
      </c>
      <c r="R29" s="20" t="n">
        <v>0.38833595</v>
      </c>
    </row>
    <row r="30" spans="1:18">
      <c r="A30" s="15" t="s">
        <v>588</v>
      </c>
      <c r="B30" s="17" t="n">
        <v>4520</v>
      </c>
      <c r="C30" s="18">
        <f>(4043.0/B30*100)</f>
        <v/>
      </c>
      <c r="D30" s="19" t="n">
        <v>477</v>
      </c>
      <c r="E30" s="18" t="n">
        <v>38.20907265</v>
      </c>
      <c r="F30" s="20" t="n">
        <v>2.3628024</v>
      </c>
      <c r="G30" s="18" t="n">
        <v>60.06750355</v>
      </c>
      <c r="H30" s="20" t="n">
        <v>2.37251342</v>
      </c>
      <c r="I30" s="18" t="n">
        <v>0</v>
      </c>
      <c r="J30" s="20" t="n">
        <v>0</v>
      </c>
      <c r="K30" s="18" t="n">
        <v>0.24747372</v>
      </c>
      <c r="L30" s="20" t="n">
        <v>0.23238997</v>
      </c>
      <c r="M30" s="18" t="n">
        <v>0</v>
      </c>
      <c r="N30" s="20" t="n">
        <v>0</v>
      </c>
      <c r="O30" s="18" t="n">
        <v>0</v>
      </c>
      <c r="P30" s="20" t="n">
        <v>0</v>
      </c>
      <c r="Q30" s="18" t="n">
        <v>1.47595008</v>
      </c>
      <c r="R30" s="20" t="n">
        <v>0.62090393</v>
      </c>
    </row>
    <row r="31" spans="1:18">
      <c r="A31" s="15" t="s">
        <v>589</v>
      </c>
      <c r="B31" s="17" t="n">
        <v>5456</v>
      </c>
      <c r="C31" s="18">
        <f>(4855.0/B31*100)</f>
        <v/>
      </c>
      <c r="D31" s="19" t="n">
        <v>601</v>
      </c>
      <c r="E31" s="18" t="n">
        <v>32.93024839</v>
      </c>
      <c r="F31" s="20" t="n">
        <v>1.52271135</v>
      </c>
      <c r="G31" s="18" t="n">
        <v>64.65948607999999</v>
      </c>
      <c r="H31" s="20" t="n">
        <v>1.60324485</v>
      </c>
      <c r="I31" s="18" t="n">
        <v>0</v>
      </c>
      <c r="J31" s="20" t="n">
        <v>0</v>
      </c>
      <c r="K31" s="18" t="n">
        <v>0.80255861</v>
      </c>
      <c r="L31" s="20" t="n">
        <v>0.40789113</v>
      </c>
      <c r="M31" s="18" t="n">
        <v>0</v>
      </c>
      <c r="N31" s="20" t="n">
        <v>0</v>
      </c>
      <c r="O31" s="18" t="n">
        <v>0</v>
      </c>
      <c r="P31" s="20" t="n">
        <v>0</v>
      </c>
      <c r="Q31" s="18" t="n">
        <v>1.60770692</v>
      </c>
      <c r="R31" s="20" t="n">
        <v>0.52326822</v>
      </c>
    </row>
    <row r="32" spans="1:18">
      <c r="A32" s="15" t="s">
        <v>590</v>
      </c>
      <c r="B32" s="17" t="n">
        <v>4478</v>
      </c>
      <c r="C32" s="18">
        <f>(3973.0/B32*100)</f>
        <v/>
      </c>
      <c r="D32" s="19" t="n">
        <v>505</v>
      </c>
      <c r="E32" s="18" t="n">
        <v>20.2295355</v>
      </c>
      <c r="F32" s="20" t="n">
        <v>1.88481964</v>
      </c>
      <c r="G32" s="18" t="n">
        <v>79.7704645</v>
      </c>
      <c r="H32" s="20" t="n">
        <v>1.88481964</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(6535.0/B33*100)</f>
        <v/>
      </c>
      <c r="D33" s="19" t="n">
        <v>790</v>
      </c>
      <c r="E33" s="18" t="n">
        <v>28.26238263</v>
      </c>
      <c r="F33" s="20" t="n">
        <v>1.88049024</v>
      </c>
      <c r="G33" s="18" t="n">
        <v>70.65630381</v>
      </c>
      <c r="H33" s="20" t="n">
        <v>1.83233199</v>
      </c>
      <c r="I33" s="18" t="n">
        <v>0</v>
      </c>
      <c r="J33" s="20" t="n">
        <v>0</v>
      </c>
      <c r="K33" s="18" t="n">
        <v>0.370752</v>
      </c>
      <c r="L33" s="20" t="n">
        <v>0.24050645</v>
      </c>
      <c r="M33" s="18" t="n">
        <v>0</v>
      </c>
      <c r="N33" s="20" t="n">
        <v>0</v>
      </c>
      <c r="O33" s="18" t="n">
        <v>0</v>
      </c>
      <c r="P33" s="20" t="n">
        <v>0</v>
      </c>
      <c r="Q33" s="18" t="n">
        <v>0.71056156</v>
      </c>
      <c r="R33" s="20" t="n">
        <v>0.33707825</v>
      </c>
    </row>
    <row r="34" spans="1:18">
      <c r="A34" s="15" t="s">
        <v>592</v>
      </c>
      <c r="B34" s="17" t="n">
        <v>6350</v>
      </c>
      <c r="C34" s="18">
        <f>(5648.0/B34*100)</f>
        <v/>
      </c>
      <c r="D34" s="19" t="n">
        <v>702</v>
      </c>
      <c r="E34" s="18" t="n">
        <v>29.94436951</v>
      </c>
      <c r="F34" s="20" t="n">
        <v>2.03585034</v>
      </c>
      <c r="G34" s="18" t="n">
        <v>68.80321549999999</v>
      </c>
      <c r="H34" s="20" t="n">
        <v>2.0196977</v>
      </c>
      <c r="I34" s="18" t="n">
        <v>0</v>
      </c>
      <c r="J34" s="20" t="n">
        <v>0</v>
      </c>
      <c r="K34" s="18" t="n">
        <v>0.30943642</v>
      </c>
      <c r="L34" s="20" t="n">
        <v>0.1810792</v>
      </c>
      <c r="M34" s="18" t="n">
        <v>0</v>
      </c>
      <c r="N34" s="20" t="n">
        <v>0</v>
      </c>
      <c r="O34" s="18" t="n">
        <v>0</v>
      </c>
      <c r="P34" s="20" t="n">
        <v>0</v>
      </c>
      <c r="Q34" s="18" t="n">
        <v>0.94297857</v>
      </c>
      <c r="R34" s="20" t="n">
        <v>0.47419368</v>
      </c>
    </row>
    <row r="35" spans="1:18">
      <c r="A35" s="15" t="s">
        <v>593</v>
      </c>
      <c r="B35" s="17" t="n">
        <v>6406</v>
      </c>
      <c r="C35" s="18">
        <f>(5750.0/B35*100)</f>
        <v/>
      </c>
      <c r="D35" s="19" t="n">
        <v>656</v>
      </c>
      <c r="E35" s="18" t="n">
        <v>23.25772521</v>
      </c>
      <c r="F35" s="20" t="n">
        <v>2.18996361</v>
      </c>
      <c r="G35" s="18" t="n">
        <v>75.63771871</v>
      </c>
      <c r="H35" s="20" t="n">
        <v>2.20162527</v>
      </c>
      <c r="I35" s="18" t="n">
        <v>0</v>
      </c>
      <c r="J35" s="20" t="n">
        <v>0</v>
      </c>
      <c r="K35" s="18" t="n">
        <v>0.06675483</v>
      </c>
      <c r="L35" s="20" t="n">
        <v>0.06724663</v>
      </c>
      <c r="M35" s="18" t="n">
        <v>0</v>
      </c>
      <c r="N35" s="20" t="n">
        <v>0</v>
      </c>
      <c r="O35" s="18" t="n">
        <v>0</v>
      </c>
      <c r="P35" s="20" t="n">
        <v>0</v>
      </c>
      <c r="Q35" s="18" t="n">
        <v>1.03780125</v>
      </c>
      <c r="R35" s="20" t="n">
        <v>0.58099389</v>
      </c>
    </row>
    <row r="36" spans="1:18">
      <c r="A36" s="15" t="s">
        <v>594</v>
      </c>
      <c r="B36" s="17" t="n">
        <v>6736</v>
      </c>
      <c r="C36" s="18">
        <f>(6039.0/B36*100)</f>
        <v/>
      </c>
      <c r="D36" s="19" t="n">
        <v>697</v>
      </c>
      <c r="E36" s="18" t="n">
        <v>31.37801141</v>
      </c>
      <c r="F36" s="20" t="n">
        <v>1.72436069</v>
      </c>
      <c r="G36" s="18" t="n">
        <v>67.38170629</v>
      </c>
      <c r="H36" s="20" t="n">
        <v>1.67361401</v>
      </c>
      <c r="I36" s="18" t="n">
        <v>0</v>
      </c>
      <c r="J36" s="20" t="n">
        <v>0</v>
      </c>
      <c r="K36" s="18" t="n">
        <v>0.17092106</v>
      </c>
      <c r="L36" s="20" t="n">
        <v>0.12546802</v>
      </c>
      <c r="M36" s="18" t="n">
        <v>0</v>
      </c>
      <c r="N36" s="20" t="n">
        <v>0</v>
      </c>
      <c r="O36" s="18" t="n">
        <v>0</v>
      </c>
      <c r="P36" s="20" t="n">
        <v>0</v>
      </c>
      <c r="Q36" s="18" t="n">
        <v>1.06936124</v>
      </c>
      <c r="R36" s="20" t="n">
        <v>0.42897174</v>
      </c>
    </row>
    <row r="37" spans="1:18">
      <c r="A37" s="15" t="s">
        <v>595</v>
      </c>
      <c r="B37" s="17" t="n">
        <v>5458</v>
      </c>
      <c r="C37" s="18">
        <f>(4862.0/B37*100)</f>
        <v/>
      </c>
      <c r="D37" s="19" t="n">
        <v>596</v>
      </c>
      <c r="E37" s="18" t="n">
        <v>36.28834687</v>
      </c>
      <c r="F37" s="20" t="n">
        <v>1.99729349</v>
      </c>
      <c r="G37" s="18" t="n">
        <v>60.53429621</v>
      </c>
      <c r="H37" s="20" t="n">
        <v>2.04370045</v>
      </c>
      <c r="I37" s="18" t="n">
        <v>0</v>
      </c>
      <c r="J37" s="20" t="n">
        <v>0</v>
      </c>
      <c r="K37" s="18" t="n">
        <v>1.27858977</v>
      </c>
      <c r="L37" s="20" t="n">
        <v>0.45209165</v>
      </c>
      <c r="M37" s="18" t="n">
        <v>0</v>
      </c>
      <c r="N37" s="20" t="n">
        <v>0</v>
      </c>
      <c r="O37" s="18" t="n">
        <v>0</v>
      </c>
      <c r="P37" s="20" t="n">
        <v>0</v>
      </c>
      <c r="Q37" s="18" t="n">
        <v>1.89876715</v>
      </c>
      <c r="R37" s="20" t="n">
        <v>0.6306368999999999</v>
      </c>
    </row>
    <row r="38" spans="1:18">
      <c r="A38" s="15" t="s">
        <v>596</v>
      </c>
      <c r="B38" s="17" t="n">
        <v>5860</v>
      </c>
      <c r="C38" s="18">
        <f>(5204.0/B38*100)</f>
        <v/>
      </c>
      <c r="D38" s="19" t="n">
        <v>656</v>
      </c>
      <c r="E38" s="18" t="n">
        <v>35.17814436</v>
      </c>
      <c r="F38" s="20" t="n">
        <v>1.79215259</v>
      </c>
      <c r="G38" s="18" t="n">
        <v>63.21883371</v>
      </c>
      <c r="H38" s="20" t="n">
        <v>1.83824877</v>
      </c>
      <c r="I38" s="18" t="n">
        <v>0</v>
      </c>
      <c r="J38" s="20" t="n">
        <v>0</v>
      </c>
      <c r="K38" s="18" t="n">
        <v>0.36729465</v>
      </c>
      <c r="L38" s="20" t="n">
        <v>0.23720378</v>
      </c>
      <c r="M38" s="18" t="n">
        <v>0</v>
      </c>
      <c r="N38" s="20" t="n">
        <v>0</v>
      </c>
      <c r="O38" s="18" t="n">
        <v>0</v>
      </c>
      <c r="P38" s="20" t="n">
        <v>0</v>
      </c>
      <c r="Q38" s="18" t="n">
        <v>1.23572728</v>
      </c>
      <c r="R38" s="20" t="n">
        <v>0.47236062</v>
      </c>
    </row>
    <row r="39" spans="1:18">
      <c r="A39" s="15" t="s">
        <v>597</v>
      </c>
      <c r="B39" s="17" t="n">
        <v>5895</v>
      </c>
      <c r="C39" s="18">
        <f>(5237.0/B39*100)</f>
        <v/>
      </c>
      <c r="D39" s="19" t="n">
        <v>658</v>
      </c>
      <c r="E39" s="18" t="n">
        <v>38.9044024</v>
      </c>
      <c r="F39" s="20" t="n">
        <v>2.32285433</v>
      </c>
      <c r="G39" s="18" t="n">
        <v>59.51009394</v>
      </c>
      <c r="H39" s="20" t="n">
        <v>2.40307503</v>
      </c>
      <c r="I39" s="18" t="n">
        <v>0</v>
      </c>
      <c r="J39" s="20" t="n">
        <v>0</v>
      </c>
      <c r="K39" s="18" t="n">
        <v>0</v>
      </c>
      <c r="L39" s="20" t="n">
        <v>0</v>
      </c>
      <c r="M39" s="18" t="n">
        <v>0</v>
      </c>
      <c r="N39" s="20" t="n">
        <v>0</v>
      </c>
      <c r="O39" s="18" t="n">
        <v>0</v>
      </c>
      <c r="P39" s="20" t="n">
        <v>0</v>
      </c>
      <c r="Q39" s="18" t="n">
        <v>1.58550366</v>
      </c>
      <c r="R39" s="20" t="n">
        <v>0.49030384</v>
      </c>
    </row>
    <row r="40" spans="1:18">
      <c r="A40" s="15" t="s">
        <v>598</v>
      </c>
      <c r="B40" s="17" t="n">
        <v>14157</v>
      </c>
      <c r="C40" s="18">
        <f>(12603.0/B40*100)</f>
        <v/>
      </c>
      <c r="D40" s="19" t="n">
        <v>1554</v>
      </c>
      <c r="E40" s="18" t="n">
        <v>36.719336</v>
      </c>
      <c r="F40" s="20" t="n">
        <v>1.8152338</v>
      </c>
      <c r="G40" s="18" t="n">
        <v>62.4467984</v>
      </c>
      <c r="H40" s="20" t="n">
        <v>1.86429838</v>
      </c>
      <c r="I40" s="18" t="n">
        <v>0</v>
      </c>
      <c r="J40" s="20" t="n">
        <v>0</v>
      </c>
      <c r="K40" s="18" t="n">
        <v>0.46433253</v>
      </c>
      <c r="L40" s="20" t="n">
        <v>0.24445525</v>
      </c>
      <c r="M40" s="18" t="n">
        <v>0</v>
      </c>
      <c r="N40" s="20" t="n">
        <v>0</v>
      </c>
      <c r="O40" s="18" t="n">
        <v>0</v>
      </c>
      <c r="P40" s="20" t="n">
        <v>0</v>
      </c>
      <c r="Q40" s="18" t="n">
        <v>0.36953307</v>
      </c>
      <c r="R40" s="20" t="n">
        <v>0.18179788</v>
      </c>
    </row>
    <row r="41" spans="1:18">
      <c r="A41" s="15" t="s">
        <v>599</v>
      </c>
      <c r="B41" s="17" t="n">
        <v>5712</v>
      </c>
      <c r="C41" s="18">
        <f>(5090.0/B41*100)</f>
        <v/>
      </c>
      <c r="D41" s="19" t="n">
        <v>622</v>
      </c>
      <c r="E41" s="18" t="n">
        <v>41.57540594</v>
      </c>
      <c r="F41" s="20" t="n">
        <v>2.48356058</v>
      </c>
      <c r="G41" s="18" t="n">
        <v>58.15076125</v>
      </c>
      <c r="H41" s="20" t="n">
        <v>2.48840163</v>
      </c>
      <c r="I41" s="18" t="n">
        <v>0</v>
      </c>
      <c r="J41" s="20" t="n">
        <v>0</v>
      </c>
      <c r="K41" s="18" t="n">
        <v>0</v>
      </c>
      <c r="L41" s="20" t="n">
        <v>0</v>
      </c>
      <c r="M41" s="18" t="n">
        <v>0</v>
      </c>
      <c r="N41" s="20" t="n">
        <v>0</v>
      </c>
      <c r="O41" s="18" t="n">
        <v>0</v>
      </c>
      <c r="P41" s="20" t="n">
        <v>0</v>
      </c>
      <c r="Q41" s="18" t="n">
        <v>0.27383281</v>
      </c>
      <c r="R41" s="20" t="n">
        <v>0.21815235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(21191.0/B46*100)</f>
        <v/>
      </c>
      <c r="D46" s="19" t="n">
        <v>1950</v>
      </c>
      <c r="E46" s="18" t="n">
        <v>45.23047601</v>
      </c>
      <c r="F46" s="20" t="n">
        <v>1.27589517</v>
      </c>
      <c r="G46" s="18" t="n">
        <v>50.02980687</v>
      </c>
      <c r="H46" s="20" t="n">
        <v>1.45321279</v>
      </c>
      <c r="I46" s="18" t="n">
        <v>0</v>
      </c>
      <c r="J46" s="20" t="n">
        <v>0</v>
      </c>
      <c r="K46" s="18" t="n">
        <v>1.0802717</v>
      </c>
      <c r="L46" s="20" t="n">
        <v>0.28723911</v>
      </c>
      <c r="M46" s="18" t="n">
        <v>0</v>
      </c>
      <c r="N46" s="20" t="n">
        <v>0</v>
      </c>
      <c r="O46" s="18" t="n">
        <v>0</v>
      </c>
      <c r="P46" s="20" t="n">
        <v>0</v>
      </c>
      <c r="Q46" s="18" t="n">
        <v>3.65944542</v>
      </c>
      <c r="R46" s="20" t="n">
        <v>0.67187508</v>
      </c>
    </row>
    <row r="47" spans="1:18">
      <c r="A47" s="15" t="s">
        <v>606</v>
      </c>
      <c r="B47" s="17" t="n">
        <v>5928</v>
      </c>
      <c r="C47" s="18">
        <f>(5269.0/B47*100)</f>
        <v/>
      </c>
      <c r="D47" s="19" t="n">
        <v>659</v>
      </c>
      <c r="E47" s="18" t="n">
        <v>44.79622957</v>
      </c>
      <c r="F47" s="20" t="n">
        <v>2.34213625</v>
      </c>
      <c r="G47" s="18" t="n">
        <v>52.51323297</v>
      </c>
      <c r="H47" s="20" t="n">
        <v>2.30577471</v>
      </c>
      <c r="I47" s="18" t="n">
        <v>0</v>
      </c>
      <c r="J47" s="20" t="n">
        <v>0</v>
      </c>
      <c r="K47" s="18" t="n">
        <v>0.58642726</v>
      </c>
      <c r="L47" s="20" t="n">
        <v>0.33139528</v>
      </c>
      <c r="M47" s="18" t="n">
        <v>0</v>
      </c>
      <c r="N47" s="20" t="n">
        <v>0</v>
      </c>
      <c r="O47" s="18" t="n">
        <v>0</v>
      </c>
      <c r="P47" s="20" t="n">
        <v>0</v>
      </c>
      <c r="Q47" s="18" t="n">
        <v>2.1041102</v>
      </c>
      <c r="R47" s="20" t="n">
        <v>0.58936602</v>
      </c>
    </row>
    <row r="48" spans="1:18">
      <c r="A48" s="15" t="s">
        <v>607</v>
      </c>
      <c r="B48" s="17" t="n">
        <v>9841</v>
      </c>
      <c r="C48" s="18">
        <f>(8728.0/B48*100)</f>
        <v/>
      </c>
      <c r="D48" s="19" t="n">
        <v>1113</v>
      </c>
      <c r="E48" s="18" t="n">
        <v>24.3758691</v>
      </c>
      <c r="F48" s="20" t="n">
        <v>1.67898941</v>
      </c>
      <c r="G48" s="18" t="n">
        <v>74.59913822</v>
      </c>
      <c r="H48" s="20" t="n">
        <v>1.69606092</v>
      </c>
      <c r="I48" s="18" t="n">
        <v>0</v>
      </c>
      <c r="J48" s="20" t="n">
        <v>0</v>
      </c>
      <c r="K48" s="18" t="n">
        <v>0.28438606</v>
      </c>
      <c r="L48" s="20" t="n">
        <v>0.21982196</v>
      </c>
      <c r="M48" s="18" t="n">
        <v>0</v>
      </c>
      <c r="N48" s="20" t="n">
        <v>0</v>
      </c>
      <c r="O48" s="18" t="n">
        <v>0</v>
      </c>
      <c r="P48" s="20" t="n">
        <v>0</v>
      </c>
      <c r="Q48" s="18" t="n">
        <v>0.74060662</v>
      </c>
      <c r="R48" s="20" t="n">
        <v>0.27033579</v>
      </c>
    </row>
    <row r="49" spans="1:18">
      <c r="A49" s="15" t="s">
        <v>608</v>
      </c>
      <c r="B49" s="17" t="n">
        <v>11795</v>
      </c>
      <c r="C49" s="18">
        <f>(10485.0/B49*100)</f>
        <v/>
      </c>
      <c r="D49" s="19" t="n">
        <v>1310</v>
      </c>
      <c r="E49" s="18" t="n">
        <v>41.21207884</v>
      </c>
      <c r="F49" s="20" t="n">
        <v>1.74762592</v>
      </c>
      <c r="G49" s="18" t="n">
        <v>54.89650714</v>
      </c>
      <c r="H49" s="20" t="n">
        <v>1.92667496</v>
      </c>
      <c r="I49" s="18" t="n">
        <v>0</v>
      </c>
      <c r="J49" s="20" t="n">
        <v>0</v>
      </c>
      <c r="K49" s="18" t="n">
        <v>2.01509546</v>
      </c>
      <c r="L49" s="20" t="n">
        <v>0.65914946</v>
      </c>
      <c r="M49" s="18" t="n">
        <v>0</v>
      </c>
      <c r="N49" s="20" t="n">
        <v>0</v>
      </c>
      <c r="O49" s="18" t="n">
        <v>0</v>
      </c>
      <c r="P49" s="20" t="n">
        <v>0</v>
      </c>
      <c r="Q49" s="18" t="n">
        <v>1.87631857</v>
      </c>
      <c r="R49" s="20" t="n">
        <v>0.37424761</v>
      </c>
    </row>
    <row r="50" spans="1:18">
      <c r="A50" s="15" t="s">
        <v>609</v>
      </c>
      <c r="B50" s="17" t="n">
        <v>6866</v>
      </c>
      <c r="C50" s="18">
        <f>(6229.0/B50*100)</f>
        <v/>
      </c>
      <c r="D50" s="19" t="n">
        <v>637</v>
      </c>
      <c r="E50" s="18" t="n">
        <v>39.44311018</v>
      </c>
      <c r="F50" s="20" t="n">
        <v>1.91826533</v>
      </c>
      <c r="G50" s="18" t="n">
        <v>58.83777126</v>
      </c>
      <c r="H50" s="20" t="n">
        <v>1.79267632</v>
      </c>
      <c r="I50" s="18" t="n">
        <v>0</v>
      </c>
      <c r="J50" s="20" t="n">
        <v>0</v>
      </c>
      <c r="K50" s="18" t="n">
        <v>0.21770178</v>
      </c>
      <c r="L50" s="20" t="n">
        <v>0.21124936</v>
      </c>
      <c r="M50" s="18" t="n">
        <v>0</v>
      </c>
      <c r="N50" s="20" t="n">
        <v>0</v>
      </c>
      <c r="O50" s="18" t="n">
        <v>0</v>
      </c>
      <c r="P50" s="20" t="n">
        <v>0</v>
      </c>
      <c r="Q50" s="18" t="n">
        <v>1.50141678</v>
      </c>
      <c r="R50" s="20" t="n">
        <v>0.61599417</v>
      </c>
    </row>
    <row r="51" spans="1:18">
      <c r="A51" s="15" t="s">
        <v>610</v>
      </c>
      <c r="B51" s="17" t="n">
        <v>5809</v>
      </c>
      <c r="C51" s="18">
        <f>(5130.0/B51*100)</f>
        <v/>
      </c>
      <c r="D51" s="19" t="n">
        <v>679</v>
      </c>
      <c r="E51" s="18" t="n">
        <v>31.9431903</v>
      </c>
      <c r="F51" s="20" t="n">
        <v>1.89101941</v>
      </c>
      <c r="G51" s="18" t="n">
        <v>66.12438027</v>
      </c>
      <c r="H51" s="20" t="n">
        <v>1.83755214</v>
      </c>
      <c r="I51" s="18" t="n">
        <v>0</v>
      </c>
      <c r="J51" s="20" t="n">
        <v>0</v>
      </c>
      <c r="K51" s="18" t="n">
        <v>0.28994533</v>
      </c>
      <c r="L51" s="20" t="n">
        <v>0.20881189</v>
      </c>
      <c r="M51" s="18" t="n">
        <v>0</v>
      </c>
      <c r="N51" s="20" t="n">
        <v>0</v>
      </c>
      <c r="O51" s="18" t="n">
        <v>0</v>
      </c>
      <c r="P51" s="20" t="n">
        <v>0</v>
      </c>
      <c r="Q51" s="18" t="n">
        <v>1.6424841</v>
      </c>
      <c r="R51" s="20" t="n">
        <v>0.51561038</v>
      </c>
    </row>
    <row r="52" spans="1:18">
      <c r="A52" s="15" t="s">
        <v>611</v>
      </c>
      <c r="B52" s="17" t="n">
        <v>5571</v>
      </c>
      <c r="C52" s="18">
        <f>(4965.0/B52*100)</f>
        <v/>
      </c>
      <c r="D52" s="19" t="n">
        <v>606</v>
      </c>
      <c r="E52" s="18" t="n">
        <v>38.75890656</v>
      </c>
      <c r="F52" s="20" t="n">
        <v>2.03837137</v>
      </c>
      <c r="G52" s="18" t="n">
        <v>59.62215318</v>
      </c>
      <c r="H52" s="20" t="n">
        <v>1.94454405</v>
      </c>
      <c r="I52" s="18" t="n">
        <v>0</v>
      </c>
      <c r="J52" s="20" t="n">
        <v>0</v>
      </c>
      <c r="K52" s="18" t="n">
        <v>0.65439505</v>
      </c>
      <c r="L52" s="20" t="n">
        <v>0.39510169</v>
      </c>
      <c r="M52" s="18" t="n">
        <v>0</v>
      </c>
      <c r="N52" s="20" t="n">
        <v>0</v>
      </c>
      <c r="O52" s="18" t="n">
        <v>0</v>
      </c>
      <c r="P52" s="20" t="n">
        <v>0</v>
      </c>
      <c r="Q52" s="18" t="n">
        <v>0.96454521</v>
      </c>
      <c r="R52" s="20" t="n">
        <v>0.45443858</v>
      </c>
    </row>
    <row r="53" spans="1:18">
      <c r="A53" s="15" t="s">
        <v>612</v>
      </c>
      <c r="B53" s="17" t="n">
        <v>4740</v>
      </c>
      <c r="C53" s="18">
        <f>(4248.0/B53*100)</f>
        <v/>
      </c>
      <c r="D53" s="19" t="n">
        <v>492</v>
      </c>
      <c r="E53" s="18" t="n">
        <v>39.44480735</v>
      </c>
      <c r="F53" s="20" t="n">
        <v>2.89805789</v>
      </c>
      <c r="G53" s="18" t="n">
        <v>37.25588944</v>
      </c>
      <c r="H53" s="20" t="n">
        <v>2.69820643</v>
      </c>
      <c r="I53" s="18" t="n">
        <v>0</v>
      </c>
      <c r="J53" s="20" t="n">
        <v>0</v>
      </c>
      <c r="K53" s="18" t="n">
        <v>16.08371295</v>
      </c>
      <c r="L53" s="20" t="n">
        <v>1.8453115</v>
      </c>
      <c r="M53" s="18" t="n">
        <v>0</v>
      </c>
      <c r="N53" s="20" t="n">
        <v>0</v>
      </c>
      <c r="O53" s="18" t="n">
        <v>0</v>
      </c>
      <c r="P53" s="20" t="n">
        <v>0</v>
      </c>
      <c r="Q53" s="18" t="n">
        <v>7.21559025</v>
      </c>
      <c r="R53" s="20" t="n">
        <v>1.27951326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(4752.0/B55*100)</f>
        <v/>
      </c>
      <c r="D55" s="19" t="n">
        <v>607</v>
      </c>
      <c r="E55" s="18" t="n">
        <v>29.3437411</v>
      </c>
      <c r="F55" s="20" t="n">
        <v>2.02674806</v>
      </c>
      <c r="G55" s="18" t="n">
        <v>70.00286608</v>
      </c>
      <c r="H55" s="20" t="n">
        <v>2.02340375</v>
      </c>
      <c r="I55" s="18" t="n">
        <v>0</v>
      </c>
      <c r="J55" s="20" t="n">
        <v>0</v>
      </c>
      <c r="K55" s="18" t="n">
        <v>0.35668205</v>
      </c>
      <c r="L55" s="20" t="n">
        <v>0.23191582</v>
      </c>
      <c r="M55" s="18" t="n">
        <v>0</v>
      </c>
      <c r="N55" s="20" t="n">
        <v>0</v>
      </c>
      <c r="O55" s="18" t="n">
        <v>0</v>
      </c>
      <c r="P55" s="20" t="n">
        <v>0</v>
      </c>
      <c r="Q55" s="18" t="n">
        <v>0.29671077</v>
      </c>
      <c r="R55" s="20" t="n">
        <v>0.21588748</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(5771.0/B61*100)</f>
        <v/>
      </c>
      <c r="D61" s="19" t="n">
        <v>754</v>
      </c>
      <c r="E61" s="18" t="n">
        <v>41.01085129</v>
      </c>
      <c r="F61" s="20" t="n">
        <v>1.98035547</v>
      </c>
      <c r="G61" s="18" t="n">
        <v>57.9965229</v>
      </c>
      <c r="H61" s="20" t="n">
        <v>2.00602976</v>
      </c>
      <c r="I61" s="18" t="n">
        <v>0</v>
      </c>
      <c r="J61" s="20" t="n">
        <v>0</v>
      </c>
      <c r="K61" s="18" t="n">
        <v>0</v>
      </c>
      <c r="L61" s="20" t="n">
        <v>0</v>
      </c>
      <c r="M61" s="18" t="n">
        <v>0</v>
      </c>
      <c r="N61" s="20" t="n">
        <v>0</v>
      </c>
      <c r="O61" s="18" t="n">
        <v>0</v>
      </c>
      <c r="P61" s="20" t="n">
        <v>0</v>
      </c>
      <c r="Q61" s="18" t="n">
        <v>0.9926258100000001</v>
      </c>
      <c r="R61" s="20" t="n">
        <v>0.38398822</v>
      </c>
    </row>
    <row r="62" spans="1:18">
      <c r="A62" s="15" t="s">
        <v>622</v>
      </c>
      <c r="B62" s="17" t="n">
        <v>4476</v>
      </c>
      <c r="C62" s="18">
        <f>(3985.0/B62*100)</f>
        <v/>
      </c>
      <c r="D62" s="19" t="n">
        <v>491</v>
      </c>
      <c r="E62" s="18" t="n">
        <v>27.3387163</v>
      </c>
      <c r="F62" s="20" t="n">
        <v>2.13916921</v>
      </c>
      <c r="G62" s="18" t="n">
        <v>72.45404259</v>
      </c>
      <c r="H62" s="20" t="n">
        <v>2.14373416</v>
      </c>
      <c r="I62" s="18" t="n">
        <v>0</v>
      </c>
      <c r="J62" s="20" t="n">
        <v>0</v>
      </c>
      <c r="K62" s="18" t="n">
        <v>0</v>
      </c>
      <c r="L62" s="20" t="n">
        <v>0</v>
      </c>
      <c r="M62" s="18" t="n">
        <v>0</v>
      </c>
      <c r="N62" s="20" t="n">
        <v>0</v>
      </c>
      <c r="O62" s="18" t="n">
        <v>0</v>
      </c>
      <c r="P62" s="20" t="n">
        <v>0</v>
      </c>
      <c r="Q62" s="18" t="n">
        <v>0.20724111</v>
      </c>
      <c r="R62" s="20" t="n">
        <v>0.20771129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(5049.0/B67*100)</f>
        <v/>
      </c>
      <c r="D67" s="19" t="n">
        <v>616</v>
      </c>
      <c r="E67" s="18" t="n">
        <v>48.26757198</v>
      </c>
      <c r="F67" s="20" t="n">
        <v>2.08775076</v>
      </c>
      <c r="G67" s="18" t="n">
        <v>47.00957344</v>
      </c>
      <c r="H67" s="20" t="n">
        <v>2.07181096</v>
      </c>
      <c r="I67" s="18" t="n">
        <v>0</v>
      </c>
      <c r="J67" s="20" t="n">
        <v>0</v>
      </c>
      <c r="K67" s="18" t="n">
        <v>0.64729487</v>
      </c>
      <c r="L67" s="20" t="n">
        <v>0.45614968</v>
      </c>
      <c r="M67" s="18" t="n">
        <v>0</v>
      </c>
      <c r="N67" s="20" t="n">
        <v>0</v>
      </c>
      <c r="O67" s="18" t="n">
        <v>0</v>
      </c>
      <c r="P67" s="20" t="n">
        <v>0</v>
      </c>
      <c r="Q67" s="18" t="n">
        <v>4.07555971</v>
      </c>
      <c r="R67" s="20" t="n">
        <v>0.88864246</v>
      </c>
    </row>
    <row r="68" spans="1:18">
      <c r="A68" s="15" t="s">
        <v>628</v>
      </c>
      <c r="B68" s="17" t="n">
        <v>6971</v>
      </c>
      <c r="C68" s="18">
        <f>(6302.0/B68*100)</f>
        <v/>
      </c>
      <c r="D68" s="19" t="n">
        <v>669</v>
      </c>
      <c r="E68" s="18" t="n">
        <v>41.62130053</v>
      </c>
      <c r="F68" s="20" t="n">
        <v>1.95509322</v>
      </c>
      <c r="G68" s="18" t="n">
        <v>54.87629843</v>
      </c>
      <c r="H68" s="20" t="n">
        <v>1.86307628</v>
      </c>
      <c r="I68" s="18" t="n">
        <v>0</v>
      </c>
      <c r="J68" s="20" t="n">
        <v>0</v>
      </c>
      <c r="K68" s="18" t="n">
        <v>0.23997177</v>
      </c>
      <c r="L68" s="20" t="n">
        <v>0.24489035</v>
      </c>
      <c r="M68" s="18" t="n">
        <v>0</v>
      </c>
      <c r="N68" s="20" t="n">
        <v>0</v>
      </c>
      <c r="O68" s="18" t="n">
        <v>0</v>
      </c>
      <c r="P68" s="20" t="n">
        <v>0</v>
      </c>
      <c r="Q68" s="18" t="n">
        <v>3.26242927</v>
      </c>
      <c r="R68" s="20" t="n">
        <v>0.59861309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(10791.0/B70*100)</f>
        <v/>
      </c>
      <c r="D70" s="19" t="n">
        <v>1292</v>
      </c>
      <c r="E70" s="18" t="n">
        <v>42.52656045</v>
      </c>
      <c r="F70" s="20" t="n">
        <v>1.4315095</v>
      </c>
      <c r="G70" s="18" t="n">
        <v>51.5703753</v>
      </c>
      <c r="H70" s="20" t="n">
        <v>1.48637005</v>
      </c>
      <c r="I70" s="18" t="n">
        <v>0</v>
      </c>
      <c r="J70" s="20" t="n">
        <v>0</v>
      </c>
      <c r="K70" s="18" t="n">
        <v>2.66707041</v>
      </c>
      <c r="L70" s="20" t="n">
        <v>0.46199799</v>
      </c>
      <c r="M70" s="18" t="n">
        <v>0</v>
      </c>
      <c r="N70" s="20" t="n">
        <v>0</v>
      </c>
      <c r="O70" s="18" t="n">
        <v>0</v>
      </c>
      <c r="P70" s="20" t="n">
        <v>0</v>
      </c>
      <c r="Q70" s="18" t="n">
        <v>3.23599384</v>
      </c>
      <c r="R70" s="20" t="n">
        <v>0.5156434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(5355.0/B72*100)</f>
        <v/>
      </c>
      <c r="D72" s="19" t="n">
        <v>681</v>
      </c>
      <c r="E72" s="18" t="n">
        <v>26.27375671</v>
      </c>
      <c r="F72" s="20" t="n">
        <v>1.91448124</v>
      </c>
      <c r="G72" s="18" t="n">
        <v>71.82385066000001</v>
      </c>
      <c r="H72" s="20" t="n">
        <v>1.84187961</v>
      </c>
      <c r="I72" s="18" t="n">
        <v>0</v>
      </c>
      <c r="J72" s="20" t="n">
        <v>0</v>
      </c>
      <c r="K72" s="18" t="n">
        <v>0.39119814</v>
      </c>
      <c r="L72" s="20" t="n">
        <v>0.27181219</v>
      </c>
      <c r="M72" s="18" t="n">
        <v>0</v>
      </c>
      <c r="N72" s="20" t="n">
        <v>0</v>
      </c>
      <c r="O72" s="18" t="n">
        <v>0</v>
      </c>
      <c r="P72" s="20" t="n">
        <v>0</v>
      </c>
      <c r="Q72" s="18" t="n">
        <v>1.5111945</v>
      </c>
      <c r="R72" s="20" t="n">
        <v>0.46885165</v>
      </c>
    </row>
    <row r="73" spans="1:18">
      <c r="A73" s="15" t="s">
        <v>633</v>
      </c>
      <c r="B73" s="17" t="n">
        <v>6115</v>
      </c>
      <c r="C73" s="18">
        <f>(5458.0/B73*100)</f>
        <v/>
      </c>
      <c r="D73" s="19" t="n">
        <v>657</v>
      </c>
      <c r="E73" s="18" t="n">
        <v>32.45697436</v>
      </c>
      <c r="F73" s="20" t="n">
        <v>1.56379361</v>
      </c>
      <c r="G73" s="18" t="n">
        <v>66.90703035</v>
      </c>
      <c r="H73" s="20" t="n">
        <v>1.59525756</v>
      </c>
      <c r="I73" s="18" t="n">
        <v>0</v>
      </c>
      <c r="J73" s="20" t="n">
        <v>0</v>
      </c>
      <c r="K73" s="18" t="n">
        <v>0.47135006</v>
      </c>
      <c r="L73" s="20" t="n">
        <v>0.27348942</v>
      </c>
      <c r="M73" s="18" t="n">
        <v>0</v>
      </c>
      <c r="N73" s="20" t="n">
        <v>0</v>
      </c>
      <c r="O73" s="18" t="n">
        <v>0</v>
      </c>
      <c r="P73" s="20" t="n">
        <v>0</v>
      </c>
      <c r="Q73" s="18" t="n">
        <v>0.16464523</v>
      </c>
      <c r="R73" s="20" t="n">
        <v>0.16379987</v>
      </c>
    </row>
    <row r="74" spans="1:18">
      <c r="A74" s="15" t="s">
        <v>634</v>
      </c>
      <c r="B74" s="17" t="n">
        <v>7708</v>
      </c>
      <c r="C74" s="18">
        <f>(6877.0/B74*100)</f>
        <v/>
      </c>
      <c r="D74" s="19" t="n">
        <v>831</v>
      </c>
      <c r="E74" s="18" t="n">
        <v>26.24434639</v>
      </c>
      <c r="F74" s="20" t="n">
        <v>1.5644336</v>
      </c>
      <c r="G74" s="18" t="n">
        <v>73.13293693</v>
      </c>
      <c r="H74" s="20" t="n">
        <v>1.56790012</v>
      </c>
      <c r="I74" s="18" t="n">
        <v>0</v>
      </c>
      <c r="J74" s="20" t="n">
        <v>0</v>
      </c>
      <c r="K74" s="18" t="n">
        <v>0</v>
      </c>
      <c r="L74" s="20" t="n">
        <v>0</v>
      </c>
      <c r="M74" s="18" t="n">
        <v>0</v>
      </c>
      <c r="N74" s="20" t="n">
        <v>0</v>
      </c>
      <c r="O74" s="18" t="n">
        <v>0</v>
      </c>
      <c r="P74" s="20" t="n">
        <v>0</v>
      </c>
      <c r="Q74" s="18" t="n">
        <v>0.62271668</v>
      </c>
      <c r="R74" s="20" t="n">
        <v>0.34402318</v>
      </c>
    </row>
    <row r="75" spans="1:18">
      <c r="A75" s="15" t="s">
        <v>635</v>
      </c>
      <c r="B75" s="17" t="n">
        <v>8249</v>
      </c>
      <c r="C75" s="18">
        <f>(7351.0/B75*100)</f>
        <v/>
      </c>
      <c r="D75" s="19" t="n">
        <v>898</v>
      </c>
      <c r="E75" s="18" t="n">
        <v>36.69050518</v>
      </c>
      <c r="F75" s="20" t="n">
        <v>1.96800864</v>
      </c>
      <c r="G75" s="18" t="n">
        <v>62.12512987</v>
      </c>
      <c r="H75" s="20" t="n">
        <v>1.98520692</v>
      </c>
      <c r="I75" s="18" t="n">
        <v>0</v>
      </c>
      <c r="J75" s="20" t="n">
        <v>0</v>
      </c>
      <c r="K75" s="18" t="n">
        <v>0.00462549</v>
      </c>
      <c r="L75" s="20" t="n">
        <v>0.00465429</v>
      </c>
      <c r="M75" s="18" t="n">
        <v>0</v>
      </c>
      <c r="N75" s="20" t="n">
        <v>0</v>
      </c>
      <c r="O75" s="18" t="n">
        <v>0</v>
      </c>
      <c r="P75" s="20" t="n">
        <v>0</v>
      </c>
      <c r="Q75" s="18" t="n">
        <v>1.17973946</v>
      </c>
      <c r="R75" s="20" t="n">
        <v>0.40107559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(4834.0/B77*100)</f>
        <v/>
      </c>
      <c r="D77" s="19" t="n">
        <v>541</v>
      </c>
      <c r="E77" s="18" t="n">
        <v>38.62282213</v>
      </c>
      <c r="F77" s="20" t="n">
        <v>2.25212791</v>
      </c>
      <c r="G77" s="18" t="n">
        <v>51.49821484</v>
      </c>
      <c r="H77" s="20" t="n">
        <v>2.04872216</v>
      </c>
      <c r="I77" s="18" t="n">
        <v>0</v>
      </c>
      <c r="J77" s="20" t="n">
        <v>0</v>
      </c>
      <c r="K77" s="18" t="n">
        <v>4.34411346</v>
      </c>
      <c r="L77" s="20" t="n">
        <v>1.0061857</v>
      </c>
      <c r="M77" s="18" t="n">
        <v>0</v>
      </c>
      <c r="N77" s="20" t="n">
        <v>0</v>
      </c>
      <c r="O77" s="18" t="n">
        <v>0</v>
      </c>
      <c r="P77" s="20" t="n">
        <v>0</v>
      </c>
      <c r="Q77" s="18" t="n">
        <v>5.53484957</v>
      </c>
      <c r="R77" s="20" t="n">
        <v>1.19010508</v>
      </c>
    </row>
    <row r="78" spans="1:18">
      <c r="A78" s="15" t="s">
        <v>638</v>
      </c>
      <c r="B78" s="17" t="n">
        <v>14167</v>
      </c>
      <c r="C78" s="18">
        <f>(12628.0/B78*100)</f>
        <v/>
      </c>
      <c r="D78" s="19" t="n">
        <v>1539</v>
      </c>
      <c r="E78" s="18" t="n">
        <v>39.86285976</v>
      </c>
      <c r="F78" s="20" t="n">
        <v>1.29110603</v>
      </c>
      <c r="G78" s="18" t="n">
        <v>57.37851582</v>
      </c>
      <c r="H78" s="20" t="n">
        <v>1.2524464</v>
      </c>
      <c r="I78" s="18" t="n">
        <v>0</v>
      </c>
      <c r="J78" s="20" t="n">
        <v>0</v>
      </c>
      <c r="K78" s="18" t="n">
        <v>0.97427788</v>
      </c>
      <c r="L78" s="20" t="n">
        <v>0.37288075</v>
      </c>
      <c r="M78" s="18" t="n">
        <v>0</v>
      </c>
      <c r="N78" s="20" t="n">
        <v>0</v>
      </c>
      <c r="O78" s="18" t="n">
        <v>0</v>
      </c>
      <c r="P78" s="20" t="n">
        <v>0</v>
      </c>
      <c r="Q78" s="18" t="n">
        <v>1.78434654</v>
      </c>
      <c r="R78" s="20" t="n">
        <v>0.37179712</v>
      </c>
    </row>
    <row r="79" spans="1:18">
      <c r="A79" s="15" t="s">
        <v>639</v>
      </c>
      <c r="B79" s="17" t="n">
        <v>6062</v>
      </c>
      <c r="C79" s="18">
        <f>(5440.0/B79*100)</f>
        <v/>
      </c>
      <c r="D79" s="19" t="n">
        <v>622</v>
      </c>
      <c r="E79" s="18" t="n">
        <v>34.47632728</v>
      </c>
      <c r="F79" s="20" t="n">
        <v>1.8073686</v>
      </c>
      <c r="G79" s="18" t="n">
        <v>61.06280959</v>
      </c>
      <c r="H79" s="20" t="n">
        <v>2.25867578</v>
      </c>
      <c r="I79" s="18" t="n">
        <v>0</v>
      </c>
      <c r="J79" s="20" t="n">
        <v>0</v>
      </c>
      <c r="K79" s="18" t="n">
        <v>1.6424679</v>
      </c>
      <c r="L79" s="20" t="n">
        <v>0.57286698</v>
      </c>
      <c r="M79" s="18" t="n">
        <v>0</v>
      </c>
      <c r="N79" s="20" t="n">
        <v>0</v>
      </c>
      <c r="O79" s="18" t="n">
        <v>0</v>
      </c>
      <c r="P79" s="20" t="n">
        <v>0</v>
      </c>
      <c r="Q79" s="18" t="n">
        <v>2.81839523</v>
      </c>
      <c r="R79" s="20" t="n">
        <v>0.63289867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(28846.0/B82*100)</f>
        <v/>
      </c>
      <c r="D82" s="19" t="n">
        <v>3484</v>
      </c>
      <c r="E82" s="18" t="n">
        <v>32.71118253</v>
      </c>
      <c r="F82" s="20" t="n">
        <v>1.22080942</v>
      </c>
      <c r="G82" s="18" t="n">
        <v>65.83151418</v>
      </c>
      <c r="H82" s="20" t="n">
        <v>1.24242307</v>
      </c>
      <c r="I82" s="18" t="n">
        <v>0</v>
      </c>
      <c r="J82" s="20" t="n">
        <v>0</v>
      </c>
      <c r="K82" s="18" t="n">
        <v>0.35841446</v>
      </c>
      <c r="L82" s="20" t="n">
        <v>0.12150058</v>
      </c>
      <c r="M82" s="18" t="n">
        <v>0</v>
      </c>
      <c r="N82" s="20" t="n">
        <v>0</v>
      </c>
      <c r="O82" s="18" t="n">
        <v>0</v>
      </c>
      <c r="P82" s="20" t="n">
        <v>0</v>
      </c>
      <c r="Q82" s="18" t="n">
        <v>1.09888883</v>
      </c>
      <c r="R82" s="20" t="n">
        <v>0.22723362</v>
      </c>
    </row>
    <row r="83" spans="1:18">
      <c r="A83" s="15" t="s">
        <v>643</v>
      </c>
      <c r="B83" s="17" t="n">
        <v>1652</v>
      </c>
      <c r="C83" s="18">
        <f>(1472.0/B83*100)</f>
        <v/>
      </c>
      <c r="D83" s="19" t="n">
        <v>180</v>
      </c>
      <c r="E83" s="18" t="n">
        <v>24.99603435</v>
      </c>
      <c r="F83" s="20" t="n">
        <v>2.91095023</v>
      </c>
      <c r="G83" s="18" t="n">
        <v>73.84476398</v>
      </c>
      <c r="H83" s="20" t="n">
        <v>2.97583534</v>
      </c>
      <c r="I83" s="18" t="n">
        <v>0</v>
      </c>
      <c r="J83" s="20" t="n">
        <v>0</v>
      </c>
      <c r="K83" s="18" t="n">
        <v>0.65269345</v>
      </c>
      <c r="L83" s="20" t="n">
        <v>0.60782277</v>
      </c>
      <c r="M83" s="18" t="n">
        <v>0</v>
      </c>
      <c r="N83" s="20" t="n">
        <v>0</v>
      </c>
      <c r="O83" s="18" t="n">
        <v>0</v>
      </c>
      <c r="P83" s="20" t="n">
        <v>0</v>
      </c>
      <c r="Q83" s="18" t="n">
        <v>0.50650823</v>
      </c>
      <c r="R83" s="20" t="n">
        <v>0.5410784199999999</v>
      </c>
    </row>
    <row r="84" spans="1:18">
      <c r="A84" s="23" t="s">
        <v>644</v>
      </c>
      <c r="B84" s="24" t="n">
        <v>1887</v>
      </c>
      <c r="C84" s="25">
        <f>(1676.0/B84*100)</f>
        <v/>
      </c>
      <c r="D84" s="19" t="n">
        <v>211</v>
      </c>
      <c r="E84" s="18" t="n">
        <v>35.9641513</v>
      </c>
      <c r="F84" s="20" t="n">
        <v>2.63992213</v>
      </c>
      <c r="G84" s="18" t="n">
        <v>64.0358487</v>
      </c>
      <c r="H84" s="20" t="n">
        <v>2.63992213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(12996.0/B7*100)</f>
        <v/>
      </c>
      <c r="D7" s="19" t="n">
        <v>1534</v>
      </c>
      <c r="E7" s="18" t="n">
        <v>58.98357959</v>
      </c>
      <c r="F7" s="20" t="n">
        <v>1.56165051</v>
      </c>
      <c r="G7" s="18" t="n">
        <v>39.53895965</v>
      </c>
      <c r="H7" s="20" t="n">
        <v>1.5758603</v>
      </c>
      <c r="I7" s="18" t="n">
        <v>0</v>
      </c>
      <c r="J7" s="20" t="n">
        <v>0</v>
      </c>
      <c r="K7" s="18" t="n">
        <v>0.65629795</v>
      </c>
      <c r="L7" s="20" t="n">
        <v>0.23367372</v>
      </c>
      <c r="M7" s="18" t="n">
        <v>0</v>
      </c>
      <c r="N7" s="20" t="n">
        <v>0</v>
      </c>
      <c r="O7" s="18" t="n">
        <v>0</v>
      </c>
      <c r="P7" s="20" t="n">
        <v>0</v>
      </c>
      <c r="Q7" s="18" t="n">
        <v>0.82116281</v>
      </c>
      <c r="R7" s="20" t="n">
        <v>0.25772168</v>
      </c>
    </row>
    <row r="8" spans="1:18">
      <c r="A8" s="15" t="s">
        <v>566</v>
      </c>
      <c r="B8" s="17" t="n">
        <v>7007</v>
      </c>
      <c r="C8" s="18">
        <f>(6235.0/B8*100)</f>
        <v/>
      </c>
      <c r="D8" s="19" t="n">
        <v>772</v>
      </c>
      <c r="E8" s="18" t="n">
        <v>59.28742035</v>
      </c>
      <c r="F8" s="20" t="n">
        <v>2.05580091</v>
      </c>
      <c r="G8" s="18" t="n">
        <v>39.87788589</v>
      </c>
      <c r="H8" s="20" t="n">
        <v>2.03876749</v>
      </c>
      <c r="I8" s="18" t="n">
        <v>0</v>
      </c>
      <c r="J8" s="20" t="n">
        <v>0</v>
      </c>
      <c r="K8" s="18" t="n">
        <v>0.32591387</v>
      </c>
      <c r="L8" s="20" t="n">
        <v>0.24475037</v>
      </c>
      <c r="M8" s="18" t="n">
        <v>0</v>
      </c>
      <c r="N8" s="20" t="n">
        <v>0</v>
      </c>
      <c r="O8" s="18" t="n">
        <v>0</v>
      </c>
      <c r="P8" s="20" t="n">
        <v>0</v>
      </c>
      <c r="Q8" s="18" t="n">
        <v>0.50877989</v>
      </c>
      <c r="R8" s="20" t="n">
        <v>0.27857621</v>
      </c>
    </row>
    <row r="9" spans="1:18">
      <c r="A9" s="15" t="s">
        <v>567</v>
      </c>
      <c r="B9" s="17" t="n">
        <v>9651</v>
      </c>
      <c r="C9" s="18">
        <f>(8640.0/B9*100)</f>
        <v/>
      </c>
      <c r="D9" s="19" t="n">
        <v>1011</v>
      </c>
      <c r="E9" s="18" t="n">
        <v>51.0922821</v>
      </c>
      <c r="F9" s="20" t="n">
        <v>1.79336282</v>
      </c>
      <c r="G9" s="18" t="n">
        <v>48.08641068</v>
      </c>
      <c r="H9" s="20" t="n">
        <v>1.80552228</v>
      </c>
      <c r="I9" s="18" t="n">
        <v>0</v>
      </c>
      <c r="J9" s="20" t="n">
        <v>0</v>
      </c>
      <c r="K9" s="18" t="n">
        <v>0.27402149</v>
      </c>
      <c r="L9" s="20" t="n">
        <v>0.17869309</v>
      </c>
      <c r="M9" s="18" t="n">
        <v>0</v>
      </c>
      <c r="N9" s="20" t="n">
        <v>0</v>
      </c>
      <c r="O9" s="18" t="n">
        <v>0</v>
      </c>
      <c r="P9" s="20" t="n">
        <v>0</v>
      </c>
      <c r="Q9" s="18" t="n">
        <v>0.54728574</v>
      </c>
      <c r="R9" s="20" t="n">
        <v>0.2389142</v>
      </c>
    </row>
    <row r="10" spans="1:18">
      <c r="A10" s="15" t="s">
        <v>568</v>
      </c>
      <c r="B10" s="17" t="n">
        <v>20058</v>
      </c>
      <c r="C10" s="18">
        <f>(17779.0/B10*100)</f>
        <v/>
      </c>
      <c r="D10" s="19" t="n">
        <v>2279</v>
      </c>
      <c r="E10" s="18" t="n">
        <v>55.87426611</v>
      </c>
      <c r="F10" s="20" t="n">
        <v>1.34008242</v>
      </c>
      <c r="G10" s="18" t="n">
        <v>43.24125399</v>
      </c>
      <c r="H10" s="20" t="n">
        <v>1.39075651</v>
      </c>
      <c r="I10" s="18" t="n">
        <v>0</v>
      </c>
      <c r="J10" s="20" t="n">
        <v>0</v>
      </c>
      <c r="K10" s="18" t="n">
        <v>0.79896652</v>
      </c>
      <c r="L10" s="20" t="n">
        <v>0.32424385</v>
      </c>
      <c r="M10" s="18" t="n">
        <v>0</v>
      </c>
      <c r="N10" s="20" t="n">
        <v>0</v>
      </c>
      <c r="O10" s="18" t="n">
        <v>0</v>
      </c>
      <c r="P10" s="20" t="n">
        <v>0</v>
      </c>
      <c r="Q10" s="18" t="n">
        <v>0.08551338</v>
      </c>
      <c r="R10" s="20" t="n">
        <v>0.03338061</v>
      </c>
    </row>
    <row r="11" spans="1:18">
      <c r="A11" s="15" t="s">
        <v>569</v>
      </c>
      <c r="B11" s="17" t="n">
        <v>7053</v>
      </c>
      <c r="C11" s="18">
        <f>(6327.0/B11*100)</f>
        <v/>
      </c>
      <c r="D11" s="19" t="n">
        <v>726</v>
      </c>
      <c r="E11" s="18" t="n">
        <v>58.59462582</v>
      </c>
      <c r="F11" s="20" t="n">
        <v>1.9159966</v>
      </c>
      <c r="G11" s="18" t="n">
        <v>38.87270622</v>
      </c>
      <c r="H11" s="20" t="n">
        <v>1.88928985</v>
      </c>
      <c r="I11" s="18" t="n">
        <v>0</v>
      </c>
      <c r="J11" s="20" t="n">
        <v>0</v>
      </c>
      <c r="K11" s="18" t="n">
        <v>1.93595297</v>
      </c>
      <c r="L11" s="20" t="n">
        <v>0.55093888</v>
      </c>
      <c r="M11" s="18" t="n">
        <v>0</v>
      </c>
      <c r="N11" s="20" t="n">
        <v>0</v>
      </c>
      <c r="O11" s="18" t="n">
        <v>0</v>
      </c>
      <c r="P11" s="20" t="n">
        <v>0</v>
      </c>
      <c r="Q11" s="18" t="n">
        <v>0.5967149899999999</v>
      </c>
      <c r="R11" s="20" t="n">
        <v>0.31837579</v>
      </c>
    </row>
    <row r="12" spans="1:18">
      <c r="A12" s="15" t="s">
        <v>570</v>
      </c>
      <c r="B12" s="17" t="n">
        <v>6894</v>
      </c>
      <c r="C12" s="18">
        <f>(6137.0/B12*100)</f>
        <v/>
      </c>
      <c r="D12" s="19" t="n">
        <v>757</v>
      </c>
      <c r="E12" s="18" t="n">
        <v>56.44894892</v>
      </c>
      <c r="F12" s="20" t="n">
        <v>2.23666196</v>
      </c>
      <c r="G12" s="18" t="n">
        <v>43.08801382</v>
      </c>
      <c r="H12" s="20" t="n">
        <v>2.25341046</v>
      </c>
      <c r="I12" s="18" t="n">
        <v>0</v>
      </c>
      <c r="J12" s="20" t="n">
        <v>0</v>
      </c>
      <c r="K12" s="18" t="n">
        <v>0.24923021</v>
      </c>
      <c r="L12" s="20" t="n">
        <v>0.1733195</v>
      </c>
      <c r="M12" s="18" t="n">
        <v>0</v>
      </c>
      <c r="N12" s="20" t="n">
        <v>0</v>
      </c>
      <c r="O12" s="18" t="n">
        <v>0</v>
      </c>
      <c r="P12" s="20" t="n">
        <v>0</v>
      </c>
      <c r="Q12" s="18" t="n">
        <v>0.21380706</v>
      </c>
      <c r="R12" s="20" t="n">
        <v>0.11302627</v>
      </c>
    </row>
    <row r="13" spans="1:18">
      <c r="A13" s="15" t="s">
        <v>571</v>
      </c>
      <c r="B13" s="17" t="n">
        <v>7161</v>
      </c>
      <c r="C13" s="18">
        <f>(6384.0/B13*100)</f>
        <v/>
      </c>
      <c r="D13" s="19" t="n">
        <v>777</v>
      </c>
      <c r="E13" s="18" t="n">
        <v>59.2345657</v>
      </c>
      <c r="F13" s="20" t="n">
        <v>2.06258648</v>
      </c>
      <c r="G13" s="18" t="n">
        <v>39.47611081</v>
      </c>
      <c r="H13" s="20" t="n">
        <v>2.03725126</v>
      </c>
      <c r="I13" s="18" t="n">
        <v>0</v>
      </c>
      <c r="J13" s="20" t="n">
        <v>0</v>
      </c>
      <c r="K13" s="18" t="n">
        <v>0.85020213</v>
      </c>
      <c r="L13" s="20" t="n">
        <v>0.5241069</v>
      </c>
      <c r="M13" s="18" t="n">
        <v>0</v>
      </c>
      <c r="N13" s="20" t="n">
        <v>0</v>
      </c>
      <c r="O13" s="18" t="n">
        <v>0</v>
      </c>
      <c r="P13" s="20" t="n">
        <v>0</v>
      </c>
      <c r="Q13" s="18" t="n">
        <v>0.43912137</v>
      </c>
      <c r="R13" s="20" t="n">
        <v>0.24869764</v>
      </c>
    </row>
    <row r="14" spans="1:18">
      <c r="A14" s="15" t="s">
        <v>572</v>
      </c>
      <c r="B14" s="17" t="n">
        <v>5587</v>
      </c>
      <c r="C14" s="18">
        <f>(4962.0/B14*100)</f>
        <v/>
      </c>
      <c r="D14" s="19" t="n">
        <v>625</v>
      </c>
      <c r="E14" s="18" t="n">
        <v>59.82152042</v>
      </c>
      <c r="F14" s="20" t="n">
        <v>2.25691859</v>
      </c>
      <c r="G14" s="18" t="n">
        <v>39.79817666</v>
      </c>
      <c r="H14" s="20" t="n">
        <v>2.28205695</v>
      </c>
      <c r="I14" s="18" t="n">
        <v>0</v>
      </c>
      <c r="J14" s="20" t="n">
        <v>0</v>
      </c>
      <c r="K14" s="18" t="n">
        <v>0.12434356</v>
      </c>
      <c r="L14" s="20" t="n">
        <v>0.12345241</v>
      </c>
      <c r="M14" s="18" t="n">
        <v>0</v>
      </c>
      <c r="N14" s="20" t="n">
        <v>0</v>
      </c>
      <c r="O14" s="18" t="n">
        <v>0</v>
      </c>
      <c r="P14" s="20" t="n">
        <v>0</v>
      </c>
      <c r="Q14" s="18" t="n">
        <v>0.25595936</v>
      </c>
      <c r="R14" s="20" t="n">
        <v>0.19328868</v>
      </c>
    </row>
    <row r="15" spans="1:18">
      <c r="A15" s="15" t="s">
        <v>573</v>
      </c>
      <c r="B15" s="17" t="n">
        <v>5882</v>
      </c>
      <c r="C15" s="18">
        <f>(5281.0/B15*100)</f>
        <v/>
      </c>
      <c r="D15" s="19" t="n">
        <v>601</v>
      </c>
      <c r="E15" s="18" t="n">
        <v>59.81608057</v>
      </c>
      <c r="F15" s="20" t="n">
        <v>1.86643855</v>
      </c>
      <c r="G15" s="18" t="n">
        <v>39.89460166</v>
      </c>
      <c r="H15" s="20" t="n">
        <v>1.84917927</v>
      </c>
      <c r="I15" s="18" t="n">
        <v>0</v>
      </c>
      <c r="J15" s="20" t="n">
        <v>0</v>
      </c>
      <c r="K15" s="18" t="n">
        <v>0.14043485</v>
      </c>
      <c r="L15" s="20" t="n">
        <v>0.1448772</v>
      </c>
      <c r="M15" s="18" t="n">
        <v>0</v>
      </c>
      <c r="N15" s="20" t="n">
        <v>0</v>
      </c>
      <c r="O15" s="18" t="n">
        <v>0</v>
      </c>
      <c r="P15" s="20" t="n">
        <v>0</v>
      </c>
      <c r="Q15" s="18" t="n">
        <v>0.14888292</v>
      </c>
      <c r="R15" s="20" t="n">
        <v>0.14948294</v>
      </c>
    </row>
    <row r="16" spans="1:18">
      <c r="A16" s="15" t="s">
        <v>574</v>
      </c>
      <c r="B16" s="17" t="n">
        <v>6108</v>
      </c>
      <c r="C16" s="18">
        <f>(5450.0/B16*100)</f>
        <v/>
      </c>
      <c r="D16" s="19" t="n">
        <v>658</v>
      </c>
      <c r="E16" s="18" t="n">
        <v>57.89158089</v>
      </c>
      <c r="F16" s="20" t="n">
        <v>2.05446781</v>
      </c>
      <c r="G16" s="18" t="n">
        <v>39.4410153</v>
      </c>
      <c r="H16" s="20" t="n">
        <v>1.94350193</v>
      </c>
      <c r="I16" s="18" t="n">
        <v>0</v>
      </c>
      <c r="J16" s="20" t="n">
        <v>0</v>
      </c>
      <c r="K16" s="18" t="n">
        <v>1.38745226</v>
      </c>
      <c r="L16" s="20" t="n">
        <v>0.62526821</v>
      </c>
      <c r="M16" s="18" t="n">
        <v>0</v>
      </c>
      <c r="N16" s="20" t="n">
        <v>0</v>
      </c>
      <c r="O16" s="18" t="n">
        <v>0</v>
      </c>
      <c r="P16" s="20" t="n">
        <v>0</v>
      </c>
      <c r="Q16" s="18" t="n">
        <v>1.27995155</v>
      </c>
      <c r="R16" s="20" t="n">
        <v>0.43093334</v>
      </c>
    </row>
    <row r="17" spans="1:18">
      <c r="A17" s="15" t="s">
        <v>575</v>
      </c>
      <c r="B17" s="17" t="n">
        <v>6504</v>
      </c>
      <c r="C17" s="18">
        <f>(5823.0/B17*100)</f>
        <v/>
      </c>
      <c r="D17" s="19" t="n">
        <v>681</v>
      </c>
      <c r="E17" s="18" t="n">
        <v>55.71847801</v>
      </c>
      <c r="F17" s="20" t="n">
        <v>2.23929822</v>
      </c>
      <c r="G17" s="18" t="n">
        <v>43.17038318</v>
      </c>
      <c r="H17" s="20" t="n">
        <v>2.24115858</v>
      </c>
      <c r="I17" s="18" t="n">
        <v>0</v>
      </c>
      <c r="J17" s="20" t="n">
        <v>0</v>
      </c>
      <c r="K17" s="18" t="n">
        <v>0.3332901</v>
      </c>
      <c r="L17" s="20" t="n">
        <v>0.17641897</v>
      </c>
      <c r="M17" s="18" t="n">
        <v>0</v>
      </c>
      <c r="N17" s="20" t="n">
        <v>0</v>
      </c>
      <c r="O17" s="18" t="n">
        <v>0</v>
      </c>
      <c r="P17" s="20" t="n">
        <v>0</v>
      </c>
      <c r="Q17" s="18" t="n">
        <v>0.77784871</v>
      </c>
      <c r="R17" s="20" t="n">
        <v>0.29809415</v>
      </c>
    </row>
    <row r="18" spans="1:18">
      <c r="A18" s="15" t="s">
        <v>576</v>
      </c>
      <c r="B18" s="17" t="n">
        <v>5532</v>
      </c>
      <c r="C18" s="18">
        <f>(4918.0/B18*100)</f>
        <v/>
      </c>
      <c r="D18" s="19" t="n">
        <v>614</v>
      </c>
      <c r="E18" s="18" t="n">
        <v>66.2114785</v>
      </c>
      <c r="F18" s="20" t="n">
        <v>1.79323256</v>
      </c>
      <c r="G18" s="18" t="n">
        <v>32.17541722</v>
      </c>
      <c r="H18" s="20" t="n">
        <v>1.72898246</v>
      </c>
      <c r="I18" s="18" t="n">
        <v>0</v>
      </c>
      <c r="J18" s="20" t="n">
        <v>0</v>
      </c>
      <c r="K18" s="18" t="n">
        <v>0.46376125</v>
      </c>
      <c r="L18" s="20" t="n">
        <v>0.25928368</v>
      </c>
      <c r="M18" s="18" t="n">
        <v>0</v>
      </c>
      <c r="N18" s="20" t="n">
        <v>0</v>
      </c>
      <c r="O18" s="18" t="n">
        <v>0</v>
      </c>
      <c r="P18" s="20" t="n">
        <v>0</v>
      </c>
      <c r="Q18" s="18" t="n">
        <v>1.14934304</v>
      </c>
      <c r="R18" s="20" t="n">
        <v>0.47015654</v>
      </c>
    </row>
    <row r="19" spans="1:18">
      <c r="A19" s="15" t="s">
        <v>577</v>
      </c>
      <c r="B19" s="17" t="n">
        <v>5658</v>
      </c>
      <c r="C19" s="18">
        <f>(5057.0/B19*100)</f>
        <v/>
      </c>
      <c r="D19" s="19" t="n">
        <v>601</v>
      </c>
      <c r="E19" s="18" t="n">
        <v>51.30158501</v>
      </c>
      <c r="F19" s="20" t="n">
        <v>2.10298189</v>
      </c>
      <c r="G19" s="18" t="n">
        <v>48.55855599</v>
      </c>
      <c r="H19" s="20" t="n">
        <v>2.06546443</v>
      </c>
      <c r="I19" s="18" t="n">
        <v>0</v>
      </c>
      <c r="J19" s="20" t="n">
        <v>0</v>
      </c>
      <c r="K19" s="18" t="n">
        <v>0</v>
      </c>
      <c r="L19" s="20" t="n">
        <v>0</v>
      </c>
      <c r="M19" s="18" t="n">
        <v>0</v>
      </c>
      <c r="N19" s="20" t="n">
        <v>0</v>
      </c>
      <c r="O19" s="18" t="n">
        <v>0</v>
      </c>
      <c r="P19" s="20" t="n">
        <v>0</v>
      </c>
      <c r="Q19" s="18" t="n">
        <v>0.13985899</v>
      </c>
      <c r="R19" s="20" t="n">
        <v>0.13913342</v>
      </c>
    </row>
    <row r="20" spans="1:18">
      <c r="A20" s="15" t="s">
        <v>578</v>
      </c>
      <c r="B20" s="17" t="n">
        <v>3371</v>
      </c>
      <c r="C20" s="18">
        <f>(2980.0/B20*100)</f>
        <v/>
      </c>
      <c r="D20" s="19" t="n">
        <v>391</v>
      </c>
      <c r="E20" s="18" t="n">
        <v>65.98214163</v>
      </c>
      <c r="F20" s="20" t="n">
        <v>2.40360589</v>
      </c>
      <c r="G20" s="18" t="n">
        <v>31.45105607</v>
      </c>
      <c r="H20" s="20" t="n">
        <v>2.2038228</v>
      </c>
      <c r="I20" s="18" t="n">
        <v>0</v>
      </c>
      <c r="J20" s="20" t="n">
        <v>0</v>
      </c>
      <c r="K20" s="18" t="n">
        <v>0.46929037</v>
      </c>
      <c r="L20" s="20" t="n">
        <v>0.33120095</v>
      </c>
      <c r="M20" s="18" t="n">
        <v>0</v>
      </c>
      <c r="N20" s="20" t="n">
        <v>0</v>
      </c>
      <c r="O20" s="18" t="n">
        <v>0</v>
      </c>
      <c r="P20" s="20" t="n">
        <v>0</v>
      </c>
      <c r="Q20" s="18" t="n">
        <v>2.09751193</v>
      </c>
      <c r="R20" s="20" t="n">
        <v>0.7257354</v>
      </c>
    </row>
    <row r="21" spans="1:18">
      <c r="A21" s="15" t="s">
        <v>579</v>
      </c>
      <c r="B21" s="17" t="n">
        <v>5741</v>
      </c>
      <c r="C21" s="18">
        <f>(5120.0/B21*100)</f>
        <v/>
      </c>
      <c r="D21" s="19" t="n">
        <v>621</v>
      </c>
      <c r="E21" s="18" t="n">
        <v>56.87309091</v>
      </c>
      <c r="F21" s="20" t="n">
        <v>2.06634223</v>
      </c>
      <c r="G21" s="18" t="n">
        <v>42.21704206</v>
      </c>
      <c r="H21" s="20" t="n">
        <v>2.0552879</v>
      </c>
      <c r="I21" s="18" t="n">
        <v>0</v>
      </c>
      <c r="J21" s="20" t="n">
        <v>0</v>
      </c>
      <c r="K21" s="18" t="n">
        <v>0.42379259</v>
      </c>
      <c r="L21" s="20" t="n">
        <v>0.24171014</v>
      </c>
      <c r="M21" s="18" t="n">
        <v>0</v>
      </c>
      <c r="N21" s="20" t="n">
        <v>0</v>
      </c>
      <c r="O21" s="18" t="n">
        <v>0</v>
      </c>
      <c r="P21" s="20" t="n">
        <v>0</v>
      </c>
      <c r="Q21" s="18" t="n">
        <v>0.48607445</v>
      </c>
      <c r="R21" s="20" t="n">
        <v>0.10007637</v>
      </c>
    </row>
    <row r="22" spans="1:18">
      <c r="A22" s="15" t="s">
        <v>580</v>
      </c>
      <c r="B22" s="17" t="n">
        <v>6598</v>
      </c>
      <c r="C22" s="18">
        <f>(5864.0/B22*100)</f>
        <v/>
      </c>
      <c r="D22" s="19" t="n">
        <v>734</v>
      </c>
      <c r="E22" s="18" t="n">
        <v>61.16228526</v>
      </c>
      <c r="F22" s="20" t="n">
        <v>2.00923534</v>
      </c>
      <c r="G22" s="18" t="n">
        <v>36.87430352</v>
      </c>
      <c r="H22" s="20" t="n">
        <v>2.00437059</v>
      </c>
      <c r="I22" s="18" t="n">
        <v>0</v>
      </c>
      <c r="J22" s="20" t="n">
        <v>0</v>
      </c>
      <c r="K22" s="18" t="n">
        <v>1.18717002</v>
      </c>
      <c r="L22" s="20" t="n">
        <v>0.39692926</v>
      </c>
      <c r="M22" s="18" t="n">
        <v>0</v>
      </c>
      <c r="N22" s="20" t="n">
        <v>0</v>
      </c>
      <c r="O22" s="18" t="n">
        <v>0</v>
      </c>
      <c r="P22" s="20" t="n">
        <v>0</v>
      </c>
      <c r="Q22" s="18" t="n">
        <v>0.77624119</v>
      </c>
      <c r="R22" s="20" t="n">
        <v>0.31192796</v>
      </c>
    </row>
    <row r="23" spans="1:18">
      <c r="A23" s="15" t="s">
        <v>581</v>
      </c>
      <c r="B23" s="17" t="n">
        <v>11583</v>
      </c>
      <c r="C23" s="18">
        <f>(10356.0/B23*100)</f>
        <v/>
      </c>
      <c r="D23" s="19" t="n">
        <v>1227</v>
      </c>
      <c r="E23" s="18" t="n">
        <v>53.27943227</v>
      </c>
      <c r="F23" s="20" t="n">
        <v>2.30419692</v>
      </c>
      <c r="G23" s="18" t="n">
        <v>45.41729233</v>
      </c>
      <c r="H23" s="20" t="n">
        <v>2.29423935</v>
      </c>
      <c r="I23" s="18" t="n">
        <v>0</v>
      </c>
      <c r="J23" s="20" t="n">
        <v>0</v>
      </c>
      <c r="K23" s="18" t="n">
        <v>0.44626719</v>
      </c>
      <c r="L23" s="20" t="n">
        <v>0.2514324</v>
      </c>
      <c r="M23" s="18" t="n">
        <v>0</v>
      </c>
      <c r="N23" s="20" t="n">
        <v>0</v>
      </c>
      <c r="O23" s="18" t="n">
        <v>0</v>
      </c>
      <c r="P23" s="20" t="n">
        <v>0</v>
      </c>
      <c r="Q23" s="18" t="n">
        <v>0.85700821</v>
      </c>
      <c r="R23" s="20" t="n">
        <v>0.35252801</v>
      </c>
    </row>
    <row r="24" spans="1:18">
      <c r="A24" s="15" t="s">
        <v>582</v>
      </c>
      <c r="B24" s="17" t="n">
        <v>6647</v>
      </c>
      <c r="C24" s="18">
        <f>(5928.0/B24*100)</f>
        <v/>
      </c>
      <c r="D24" s="19" t="n">
        <v>719</v>
      </c>
      <c r="E24" s="18" t="n">
        <v>54.70915806</v>
      </c>
      <c r="F24" s="20" t="n">
        <v>1.97755986</v>
      </c>
      <c r="G24" s="18" t="n">
        <v>44.99163762</v>
      </c>
      <c r="H24" s="20" t="n">
        <v>1.98419345</v>
      </c>
      <c r="I24" s="18" t="n">
        <v>0</v>
      </c>
      <c r="J24" s="20" t="n">
        <v>0</v>
      </c>
      <c r="K24" s="18" t="n">
        <v>0.16512718</v>
      </c>
      <c r="L24" s="20" t="n">
        <v>0.16566682</v>
      </c>
      <c r="M24" s="18" t="n">
        <v>0</v>
      </c>
      <c r="N24" s="20" t="n">
        <v>0</v>
      </c>
      <c r="O24" s="18" t="n">
        <v>0</v>
      </c>
      <c r="P24" s="20" t="n">
        <v>0</v>
      </c>
      <c r="Q24" s="18" t="n">
        <v>0.13407714</v>
      </c>
      <c r="R24" s="20" t="n">
        <v>0.13442789</v>
      </c>
    </row>
    <row r="25" spans="1:18">
      <c r="A25" s="15" t="s">
        <v>583</v>
      </c>
      <c r="B25" s="17" t="n">
        <v>5581</v>
      </c>
      <c r="C25" s="18">
        <f>(4963.0/B25*100)</f>
        <v/>
      </c>
      <c r="D25" s="19" t="n">
        <v>618</v>
      </c>
      <c r="E25" s="18" t="n">
        <v>58.98080854</v>
      </c>
      <c r="F25" s="20" t="n">
        <v>2.18909135</v>
      </c>
      <c r="G25" s="18" t="n">
        <v>40.41099299</v>
      </c>
      <c r="H25" s="20" t="n">
        <v>2.21694018</v>
      </c>
      <c r="I25" s="18" t="n">
        <v>0</v>
      </c>
      <c r="J25" s="20" t="n">
        <v>0</v>
      </c>
      <c r="K25" s="18" t="n">
        <v>0.60819847</v>
      </c>
      <c r="L25" s="20" t="n">
        <v>0.30874611</v>
      </c>
      <c r="M25" s="18" t="n">
        <v>0</v>
      </c>
      <c r="N25" s="20" t="n">
        <v>0</v>
      </c>
      <c r="O25" s="18" t="n">
        <v>0</v>
      </c>
      <c r="P25" s="20" t="n">
        <v>0</v>
      </c>
      <c r="Q25" s="18" t="n">
        <v>0</v>
      </c>
      <c r="R25" s="20" t="n">
        <v>0</v>
      </c>
    </row>
    <row r="26" spans="1:18">
      <c r="A26" s="15" t="s">
        <v>584</v>
      </c>
      <c r="B26" s="17" t="n">
        <v>4869</v>
      </c>
      <c r="C26" s="18">
        <f>(4334.0/B26*100)</f>
        <v/>
      </c>
      <c r="D26" s="19" t="n">
        <v>535</v>
      </c>
      <c r="E26" s="18" t="n">
        <v>58.05971493</v>
      </c>
      <c r="F26" s="20" t="n">
        <v>2.31052523</v>
      </c>
      <c r="G26" s="18" t="n">
        <v>41.44306166</v>
      </c>
      <c r="H26" s="20" t="n">
        <v>2.31503662</v>
      </c>
      <c r="I26" s="18" t="n">
        <v>0</v>
      </c>
      <c r="J26" s="20" t="n">
        <v>0</v>
      </c>
      <c r="K26" s="18" t="n">
        <v>0.29659782</v>
      </c>
      <c r="L26" s="20" t="n">
        <v>0.22454236</v>
      </c>
      <c r="M26" s="18" t="n">
        <v>0</v>
      </c>
      <c r="N26" s="20" t="n">
        <v>0</v>
      </c>
      <c r="O26" s="18" t="n">
        <v>0</v>
      </c>
      <c r="P26" s="20" t="n">
        <v>0</v>
      </c>
      <c r="Q26" s="18" t="n">
        <v>0.20062559</v>
      </c>
      <c r="R26" s="20" t="n">
        <v>0.13740336</v>
      </c>
    </row>
    <row r="27" spans="1:18">
      <c r="A27" s="15" t="s">
        <v>585</v>
      </c>
      <c r="B27" s="17" t="n">
        <v>5299</v>
      </c>
      <c r="C27" s="18">
        <f>(4723.0/B27*100)</f>
        <v/>
      </c>
      <c r="D27" s="19" t="n">
        <v>576</v>
      </c>
      <c r="E27" s="18" t="n">
        <v>59.78707819</v>
      </c>
      <c r="F27" s="20" t="n">
        <v>1.77461654</v>
      </c>
      <c r="G27" s="18" t="n">
        <v>37.9559414</v>
      </c>
      <c r="H27" s="20" t="n">
        <v>1.71141584</v>
      </c>
      <c r="I27" s="18" t="n">
        <v>0</v>
      </c>
      <c r="J27" s="20" t="n">
        <v>0</v>
      </c>
      <c r="K27" s="18" t="n">
        <v>0.70329819</v>
      </c>
      <c r="L27" s="20" t="n">
        <v>0.35132845</v>
      </c>
      <c r="M27" s="18" t="n">
        <v>0</v>
      </c>
      <c r="N27" s="20" t="n">
        <v>0</v>
      </c>
      <c r="O27" s="18" t="n">
        <v>0</v>
      </c>
      <c r="P27" s="20" t="n">
        <v>0</v>
      </c>
      <c r="Q27" s="18" t="n">
        <v>1.55368222</v>
      </c>
      <c r="R27" s="20" t="n">
        <v>0.52390479</v>
      </c>
    </row>
    <row r="28" spans="1:18">
      <c r="A28" s="15" t="s">
        <v>586</v>
      </c>
      <c r="B28" s="17" t="n">
        <v>7568</v>
      </c>
      <c r="C28" s="18">
        <f>(6828.0/B28*100)</f>
        <v/>
      </c>
      <c r="D28" s="19" t="n">
        <v>740</v>
      </c>
      <c r="E28" s="18" t="n">
        <v>69.88310568</v>
      </c>
      <c r="F28" s="20" t="n">
        <v>1.55475088</v>
      </c>
      <c r="G28" s="18" t="n">
        <v>28.41993008</v>
      </c>
      <c r="H28" s="20" t="n">
        <v>1.46505888</v>
      </c>
      <c r="I28" s="18" t="n">
        <v>0</v>
      </c>
      <c r="J28" s="20" t="n">
        <v>0</v>
      </c>
      <c r="K28" s="18" t="n">
        <v>1.40881217</v>
      </c>
      <c r="L28" s="20" t="n">
        <v>0.49004585</v>
      </c>
      <c r="M28" s="18" t="n">
        <v>0</v>
      </c>
      <c r="N28" s="20" t="n">
        <v>0</v>
      </c>
      <c r="O28" s="18" t="n">
        <v>0</v>
      </c>
      <c r="P28" s="20" t="n">
        <v>0</v>
      </c>
      <c r="Q28" s="18" t="n">
        <v>0.28815207</v>
      </c>
      <c r="R28" s="20" t="n">
        <v>0.20933219</v>
      </c>
    </row>
    <row r="29" spans="1:18">
      <c r="A29" s="15" t="s">
        <v>587</v>
      </c>
      <c r="B29" s="17" t="n">
        <v>5385</v>
      </c>
      <c r="C29" s="18">
        <f>(4802.0/B29*100)</f>
        <v/>
      </c>
      <c r="D29" s="19" t="n">
        <v>583</v>
      </c>
      <c r="E29" s="18" t="n">
        <v>50.43149596</v>
      </c>
      <c r="F29" s="20" t="n">
        <v>2.08004602</v>
      </c>
      <c r="G29" s="18" t="n">
        <v>48.9105971</v>
      </c>
      <c r="H29" s="20" t="n">
        <v>2.12270854</v>
      </c>
      <c r="I29" s="18" t="n">
        <v>0</v>
      </c>
      <c r="J29" s="20" t="n">
        <v>0</v>
      </c>
      <c r="K29" s="18" t="n">
        <v>0.34697457</v>
      </c>
      <c r="L29" s="20" t="n">
        <v>0.23807124</v>
      </c>
      <c r="M29" s="18" t="n">
        <v>0</v>
      </c>
      <c r="N29" s="20" t="n">
        <v>0</v>
      </c>
      <c r="O29" s="18" t="n">
        <v>0</v>
      </c>
      <c r="P29" s="20" t="n">
        <v>0</v>
      </c>
      <c r="Q29" s="18" t="n">
        <v>0.31093238</v>
      </c>
      <c r="R29" s="20" t="n">
        <v>0.2060077</v>
      </c>
    </row>
    <row r="30" spans="1:18">
      <c r="A30" s="15" t="s">
        <v>588</v>
      </c>
      <c r="B30" s="17" t="n">
        <v>4520</v>
      </c>
      <c r="C30" s="18">
        <f>(4048.0/B30*100)</f>
        <v/>
      </c>
      <c r="D30" s="19" t="n">
        <v>472</v>
      </c>
      <c r="E30" s="18" t="n">
        <v>60.84401782</v>
      </c>
      <c r="F30" s="20" t="n">
        <v>2.04585521</v>
      </c>
      <c r="G30" s="18" t="n">
        <v>37.82637583</v>
      </c>
      <c r="H30" s="20" t="n">
        <v>2.11626412</v>
      </c>
      <c r="I30" s="18" t="n">
        <v>0</v>
      </c>
      <c r="J30" s="20" t="n">
        <v>0</v>
      </c>
      <c r="K30" s="18" t="n">
        <v>0.25013002</v>
      </c>
      <c r="L30" s="20" t="n">
        <v>0.23491785</v>
      </c>
      <c r="M30" s="18" t="n">
        <v>0</v>
      </c>
      <c r="N30" s="20" t="n">
        <v>0</v>
      </c>
      <c r="O30" s="18" t="n">
        <v>0</v>
      </c>
      <c r="P30" s="20" t="n">
        <v>0</v>
      </c>
      <c r="Q30" s="18" t="n">
        <v>1.07947633</v>
      </c>
      <c r="R30" s="20" t="n">
        <v>0.44889719</v>
      </c>
    </row>
    <row r="31" spans="1:18">
      <c r="A31" s="15" t="s">
        <v>589</v>
      </c>
      <c r="B31" s="17" t="n">
        <v>5456</v>
      </c>
      <c r="C31" s="18">
        <f>(4857.0/B31*100)</f>
        <v/>
      </c>
      <c r="D31" s="19" t="n">
        <v>599</v>
      </c>
      <c r="E31" s="18" t="n">
        <v>58.44187974</v>
      </c>
      <c r="F31" s="20" t="n">
        <v>1.93933867</v>
      </c>
      <c r="G31" s="18" t="n">
        <v>39.45992226</v>
      </c>
      <c r="H31" s="20" t="n">
        <v>1.87093441</v>
      </c>
      <c r="I31" s="18" t="n">
        <v>0</v>
      </c>
      <c r="J31" s="20" t="n">
        <v>0</v>
      </c>
      <c r="K31" s="18" t="n">
        <v>0.98600919</v>
      </c>
      <c r="L31" s="20" t="n">
        <v>0.44763617</v>
      </c>
      <c r="M31" s="18" t="n">
        <v>0</v>
      </c>
      <c r="N31" s="20" t="n">
        <v>0</v>
      </c>
      <c r="O31" s="18" t="n">
        <v>0</v>
      </c>
      <c r="P31" s="20" t="n">
        <v>0</v>
      </c>
      <c r="Q31" s="18" t="n">
        <v>1.1121888</v>
      </c>
      <c r="R31" s="20" t="n">
        <v>0.42694832</v>
      </c>
    </row>
    <row r="32" spans="1:18">
      <c r="A32" s="15" t="s">
        <v>590</v>
      </c>
      <c r="B32" s="17" t="n">
        <v>4478</v>
      </c>
      <c r="C32" s="18">
        <f>(3977.0/B32*100)</f>
        <v/>
      </c>
      <c r="D32" s="19" t="n">
        <v>501</v>
      </c>
      <c r="E32" s="18" t="n">
        <v>47.45802243</v>
      </c>
      <c r="F32" s="20" t="n">
        <v>2.33949182</v>
      </c>
      <c r="G32" s="18" t="n">
        <v>52.3168137</v>
      </c>
      <c r="H32" s="20" t="n">
        <v>2.329441</v>
      </c>
      <c r="I32" s="18" t="n">
        <v>0</v>
      </c>
      <c r="J32" s="20" t="n">
        <v>0</v>
      </c>
      <c r="K32" s="18" t="n">
        <v>0</v>
      </c>
      <c r="L32" s="20" t="n">
        <v>0</v>
      </c>
      <c r="M32" s="18" t="n">
        <v>0</v>
      </c>
      <c r="N32" s="20" t="n">
        <v>0</v>
      </c>
      <c r="O32" s="18" t="n">
        <v>0</v>
      </c>
      <c r="P32" s="20" t="n">
        <v>0</v>
      </c>
      <c r="Q32" s="18" t="n">
        <v>0.22516387</v>
      </c>
      <c r="R32" s="20" t="n">
        <v>0.22664018</v>
      </c>
    </row>
    <row r="33" spans="1:18">
      <c r="A33" s="15" t="s">
        <v>591</v>
      </c>
      <c r="B33" s="17" t="n">
        <v>7325</v>
      </c>
      <c r="C33" s="18">
        <f>(6540.0/B33*100)</f>
        <v/>
      </c>
      <c r="D33" s="19" t="n">
        <v>785</v>
      </c>
      <c r="E33" s="18" t="n">
        <v>54.67572867</v>
      </c>
      <c r="F33" s="20" t="n">
        <v>2.15473904</v>
      </c>
      <c r="G33" s="18" t="n">
        <v>44.7804619</v>
      </c>
      <c r="H33" s="20" t="n">
        <v>2.17011823</v>
      </c>
      <c r="I33" s="18" t="n">
        <v>0</v>
      </c>
      <c r="J33" s="20" t="n">
        <v>0</v>
      </c>
      <c r="K33" s="18" t="n">
        <v>0.38510989</v>
      </c>
      <c r="L33" s="20" t="n">
        <v>0.24224023</v>
      </c>
      <c r="M33" s="18" t="n">
        <v>0</v>
      </c>
      <c r="N33" s="20" t="n">
        <v>0</v>
      </c>
      <c r="O33" s="18" t="n">
        <v>0</v>
      </c>
      <c r="P33" s="20" t="n">
        <v>0</v>
      </c>
      <c r="Q33" s="18" t="n">
        <v>0.15869954</v>
      </c>
      <c r="R33" s="20" t="n">
        <v>0.16330346</v>
      </c>
    </row>
    <row r="34" spans="1:18">
      <c r="A34" s="15" t="s">
        <v>592</v>
      </c>
      <c r="B34" s="17" t="n">
        <v>6350</v>
      </c>
      <c r="C34" s="18">
        <f>(5652.0/B34*100)</f>
        <v/>
      </c>
      <c r="D34" s="19" t="n">
        <v>698</v>
      </c>
      <c r="E34" s="18" t="n">
        <v>56.11054434</v>
      </c>
      <c r="F34" s="20" t="n">
        <v>1.95324122</v>
      </c>
      <c r="G34" s="18" t="n">
        <v>43.45592661</v>
      </c>
      <c r="H34" s="20" t="n">
        <v>1.92365652</v>
      </c>
      <c r="I34" s="18" t="n">
        <v>0</v>
      </c>
      <c r="J34" s="20" t="n">
        <v>0</v>
      </c>
      <c r="K34" s="18" t="n">
        <v>0.31125904</v>
      </c>
      <c r="L34" s="20" t="n">
        <v>0.18223319</v>
      </c>
      <c r="M34" s="18" t="n">
        <v>0</v>
      </c>
      <c r="N34" s="20" t="n">
        <v>0</v>
      </c>
      <c r="O34" s="18" t="n">
        <v>0</v>
      </c>
      <c r="P34" s="20" t="n">
        <v>0</v>
      </c>
      <c r="Q34" s="18" t="n">
        <v>0.12227001</v>
      </c>
      <c r="R34" s="20" t="n">
        <v>0.12030438</v>
      </c>
    </row>
    <row r="35" spans="1:18">
      <c r="A35" s="15" t="s">
        <v>593</v>
      </c>
      <c r="B35" s="17" t="n">
        <v>6406</v>
      </c>
      <c r="C35" s="18">
        <f>(5750.0/B35*100)</f>
        <v/>
      </c>
      <c r="D35" s="19" t="n">
        <v>656</v>
      </c>
      <c r="E35" s="18" t="n">
        <v>59.27806928</v>
      </c>
      <c r="F35" s="20" t="n">
        <v>2.31611809</v>
      </c>
      <c r="G35" s="18" t="n">
        <v>40.24849496</v>
      </c>
      <c r="H35" s="20" t="n">
        <v>2.32681699</v>
      </c>
      <c r="I35" s="18" t="n">
        <v>0</v>
      </c>
      <c r="J35" s="20" t="n">
        <v>0</v>
      </c>
      <c r="K35" s="18" t="n">
        <v>0.06675483</v>
      </c>
      <c r="L35" s="20" t="n">
        <v>0.06724663</v>
      </c>
      <c r="M35" s="18" t="n">
        <v>0</v>
      </c>
      <c r="N35" s="20" t="n">
        <v>0</v>
      </c>
      <c r="O35" s="18" t="n">
        <v>0</v>
      </c>
      <c r="P35" s="20" t="n">
        <v>0</v>
      </c>
      <c r="Q35" s="18" t="n">
        <v>0.40668094</v>
      </c>
      <c r="R35" s="20" t="n">
        <v>0.19017946</v>
      </c>
    </row>
    <row r="36" spans="1:18">
      <c r="A36" s="15" t="s">
        <v>594</v>
      </c>
      <c r="B36" s="17" t="n">
        <v>6736</v>
      </c>
      <c r="C36" s="18">
        <f>(6042.0/B36*100)</f>
        <v/>
      </c>
      <c r="D36" s="19" t="n">
        <v>694</v>
      </c>
      <c r="E36" s="18" t="n">
        <v>56.97336579</v>
      </c>
      <c r="F36" s="20" t="n">
        <v>2.09403702</v>
      </c>
      <c r="G36" s="18" t="n">
        <v>42.09670449</v>
      </c>
      <c r="H36" s="20" t="n">
        <v>2.0717867</v>
      </c>
      <c r="I36" s="18" t="n">
        <v>0</v>
      </c>
      <c r="J36" s="20" t="n">
        <v>0</v>
      </c>
      <c r="K36" s="18" t="n">
        <v>0.34908762</v>
      </c>
      <c r="L36" s="20" t="n">
        <v>0.20922545</v>
      </c>
      <c r="M36" s="18" t="n">
        <v>0</v>
      </c>
      <c r="N36" s="20" t="n">
        <v>0</v>
      </c>
      <c r="O36" s="18" t="n">
        <v>0</v>
      </c>
      <c r="P36" s="20" t="n">
        <v>0</v>
      </c>
      <c r="Q36" s="18" t="n">
        <v>0.58084209</v>
      </c>
      <c r="R36" s="20" t="n">
        <v>0.27743608</v>
      </c>
    </row>
    <row r="37" spans="1:18">
      <c r="A37" s="15" t="s">
        <v>595</v>
      </c>
      <c r="B37" s="17" t="n">
        <v>5458</v>
      </c>
      <c r="C37" s="18">
        <f>(4867.0/B37*100)</f>
        <v/>
      </c>
      <c r="D37" s="19" t="n">
        <v>591</v>
      </c>
      <c r="E37" s="18" t="n">
        <v>61.84116359</v>
      </c>
      <c r="F37" s="20" t="n">
        <v>1.79574831</v>
      </c>
      <c r="G37" s="18" t="n">
        <v>35.89348241</v>
      </c>
      <c r="H37" s="20" t="n">
        <v>1.75673146</v>
      </c>
      <c r="I37" s="18" t="n">
        <v>0</v>
      </c>
      <c r="J37" s="20" t="n">
        <v>0</v>
      </c>
      <c r="K37" s="18" t="n">
        <v>1.46029304</v>
      </c>
      <c r="L37" s="20" t="n">
        <v>0.48926896</v>
      </c>
      <c r="M37" s="18" t="n">
        <v>0</v>
      </c>
      <c r="N37" s="20" t="n">
        <v>0</v>
      </c>
      <c r="O37" s="18" t="n">
        <v>0</v>
      </c>
      <c r="P37" s="20" t="n">
        <v>0</v>
      </c>
      <c r="Q37" s="18" t="n">
        <v>0.80506096</v>
      </c>
      <c r="R37" s="20" t="n">
        <v>0.37085031</v>
      </c>
    </row>
    <row r="38" spans="1:18">
      <c r="A38" s="15" t="s">
        <v>596</v>
      </c>
      <c r="B38" s="17" t="n">
        <v>5860</v>
      </c>
      <c r="C38" s="18">
        <f>(5206.0/B38*100)</f>
        <v/>
      </c>
      <c r="D38" s="19" t="n">
        <v>654</v>
      </c>
      <c r="E38" s="18" t="n">
        <v>56.29439489</v>
      </c>
      <c r="F38" s="20" t="n">
        <v>2.15992415</v>
      </c>
      <c r="G38" s="18" t="n">
        <v>42.83425721</v>
      </c>
      <c r="H38" s="20" t="n">
        <v>2.08816364</v>
      </c>
      <c r="I38" s="18" t="n">
        <v>0</v>
      </c>
      <c r="J38" s="20" t="n">
        <v>0</v>
      </c>
      <c r="K38" s="18" t="n">
        <v>0.52436708</v>
      </c>
      <c r="L38" s="20" t="n">
        <v>0.28450124</v>
      </c>
      <c r="M38" s="18" t="n">
        <v>0</v>
      </c>
      <c r="N38" s="20" t="n">
        <v>0</v>
      </c>
      <c r="O38" s="18" t="n">
        <v>0</v>
      </c>
      <c r="P38" s="20" t="n">
        <v>0</v>
      </c>
      <c r="Q38" s="18" t="n">
        <v>0.34698082</v>
      </c>
      <c r="R38" s="20" t="n">
        <v>0.20735166</v>
      </c>
    </row>
    <row r="39" spans="1:18">
      <c r="A39" s="15" t="s">
        <v>597</v>
      </c>
      <c r="B39" s="17" t="n">
        <v>5895</v>
      </c>
      <c r="C39" s="18">
        <f>(5238.0/B39*100)</f>
        <v/>
      </c>
      <c r="D39" s="19" t="n">
        <v>657</v>
      </c>
      <c r="E39" s="18" t="n">
        <v>67.21005773</v>
      </c>
      <c r="F39" s="20" t="n">
        <v>1.93545664</v>
      </c>
      <c r="G39" s="18" t="n">
        <v>32.6249415</v>
      </c>
      <c r="H39" s="20" t="n">
        <v>1.95129706</v>
      </c>
      <c r="I39" s="18" t="n">
        <v>0</v>
      </c>
      <c r="J39" s="20" t="n">
        <v>0</v>
      </c>
      <c r="K39" s="18" t="n">
        <v>0</v>
      </c>
      <c r="L39" s="20" t="n">
        <v>0</v>
      </c>
      <c r="M39" s="18" t="n">
        <v>0</v>
      </c>
      <c r="N39" s="20" t="n">
        <v>0</v>
      </c>
      <c r="O39" s="18" t="n">
        <v>0</v>
      </c>
      <c r="P39" s="20" t="n">
        <v>0</v>
      </c>
      <c r="Q39" s="18" t="n">
        <v>0.16500077</v>
      </c>
      <c r="R39" s="20" t="n">
        <v>0.11388351</v>
      </c>
    </row>
    <row r="40" spans="1:18">
      <c r="A40" s="15" t="s">
        <v>598</v>
      </c>
      <c r="B40" s="17" t="n">
        <v>14157</v>
      </c>
      <c r="C40" s="18">
        <f>(12603.0/B40*100)</f>
        <v/>
      </c>
      <c r="D40" s="19" t="n">
        <v>1554</v>
      </c>
      <c r="E40" s="18" t="n">
        <v>61.14189455</v>
      </c>
      <c r="F40" s="20" t="n">
        <v>1.87062842</v>
      </c>
      <c r="G40" s="18" t="n">
        <v>37.98926035</v>
      </c>
      <c r="H40" s="20" t="n">
        <v>1.86004673</v>
      </c>
      <c r="I40" s="18" t="n">
        <v>0</v>
      </c>
      <c r="J40" s="20" t="n">
        <v>0</v>
      </c>
      <c r="K40" s="18" t="n">
        <v>0.48887555</v>
      </c>
      <c r="L40" s="20" t="n">
        <v>0.24507575</v>
      </c>
      <c r="M40" s="18" t="n">
        <v>0</v>
      </c>
      <c r="N40" s="20" t="n">
        <v>0</v>
      </c>
      <c r="O40" s="18" t="n">
        <v>0</v>
      </c>
      <c r="P40" s="20" t="n">
        <v>0</v>
      </c>
      <c r="Q40" s="18" t="n">
        <v>0.37996954</v>
      </c>
      <c r="R40" s="20" t="n">
        <v>0.17561213</v>
      </c>
    </row>
    <row r="41" spans="1:18">
      <c r="A41" s="15" t="s">
        <v>599</v>
      </c>
      <c r="B41" s="17" t="n">
        <v>5712</v>
      </c>
      <c r="C41" s="18">
        <f>(5094.0/B41*100)</f>
        <v/>
      </c>
      <c r="D41" s="19" t="n">
        <v>618</v>
      </c>
      <c r="E41" s="18" t="n">
        <v>63.4834493</v>
      </c>
      <c r="F41" s="20" t="n">
        <v>2.23107158</v>
      </c>
      <c r="G41" s="18" t="n">
        <v>36.21357442</v>
      </c>
      <c r="H41" s="20" t="n">
        <v>2.22736722</v>
      </c>
      <c r="I41" s="18" t="n">
        <v>0</v>
      </c>
      <c r="J41" s="20" t="n">
        <v>0</v>
      </c>
      <c r="K41" s="18" t="n">
        <v>0.13183743</v>
      </c>
      <c r="L41" s="20" t="n">
        <v>0.14134083</v>
      </c>
      <c r="M41" s="18" t="n">
        <v>0</v>
      </c>
      <c r="N41" s="20" t="n">
        <v>0</v>
      </c>
      <c r="O41" s="18" t="n">
        <v>0</v>
      </c>
      <c r="P41" s="20" t="n">
        <v>0</v>
      </c>
      <c r="Q41" s="18" t="n">
        <v>0.17113885</v>
      </c>
      <c r="R41" s="20" t="n">
        <v>0.19279686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(21251.0/B46*100)</f>
        <v/>
      </c>
      <c r="D46" s="19" t="n">
        <v>1890</v>
      </c>
      <c r="E46" s="18" t="n">
        <v>65.90261886</v>
      </c>
      <c r="F46" s="20" t="n">
        <v>1.30573853</v>
      </c>
      <c r="G46" s="18" t="n">
        <v>32.07049047</v>
      </c>
      <c r="H46" s="20" t="n">
        <v>1.22193582</v>
      </c>
      <c r="I46" s="18" t="n">
        <v>0</v>
      </c>
      <c r="J46" s="20" t="n">
        <v>0</v>
      </c>
      <c r="K46" s="18" t="n">
        <v>1.24835658</v>
      </c>
      <c r="L46" s="20" t="n">
        <v>0.33596829</v>
      </c>
      <c r="M46" s="18" t="n">
        <v>0</v>
      </c>
      <c r="N46" s="20" t="n">
        <v>0</v>
      </c>
      <c r="O46" s="18" t="n">
        <v>0</v>
      </c>
      <c r="P46" s="20" t="n">
        <v>0</v>
      </c>
      <c r="Q46" s="18" t="n">
        <v>0.77853408</v>
      </c>
      <c r="R46" s="20" t="n">
        <v>0.28197249</v>
      </c>
    </row>
    <row r="47" spans="1:18">
      <c r="A47" s="15" t="s">
        <v>606</v>
      </c>
      <c r="B47" s="17" t="n">
        <v>5928</v>
      </c>
      <c r="C47" s="18">
        <f>(5273.0/B47*100)</f>
        <v/>
      </c>
      <c r="D47" s="19" t="n">
        <v>655</v>
      </c>
      <c r="E47" s="18" t="n">
        <v>55.85897475</v>
      </c>
      <c r="F47" s="20" t="n">
        <v>1.90379713</v>
      </c>
      <c r="G47" s="18" t="n">
        <v>41.88460918</v>
      </c>
      <c r="H47" s="20" t="n">
        <v>1.88636852</v>
      </c>
      <c r="I47" s="18" t="n">
        <v>0</v>
      </c>
      <c r="J47" s="20" t="n">
        <v>0</v>
      </c>
      <c r="K47" s="18" t="n">
        <v>0.58979287</v>
      </c>
      <c r="L47" s="20" t="n">
        <v>0.33332057</v>
      </c>
      <c r="M47" s="18" t="n">
        <v>0</v>
      </c>
      <c r="N47" s="20" t="n">
        <v>0</v>
      </c>
      <c r="O47" s="18" t="n">
        <v>0</v>
      </c>
      <c r="P47" s="20" t="n">
        <v>0</v>
      </c>
      <c r="Q47" s="18" t="n">
        <v>1.66662321</v>
      </c>
      <c r="R47" s="20" t="n">
        <v>0.53627897</v>
      </c>
    </row>
    <row r="48" spans="1:18">
      <c r="A48" s="15" t="s">
        <v>607</v>
      </c>
      <c r="B48" s="17" t="n">
        <v>9841</v>
      </c>
      <c r="C48" s="18">
        <f>(8729.0/B48*100)</f>
        <v/>
      </c>
      <c r="D48" s="19" t="n">
        <v>1112</v>
      </c>
      <c r="E48" s="18" t="n">
        <v>54.61218365</v>
      </c>
      <c r="F48" s="20" t="n">
        <v>1.92049379</v>
      </c>
      <c r="G48" s="18" t="n">
        <v>44.50534728</v>
      </c>
      <c r="H48" s="20" t="n">
        <v>1.97251174</v>
      </c>
      <c r="I48" s="18" t="n">
        <v>0</v>
      </c>
      <c r="J48" s="20" t="n">
        <v>0</v>
      </c>
      <c r="K48" s="18" t="n">
        <v>0.43358461</v>
      </c>
      <c r="L48" s="20" t="n">
        <v>0.26064744</v>
      </c>
      <c r="M48" s="18" t="n">
        <v>0</v>
      </c>
      <c r="N48" s="20" t="n">
        <v>0</v>
      </c>
      <c r="O48" s="18" t="n">
        <v>0</v>
      </c>
      <c r="P48" s="20" t="n">
        <v>0</v>
      </c>
      <c r="Q48" s="18" t="n">
        <v>0.44888447</v>
      </c>
      <c r="R48" s="20" t="n">
        <v>0.15828403</v>
      </c>
    </row>
    <row r="49" spans="1:18">
      <c r="A49" s="15" t="s">
        <v>608</v>
      </c>
      <c r="B49" s="17" t="n">
        <v>11795</v>
      </c>
      <c r="C49" s="18">
        <f>(10499.0/B49*100)</f>
        <v/>
      </c>
      <c r="D49" s="19" t="n">
        <v>1296</v>
      </c>
      <c r="E49" s="18" t="n">
        <v>64.72693271999999</v>
      </c>
      <c r="F49" s="20" t="n">
        <v>1.62444882</v>
      </c>
      <c r="G49" s="18" t="n">
        <v>32.82237301</v>
      </c>
      <c r="H49" s="20" t="n">
        <v>1.5954486</v>
      </c>
      <c r="I49" s="18" t="n">
        <v>0</v>
      </c>
      <c r="J49" s="20" t="n">
        <v>0</v>
      </c>
      <c r="K49" s="18" t="n">
        <v>2.10517387</v>
      </c>
      <c r="L49" s="20" t="n">
        <v>0.65636756</v>
      </c>
      <c r="M49" s="18" t="n">
        <v>0</v>
      </c>
      <c r="N49" s="20" t="n">
        <v>0</v>
      </c>
      <c r="O49" s="18" t="n">
        <v>0</v>
      </c>
      <c r="P49" s="20" t="n">
        <v>0</v>
      </c>
      <c r="Q49" s="18" t="n">
        <v>0.3455204</v>
      </c>
      <c r="R49" s="20" t="n">
        <v>0.19269718</v>
      </c>
    </row>
    <row r="50" spans="1:18">
      <c r="A50" s="15" t="s">
        <v>609</v>
      </c>
      <c r="B50" s="17" t="n">
        <v>6866</v>
      </c>
      <c r="C50" s="18">
        <f>(6234.0/B50*100)</f>
        <v/>
      </c>
      <c r="D50" s="19" t="n">
        <v>632</v>
      </c>
      <c r="E50" s="18" t="n">
        <v>69.5415505</v>
      </c>
      <c r="F50" s="20" t="n">
        <v>2.20459672</v>
      </c>
      <c r="G50" s="18" t="n">
        <v>29.66883324</v>
      </c>
      <c r="H50" s="20" t="n">
        <v>2.16946828</v>
      </c>
      <c r="I50" s="18" t="n">
        <v>0</v>
      </c>
      <c r="J50" s="20" t="n">
        <v>0</v>
      </c>
      <c r="K50" s="18" t="n">
        <v>0.21931259</v>
      </c>
      <c r="L50" s="20" t="n">
        <v>0.21281657</v>
      </c>
      <c r="M50" s="18" t="n">
        <v>0</v>
      </c>
      <c r="N50" s="20" t="n">
        <v>0</v>
      </c>
      <c r="O50" s="18" t="n">
        <v>0</v>
      </c>
      <c r="P50" s="20" t="n">
        <v>0</v>
      </c>
      <c r="Q50" s="18" t="n">
        <v>0.57030367</v>
      </c>
      <c r="R50" s="20" t="n">
        <v>0.36017086</v>
      </c>
    </row>
    <row r="51" spans="1:18">
      <c r="A51" s="15" t="s">
        <v>610</v>
      </c>
      <c r="B51" s="17" t="n">
        <v>5809</v>
      </c>
      <c r="C51" s="18">
        <f>(5131.0/B51*100)</f>
        <v/>
      </c>
      <c r="D51" s="19" t="n">
        <v>678</v>
      </c>
      <c r="E51" s="18" t="n">
        <v>62.83289336</v>
      </c>
      <c r="F51" s="20" t="n">
        <v>2.29143475</v>
      </c>
      <c r="G51" s="18" t="n">
        <v>36.41930386</v>
      </c>
      <c r="H51" s="20" t="n">
        <v>2.23054814</v>
      </c>
      <c r="I51" s="18" t="n">
        <v>0</v>
      </c>
      <c r="J51" s="20" t="n">
        <v>0</v>
      </c>
      <c r="K51" s="18" t="n">
        <v>0.2903989</v>
      </c>
      <c r="L51" s="20" t="n">
        <v>0.20912993</v>
      </c>
      <c r="M51" s="18" t="n">
        <v>0</v>
      </c>
      <c r="N51" s="20" t="n">
        <v>0</v>
      </c>
      <c r="O51" s="18" t="n">
        <v>0</v>
      </c>
      <c r="P51" s="20" t="n">
        <v>0</v>
      </c>
      <c r="Q51" s="18" t="n">
        <v>0.45740389</v>
      </c>
      <c r="R51" s="20" t="n">
        <v>0.2717885</v>
      </c>
    </row>
    <row r="52" spans="1:18">
      <c r="A52" s="15" t="s">
        <v>611</v>
      </c>
      <c r="B52" s="17" t="n">
        <v>5571</v>
      </c>
      <c r="C52" s="18">
        <f>(4968.0/B52*100)</f>
        <v/>
      </c>
      <c r="D52" s="19" t="n">
        <v>603</v>
      </c>
      <c r="E52" s="18" t="n">
        <v>68.80707666000001</v>
      </c>
      <c r="F52" s="20" t="n">
        <v>2.1554891</v>
      </c>
      <c r="G52" s="18" t="n">
        <v>29.87214674</v>
      </c>
      <c r="H52" s="20" t="n">
        <v>2.07636962</v>
      </c>
      <c r="I52" s="18" t="n">
        <v>0</v>
      </c>
      <c r="J52" s="20" t="n">
        <v>0</v>
      </c>
      <c r="K52" s="18" t="n">
        <v>0.7998968400000001</v>
      </c>
      <c r="L52" s="20" t="n">
        <v>0.41974088</v>
      </c>
      <c r="M52" s="18" t="n">
        <v>0</v>
      </c>
      <c r="N52" s="20" t="n">
        <v>0</v>
      </c>
      <c r="O52" s="18" t="n">
        <v>0</v>
      </c>
      <c r="P52" s="20" t="n">
        <v>0</v>
      </c>
      <c r="Q52" s="18" t="n">
        <v>0.52087975</v>
      </c>
      <c r="R52" s="20" t="n">
        <v>0.37873271</v>
      </c>
    </row>
    <row r="53" spans="1:18">
      <c r="A53" s="15" t="s">
        <v>612</v>
      </c>
      <c r="B53" s="17" t="n">
        <v>4740</v>
      </c>
      <c r="C53" s="18">
        <f>(4250.0/B53*100)</f>
        <v/>
      </c>
      <c r="D53" s="19" t="n">
        <v>490</v>
      </c>
      <c r="E53" s="18" t="n">
        <v>62.37171131</v>
      </c>
      <c r="F53" s="20" t="n">
        <v>2.59456539</v>
      </c>
      <c r="G53" s="18" t="n">
        <v>18.51218743</v>
      </c>
      <c r="H53" s="20" t="n">
        <v>2.09124327</v>
      </c>
      <c r="I53" s="18" t="n">
        <v>0</v>
      </c>
      <c r="J53" s="20" t="n">
        <v>0</v>
      </c>
      <c r="K53" s="18" t="n">
        <v>16.99930244</v>
      </c>
      <c r="L53" s="20" t="n">
        <v>1.86628578</v>
      </c>
      <c r="M53" s="18" t="n">
        <v>0</v>
      </c>
      <c r="N53" s="20" t="n">
        <v>0</v>
      </c>
      <c r="O53" s="18" t="n">
        <v>0</v>
      </c>
      <c r="P53" s="20" t="n">
        <v>0</v>
      </c>
      <c r="Q53" s="18" t="n">
        <v>2.11679882</v>
      </c>
      <c r="R53" s="20" t="n">
        <v>0.73095755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(4752.0/B55*100)</f>
        <v/>
      </c>
      <c r="D55" s="19" t="n">
        <v>607</v>
      </c>
      <c r="E55" s="18" t="n">
        <v>54.05891213</v>
      </c>
      <c r="F55" s="20" t="n">
        <v>1.96642196</v>
      </c>
      <c r="G55" s="18" t="n">
        <v>45.58440582</v>
      </c>
      <c r="H55" s="20" t="n">
        <v>1.99916167</v>
      </c>
      <c r="I55" s="18" t="n">
        <v>0</v>
      </c>
      <c r="J55" s="20" t="n">
        <v>0</v>
      </c>
      <c r="K55" s="18" t="n">
        <v>0.35668205</v>
      </c>
      <c r="L55" s="20" t="n">
        <v>0.23191582</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(5773.0/B61*100)</f>
        <v/>
      </c>
      <c r="D61" s="19" t="n">
        <v>752</v>
      </c>
      <c r="E61" s="18" t="n">
        <v>63.75372147</v>
      </c>
      <c r="F61" s="20" t="n">
        <v>2.05826265</v>
      </c>
      <c r="G61" s="18" t="n">
        <v>35.93625056</v>
      </c>
      <c r="H61" s="20" t="n">
        <v>2.05941361</v>
      </c>
      <c r="I61" s="18" t="n">
        <v>0</v>
      </c>
      <c r="J61" s="20" t="n">
        <v>0</v>
      </c>
      <c r="K61" s="18" t="n">
        <v>0</v>
      </c>
      <c r="L61" s="20" t="n">
        <v>0</v>
      </c>
      <c r="M61" s="18" t="n">
        <v>0</v>
      </c>
      <c r="N61" s="20" t="n">
        <v>0</v>
      </c>
      <c r="O61" s="18" t="n">
        <v>0</v>
      </c>
      <c r="P61" s="20" t="n">
        <v>0</v>
      </c>
      <c r="Q61" s="18" t="n">
        <v>0.31002796</v>
      </c>
      <c r="R61" s="20" t="n">
        <v>0.26788164</v>
      </c>
    </row>
    <row r="62" spans="1:18">
      <c r="A62" s="15" t="s">
        <v>622</v>
      </c>
      <c r="B62" s="17" t="n">
        <v>4476</v>
      </c>
      <c r="C62" s="18">
        <f>(3988.0/B62*100)</f>
        <v/>
      </c>
      <c r="D62" s="19" t="n">
        <v>488</v>
      </c>
      <c r="E62" s="18" t="n">
        <v>48.76488937</v>
      </c>
      <c r="F62" s="20" t="n">
        <v>2.37319544</v>
      </c>
      <c r="G62" s="18" t="n">
        <v>51.23511063</v>
      </c>
      <c r="H62" s="20" t="n">
        <v>2.37319544</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(5056.0/B67*100)</f>
        <v/>
      </c>
      <c r="D67" s="19" t="n">
        <v>609</v>
      </c>
      <c r="E67" s="18" t="n">
        <v>63.2625378</v>
      </c>
      <c r="F67" s="20" t="n">
        <v>1.79916217</v>
      </c>
      <c r="G67" s="18" t="n">
        <v>33.83728747</v>
      </c>
      <c r="H67" s="20" t="n">
        <v>1.76419544</v>
      </c>
      <c r="I67" s="18" t="n">
        <v>0</v>
      </c>
      <c r="J67" s="20" t="n">
        <v>0</v>
      </c>
      <c r="K67" s="18" t="n">
        <v>0.65520493</v>
      </c>
      <c r="L67" s="20" t="n">
        <v>0.46260302</v>
      </c>
      <c r="M67" s="18" t="n">
        <v>0</v>
      </c>
      <c r="N67" s="20" t="n">
        <v>0</v>
      </c>
      <c r="O67" s="18" t="n">
        <v>0</v>
      </c>
      <c r="P67" s="20" t="n">
        <v>0</v>
      </c>
      <c r="Q67" s="18" t="n">
        <v>2.2449698</v>
      </c>
      <c r="R67" s="20" t="n">
        <v>0.60262153</v>
      </c>
    </row>
    <row r="68" spans="1:18">
      <c r="A68" s="15" t="s">
        <v>628</v>
      </c>
      <c r="B68" s="17" t="n">
        <v>6971</v>
      </c>
      <c r="C68" s="18">
        <f>(6316.0/B68*100)</f>
        <v/>
      </c>
      <c r="D68" s="19" t="n">
        <v>655</v>
      </c>
      <c r="E68" s="18" t="n">
        <v>66.14737774</v>
      </c>
      <c r="F68" s="20" t="n">
        <v>2.13761888</v>
      </c>
      <c r="G68" s="18" t="n">
        <v>33.22098466</v>
      </c>
      <c r="H68" s="20" t="n">
        <v>2.20798645</v>
      </c>
      <c r="I68" s="18" t="n">
        <v>0</v>
      </c>
      <c r="J68" s="20" t="n">
        <v>0</v>
      </c>
      <c r="K68" s="18" t="n">
        <v>0.24539501</v>
      </c>
      <c r="L68" s="20" t="n">
        <v>0.25040422</v>
      </c>
      <c r="M68" s="18" t="n">
        <v>0</v>
      </c>
      <c r="N68" s="20" t="n">
        <v>0</v>
      </c>
      <c r="O68" s="18" t="n">
        <v>0</v>
      </c>
      <c r="P68" s="20" t="n">
        <v>0</v>
      </c>
      <c r="Q68" s="18" t="n">
        <v>0.38624259</v>
      </c>
      <c r="R68" s="20" t="n">
        <v>0.27955617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(10792.0/B70*100)</f>
        <v/>
      </c>
      <c r="D70" s="19" t="n">
        <v>1291</v>
      </c>
      <c r="E70" s="18" t="n">
        <v>63.88494565</v>
      </c>
      <c r="F70" s="20" t="n">
        <v>1.49862881</v>
      </c>
      <c r="G70" s="18" t="n">
        <v>32.41874845</v>
      </c>
      <c r="H70" s="20" t="n">
        <v>1.4158448</v>
      </c>
      <c r="I70" s="18" t="n">
        <v>0</v>
      </c>
      <c r="J70" s="20" t="n">
        <v>0</v>
      </c>
      <c r="K70" s="18" t="n">
        <v>2.96389326</v>
      </c>
      <c r="L70" s="20" t="n">
        <v>0.48184748</v>
      </c>
      <c r="M70" s="18" t="n">
        <v>0</v>
      </c>
      <c r="N70" s="20" t="n">
        <v>0</v>
      </c>
      <c r="O70" s="18" t="n">
        <v>0</v>
      </c>
      <c r="P70" s="20" t="n">
        <v>0</v>
      </c>
      <c r="Q70" s="18" t="n">
        <v>0.73241265</v>
      </c>
      <c r="R70" s="20" t="n">
        <v>0.2340368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(5362.0/B72*100)</f>
        <v/>
      </c>
      <c r="D72" s="19" t="n">
        <v>674</v>
      </c>
      <c r="E72" s="18" t="n">
        <v>60.72694438</v>
      </c>
      <c r="F72" s="20" t="n">
        <v>1.6663964</v>
      </c>
      <c r="G72" s="18" t="n">
        <v>38.300419</v>
      </c>
      <c r="H72" s="20" t="n">
        <v>1.63704837</v>
      </c>
      <c r="I72" s="18" t="n">
        <v>0</v>
      </c>
      <c r="J72" s="20" t="n">
        <v>0</v>
      </c>
      <c r="K72" s="18" t="n">
        <v>0.39501885</v>
      </c>
      <c r="L72" s="20" t="n">
        <v>0.27462091</v>
      </c>
      <c r="M72" s="18" t="n">
        <v>0</v>
      </c>
      <c r="N72" s="20" t="n">
        <v>0</v>
      </c>
      <c r="O72" s="18" t="n">
        <v>0</v>
      </c>
      <c r="P72" s="20" t="n">
        <v>0</v>
      </c>
      <c r="Q72" s="18" t="n">
        <v>0.57761778</v>
      </c>
      <c r="R72" s="20" t="n">
        <v>0.30207064</v>
      </c>
    </row>
    <row r="73" spans="1:18">
      <c r="A73" s="15" t="s">
        <v>633</v>
      </c>
      <c r="B73" s="17" t="n">
        <v>6115</v>
      </c>
      <c r="C73" s="18">
        <f>(5460.0/B73*100)</f>
        <v/>
      </c>
      <c r="D73" s="19" t="n">
        <v>655</v>
      </c>
      <c r="E73" s="18" t="n">
        <v>44.17008885</v>
      </c>
      <c r="F73" s="20" t="n">
        <v>1.95275788</v>
      </c>
      <c r="G73" s="18" t="n">
        <v>55.21497475</v>
      </c>
      <c r="H73" s="20" t="n">
        <v>1.9305071</v>
      </c>
      <c r="I73" s="18" t="n">
        <v>0</v>
      </c>
      <c r="J73" s="20" t="n">
        <v>0</v>
      </c>
      <c r="K73" s="18" t="n">
        <v>0.6149364</v>
      </c>
      <c r="L73" s="20" t="n">
        <v>0.30862586</v>
      </c>
      <c r="M73" s="18" t="n">
        <v>0</v>
      </c>
      <c r="N73" s="20" t="n">
        <v>0</v>
      </c>
      <c r="O73" s="18" t="n">
        <v>0</v>
      </c>
      <c r="P73" s="20" t="n">
        <v>0</v>
      </c>
      <c r="Q73" s="18" t="n">
        <v>0</v>
      </c>
      <c r="R73" s="20" t="n">
        <v>0</v>
      </c>
    </row>
    <row r="74" spans="1:18">
      <c r="A74" s="15" t="s">
        <v>634</v>
      </c>
      <c r="B74" s="17" t="n">
        <v>7708</v>
      </c>
      <c r="C74" s="18">
        <f>(6877.0/B74*100)</f>
        <v/>
      </c>
      <c r="D74" s="19" t="n">
        <v>831</v>
      </c>
      <c r="E74" s="18" t="n">
        <v>61.66052544</v>
      </c>
      <c r="F74" s="20" t="n">
        <v>1.65981237</v>
      </c>
      <c r="G74" s="18" t="n">
        <v>38.15686317</v>
      </c>
      <c r="H74" s="20" t="n">
        <v>1.6604409</v>
      </c>
      <c r="I74" s="18" t="n">
        <v>0</v>
      </c>
      <c r="J74" s="20" t="n">
        <v>0</v>
      </c>
      <c r="K74" s="18" t="n">
        <v>0</v>
      </c>
      <c r="L74" s="20" t="n">
        <v>0</v>
      </c>
      <c r="M74" s="18" t="n">
        <v>0</v>
      </c>
      <c r="N74" s="20" t="n">
        <v>0</v>
      </c>
      <c r="O74" s="18" t="n">
        <v>0</v>
      </c>
      <c r="P74" s="20" t="n">
        <v>0</v>
      </c>
      <c r="Q74" s="18" t="n">
        <v>0.1826114</v>
      </c>
      <c r="R74" s="20" t="n">
        <v>0.18335547</v>
      </c>
    </row>
    <row r="75" spans="1:18">
      <c r="A75" s="15" t="s">
        <v>635</v>
      </c>
      <c r="B75" s="17" t="n">
        <v>8249</v>
      </c>
      <c r="C75" s="18">
        <f>(7364.0/B75*100)</f>
        <v/>
      </c>
      <c r="D75" s="19" t="n">
        <v>885</v>
      </c>
      <c r="E75" s="18" t="n">
        <v>69.84447504000001</v>
      </c>
      <c r="F75" s="20" t="n">
        <v>1.45541842</v>
      </c>
      <c r="G75" s="18" t="n">
        <v>30.15082892</v>
      </c>
      <c r="H75" s="20" t="n">
        <v>1.45592186</v>
      </c>
      <c r="I75" s="18" t="n">
        <v>0</v>
      </c>
      <c r="J75" s="20" t="n">
        <v>0</v>
      </c>
      <c r="K75" s="18" t="n">
        <v>0.00469605</v>
      </c>
      <c r="L75" s="20" t="n">
        <v>0.00472575</v>
      </c>
      <c r="M75" s="18" t="n">
        <v>0</v>
      </c>
      <c r="N75" s="20" t="n">
        <v>0</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(4840.0/B77*100)</f>
        <v/>
      </c>
      <c r="D77" s="19" t="n">
        <v>535</v>
      </c>
      <c r="E77" s="18" t="n">
        <v>70.68722571000001</v>
      </c>
      <c r="F77" s="20" t="n">
        <v>2.0757536</v>
      </c>
      <c r="G77" s="18" t="n">
        <v>21.38021228</v>
      </c>
      <c r="H77" s="20" t="n">
        <v>1.97374961</v>
      </c>
      <c r="I77" s="18" t="n">
        <v>0</v>
      </c>
      <c r="J77" s="20" t="n">
        <v>0</v>
      </c>
      <c r="K77" s="18" t="n">
        <v>5.04733472</v>
      </c>
      <c r="L77" s="20" t="n">
        <v>1.0637862</v>
      </c>
      <c r="M77" s="18" t="n">
        <v>0</v>
      </c>
      <c r="N77" s="20" t="n">
        <v>0</v>
      </c>
      <c r="O77" s="18" t="n">
        <v>0</v>
      </c>
      <c r="P77" s="20" t="n">
        <v>0</v>
      </c>
      <c r="Q77" s="18" t="n">
        <v>2.88522729</v>
      </c>
      <c r="R77" s="20" t="n">
        <v>0.78970715</v>
      </c>
    </row>
    <row r="78" spans="1:18">
      <c r="A78" s="15" t="s">
        <v>638</v>
      </c>
      <c r="B78" s="17" t="n">
        <v>14167</v>
      </c>
      <c r="C78" s="18">
        <f>(12633.0/B78*100)</f>
        <v/>
      </c>
      <c r="D78" s="19" t="n">
        <v>1534</v>
      </c>
      <c r="E78" s="18" t="n">
        <v>65.5869715</v>
      </c>
      <c r="F78" s="20" t="n">
        <v>1.50814707</v>
      </c>
      <c r="G78" s="18" t="n">
        <v>33.07689483</v>
      </c>
      <c r="H78" s="20" t="n">
        <v>1.44756082</v>
      </c>
      <c r="I78" s="18" t="n">
        <v>0</v>
      </c>
      <c r="J78" s="20" t="n">
        <v>0</v>
      </c>
      <c r="K78" s="18" t="n">
        <v>1.05421734</v>
      </c>
      <c r="L78" s="20" t="n">
        <v>0.38279869</v>
      </c>
      <c r="M78" s="18" t="n">
        <v>0</v>
      </c>
      <c r="N78" s="20" t="n">
        <v>0</v>
      </c>
      <c r="O78" s="18" t="n">
        <v>0</v>
      </c>
      <c r="P78" s="20" t="n">
        <v>0</v>
      </c>
      <c r="Q78" s="18" t="n">
        <v>0.28191632</v>
      </c>
      <c r="R78" s="20" t="n">
        <v>0.14289154</v>
      </c>
    </row>
    <row r="79" spans="1:18">
      <c r="A79" s="15" t="s">
        <v>639</v>
      </c>
      <c r="B79" s="17" t="n">
        <v>6062</v>
      </c>
      <c r="C79" s="18">
        <f>(5444.0/B79*100)</f>
        <v/>
      </c>
      <c r="D79" s="19" t="n">
        <v>618</v>
      </c>
      <c r="E79" s="18" t="n">
        <v>65.98249755000001</v>
      </c>
      <c r="F79" s="20" t="n">
        <v>2.01860514</v>
      </c>
      <c r="G79" s="18" t="n">
        <v>30.23225992</v>
      </c>
      <c r="H79" s="20" t="n">
        <v>1.97606356</v>
      </c>
      <c r="I79" s="18" t="n">
        <v>0</v>
      </c>
      <c r="J79" s="20" t="n">
        <v>0</v>
      </c>
      <c r="K79" s="18" t="n">
        <v>1.94853699</v>
      </c>
      <c r="L79" s="20" t="n">
        <v>0.6089817</v>
      </c>
      <c r="M79" s="18" t="n">
        <v>0</v>
      </c>
      <c r="N79" s="20" t="n">
        <v>0</v>
      </c>
      <c r="O79" s="18" t="n">
        <v>0</v>
      </c>
      <c r="P79" s="20" t="n">
        <v>0</v>
      </c>
      <c r="Q79" s="18" t="n">
        <v>1.83670554</v>
      </c>
      <c r="R79" s="20" t="n">
        <v>0.60778719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(28868.0/B82*100)</f>
        <v/>
      </c>
      <c r="D82" s="19" t="n">
        <v>3462</v>
      </c>
      <c r="E82" s="18" t="n">
        <v>56.60389872</v>
      </c>
      <c r="F82" s="20" t="n">
        <v>1.25254123</v>
      </c>
      <c r="G82" s="18" t="n">
        <v>42.35142157</v>
      </c>
      <c r="H82" s="20" t="n">
        <v>1.21649445</v>
      </c>
      <c r="I82" s="18" t="n">
        <v>0</v>
      </c>
      <c r="J82" s="20" t="n">
        <v>0</v>
      </c>
      <c r="K82" s="18" t="n">
        <v>0.60542342</v>
      </c>
      <c r="L82" s="20" t="n">
        <v>0.19016118</v>
      </c>
      <c r="M82" s="18" t="n">
        <v>0</v>
      </c>
      <c r="N82" s="20" t="n">
        <v>0</v>
      </c>
      <c r="O82" s="18" t="n">
        <v>0</v>
      </c>
      <c r="P82" s="20" t="n">
        <v>0</v>
      </c>
      <c r="Q82" s="18" t="n">
        <v>0.43925629</v>
      </c>
      <c r="R82" s="20" t="n">
        <v>0.20566949</v>
      </c>
    </row>
    <row r="83" spans="1:18">
      <c r="A83" s="15" t="s">
        <v>643</v>
      </c>
      <c r="B83" s="17" t="n">
        <v>1652</v>
      </c>
      <c r="C83" s="18">
        <f>(1472.0/B83*100)</f>
        <v/>
      </c>
      <c r="D83" s="19" t="n">
        <v>180</v>
      </c>
      <c r="E83" s="18" t="n">
        <v>59.30816134</v>
      </c>
      <c r="F83" s="20" t="n">
        <v>3.81697129</v>
      </c>
      <c r="G83" s="18" t="n">
        <v>40.03914521</v>
      </c>
      <c r="H83" s="20" t="n">
        <v>3.95550746</v>
      </c>
      <c r="I83" s="18" t="n">
        <v>0</v>
      </c>
      <c r="J83" s="20" t="n">
        <v>0</v>
      </c>
      <c r="K83" s="18" t="n">
        <v>0.65269345</v>
      </c>
      <c r="L83" s="20" t="n">
        <v>0.60782277</v>
      </c>
      <c r="M83" s="18" t="n">
        <v>0</v>
      </c>
      <c r="N83" s="20" t="n">
        <v>0</v>
      </c>
      <c r="O83" s="18" t="n">
        <v>0</v>
      </c>
      <c r="P83" s="20" t="n">
        <v>0</v>
      </c>
      <c r="Q83" s="18" t="n">
        <v>0</v>
      </c>
      <c r="R83" s="20" t="n">
        <v>0</v>
      </c>
    </row>
    <row r="84" spans="1:18">
      <c r="A84" s="23" t="s">
        <v>644</v>
      </c>
      <c r="B84" s="24" t="n">
        <v>1887</v>
      </c>
      <c r="C84" s="25">
        <f>(1677.0/B84*100)</f>
        <v/>
      </c>
      <c r="D84" s="19" t="n">
        <v>210</v>
      </c>
      <c r="E84" s="18" t="n">
        <v>57.23255034</v>
      </c>
      <c r="F84" s="20" t="n">
        <v>4.1599332</v>
      </c>
      <c r="G84" s="18" t="n">
        <v>42.76744966</v>
      </c>
      <c r="H84" s="20" t="n">
        <v>4.1599332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(12998.0/B7*100)</f>
        <v/>
      </c>
      <c r="D7" s="19" t="n">
        <v>1532</v>
      </c>
      <c r="E7" s="18" t="n">
        <v>54.60323642</v>
      </c>
      <c r="F7" s="20" t="n">
        <v>1.34088355</v>
      </c>
      <c r="G7" s="18" t="n">
        <v>42.70565328</v>
      </c>
      <c r="H7" s="20" t="n">
        <v>1.39304128</v>
      </c>
      <c r="I7" s="18" t="n">
        <v>0</v>
      </c>
      <c r="J7" s="20" t="n">
        <v>0</v>
      </c>
      <c r="K7" s="18" t="n">
        <v>0.90618164</v>
      </c>
      <c r="L7" s="20" t="n">
        <v>0.27003772</v>
      </c>
      <c r="M7" s="18" t="n">
        <v>0</v>
      </c>
      <c r="N7" s="20" t="n">
        <v>0</v>
      </c>
      <c r="O7" s="18" t="n">
        <v>0</v>
      </c>
      <c r="P7" s="20" t="n">
        <v>0</v>
      </c>
      <c r="Q7" s="18" t="n">
        <v>1.78492866</v>
      </c>
      <c r="R7" s="20" t="n">
        <v>0.36512632</v>
      </c>
    </row>
    <row r="8" spans="1:18">
      <c r="A8" s="15" t="s">
        <v>566</v>
      </c>
      <c r="B8" s="17" t="n">
        <v>7007</v>
      </c>
      <c r="C8" s="18">
        <f>(6236.0/B8*100)</f>
        <v/>
      </c>
      <c r="D8" s="19" t="n">
        <v>771</v>
      </c>
      <c r="E8" s="18" t="n">
        <v>64.42672478</v>
      </c>
      <c r="F8" s="20" t="n">
        <v>1.63469911</v>
      </c>
      <c r="G8" s="18" t="n">
        <v>34.02537472</v>
      </c>
      <c r="H8" s="20" t="n">
        <v>1.58799071</v>
      </c>
      <c r="I8" s="18" t="n">
        <v>0</v>
      </c>
      <c r="J8" s="20" t="n">
        <v>0</v>
      </c>
      <c r="K8" s="18" t="n">
        <v>0.32617107</v>
      </c>
      <c r="L8" s="20" t="n">
        <v>0.24494603</v>
      </c>
      <c r="M8" s="18" t="n">
        <v>0</v>
      </c>
      <c r="N8" s="20" t="n">
        <v>0</v>
      </c>
      <c r="O8" s="18" t="n">
        <v>0</v>
      </c>
      <c r="P8" s="20" t="n">
        <v>0</v>
      </c>
      <c r="Q8" s="18" t="n">
        <v>1.22172943</v>
      </c>
      <c r="R8" s="20" t="n">
        <v>0.45906709</v>
      </c>
    </row>
    <row r="9" spans="1:18">
      <c r="A9" s="15" t="s">
        <v>567</v>
      </c>
      <c r="B9" s="17" t="n">
        <v>9651</v>
      </c>
      <c r="C9" s="18">
        <f>(8645.0/B9*100)</f>
        <v/>
      </c>
      <c r="D9" s="19" t="n">
        <v>1006</v>
      </c>
      <c r="E9" s="18" t="n">
        <v>58.84709189</v>
      </c>
      <c r="F9" s="20" t="n">
        <v>1.8948484</v>
      </c>
      <c r="G9" s="18" t="n">
        <v>39.96184601</v>
      </c>
      <c r="H9" s="20" t="n">
        <v>1.85882553</v>
      </c>
      <c r="I9" s="18" t="n">
        <v>0</v>
      </c>
      <c r="J9" s="20" t="n">
        <v>0</v>
      </c>
      <c r="K9" s="18" t="n">
        <v>0.27538943</v>
      </c>
      <c r="L9" s="20" t="n">
        <v>0.17956394</v>
      </c>
      <c r="M9" s="18" t="n">
        <v>0</v>
      </c>
      <c r="N9" s="20" t="n">
        <v>0</v>
      </c>
      <c r="O9" s="18" t="n">
        <v>0</v>
      </c>
      <c r="P9" s="20" t="n">
        <v>0</v>
      </c>
      <c r="Q9" s="18" t="n">
        <v>0.91567268</v>
      </c>
      <c r="R9" s="20" t="n">
        <v>0.3360701</v>
      </c>
    </row>
    <row r="10" spans="1:18">
      <c r="A10" s="15" t="s">
        <v>568</v>
      </c>
      <c r="B10" s="17" t="n">
        <v>20058</v>
      </c>
      <c r="C10" s="18">
        <f>(17779.0/B10*100)</f>
        <v/>
      </c>
      <c r="D10" s="19" t="n">
        <v>2279</v>
      </c>
      <c r="E10" s="18" t="n">
        <v>53.45516545</v>
      </c>
      <c r="F10" s="20" t="n">
        <v>1.20248895</v>
      </c>
      <c r="G10" s="18" t="n">
        <v>45.37123221</v>
      </c>
      <c r="H10" s="20" t="n">
        <v>1.21795132</v>
      </c>
      <c r="I10" s="18" t="n">
        <v>0</v>
      </c>
      <c r="J10" s="20" t="n">
        <v>0</v>
      </c>
      <c r="K10" s="18" t="n">
        <v>0.91013238</v>
      </c>
      <c r="L10" s="20" t="n">
        <v>0.33721774</v>
      </c>
      <c r="M10" s="18" t="n">
        <v>0</v>
      </c>
      <c r="N10" s="20" t="n">
        <v>0</v>
      </c>
      <c r="O10" s="18" t="n">
        <v>0</v>
      </c>
      <c r="P10" s="20" t="n">
        <v>0</v>
      </c>
      <c r="Q10" s="18" t="n">
        <v>0.26346996</v>
      </c>
      <c r="R10" s="20" t="n">
        <v>0.10736368</v>
      </c>
    </row>
    <row r="11" spans="1:18">
      <c r="A11" s="15" t="s">
        <v>569</v>
      </c>
      <c r="B11" s="17" t="n">
        <v>7053</v>
      </c>
      <c r="C11" s="18">
        <f>(6329.0/B11*100)</f>
        <v/>
      </c>
      <c r="D11" s="19" t="n">
        <v>724</v>
      </c>
      <c r="E11" s="18" t="n">
        <v>54.41116672</v>
      </c>
      <c r="F11" s="20" t="n">
        <v>2.16032839</v>
      </c>
      <c r="G11" s="18" t="n">
        <v>42.52397089</v>
      </c>
      <c r="H11" s="20" t="n">
        <v>2.30016818</v>
      </c>
      <c r="I11" s="18" t="n">
        <v>0</v>
      </c>
      <c r="J11" s="20" t="n">
        <v>0</v>
      </c>
      <c r="K11" s="18" t="n">
        <v>2.14845721</v>
      </c>
      <c r="L11" s="20" t="n">
        <v>0.53188913</v>
      </c>
      <c r="M11" s="18" t="n">
        <v>0</v>
      </c>
      <c r="N11" s="20" t="n">
        <v>0</v>
      </c>
      <c r="O11" s="18" t="n">
        <v>0</v>
      </c>
      <c r="P11" s="20" t="n">
        <v>0</v>
      </c>
      <c r="Q11" s="18" t="n">
        <v>0.91640517</v>
      </c>
      <c r="R11" s="20" t="n">
        <v>0.38355348</v>
      </c>
    </row>
    <row r="12" spans="1:18">
      <c r="A12" s="15" t="s">
        <v>570</v>
      </c>
      <c r="B12" s="17" t="n">
        <v>6894</v>
      </c>
      <c r="C12" s="18">
        <f>(6138.0/B12*100)</f>
        <v/>
      </c>
      <c r="D12" s="19" t="n">
        <v>756</v>
      </c>
      <c r="E12" s="18" t="n">
        <v>56.29247331</v>
      </c>
      <c r="F12" s="20" t="n">
        <v>2.04224545</v>
      </c>
      <c r="G12" s="18" t="n">
        <v>41.70407623</v>
      </c>
      <c r="H12" s="20" t="n">
        <v>2.03574594</v>
      </c>
      <c r="I12" s="18" t="n">
        <v>0</v>
      </c>
      <c r="J12" s="20" t="n">
        <v>0</v>
      </c>
      <c r="K12" s="18" t="n">
        <v>0.24916175</v>
      </c>
      <c r="L12" s="20" t="n">
        <v>0.17337822</v>
      </c>
      <c r="M12" s="18" t="n">
        <v>0</v>
      </c>
      <c r="N12" s="20" t="n">
        <v>0</v>
      </c>
      <c r="O12" s="18" t="n">
        <v>0</v>
      </c>
      <c r="P12" s="20" t="n">
        <v>0</v>
      </c>
      <c r="Q12" s="18" t="n">
        <v>1.75428871</v>
      </c>
      <c r="R12" s="20" t="n">
        <v>0.63483444</v>
      </c>
    </row>
    <row r="13" spans="1:18">
      <c r="A13" s="15" t="s">
        <v>571</v>
      </c>
      <c r="B13" s="17" t="n">
        <v>7161</v>
      </c>
      <c r="C13" s="18">
        <f>(6386.0/B13*100)</f>
        <v/>
      </c>
      <c r="D13" s="19" t="n">
        <v>775</v>
      </c>
      <c r="E13" s="18" t="n">
        <v>55.3223957</v>
      </c>
      <c r="F13" s="20" t="n">
        <v>2.03358317</v>
      </c>
      <c r="G13" s="18" t="n">
        <v>42.77425866</v>
      </c>
      <c r="H13" s="20" t="n">
        <v>2.03702994</v>
      </c>
      <c r="I13" s="18" t="n">
        <v>0</v>
      </c>
      <c r="J13" s="20" t="n">
        <v>0</v>
      </c>
      <c r="K13" s="18" t="n">
        <v>0.9805729</v>
      </c>
      <c r="L13" s="20" t="n">
        <v>0.50352389</v>
      </c>
      <c r="M13" s="18" t="n">
        <v>0</v>
      </c>
      <c r="N13" s="20" t="n">
        <v>0</v>
      </c>
      <c r="O13" s="18" t="n">
        <v>0</v>
      </c>
      <c r="P13" s="20" t="n">
        <v>0</v>
      </c>
      <c r="Q13" s="18" t="n">
        <v>0.92277275</v>
      </c>
      <c r="R13" s="20" t="n">
        <v>0.40435853</v>
      </c>
    </row>
    <row r="14" spans="1:18">
      <c r="A14" s="15" t="s">
        <v>572</v>
      </c>
      <c r="B14" s="17" t="n">
        <v>5587</v>
      </c>
      <c r="C14" s="18">
        <f>(4962.0/B14*100)</f>
        <v/>
      </c>
      <c r="D14" s="19" t="n">
        <v>625</v>
      </c>
      <c r="E14" s="18" t="n">
        <v>58.60167141</v>
      </c>
      <c r="F14" s="20" t="n">
        <v>2.20767949</v>
      </c>
      <c r="G14" s="18" t="n">
        <v>40.48838172</v>
      </c>
      <c r="H14" s="20" t="n">
        <v>2.21396692</v>
      </c>
      <c r="I14" s="18" t="n">
        <v>0</v>
      </c>
      <c r="J14" s="20" t="n">
        <v>0</v>
      </c>
      <c r="K14" s="18" t="n">
        <v>0.12434356</v>
      </c>
      <c r="L14" s="20" t="n">
        <v>0.12345241</v>
      </c>
      <c r="M14" s="18" t="n">
        <v>0</v>
      </c>
      <c r="N14" s="20" t="n">
        <v>0</v>
      </c>
      <c r="O14" s="18" t="n">
        <v>0</v>
      </c>
      <c r="P14" s="20" t="n">
        <v>0</v>
      </c>
      <c r="Q14" s="18" t="n">
        <v>0.7856033100000001</v>
      </c>
      <c r="R14" s="20" t="n">
        <v>0.32490535</v>
      </c>
    </row>
    <row r="15" spans="1:18">
      <c r="A15" s="15" t="s">
        <v>573</v>
      </c>
      <c r="B15" s="17" t="n">
        <v>5882</v>
      </c>
      <c r="C15" s="18">
        <f>(5282.0/B15*100)</f>
        <v/>
      </c>
      <c r="D15" s="19" t="n">
        <v>600</v>
      </c>
      <c r="E15" s="18" t="n">
        <v>53.3390986</v>
      </c>
      <c r="F15" s="20" t="n">
        <v>2.22268783</v>
      </c>
      <c r="G15" s="18" t="n">
        <v>46.20733567</v>
      </c>
      <c r="H15" s="20" t="n">
        <v>2.18605081</v>
      </c>
      <c r="I15" s="18" t="n">
        <v>0</v>
      </c>
      <c r="J15" s="20" t="n">
        <v>0</v>
      </c>
      <c r="K15" s="18" t="n">
        <v>0.14065172</v>
      </c>
      <c r="L15" s="20" t="n">
        <v>0.14509929</v>
      </c>
      <c r="M15" s="18" t="n">
        <v>0</v>
      </c>
      <c r="N15" s="20" t="n">
        <v>0</v>
      </c>
      <c r="O15" s="18" t="n">
        <v>0</v>
      </c>
      <c r="P15" s="20" t="n">
        <v>0</v>
      </c>
      <c r="Q15" s="18" t="n">
        <v>0.31291402</v>
      </c>
      <c r="R15" s="20" t="n">
        <v>0.22310428</v>
      </c>
    </row>
    <row r="16" spans="1:18">
      <c r="A16" s="15" t="s">
        <v>574</v>
      </c>
      <c r="B16" s="17" t="n">
        <v>6108</v>
      </c>
      <c r="C16" s="18">
        <f>(5453.0/B16*100)</f>
        <v/>
      </c>
      <c r="D16" s="19" t="n">
        <v>655</v>
      </c>
      <c r="E16" s="18" t="n">
        <v>52.35327195</v>
      </c>
      <c r="F16" s="20" t="n">
        <v>1.90682728</v>
      </c>
      <c r="G16" s="18" t="n">
        <v>43.16891108</v>
      </c>
      <c r="H16" s="20" t="n">
        <v>1.84469684</v>
      </c>
      <c r="I16" s="18" t="n">
        <v>0</v>
      </c>
      <c r="J16" s="20" t="n">
        <v>0</v>
      </c>
      <c r="K16" s="18" t="n">
        <v>1.57107371</v>
      </c>
      <c r="L16" s="20" t="n">
        <v>0.59911661</v>
      </c>
      <c r="M16" s="18" t="n">
        <v>0</v>
      </c>
      <c r="N16" s="20" t="n">
        <v>0</v>
      </c>
      <c r="O16" s="18" t="n">
        <v>0</v>
      </c>
      <c r="P16" s="20" t="n">
        <v>0</v>
      </c>
      <c r="Q16" s="18" t="n">
        <v>2.90674326</v>
      </c>
      <c r="R16" s="20" t="n">
        <v>0.69454962</v>
      </c>
    </row>
    <row r="17" spans="1:18">
      <c r="A17" s="15" t="s">
        <v>575</v>
      </c>
      <c r="B17" s="17" t="n">
        <v>6504</v>
      </c>
      <c r="C17" s="18">
        <f>(5825.0/B17*100)</f>
        <v/>
      </c>
      <c r="D17" s="19" t="n">
        <v>679</v>
      </c>
      <c r="E17" s="18" t="n">
        <v>61.96972797</v>
      </c>
      <c r="F17" s="20" t="n">
        <v>2.07787313</v>
      </c>
      <c r="G17" s="18" t="n">
        <v>36.66826417</v>
      </c>
      <c r="H17" s="20" t="n">
        <v>2.09431256</v>
      </c>
      <c r="I17" s="18" t="n">
        <v>0</v>
      </c>
      <c r="J17" s="20" t="n">
        <v>0</v>
      </c>
      <c r="K17" s="18" t="n">
        <v>0.33431838</v>
      </c>
      <c r="L17" s="20" t="n">
        <v>0.17693768</v>
      </c>
      <c r="M17" s="18" t="n">
        <v>0</v>
      </c>
      <c r="N17" s="20" t="n">
        <v>0</v>
      </c>
      <c r="O17" s="18" t="n">
        <v>0</v>
      </c>
      <c r="P17" s="20" t="n">
        <v>0</v>
      </c>
      <c r="Q17" s="18" t="n">
        <v>1.02768947</v>
      </c>
      <c r="R17" s="20" t="n">
        <v>0.37176204</v>
      </c>
    </row>
    <row r="18" spans="1:18">
      <c r="A18" s="15" t="s">
        <v>576</v>
      </c>
      <c r="B18" s="17" t="n">
        <v>5532</v>
      </c>
      <c r="C18" s="18">
        <f>(4918.0/B18*100)</f>
        <v/>
      </c>
      <c r="D18" s="19" t="n">
        <v>614</v>
      </c>
      <c r="E18" s="18" t="n">
        <v>63.16133393</v>
      </c>
      <c r="F18" s="20" t="n">
        <v>1.96185257</v>
      </c>
      <c r="G18" s="18" t="n">
        <v>35.30717919</v>
      </c>
      <c r="H18" s="20" t="n">
        <v>1.99162111</v>
      </c>
      <c r="I18" s="18" t="n">
        <v>0</v>
      </c>
      <c r="J18" s="20" t="n">
        <v>0</v>
      </c>
      <c r="K18" s="18" t="n">
        <v>0.46376125</v>
      </c>
      <c r="L18" s="20" t="n">
        <v>0.25928368</v>
      </c>
      <c r="M18" s="18" t="n">
        <v>0</v>
      </c>
      <c r="N18" s="20" t="n">
        <v>0</v>
      </c>
      <c r="O18" s="18" t="n">
        <v>0</v>
      </c>
      <c r="P18" s="20" t="n">
        <v>0</v>
      </c>
      <c r="Q18" s="18" t="n">
        <v>1.06772563</v>
      </c>
      <c r="R18" s="20" t="n">
        <v>0.43860071</v>
      </c>
    </row>
    <row r="19" spans="1:18">
      <c r="A19" s="15" t="s">
        <v>577</v>
      </c>
      <c r="B19" s="17" t="n">
        <v>5658</v>
      </c>
      <c r="C19" s="18">
        <f>(5059.0/B19*100)</f>
        <v/>
      </c>
      <c r="D19" s="19" t="n">
        <v>599</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578</v>
      </c>
      <c r="B20" s="17" t="n">
        <v>3371</v>
      </c>
      <c r="C20" s="18">
        <f>(2981.0/B20*100)</f>
        <v/>
      </c>
      <c r="D20" s="19" t="n">
        <v>390</v>
      </c>
      <c r="E20" s="18" t="n">
        <v>54.96811641</v>
      </c>
      <c r="F20" s="20" t="n">
        <v>2.66835525</v>
      </c>
      <c r="G20" s="18" t="n">
        <v>42.49379632</v>
      </c>
      <c r="H20" s="20" t="n">
        <v>2.57111648</v>
      </c>
      <c r="I20" s="18" t="n">
        <v>0</v>
      </c>
      <c r="J20" s="20" t="n">
        <v>0</v>
      </c>
      <c r="K20" s="18" t="n">
        <v>0.47035875</v>
      </c>
      <c r="L20" s="20" t="n">
        <v>0.33194109</v>
      </c>
      <c r="M20" s="18" t="n">
        <v>0</v>
      </c>
      <c r="N20" s="20" t="n">
        <v>0</v>
      </c>
      <c r="O20" s="18" t="n">
        <v>0</v>
      </c>
      <c r="P20" s="20" t="n">
        <v>0</v>
      </c>
      <c r="Q20" s="18" t="n">
        <v>2.06772852</v>
      </c>
      <c r="R20" s="20" t="n">
        <v>0.72974441</v>
      </c>
    </row>
    <row r="21" spans="1:18">
      <c r="A21" s="15" t="s">
        <v>579</v>
      </c>
      <c r="B21" s="17" t="n">
        <v>5741</v>
      </c>
      <c r="C21" s="18">
        <f>(5119.0/B21*100)</f>
        <v/>
      </c>
      <c r="D21" s="19" t="n">
        <v>622</v>
      </c>
      <c r="E21" s="18" t="n">
        <v>51.57561633</v>
      </c>
      <c r="F21" s="20" t="n">
        <v>1.930738</v>
      </c>
      <c r="G21" s="18" t="n">
        <v>46.69776886</v>
      </c>
      <c r="H21" s="20" t="n">
        <v>1.91684112</v>
      </c>
      <c r="I21" s="18" t="n">
        <v>0</v>
      </c>
      <c r="J21" s="20" t="n">
        <v>0</v>
      </c>
      <c r="K21" s="18" t="n">
        <v>0.78539845</v>
      </c>
      <c r="L21" s="20" t="n">
        <v>0.41075808</v>
      </c>
      <c r="M21" s="18" t="n">
        <v>0</v>
      </c>
      <c r="N21" s="20" t="n">
        <v>0</v>
      </c>
      <c r="O21" s="18" t="n">
        <v>0</v>
      </c>
      <c r="P21" s="20" t="n">
        <v>0</v>
      </c>
      <c r="Q21" s="18" t="n">
        <v>0.94121636</v>
      </c>
      <c r="R21" s="20" t="n">
        <v>0.35691341</v>
      </c>
    </row>
    <row r="22" spans="1:18">
      <c r="A22" s="15" t="s">
        <v>580</v>
      </c>
      <c r="B22" s="17" t="n">
        <v>6598</v>
      </c>
      <c r="C22" s="18">
        <f>(5867.0/B22*100)</f>
        <v/>
      </c>
      <c r="D22" s="19" t="n">
        <v>731</v>
      </c>
      <c r="E22" s="18" t="n">
        <v>62.71009373</v>
      </c>
      <c r="F22" s="20" t="n">
        <v>1.57182072</v>
      </c>
      <c r="G22" s="18" t="n">
        <v>33.62551868</v>
      </c>
      <c r="H22" s="20" t="n">
        <v>1.80431371</v>
      </c>
      <c r="I22" s="18" t="n">
        <v>0</v>
      </c>
      <c r="J22" s="20" t="n">
        <v>0</v>
      </c>
      <c r="K22" s="18" t="n">
        <v>1.41520842</v>
      </c>
      <c r="L22" s="20" t="n">
        <v>0.42812673</v>
      </c>
      <c r="M22" s="18" t="n">
        <v>0</v>
      </c>
      <c r="N22" s="20" t="n">
        <v>0</v>
      </c>
      <c r="O22" s="18" t="n">
        <v>0</v>
      </c>
      <c r="P22" s="20" t="n">
        <v>0</v>
      </c>
      <c r="Q22" s="18" t="n">
        <v>2.24917918</v>
      </c>
      <c r="R22" s="20" t="n">
        <v>0.63181073</v>
      </c>
    </row>
    <row r="23" spans="1:18">
      <c r="A23" s="15" t="s">
        <v>581</v>
      </c>
      <c r="B23" s="17" t="n">
        <v>11583</v>
      </c>
      <c r="C23" s="18">
        <f>(10357.0/B23*100)</f>
        <v/>
      </c>
      <c r="D23" s="19" t="n">
        <v>1226</v>
      </c>
      <c r="E23" s="18" t="n">
        <v>66.90984358999999</v>
      </c>
      <c r="F23" s="20" t="n">
        <v>2.19401845</v>
      </c>
      <c r="G23" s="18" t="n">
        <v>30.97406443</v>
      </c>
      <c r="H23" s="20" t="n">
        <v>2.11567817</v>
      </c>
      <c r="I23" s="18" t="n">
        <v>0</v>
      </c>
      <c r="J23" s="20" t="n">
        <v>0</v>
      </c>
      <c r="K23" s="18" t="n">
        <v>0.94557309</v>
      </c>
      <c r="L23" s="20" t="n">
        <v>0.53407753</v>
      </c>
      <c r="M23" s="18" t="n">
        <v>0</v>
      </c>
      <c r="N23" s="20" t="n">
        <v>0</v>
      </c>
      <c r="O23" s="18" t="n">
        <v>0</v>
      </c>
      <c r="P23" s="20" t="n">
        <v>0</v>
      </c>
      <c r="Q23" s="18" t="n">
        <v>1.17051889</v>
      </c>
      <c r="R23" s="20" t="n">
        <v>0.411359</v>
      </c>
    </row>
    <row r="24" spans="1:18">
      <c r="A24" s="15" t="s">
        <v>582</v>
      </c>
      <c r="B24" s="17" t="n">
        <v>6647</v>
      </c>
      <c r="C24" s="18">
        <f>(5929.0/B24*100)</f>
        <v/>
      </c>
      <c r="D24" s="19" t="n">
        <v>718</v>
      </c>
      <c r="E24" s="18" t="n">
        <v>53.28845257</v>
      </c>
      <c r="F24" s="20" t="n">
        <v>1.97239992</v>
      </c>
      <c r="G24" s="18" t="n">
        <v>45.3436249</v>
      </c>
      <c r="H24" s="20" t="n">
        <v>1.90669593</v>
      </c>
      <c r="I24" s="18" t="n">
        <v>0</v>
      </c>
      <c r="J24" s="20" t="n">
        <v>0</v>
      </c>
      <c r="K24" s="18" t="n">
        <v>0.16532511</v>
      </c>
      <c r="L24" s="20" t="n">
        <v>0.16586521</v>
      </c>
      <c r="M24" s="18" t="n">
        <v>0</v>
      </c>
      <c r="N24" s="20" t="n">
        <v>0</v>
      </c>
      <c r="O24" s="18" t="n">
        <v>0</v>
      </c>
      <c r="P24" s="20" t="n">
        <v>0</v>
      </c>
      <c r="Q24" s="18" t="n">
        <v>1.20259741</v>
      </c>
      <c r="R24" s="20" t="n">
        <v>0.36233102</v>
      </c>
    </row>
    <row r="25" spans="1:18">
      <c r="A25" s="15" t="s">
        <v>583</v>
      </c>
      <c r="B25" s="17" t="n">
        <v>5581</v>
      </c>
      <c r="C25" s="18">
        <f>(4963.0/B25*100)</f>
        <v/>
      </c>
      <c r="D25" s="19" t="n">
        <v>618</v>
      </c>
      <c r="E25" s="18" t="n">
        <v>64.01300512</v>
      </c>
      <c r="F25" s="20" t="n">
        <v>2.20396775</v>
      </c>
      <c r="G25" s="18" t="n">
        <v>35.06637345</v>
      </c>
      <c r="H25" s="20" t="n">
        <v>2.22802651</v>
      </c>
      <c r="I25" s="18" t="n">
        <v>0</v>
      </c>
      <c r="J25" s="20" t="n">
        <v>0</v>
      </c>
      <c r="K25" s="18" t="n">
        <v>0.60819847</v>
      </c>
      <c r="L25" s="20" t="n">
        <v>0.30874611</v>
      </c>
      <c r="M25" s="18" t="n">
        <v>0</v>
      </c>
      <c r="N25" s="20" t="n">
        <v>0</v>
      </c>
      <c r="O25" s="18" t="n">
        <v>0</v>
      </c>
      <c r="P25" s="20" t="n">
        <v>0</v>
      </c>
      <c r="Q25" s="18" t="n">
        <v>0.31242296</v>
      </c>
      <c r="R25" s="20" t="n">
        <v>0.205909</v>
      </c>
    </row>
    <row r="26" spans="1:18">
      <c r="A26" s="15" t="s">
        <v>584</v>
      </c>
      <c r="B26" s="17" t="n">
        <v>4869</v>
      </c>
      <c r="C26" s="18">
        <f>(4334.0/B26*100)</f>
        <v/>
      </c>
      <c r="D26" s="19" t="n">
        <v>535</v>
      </c>
      <c r="E26" s="18" t="n">
        <v>58.41360353</v>
      </c>
      <c r="F26" s="20" t="n">
        <v>2.50567845</v>
      </c>
      <c r="G26" s="18" t="n">
        <v>40.81521116</v>
      </c>
      <c r="H26" s="20" t="n">
        <v>2.54877437</v>
      </c>
      <c r="I26" s="18" t="n">
        <v>0</v>
      </c>
      <c r="J26" s="20" t="n">
        <v>0</v>
      </c>
      <c r="K26" s="18" t="n">
        <v>0.29659782</v>
      </c>
      <c r="L26" s="20" t="n">
        <v>0.22454236</v>
      </c>
      <c r="M26" s="18" t="n">
        <v>0</v>
      </c>
      <c r="N26" s="20" t="n">
        <v>0</v>
      </c>
      <c r="O26" s="18" t="n">
        <v>0</v>
      </c>
      <c r="P26" s="20" t="n">
        <v>0</v>
      </c>
      <c r="Q26" s="18" t="n">
        <v>0.47458749</v>
      </c>
      <c r="R26" s="20" t="n">
        <v>0.22743624</v>
      </c>
    </row>
    <row r="27" spans="1:18">
      <c r="A27" s="15" t="s">
        <v>585</v>
      </c>
      <c r="B27" s="17" t="n">
        <v>5299</v>
      </c>
      <c r="C27" s="18">
        <f>(4727.0/B27*100)</f>
        <v/>
      </c>
      <c r="D27" s="19" t="n">
        <v>572</v>
      </c>
      <c r="E27" s="18" t="n">
        <v>62.73537506</v>
      </c>
      <c r="F27" s="20" t="n">
        <v>1.95124949</v>
      </c>
      <c r="G27" s="18" t="n">
        <v>34.27409362</v>
      </c>
      <c r="H27" s="20" t="n">
        <v>1.83072882</v>
      </c>
      <c r="I27" s="18" t="n">
        <v>0</v>
      </c>
      <c r="J27" s="20" t="n">
        <v>0</v>
      </c>
      <c r="K27" s="18" t="n">
        <v>0.87844674</v>
      </c>
      <c r="L27" s="20" t="n">
        <v>0.39065943</v>
      </c>
      <c r="M27" s="18" t="n">
        <v>0</v>
      </c>
      <c r="N27" s="20" t="n">
        <v>0</v>
      </c>
      <c r="O27" s="18" t="n">
        <v>0</v>
      </c>
      <c r="P27" s="20" t="n">
        <v>0</v>
      </c>
      <c r="Q27" s="18" t="n">
        <v>2.11208457</v>
      </c>
      <c r="R27" s="20" t="n">
        <v>0.61327319</v>
      </c>
    </row>
    <row r="28" spans="1:18">
      <c r="A28" s="15" t="s">
        <v>586</v>
      </c>
      <c r="B28" s="17" t="n">
        <v>7568</v>
      </c>
      <c r="C28" s="18">
        <f>(6833.0/B28*100)</f>
        <v/>
      </c>
      <c r="D28" s="19" t="n">
        <v>735</v>
      </c>
      <c r="E28" s="18" t="n">
        <v>59.92241598</v>
      </c>
      <c r="F28" s="20" t="n">
        <v>2.12212</v>
      </c>
      <c r="G28" s="18" t="n">
        <v>37.7000756</v>
      </c>
      <c r="H28" s="20" t="n">
        <v>2.03274495</v>
      </c>
      <c r="I28" s="18" t="n">
        <v>0</v>
      </c>
      <c r="J28" s="20" t="n">
        <v>0</v>
      </c>
      <c r="K28" s="18" t="n">
        <v>1.418789</v>
      </c>
      <c r="L28" s="20" t="n">
        <v>0.49341156</v>
      </c>
      <c r="M28" s="18" t="n">
        <v>0</v>
      </c>
      <c r="N28" s="20" t="n">
        <v>0</v>
      </c>
      <c r="O28" s="18" t="n">
        <v>0</v>
      </c>
      <c r="P28" s="20" t="n">
        <v>0</v>
      </c>
      <c r="Q28" s="18" t="n">
        <v>0.95871941</v>
      </c>
      <c r="R28" s="20" t="n">
        <v>0.40989023</v>
      </c>
    </row>
    <row r="29" spans="1:18">
      <c r="A29" s="15" t="s">
        <v>587</v>
      </c>
      <c r="B29" s="17" t="n">
        <v>5385</v>
      </c>
      <c r="C29" s="18">
        <f>(4802.0/B29*100)</f>
        <v/>
      </c>
      <c r="D29" s="19" t="n">
        <v>583</v>
      </c>
      <c r="E29" s="18" t="n">
        <v>49.98379067</v>
      </c>
      <c r="F29" s="20" t="n">
        <v>2.31912346</v>
      </c>
      <c r="G29" s="18" t="n">
        <v>48.75331741</v>
      </c>
      <c r="H29" s="20" t="n">
        <v>2.3098354</v>
      </c>
      <c r="I29" s="18" t="n">
        <v>0</v>
      </c>
      <c r="J29" s="20" t="n">
        <v>0</v>
      </c>
      <c r="K29" s="18" t="n">
        <v>0.60723379</v>
      </c>
      <c r="L29" s="20" t="n">
        <v>0.3104822</v>
      </c>
      <c r="M29" s="18" t="n">
        <v>0</v>
      </c>
      <c r="N29" s="20" t="n">
        <v>0</v>
      </c>
      <c r="O29" s="18" t="n">
        <v>0</v>
      </c>
      <c r="P29" s="20" t="n">
        <v>0</v>
      </c>
      <c r="Q29" s="18" t="n">
        <v>0.65565812</v>
      </c>
      <c r="R29" s="20" t="n">
        <v>0.3306576</v>
      </c>
    </row>
    <row r="30" spans="1:18">
      <c r="A30" s="15" t="s">
        <v>588</v>
      </c>
      <c r="B30" s="17" t="n">
        <v>4520</v>
      </c>
      <c r="C30" s="18">
        <f>(4050.0/B30*100)</f>
        <v/>
      </c>
      <c r="D30" s="19" t="n">
        <v>470</v>
      </c>
      <c r="E30" s="18" t="n">
        <v>54.23365332</v>
      </c>
      <c r="F30" s="20" t="n">
        <v>2.24381047</v>
      </c>
      <c r="G30" s="18" t="n">
        <v>43.35220353</v>
      </c>
      <c r="H30" s="20" t="n">
        <v>2.34062139</v>
      </c>
      <c r="I30" s="18" t="n">
        <v>0</v>
      </c>
      <c r="J30" s="20" t="n">
        <v>0</v>
      </c>
      <c r="K30" s="18" t="n">
        <v>0.25097479</v>
      </c>
      <c r="L30" s="20" t="n">
        <v>0.23572911</v>
      </c>
      <c r="M30" s="18" t="n">
        <v>0</v>
      </c>
      <c r="N30" s="20" t="n">
        <v>0</v>
      </c>
      <c r="O30" s="18" t="n">
        <v>0</v>
      </c>
      <c r="P30" s="20" t="n">
        <v>0</v>
      </c>
      <c r="Q30" s="18" t="n">
        <v>2.16316836</v>
      </c>
      <c r="R30" s="20" t="n">
        <v>0.6532926100000001</v>
      </c>
    </row>
    <row r="31" spans="1:18">
      <c r="A31" s="15" t="s">
        <v>589</v>
      </c>
      <c r="B31" s="17" t="n">
        <v>5456</v>
      </c>
      <c r="C31" s="18">
        <f>(4855.0/B31*100)</f>
        <v/>
      </c>
      <c r="D31" s="19" t="n">
        <v>601</v>
      </c>
      <c r="E31" s="18" t="n">
        <v>62.05567954</v>
      </c>
      <c r="F31" s="20" t="n">
        <v>1.93534832</v>
      </c>
      <c r="G31" s="18" t="n">
        <v>34.55717846</v>
      </c>
      <c r="H31" s="20" t="n">
        <v>1.95658612</v>
      </c>
      <c r="I31" s="18" t="n">
        <v>0</v>
      </c>
      <c r="J31" s="20" t="n">
        <v>0</v>
      </c>
      <c r="K31" s="18" t="n">
        <v>1.30601695</v>
      </c>
      <c r="L31" s="20" t="n">
        <v>0.54751458</v>
      </c>
      <c r="M31" s="18" t="n">
        <v>0</v>
      </c>
      <c r="N31" s="20" t="n">
        <v>0</v>
      </c>
      <c r="O31" s="18" t="n">
        <v>0</v>
      </c>
      <c r="P31" s="20" t="n">
        <v>0</v>
      </c>
      <c r="Q31" s="18" t="n">
        <v>2.08112505</v>
      </c>
      <c r="R31" s="20" t="n">
        <v>0.57485228</v>
      </c>
    </row>
    <row r="32" spans="1:18">
      <c r="A32" s="15" t="s">
        <v>590</v>
      </c>
      <c r="B32" s="17" t="n">
        <v>4478</v>
      </c>
      <c r="C32" s="18">
        <f>(3976.0/B32*100)</f>
        <v/>
      </c>
      <c r="D32" s="19" t="n">
        <v>502</v>
      </c>
      <c r="E32" s="18" t="n">
        <v>60.45957616</v>
      </c>
      <c r="F32" s="20" t="n">
        <v>2.22204947</v>
      </c>
      <c r="G32" s="18" t="n">
        <v>38.93045916</v>
      </c>
      <c r="H32" s="20" t="n">
        <v>2.24203144</v>
      </c>
      <c r="I32" s="18" t="n">
        <v>0</v>
      </c>
      <c r="J32" s="20" t="n">
        <v>0</v>
      </c>
      <c r="K32" s="18" t="n">
        <v>0</v>
      </c>
      <c r="L32" s="20" t="n">
        <v>0</v>
      </c>
      <c r="M32" s="18" t="n">
        <v>0</v>
      </c>
      <c r="N32" s="20" t="n">
        <v>0</v>
      </c>
      <c r="O32" s="18" t="n">
        <v>0</v>
      </c>
      <c r="P32" s="20" t="n">
        <v>0</v>
      </c>
      <c r="Q32" s="18" t="n">
        <v>0.60996467</v>
      </c>
      <c r="R32" s="20" t="n">
        <v>0.37966004</v>
      </c>
    </row>
    <row r="33" spans="1:18">
      <c r="A33" s="15" t="s">
        <v>591</v>
      </c>
      <c r="B33" s="17" t="n">
        <v>7325</v>
      </c>
      <c r="C33" s="18">
        <f>(6546.0/B33*100)</f>
        <v/>
      </c>
      <c r="D33" s="19" t="n">
        <v>779</v>
      </c>
      <c r="E33" s="18" t="n">
        <v>60.94091881</v>
      </c>
      <c r="F33" s="20" t="n">
        <v>2.07732302</v>
      </c>
      <c r="G33" s="18" t="n">
        <v>37.67987094</v>
      </c>
      <c r="H33" s="20" t="n">
        <v>2.1041807</v>
      </c>
      <c r="I33" s="18" t="n">
        <v>0</v>
      </c>
      <c r="J33" s="20" t="n">
        <v>0</v>
      </c>
      <c r="K33" s="18" t="n">
        <v>0.54687744</v>
      </c>
      <c r="L33" s="20" t="n">
        <v>0.29197897</v>
      </c>
      <c r="M33" s="18" t="n">
        <v>0</v>
      </c>
      <c r="N33" s="20" t="n">
        <v>0</v>
      </c>
      <c r="O33" s="18" t="n">
        <v>0</v>
      </c>
      <c r="P33" s="20" t="n">
        <v>0</v>
      </c>
      <c r="Q33" s="18" t="n">
        <v>0.83233281</v>
      </c>
      <c r="R33" s="20" t="n">
        <v>0.27948875</v>
      </c>
    </row>
    <row r="34" spans="1:18">
      <c r="A34" s="15" t="s">
        <v>592</v>
      </c>
      <c r="B34" s="17" t="n">
        <v>6350</v>
      </c>
      <c r="C34" s="18">
        <f>(5654.0/B34*100)</f>
        <v/>
      </c>
      <c r="D34" s="19" t="n">
        <v>696</v>
      </c>
      <c r="E34" s="18" t="n">
        <v>65.02641563</v>
      </c>
      <c r="F34" s="20" t="n">
        <v>1.69951873</v>
      </c>
      <c r="G34" s="18" t="n">
        <v>33.82491561</v>
      </c>
      <c r="H34" s="20" t="n">
        <v>1.7232735</v>
      </c>
      <c r="I34" s="18" t="n">
        <v>0</v>
      </c>
      <c r="J34" s="20" t="n">
        <v>0</v>
      </c>
      <c r="K34" s="18" t="n">
        <v>0.31214261</v>
      </c>
      <c r="L34" s="20" t="n">
        <v>0.18274965</v>
      </c>
      <c r="M34" s="18" t="n">
        <v>0</v>
      </c>
      <c r="N34" s="20" t="n">
        <v>0</v>
      </c>
      <c r="O34" s="18" t="n">
        <v>0</v>
      </c>
      <c r="P34" s="20" t="n">
        <v>0</v>
      </c>
      <c r="Q34" s="18" t="n">
        <v>0.83652616</v>
      </c>
      <c r="R34" s="20" t="n">
        <v>0.34013311</v>
      </c>
    </row>
    <row r="35" spans="1:18">
      <c r="A35" s="15" t="s">
        <v>593</v>
      </c>
      <c r="B35" s="17" t="n">
        <v>6406</v>
      </c>
      <c r="C35" s="18">
        <f>(5750.0/B35*100)</f>
        <v/>
      </c>
      <c r="D35" s="19" t="n">
        <v>656</v>
      </c>
      <c r="E35" s="18" t="n">
        <v>67.35137364000001</v>
      </c>
      <c r="F35" s="20" t="n">
        <v>2.41216466</v>
      </c>
      <c r="G35" s="18" t="n">
        <v>31.54495591</v>
      </c>
      <c r="H35" s="20" t="n">
        <v>2.37528042</v>
      </c>
      <c r="I35" s="18" t="n">
        <v>0</v>
      </c>
      <c r="J35" s="20" t="n">
        <v>0</v>
      </c>
      <c r="K35" s="18" t="n">
        <v>0.06675483</v>
      </c>
      <c r="L35" s="20" t="n">
        <v>0.06724663</v>
      </c>
      <c r="M35" s="18" t="n">
        <v>0</v>
      </c>
      <c r="N35" s="20" t="n">
        <v>0</v>
      </c>
      <c r="O35" s="18" t="n">
        <v>0</v>
      </c>
      <c r="P35" s="20" t="n">
        <v>0</v>
      </c>
      <c r="Q35" s="18" t="n">
        <v>1.03691563</v>
      </c>
      <c r="R35" s="20" t="n">
        <v>0.36084288</v>
      </c>
    </row>
    <row r="36" spans="1:18">
      <c r="A36" s="15" t="s">
        <v>594</v>
      </c>
      <c r="B36" s="17" t="n">
        <v>6736</v>
      </c>
      <c r="C36" s="18">
        <f>(6044.0/B36*100)</f>
        <v/>
      </c>
      <c r="D36" s="19" t="n">
        <v>692</v>
      </c>
      <c r="E36" s="18" t="n">
        <v>57.08307496</v>
      </c>
      <c r="F36" s="20" t="n">
        <v>1.86009533</v>
      </c>
      <c r="G36" s="18" t="n">
        <v>41.35834971</v>
      </c>
      <c r="H36" s="20" t="n">
        <v>1.87981059</v>
      </c>
      <c r="I36" s="18" t="n">
        <v>0</v>
      </c>
      <c r="J36" s="20" t="n">
        <v>0</v>
      </c>
      <c r="K36" s="18" t="n">
        <v>0.35007689</v>
      </c>
      <c r="L36" s="20" t="n">
        <v>0.20985354</v>
      </c>
      <c r="M36" s="18" t="n">
        <v>0</v>
      </c>
      <c r="N36" s="20" t="n">
        <v>0</v>
      </c>
      <c r="O36" s="18" t="n">
        <v>0</v>
      </c>
      <c r="P36" s="20" t="n">
        <v>0</v>
      </c>
      <c r="Q36" s="18" t="n">
        <v>1.20849844</v>
      </c>
      <c r="R36" s="20" t="n">
        <v>0.38904783</v>
      </c>
    </row>
    <row r="37" spans="1:18">
      <c r="A37" s="15" t="s">
        <v>595</v>
      </c>
      <c r="B37" s="17" t="n">
        <v>5458</v>
      </c>
      <c r="C37" s="18">
        <f>(4869.0/B37*100)</f>
        <v/>
      </c>
      <c r="D37" s="19" t="n">
        <v>589</v>
      </c>
      <c r="E37" s="18" t="n">
        <v>62.04727823</v>
      </c>
      <c r="F37" s="20" t="n">
        <v>1.89838922</v>
      </c>
      <c r="G37" s="18" t="n">
        <v>34.26239102</v>
      </c>
      <c r="H37" s="20" t="n">
        <v>1.93458682</v>
      </c>
      <c r="I37" s="18" t="n">
        <v>0</v>
      </c>
      <c r="J37" s="20" t="n">
        <v>0</v>
      </c>
      <c r="K37" s="18" t="n">
        <v>1.46542785</v>
      </c>
      <c r="L37" s="20" t="n">
        <v>0.49128545</v>
      </c>
      <c r="M37" s="18" t="n">
        <v>0</v>
      </c>
      <c r="N37" s="20" t="n">
        <v>0</v>
      </c>
      <c r="O37" s="18" t="n">
        <v>0</v>
      </c>
      <c r="P37" s="20" t="n">
        <v>0</v>
      </c>
      <c r="Q37" s="18" t="n">
        <v>2.2249029</v>
      </c>
      <c r="R37" s="20" t="n">
        <v>0.6305551</v>
      </c>
    </row>
    <row r="38" spans="1:18">
      <c r="A38" s="15" t="s">
        <v>596</v>
      </c>
      <c r="B38" s="17" t="n">
        <v>5860</v>
      </c>
      <c r="C38" s="18">
        <f>(5208.0/B38*100)</f>
        <v/>
      </c>
      <c r="D38" s="19" t="n">
        <v>652</v>
      </c>
      <c r="E38" s="18" t="n">
        <v>65.91797626</v>
      </c>
      <c r="F38" s="20" t="n">
        <v>2.15237901</v>
      </c>
      <c r="G38" s="18" t="n">
        <v>31.2725321</v>
      </c>
      <c r="H38" s="20" t="n">
        <v>2.25476837</v>
      </c>
      <c r="I38" s="18" t="n">
        <v>0</v>
      </c>
      <c r="J38" s="20" t="n">
        <v>0</v>
      </c>
      <c r="K38" s="18" t="n">
        <v>0.52528804</v>
      </c>
      <c r="L38" s="20" t="n">
        <v>0.28501241</v>
      </c>
      <c r="M38" s="18" t="n">
        <v>0</v>
      </c>
      <c r="N38" s="20" t="n">
        <v>0</v>
      </c>
      <c r="O38" s="18" t="n">
        <v>0</v>
      </c>
      <c r="P38" s="20" t="n">
        <v>0</v>
      </c>
      <c r="Q38" s="18" t="n">
        <v>2.2842036</v>
      </c>
      <c r="R38" s="20" t="n">
        <v>0.6477139200000001</v>
      </c>
    </row>
    <row r="39" spans="1:18">
      <c r="A39" s="15" t="s">
        <v>597</v>
      </c>
      <c r="B39" s="17" t="n">
        <v>5895</v>
      </c>
      <c r="C39" s="18">
        <f>(5238.0/B39*100)</f>
        <v/>
      </c>
      <c r="D39" s="19" t="n">
        <v>657</v>
      </c>
      <c r="E39" s="18" t="n">
        <v>64.83864099</v>
      </c>
      <c r="F39" s="20" t="n">
        <v>1.71520078</v>
      </c>
      <c r="G39" s="18" t="n">
        <v>34.10679181</v>
      </c>
      <c r="H39" s="20" t="n">
        <v>1.8628268</v>
      </c>
      <c r="I39" s="18" t="n">
        <v>0</v>
      </c>
      <c r="J39" s="20" t="n">
        <v>0</v>
      </c>
      <c r="K39" s="18" t="n">
        <v>0.29483876</v>
      </c>
      <c r="L39" s="20" t="n">
        <v>0.22342021</v>
      </c>
      <c r="M39" s="18" t="n">
        <v>0</v>
      </c>
      <c r="N39" s="20" t="n">
        <v>0</v>
      </c>
      <c r="O39" s="18" t="n">
        <v>0</v>
      </c>
      <c r="P39" s="20" t="n">
        <v>0</v>
      </c>
      <c r="Q39" s="18" t="n">
        <v>0.75972843</v>
      </c>
      <c r="R39" s="20" t="n">
        <v>0.28989178</v>
      </c>
    </row>
    <row r="40" spans="1:18">
      <c r="A40" s="15" t="s">
        <v>598</v>
      </c>
      <c r="B40" s="17" t="n">
        <v>14157</v>
      </c>
      <c r="C40" s="18">
        <f>(12604.0/B40*100)</f>
        <v/>
      </c>
      <c r="D40" s="19" t="n">
        <v>1553</v>
      </c>
      <c r="E40" s="18" t="n">
        <v>53.14199828</v>
      </c>
      <c r="F40" s="20" t="n">
        <v>1.94180157</v>
      </c>
      <c r="G40" s="18" t="n">
        <v>45.48845931</v>
      </c>
      <c r="H40" s="20" t="n">
        <v>1.91261496</v>
      </c>
      <c r="I40" s="18" t="n">
        <v>0</v>
      </c>
      <c r="J40" s="20" t="n">
        <v>0</v>
      </c>
      <c r="K40" s="18" t="n">
        <v>0.52556298</v>
      </c>
      <c r="L40" s="20" t="n">
        <v>0.24745268</v>
      </c>
      <c r="M40" s="18" t="n">
        <v>0</v>
      </c>
      <c r="N40" s="20" t="n">
        <v>0</v>
      </c>
      <c r="O40" s="18" t="n">
        <v>0</v>
      </c>
      <c r="P40" s="20" t="n">
        <v>0</v>
      </c>
      <c r="Q40" s="18" t="n">
        <v>0.84397943</v>
      </c>
      <c r="R40" s="20" t="n">
        <v>0.28901107</v>
      </c>
    </row>
    <row r="41" spans="1:18">
      <c r="A41" s="15" t="s">
        <v>599</v>
      </c>
      <c r="B41" s="17" t="n">
        <v>5712</v>
      </c>
      <c r="C41" s="18">
        <f>(5097.0/B41*100)</f>
        <v/>
      </c>
      <c r="D41" s="19" t="n">
        <v>615</v>
      </c>
      <c r="E41" s="18" t="n">
        <v>51.46644745</v>
      </c>
      <c r="F41" s="20" t="n">
        <v>2.2025651</v>
      </c>
      <c r="G41" s="18" t="n">
        <v>47.63280389</v>
      </c>
      <c r="H41" s="20" t="n">
        <v>2.18384934</v>
      </c>
      <c r="I41" s="18" t="n">
        <v>0</v>
      </c>
      <c r="J41" s="20" t="n">
        <v>0</v>
      </c>
      <c r="K41" s="18" t="n">
        <v>0.13254054</v>
      </c>
      <c r="L41" s="20" t="n">
        <v>0.14206252</v>
      </c>
      <c r="M41" s="18" t="n">
        <v>0</v>
      </c>
      <c r="N41" s="20" t="n">
        <v>0</v>
      </c>
      <c r="O41" s="18" t="n">
        <v>0</v>
      </c>
      <c r="P41" s="20" t="n">
        <v>0</v>
      </c>
      <c r="Q41" s="18" t="n">
        <v>0.76820812</v>
      </c>
      <c r="R41" s="20" t="n">
        <v>0.45708009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(21274.0/B46*100)</f>
        <v/>
      </c>
      <c r="D46" s="19" t="n">
        <v>1867</v>
      </c>
      <c r="E46" s="18" t="n">
        <v>60.52345995</v>
      </c>
      <c r="F46" s="20" t="n">
        <v>1.44985729</v>
      </c>
      <c r="G46" s="18" t="n">
        <v>35.90884684</v>
      </c>
      <c r="H46" s="20" t="n">
        <v>1.46913468</v>
      </c>
      <c r="I46" s="18" t="n">
        <v>0</v>
      </c>
      <c r="J46" s="20" t="n">
        <v>0</v>
      </c>
      <c r="K46" s="18" t="n">
        <v>1.31911817</v>
      </c>
      <c r="L46" s="20" t="n">
        <v>0.35916633</v>
      </c>
      <c r="M46" s="18" t="n">
        <v>0</v>
      </c>
      <c r="N46" s="20" t="n">
        <v>0</v>
      </c>
      <c r="O46" s="18" t="n">
        <v>0</v>
      </c>
      <c r="P46" s="20" t="n">
        <v>0</v>
      </c>
      <c r="Q46" s="18" t="n">
        <v>2.24857504</v>
      </c>
      <c r="R46" s="20" t="n">
        <v>0.47931053</v>
      </c>
    </row>
    <row r="47" spans="1:18">
      <c r="A47" s="15" t="s">
        <v>606</v>
      </c>
      <c r="B47" s="17" t="n">
        <v>5928</v>
      </c>
      <c r="C47" s="18">
        <f>(5276.0/B47*100)</f>
        <v/>
      </c>
      <c r="D47" s="19" t="n">
        <v>652</v>
      </c>
      <c r="E47" s="18" t="n">
        <v>69.09215558</v>
      </c>
      <c r="F47" s="20" t="n">
        <v>1.81332432</v>
      </c>
      <c r="G47" s="18" t="n">
        <v>28.49945189</v>
      </c>
      <c r="H47" s="20" t="n">
        <v>1.82217841</v>
      </c>
      <c r="I47" s="18" t="n">
        <v>0</v>
      </c>
      <c r="J47" s="20" t="n">
        <v>0</v>
      </c>
      <c r="K47" s="18" t="n">
        <v>0.75096047</v>
      </c>
      <c r="L47" s="20" t="n">
        <v>0.37172887</v>
      </c>
      <c r="M47" s="18" t="n">
        <v>0</v>
      </c>
      <c r="N47" s="20" t="n">
        <v>0</v>
      </c>
      <c r="O47" s="18" t="n">
        <v>0</v>
      </c>
      <c r="P47" s="20" t="n">
        <v>0</v>
      </c>
      <c r="Q47" s="18" t="n">
        <v>1.65743206</v>
      </c>
      <c r="R47" s="20" t="n">
        <v>0.49392179</v>
      </c>
    </row>
    <row r="48" spans="1:18">
      <c r="A48" s="15" t="s">
        <v>607</v>
      </c>
      <c r="B48" s="17" t="n">
        <v>9841</v>
      </c>
      <c r="C48" s="18">
        <f>(8729.0/B48*100)</f>
        <v/>
      </c>
      <c r="D48" s="19" t="n">
        <v>1112</v>
      </c>
      <c r="E48" s="18" t="n">
        <v>53.43664716</v>
      </c>
      <c r="F48" s="20" t="n">
        <v>2.17348124</v>
      </c>
      <c r="G48" s="18" t="n">
        <v>45.54316851</v>
      </c>
      <c r="H48" s="20" t="n">
        <v>2.17901641</v>
      </c>
      <c r="I48" s="18" t="n">
        <v>0</v>
      </c>
      <c r="J48" s="20" t="n">
        <v>0</v>
      </c>
      <c r="K48" s="18" t="n">
        <v>0.501267</v>
      </c>
      <c r="L48" s="20" t="n">
        <v>0.26917489</v>
      </c>
      <c r="M48" s="18" t="n">
        <v>0</v>
      </c>
      <c r="N48" s="20" t="n">
        <v>0</v>
      </c>
      <c r="O48" s="18" t="n">
        <v>0</v>
      </c>
      <c r="P48" s="20" t="n">
        <v>0</v>
      </c>
      <c r="Q48" s="18" t="n">
        <v>0.51891733</v>
      </c>
      <c r="R48" s="20" t="n">
        <v>0.26867333</v>
      </c>
    </row>
    <row r="49" spans="1:18">
      <c r="A49" s="15" t="s">
        <v>608</v>
      </c>
      <c r="B49" s="17" t="n">
        <v>11795</v>
      </c>
      <c r="C49" s="18">
        <f>(10502.0/B49*100)</f>
        <v/>
      </c>
      <c r="D49" s="19" t="n">
        <v>1293</v>
      </c>
      <c r="E49" s="18" t="n">
        <v>59.05564669</v>
      </c>
      <c r="F49" s="20" t="n">
        <v>1.92945555</v>
      </c>
      <c r="G49" s="18" t="n">
        <v>38.04950901</v>
      </c>
      <c r="H49" s="20" t="n">
        <v>1.86946346</v>
      </c>
      <c r="I49" s="18" t="n">
        <v>0</v>
      </c>
      <c r="J49" s="20" t="n">
        <v>0</v>
      </c>
      <c r="K49" s="18" t="n">
        <v>2.40180943</v>
      </c>
      <c r="L49" s="20" t="n">
        <v>0.67184176</v>
      </c>
      <c r="M49" s="18" t="n">
        <v>0</v>
      </c>
      <c r="N49" s="20" t="n">
        <v>0</v>
      </c>
      <c r="O49" s="18" t="n">
        <v>0</v>
      </c>
      <c r="P49" s="20" t="n">
        <v>0</v>
      </c>
      <c r="Q49" s="18" t="n">
        <v>0.49303487</v>
      </c>
      <c r="R49" s="20" t="n">
        <v>0.22356552</v>
      </c>
    </row>
    <row r="50" spans="1:18">
      <c r="A50" s="15" t="s">
        <v>609</v>
      </c>
      <c r="B50" s="17" t="n">
        <v>6866</v>
      </c>
      <c r="C50" s="18">
        <f>(6238.0/B50*100)</f>
        <v/>
      </c>
      <c r="D50" s="19" t="n">
        <v>628</v>
      </c>
      <c r="E50" s="18" t="n">
        <v>64.58222146999999</v>
      </c>
      <c r="F50" s="20" t="n">
        <v>2.21025334</v>
      </c>
      <c r="G50" s="18" t="n">
        <v>33.6953439</v>
      </c>
      <c r="H50" s="20" t="n">
        <v>2.14484744</v>
      </c>
      <c r="I50" s="18" t="n">
        <v>0</v>
      </c>
      <c r="J50" s="20" t="n">
        <v>0</v>
      </c>
      <c r="K50" s="18" t="n">
        <v>0.30433654</v>
      </c>
      <c r="L50" s="20" t="n">
        <v>0.22995873</v>
      </c>
      <c r="M50" s="18" t="n">
        <v>0</v>
      </c>
      <c r="N50" s="20" t="n">
        <v>0</v>
      </c>
      <c r="O50" s="18" t="n">
        <v>0</v>
      </c>
      <c r="P50" s="20" t="n">
        <v>0</v>
      </c>
      <c r="Q50" s="18" t="n">
        <v>1.41809809</v>
      </c>
      <c r="R50" s="20" t="n">
        <v>0.50729287</v>
      </c>
    </row>
    <row r="51" spans="1:18">
      <c r="A51" s="15" t="s">
        <v>610</v>
      </c>
      <c r="B51" s="17" t="n">
        <v>5809</v>
      </c>
      <c r="C51" s="18">
        <f>(5131.0/B51*100)</f>
        <v/>
      </c>
      <c r="D51" s="19" t="n">
        <v>678</v>
      </c>
      <c r="E51" s="18" t="n">
        <v>63.92738242</v>
      </c>
      <c r="F51" s="20" t="n">
        <v>1.89482459</v>
      </c>
      <c r="G51" s="18" t="n">
        <v>34.75433916</v>
      </c>
      <c r="H51" s="20" t="n">
        <v>1.89329421</v>
      </c>
      <c r="I51" s="18" t="n">
        <v>0</v>
      </c>
      <c r="J51" s="20" t="n">
        <v>0</v>
      </c>
      <c r="K51" s="18" t="n">
        <v>0.2903989</v>
      </c>
      <c r="L51" s="20" t="n">
        <v>0.20912993</v>
      </c>
      <c r="M51" s="18" t="n">
        <v>0</v>
      </c>
      <c r="N51" s="20" t="n">
        <v>0</v>
      </c>
      <c r="O51" s="18" t="n">
        <v>0</v>
      </c>
      <c r="P51" s="20" t="n">
        <v>0</v>
      </c>
      <c r="Q51" s="18" t="n">
        <v>1.02787952</v>
      </c>
      <c r="R51" s="20" t="n">
        <v>0.38813283</v>
      </c>
    </row>
    <row r="52" spans="1:18">
      <c r="A52" s="15" t="s">
        <v>611</v>
      </c>
      <c r="B52" s="17" t="n">
        <v>5571</v>
      </c>
      <c r="C52" s="18">
        <f>(4971.0/B52*100)</f>
        <v/>
      </c>
      <c r="D52" s="19" t="n">
        <v>600</v>
      </c>
      <c r="E52" s="18" t="n">
        <v>63.65067208</v>
      </c>
      <c r="F52" s="20" t="n">
        <v>1.91343452</v>
      </c>
      <c r="G52" s="18" t="n">
        <v>33.60285735</v>
      </c>
      <c r="H52" s="20" t="n">
        <v>1.96112805</v>
      </c>
      <c r="I52" s="18" t="n">
        <v>0</v>
      </c>
      <c r="J52" s="20" t="n">
        <v>0</v>
      </c>
      <c r="K52" s="18" t="n">
        <v>0.9232758</v>
      </c>
      <c r="L52" s="20" t="n">
        <v>0.34950388</v>
      </c>
      <c r="M52" s="18" t="n">
        <v>0</v>
      </c>
      <c r="N52" s="20" t="n">
        <v>0</v>
      </c>
      <c r="O52" s="18" t="n">
        <v>0</v>
      </c>
      <c r="P52" s="20" t="n">
        <v>0</v>
      </c>
      <c r="Q52" s="18" t="n">
        <v>1.82319477</v>
      </c>
      <c r="R52" s="20" t="n">
        <v>0.5669164799999999</v>
      </c>
    </row>
    <row r="53" spans="1:18">
      <c r="A53" s="15" t="s">
        <v>612</v>
      </c>
      <c r="B53" s="17" t="n">
        <v>4740</v>
      </c>
      <c r="C53" s="18">
        <f>(4250.0/B53*100)</f>
        <v/>
      </c>
      <c r="D53" s="19" t="n">
        <v>490</v>
      </c>
      <c r="E53" s="18" t="n">
        <v>48.78796178</v>
      </c>
      <c r="F53" s="20" t="n">
        <v>2.63067467</v>
      </c>
      <c r="G53" s="18" t="n">
        <v>30.29943584</v>
      </c>
      <c r="H53" s="20" t="n">
        <v>2.33224728</v>
      </c>
      <c r="I53" s="18" t="n">
        <v>0</v>
      </c>
      <c r="J53" s="20" t="n">
        <v>0</v>
      </c>
      <c r="K53" s="18" t="n">
        <v>18.2897366</v>
      </c>
      <c r="L53" s="20" t="n">
        <v>1.89145401</v>
      </c>
      <c r="M53" s="18" t="n">
        <v>0</v>
      </c>
      <c r="N53" s="20" t="n">
        <v>0</v>
      </c>
      <c r="O53" s="18" t="n">
        <v>0</v>
      </c>
      <c r="P53" s="20" t="n">
        <v>0</v>
      </c>
      <c r="Q53" s="18" t="n">
        <v>2.62286578</v>
      </c>
      <c r="R53" s="20" t="n">
        <v>0.75174593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(4752.0/B55*100)</f>
        <v/>
      </c>
      <c r="D55" s="19" t="n">
        <v>607</v>
      </c>
      <c r="E55" s="18" t="n">
        <v>52.9411179</v>
      </c>
      <c r="F55" s="20" t="n">
        <v>1.95510796</v>
      </c>
      <c r="G55" s="18" t="n">
        <v>46.5614975</v>
      </c>
      <c r="H55" s="20" t="n">
        <v>1.95132728</v>
      </c>
      <c r="I55" s="18" t="n">
        <v>0</v>
      </c>
      <c r="J55" s="20" t="n">
        <v>0</v>
      </c>
      <c r="K55" s="18" t="n">
        <v>0.35668205</v>
      </c>
      <c r="L55" s="20" t="n">
        <v>0.23191582</v>
      </c>
      <c r="M55" s="18" t="n">
        <v>0</v>
      </c>
      <c r="N55" s="20" t="n">
        <v>0</v>
      </c>
      <c r="O55" s="18" t="n">
        <v>0</v>
      </c>
      <c r="P55" s="20" t="n">
        <v>0</v>
      </c>
      <c r="Q55" s="18" t="n">
        <v>0.14070254</v>
      </c>
      <c r="R55" s="20" t="n">
        <v>0.15196214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(5775.0/B61*100)</f>
        <v/>
      </c>
      <c r="D61" s="19" t="n">
        <v>750</v>
      </c>
      <c r="E61" s="18" t="n">
        <v>61.36582209</v>
      </c>
      <c r="F61" s="20" t="n">
        <v>2.06505129</v>
      </c>
      <c r="G61" s="18" t="n">
        <v>37.51416957</v>
      </c>
      <c r="H61" s="20" t="n">
        <v>2.1223899</v>
      </c>
      <c r="I61" s="18" t="n">
        <v>0</v>
      </c>
      <c r="J61" s="20" t="n">
        <v>0</v>
      </c>
      <c r="K61" s="18" t="n">
        <v>0</v>
      </c>
      <c r="L61" s="20" t="n">
        <v>0</v>
      </c>
      <c r="M61" s="18" t="n">
        <v>0</v>
      </c>
      <c r="N61" s="20" t="n">
        <v>0</v>
      </c>
      <c r="O61" s="18" t="n">
        <v>0</v>
      </c>
      <c r="P61" s="20" t="n">
        <v>0</v>
      </c>
      <c r="Q61" s="18" t="n">
        <v>1.12000834</v>
      </c>
      <c r="R61" s="20" t="n">
        <v>0.40627266</v>
      </c>
    </row>
    <row r="62" spans="1:18">
      <c r="A62" s="15" t="s">
        <v>622</v>
      </c>
      <c r="B62" s="17" t="n">
        <v>4476</v>
      </c>
      <c r="C62" s="18">
        <f>(3989.0/B62*100)</f>
        <v/>
      </c>
      <c r="D62" s="19" t="n">
        <v>487</v>
      </c>
      <c r="E62" s="18" t="n">
        <v>59.74190336</v>
      </c>
      <c r="F62" s="20" t="n">
        <v>2.45788272</v>
      </c>
      <c r="G62" s="18" t="n">
        <v>40.05402283</v>
      </c>
      <c r="H62" s="20" t="n">
        <v>2.42655049</v>
      </c>
      <c r="I62" s="18" t="n">
        <v>0</v>
      </c>
      <c r="J62" s="20" t="n">
        <v>0</v>
      </c>
      <c r="K62" s="18" t="n">
        <v>0</v>
      </c>
      <c r="L62" s="20" t="n">
        <v>0</v>
      </c>
      <c r="M62" s="18" t="n">
        <v>0</v>
      </c>
      <c r="N62" s="20" t="n">
        <v>0</v>
      </c>
      <c r="O62" s="18" t="n">
        <v>0</v>
      </c>
      <c r="P62" s="20" t="n">
        <v>0</v>
      </c>
      <c r="Q62" s="18" t="n">
        <v>0.20407382</v>
      </c>
      <c r="R62" s="20" t="n">
        <v>0.2053365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(5058.0/B67*100)</f>
        <v/>
      </c>
      <c r="D67" s="19" t="n">
        <v>607</v>
      </c>
      <c r="E67" s="18" t="n">
        <v>59.00726271</v>
      </c>
      <c r="F67" s="20" t="n">
        <v>1.87217292</v>
      </c>
      <c r="G67" s="18" t="n">
        <v>35.12296396</v>
      </c>
      <c r="H67" s="20" t="n">
        <v>1.854368</v>
      </c>
      <c r="I67" s="18" t="n">
        <v>0</v>
      </c>
      <c r="J67" s="20" t="n">
        <v>0</v>
      </c>
      <c r="K67" s="18" t="n">
        <v>0.8253722</v>
      </c>
      <c r="L67" s="20" t="n">
        <v>0.48696364</v>
      </c>
      <c r="M67" s="18" t="n">
        <v>0</v>
      </c>
      <c r="N67" s="20" t="n">
        <v>0</v>
      </c>
      <c r="O67" s="18" t="n">
        <v>0</v>
      </c>
      <c r="P67" s="20" t="n">
        <v>0</v>
      </c>
      <c r="Q67" s="18" t="n">
        <v>5.04440112</v>
      </c>
      <c r="R67" s="20" t="n">
        <v>0.94286528</v>
      </c>
    </row>
    <row r="68" spans="1:18">
      <c r="A68" s="15" t="s">
        <v>628</v>
      </c>
      <c r="B68" s="17" t="n">
        <v>6971</v>
      </c>
      <c r="C68" s="18">
        <f>(6324.0/B68*100)</f>
        <v/>
      </c>
      <c r="D68" s="19" t="n">
        <v>647</v>
      </c>
      <c r="E68" s="18" t="n">
        <v>60.74790394</v>
      </c>
      <c r="F68" s="20" t="n">
        <v>2.09865004</v>
      </c>
      <c r="G68" s="18" t="n">
        <v>38.11630772</v>
      </c>
      <c r="H68" s="20" t="n">
        <v>2.1060878</v>
      </c>
      <c r="I68" s="18" t="n">
        <v>0</v>
      </c>
      <c r="J68" s="20" t="n">
        <v>0</v>
      </c>
      <c r="K68" s="18" t="n">
        <v>0.45599542</v>
      </c>
      <c r="L68" s="20" t="n">
        <v>0.32933278</v>
      </c>
      <c r="M68" s="18" t="n">
        <v>0</v>
      </c>
      <c r="N68" s="20" t="n">
        <v>0</v>
      </c>
      <c r="O68" s="18" t="n">
        <v>0</v>
      </c>
      <c r="P68" s="20" t="n">
        <v>0</v>
      </c>
      <c r="Q68" s="18" t="n">
        <v>0.67979291</v>
      </c>
      <c r="R68" s="20" t="n">
        <v>0.35370519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(10792.0/B70*100)</f>
        <v/>
      </c>
      <c r="D70" s="19" t="n">
        <v>1291</v>
      </c>
      <c r="E70" s="18" t="n">
        <v>60.49295004</v>
      </c>
      <c r="F70" s="20" t="n">
        <v>1.38377949</v>
      </c>
      <c r="G70" s="18" t="n">
        <v>33.68084983</v>
      </c>
      <c r="H70" s="20" t="n">
        <v>1.36815288</v>
      </c>
      <c r="I70" s="18" t="n">
        <v>0</v>
      </c>
      <c r="J70" s="20" t="n">
        <v>0</v>
      </c>
      <c r="K70" s="18" t="n">
        <v>3.41041987</v>
      </c>
      <c r="L70" s="20" t="n">
        <v>0.53505938</v>
      </c>
      <c r="M70" s="18" t="n">
        <v>0</v>
      </c>
      <c r="N70" s="20" t="n">
        <v>0</v>
      </c>
      <c r="O70" s="18" t="n">
        <v>0</v>
      </c>
      <c r="P70" s="20" t="n">
        <v>0</v>
      </c>
      <c r="Q70" s="18" t="n">
        <v>2.41578026</v>
      </c>
      <c r="R70" s="20" t="n">
        <v>0.40334536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(5363.0/B72*100)</f>
        <v/>
      </c>
      <c r="D72" s="19" t="n">
        <v>673</v>
      </c>
      <c r="E72" s="18" t="n">
        <v>63.53971879</v>
      </c>
      <c r="F72" s="20" t="n">
        <v>2.0540733</v>
      </c>
      <c r="G72" s="18" t="n">
        <v>35.26253988</v>
      </c>
      <c r="H72" s="20" t="n">
        <v>2.02810951</v>
      </c>
      <c r="I72" s="18" t="n">
        <v>0</v>
      </c>
      <c r="J72" s="20" t="n">
        <v>0</v>
      </c>
      <c r="K72" s="18" t="n">
        <v>0.58652048</v>
      </c>
      <c r="L72" s="20" t="n">
        <v>0.2939135</v>
      </c>
      <c r="M72" s="18" t="n">
        <v>0</v>
      </c>
      <c r="N72" s="20" t="n">
        <v>0</v>
      </c>
      <c r="O72" s="18" t="n">
        <v>0</v>
      </c>
      <c r="P72" s="20" t="n">
        <v>0</v>
      </c>
      <c r="Q72" s="18" t="n">
        <v>0.61122086</v>
      </c>
      <c r="R72" s="20" t="n">
        <v>0.28442928</v>
      </c>
    </row>
    <row r="73" spans="1:18">
      <c r="A73" s="15" t="s">
        <v>633</v>
      </c>
      <c r="B73" s="17" t="n">
        <v>6115</v>
      </c>
      <c r="C73" s="18">
        <f>(5460.0/B73*100)</f>
        <v/>
      </c>
      <c r="D73" s="19" t="n">
        <v>655</v>
      </c>
      <c r="E73" s="18" t="n">
        <v>42.14191363</v>
      </c>
      <c r="F73" s="20" t="n">
        <v>1.96706542</v>
      </c>
      <c r="G73" s="18" t="n">
        <v>56.98765422</v>
      </c>
      <c r="H73" s="20" t="n">
        <v>2.01210768</v>
      </c>
      <c r="I73" s="18" t="n">
        <v>0</v>
      </c>
      <c r="J73" s="20" t="n">
        <v>0</v>
      </c>
      <c r="K73" s="18" t="n">
        <v>0.6149364</v>
      </c>
      <c r="L73" s="20" t="n">
        <v>0.30862586</v>
      </c>
      <c r="M73" s="18" t="n">
        <v>0</v>
      </c>
      <c r="N73" s="20" t="n">
        <v>0</v>
      </c>
      <c r="O73" s="18" t="n">
        <v>0</v>
      </c>
      <c r="P73" s="20" t="n">
        <v>0</v>
      </c>
      <c r="Q73" s="18" t="n">
        <v>0.25549575</v>
      </c>
      <c r="R73" s="20" t="n">
        <v>0.18571615</v>
      </c>
    </row>
    <row r="74" spans="1:18">
      <c r="A74" s="15" t="s">
        <v>634</v>
      </c>
      <c r="B74" s="17" t="n">
        <v>7708</v>
      </c>
      <c r="C74" s="18">
        <f>(6878.0/B74*100)</f>
        <v/>
      </c>
      <c r="D74" s="19" t="n">
        <v>830</v>
      </c>
      <c r="E74" s="18" t="n">
        <v>58.40259203</v>
      </c>
      <c r="F74" s="20" t="n">
        <v>1.7700747</v>
      </c>
      <c r="G74" s="18" t="n">
        <v>40.9972415</v>
      </c>
      <c r="H74" s="20" t="n">
        <v>1.76484395</v>
      </c>
      <c r="I74" s="18" t="n">
        <v>0</v>
      </c>
      <c r="J74" s="20" t="n">
        <v>0</v>
      </c>
      <c r="K74" s="18" t="n">
        <v>0</v>
      </c>
      <c r="L74" s="20" t="n">
        <v>0</v>
      </c>
      <c r="M74" s="18" t="n">
        <v>0</v>
      </c>
      <c r="N74" s="20" t="n">
        <v>0</v>
      </c>
      <c r="O74" s="18" t="n">
        <v>0</v>
      </c>
      <c r="P74" s="20" t="n">
        <v>0</v>
      </c>
      <c r="Q74" s="18" t="n">
        <v>0.60016646</v>
      </c>
      <c r="R74" s="20" t="n">
        <v>0.28464861</v>
      </c>
    </row>
    <row r="75" spans="1:18">
      <c r="A75" s="15" t="s">
        <v>635</v>
      </c>
      <c r="B75" s="17" t="n">
        <v>8249</v>
      </c>
      <c r="C75" s="18">
        <f>(7366.0/B75*100)</f>
        <v/>
      </c>
      <c r="D75" s="19" t="n">
        <v>883</v>
      </c>
      <c r="E75" s="18" t="n">
        <v>56.86772637</v>
      </c>
      <c r="F75" s="20" t="n">
        <v>1.93233832</v>
      </c>
      <c r="G75" s="18" t="n">
        <v>42.40668103</v>
      </c>
      <c r="H75" s="20" t="n">
        <v>1.89325636</v>
      </c>
      <c r="I75" s="18" t="n">
        <v>0</v>
      </c>
      <c r="J75" s="20" t="n">
        <v>0</v>
      </c>
      <c r="K75" s="18" t="n">
        <v>0.31361403</v>
      </c>
      <c r="L75" s="20" t="n">
        <v>0.22110645</v>
      </c>
      <c r="M75" s="18" t="n">
        <v>0</v>
      </c>
      <c r="N75" s="20" t="n">
        <v>0</v>
      </c>
      <c r="O75" s="18" t="n">
        <v>0</v>
      </c>
      <c r="P75" s="20" t="n">
        <v>0</v>
      </c>
      <c r="Q75" s="18" t="n">
        <v>0.41197858</v>
      </c>
      <c r="R75" s="20" t="n">
        <v>0.23826092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(4836.0/B77*100)</f>
        <v/>
      </c>
      <c r="D77" s="19" t="n">
        <v>539</v>
      </c>
      <c r="E77" s="18" t="n">
        <v>66.79314063</v>
      </c>
      <c r="F77" s="20" t="n">
        <v>2.02864121</v>
      </c>
      <c r="G77" s="18" t="n">
        <v>23.90439131</v>
      </c>
      <c r="H77" s="20" t="n">
        <v>1.62768989</v>
      </c>
      <c r="I77" s="18" t="n">
        <v>0</v>
      </c>
      <c r="J77" s="20" t="n">
        <v>0</v>
      </c>
      <c r="K77" s="18" t="n">
        <v>5.54910026</v>
      </c>
      <c r="L77" s="20" t="n">
        <v>1.15845693</v>
      </c>
      <c r="M77" s="18" t="n">
        <v>0</v>
      </c>
      <c r="N77" s="20" t="n">
        <v>0</v>
      </c>
      <c r="O77" s="18" t="n">
        <v>0</v>
      </c>
      <c r="P77" s="20" t="n">
        <v>0</v>
      </c>
      <c r="Q77" s="18" t="n">
        <v>3.7533678</v>
      </c>
      <c r="R77" s="20" t="n">
        <v>0.87657589</v>
      </c>
    </row>
    <row r="78" spans="1:18">
      <c r="A78" s="15" t="s">
        <v>638</v>
      </c>
      <c r="B78" s="17" t="n">
        <v>14167</v>
      </c>
      <c r="C78" s="18">
        <f>(12633.0/B78*100)</f>
        <v/>
      </c>
      <c r="D78" s="19" t="n">
        <v>1534</v>
      </c>
      <c r="E78" s="18" t="n">
        <v>61.04162578</v>
      </c>
      <c r="F78" s="20" t="n">
        <v>1.63376419</v>
      </c>
      <c r="G78" s="18" t="n">
        <v>36.11015311</v>
      </c>
      <c r="H78" s="20" t="n">
        <v>1.55613016</v>
      </c>
      <c r="I78" s="18" t="n">
        <v>0</v>
      </c>
      <c r="J78" s="20" t="n">
        <v>0</v>
      </c>
      <c r="K78" s="18" t="n">
        <v>1.44689671</v>
      </c>
      <c r="L78" s="20" t="n">
        <v>0.48525893</v>
      </c>
      <c r="M78" s="18" t="n">
        <v>0</v>
      </c>
      <c r="N78" s="20" t="n">
        <v>0</v>
      </c>
      <c r="O78" s="18" t="n">
        <v>0</v>
      </c>
      <c r="P78" s="20" t="n">
        <v>0</v>
      </c>
      <c r="Q78" s="18" t="n">
        <v>1.40132441</v>
      </c>
      <c r="R78" s="20" t="n">
        <v>0.3169353</v>
      </c>
    </row>
    <row r="79" spans="1:18">
      <c r="A79" s="15" t="s">
        <v>639</v>
      </c>
      <c r="B79" s="17" t="n">
        <v>6062</v>
      </c>
      <c r="C79" s="18">
        <f>(5448.0/B79*100)</f>
        <v/>
      </c>
      <c r="D79" s="19" t="n">
        <v>614</v>
      </c>
      <c r="E79" s="18" t="n">
        <v>65.60857512</v>
      </c>
      <c r="F79" s="20" t="n">
        <v>1.9370569</v>
      </c>
      <c r="G79" s="18" t="n">
        <v>30.15871006</v>
      </c>
      <c r="H79" s="20" t="n">
        <v>1.79375618</v>
      </c>
      <c r="I79" s="18" t="n">
        <v>0</v>
      </c>
      <c r="J79" s="20" t="n">
        <v>0</v>
      </c>
      <c r="K79" s="18" t="n">
        <v>2.12555415</v>
      </c>
      <c r="L79" s="20" t="n">
        <v>0.63385324</v>
      </c>
      <c r="M79" s="18" t="n">
        <v>0</v>
      </c>
      <c r="N79" s="20" t="n">
        <v>0</v>
      </c>
      <c r="O79" s="18" t="n">
        <v>0</v>
      </c>
      <c r="P79" s="20" t="n">
        <v>0</v>
      </c>
      <c r="Q79" s="18" t="n">
        <v>2.10716067</v>
      </c>
      <c r="R79" s="20" t="n">
        <v>0.6013811100000001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(28879.0/B82*100)</f>
        <v/>
      </c>
      <c r="D82" s="19" t="n">
        <v>3451</v>
      </c>
      <c r="E82" s="18" t="n">
        <v>56.42996396</v>
      </c>
      <c r="F82" s="20" t="n">
        <v>1.12583067</v>
      </c>
      <c r="G82" s="18" t="n">
        <v>41.85573234</v>
      </c>
      <c r="H82" s="20" t="n">
        <v>1.13546029</v>
      </c>
      <c r="I82" s="18" t="n">
        <v>0</v>
      </c>
      <c r="J82" s="20" t="n">
        <v>0</v>
      </c>
      <c r="K82" s="18" t="n">
        <v>0.77314212</v>
      </c>
      <c r="L82" s="20" t="n">
        <v>0.2120837</v>
      </c>
      <c r="M82" s="18" t="n">
        <v>0</v>
      </c>
      <c r="N82" s="20" t="n">
        <v>0</v>
      </c>
      <c r="O82" s="18" t="n">
        <v>0</v>
      </c>
      <c r="P82" s="20" t="n">
        <v>0</v>
      </c>
      <c r="Q82" s="18" t="n">
        <v>0.94116157</v>
      </c>
      <c r="R82" s="20" t="n">
        <v>0.28874917</v>
      </c>
    </row>
    <row r="83" spans="1:18">
      <c r="A83" s="15" t="s">
        <v>643</v>
      </c>
      <c r="B83" s="17" t="n">
        <v>1652</v>
      </c>
      <c r="C83" s="18">
        <f>(1472.0/B83*100)</f>
        <v/>
      </c>
      <c r="D83" s="19" t="n">
        <v>180</v>
      </c>
      <c r="E83" s="18" t="n">
        <v>49.43297558</v>
      </c>
      <c r="F83" s="20" t="n">
        <v>4.25177863</v>
      </c>
      <c r="G83" s="18" t="n">
        <v>49.91433098</v>
      </c>
      <c r="H83" s="20" t="n">
        <v>4.37514772</v>
      </c>
      <c r="I83" s="18" t="n">
        <v>0</v>
      </c>
      <c r="J83" s="20" t="n">
        <v>0</v>
      </c>
      <c r="K83" s="18" t="n">
        <v>0.65269345</v>
      </c>
      <c r="L83" s="20" t="n">
        <v>0.60782277</v>
      </c>
      <c r="M83" s="18" t="n">
        <v>0</v>
      </c>
      <c r="N83" s="20" t="n">
        <v>0</v>
      </c>
      <c r="O83" s="18" t="n">
        <v>0</v>
      </c>
      <c r="P83" s="20" t="n">
        <v>0</v>
      </c>
      <c r="Q83" s="18" t="n">
        <v>0</v>
      </c>
      <c r="R83" s="20" t="n">
        <v>0</v>
      </c>
    </row>
    <row r="84" spans="1:18">
      <c r="A84" s="23" t="s">
        <v>644</v>
      </c>
      <c r="B84" s="24" t="n">
        <v>1887</v>
      </c>
      <c r="C84" s="25">
        <f>(1677.0/B84*100)</f>
        <v/>
      </c>
      <c r="D84" s="19" t="n">
        <v>210</v>
      </c>
      <c r="E84" s="18" t="n">
        <v>53.91300331</v>
      </c>
      <c r="F84" s="20" t="n">
        <v>3.8003612</v>
      </c>
      <c r="G84" s="18" t="n">
        <v>45.44373499</v>
      </c>
      <c r="H84" s="20" t="n">
        <v>3.6187374</v>
      </c>
      <c r="I84" s="18" t="n">
        <v>0</v>
      </c>
      <c r="J84" s="20" t="n">
        <v>0</v>
      </c>
      <c r="K84" s="18" t="n">
        <v>0.64326169</v>
      </c>
      <c r="L84" s="20" t="n">
        <v>0.6266621999999999</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3.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692</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(13005.0/B7*100)</f>
        <v/>
      </c>
      <c r="D7" s="19" t="n">
        <v>1525</v>
      </c>
      <c r="E7" s="18" t="n">
        <v>30.53468988</v>
      </c>
      <c r="F7" s="20" t="n">
        <v>1.27747349</v>
      </c>
      <c r="G7" s="18" t="n">
        <v>11.65123086</v>
      </c>
      <c r="H7" s="20" t="n">
        <v>0.90075005</v>
      </c>
      <c r="I7" s="18" t="n">
        <v>53.39879231</v>
      </c>
      <c r="J7" s="20" t="n">
        <v>1.5057001</v>
      </c>
      <c r="K7" s="18" t="n">
        <v>0</v>
      </c>
      <c r="L7" s="20" t="n">
        <v>0</v>
      </c>
      <c r="M7" s="18" t="n">
        <v>1.13673429</v>
      </c>
      <c r="N7" s="20" t="n">
        <v>0.30629734</v>
      </c>
      <c r="O7" s="18" t="n">
        <v>0.17823723</v>
      </c>
      <c r="P7" s="20" t="n">
        <v>0.15835091</v>
      </c>
      <c r="Q7" s="18" t="n">
        <v>0</v>
      </c>
      <c r="R7" s="20" t="n">
        <v>0</v>
      </c>
      <c r="S7" s="18" t="n">
        <v>3.10031543</v>
      </c>
      <c r="T7" s="20" t="n">
        <v>0.51925371</v>
      </c>
    </row>
    <row r="8" spans="1:20">
      <c r="A8" s="15" t="s">
        <v>566</v>
      </c>
      <c r="B8" s="17" t="n">
        <v>7007</v>
      </c>
      <c r="C8" s="18">
        <f>(6241.0/B8*100)</f>
        <v/>
      </c>
      <c r="D8" s="19" t="n">
        <v>766</v>
      </c>
      <c r="E8" s="18" t="n">
        <v>46.13076835</v>
      </c>
      <c r="F8" s="20" t="n">
        <v>1.91066639</v>
      </c>
      <c r="G8" s="18" t="n">
        <v>4.40066948</v>
      </c>
      <c r="H8" s="20" t="n">
        <v>0.87990389</v>
      </c>
      <c r="I8" s="18" t="n">
        <v>46.4884797</v>
      </c>
      <c r="J8" s="20" t="n">
        <v>1.87287246</v>
      </c>
      <c r="K8" s="18" t="n">
        <v>0</v>
      </c>
      <c r="L8" s="20" t="n">
        <v>0</v>
      </c>
      <c r="M8" s="18" t="n">
        <v>1.2231789</v>
      </c>
      <c r="N8" s="20" t="n">
        <v>0.41271793</v>
      </c>
      <c r="O8" s="18" t="n">
        <v>0</v>
      </c>
      <c r="P8" s="20" t="n">
        <v>0</v>
      </c>
      <c r="Q8" s="18" t="n">
        <v>0</v>
      </c>
      <c r="R8" s="20" t="n">
        <v>0</v>
      </c>
      <c r="S8" s="18" t="n">
        <v>1.75690356</v>
      </c>
      <c r="T8" s="20" t="n">
        <v>0.49805172</v>
      </c>
    </row>
    <row r="9" spans="1:20">
      <c r="A9" s="15" t="s">
        <v>567</v>
      </c>
      <c r="B9" s="17" t="n">
        <v>9651</v>
      </c>
      <c r="C9" s="18">
        <f>(8651.0/B9*100)</f>
        <v/>
      </c>
      <c r="D9" s="19" t="n">
        <v>1000</v>
      </c>
      <c r="E9" s="18" t="n">
        <v>27.27846958</v>
      </c>
      <c r="F9" s="20" t="n">
        <v>1.44007695</v>
      </c>
      <c r="G9" s="18" t="n">
        <v>5.07006763</v>
      </c>
      <c r="H9" s="20" t="n">
        <v>0.80949668</v>
      </c>
      <c r="I9" s="18" t="n">
        <v>64.72700804999999</v>
      </c>
      <c r="J9" s="20" t="n">
        <v>1.47706439</v>
      </c>
      <c r="K9" s="18" t="n">
        <v>0</v>
      </c>
      <c r="L9" s="20" t="n">
        <v>0</v>
      </c>
      <c r="M9" s="18" t="n">
        <v>0.39817379</v>
      </c>
      <c r="N9" s="20" t="n">
        <v>0.21551436</v>
      </c>
      <c r="O9" s="18" t="n">
        <v>0.34264707</v>
      </c>
      <c r="P9" s="20" t="n">
        <v>0.20805926</v>
      </c>
      <c r="Q9" s="18" t="n">
        <v>0</v>
      </c>
      <c r="R9" s="20" t="n">
        <v>0</v>
      </c>
      <c r="S9" s="18" t="n">
        <v>2.18363388</v>
      </c>
      <c r="T9" s="20" t="n">
        <v>0.56254435</v>
      </c>
    </row>
    <row r="10" spans="1:20">
      <c r="A10" s="15" t="s">
        <v>568</v>
      </c>
      <c r="B10" s="17" t="n">
        <v>20058</v>
      </c>
      <c r="C10" s="18">
        <f>(17783.0/B10*100)</f>
        <v/>
      </c>
      <c r="D10" s="19" t="n">
        <v>2275</v>
      </c>
      <c r="E10" s="18" t="n">
        <v>27.35264167</v>
      </c>
      <c r="F10" s="20" t="n">
        <v>1.29665726</v>
      </c>
      <c r="G10" s="18" t="n">
        <v>6.79107155</v>
      </c>
      <c r="H10" s="20" t="n">
        <v>0.77935272</v>
      </c>
      <c r="I10" s="18" t="n">
        <v>64.08383809999999</v>
      </c>
      <c r="J10" s="20" t="n">
        <v>1.30295822</v>
      </c>
      <c r="K10" s="18" t="n">
        <v>0</v>
      </c>
      <c r="L10" s="20" t="n">
        <v>0</v>
      </c>
      <c r="M10" s="18" t="n">
        <v>1.02886725</v>
      </c>
      <c r="N10" s="20" t="n">
        <v>0.34852758</v>
      </c>
      <c r="O10" s="18" t="n">
        <v>0.00607975</v>
      </c>
      <c r="P10" s="20" t="n">
        <v>0.00613708</v>
      </c>
      <c r="Q10" s="18" t="n">
        <v>0</v>
      </c>
      <c r="R10" s="20" t="n">
        <v>0</v>
      </c>
      <c r="S10" s="18" t="n">
        <v>0.73750168</v>
      </c>
      <c r="T10" s="20" t="n">
        <v>0.25452119</v>
      </c>
    </row>
    <row r="11" spans="1:20">
      <c r="A11" s="15" t="s">
        <v>569</v>
      </c>
      <c r="B11" s="17" t="n">
        <v>7053</v>
      </c>
      <c r="C11" s="18">
        <f>(6334.0/B11*100)</f>
        <v/>
      </c>
      <c r="D11" s="19" t="n">
        <v>719</v>
      </c>
      <c r="E11" s="18" t="n">
        <v>50.48135328</v>
      </c>
      <c r="F11" s="20" t="n">
        <v>2.39195531</v>
      </c>
      <c r="G11" s="18" t="n">
        <v>19.38751519</v>
      </c>
      <c r="H11" s="20" t="n">
        <v>1.46515951</v>
      </c>
      <c r="I11" s="18" t="n">
        <v>26.0446769</v>
      </c>
      <c r="J11" s="20" t="n">
        <v>1.90828245</v>
      </c>
      <c r="K11" s="18" t="n">
        <v>0</v>
      </c>
      <c r="L11" s="20" t="n">
        <v>0</v>
      </c>
      <c r="M11" s="18" t="n">
        <v>2.57140379</v>
      </c>
      <c r="N11" s="20" t="n">
        <v>0.66539963</v>
      </c>
      <c r="O11" s="18" t="n">
        <v>0</v>
      </c>
      <c r="P11" s="20" t="n">
        <v>0</v>
      </c>
      <c r="Q11" s="18" t="n">
        <v>0</v>
      </c>
      <c r="R11" s="20" t="n">
        <v>0</v>
      </c>
      <c r="S11" s="18" t="n">
        <v>1.51505084</v>
      </c>
      <c r="T11" s="20" t="n">
        <v>0.48455938</v>
      </c>
    </row>
    <row r="12" spans="1:20">
      <c r="A12" s="15" t="s">
        <v>570</v>
      </c>
      <c r="B12" s="17" t="n">
        <v>6894</v>
      </c>
      <c r="C12" s="18">
        <f>(6138.0/B12*100)</f>
        <v/>
      </c>
      <c r="D12" s="19" t="n">
        <v>756</v>
      </c>
      <c r="E12" s="18" t="n">
        <v>50.85680584</v>
      </c>
      <c r="F12" s="20" t="n">
        <v>2.18821</v>
      </c>
      <c r="G12" s="18" t="n">
        <v>11.44994871</v>
      </c>
      <c r="H12" s="20" t="n">
        <v>1.33553457</v>
      </c>
      <c r="I12" s="18" t="n">
        <v>35.75375583</v>
      </c>
      <c r="J12" s="20" t="n">
        <v>2.21476727</v>
      </c>
      <c r="K12" s="18" t="n">
        <v>0</v>
      </c>
      <c r="L12" s="20" t="n">
        <v>0</v>
      </c>
      <c r="M12" s="18" t="n">
        <v>0.48702361</v>
      </c>
      <c r="N12" s="20" t="n">
        <v>0.29188004</v>
      </c>
      <c r="O12" s="18" t="n">
        <v>0</v>
      </c>
      <c r="P12" s="20" t="n">
        <v>0</v>
      </c>
      <c r="Q12" s="18" t="n">
        <v>0</v>
      </c>
      <c r="R12" s="20" t="n">
        <v>0</v>
      </c>
      <c r="S12" s="18" t="n">
        <v>1.45246601</v>
      </c>
      <c r="T12" s="20" t="n">
        <v>0.56854514</v>
      </c>
    </row>
    <row r="13" spans="1:20">
      <c r="A13" s="15" t="s">
        <v>571</v>
      </c>
      <c r="B13" s="17" t="n">
        <v>7161</v>
      </c>
      <c r="C13" s="18">
        <f>(6392.0/B13*100)</f>
        <v/>
      </c>
      <c r="D13" s="19" t="n">
        <v>769</v>
      </c>
      <c r="E13" s="18" t="n">
        <v>31.62036946</v>
      </c>
      <c r="F13" s="20" t="n">
        <v>1.97678008</v>
      </c>
      <c r="G13" s="18" t="n">
        <v>5.10548576</v>
      </c>
      <c r="H13" s="20" t="n">
        <v>0.8121111</v>
      </c>
      <c r="I13" s="18" t="n">
        <v>60.90180601</v>
      </c>
      <c r="J13" s="20" t="n">
        <v>2.03719083</v>
      </c>
      <c r="K13" s="18" t="n">
        <v>0</v>
      </c>
      <c r="L13" s="20" t="n">
        <v>0</v>
      </c>
      <c r="M13" s="18" t="n">
        <v>1.15842121</v>
      </c>
      <c r="N13" s="20" t="n">
        <v>0.53633429</v>
      </c>
      <c r="O13" s="18" t="n">
        <v>0</v>
      </c>
      <c r="P13" s="20" t="n">
        <v>0</v>
      </c>
      <c r="Q13" s="18" t="n">
        <v>0</v>
      </c>
      <c r="R13" s="20" t="n">
        <v>0</v>
      </c>
      <c r="S13" s="18" t="n">
        <v>1.21391755</v>
      </c>
      <c r="T13" s="20" t="n">
        <v>0.38013285</v>
      </c>
    </row>
    <row r="14" spans="1:20">
      <c r="A14" s="15" t="s">
        <v>572</v>
      </c>
      <c r="B14" s="17" t="n">
        <v>5587</v>
      </c>
      <c r="C14" s="18">
        <f>(4962.0/B14*100)</f>
        <v/>
      </c>
      <c r="D14" s="19" t="n">
        <v>625</v>
      </c>
      <c r="E14" s="18" t="n">
        <v>15.33814858</v>
      </c>
      <c r="F14" s="20" t="n">
        <v>1.46495671</v>
      </c>
      <c r="G14" s="18" t="n">
        <v>28.96404989</v>
      </c>
      <c r="H14" s="20" t="n">
        <v>2.16046501</v>
      </c>
      <c r="I14" s="18" t="n">
        <v>55.23934334</v>
      </c>
      <c r="J14" s="20" t="n">
        <v>2.21911312</v>
      </c>
      <c r="K14" s="18" t="n">
        <v>0</v>
      </c>
      <c r="L14" s="20" t="n">
        <v>0</v>
      </c>
      <c r="M14" s="18" t="n">
        <v>0.12434356</v>
      </c>
      <c r="N14" s="20" t="n">
        <v>0.12345241</v>
      </c>
      <c r="O14" s="18" t="n">
        <v>0</v>
      </c>
      <c r="P14" s="20" t="n">
        <v>0</v>
      </c>
      <c r="Q14" s="18" t="n">
        <v>0</v>
      </c>
      <c r="R14" s="20" t="n">
        <v>0</v>
      </c>
      <c r="S14" s="18" t="n">
        <v>0.33411462</v>
      </c>
      <c r="T14" s="20" t="n">
        <v>0.23607296</v>
      </c>
    </row>
    <row r="15" spans="1:20">
      <c r="A15" s="15" t="s">
        <v>573</v>
      </c>
      <c r="B15" s="17" t="n">
        <v>5882</v>
      </c>
      <c r="C15" s="18">
        <f>(5285.0/B15*100)</f>
        <v/>
      </c>
      <c r="D15" s="19" t="n">
        <v>597</v>
      </c>
      <c r="E15" s="18" t="n">
        <v>33.0863022</v>
      </c>
      <c r="F15" s="20" t="n">
        <v>1.69011011</v>
      </c>
      <c r="G15" s="18" t="n">
        <v>5.15071378</v>
      </c>
      <c r="H15" s="20" t="n">
        <v>0.98550564</v>
      </c>
      <c r="I15" s="18" t="n">
        <v>59.7492998</v>
      </c>
      <c r="J15" s="20" t="n">
        <v>1.96928671</v>
      </c>
      <c r="K15" s="18" t="n">
        <v>0</v>
      </c>
      <c r="L15" s="20" t="n">
        <v>0</v>
      </c>
      <c r="M15" s="18" t="n">
        <v>0.14138452</v>
      </c>
      <c r="N15" s="20" t="n">
        <v>0.14584766</v>
      </c>
      <c r="O15" s="18" t="n">
        <v>0</v>
      </c>
      <c r="P15" s="20" t="n">
        <v>0</v>
      </c>
      <c r="Q15" s="18" t="n">
        <v>0</v>
      </c>
      <c r="R15" s="20" t="n">
        <v>0</v>
      </c>
      <c r="S15" s="18" t="n">
        <v>1.8722997</v>
      </c>
      <c r="T15" s="20" t="n">
        <v>0.55510621</v>
      </c>
    </row>
    <row r="16" spans="1:20">
      <c r="A16" s="15" t="s">
        <v>574</v>
      </c>
      <c r="B16" s="17" t="n">
        <v>6108</v>
      </c>
      <c r="C16" s="18">
        <f>(5458.0/B16*100)</f>
        <v/>
      </c>
      <c r="D16" s="19" t="n">
        <v>650</v>
      </c>
      <c r="E16" s="18" t="n">
        <v>25.17839721</v>
      </c>
      <c r="F16" s="20" t="n">
        <v>1.98296608</v>
      </c>
      <c r="G16" s="18" t="n">
        <v>2.77880108</v>
      </c>
      <c r="H16" s="20" t="n">
        <v>0.6137070100000001</v>
      </c>
      <c r="I16" s="18" t="n">
        <v>68.04257373999999</v>
      </c>
      <c r="J16" s="20" t="n">
        <v>1.99522879</v>
      </c>
      <c r="K16" s="18" t="n">
        <v>0</v>
      </c>
      <c r="L16" s="20" t="n">
        <v>0</v>
      </c>
      <c r="M16" s="18" t="n">
        <v>1.58318502</v>
      </c>
      <c r="N16" s="20" t="n">
        <v>0.6036566</v>
      </c>
      <c r="O16" s="18" t="n">
        <v>0</v>
      </c>
      <c r="P16" s="20" t="n">
        <v>0</v>
      </c>
      <c r="Q16" s="18" t="n">
        <v>0</v>
      </c>
      <c r="R16" s="20" t="n">
        <v>0</v>
      </c>
      <c r="S16" s="18" t="n">
        <v>2.41704296</v>
      </c>
      <c r="T16" s="20" t="n">
        <v>0.7523055199999999</v>
      </c>
    </row>
    <row r="17" spans="1:20">
      <c r="A17" s="15" t="s">
        <v>575</v>
      </c>
      <c r="B17" s="17" t="n">
        <v>6504</v>
      </c>
      <c r="C17" s="18">
        <f>(5832.0/B17*100)</f>
        <v/>
      </c>
      <c r="D17" s="19" t="n">
        <v>672</v>
      </c>
      <c r="E17" s="18" t="n">
        <v>32.51074965</v>
      </c>
      <c r="F17" s="20" t="n">
        <v>1.80898841</v>
      </c>
      <c r="G17" s="18" t="n">
        <v>5.40276291</v>
      </c>
      <c r="H17" s="20" t="n">
        <v>0.86989041</v>
      </c>
      <c r="I17" s="18" t="n">
        <v>58.87712184</v>
      </c>
      <c r="J17" s="20" t="n">
        <v>2.10236601</v>
      </c>
      <c r="K17" s="18" t="n">
        <v>0</v>
      </c>
      <c r="L17" s="20" t="n">
        <v>0</v>
      </c>
      <c r="M17" s="18" t="n">
        <v>0.4711923</v>
      </c>
      <c r="N17" s="20" t="n">
        <v>0.22419909</v>
      </c>
      <c r="O17" s="18" t="n">
        <v>0</v>
      </c>
      <c r="P17" s="20" t="n">
        <v>0</v>
      </c>
      <c r="Q17" s="18" t="n">
        <v>0</v>
      </c>
      <c r="R17" s="20" t="n">
        <v>0</v>
      </c>
      <c r="S17" s="18" t="n">
        <v>2.73817331</v>
      </c>
      <c r="T17" s="20" t="n">
        <v>0.7791995900000001</v>
      </c>
    </row>
    <row r="18" spans="1:20">
      <c r="A18" s="15" t="s">
        <v>576</v>
      </c>
      <c r="B18" s="17" t="n">
        <v>5532</v>
      </c>
      <c r="C18" s="18">
        <f>(4919.0/B18*100)</f>
        <v/>
      </c>
      <c r="D18" s="19" t="n">
        <v>613</v>
      </c>
      <c r="E18" s="18" t="n">
        <v>48.55382766</v>
      </c>
      <c r="F18" s="20" t="n">
        <v>2.33189427</v>
      </c>
      <c r="G18" s="18" t="n">
        <v>7.30027971</v>
      </c>
      <c r="H18" s="20" t="n">
        <v>1.20520138</v>
      </c>
      <c r="I18" s="18" t="n">
        <v>41.99946158</v>
      </c>
      <c r="J18" s="20" t="n">
        <v>1.90536939</v>
      </c>
      <c r="K18" s="18" t="n">
        <v>0</v>
      </c>
      <c r="L18" s="20" t="n">
        <v>0</v>
      </c>
      <c r="M18" s="18" t="n">
        <v>0.6343748299999999</v>
      </c>
      <c r="N18" s="20" t="n">
        <v>0.31284962</v>
      </c>
      <c r="O18" s="18" t="n">
        <v>0</v>
      </c>
      <c r="P18" s="20" t="n">
        <v>0</v>
      </c>
      <c r="Q18" s="18" t="n">
        <v>0</v>
      </c>
      <c r="R18" s="20" t="n">
        <v>0</v>
      </c>
      <c r="S18" s="18" t="n">
        <v>1.51205621</v>
      </c>
      <c r="T18" s="20" t="n">
        <v>0.52890025</v>
      </c>
    </row>
    <row r="19" spans="1:20">
      <c r="A19" s="15" t="s">
        <v>577</v>
      </c>
      <c r="B19" s="17" t="n">
        <v>5658</v>
      </c>
      <c r="C19" s="18">
        <f>(5060.0/B19*100)</f>
        <v/>
      </c>
      <c r="D19" s="19" t="n">
        <v>598</v>
      </c>
      <c r="E19" s="18" t="n">
        <v>42.99616486</v>
      </c>
      <c r="F19" s="20" t="n">
        <v>2.46212468</v>
      </c>
      <c r="G19" s="18" t="n">
        <v>5.53956978</v>
      </c>
      <c r="H19" s="20" t="n">
        <v>1.00557478</v>
      </c>
      <c r="I19" s="18" t="n">
        <v>50.75135408</v>
      </c>
      <c r="J19" s="20" t="n">
        <v>2.30411849</v>
      </c>
      <c r="K19" s="18" t="n">
        <v>0</v>
      </c>
      <c r="L19" s="20" t="n">
        <v>0</v>
      </c>
      <c r="M19" s="18" t="n">
        <v>0</v>
      </c>
      <c r="N19" s="20" t="n">
        <v>0</v>
      </c>
      <c r="O19" s="18" t="n">
        <v>0</v>
      </c>
      <c r="P19" s="20" t="n">
        <v>0</v>
      </c>
      <c r="Q19" s="18" t="n">
        <v>0</v>
      </c>
      <c r="R19" s="20" t="n">
        <v>0</v>
      </c>
      <c r="S19" s="18" t="n">
        <v>0.71291128</v>
      </c>
      <c r="T19" s="20" t="n">
        <v>0.45683949</v>
      </c>
    </row>
    <row r="20" spans="1:20">
      <c r="A20" s="15" t="s">
        <v>578</v>
      </c>
      <c r="B20" s="17" t="n">
        <v>3371</v>
      </c>
      <c r="C20" s="18">
        <f>(2981.0/B20*100)</f>
        <v/>
      </c>
      <c r="D20" s="19" t="n">
        <v>390</v>
      </c>
      <c r="E20" s="18" t="n">
        <v>64.15838979</v>
      </c>
      <c r="F20" s="20" t="n">
        <v>2.37597077</v>
      </c>
      <c r="G20" s="18" t="n">
        <v>4.0254095</v>
      </c>
      <c r="H20" s="20" t="n">
        <v>0.97829016</v>
      </c>
      <c r="I20" s="18" t="n">
        <v>29.18171879</v>
      </c>
      <c r="J20" s="20" t="n">
        <v>2.43520289</v>
      </c>
      <c r="K20" s="18" t="n">
        <v>0</v>
      </c>
      <c r="L20" s="20" t="n">
        <v>0</v>
      </c>
      <c r="M20" s="18" t="n">
        <v>0.47035875</v>
      </c>
      <c r="N20" s="20" t="n">
        <v>0.33194109</v>
      </c>
      <c r="O20" s="18" t="n">
        <v>0</v>
      </c>
      <c r="P20" s="20" t="n">
        <v>0</v>
      </c>
      <c r="Q20" s="18" t="n">
        <v>0</v>
      </c>
      <c r="R20" s="20" t="n">
        <v>0</v>
      </c>
      <c r="S20" s="18" t="n">
        <v>2.16412317</v>
      </c>
      <c r="T20" s="20" t="n">
        <v>0.76134539</v>
      </c>
    </row>
    <row r="21" spans="1:20">
      <c r="A21" s="15" t="s">
        <v>579</v>
      </c>
      <c r="B21" s="17" t="n">
        <v>5741</v>
      </c>
      <c r="C21" s="18">
        <f>(5121.0/B21*100)</f>
        <v/>
      </c>
      <c r="D21" s="19" t="n">
        <v>620</v>
      </c>
      <c r="E21" s="18" t="n">
        <v>18.48897936</v>
      </c>
      <c r="F21" s="20" t="n">
        <v>1.79717766</v>
      </c>
      <c r="G21" s="18" t="n">
        <v>7.99096769</v>
      </c>
      <c r="H21" s="20" t="n">
        <v>1.25814437</v>
      </c>
      <c r="I21" s="18" t="n">
        <v>71.51802545</v>
      </c>
      <c r="J21" s="20" t="n">
        <v>2.05853079</v>
      </c>
      <c r="K21" s="18" t="n">
        <v>0</v>
      </c>
      <c r="L21" s="20" t="n">
        <v>0</v>
      </c>
      <c r="M21" s="18" t="n">
        <v>0.78794675</v>
      </c>
      <c r="N21" s="20" t="n">
        <v>0.41216507</v>
      </c>
      <c r="O21" s="18" t="n">
        <v>0</v>
      </c>
      <c r="P21" s="20" t="n">
        <v>0</v>
      </c>
      <c r="Q21" s="18" t="n">
        <v>0</v>
      </c>
      <c r="R21" s="20" t="n">
        <v>0</v>
      </c>
      <c r="S21" s="18" t="n">
        <v>1.21408074</v>
      </c>
      <c r="T21" s="20" t="n">
        <v>0.51715056</v>
      </c>
    </row>
    <row r="22" spans="1:20">
      <c r="A22" s="15" t="s">
        <v>580</v>
      </c>
      <c r="B22" s="17" t="n">
        <v>6598</v>
      </c>
      <c r="C22" s="18">
        <f>(5873.0/B22*100)</f>
        <v/>
      </c>
      <c r="D22" s="19" t="n">
        <v>725</v>
      </c>
      <c r="E22" s="18" t="n">
        <v>41.82172939</v>
      </c>
      <c r="F22" s="20" t="n">
        <v>2.45499664</v>
      </c>
      <c r="G22" s="18" t="n">
        <v>7.23285273</v>
      </c>
      <c r="H22" s="20" t="n">
        <v>1.02822824</v>
      </c>
      <c r="I22" s="18" t="n">
        <v>47.17320103</v>
      </c>
      <c r="J22" s="20" t="n">
        <v>2.53922858</v>
      </c>
      <c r="K22" s="18" t="n">
        <v>0</v>
      </c>
      <c r="L22" s="20" t="n">
        <v>0</v>
      </c>
      <c r="M22" s="18" t="n">
        <v>1.83045552</v>
      </c>
      <c r="N22" s="20" t="n">
        <v>0.50356272</v>
      </c>
      <c r="O22" s="18" t="n">
        <v>0</v>
      </c>
      <c r="P22" s="20" t="n">
        <v>0</v>
      </c>
      <c r="Q22" s="18" t="n">
        <v>0</v>
      </c>
      <c r="R22" s="20" t="n">
        <v>0</v>
      </c>
      <c r="S22" s="18" t="n">
        <v>1.94176132</v>
      </c>
      <c r="T22" s="20" t="n">
        <v>0.60116356</v>
      </c>
    </row>
    <row r="23" spans="1:20">
      <c r="A23" s="15" t="s">
        <v>581</v>
      </c>
      <c r="B23" s="17" t="n">
        <v>11583</v>
      </c>
      <c r="C23" s="18">
        <f>(10357.0/B23*100)</f>
        <v/>
      </c>
      <c r="D23" s="19" t="n">
        <v>1226</v>
      </c>
      <c r="E23" s="18" t="n">
        <v>36.95032563</v>
      </c>
      <c r="F23" s="20" t="n">
        <v>1.74920419</v>
      </c>
      <c r="G23" s="18" t="n">
        <v>3.79277033</v>
      </c>
      <c r="H23" s="20" t="n">
        <v>0.76165302</v>
      </c>
      <c r="I23" s="18" t="n">
        <v>53.42641224</v>
      </c>
      <c r="J23" s="20" t="n">
        <v>1.97800924</v>
      </c>
      <c r="K23" s="18" t="n">
        <v>0</v>
      </c>
      <c r="L23" s="20" t="n">
        <v>0</v>
      </c>
      <c r="M23" s="18" t="n">
        <v>1.74468182</v>
      </c>
      <c r="N23" s="20" t="n">
        <v>0.59498308</v>
      </c>
      <c r="O23" s="18" t="n">
        <v>0</v>
      </c>
      <c r="P23" s="20" t="n">
        <v>0</v>
      </c>
      <c r="Q23" s="18" t="n">
        <v>0</v>
      </c>
      <c r="R23" s="20" t="n">
        <v>0</v>
      </c>
      <c r="S23" s="18" t="n">
        <v>4.08580997</v>
      </c>
      <c r="T23" s="20" t="n">
        <v>1.00511971</v>
      </c>
    </row>
    <row r="24" spans="1:20">
      <c r="A24" s="15" t="s">
        <v>582</v>
      </c>
      <c r="B24" s="17" t="n">
        <v>6647</v>
      </c>
      <c r="C24" s="18">
        <f>(5934.0/B24*100)</f>
        <v/>
      </c>
      <c r="D24" s="19" t="n">
        <v>713</v>
      </c>
      <c r="E24" s="18" t="n">
        <v>27.19822366</v>
      </c>
      <c r="F24" s="20" t="n">
        <v>1.68482605</v>
      </c>
      <c r="G24" s="18" t="n">
        <v>7.28160358</v>
      </c>
      <c r="H24" s="20" t="n">
        <v>1.0430205</v>
      </c>
      <c r="I24" s="18" t="n">
        <v>63.11471088</v>
      </c>
      <c r="J24" s="20" t="n">
        <v>1.98911236</v>
      </c>
      <c r="K24" s="18" t="n">
        <v>0</v>
      </c>
      <c r="L24" s="20" t="n">
        <v>0</v>
      </c>
      <c r="M24" s="18" t="n">
        <v>0.43971182</v>
      </c>
      <c r="N24" s="20" t="n">
        <v>0.2562727</v>
      </c>
      <c r="O24" s="18" t="n">
        <v>0</v>
      </c>
      <c r="P24" s="20" t="n">
        <v>0</v>
      </c>
      <c r="Q24" s="18" t="n">
        <v>0</v>
      </c>
      <c r="R24" s="20" t="n">
        <v>0</v>
      </c>
      <c r="S24" s="18" t="n">
        <v>1.96575006</v>
      </c>
      <c r="T24" s="20" t="n">
        <v>0.56194363</v>
      </c>
    </row>
    <row r="25" spans="1:20">
      <c r="A25" s="15" t="s">
        <v>583</v>
      </c>
      <c r="B25" s="17" t="n">
        <v>5581</v>
      </c>
      <c r="C25" s="18">
        <f>(4963.0/B25*100)</f>
        <v/>
      </c>
      <c r="D25" s="19" t="n">
        <v>618</v>
      </c>
      <c r="E25" s="18" t="n">
        <v>27.80193182</v>
      </c>
      <c r="F25" s="20" t="n">
        <v>1.94154835</v>
      </c>
      <c r="G25" s="18" t="n">
        <v>2.47911421</v>
      </c>
      <c r="H25" s="20" t="n">
        <v>0.64969522</v>
      </c>
      <c r="I25" s="18" t="n">
        <v>68.49886515</v>
      </c>
      <c r="J25" s="20" t="n">
        <v>1.98384976</v>
      </c>
      <c r="K25" s="18" t="n">
        <v>0</v>
      </c>
      <c r="L25" s="20" t="n">
        <v>0</v>
      </c>
      <c r="M25" s="18" t="n">
        <v>0.60819847</v>
      </c>
      <c r="N25" s="20" t="n">
        <v>0.30874611</v>
      </c>
      <c r="O25" s="18" t="n">
        <v>0</v>
      </c>
      <c r="P25" s="20" t="n">
        <v>0</v>
      </c>
      <c r="Q25" s="18" t="n">
        <v>0</v>
      </c>
      <c r="R25" s="20" t="n">
        <v>0</v>
      </c>
      <c r="S25" s="18" t="n">
        <v>0.61189035</v>
      </c>
      <c r="T25" s="20" t="n">
        <v>0.2994658</v>
      </c>
    </row>
    <row r="26" spans="1:20">
      <c r="A26" s="15" t="s">
        <v>584</v>
      </c>
      <c r="B26" s="17" t="n">
        <v>4869</v>
      </c>
      <c r="C26" s="18">
        <f>(4337.0/B26*100)</f>
        <v/>
      </c>
      <c r="D26" s="19" t="n">
        <v>532</v>
      </c>
      <c r="E26" s="18" t="n">
        <v>24.67196334</v>
      </c>
      <c r="F26" s="20" t="n">
        <v>1.99017007</v>
      </c>
      <c r="G26" s="18" t="n">
        <v>32.11052762</v>
      </c>
      <c r="H26" s="20" t="n">
        <v>2.42572863</v>
      </c>
      <c r="I26" s="18" t="n">
        <v>42.56725523</v>
      </c>
      <c r="J26" s="20" t="n">
        <v>2.78167603</v>
      </c>
      <c r="K26" s="18" t="n">
        <v>0</v>
      </c>
      <c r="L26" s="20" t="n">
        <v>0</v>
      </c>
      <c r="M26" s="18" t="n">
        <v>0.29822141</v>
      </c>
      <c r="N26" s="20" t="n">
        <v>0.22576223</v>
      </c>
      <c r="O26" s="18" t="n">
        <v>0</v>
      </c>
      <c r="P26" s="20" t="n">
        <v>0</v>
      </c>
      <c r="Q26" s="18" t="n">
        <v>0</v>
      </c>
      <c r="R26" s="20" t="n">
        <v>0</v>
      </c>
      <c r="S26" s="18" t="n">
        <v>0.3520324</v>
      </c>
      <c r="T26" s="20" t="n">
        <v>0.20406823</v>
      </c>
    </row>
    <row r="27" spans="1:20">
      <c r="A27" s="15" t="s">
        <v>585</v>
      </c>
      <c r="B27" s="17" t="n">
        <v>5299</v>
      </c>
      <c r="C27" s="18">
        <f>(4730.0/B27*100)</f>
        <v/>
      </c>
      <c r="D27" s="19" t="n">
        <v>569</v>
      </c>
      <c r="E27" s="18" t="n">
        <v>38.56572627</v>
      </c>
      <c r="F27" s="20" t="n">
        <v>2.1594381</v>
      </c>
      <c r="G27" s="18" t="n">
        <v>4.02991629</v>
      </c>
      <c r="H27" s="20" t="n">
        <v>0.73425073</v>
      </c>
      <c r="I27" s="18" t="n">
        <v>53.34627965</v>
      </c>
      <c r="J27" s="20" t="n">
        <v>2.18313106</v>
      </c>
      <c r="K27" s="18" t="n">
        <v>0</v>
      </c>
      <c r="L27" s="20" t="n">
        <v>0</v>
      </c>
      <c r="M27" s="18" t="n">
        <v>0.88292759</v>
      </c>
      <c r="N27" s="20" t="n">
        <v>0.39288558</v>
      </c>
      <c r="O27" s="18" t="n">
        <v>0</v>
      </c>
      <c r="P27" s="20" t="n">
        <v>0</v>
      </c>
      <c r="Q27" s="18" t="n">
        <v>0</v>
      </c>
      <c r="R27" s="20" t="n">
        <v>0</v>
      </c>
      <c r="S27" s="18" t="n">
        <v>3.17515019</v>
      </c>
      <c r="T27" s="20" t="n">
        <v>0.74947452</v>
      </c>
    </row>
    <row r="28" spans="1:20">
      <c r="A28" s="15" t="s">
        <v>586</v>
      </c>
      <c r="B28" s="17" t="n">
        <v>7568</v>
      </c>
      <c r="C28" s="18">
        <f>(6843.0/B28*100)</f>
        <v/>
      </c>
      <c r="D28" s="19" t="n">
        <v>725</v>
      </c>
      <c r="E28" s="18" t="n">
        <v>68.74378259</v>
      </c>
      <c r="F28" s="20" t="n">
        <v>1.57767079</v>
      </c>
      <c r="G28" s="18" t="n">
        <v>11.95717696</v>
      </c>
      <c r="H28" s="20" t="n">
        <v>1.09998972</v>
      </c>
      <c r="I28" s="18" t="n">
        <v>17.08235886</v>
      </c>
      <c r="J28" s="20" t="n">
        <v>1.40411593</v>
      </c>
      <c r="K28" s="18" t="n">
        <v>0</v>
      </c>
      <c r="L28" s="20" t="n">
        <v>0</v>
      </c>
      <c r="M28" s="18" t="n">
        <v>1.43997624</v>
      </c>
      <c r="N28" s="20" t="n">
        <v>0.50044961</v>
      </c>
      <c r="O28" s="18" t="n">
        <v>0</v>
      </c>
      <c r="P28" s="20" t="n">
        <v>0</v>
      </c>
      <c r="Q28" s="18" t="n">
        <v>0</v>
      </c>
      <c r="R28" s="20" t="n">
        <v>0</v>
      </c>
      <c r="S28" s="18" t="n">
        <v>0.77670534</v>
      </c>
      <c r="T28" s="20" t="n">
        <v>0.37870628</v>
      </c>
    </row>
    <row r="29" spans="1:20">
      <c r="A29" s="15" t="s">
        <v>587</v>
      </c>
      <c r="B29" s="17" t="n">
        <v>5385</v>
      </c>
      <c r="C29" s="18">
        <f>(4802.0/B29*100)</f>
        <v/>
      </c>
      <c r="D29" s="19" t="n">
        <v>583</v>
      </c>
      <c r="E29" s="18" t="n">
        <v>36.76460911</v>
      </c>
      <c r="F29" s="20" t="n">
        <v>2.42983432</v>
      </c>
      <c r="G29" s="18" t="n">
        <v>8.71053955</v>
      </c>
      <c r="H29" s="20" t="n">
        <v>1.17206953</v>
      </c>
      <c r="I29" s="18" t="n">
        <v>52.82612989</v>
      </c>
      <c r="J29" s="20" t="n">
        <v>2.28427959</v>
      </c>
      <c r="K29" s="18" t="n">
        <v>0</v>
      </c>
      <c r="L29" s="20" t="n">
        <v>0</v>
      </c>
      <c r="M29" s="18" t="n">
        <v>0.60723379</v>
      </c>
      <c r="N29" s="20" t="n">
        <v>0.3104822</v>
      </c>
      <c r="O29" s="18" t="n">
        <v>0</v>
      </c>
      <c r="P29" s="20" t="n">
        <v>0</v>
      </c>
      <c r="Q29" s="18" t="n">
        <v>0</v>
      </c>
      <c r="R29" s="20" t="n">
        <v>0</v>
      </c>
      <c r="S29" s="18" t="n">
        <v>1.09148765</v>
      </c>
      <c r="T29" s="20" t="n">
        <v>0.42530535</v>
      </c>
    </row>
    <row r="30" spans="1:20">
      <c r="A30" s="15" t="s">
        <v>588</v>
      </c>
      <c r="B30" s="17" t="n">
        <v>4520</v>
      </c>
      <c r="C30" s="18">
        <f>(4052.0/B30*100)</f>
        <v/>
      </c>
      <c r="D30" s="19" t="n">
        <v>468</v>
      </c>
      <c r="E30" s="18" t="n">
        <v>30.68489695</v>
      </c>
      <c r="F30" s="20" t="n">
        <v>2.50799505</v>
      </c>
      <c r="G30" s="18" t="n">
        <v>3.90396436</v>
      </c>
      <c r="H30" s="20" t="n">
        <v>0.94676593</v>
      </c>
      <c r="I30" s="18" t="n">
        <v>62.589621</v>
      </c>
      <c r="J30" s="20" t="n">
        <v>2.50228447</v>
      </c>
      <c r="K30" s="18" t="n">
        <v>0</v>
      </c>
      <c r="L30" s="20" t="n">
        <v>0</v>
      </c>
      <c r="M30" s="18" t="n">
        <v>0.44518185</v>
      </c>
      <c r="N30" s="20" t="n">
        <v>0.2954035</v>
      </c>
      <c r="O30" s="18" t="n">
        <v>0</v>
      </c>
      <c r="P30" s="20" t="n">
        <v>0</v>
      </c>
      <c r="Q30" s="18" t="n">
        <v>0</v>
      </c>
      <c r="R30" s="20" t="n">
        <v>0</v>
      </c>
      <c r="S30" s="18" t="n">
        <v>2.37633585</v>
      </c>
      <c r="T30" s="20" t="n">
        <v>0.64069065</v>
      </c>
    </row>
    <row r="31" spans="1:20">
      <c r="A31" s="15" t="s">
        <v>589</v>
      </c>
      <c r="B31" s="17" t="n">
        <v>5456</v>
      </c>
      <c r="C31" s="18">
        <f>(4859.0/B31*100)</f>
        <v/>
      </c>
      <c r="D31" s="19" t="n">
        <v>597</v>
      </c>
      <c r="E31" s="18" t="n">
        <v>45.15189025</v>
      </c>
      <c r="F31" s="20" t="n">
        <v>2.21955576</v>
      </c>
      <c r="G31" s="18" t="n">
        <v>4.98634254</v>
      </c>
      <c r="H31" s="20" t="n">
        <v>0.8476817800000001</v>
      </c>
      <c r="I31" s="18" t="n">
        <v>46.41592849</v>
      </c>
      <c r="J31" s="20" t="n">
        <v>2.09059853</v>
      </c>
      <c r="K31" s="18" t="n">
        <v>0</v>
      </c>
      <c r="L31" s="20" t="n">
        <v>0</v>
      </c>
      <c r="M31" s="18" t="n">
        <v>1.64129125</v>
      </c>
      <c r="N31" s="20" t="n">
        <v>0.60469521</v>
      </c>
      <c r="O31" s="18" t="n">
        <v>0.33859851</v>
      </c>
      <c r="P31" s="20" t="n">
        <v>0.38773297</v>
      </c>
      <c r="Q31" s="18" t="n">
        <v>0</v>
      </c>
      <c r="R31" s="20" t="n">
        <v>0</v>
      </c>
      <c r="S31" s="18" t="n">
        <v>1.46594896</v>
      </c>
      <c r="T31" s="20" t="n">
        <v>0.48622909</v>
      </c>
    </row>
    <row r="32" spans="1:20">
      <c r="A32" s="15" t="s">
        <v>590</v>
      </c>
      <c r="B32" s="17" t="n">
        <v>4478</v>
      </c>
      <c r="C32" s="18">
        <f>(3976.0/B32*100)</f>
        <v/>
      </c>
      <c r="D32" s="19" t="n">
        <v>502</v>
      </c>
      <c r="E32" s="18" t="n">
        <v>33.03378372</v>
      </c>
      <c r="F32" s="20" t="n">
        <v>2.36827974</v>
      </c>
      <c r="G32" s="18" t="n">
        <v>3.09940678</v>
      </c>
      <c r="H32" s="20" t="n">
        <v>0.7633753599999999</v>
      </c>
      <c r="I32" s="18" t="n">
        <v>63.67885764</v>
      </c>
      <c r="J32" s="20" t="n">
        <v>2.52410548</v>
      </c>
      <c r="K32" s="18" t="n">
        <v>0</v>
      </c>
      <c r="L32" s="20" t="n">
        <v>0</v>
      </c>
      <c r="M32" s="18" t="n">
        <v>0</v>
      </c>
      <c r="N32" s="20" t="n">
        <v>0</v>
      </c>
      <c r="O32" s="18" t="n">
        <v>0</v>
      </c>
      <c r="P32" s="20" t="n">
        <v>0</v>
      </c>
      <c r="Q32" s="18" t="n">
        <v>0</v>
      </c>
      <c r="R32" s="20" t="n">
        <v>0</v>
      </c>
      <c r="S32" s="18" t="n">
        <v>0.18795186</v>
      </c>
      <c r="T32" s="20" t="n">
        <v>0.19331683</v>
      </c>
    </row>
    <row r="33" spans="1:20">
      <c r="A33" s="15" t="s">
        <v>591</v>
      </c>
      <c r="B33" s="17" t="n">
        <v>7325</v>
      </c>
      <c r="C33" s="18">
        <f>(6557.0/B33*100)</f>
        <v/>
      </c>
      <c r="D33" s="19" t="n">
        <v>768</v>
      </c>
      <c r="E33" s="18" t="n">
        <v>34.95556874</v>
      </c>
      <c r="F33" s="20" t="n">
        <v>1.93431961</v>
      </c>
      <c r="G33" s="18" t="n">
        <v>3.81391398</v>
      </c>
      <c r="H33" s="20" t="n">
        <v>0.93027021</v>
      </c>
      <c r="I33" s="18" t="n">
        <v>58.87924351</v>
      </c>
      <c r="J33" s="20" t="n">
        <v>2.0601882</v>
      </c>
      <c r="K33" s="18" t="n">
        <v>0</v>
      </c>
      <c r="L33" s="20" t="n">
        <v>0</v>
      </c>
      <c r="M33" s="18" t="n">
        <v>0.5528009</v>
      </c>
      <c r="N33" s="20" t="n">
        <v>0.29440491</v>
      </c>
      <c r="O33" s="18" t="n">
        <v>0.17086567</v>
      </c>
      <c r="P33" s="20" t="n">
        <v>0.1716094</v>
      </c>
      <c r="Q33" s="18" t="n">
        <v>0</v>
      </c>
      <c r="R33" s="20" t="n">
        <v>0</v>
      </c>
      <c r="S33" s="18" t="n">
        <v>1.6276072</v>
      </c>
      <c r="T33" s="20" t="n">
        <v>0.337951</v>
      </c>
    </row>
    <row r="34" spans="1:20">
      <c r="A34" s="15" t="s">
        <v>592</v>
      </c>
      <c r="B34" s="17" t="n">
        <v>6350</v>
      </c>
      <c r="C34" s="18">
        <f>(5654.0/B34*100)</f>
        <v/>
      </c>
      <c r="D34" s="19" t="n">
        <v>696</v>
      </c>
      <c r="E34" s="18" t="n">
        <v>54.50260955</v>
      </c>
      <c r="F34" s="20" t="n">
        <v>2.1537104</v>
      </c>
      <c r="G34" s="18" t="n">
        <v>8.95278119</v>
      </c>
      <c r="H34" s="20" t="n">
        <v>1.06728439</v>
      </c>
      <c r="I34" s="18" t="n">
        <v>35.16471946</v>
      </c>
      <c r="J34" s="20" t="n">
        <v>1.86749912</v>
      </c>
      <c r="K34" s="18" t="n">
        <v>0</v>
      </c>
      <c r="L34" s="20" t="n">
        <v>0</v>
      </c>
      <c r="M34" s="18" t="n">
        <v>0.42700116</v>
      </c>
      <c r="N34" s="20" t="n">
        <v>0.21647437</v>
      </c>
      <c r="O34" s="18" t="n">
        <v>0.10055808</v>
      </c>
      <c r="P34" s="20" t="n">
        <v>0.09431062</v>
      </c>
      <c r="Q34" s="18" t="n">
        <v>0</v>
      </c>
      <c r="R34" s="20" t="n">
        <v>0</v>
      </c>
      <c r="S34" s="18" t="n">
        <v>0.85233057</v>
      </c>
      <c r="T34" s="20" t="n">
        <v>0.35943473</v>
      </c>
    </row>
    <row r="35" spans="1:20">
      <c r="A35" s="15" t="s">
        <v>593</v>
      </c>
      <c r="B35" s="17" t="n">
        <v>6406</v>
      </c>
      <c r="C35" s="18">
        <f>(5751.0/B35*100)</f>
        <v/>
      </c>
      <c r="D35" s="19" t="n">
        <v>655</v>
      </c>
      <c r="E35" s="18" t="n">
        <v>33.54473561</v>
      </c>
      <c r="F35" s="20" t="n">
        <v>2.19987777</v>
      </c>
      <c r="G35" s="18" t="n">
        <v>6.84251086</v>
      </c>
      <c r="H35" s="20" t="n">
        <v>1.20650113</v>
      </c>
      <c r="I35" s="18" t="n">
        <v>57.74939901</v>
      </c>
      <c r="J35" s="20" t="n">
        <v>2.25171562</v>
      </c>
      <c r="K35" s="18" t="n">
        <v>0</v>
      </c>
      <c r="L35" s="20" t="n">
        <v>0</v>
      </c>
      <c r="M35" s="18" t="n">
        <v>0.06679454</v>
      </c>
      <c r="N35" s="20" t="n">
        <v>0.06728682</v>
      </c>
      <c r="O35" s="18" t="n">
        <v>0</v>
      </c>
      <c r="P35" s="20" t="n">
        <v>0</v>
      </c>
      <c r="Q35" s="18" t="n">
        <v>0</v>
      </c>
      <c r="R35" s="20" t="n">
        <v>0</v>
      </c>
      <c r="S35" s="18" t="n">
        <v>1.79655997</v>
      </c>
      <c r="T35" s="20" t="n">
        <v>0.5624172200000001</v>
      </c>
    </row>
    <row r="36" spans="1:20">
      <c r="A36" s="15" t="s">
        <v>594</v>
      </c>
      <c r="B36" s="17" t="n">
        <v>6736</v>
      </c>
      <c r="C36" s="18">
        <f>(6046.0/B36*100)</f>
        <v/>
      </c>
      <c r="D36" s="19" t="n">
        <v>690</v>
      </c>
      <c r="E36" s="18" t="n">
        <v>37.43447548</v>
      </c>
      <c r="F36" s="20" t="n">
        <v>2.10375846</v>
      </c>
      <c r="G36" s="18" t="n">
        <v>13.81878135</v>
      </c>
      <c r="H36" s="20" t="n">
        <v>1.56547278</v>
      </c>
      <c r="I36" s="18" t="n">
        <v>47.2995965</v>
      </c>
      <c r="J36" s="20" t="n">
        <v>2.17914376</v>
      </c>
      <c r="K36" s="18" t="n">
        <v>0</v>
      </c>
      <c r="L36" s="20" t="n">
        <v>0</v>
      </c>
      <c r="M36" s="18" t="n">
        <v>0.35106375</v>
      </c>
      <c r="N36" s="20" t="n">
        <v>0.21043605</v>
      </c>
      <c r="O36" s="18" t="n">
        <v>0</v>
      </c>
      <c r="P36" s="20" t="n">
        <v>0</v>
      </c>
      <c r="Q36" s="18" t="n">
        <v>0</v>
      </c>
      <c r="R36" s="20" t="n">
        <v>0</v>
      </c>
      <c r="S36" s="18" t="n">
        <v>1.09608293</v>
      </c>
      <c r="T36" s="20" t="n">
        <v>0.41012904</v>
      </c>
    </row>
    <row r="37" spans="1:20">
      <c r="A37" s="15" t="s">
        <v>595</v>
      </c>
      <c r="B37" s="17" t="n">
        <v>5458</v>
      </c>
      <c r="C37" s="18">
        <f>(4871.0/B37*100)</f>
        <v/>
      </c>
      <c r="D37" s="19" t="n">
        <v>587</v>
      </c>
      <c r="E37" s="18" t="n">
        <v>45.22596919</v>
      </c>
      <c r="F37" s="20" t="n">
        <v>2.30094141</v>
      </c>
      <c r="G37" s="18" t="n">
        <v>4.70823472</v>
      </c>
      <c r="H37" s="20" t="n">
        <v>0.90470817</v>
      </c>
      <c r="I37" s="18" t="n">
        <v>46.45202934</v>
      </c>
      <c r="J37" s="20" t="n">
        <v>2.46694057</v>
      </c>
      <c r="K37" s="18" t="n">
        <v>0</v>
      </c>
      <c r="L37" s="20" t="n">
        <v>0</v>
      </c>
      <c r="M37" s="18" t="n">
        <v>1.63686733</v>
      </c>
      <c r="N37" s="20" t="n">
        <v>0.52002433</v>
      </c>
      <c r="O37" s="18" t="n">
        <v>0</v>
      </c>
      <c r="P37" s="20" t="n">
        <v>0</v>
      </c>
      <c r="Q37" s="18" t="n">
        <v>0</v>
      </c>
      <c r="R37" s="20" t="n">
        <v>0</v>
      </c>
      <c r="S37" s="18" t="n">
        <v>1.97689941</v>
      </c>
      <c r="T37" s="20" t="n">
        <v>0.5811196</v>
      </c>
    </row>
    <row r="38" spans="1:20">
      <c r="A38" s="15" t="s">
        <v>596</v>
      </c>
      <c r="B38" s="17" t="n">
        <v>5860</v>
      </c>
      <c r="C38" s="18">
        <f>(5211.0/B38*100)</f>
        <v/>
      </c>
      <c r="D38" s="19" t="n">
        <v>649</v>
      </c>
      <c r="E38" s="18" t="n">
        <v>33.10030141</v>
      </c>
      <c r="F38" s="20" t="n">
        <v>2.2362057</v>
      </c>
      <c r="G38" s="18" t="n">
        <v>7.70892046</v>
      </c>
      <c r="H38" s="20" t="n">
        <v>1.21965724</v>
      </c>
      <c r="I38" s="18" t="n">
        <v>51.42665724</v>
      </c>
      <c r="J38" s="20" t="n">
        <v>2.47360595</v>
      </c>
      <c r="K38" s="18" t="n">
        <v>0</v>
      </c>
      <c r="L38" s="20" t="n">
        <v>0</v>
      </c>
      <c r="M38" s="18" t="n">
        <v>0.65529868</v>
      </c>
      <c r="N38" s="20" t="n">
        <v>0.31437187</v>
      </c>
      <c r="O38" s="18" t="n">
        <v>4.58346637</v>
      </c>
      <c r="P38" s="20" t="n">
        <v>0.89248352</v>
      </c>
      <c r="Q38" s="18" t="n">
        <v>0</v>
      </c>
      <c r="R38" s="20" t="n">
        <v>0</v>
      </c>
      <c r="S38" s="18" t="n">
        <v>2.52535584</v>
      </c>
      <c r="T38" s="20" t="n">
        <v>0.67272226</v>
      </c>
    </row>
    <row r="39" spans="1:20">
      <c r="A39" s="15" t="s">
        <v>597</v>
      </c>
      <c r="B39" s="17" t="n">
        <v>5895</v>
      </c>
      <c r="C39" s="18">
        <f>(5238.0/B39*100)</f>
        <v/>
      </c>
      <c r="D39" s="19" t="n">
        <v>657</v>
      </c>
      <c r="E39" s="18" t="n">
        <v>66.09655811</v>
      </c>
      <c r="F39" s="20" t="n">
        <v>2.29431427</v>
      </c>
      <c r="G39" s="18" t="n">
        <v>7.65011095</v>
      </c>
      <c r="H39" s="20" t="n">
        <v>1.08721687</v>
      </c>
      <c r="I39" s="18" t="n">
        <v>23.56861311</v>
      </c>
      <c r="J39" s="20" t="n">
        <v>2.25240707</v>
      </c>
      <c r="K39" s="18" t="n">
        <v>0</v>
      </c>
      <c r="L39" s="20" t="n">
        <v>0</v>
      </c>
      <c r="M39" s="18" t="n">
        <v>0.29483876</v>
      </c>
      <c r="N39" s="20" t="n">
        <v>0.22342021</v>
      </c>
      <c r="O39" s="18" t="n">
        <v>0</v>
      </c>
      <c r="P39" s="20" t="n">
        <v>0</v>
      </c>
      <c r="Q39" s="18" t="n">
        <v>0</v>
      </c>
      <c r="R39" s="20" t="n">
        <v>0</v>
      </c>
      <c r="S39" s="18" t="n">
        <v>2.38987907</v>
      </c>
      <c r="T39" s="20" t="n">
        <v>0.71495601</v>
      </c>
    </row>
    <row r="40" spans="1:20">
      <c r="A40" s="15" t="s">
        <v>598</v>
      </c>
      <c r="B40" s="17" t="n">
        <v>14157</v>
      </c>
      <c r="C40" s="18">
        <f>(12604.0/B40*100)</f>
        <v/>
      </c>
      <c r="D40" s="19" t="n">
        <v>1553</v>
      </c>
      <c r="E40" s="18" t="n">
        <v>25.46865821</v>
      </c>
      <c r="F40" s="20" t="n">
        <v>1.81939165</v>
      </c>
      <c r="G40" s="18" t="n">
        <v>3.31691252</v>
      </c>
      <c r="H40" s="20" t="n">
        <v>0.6882370799999999</v>
      </c>
      <c r="I40" s="18" t="n">
        <v>68.84287200999999</v>
      </c>
      <c r="J40" s="20" t="n">
        <v>2.09976529</v>
      </c>
      <c r="K40" s="18" t="n">
        <v>0</v>
      </c>
      <c r="L40" s="20" t="n">
        <v>0</v>
      </c>
      <c r="M40" s="18" t="n">
        <v>0.56119438</v>
      </c>
      <c r="N40" s="20" t="n">
        <v>0.24992588</v>
      </c>
      <c r="O40" s="18" t="n">
        <v>0</v>
      </c>
      <c r="P40" s="20" t="n">
        <v>0</v>
      </c>
      <c r="Q40" s="18" t="n">
        <v>0</v>
      </c>
      <c r="R40" s="20" t="n">
        <v>0</v>
      </c>
      <c r="S40" s="18" t="n">
        <v>1.81036287</v>
      </c>
      <c r="T40" s="20" t="n">
        <v>0.47354426</v>
      </c>
    </row>
    <row r="41" spans="1:20">
      <c r="A41" s="15" t="s">
        <v>599</v>
      </c>
      <c r="B41" s="17" t="n">
        <v>5712</v>
      </c>
      <c r="C41" s="18">
        <f>(5103.0/B41*100)</f>
        <v/>
      </c>
      <c r="D41" s="19" t="n">
        <v>609</v>
      </c>
      <c r="E41" s="18" t="n">
        <v>32.96534406</v>
      </c>
      <c r="F41" s="20" t="n">
        <v>2.19278462</v>
      </c>
      <c r="G41" s="18" t="n">
        <v>12.73691994</v>
      </c>
      <c r="H41" s="20" t="n">
        <v>1.62268043</v>
      </c>
      <c r="I41" s="18" t="n">
        <v>53.72717931</v>
      </c>
      <c r="J41" s="20" t="n">
        <v>2.136368</v>
      </c>
      <c r="K41" s="18" t="n">
        <v>0</v>
      </c>
      <c r="L41" s="20" t="n">
        <v>0</v>
      </c>
      <c r="M41" s="18" t="n">
        <v>0.43702427</v>
      </c>
      <c r="N41" s="20" t="n">
        <v>0.27463952</v>
      </c>
      <c r="O41" s="18" t="n">
        <v>0</v>
      </c>
      <c r="P41" s="20" t="n">
        <v>0</v>
      </c>
      <c r="Q41" s="18" t="n">
        <v>0</v>
      </c>
      <c r="R41" s="20" t="n">
        <v>0</v>
      </c>
      <c r="S41" s="18" t="n">
        <v>0.13353242</v>
      </c>
      <c r="T41" s="20" t="n">
        <v>0.14310194</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(21320.0/B46*100)</f>
        <v/>
      </c>
      <c r="D46" s="19" t="n">
        <v>1821</v>
      </c>
      <c r="E46" s="18" t="n">
        <v>53.08669784</v>
      </c>
      <c r="F46" s="20" t="n">
        <v>1.75649812</v>
      </c>
      <c r="G46" s="18" t="n">
        <v>21.64179933</v>
      </c>
      <c r="H46" s="20" t="n">
        <v>1.24377228</v>
      </c>
      <c r="I46" s="18" t="n">
        <v>19.81395659</v>
      </c>
      <c r="J46" s="20" t="n">
        <v>1.30835094</v>
      </c>
      <c r="K46" s="18" t="n">
        <v>0</v>
      </c>
      <c r="L46" s="20" t="n">
        <v>0</v>
      </c>
      <c r="M46" s="18" t="n">
        <v>1.53642121</v>
      </c>
      <c r="N46" s="20" t="n">
        <v>0.39489949</v>
      </c>
      <c r="O46" s="18" t="n">
        <v>0.45462826</v>
      </c>
      <c r="P46" s="20" t="n">
        <v>0.15655602</v>
      </c>
      <c r="Q46" s="18" t="n">
        <v>0</v>
      </c>
      <c r="R46" s="20" t="n">
        <v>0</v>
      </c>
      <c r="S46" s="18" t="n">
        <v>3.46649676</v>
      </c>
      <c r="T46" s="20" t="n">
        <v>0.60979269</v>
      </c>
    </row>
    <row r="47" spans="1:20">
      <c r="A47" s="15" t="s">
        <v>606</v>
      </c>
      <c r="B47" s="17" t="n">
        <v>5928</v>
      </c>
      <c r="C47" s="18">
        <f>(5281.0/B47*100)</f>
        <v/>
      </c>
      <c r="D47" s="19" t="n">
        <v>647</v>
      </c>
      <c r="E47" s="18" t="n">
        <v>54.66778211</v>
      </c>
      <c r="F47" s="20" t="n">
        <v>2.26174654</v>
      </c>
      <c r="G47" s="18" t="n">
        <v>15.14475696</v>
      </c>
      <c r="H47" s="20" t="n">
        <v>1.33436048</v>
      </c>
      <c r="I47" s="18" t="n">
        <v>27.95825937</v>
      </c>
      <c r="J47" s="20" t="n">
        <v>2.17481451</v>
      </c>
      <c r="K47" s="18" t="n">
        <v>0</v>
      </c>
      <c r="L47" s="20" t="n">
        <v>0</v>
      </c>
      <c r="M47" s="18" t="n">
        <v>0.91094495</v>
      </c>
      <c r="N47" s="20" t="n">
        <v>0.40528305</v>
      </c>
      <c r="O47" s="18" t="n">
        <v>0</v>
      </c>
      <c r="P47" s="20" t="n">
        <v>0</v>
      </c>
      <c r="Q47" s="18" t="n">
        <v>0</v>
      </c>
      <c r="R47" s="20" t="n">
        <v>0</v>
      </c>
      <c r="S47" s="18" t="n">
        <v>1.31825661</v>
      </c>
      <c r="T47" s="20" t="n">
        <v>0.43590035</v>
      </c>
    </row>
    <row r="48" spans="1:20">
      <c r="A48" s="15" t="s">
        <v>607</v>
      </c>
      <c r="B48" s="17" t="n">
        <v>9841</v>
      </c>
      <c r="C48" s="18">
        <f>(8730.0/B48*100)</f>
        <v/>
      </c>
      <c r="D48" s="19" t="n">
        <v>1111</v>
      </c>
      <c r="E48" s="18" t="n">
        <v>33.56143276</v>
      </c>
      <c r="F48" s="20" t="n">
        <v>2.24378873</v>
      </c>
      <c r="G48" s="18" t="n">
        <v>1.08385497</v>
      </c>
      <c r="H48" s="20" t="n">
        <v>0.44973338</v>
      </c>
      <c r="I48" s="18" t="n">
        <v>63.95151131</v>
      </c>
      <c r="J48" s="20" t="n">
        <v>2.25422316</v>
      </c>
      <c r="K48" s="18" t="n">
        <v>0</v>
      </c>
      <c r="L48" s="20" t="n">
        <v>0</v>
      </c>
      <c r="M48" s="18" t="n">
        <v>0.50206067</v>
      </c>
      <c r="N48" s="20" t="n">
        <v>0.26962137</v>
      </c>
      <c r="O48" s="18" t="n">
        <v>0</v>
      </c>
      <c r="P48" s="20" t="n">
        <v>0</v>
      </c>
      <c r="Q48" s="18" t="n">
        <v>0</v>
      </c>
      <c r="R48" s="20" t="n">
        <v>0</v>
      </c>
      <c r="S48" s="18" t="n">
        <v>0.90114029</v>
      </c>
      <c r="T48" s="20" t="n">
        <v>0.29864877</v>
      </c>
    </row>
    <row r="49" spans="1:20">
      <c r="A49" s="15" t="s">
        <v>608</v>
      </c>
      <c r="B49" s="17" t="n">
        <v>11795</v>
      </c>
      <c r="C49" s="18">
        <f>(10510.0/B49*100)</f>
        <v/>
      </c>
      <c r="D49" s="19" t="n">
        <v>1285</v>
      </c>
      <c r="E49" s="18" t="n">
        <v>45.41130628</v>
      </c>
      <c r="F49" s="20" t="n">
        <v>1.81973247</v>
      </c>
      <c r="G49" s="18" t="n">
        <v>28.71543038</v>
      </c>
      <c r="H49" s="20" t="n">
        <v>1.07580824</v>
      </c>
      <c r="I49" s="18" t="n">
        <v>21.61969091</v>
      </c>
      <c r="J49" s="20" t="n">
        <v>1.46906496</v>
      </c>
      <c r="K49" s="18" t="n">
        <v>0</v>
      </c>
      <c r="L49" s="20" t="n">
        <v>0</v>
      </c>
      <c r="M49" s="18" t="n">
        <v>2.7041358</v>
      </c>
      <c r="N49" s="20" t="n">
        <v>0.67986351</v>
      </c>
      <c r="O49" s="18" t="n">
        <v>0.09889749</v>
      </c>
      <c r="P49" s="20" t="n">
        <v>0.09620715000000001</v>
      </c>
      <c r="Q49" s="18" t="n">
        <v>0</v>
      </c>
      <c r="R49" s="20" t="n">
        <v>0</v>
      </c>
      <c r="S49" s="18" t="n">
        <v>1.45053915</v>
      </c>
      <c r="T49" s="20" t="n">
        <v>0.43160188</v>
      </c>
    </row>
    <row r="50" spans="1:20">
      <c r="A50" s="15" t="s">
        <v>609</v>
      </c>
      <c r="B50" s="17" t="n">
        <v>6866</v>
      </c>
      <c r="C50" s="18">
        <f>(6245.0/B50*100)</f>
        <v/>
      </c>
      <c r="D50" s="19" t="n">
        <v>621</v>
      </c>
      <c r="E50" s="18" t="n">
        <v>40.1890235</v>
      </c>
      <c r="F50" s="20" t="n">
        <v>2.46717334</v>
      </c>
      <c r="G50" s="18" t="n">
        <v>21.96096357</v>
      </c>
      <c r="H50" s="20" t="n">
        <v>1.95325697</v>
      </c>
      <c r="I50" s="18" t="n">
        <v>35.35074269</v>
      </c>
      <c r="J50" s="20" t="n">
        <v>2.09577515</v>
      </c>
      <c r="K50" s="18" t="n">
        <v>0</v>
      </c>
      <c r="L50" s="20" t="n">
        <v>0</v>
      </c>
      <c r="M50" s="18" t="n">
        <v>0.30693028</v>
      </c>
      <c r="N50" s="20" t="n">
        <v>0.23220084</v>
      </c>
      <c r="O50" s="18" t="n">
        <v>0</v>
      </c>
      <c r="P50" s="20" t="n">
        <v>0</v>
      </c>
      <c r="Q50" s="18" t="n">
        <v>0</v>
      </c>
      <c r="R50" s="20" t="n">
        <v>0</v>
      </c>
      <c r="S50" s="18" t="n">
        <v>2.19233997</v>
      </c>
      <c r="T50" s="20" t="n">
        <v>0.5588602</v>
      </c>
    </row>
    <row r="51" spans="1:20">
      <c r="A51" s="15" t="s">
        <v>610</v>
      </c>
      <c r="B51" s="17" t="n">
        <v>5809</v>
      </c>
      <c r="C51" s="18">
        <f>(5133.0/B51*100)</f>
        <v/>
      </c>
      <c r="D51" s="19" t="n">
        <v>676</v>
      </c>
      <c r="E51" s="18" t="n">
        <v>39.15205945</v>
      </c>
      <c r="F51" s="20" t="n">
        <v>1.98295302</v>
      </c>
      <c r="G51" s="18" t="n">
        <v>2.41653996</v>
      </c>
      <c r="H51" s="20" t="n">
        <v>0.49784726</v>
      </c>
      <c r="I51" s="18" t="n">
        <v>56.11433501</v>
      </c>
      <c r="J51" s="20" t="n">
        <v>2.07256613</v>
      </c>
      <c r="K51" s="18" t="n">
        <v>0</v>
      </c>
      <c r="L51" s="20" t="n">
        <v>0</v>
      </c>
      <c r="M51" s="18" t="n">
        <v>0.42910175</v>
      </c>
      <c r="N51" s="20" t="n">
        <v>0.25209558</v>
      </c>
      <c r="O51" s="18" t="n">
        <v>0</v>
      </c>
      <c r="P51" s="20" t="n">
        <v>0</v>
      </c>
      <c r="Q51" s="18" t="n">
        <v>0</v>
      </c>
      <c r="R51" s="20" t="n">
        <v>0</v>
      </c>
      <c r="S51" s="18" t="n">
        <v>1.88796383</v>
      </c>
      <c r="T51" s="20" t="n">
        <v>0.47019405</v>
      </c>
    </row>
    <row r="52" spans="1:20">
      <c r="A52" s="15" t="s">
        <v>611</v>
      </c>
      <c r="B52" s="17" t="n">
        <v>5571</v>
      </c>
      <c r="C52" s="18">
        <f>(4971.0/B52*100)</f>
        <v/>
      </c>
      <c r="D52" s="19" t="n">
        <v>600</v>
      </c>
      <c r="E52" s="18" t="n">
        <v>50.04370554</v>
      </c>
      <c r="F52" s="20" t="n">
        <v>2.39484124</v>
      </c>
      <c r="G52" s="18" t="n">
        <v>12.6319879</v>
      </c>
      <c r="H52" s="20" t="n">
        <v>1.4460204</v>
      </c>
      <c r="I52" s="18" t="n">
        <v>34.08131273</v>
      </c>
      <c r="J52" s="20" t="n">
        <v>2.18320902</v>
      </c>
      <c r="K52" s="18" t="n">
        <v>0</v>
      </c>
      <c r="L52" s="20" t="n">
        <v>0</v>
      </c>
      <c r="M52" s="18" t="n">
        <v>0.9247327</v>
      </c>
      <c r="N52" s="20" t="n">
        <v>0.34927266</v>
      </c>
      <c r="O52" s="18" t="n">
        <v>0</v>
      </c>
      <c r="P52" s="20" t="n">
        <v>0</v>
      </c>
      <c r="Q52" s="18" t="n">
        <v>0</v>
      </c>
      <c r="R52" s="20" t="n">
        <v>0</v>
      </c>
      <c r="S52" s="18" t="n">
        <v>2.31826113</v>
      </c>
      <c r="T52" s="20" t="n">
        <v>0.68103442</v>
      </c>
    </row>
    <row r="53" spans="1:20">
      <c r="A53" s="15" t="s">
        <v>612</v>
      </c>
      <c r="B53" s="17" t="n">
        <v>4740</v>
      </c>
      <c r="C53" s="18">
        <f>(4250.0/B53*100)</f>
        <v/>
      </c>
      <c r="D53" s="19" t="n">
        <v>490</v>
      </c>
      <c r="E53" s="18" t="n">
        <v>64.63481148</v>
      </c>
      <c r="F53" s="20" t="n">
        <v>2.39425666</v>
      </c>
      <c r="G53" s="18" t="n">
        <v>6.63795435</v>
      </c>
      <c r="H53" s="20" t="n">
        <v>1.1722991</v>
      </c>
      <c r="I53" s="18" t="n">
        <v>4.72761912</v>
      </c>
      <c r="J53" s="20" t="n">
        <v>0.9901780999999999</v>
      </c>
      <c r="K53" s="18" t="n">
        <v>0</v>
      </c>
      <c r="L53" s="20" t="n">
        <v>0</v>
      </c>
      <c r="M53" s="18" t="n">
        <v>20.64438468</v>
      </c>
      <c r="N53" s="20" t="n">
        <v>2.04488327</v>
      </c>
      <c r="O53" s="18" t="n">
        <v>1.07511966</v>
      </c>
      <c r="P53" s="20" t="n">
        <v>0.96147499</v>
      </c>
      <c r="Q53" s="18" t="n">
        <v>0</v>
      </c>
      <c r="R53" s="20" t="n">
        <v>0</v>
      </c>
      <c r="S53" s="18" t="n">
        <v>2.28011071</v>
      </c>
      <c r="T53" s="20" t="n">
        <v>0.58923482</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(4755.0/B55*100)</f>
        <v/>
      </c>
      <c r="D55" s="19" t="n">
        <v>604</v>
      </c>
      <c r="E55" s="18" t="n">
        <v>20.23514679</v>
      </c>
      <c r="F55" s="20" t="n">
        <v>1.62635671</v>
      </c>
      <c r="G55" s="18" t="n">
        <v>4.24447064</v>
      </c>
      <c r="H55" s="20" t="n">
        <v>0.7437496300000001</v>
      </c>
      <c r="I55" s="18" t="n">
        <v>74.89859195</v>
      </c>
      <c r="J55" s="20" t="n">
        <v>1.82688297</v>
      </c>
      <c r="K55" s="18" t="n">
        <v>0</v>
      </c>
      <c r="L55" s="20" t="n">
        <v>0</v>
      </c>
      <c r="M55" s="18" t="n">
        <v>0.48750237</v>
      </c>
      <c r="N55" s="20" t="n">
        <v>0.26591199</v>
      </c>
      <c r="O55" s="18" t="n">
        <v>0</v>
      </c>
      <c r="P55" s="20" t="n">
        <v>0</v>
      </c>
      <c r="Q55" s="18" t="n">
        <v>0</v>
      </c>
      <c r="R55" s="20" t="n">
        <v>0</v>
      </c>
      <c r="S55" s="18" t="n">
        <v>0.13428825</v>
      </c>
      <c r="T55" s="20" t="n">
        <v>0.13398959</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(5775.0/B61*100)</f>
        <v/>
      </c>
      <c r="D61" s="19" t="n">
        <v>750</v>
      </c>
      <c r="E61" s="18" t="n">
        <v>39.78088195</v>
      </c>
      <c r="F61" s="20" t="n">
        <v>2.01197437</v>
      </c>
      <c r="G61" s="18" t="n">
        <v>4.28906044</v>
      </c>
      <c r="H61" s="20" t="n">
        <v>0.69381567</v>
      </c>
      <c r="I61" s="18" t="n">
        <v>54.81586989</v>
      </c>
      <c r="J61" s="20" t="n">
        <v>2.10053935</v>
      </c>
      <c r="K61" s="18" t="n">
        <v>0</v>
      </c>
      <c r="L61" s="20" t="n">
        <v>0</v>
      </c>
      <c r="M61" s="18" t="n">
        <v>0</v>
      </c>
      <c r="N61" s="20" t="n">
        <v>0</v>
      </c>
      <c r="O61" s="18" t="n">
        <v>0.1359601</v>
      </c>
      <c r="P61" s="20" t="n">
        <v>0.13402265</v>
      </c>
      <c r="Q61" s="18" t="n">
        <v>0</v>
      </c>
      <c r="R61" s="20" t="n">
        <v>0</v>
      </c>
      <c r="S61" s="18" t="n">
        <v>0.97822761</v>
      </c>
      <c r="T61" s="20" t="n">
        <v>0.39684679</v>
      </c>
    </row>
    <row r="62" spans="1:20">
      <c r="A62" s="15" t="s">
        <v>622</v>
      </c>
      <c r="B62" s="17" t="n">
        <v>4476</v>
      </c>
      <c r="C62" s="18">
        <f>(3993.0/B62*100)</f>
        <v/>
      </c>
      <c r="D62" s="19" t="n">
        <v>483</v>
      </c>
      <c r="E62" s="18" t="n">
        <v>26.9929863</v>
      </c>
      <c r="F62" s="20" t="n">
        <v>1.81459705</v>
      </c>
      <c r="G62" s="18" t="n">
        <v>2.0575337</v>
      </c>
      <c r="H62" s="20" t="n">
        <v>0.63790993</v>
      </c>
      <c r="I62" s="18" t="n">
        <v>70.53797326</v>
      </c>
      <c r="J62" s="20" t="n">
        <v>1.87637991</v>
      </c>
      <c r="K62" s="18" t="n">
        <v>0</v>
      </c>
      <c r="L62" s="20" t="n">
        <v>0</v>
      </c>
      <c r="M62" s="18" t="n">
        <v>0</v>
      </c>
      <c r="N62" s="20" t="n">
        <v>0</v>
      </c>
      <c r="O62" s="18" t="n">
        <v>0</v>
      </c>
      <c r="P62" s="20" t="n">
        <v>0</v>
      </c>
      <c r="Q62" s="18" t="n">
        <v>0</v>
      </c>
      <c r="R62" s="20" t="n">
        <v>0</v>
      </c>
      <c r="S62" s="18" t="n">
        <v>0.41150674</v>
      </c>
      <c r="T62" s="20" t="n">
        <v>0.28864787</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(5059.0/B67*100)</f>
        <v/>
      </c>
      <c r="D67" s="19" t="n">
        <v>606</v>
      </c>
      <c r="E67" s="18" t="n">
        <v>35.29808666</v>
      </c>
      <c r="F67" s="20" t="n">
        <v>1.93655462</v>
      </c>
      <c r="G67" s="18" t="n">
        <v>2.98818036</v>
      </c>
      <c r="H67" s="20" t="n">
        <v>0.67825389</v>
      </c>
      <c r="I67" s="18" t="n">
        <v>20.64223564</v>
      </c>
      <c r="J67" s="20" t="n">
        <v>1.56466564</v>
      </c>
      <c r="K67" s="18" t="n">
        <v>0</v>
      </c>
      <c r="L67" s="20" t="n">
        <v>0</v>
      </c>
      <c r="M67" s="18" t="n">
        <v>1.20039103</v>
      </c>
      <c r="N67" s="20" t="n">
        <v>0.55876209</v>
      </c>
      <c r="O67" s="18" t="n">
        <v>36.8163735</v>
      </c>
      <c r="P67" s="20" t="n">
        <v>1.86355865</v>
      </c>
      <c r="Q67" s="18" t="n">
        <v>0</v>
      </c>
      <c r="R67" s="20" t="n">
        <v>0</v>
      </c>
      <c r="S67" s="18" t="n">
        <v>3.05473281</v>
      </c>
      <c r="T67" s="20" t="n">
        <v>0.7202414499999999</v>
      </c>
    </row>
    <row r="68" spans="1:20">
      <c r="A68" s="15" t="s">
        <v>628</v>
      </c>
      <c r="B68" s="17" t="n">
        <v>6971</v>
      </c>
      <c r="C68" s="18">
        <f>(6341.0/B68*100)</f>
        <v/>
      </c>
      <c r="D68" s="19" t="n">
        <v>630</v>
      </c>
      <c r="E68" s="18" t="n">
        <v>67.44313685</v>
      </c>
      <c r="F68" s="20" t="n">
        <v>2.08109956</v>
      </c>
      <c r="G68" s="18" t="n">
        <v>3.47984946</v>
      </c>
      <c r="H68" s="20" t="n">
        <v>0.71575601</v>
      </c>
      <c r="I68" s="18" t="n">
        <v>25.86660748</v>
      </c>
      <c r="J68" s="20" t="n">
        <v>1.88587758</v>
      </c>
      <c r="K68" s="18" t="n">
        <v>0</v>
      </c>
      <c r="L68" s="20" t="n">
        <v>0</v>
      </c>
      <c r="M68" s="18" t="n">
        <v>0.46764311</v>
      </c>
      <c r="N68" s="20" t="n">
        <v>0.33778611</v>
      </c>
      <c r="O68" s="18" t="n">
        <v>0.42525766</v>
      </c>
      <c r="P68" s="20" t="n">
        <v>0.24461909</v>
      </c>
      <c r="Q68" s="18" t="n">
        <v>0</v>
      </c>
      <c r="R68" s="20" t="n">
        <v>0</v>
      </c>
      <c r="S68" s="18" t="n">
        <v>2.31750544</v>
      </c>
      <c r="T68" s="20" t="n">
        <v>0.62450788</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(10791.0/B70*100)</f>
        <v/>
      </c>
      <c r="D70" s="19" t="n">
        <v>1292</v>
      </c>
      <c r="E70" s="18" t="n">
        <v>47.23078558</v>
      </c>
      <c r="F70" s="20" t="n">
        <v>1.28898651</v>
      </c>
      <c r="G70" s="18" t="n">
        <v>6.57337221</v>
      </c>
      <c r="H70" s="20" t="n">
        <v>0.66006161</v>
      </c>
      <c r="I70" s="18" t="n">
        <v>40.3170302</v>
      </c>
      <c r="J70" s="20" t="n">
        <v>1.44204047</v>
      </c>
      <c r="K70" s="18" t="n">
        <v>0</v>
      </c>
      <c r="L70" s="20" t="n">
        <v>0</v>
      </c>
      <c r="M70" s="18" t="n">
        <v>3.63737229</v>
      </c>
      <c r="N70" s="20" t="n">
        <v>0.55111268</v>
      </c>
      <c r="O70" s="18" t="n">
        <v>0</v>
      </c>
      <c r="P70" s="20" t="n">
        <v>0</v>
      </c>
      <c r="Q70" s="18" t="n">
        <v>0</v>
      </c>
      <c r="R70" s="20" t="n">
        <v>0</v>
      </c>
      <c r="S70" s="18" t="n">
        <v>2.24143973</v>
      </c>
      <c r="T70" s="20" t="n">
        <v>0.48170595</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(5371.0/B72*100)</f>
        <v/>
      </c>
      <c r="D72" s="19" t="n">
        <v>665</v>
      </c>
      <c r="E72" s="18" t="n">
        <v>46.80293044</v>
      </c>
      <c r="F72" s="20" t="n">
        <v>2.45219966</v>
      </c>
      <c r="G72" s="18" t="n">
        <v>18.11360252</v>
      </c>
      <c r="H72" s="20" t="n">
        <v>1.44919736</v>
      </c>
      <c r="I72" s="18" t="n">
        <v>33.26188243</v>
      </c>
      <c r="J72" s="20" t="n">
        <v>1.88192582</v>
      </c>
      <c r="K72" s="18" t="n">
        <v>0</v>
      </c>
      <c r="L72" s="20" t="n">
        <v>0</v>
      </c>
      <c r="M72" s="18" t="n">
        <v>0.67196683</v>
      </c>
      <c r="N72" s="20" t="n">
        <v>0.30198109</v>
      </c>
      <c r="O72" s="18" t="n">
        <v>0</v>
      </c>
      <c r="P72" s="20" t="n">
        <v>0</v>
      </c>
      <c r="Q72" s="18" t="n">
        <v>0</v>
      </c>
      <c r="R72" s="20" t="n">
        <v>0</v>
      </c>
      <c r="S72" s="18" t="n">
        <v>1.14961779</v>
      </c>
      <c r="T72" s="20" t="n">
        <v>0.38930822</v>
      </c>
    </row>
    <row r="73" spans="1:20">
      <c r="A73" s="15" t="s">
        <v>633</v>
      </c>
      <c r="B73" s="17" t="n">
        <v>6115</v>
      </c>
      <c r="C73" s="18">
        <f>(5460.0/B73*100)</f>
        <v/>
      </c>
      <c r="D73" s="19" t="n">
        <v>655</v>
      </c>
      <c r="E73" s="18" t="n">
        <v>13.11605718</v>
      </c>
      <c r="F73" s="20" t="n">
        <v>1.36728015</v>
      </c>
      <c r="G73" s="18" t="n">
        <v>2.26841448</v>
      </c>
      <c r="H73" s="20" t="n">
        <v>0.56922915</v>
      </c>
      <c r="I73" s="18" t="n">
        <v>83.83756108</v>
      </c>
      <c r="J73" s="20" t="n">
        <v>1.34562747</v>
      </c>
      <c r="K73" s="18" t="n">
        <v>0</v>
      </c>
      <c r="L73" s="20" t="n">
        <v>0</v>
      </c>
      <c r="M73" s="18" t="n">
        <v>0.6149364</v>
      </c>
      <c r="N73" s="20" t="n">
        <v>0.30862586</v>
      </c>
      <c r="O73" s="18" t="n">
        <v>0.16303085</v>
      </c>
      <c r="P73" s="20" t="n">
        <v>0.16211811</v>
      </c>
      <c r="Q73" s="18" t="n">
        <v>0</v>
      </c>
      <c r="R73" s="20" t="n">
        <v>0</v>
      </c>
      <c r="S73" s="18" t="n">
        <v>0</v>
      </c>
      <c r="T73" s="20" t="n">
        <v>0</v>
      </c>
    </row>
    <row r="74" spans="1:20">
      <c r="A74" s="15" t="s">
        <v>634</v>
      </c>
      <c r="B74" s="17" t="n">
        <v>7708</v>
      </c>
      <c r="C74" s="18">
        <f>(6881.0/B74*100)</f>
        <v/>
      </c>
      <c r="D74" s="19" t="n">
        <v>827</v>
      </c>
      <c r="E74" s="18" t="n">
        <v>32.53656709</v>
      </c>
      <c r="F74" s="20" t="n">
        <v>1.77190101</v>
      </c>
      <c r="G74" s="18" t="n">
        <v>4.57402208</v>
      </c>
      <c r="H74" s="20" t="n">
        <v>0.80687674</v>
      </c>
      <c r="I74" s="18" t="n">
        <v>62.63118936</v>
      </c>
      <c r="J74" s="20" t="n">
        <v>1.79754756</v>
      </c>
      <c r="K74" s="18" t="n">
        <v>0</v>
      </c>
      <c r="L74" s="20" t="n">
        <v>0</v>
      </c>
      <c r="M74" s="18" t="n">
        <v>0</v>
      </c>
      <c r="N74" s="20" t="n">
        <v>0</v>
      </c>
      <c r="O74" s="18" t="n">
        <v>0.08388313</v>
      </c>
      <c r="P74" s="20" t="n">
        <v>0.08443154</v>
      </c>
      <c r="Q74" s="18" t="n">
        <v>0</v>
      </c>
      <c r="R74" s="20" t="n">
        <v>0</v>
      </c>
      <c r="S74" s="18" t="n">
        <v>0.17433835</v>
      </c>
      <c r="T74" s="20" t="n">
        <v>0.17467457</v>
      </c>
    </row>
    <row r="75" spans="1:20">
      <c r="A75" s="15" t="s">
        <v>635</v>
      </c>
      <c r="B75" s="17" t="n">
        <v>8249</v>
      </c>
      <c r="C75" s="18">
        <f>(7381.0/B75*100)</f>
        <v/>
      </c>
      <c r="D75" s="19" t="n">
        <v>868</v>
      </c>
      <c r="E75" s="18" t="n">
        <v>57.815012</v>
      </c>
      <c r="F75" s="20" t="n">
        <v>2.0597819</v>
      </c>
      <c r="G75" s="18" t="n">
        <v>3.4087352</v>
      </c>
      <c r="H75" s="20" t="n">
        <v>0.6808665</v>
      </c>
      <c r="I75" s="18" t="n">
        <v>37.52244783</v>
      </c>
      <c r="J75" s="20" t="n">
        <v>1.97535338</v>
      </c>
      <c r="K75" s="18" t="n">
        <v>0</v>
      </c>
      <c r="L75" s="20" t="n">
        <v>0</v>
      </c>
      <c r="M75" s="18" t="n">
        <v>0.32003662</v>
      </c>
      <c r="N75" s="20" t="n">
        <v>0.22548922</v>
      </c>
      <c r="O75" s="18" t="n">
        <v>0.06699403</v>
      </c>
      <c r="P75" s="20" t="n">
        <v>0.06668499999999999</v>
      </c>
      <c r="Q75" s="18" t="n">
        <v>0</v>
      </c>
      <c r="R75" s="20" t="n">
        <v>0</v>
      </c>
      <c r="S75" s="18" t="n">
        <v>0.86677431</v>
      </c>
      <c r="T75" s="20" t="n">
        <v>0.34823452</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(4842.0/B77*100)</f>
        <v/>
      </c>
      <c r="D77" s="19" t="n">
        <v>533</v>
      </c>
      <c r="E77" s="18" t="n">
        <v>55.23678781</v>
      </c>
      <c r="F77" s="20" t="n">
        <v>2.35199293</v>
      </c>
      <c r="G77" s="18" t="n">
        <v>10.54469375</v>
      </c>
      <c r="H77" s="20" t="n">
        <v>1.39259827</v>
      </c>
      <c r="I77" s="18" t="n">
        <v>23.61948013</v>
      </c>
      <c r="J77" s="20" t="n">
        <v>2.04307376</v>
      </c>
      <c r="K77" s="18" t="n">
        <v>0</v>
      </c>
      <c r="L77" s="20" t="n">
        <v>0</v>
      </c>
      <c r="M77" s="18" t="n">
        <v>5.99358096</v>
      </c>
      <c r="N77" s="20" t="n">
        <v>1.16406646</v>
      </c>
      <c r="O77" s="18" t="n">
        <v>1.31639835</v>
      </c>
      <c r="P77" s="20" t="n">
        <v>0.66327197</v>
      </c>
      <c r="Q77" s="18" t="n">
        <v>0</v>
      </c>
      <c r="R77" s="20" t="n">
        <v>0</v>
      </c>
      <c r="S77" s="18" t="n">
        <v>3.289059</v>
      </c>
      <c r="T77" s="20" t="n">
        <v>0.83812369</v>
      </c>
    </row>
    <row r="78" spans="1:20">
      <c r="A78" s="15" t="s">
        <v>638</v>
      </c>
      <c r="B78" s="17" t="n">
        <v>14167</v>
      </c>
      <c r="C78" s="18">
        <f>(12633.0/B78*100)</f>
        <v/>
      </c>
      <c r="D78" s="19" t="n">
        <v>1534</v>
      </c>
      <c r="E78" s="18" t="n">
        <v>45.65055217</v>
      </c>
      <c r="F78" s="20" t="n">
        <v>1.74168165</v>
      </c>
      <c r="G78" s="18" t="n">
        <v>8.2032194</v>
      </c>
      <c r="H78" s="20" t="n">
        <v>0.78243737</v>
      </c>
      <c r="I78" s="18" t="n">
        <v>41.50432218</v>
      </c>
      <c r="J78" s="20" t="n">
        <v>1.47159956</v>
      </c>
      <c r="K78" s="18" t="n">
        <v>0</v>
      </c>
      <c r="L78" s="20" t="n">
        <v>0</v>
      </c>
      <c r="M78" s="18" t="n">
        <v>1.51183453</v>
      </c>
      <c r="N78" s="20" t="n">
        <v>0.48993178</v>
      </c>
      <c r="O78" s="18" t="n">
        <v>0.08233351999999999</v>
      </c>
      <c r="P78" s="20" t="n">
        <v>0.058507</v>
      </c>
      <c r="Q78" s="18" t="n">
        <v>0</v>
      </c>
      <c r="R78" s="20" t="n">
        <v>0</v>
      </c>
      <c r="S78" s="18" t="n">
        <v>3.0477382</v>
      </c>
      <c r="T78" s="20" t="n">
        <v>0.65370675</v>
      </c>
    </row>
    <row r="79" spans="1:20">
      <c r="A79" s="15" t="s">
        <v>639</v>
      </c>
      <c r="B79" s="17" t="n">
        <v>6062</v>
      </c>
      <c r="C79" s="18">
        <f>(5458.0/B79*100)</f>
        <v/>
      </c>
      <c r="D79" s="19" t="n">
        <v>604</v>
      </c>
      <c r="E79" s="18" t="n">
        <v>57.04356535</v>
      </c>
      <c r="F79" s="20" t="n">
        <v>2.14281559</v>
      </c>
      <c r="G79" s="18" t="n">
        <v>7.76293366</v>
      </c>
      <c r="H79" s="20" t="n">
        <v>1.261204</v>
      </c>
      <c r="I79" s="18" t="n">
        <v>29.68271933</v>
      </c>
      <c r="J79" s="20" t="n">
        <v>1.97697266</v>
      </c>
      <c r="K79" s="18" t="n">
        <v>0</v>
      </c>
      <c r="L79" s="20" t="n">
        <v>0</v>
      </c>
      <c r="M79" s="18" t="n">
        <v>2.4961711</v>
      </c>
      <c r="N79" s="20" t="n">
        <v>0.71832193</v>
      </c>
      <c r="O79" s="18" t="n">
        <v>0</v>
      </c>
      <c r="P79" s="20" t="n">
        <v>0</v>
      </c>
      <c r="Q79" s="18" t="n">
        <v>0</v>
      </c>
      <c r="R79" s="20" t="n">
        <v>0</v>
      </c>
      <c r="S79" s="18" t="n">
        <v>3.01461055</v>
      </c>
      <c r="T79" s="20" t="n">
        <v>0.85289058</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(28893.0/B82*100)</f>
        <v/>
      </c>
      <c r="D82" s="19" t="n">
        <v>3437</v>
      </c>
      <c r="E82" s="18" t="n">
        <v>34.29991498</v>
      </c>
      <c r="F82" s="20" t="n">
        <v>1.29816411</v>
      </c>
      <c r="G82" s="18" t="n">
        <v>17.31346518</v>
      </c>
      <c r="H82" s="20" t="n">
        <v>0.95042587</v>
      </c>
      <c r="I82" s="18" t="n">
        <v>45.62924289</v>
      </c>
      <c r="J82" s="20" t="n">
        <v>1.1368875</v>
      </c>
      <c r="K82" s="18" t="n">
        <v>0</v>
      </c>
      <c r="L82" s="20" t="n">
        <v>0</v>
      </c>
      <c r="M82" s="18" t="n">
        <v>0.93002718</v>
      </c>
      <c r="N82" s="20" t="n">
        <v>0.25111103</v>
      </c>
      <c r="O82" s="18" t="n">
        <v>0</v>
      </c>
      <c r="P82" s="20" t="n">
        <v>0</v>
      </c>
      <c r="Q82" s="18" t="n">
        <v>0</v>
      </c>
      <c r="R82" s="20" t="n">
        <v>0</v>
      </c>
      <c r="S82" s="18" t="n">
        <v>1.82734977</v>
      </c>
      <c r="T82" s="20" t="n">
        <v>0.34894322</v>
      </c>
    </row>
    <row r="83" spans="1:20">
      <c r="A83" s="15" t="s">
        <v>643</v>
      </c>
      <c r="B83" s="17" t="n">
        <v>1652</v>
      </c>
      <c r="C83" s="18">
        <f>(1473.0/B83*100)</f>
        <v/>
      </c>
      <c r="D83" s="19" t="n">
        <v>179</v>
      </c>
      <c r="E83" s="18" t="n">
        <v>16.36918491</v>
      </c>
      <c r="F83" s="20" t="n">
        <v>2.77704258</v>
      </c>
      <c r="G83" s="18" t="n">
        <v>15.93093129</v>
      </c>
      <c r="H83" s="20" t="n">
        <v>1.77021633</v>
      </c>
      <c r="I83" s="18" t="n">
        <v>66.53689731</v>
      </c>
      <c r="J83" s="20" t="n">
        <v>3.23882821</v>
      </c>
      <c r="K83" s="18" t="n">
        <v>0</v>
      </c>
      <c r="L83" s="20" t="n">
        <v>0</v>
      </c>
      <c r="M83" s="18" t="n">
        <v>0.65620524</v>
      </c>
      <c r="N83" s="20" t="n">
        <v>0.611221</v>
      </c>
      <c r="O83" s="18" t="n">
        <v>0</v>
      </c>
      <c r="P83" s="20" t="n">
        <v>0</v>
      </c>
      <c r="Q83" s="18" t="n">
        <v>0</v>
      </c>
      <c r="R83" s="20" t="n">
        <v>0</v>
      </c>
      <c r="S83" s="18" t="n">
        <v>0.50678125</v>
      </c>
      <c r="T83" s="20" t="n">
        <v>0.48126965</v>
      </c>
    </row>
    <row r="84" spans="1:20">
      <c r="A84" s="23" t="s">
        <v>644</v>
      </c>
      <c r="B84" s="24" t="n">
        <v>1887</v>
      </c>
      <c r="C84" s="25">
        <f>(1678.0/B84*100)</f>
        <v/>
      </c>
      <c r="D84" s="19" t="n">
        <v>209</v>
      </c>
      <c r="E84" s="18" t="n">
        <v>33.1099352</v>
      </c>
      <c r="F84" s="20" t="n">
        <v>3.96027057</v>
      </c>
      <c r="G84" s="18" t="n">
        <v>12.14674215</v>
      </c>
      <c r="H84" s="20" t="n">
        <v>2.56142323</v>
      </c>
      <c r="I84" s="18" t="n">
        <v>53.65474872</v>
      </c>
      <c r="J84" s="20" t="n">
        <v>3.74769759</v>
      </c>
      <c r="K84" s="18" t="n">
        <v>0</v>
      </c>
      <c r="L84" s="20" t="n">
        <v>0</v>
      </c>
      <c r="M84" s="18" t="n">
        <v>0.64638405</v>
      </c>
      <c r="N84" s="20" t="n">
        <v>0.62967955</v>
      </c>
      <c r="O84" s="18" t="n">
        <v>0</v>
      </c>
      <c r="P84" s="20" t="n">
        <v>0</v>
      </c>
      <c r="Q84" s="18" t="n">
        <v>0</v>
      </c>
      <c r="R84" s="20" t="n">
        <v>0</v>
      </c>
      <c r="S84" s="18" t="n">
        <v>0.44218987</v>
      </c>
      <c r="T84" s="20" t="n">
        <v>0.44772369</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(13060.0/B7*100)</f>
        <v/>
      </c>
      <c r="D7" s="19" t="n">
        <v>1470</v>
      </c>
      <c r="E7" s="18" t="n">
        <v>51.49219366</v>
      </c>
      <c r="F7" s="20" t="n">
        <v>1.63224336</v>
      </c>
      <c r="G7" s="18" t="n">
        <v>40.43083181</v>
      </c>
      <c r="H7" s="20" t="n">
        <v>1.75474067</v>
      </c>
      <c r="I7" s="18" t="n">
        <v>0</v>
      </c>
      <c r="J7" s="20" t="n">
        <v>0</v>
      </c>
      <c r="K7" s="18" t="n">
        <v>2.04320456</v>
      </c>
      <c r="L7" s="20" t="n">
        <v>0.38686473</v>
      </c>
      <c r="M7" s="18" t="n">
        <v>0.03623387</v>
      </c>
      <c r="N7" s="20" t="n">
        <v>0.01772594</v>
      </c>
      <c r="O7" s="18" t="n">
        <v>0</v>
      </c>
      <c r="P7" s="20" t="n">
        <v>0</v>
      </c>
      <c r="Q7" s="18" t="n">
        <v>5.99753611</v>
      </c>
      <c r="R7" s="20" t="n">
        <v>0.72375749</v>
      </c>
    </row>
    <row r="8" spans="1:18">
      <c r="A8" s="15" t="s">
        <v>566</v>
      </c>
      <c r="B8" s="17" t="n">
        <v>7007</v>
      </c>
      <c r="C8" s="18">
        <f>(6251.0/B8*100)</f>
        <v/>
      </c>
      <c r="D8" s="19" t="n">
        <v>756</v>
      </c>
      <c r="E8" s="18" t="n">
        <v>53.21868047</v>
      </c>
      <c r="F8" s="20" t="n">
        <v>1.92374317</v>
      </c>
      <c r="G8" s="18" t="n">
        <v>35.12779272</v>
      </c>
      <c r="H8" s="20" t="n">
        <v>1.87864043</v>
      </c>
      <c r="I8" s="18" t="n">
        <v>0</v>
      </c>
      <c r="J8" s="20" t="n">
        <v>0</v>
      </c>
      <c r="K8" s="18" t="n">
        <v>2.09224957</v>
      </c>
      <c r="L8" s="20" t="n">
        <v>0.56389689</v>
      </c>
      <c r="M8" s="18" t="n">
        <v>0</v>
      </c>
      <c r="N8" s="20" t="n">
        <v>0</v>
      </c>
      <c r="O8" s="18" t="n">
        <v>0</v>
      </c>
      <c r="P8" s="20" t="n">
        <v>0</v>
      </c>
      <c r="Q8" s="18" t="n">
        <v>9.56127725</v>
      </c>
      <c r="R8" s="20" t="n">
        <v>1.31609461</v>
      </c>
    </row>
    <row r="9" spans="1:18">
      <c r="A9" s="15" t="s">
        <v>567</v>
      </c>
      <c r="B9" s="17" t="n">
        <v>9651</v>
      </c>
      <c r="C9" s="18">
        <f>(8701.0/B9*100)</f>
        <v/>
      </c>
      <c r="D9" s="19" t="n">
        <v>950</v>
      </c>
      <c r="E9" s="18" t="n">
        <v>47.12377225</v>
      </c>
      <c r="F9" s="20" t="n">
        <v>1.81294261</v>
      </c>
      <c r="G9" s="18" t="n">
        <v>43.82658126</v>
      </c>
      <c r="H9" s="20" t="n">
        <v>1.82755761</v>
      </c>
      <c r="I9" s="18" t="n">
        <v>0</v>
      </c>
      <c r="J9" s="20" t="n">
        <v>0</v>
      </c>
      <c r="K9" s="18" t="n">
        <v>1.07592986</v>
      </c>
      <c r="L9" s="20" t="n">
        <v>0.3386325</v>
      </c>
      <c r="M9" s="18" t="n">
        <v>0.3619267</v>
      </c>
      <c r="N9" s="20" t="n">
        <v>0.2201392</v>
      </c>
      <c r="O9" s="18" t="n">
        <v>0</v>
      </c>
      <c r="P9" s="20" t="n">
        <v>0</v>
      </c>
      <c r="Q9" s="18" t="n">
        <v>7.61178992</v>
      </c>
      <c r="R9" s="20" t="n">
        <v>0.87176807</v>
      </c>
    </row>
    <row r="10" spans="1:18">
      <c r="A10" s="15" t="s">
        <v>568</v>
      </c>
      <c r="B10" s="17" t="n">
        <v>20058</v>
      </c>
      <c r="C10" s="18">
        <f>(17818.0/B10*100)</f>
        <v/>
      </c>
      <c r="D10" s="19" t="n">
        <v>2240</v>
      </c>
      <c r="E10" s="18" t="n">
        <v>53.42636553</v>
      </c>
      <c r="F10" s="20" t="n">
        <v>1.53820811</v>
      </c>
      <c r="G10" s="18" t="n">
        <v>42.52473438</v>
      </c>
      <c r="H10" s="20" t="n">
        <v>1.62343144</v>
      </c>
      <c r="I10" s="18" t="n">
        <v>0</v>
      </c>
      <c r="J10" s="20" t="n">
        <v>0</v>
      </c>
      <c r="K10" s="18" t="n">
        <v>1.82175543</v>
      </c>
      <c r="L10" s="20" t="n">
        <v>0.42955389</v>
      </c>
      <c r="M10" s="18" t="n">
        <v>0</v>
      </c>
      <c r="N10" s="20" t="n">
        <v>0</v>
      </c>
      <c r="O10" s="18" t="n">
        <v>0</v>
      </c>
      <c r="P10" s="20" t="n">
        <v>0</v>
      </c>
      <c r="Q10" s="18" t="n">
        <v>2.22714465</v>
      </c>
      <c r="R10" s="20" t="n">
        <v>0.43598149</v>
      </c>
    </row>
    <row r="11" spans="1:18">
      <c r="A11" s="15" t="s">
        <v>569</v>
      </c>
      <c r="B11" s="17" t="n">
        <v>7053</v>
      </c>
      <c r="C11" s="18">
        <f>(6360.0/B11*100)</f>
        <v/>
      </c>
      <c r="D11" s="19" t="n">
        <v>693</v>
      </c>
      <c r="E11" s="18" t="n">
        <v>44.60876171</v>
      </c>
      <c r="F11" s="20" t="n">
        <v>2.09370596</v>
      </c>
      <c r="G11" s="18" t="n">
        <v>39.30595271</v>
      </c>
      <c r="H11" s="20" t="n">
        <v>2.04445018</v>
      </c>
      <c r="I11" s="18" t="n">
        <v>0</v>
      </c>
      <c r="J11" s="20" t="n">
        <v>0</v>
      </c>
      <c r="K11" s="18" t="n">
        <v>4.6386059</v>
      </c>
      <c r="L11" s="20" t="n">
        <v>0.88432341</v>
      </c>
      <c r="M11" s="18" t="n">
        <v>0</v>
      </c>
      <c r="N11" s="20" t="n">
        <v>0</v>
      </c>
      <c r="O11" s="18" t="n">
        <v>0</v>
      </c>
      <c r="P11" s="20" t="n">
        <v>0</v>
      </c>
      <c r="Q11" s="18" t="n">
        <v>11.44667969</v>
      </c>
      <c r="R11" s="20" t="n">
        <v>1.59008571</v>
      </c>
    </row>
    <row r="12" spans="1:18">
      <c r="A12" s="15" t="s">
        <v>570</v>
      </c>
      <c r="B12" s="17" t="n">
        <v>6894</v>
      </c>
      <c r="C12" s="18">
        <f>(6151.0/B12*100)</f>
        <v/>
      </c>
      <c r="D12" s="19" t="n">
        <v>743</v>
      </c>
      <c r="E12" s="18" t="n">
        <v>30.53251603</v>
      </c>
      <c r="F12" s="20" t="n">
        <v>2.19722354</v>
      </c>
      <c r="G12" s="18" t="n">
        <v>51.47634095</v>
      </c>
      <c r="H12" s="20" t="n">
        <v>2.17328501</v>
      </c>
      <c r="I12" s="18" t="n">
        <v>0</v>
      </c>
      <c r="J12" s="20" t="n">
        <v>0</v>
      </c>
      <c r="K12" s="18" t="n">
        <v>1.50301894</v>
      </c>
      <c r="L12" s="20" t="n">
        <v>0.4338102</v>
      </c>
      <c r="M12" s="18" t="n">
        <v>0</v>
      </c>
      <c r="N12" s="20" t="n">
        <v>0</v>
      </c>
      <c r="O12" s="18" t="n">
        <v>0</v>
      </c>
      <c r="P12" s="20" t="n">
        <v>0</v>
      </c>
      <c r="Q12" s="18" t="n">
        <v>16.48812407</v>
      </c>
      <c r="R12" s="20" t="n">
        <v>1.72433766</v>
      </c>
    </row>
    <row r="13" spans="1:18">
      <c r="A13" s="15" t="s">
        <v>571</v>
      </c>
      <c r="B13" s="17" t="n">
        <v>7161</v>
      </c>
      <c r="C13" s="18">
        <f>(6408.0/B13*100)</f>
        <v/>
      </c>
      <c r="D13" s="19" t="n">
        <v>753</v>
      </c>
      <c r="E13" s="18" t="n">
        <v>42.89558278</v>
      </c>
      <c r="F13" s="20" t="n">
        <v>2.21761845</v>
      </c>
      <c r="G13" s="18" t="n">
        <v>47.53781563</v>
      </c>
      <c r="H13" s="20" t="n">
        <v>2.27068654</v>
      </c>
      <c r="I13" s="18" t="n">
        <v>0</v>
      </c>
      <c r="J13" s="20" t="n">
        <v>0</v>
      </c>
      <c r="K13" s="18" t="n">
        <v>1.867774</v>
      </c>
      <c r="L13" s="20" t="n">
        <v>0.62976437</v>
      </c>
      <c r="M13" s="18" t="n">
        <v>0</v>
      </c>
      <c r="N13" s="20" t="n">
        <v>0</v>
      </c>
      <c r="O13" s="18" t="n">
        <v>0</v>
      </c>
      <c r="P13" s="20" t="n">
        <v>0</v>
      </c>
      <c r="Q13" s="18" t="n">
        <v>7.69882759</v>
      </c>
      <c r="R13" s="20" t="n">
        <v>1.17912198</v>
      </c>
    </row>
    <row r="14" spans="1:18">
      <c r="A14" s="15" t="s">
        <v>572</v>
      </c>
      <c r="B14" s="17" t="n">
        <v>5587</v>
      </c>
      <c r="C14" s="18">
        <f>(4974.0/B14*100)</f>
        <v/>
      </c>
      <c r="D14" s="19" t="n">
        <v>613</v>
      </c>
      <c r="E14" s="18" t="n">
        <v>34.04074403</v>
      </c>
      <c r="F14" s="20" t="n">
        <v>2.15905147</v>
      </c>
      <c r="G14" s="18" t="n">
        <v>60.5001863</v>
      </c>
      <c r="H14" s="20" t="n">
        <v>2.26817458</v>
      </c>
      <c r="I14" s="18" t="n">
        <v>0</v>
      </c>
      <c r="J14" s="20" t="n">
        <v>0</v>
      </c>
      <c r="K14" s="18" t="n">
        <v>0.28293563</v>
      </c>
      <c r="L14" s="20" t="n">
        <v>0.19848278</v>
      </c>
      <c r="M14" s="18" t="n">
        <v>0</v>
      </c>
      <c r="N14" s="20" t="n">
        <v>0</v>
      </c>
      <c r="O14" s="18" t="n">
        <v>0</v>
      </c>
      <c r="P14" s="20" t="n">
        <v>0</v>
      </c>
      <c r="Q14" s="18" t="n">
        <v>5.17613403</v>
      </c>
      <c r="R14" s="20" t="n">
        <v>0.93682732</v>
      </c>
    </row>
    <row r="15" spans="1:18">
      <c r="A15" s="15" t="s">
        <v>573</v>
      </c>
      <c r="B15" s="17" t="n">
        <v>5882</v>
      </c>
      <c r="C15" s="18">
        <f>(5294.0/B15*100)</f>
        <v/>
      </c>
      <c r="D15" s="19" t="n">
        <v>588</v>
      </c>
      <c r="E15" s="18" t="n">
        <v>49.07540173</v>
      </c>
      <c r="F15" s="20" t="n">
        <v>1.65543428</v>
      </c>
      <c r="G15" s="18" t="n">
        <v>45.73167118</v>
      </c>
      <c r="H15" s="20" t="n">
        <v>1.79688856</v>
      </c>
      <c r="I15" s="18" t="n">
        <v>0</v>
      </c>
      <c r="J15" s="20" t="n">
        <v>0</v>
      </c>
      <c r="K15" s="18" t="n">
        <v>0.29572241</v>
      </c>
      <c r="L15" s="20" t="n">
        <v>0.21256909</v>
      </c>
      <c r="M15" s="18" t="n">
        <v>0</v>
      </c>
      <c r="N15" s="20" t="n">
        <v>0</v>
      </c>
      <c r="O15" s="18" t="n">
        <v>0</v>
      </c>
      <c r="P15" s="20" t="n">
        <v>0</v>
      </c>
      <c r="Q15" s="18" t="n">
        <v>4.89720468</v>
      </c>
      <c r="R15" s="20" t="n">
        <v>0.9572707499999999</v>
      </c>
    </row>
    <row r="16" spans="1:18">
      <c r="A16" s="15" t="s">
        <v>574</v>
      </c>
      <c r="B16" s="17" t="n">
        <v>6108</v>
      </c>
      <c r="C16" s="18">
        <f>(5487.0/B16*100)</f>
        <v/>
      </c>
      <c r="D16" s="19" t="n">
        <v>621</v>
      </c>
      <c r="E16" s="18" t="n">
        <v>37.76133793</v>
      </c>
      <c r="F16" s="20" t="n">
        <v>1.80210249</v>
      </c>
      <c r="G16" s="18" t="n">
        <v>46.28204888</v>
      </c>
      <c r="H16" s="20" t="n">
        <v>1.92126455</v>
      </c>
      <c r="I16" s="18" t="n">
        <v>0</v>
      </c>
      <c r="J16" s="20" t="n">
        <v>0</v>
      </c>
      <c r="K16" s="18" t="n">
        <v>3.19924255</v>
      </c>
      <c r="L16" s="20" t="n">
        <v>0.77249259</v>
      </c>
      <c r="M16" s="18" t="n">
        <v>0</v>
      </c>
      <c r="N16" s="20" t="n">
        <v>0</v>
      </c>
      <c r="O16" s="18" t="n">
        <v>0</v>
      </c>
      <c r="P16" s="20" t="n">
        <v>0</v>
      </c>
      <c r="Q16" s="18" t="n">
        <v>12.75737063</v>
      </c>
      <c r="R16" s="20" t="n">
        <v>1.49484365</v>
      </c>
    </row>
    <row r="17" spans="1:18">
      <c r="A17" s="15" t="s">
        <v>575</v>
      </c>
      <c r="B17" s="17" t="n">
        <v>6504</v>
      </c>
      <c r="C17" s="18">
        <f>(5857.0/B17*100)</f>
        <v/>
      </c>
      <c r="D17" s="19" t="n">
        <v>647</v>
      </c>
      <c r="E17" s="18" t="n">
        <v>49.63487127</v>
      </c>
      <c r="F17" s="20" t="n">
        <v>2.03401716</v>
      </c>
      <c r="G17" s="18" t="n">
        <v>40.94371285</v>
      </c>
      <c r="H17" s="20" t="n">
        <v>2.11817076</v>
      </c>
      <c r="I17" s="18" t="n">
        <v>0</v>
      </c>
      <c r="J17" s="20" t="n">
        <v>0</v>
      </c>
      <c r="K17" s="18" t="n">
        <v>0.93269898</v>
      </c>
      <c r="L17" s="20" t="n">
        <v>0.32379863</v>
      </c>
      <c r="M17" s="18" t="n">
        <v>0</v>
      </c>
      <c r="N17" s="20" t="n">
        <v>0</v>
      </c>
      <c r="O17" s="18" t="n">
        <v>0</v>
      </c>
      <c r="P17" s="20" t="n">
        <v>0</v>
      </c>
      <c r="Q17" s="18" t="n">
        <v>8.4887169</v>
      </c>
      <c r="R17" s="20" t="n">
        <v>1.23617131</v>
      </c>
    </row>
    <row r="18" spans="1:18">
      <c r="A18" s="15" t="s">
        <v>576</v>
      </c>
      <c r="B18" s="17" t="n">
        <v>5532</v>
      </c>
      <c r="C18" s="18">
        <f>(4925.0/B18*100)</f>
        <v/>
      </c>
      <c r="D18" s="19" t="n">
        <v>607</v>
      </c>
      <c r="E18" s="18" t="n">
        <v>40.07450852</v>
      </c>
      <c r="F18" s="20" t="n">
        <v>2.0914466</v>
      </c>
      <c r="G18" s="18" t="n">
        <v>44.59886463</v>
      </c>
      <c r="H18" s="20" t="n">
        <v>2.17495807</v>
      </c>
      <c r="I18" s="18" t="n">
        <v>0</v>
      </c>
      <c r="J18" s="20" t="n">
        <v>0</v>
      </c>
      <c r="K18" s="18" t="n">
        <v>1.96605177</v>
      </c>
      <c r="L18" s="20" t="n">
        <v>0.54936314</v>
      </c>
      <c r="M18" s="18" t="n">
        <v>0</v>
      </c>
      <c r="N18" s="20" t="n">
        <v>0</v>
      </c>
      <c r="O18" s="18" t="n">
        <v>0</v>
      </c>
      <c r="P18" s="20" t="n">
        <v>0</v>
      </c>
      <c r="Q18" s="18" t="n">
        <v>13.36057508</v>
      </c>
      <c r="R18" s="20" t="n">
        <v>1.54577175</v>
      </c>
    </row>
    <row r="19" spans="1:18">
      <c r="A19" s="15" t="s">
        <v>577</v>
      </c>
      <c r="B19" s="17" t="n">
        <v>5658</v>
      </c>
      <c r="C19" s="18">
        <f>(5084.0/B19*100)</f>
        <v/>
      </c>
      <c r="D19" s="19" t="n">
        <v>574</v>
      </c>
      <c r="E19" s="18" t="n">
        <v>49.64773816</v>
      </c>
      <c r="F19" s="20" t="n">
        <v>2.73987402</v>
      </c>
      <c r="G19" s="18" t="n">
        <v>34.73259813</v>
      </c>
      <c r="H19" s="20" t="n">
        <v>2.2682707</v>
      </c>
      <c r="I19" s="18" t="n">
        <v>0</v>
      </c>
      <c r="J19" s="20" t="n">
        <v>0</v>
      </c>
      <c r="K19" s="18" t="n">
        <v>0</v>
      </c>
      <c r="L19" s="20" t="n">
        <v>0</v>
      </c>
      <c r="M19" s="18" t="n">
        <v>0</v>
      </c>
      <c r="N19" s="20" t="n">
        <v>0</v>
      </c>
      <c r="O19" s="18" t="n">
        <v>0</v>
      </c>
      <c r="P19" s="20" t="n">
        <v>0</v>
      </c>
      <c r="Q19" s="18" t="n">
        <v>15.61966371</v>
      </c>
      <c r="R19" s="20" t="n">
        <v>1.53943909</v>
      </c>
    </row>
    <row r="20" spans="1:18">
      <c r="A20" s="15" t="s">
        <v>578</v>
      </c>
      <c r="B20" s="17" t="n">
        <v>3371</v>
      </c>
      <c r="C20" s="18">
        <f>(2992.0/B20*100)</f>
        <v/>
      </c>
      <c r="D20" s="19" t="n">
        <v>379</v>
      </c>
      <c r="E20" s="18" t="n">
        <v>52.95022428</v>
      </c>
      <c r="F20" s="20" t="n">
        <v>2.41841107</v>
      </c>
      <c r="G20" s="18" t="n">
        <v>37.04125971</v>
      </c>
      <c r="H20" s="20" t="n">
        <v>2.31406533</v>
      </c>
      <c r="I20" s="18" t="n">
        <v>0</v>
      </c>
      <c r="J20" s="20" t="n">
        <v>0</v>
      </c>
      <c r="K20" s="18" t="n">
        <v>0.71453314</v>
      </c>
      <c r="L20" s="20" t="n">
        <v>0.41426835</v>
      </c>
      <c r="M20" s="18" t="n">
        <v>0</v>
      </c>
      <c r="N20" s="20" t="n">
        <v>0</v>
      </c>
      <c r="O20" s="18" t="n">
        <v>0</v>
      </c>
      <c r="P20" s="20" t="n">
        <v>0</v>
      </c>
      <c r="Q20" s="18" t="n">
        <v>9.29398288</v>
      </c>
      <c r="R20" s="20" t="n">
        <v>1.39252645</v>
      </c>
    </row>
    <row r="21" spans="1:18">
      <c r="A21" s="15" t="s">
        <v>579</v>
      </c>
      <c r="B21" s="17" t="n">
        <v>5741</v>
      </c>
      <c r="C21" s="18">
        <f>(5134.0/B21*100)</f>
        <v/>
      </c>
      <c r="D21" s="19" t="n">
        <v>607</v>
      </c>
      <c r="E21" s="18" t="n">
        <v>53.67241216</v>
      </c>
      <c r="F21" s="20" t="n">
        <v>2.07350058</v>
      </c>
      <c r="G21" s="18" t="n">
        <v>42.45282343</v>
      </c>
      <c r="H21" s="20" t="n">
        <v>2.04812944</v>
      </c>
      <c r="I21" s="18" t="n">
        <v>0</v>
      </c>
      <c r="J21" s="20" t="n">
        <v>0</v>
      </c>
      <c r="K21" s="18" t="n">
        <v>1.26226941</v>
      </c>
      <c r="L21" s="20" t="n">
        <v>0.49326144</v>
      </c>
      <c r="M21" s="18" t="n">
        <v>0</v>
      </c>
      <c r="N21" s="20" t="n">
        <v>0</v>
      </c>
      <c r="O21" s="18" t="n">
        <v>0</v>
      </c>
      <c r="P21" s="20" t="n">
        <v>0</v>
      </c>
      <c r="Q21" s="18" t="n">
        <v>2.61249501</v>
      </c>
      <c r="R21" s="20" t="n">
        <v>0.68186013</v>
      </c>
    </row>
    <row r="22" spans="1:18">
      <c r="A22" s="15" t="s">
        <v>580</v>
      </c>
      <c r="B22" s="17" t="n">
        <v>6598</v>
      </c>
      <c r="C22" s="18">
        <f>(5961.0/B22*100)</f>
        <v/>
      </c>
      <c r="D22" s="19" t="n">
        <v>637</v>
      </c>
      <c r="E22" s="18" t="n">
        <v>51.99288359</v>
      </c>
      <c r="F22" s="20" t="n">
        <v>2.54467</v>
      </c>
      <c r="G22" s="18" t="n">
        <v>32.47131667</v>
      </c>
      <c r="H22" s="20" t="n">
        <v>2.47706191</v>
      </c>
      <c r="I22" s="18" t="n">
        <v>0</v>
      </c>
      <c r="J22" s="20" t="n">
        <v>0</v>
      </c>
      <c r="K22" s="18" t="n">
        <v>2.75077436</v>
      </c>
      <c r="L22" s="20" t="n">
        <v>0.62092953</v>
      </c>
      <c r="M22" s="18" t="n">
        <v>0</v>
      </c>
      <c r="N22" s="20" t="n">
        <v>0</v>
      </c>
      <c r="O22" s="18" t="n">
        <v>0</v>
      </c>
      <c r="P22" s="20" t="n">
        <v>0</v>
      </c>
      <c r="Q22" s="18" t="n">
        <v>12.78502537</v>
      </c>
      <c r="R22" s="20" t="n">
        <v>1.61311954</v>
      </c>
    </row>
    <row r="23" spans="1:18">
      <c r="A23" s="15" t="s">
        <v>581</v>
      </c>
      <c r="B23" s="17" t="n">
        <v>11583</v>
      </c>
      <c r="C23" s="18">
        <f>(10380.0/B23*100)</f>
        <v/>
      </c>
      <c r="D23" s="19" t="n">
        <v>1203</v>
      </c>
      <c r="E23" s="18" t="n">
        <v>51.43251282</v>
      </c>
      <c r="F23" s="20" t="n">
        <v>2.16666287</v>
      </c>
      <c r="G23" s="18" t="n">
        <v>29.28858183</v>
      </c>
      <c r="H23" s="20" t="n">
        <v>1.76666337</v>
      </c>
      <c r="I23" s="18" t="n">
        <v>0</v>
      </c>
      <c r="J23" s="20" t="n">
        <v>0</v>
      </c>
      <c r="K23" s="18" t="n">
        <v>2.85143442</v>
      </c>
      <c r="L23" s="20" t="n">
        <v>0.8183683</v>
      </c>
      <c r="M23" s="18" t="n">
        <v>0</v>
      </c>
      <c r="N23" s="20" t="n">
        <v>0</v>
      </c>
      <c r="O23" s="18" t="n">
        <v>0</v>
      </c>
      <c r="P23" s="20" t="n">
        <v>0</v>
      </c>
      <c r="Q23" s="18" t="n">
        <v>16.42747094</v>
      </c>
      <c r="R23" s="20" t="n">
        <v>1.87464961</v>
      </c>
    </row>
    <row r="24" spans="1:18">
      <c r="A24" s="15" t="s">
        <v>582</v>
      </c>
      <c r="B24" s="17" t="n">
        <v>6647</v>
      </c>
      <c r="C24" s="18">
        <f>(5961.0/B24*100)</f>
        <v/>
      </c>
      <c r="D24" s="19" t="n">
        <v>686</v>
      </c>
      <c r="E24" s="18" t="n">
        <v>53.30013673</v>
      </c>
      <c r="F24" s="20" t="n">
        <v>2.00042111</v>
      </c>
      <c r="G24" s="18" t="n">
        <v>41.2830002</v>
      </c>
      <c r="H24" s="20" t="n">
        <v>1.86441422</v>
      </c>
      <c r="I24" s="18" t="n">
        <v>0</v>
      </c>
      <c r="J24" s="20" t="n">
        <v>0</v>
      </c>
      <c r="K24" s="18" t="n">
        <v>0.75026736</v>
      </c>
      <c r="L24" s="20" t="n">
        <v>0.33116195</v>
      </c>
      <c r="M24" s="18" t="n">
        <v>0</v>
      </c>
      <c r="N24" s="20" t="n">
        <v>0</v>
      </c>
      <c r="O24" s="18" t="n">
        <v>0</v>
      </c>
      <c r="P24" s="20" t="n">
        <v>0</v>
      </c>
      <c r="Q24" s="18" t="n">
        <v>4.66659572</v>
      </c>
      <c r="R24" s="20" t="n">
        <v>0.8720074799999999</v>
      </c>
    </row>
    <row r="25" spans="1:18">
      <c r="A25" s="15" t="s">
        <v>583</v>
      </c>
      <c r="B25" s="17" t="n">
        <v>5581</v>
      </c>
      <c r="C25" s="18">
        <f>(4963.0/B25*100)</f>
        <v/>
      </c>
      <c r="D25" s="19" t="n">
        <v>618</v>
      </c>
      <c r="E25" s="18" t="n">
        <v>51.43904694</v>
      </c>
      <c r="F25" s="20" t="n">
        <v>2.09562625</v>
      </c>
      <c r="G25" s="18" t="n">
        <v>42.73271008</v>
      </c>
      <c r="H25" s="20" t="n">
        <v>2.28874931</v>
      </c>
      <c r="I25" s="18" t="n">
        <v>0</v>
      </c>
      <c r="J25" s="20" t="n">
        <v>0</v>
      </c>
      <c r="K25" s="18" t="n">
        <v>0.89119783</v>
      </c>
      <c r="L25" s="20" t="n">
        <v>0.37152681</v>
      </c>
      <c r="M25" s="18" t="n">
        <v>0</v>
      </c>
      <c r="N25" s="20" t="n">
        <v>0</v>
      </c>
      <c r="O25" s="18" t="n">
        <v>0</v>
      </c>
      <c r="P25" s="20" t="n">
        <v>0</v>
      </c>
      <c r="Q25" s="18" t="n">
        <v>4.93704516</v>
      </c>
      <c r="R25" s="20" t="n">
        <v>0.87211052</v>
      </c>
    </row>
    <row r="26" spans="1:18">
      <c r="A26" s="15" t="s">
        <v>584</v>
      </c>
      <c r="B26" s="17" t="n">
        <v>4869</v>
      </c>
      <c r="C26" s="18">
        <f>(4350.0/B26*100)</f>
        <v/>
      </c>
      <c r="D26" s="19" t="n">
        <v>519</v>
      </c>
      <c r="E26" s="18" t="n">
        <v>48.94069358</v>
      </c>
      <c r="F26" s="20" t="n">
        <v>2.53179843</v>
      </c>
      <c r="G26" s="18" t="n">
        <v>46.7124629</v>
      </c>
      <c r="H26" s="20" t="n">
        <v>2.53796299</v>
      </c>
      <c r="I26" s="18" t="n">
        <v>0</v>
      </c>
      <c r="J26" s="20" t="n">
        <v>0</v>
      </c>
      <c r="K26" s="18" t="n">
        <v>0.30608101</v>
      </c>
      <c r="L26" s="20" t="n">
        <v>0.23158203</v>
      </c>
      <c r="M26" s="18" t="n">
        <v>0</v>
      </c>
      <c r="N26" s="20" t="n">
        <v>0</v>
      </c>
      <c r="O26" s="18" t="n">
        <v>0</v>
      </c>
      <c r="P26" s="20" t="n">
        <v>0</v>
      </c>
      <c r="Q26" s="18" t="n">
        <v>4.04076251</v>
      </c>
      <c r="R26" s="20" t="n">
        <v>0.80994595</v>
      </c>
    </row>
    <row r="27" spans="1:18">
      <c r="A27" s="15" t="s">
        <v>585</v>
      </c>
      <c r="B27" s="17" t="n">
        <v>5299</v>
      </c>
      <c r="C27" s="18">
        <f>(4765.0/B27*100)</f>
        <v/>
      </c>
      <c r="D27" s="19" t="n">
        <v>534</v>
      </c>
      <c r="E27" s="18" t="n">
        <v>44.54057967</v>
      </c>
      <c r="F27" s="20" t="n">
        <v>2.25028692</v>
      </c>
      <c r="G27" s="18" t="n">
        <v>41.42573442</v>
      </c>
      <c r="H27" s="20" t="n">
        <v>2.06947526</v>
      </c>
      <c r="I27" s="18" t="n">
        <v>0</v>
      </c>
      <c r="J27" s="20" t="n">
        <v>0</v>
      </c>
      <c r="K27" s="18" t="n">
        <v>1.87293603</v>
      </c>
      <c r="L27" s="20" t="n">
        <v>0.5671034</v>
      </c>
      <c r="M27" s="18" t="n">
        <v>0</v>
      </c>
      <c r="N27" s="20" t="n">
        <v>0</v>
      </c>
      <c r="O27" s="18" t="n">
        <v>0</v>
      </c>
      <c r="P27" s="20" t="n">
        <v>0</v>
      </c>
      <c r="Q27" s="18" t="n">
        <v>12.16074988</v>
      </c>
      <c r="R27" s="20" t="n">
        <v>1.24743044</v>
      </c>
    </row>
    <row r="28" spans="1:18">
      <c r="A28" s="15" t="s">
        <v>586</v>
      </c>
      <c r="B28" s="17" t="n">
        <v>7568</v>
      </c>
      <c r="C28" s="18">
        <f>(6899.0/B28*100)</f>
        <v/>
      </c>
      <c r="D28" s="19" t="n">
        <v>669</v>
      </c>
      <c r="E28" s="18" t="n">
        <v>61.25836418</v>
      </c>
      <c r="F28" s="20" t="n">
        <v>2.18658421</v>
      </c>
      <c r="G28" s="18" t="n">
        <v>32.32660193</v>
      </c>
      <c r="H28" s="20" t="n">
        <v>2.00032522</v>
      </c>
      <c r="I28" s="18" t="n">
        <v>0</v>
      </c>
      <c r="J28" s="20" t="n">
        <v>0</v>
      </c>
      <c r="K28" s="18" t="n">
        <v>2.08232792</v>
      </c>
      <c r="L28" s="20" t="n">
        <v>0.62116817</v>
      </c>
      <c r="M28" s="18" t="n">
        <v>0</v>
      </c>
      <c r="N28" s="20" t="n">
        <v>0</v>
      </c>
      <c r="O28" s="18" t="n">
        <v>0</v>
      </c>
      <c r="P28" s="20" t="n">
        <v>0</v>
      </c>
      <c r="Q28" s="18" t="n">
        <v>4.33270597</v>
      </c>
      <c r="R28" s="20" t="n">
        <v>1.09101935</v>
      </c>
    </row>
    <row r="29" spans="1:18">
      <c r="A29" s="15" t="s">
        <v>587</v>
      </c>
      <c r="B29" s="17" t="n">
        <v>5385</v>
      </c>
      <c r="C29" s="18">
        <f>(4802.0/B29*100)</f>
        <v/>
      </c>
      <c r="D29" s="19" t="n">
        <v>583</v>
      </c>
      <c r="E29" s="18" t="n">
        <v>53.66416843</v>
      </c>
      <c r="F29" s="20" t="n">
        <v>2.3310123</v>
      </c>
      <c r="G29" s="18" t="n">
        <v>42.84853766</v>
      </c>
      <c r="H29" s="20" t="n">
        <v>2.26018444</v>
      </c>
      <c r="I29" s="18" t="n">
        <v>0</v>
      </c>
      <c r="J29" s="20" t="n">
        <v>0</v>
      </c>
      <c r="K29" s="18" t="n">
        <v>0.60723379</v>
      </c>
      <c r="L29" s="20" t="n">
        <v>0.3104822</v>
      </c>
      <c r="M29" s="18" t="n">
        <v>0</v>
      </c>
      <c r="N29" s="20" t="n">
        <v>0</v>
      </c>
      <c r="O29" s="18" t="n">
        <v>0</v>
      </c>
      <c r="P29" s="20" t="n">
        <v>0</v>
      </c>
      <c r="Q29" s="18" t="n">
        <v>2.88006011</v>
      </c>
      <c r="R29" s="20" t="n">
        <v>0.79353228</v>
      </c>
    </row>
    <row r="30" spans="1:18">
      <c r="A30" s="15" t="s">
        <v>588</v>
      </c>
      <c r="B30" s="17" t="n">
        <v>4520</v>
      </c>
      <c r="C30" s="18">
        <f>(4074.0/B30*100)</f>
        <v/>
      </c>
      <c r="D30" s="19" t="n">
        <v>446</v>
      </c>
      <c r="E30" s="18" t="n">
        <v>57.21879491</v>
      </c>
      <c r="F30" s="20" t="n">
        <v>2.34526172</v>
      </c>
      <c r="G30" s="18" t="n">
        <v>34.66411974</v>
      </c>
      <c r="H30" s="20" t="n">
        <v>2.05510632</v>
      </c>
      <c r="I30" s="18" t="n">
        <v>0</v>
      </c>
      <c r="J30" s="20" t="n">
        <v>0</v>
      </c>
      <c r="K30" s="18" t="n">
        <v>1.62711903</v>
      </c>
      <c r="L30" s="20" t="n">
        <v>0.58472736</v>
      </c>
      <c r="M30" s="18" t="n">
        <v>0</v>
      </c>
      <c r="N30" s="20" t="n">
        <v>0</v>
      </c>
      <c r="O30" s="18" t="n">
        <v>0</v>
      </c>
      <c r="P30" s="20" t="n">
        <v>0</v>
      </c>
      <c r="Q30" s="18" t="n">
        <v>6.48996631</v>
      </c>
      <c r="R30" s="20" t="n">
        <v>1.18091232</v>
      </c>
    </row>
    <row r="31" spans="1:18">
      <c r="A31" s="15" t="s">
        <v>589</v>
      </c>
      <c r="B31" s="17" t="n">
        <v>5456</v>
      </c>
      <c r="C31" s="18">
        <f>(4870.0/B31*100)</f>
        <v/>
      </c>
      <c r="D31" s="19" t="n">
        <v>586</v>
      </c>
      <c r="E31" s="18" t="n">
        <v>46.9619202</v>
      </c>
      <c r="F31" s="20" t="n">
        <v>2.07033687</v>
      </c>
      <c r="G31" s="18" t="n">
        <v>38.75517446</v>
      </c>
      <c r="H31" s="20" t="n">
        <v>1.95259789</v>
      </c>
      <c r="I31" s="18" t="n">
        <v>0</v>
      </c>
      <c r="J31" s="20" t="n">
        <v>0</v>
      </c>
      <c r="K31" s="18" t="n">
        <v>2.49530193</v>
      </c>
      <c r="L31" s="20" t="n">
        <v>0.7741623</v>
      </c>
      <c r="M31" s="18" t="n">
        <v>0</v>
      </c>
      <c r="N31" s="20" t="n">
        <v>0</v>
      </c>
      <c r="O31" s="18" t="n">
        <v>0</v>
      </c>
      <c r="P31" s="20" t="n">
        <v>0</v>
      </c>
      <c r="Q31" s="18" t="n">
        <v>11.78760342</v>
      </c>
      <c r="R31" s="20" t="n">
        <v>1.27118545</v>
      </c>
    </row>
    <row r="32" spans="1:18">
      <c r="A32" s="15" t="s">
        <v>590</v>
      </c>
      <c r="B32" s="17" t="n">
        <v>4478</v>
      </c>
      <c r="C32" s="18">
        <f>(3987.0/B32*100)</f>
        <v/>
      </c>
      <c r="D32" s="19" t="n">
        <v>491</v>
      </c>
      <c r="E32" s="18" t="n">
        <v>38.42966577</v>
      </c>
      <c r="F32" s="20" t="n">
        <v>2.33522038</v>
      </c>
      <c r="G32" s="18" t="n">
        <v>51.10210616</v>
      </c>
      <c r="H32" s="20" t="n">
        <v>2.29052351</v>
      </c>
      <c r="I32" s="18" t="n">
        <v>0</v>
      </c>
      <c r="J32" s="20" t="n">
        <v>0</v>
      </c>
      <c r="K32" s="18" t="n">
        <v>0</v>
      </c>
      <c r="L32" s="20" t="n">
        <v>0</v>
      </c>
      <c r="M32" s="18" t="n">
        <v>0</v>
      </c>
      <c r="N32" s="20" t="n">
        <v>0</v>
      </c>
      <c r="O32" s="18" t="n">
        <v>0</v>
      </c>
      <c r="P32" s="20" t="n">
        <v>0</v>
      </c>
      <c r="Q32" s="18" t="n">
        <v>10.46822807</v>
      </c>
      <c r="R32" s="20" t="n">
        <v>1.43948254</v>
      </c>
    </row>
    <row r="33" spans="1:18">
      <c r="A33" s="15" t="s">
        <v>591</v>
      </c>
      <c r="B33" s="17" t="n">
        <v>7325</v>
      </c>
      <c r="C33" s="18">
        <f>(6604.0/B33*100)</f>
        <v/>
      </c>
      <c r="D33" s="19" t="n">
        <v>721</v>
      </c>
      <c r="E33" s="18" t="n">
        <v>50.42748562</v>
      </c>
      <c r="F33" s="20" t="n">
        <v>1.8417412</v>
      </c>
      <c r="G33" s="18" t="n">
        <v>40.40054977</v>
      </c>
      <c r="H33" s="20" t="n">
        <v>1.86359894</v>
      </c>
      <c r="I33" s="18" t="n">
        <v>0</v>
      </c>
      <c r="J33" s="20" t="n">
        <v>0</v>
      </c>
      <c r="K33" s="18" t="n">
        <v>0.81249912</v>
      </c>
      <c r="L33" s="20" t="n">
        <v>0.36754537</v>
      </c>
      <c r="M33" s="18" t="n">
        <v>0</v>
      </c>
      <c r="N33" s="20" t="n">
        <v>0</v>
      </c>
      <c r="O33" s="18" t="n">
        <v>0</v>
      </c>
      <c r="P33" s="20" t="n">
        <v>0</v>
      </c>
      <c r="Q33" s="18" t="n">
        <v>8.35946549</v>
      </c>
      <c r="R33" s="20" t="n">
        <v>1.06769397</v>
      </c>
    </row>
    <row r="34" spans="1:18">
      <c r="A34" s="15" t="s">
        <v>592</v>
      </c>
      <c r="B34" s="17" t="n">
        <v>6350</v>
      </c>
      <c r="C34" s="18">
        <f>(5669.0/B34*100)</f>
        <v/>
      </c>
      <c r="D34" s="19" t="n">
        <v>681</v>
      </c>
      <c r="E34" s="18" t="n">
        <v>58.06199221</v>
      </c>
      <c r="F34" s="20" t="n">
        <v>1.8530873</v>
      </c>
      <c r="G34" s="18" t="n">
        <v>27.15633549</v>
      </c>
      <c r="H34" s="20" t="n">
        <v>1.55650074</v>
      </c>
      <c r="I34" s="18" t="n">
        <v>0</v>
      </c>
      <c r="J34" s="20" t="n">
        <v>0</v>
      </c>
      <c r="K34" s="18" t="n">
        <v>1.16622865</v>
      </c>
      <c r="L34" s="20" t="n">
        <v>0.36322509</v>
      </c>
      <c r="M34" s="18" t="n">
        <v>0.10289046</v>
      </c>
      <c r="N34" s="20" t="n">
        <v>0.09644166999999999</v>
      </c>
      <c r="O34" s="18" t="n">
        <v>0</v>
      </c>
      <c r="P34" s="20" t="n">
        <v>0</v>
      </c>
      <c r="Q34" s="18" t="n">
        <v>13.51255319</v>
      </c>
      <c r="R34" s="20" t="n">
        <v>1.22838011</v>
      </c>
    </row>
    <row r="35" spans="1:18">
      <c r="A35" s="15" t="s">
        <v>593</v>
      </c>
      <c r="B35" s="17" t="n">
        <v>6406</v>
      </c>
      <c r="C35" s="18">
        <f>(5760.0/B35*100)</f>
        <v/>
      </c>
      <c r="D35" s="19" t="n">
        <v>646</v>
      </c>
      <c r="E35" s="18" t="n">
        <v>31.45515818</v>
      </c>
      <c r="F35" s="20" t="n">
        <v>2.15237636</v>
      </c>
      <c r="G35" s="18" t="n">
        <v>64.23141252000001</v>
      </c>
      <c r="H35" s="20" t="n">
        <v>2.12375839</v>
      </c>
      <c r="I35" s="18" t="n">
        <v>0</v>
      </c>
      <c r="J35" s="20" t="n">
        <v>0</v>
      </c>
      <c r="K35" s="18" t="n">
        <v>0.37298944</v>
      </c>
      <c r="L35" s="20" t="n">
        <v>0.21474122</v>
      </c>
      <c r="M35" s="18" t="n">
        <v>0</v>
      </c>
      <c r="N35" s="20" t="n">
        <v>0</v>
      </c>
      <c r="O35" s="18" t="n">
        <v>0</v>
      </c>
      <c r="P35" s="20" t="n">
        <v>0</v>
      </c>
      <c r="Q35" s="18" t="n">
        <v>3.94043985</v>
      </c>
      <c r="R35" s="20" t="n">
        <v>0.8505359</v>
      </c>
    </row>
    <row r="36" spans="1:18">
      <c r="A36" s="15" t="s">
        <v>594</v>
      </c>
      <c r="B36" s="17" t="n">
        <v>6736</v>
      </c>
      <c r="C36" s="18">
        <f>(6080.0/B36*100)</f>
        <v/>
      </c>
      <c r="D36" s="19" t="n">
        <v>656</v>
      </c>
      <c r="E36" s="18" t="n">
        <v>49.81596474</v>
      </c>
      <c r="F36" s="20" t="n">
        <v>1.98233884</v>
      </c>
      <c r="G36" s="18" t="n">
        <v>38.90448307</v>
      </c>
      <c r="H36" s="20" t="n">
        <v>2.09333501</v>
      </c>
      <c r="I36" s="18" t="n">
        <v>0</v>
      </c>
      <c r="J36" s="20" t="n">
        <v>0</v>
      </c>
      <c r="K36" s="18" t="n">
        <v>1.87155318</v>
      </c>
      <c r="L36" s="20" t="n">
        <v>0.59338714</v>
      </c>
      <c r="M36" s="18" t="n">
        <v>0</v>
      </c>
      <c r="N36" s="20" t="n">
        <v>0</v>
      </c>
      <c r="O36" s="18" t="n">
        <v>0</v>
      </c>
      <c r="P36" s="20" t="n">
        <v>0</v>
      </c>
      <c r="Q36" s="18" t="n">
        <v>9.407999009999999</v>
      </c>
      <c r="R36" s="20" t="n">
        <v>1.19347366</v>
      </c>
    </row>
    <row r="37" spans="1:18">
      <c r="A37" s="15" t="s">
        <v>595</v>
      </c>
      <c r="B37" s="17" t="n">
        <v>5458</v>
      </c>
      <c r="C37" s="18">
        <f>(4901.0/B37*100)</f>
        <v/>
      </c>
      <c r="D37" s="19" t="n">
        <v>557</v>
      </c>
      <c r="E37" s="18" t="n">
        <v>47.30100352</v>
      </c>
      <c r="F37" s="20" t="n">
        <v>1.86061999</v>
      </c>
      <c r="G37" s="18" t="n">
        <v>39.09214037</v>
      </c>
      <c r="H37" s="20" t="n">
        <v>1.9346749</v>
      </c>
      <c r="I37" s="18" t="n">
        <v>0</v>
      </c>
      <c r="J37" s="20" t="n">
        <v>0</v>
      </c>
      <c r="K37" s="18" t="n">
        <v>3.42267053</v>
      </c>
      <c r="L37" s="20" t="n">
        <v>0.76608144</v>
      </c>
      <c r="M37" s="18" t="n">
        <v>0</v>
      </c>
      <c r="N37" s="20" t="n">
        <v>0</v>
      </c>
      <c r="O37" s="18" t="n">
        <v>0</v>
      </c>
      <c r="P37" s="20" t="n">
        <v>0</v>
      </c>
      <c r="Q37" s="18" t="n">
        <v>10.18418558</v>
      </c>
      <c r="R37" s="20" t="n">
        <v>1.43785809</v>
      </c>
    </row>
    <row r="38" spans="1:18">
      <c r="A38" s="15" t="s">
        <v>596</v>
      </c>
      <c r="B38" s="17" t="n">
        <v>5860</v>
      </c>
      <c r="C38" s="18">
        <f>(5225.0/B38*100)</f>
        <v/>
      </c>
      <c r="D38" s="19" t="n">
        <v>635</v>
      </c>
      <c r="E38" s="18" t="n">
        <v>46.84315718</v>
      </c>
      <c r="F38" s="20" t="n">
        <v>2.27566954</v>
      </c>
      <c r="G38" s="18" t="n">
        <v>41.07404933</v>
      </c>
      <c r="H38" s="20" t="n">
        <v>2.25385524</v>
      </c>
      <c r="I38" s="18" t="n">
        <v>0</v>
      </c>
      <c r="J38" s="20" t="n">
        <v>0</v>
      </c>
      <c r="K38" s="18" t="n">
        <v>1.42891061</v>
      </c>
      <c r="L38" s="20" t="n">
        <v>0.45955655</v>
      </c>
      <c r="M38" s="18" t="n">
        <v>4.45692158</v>
      </c>
      <c r="N38" s="20" t="n">
        <v>0.87281625</v>
      </c>
      <c r="O38" s="18" t="n">
        <v>0</v>
      </c>
      <c r="P38" s="20" t="n">
        <v>0</v>
      </c>
      <c r="Q38" s="18" t="n">
        <v>6.19696129</v>
      </c>
      <c r="R38" s="20" t="n">
        <v>1.0720169</v>
      </c>
    </row>
    <row r="39" spans="1:18">
      <c r="A39" s="15" t="s">
        <v>597</v>
      </c>
      <c r="B39" s="17" t="n">
        <v>5895</v>
      </c>
      <c r="C39" s="18">
        <f>(5239.0/B39*100)</f>
        <v/>
      </c>
      <c r="D39" s="19" t="n">
        <v>656</v>
      </c>
      <c r="E39" s="18" t="n">
        <v>63.61883591</v>
      </c>
      <c r="F39" s="20" t="n">
        <v>1.67069805</v>
      </c>
      <c r="G39" s="18" t="n">
        <v>26.64785355</v>
      </c>
      <c r="H39" s="20" t="n">
        <v>1.64443402</v>
      </c>
      <c r="I39" s="18" t="n">
        <v>0</v>
      </c>
      <c r="J39" s="20" t="n">
        <v>0</v>
      </c>
      <c r="K39" s="18" t="n">
        <v>0.6480263000000001</v>
      </c>
      <c r="L39" s="20" t="n">
        <v>0.37744413</v>
      </c>
      <c r="M39" s="18" t="n">
        <v>0</v>
      </c>
      <c r="N39" s="20" t="n">
        <v>0</v>
      </c>
      <c r="O39" s="18" t="n">
        <v>0</v>
      </c>
      <c r="P39" s="20" t="n">
        <v>0</v>
      </c>
      <c r="Q39" s="18" t="n">
        <v>9.08528424</v>
      </c>
      <c r="R39" s="20" t="n">
        <v>1.21818502</v>
      </c>
    </row>
    <row r="40" spans="1:18">
      <c r="A40" s="15" t="s">
        <v>598</v>
      </c>
      <c r="B40" s="17" t="n">
        <v>14157</v>
      </c>
      <c r="C40" s="18">
        <f>(12616.0/B40*100)</f>
        <v/>
      </c>
      <c r="D40" s="19" t="n">
        <v>1541</v>
      </c>
      <c r="E40" s="18" t="n">
        <v>55.78231966</v>
      </c>
      <c r="F40" s="20" t="n">
        <v>1.73573837</v>
      </c>
      <c r="G40" s="18" t="n">
        <v>35.50329722</v>
      </c>
      <c r="H40" s="20" t="n">
        <v>1.72654838</v>
      </c>
      <c r="I40" s="18" t="n">
        <v>0</v>
      </c>
      <c r="J40" s="20" t="n">
        <v>0</v>
      </c>
      <c r="K40" s="18" t="n">
        <v>1.32563252</v>
      </c>
      <c r="L40" s="20" t="n">
        <v>0.45797957</v>
      </c>
      <c r="M40" s="18" t="n">
        <v>0.15375634</v>
      </c>
      <c r="N40" s="20" t="n">
        <v>0.16180152</v>
      </c>
      <c r="O40" s="18" t="n">
        <v>0</v>
      </c>
      <c r="P40" s="20" t="n">
        <v>0</v>
      </c>
      <c r="Q40" s="18" t="n">
        <v>7.23499426</v>
      </c>
      <c r="R40" s="20" t="n">
        <v>1.19562769</v>
      </c>
    </row>
    <row r="41" spans="1:18">
      <c r="A41" s="15" t="s">
        <v>599</v>
      </c>
      <c r="B41" s="17" t="n">
        <v>5712</v>
      </c>
      <c r="C41" s="18">
        <f>(5123.0/B41*100)</f>
        <v/>
      </c>
      <c r="D41" s="19" t="n">
        <v>589</v>
      </c>
      <c r="E41" s="18" t="n">
        <v>61.63012858</v>
      </c>
      <c r="F41" s="20" t="n">
        <v>1.82872206</v>
      </c>
      <c r="G41" s="18" t="n">
        <v>34.99305409</v>
      </c>
      <c r="H41" s="20" t="n">
        <v>1.87063996</v>
      </c>
      <c r="I41" s="18" t="n">
        <v>0</v>
      </c>
      <c r="J41" s="20" t="n">
        <v>0</v>
      </c>
      <c r="K41" s="18" t="n">
        <v>1.20240534</v>
      </c>
      <c r="L41" s="20" t="n">
        <v>0.64292597</v>
      </c>
      <c r="M41" s="18" t="n">
        <v>0</v>
      </c>
      <c r="N41" s="20" t="n">
        <v>0</v>
      </c>
      <c r="O41" s="18" t="n">
        <v>0</v>
      </c>
      <c r="P41" s="20" t="n">
        <v>0</v>
      </c>
      <c r="Q41" s="18" t="n">
        <v>2.17441199</v>
      </c>
      <c r="R41" s="20" t="n">
        <v>0.5940362300000001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(21527.0/B46*100)</f>
        <v/>
      </c>
      <c r="D46" s="19" t="n">
        <v>1614</v>
      </c>
      <c r="E46" s="18" t="n">
        <v>50.43015943</v>
      </c>
      <c r="F46" s="20" t="n">
        <v>1.71683576</v>
      </c>
      <c r="G46" s="18" t="n">
        <v>28.17743876</v>
      </c>
      <c r="H46" s="20" t="n">
        <v>1.70801814</v>
      </c>
      <c r="I46" s="18" t="n">
        <v>0</v>
      </c>
      <c r="J46" s="20" t="n">
        <v>0</v>
      </c>
      <c r="K46" s="18" t="n">
        <v>2.34687152</v>
      </c>
      <c r="L46" s="20" t="n">
        <v>0.47892474</v>
      </c>
      <c r="M46" s="18" t="n">
        <v>0.45088884</v>
      </c>
      <c r="N46" s="20" t="n">
        <v>0.16267937</v>
      </c>
      <c r="O46" s="18" t="n">
        <v>0</v>
      </c>
      <c r="P46" s="20" t="n">
        <v>0</v>
      </c>
      <c r="Q46" s="18" t="n">
        <v>18.59464146</v>
      </c>
      <c r="R46" s="20" t="n">
        <v>1.36506518</v>
      </c>
    </row>
    <row r="47" spans="1:18">
      <c r="A47" s="15" t="s">
        <v>606</v>
      </c>
      <c r="B47" s="17" t="n">
        <v>5928</v>
      </c>
      <c r="C47" s="18">
        <f>(5306.0/B47*100)</f>
        <v/>
      </c>
      <c r="D47" s="19" t="n">
        <v>622</v>
      </c>
      <c r="E47" s="18" t="n">
        <v>39.32966985</v>
      </c>
      <c r="F47" s="20" t="n">
        <v>1.74442014</v>
      </c>
      <c r="G47" s="18" t="n">
        <v>33.8968115</v>
      </c>
      <c r="H47" s="20" t="n">
        <v>2.23828236</v>
      </c>
      <c r="I47" s="18" t="n">
        <v>0</v>
      </c>
      <c r="J47" s="20" t="n">
        <v>0</v>
      </c>
      <c r="K47" s="18" t="n">
        <v>1.23467771</v>
      </c>
      <c r="L47" s="20" t="n">
        <v>0.4709579</v>
      </c>
      <c r="M47" s="18" t="n">
        <v>0</v>
      </c>
      <c r="N47" s="20" t="n">
        <v>0</v>
      </c>
      <c r="O47" s="18" t="n">
        <v>0</v>
      </c>
      <c r="P47" s="20" t="n">
        <v>0</v>
      </c>
      <c r="Q47" s="18" t="n">
        <v>25.53884094</v>
      </c>
      <c r="R47" s="20" t="n">
        <v>2.11371164</v>
      </c>
    </row>
    <row r="48" spans="1:18">
      <c r="A48" s="15" t="s">
        <v>607</v>
      </c>
      <c r="B48" s="17" t="n">
        <v>9841</v>
      </c>
      <c r="C48" s="18">
        <f>(8749.0/B48*100)</f>
        <v/>
      </c>
      <c r="D48" s="19" t="n">
        <v>1092</v>
      </c>
      <c r="E48" s="18" t="n">
        <v>44.74651132</v>
      </c>
      <c r="F48" s="20" t="n">
        <v>1.96511043</v>
      </c>
      <c r="G48" s="18" t="n">
        <v>48.7121523</v>
      </c>
      <c r="H48" s="20" t="n">
        <v>2.12710175</v>
      </c>
      <c r="I48" s="18" t="n">
        <v>0</v>
      </c>
      <c r="J48" s="20" t="n">
        <v>0</v>
      </c>
      <c r="K48" s="18" t="n">
        <v>0.53577628</v>
      </c>
      <c r="L48" s="20" t="n">
        <v>0.27740985</v>
      </c>
      <c r="M48" s="18" t="n">
        <v>0</v>
      </c>
      <c r="N48" s="20" t="n">
        <v>0</v>
      </c>
      <c r="O48" s="18" t="n">
        <v>0</v>
      </c>
      <c r="P48" s="20" t="n">
        <v>0</v>
      </c>
      <c r="Q48" s="18" t="n">
        <v>6.0055601</v>
      </c>
      <c r="R48" s="20" t="n">
        <v>1.1154591</v>
      </c>
    </row>
    <row r="49" spans="1:18">
      <c r="A49" s="15" t="s">
        <v>608</v>
      </c>
      <c r="B49" s="17" t="n">
        <v>11795</v>
      </c>
      <c r="C49" s="18">
        <f>(10569.0/B49*100)</f>
        <v/>
      </c>
      <c r="D49" s="19" t="n">
        <v>1226</v>
      </c>
      <c r="E49" s="18" t="n">
        <v>63.89577058</v>
      </c>
      <c r="F49" s="20" t="n">
        <v>1.7494555</v>
      </c>
      <c r="G49" s="18" t="n">
        <v>26.20839397</v>
      </c>
      <c r="H49" s="20" t="n">
        <v>1.71298431</v>
      </c>
      <c r="I49" s="18" t="n">
        <v>0</v>
      </c>
      <c r="J49" s="20" t="n">
        <v>0</v>
      </c>
      <c r="K49" s="18" t="n">
        <v>4.06614662</v>
      </c>
      <c r="L49" s="20" t="n">
        <v>0.84640992</v>
      </c>
      <c r="M49" s="18" t="n">
        <v>0.08032353</v>
      </c>
      <c r="N49" s="20" t="n">
        <v>0.0988208</v>
      </c>
      <c r="O49" s="18" t="n">
        <v>0</v>
      </c>
      <c r="P49" s="20" t="n">
        <v>0</v>
      </c>
      <c r="Q49" s="18" t="n">
        <v>5.74936531</v>
      </c>
      <c r="R49" s="20" t="n">
        <v>0.83215745</v>
      </c>
    </row>
    <row r="50" spans="1:18">
      <c r="A50" s="15" t="s">
        <v>609</v>
      </c>
      <c r="B50" s="17" t="n">
        <v>6866</v>
      </c>
      <c r="C50" s="18">
        <f>(6279.0/B50*100)</f>
        <v/>
      </c>
      <c r="D50" s="19" t="n">
        <v>587</v>
      </c>
      <c r="E50" s="18" t="n">
        <v>48.56928726</v>
      </c>
      <c r="F50" s="20" t="n">
        <v>2.58040575</v>
      </c>
      <c r="G50" s="18" t="n">
        <v>45.6477755</v>
      </c>
      <c r="H50" s="20" t="n">
        <v>2.47536127</v>
      </c>
      <c r="I50" s="18" t="n">
        <v>0</v>
      </c>
      <c r="J50" s="20" t="n">
        <v>0</v>
      </c>
      <c r="K50" s="18" t="n">
        <v>0.66922382</v>
      </c>
      <c r="L50" s="20" t="n">
        <v>0.34919909</v>
      </c>
      <c r="M50" s="18" t="n">
        <v>0</v>
      </c>
      <c r="N50" s="20" t="n">
        <v>0</v>
      </c>
      <c r="O50" s="18" t="n">
        <v>0</v>
      </c>
      <c r="P50" s="20" t="n">
        <v>0</v>
      </c>
      <c r="Q50" s="18" t="n">
        <v>5.11371343</v>
      </c>
      <c r="R50" s="20" t="n">
        <v>1.03209471</v>
      </c>
    </row>
    <row r="51" spans="1:18">
      <c r="A51" s="15" t="s">
        <v>610</v>
      </c>
      <c r="B51" s="17" t="n">
        <v>5809</v>
      </c>
      <c r="C51" s="18">
        <f>(5154.0/B51*100)</f>
        <v/>
      </c>
      <c r="D51" s="19" t="n">
        <v>655</v>
      </c>
      <c r="E51" s="18" t="n">
        <v>40.03167685</v>
      </c>
      <c r="F51" s="20" t="n">
        <v>2.00463697</v>
      </c>
      <c r="G51" s="18" t="n">
        <v>48.82390194</v>
      </c>
      <c r="H51" s="20" t="n">
        <v>2.1069552</v>
      </c>
      <c r="I51" s="18" t="n">
        <v>0</v>
      </c>
      <c r="J51" s="20" t="n">
        <v>0</v>
      </c>
      <c r="K51" s="18" t="n">
        <v>0.81908263</v>
      </c>
      <c r="L51" s="20" t="n">
        <v>0.33614931</v>
      </c>
      <c r="M51" s="18" t="n">
        <v>0</v>
      </c>
      <c r="N51" s="20" t="n">
        <v>0</v>
      </c>
      <c r="O51" s="18" t="n">
        <v>0</v>
      </c>
      <c r="P51" s="20" t="n">
        <v>0</v>
      </c>
      <c r="Q51" s="18" t="n">
        <v>10.32533857</v>
      </c>
      <c r="R51" s="20" t="n">
        <v>1.27008167</v>
      </c>
    </row>
    <row r="52" spans="1:18">
      <c r="A52" s="15" t="s">
        <v>611</v>
      </c>
      <c r="B52" s="17" t="n">
        <v>5571</v>
      </c>
      <c r="C52" s="18">
        <f>(4986.0/B52*100)</f>
        <v/>
      </c>
      <c r="D52" s="19" t="n">
        <v>585</v>
      </c>
      <c r="E52" s="18" t="n">
        <v>47.95463163</v>
      </c>
      <c r="F52" s="20" t="n">
        <v>2.32093121</v>
      </c>
      <c r="G52" s="18" t="n">
        <v>33.73658454</v>
      </c>
      <c r="H52" s="20" t="n">
        <v>2.48581617</v>
      </c>
      <c r="I52" s="18" t="n">
        <v>0</v>
      </c>
      <c r="J52" s="20" t="n">
        <v>0</v>
      </c>
      <c r="K52" s="18" t="n">
        <v>1.77679593</v>
      </c>
      <c r="L52" s="20" t="n">
        <v>0.5224230399999999</v>
      </c>
      <c r="M52" s="18" t="n">
        <v>0</v>
      </c>
      <c r="N52" s="20" t="n">
        <v>0</v>
      </c>
      <c r="O52" s="18" t="n">
        <v>0</v>
      </c>
      <c r="P52" s="20" t="n">
        <v>0</v>
      </c>
      <c r="Q52" s="18" t="n">
        <v>16.5319879</v>
      </c>
      <c r="R52" s="20" t="n">
        <v>1.76043096</v>
      </c>
    </row>
    <row r="53" spans="1:18">
      <c r="A53" s="15" t="s">
        <v>612</v>
      </c>
      <c r="B53" s="17" t="n">
        <v>4740</v>
      </c>
      <c r="C53" s="18">
        <f>(4254.0/B53*100)</f>
        <v/>
      </c>
      <c r="D53" s="19" t="n">
        <v>486</v>
      </c>
      <c r="E53" s="18" t="n">
        <v>45.99341699</v>
      </c>
      <c r="F53" s="20" t="n">
        <v>2.80705476</v>
      </c>
      <c r="G53" s="18" t="n">
        <v>8.494253820000001</v>
      </c>
      <c r="H53" s="20" t="n">
        <v>1.51259706</v>
      </c>
      <c r="I53" s="18" t="n">
        <v>0</v>
      </c>
      <c r="J53" s="20" t="n">
        <v>0</v>
      </c>
      <c r="K53" s="18" t="n">
        <v>25.52817671</v>
      </c>
      <c r="L53" s="20" t="n">
        <v>2.22230767</v>
      </c>
      <c r="M53" s="18" t="n">
        <v>1.08117316</v>
      </c>
      <c r="N53" s="20" t="n">
        <v>0.9669657699999999</v>
      </c>
      <c r="O53" s="18" t="n">
        <v>0</v>
      </c>
      <c r="P53" s="20" t="n">
        <v>0</v>
      </c>
      <c r="Q53" s="18" t="n">
        <v>18.90297933</v>
      </c>
      <c r="R53" s="20" t="n">
        <v>1.72846959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(4768.0/B55*100)</f>
        <v/>
      </c>
      <c r="D55" s="19" t="n">
        <v>591</v>
      </c>
      <c r="E55" s="18" t="n">
        <v>54.19880613</v>
      </c>
      <c r="F55" s="20" t="n">
        <v>2.37499737</v>
      </c>
      <c r="G55" s="18" t="n">
        <v>42.39610601</v>
      </c>
      <c r="H55" s="20" t="n">
        <v>2.47738543</v>
      </c>
      <c r="I55" s="18" t="n">
        <v>0</v>
      </c>
      <c r="J55" s="20" t="n">
        <v>0</v>
      </c>
      <c r="K55" s="18" t="n">
        <v>0.7109391</v>
      </c>
      <c r="L55" s="20" t="n">
        <v>0.35161184</v>
      </c>
      <c r="M55" s="18" t="n">
        <v>0</v>
      </c>
      <c r="N55" s="20" t="n">
        <v>0</v>
      </c>
      <c r="O55" s="18" t="n">
        <v>0</v>
      </c>
      <c r="P55" s="20" t="n">
        <v>0</v>
      </c>
      <c r="Q55" s="18" t="n">
        <v>2.69414875</v>
      </c>
      <c r="R55" s="20" t="n">
        <v>0.6693840599999999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(5788.0/B61*100)</f>
        <v/>
      </c>
      <c r="D61" s="19" t="n">
        <v>737</v>
      </c>
      <c r="E61" s="18" t="n">
        <v>47.99296961</v>
      </c>
      <c r="F61" s="20" t="n">
        <v>2.01902278</v>
      </c>
      <c r="G61" s="18" t="n">
        <v>43.37256296</v>
      </c>
      <c r="H61" s="20" t="n">
        <v>1.88339459</v>
      </c>
      <c r="I61" s="18" t="n">
        <v>0</v>
      </c>
      <c r="J61" s="20" t="n">
        <v>0</v>
      </c>
      <c r="K61" s="18" t="n">
        <v>0.44643834</v>
      </c>
      <c r="L61" s="20" t="n">
        <v>0.44396721</v>
      </c>
      <c r="M61" s="18" t="n">
        <v>0.13777638</v>
      </c>
      <c r="N61" s="20" t="n">
        <v>0.13589892</v>
      </c>
      <c r="O61" s="18" t="n">
        <v>0</v>
      </c>
      <c r="P61" s="20" t="n">
        <v>0</v>
      </c>
      <c r="Q61" s="18" t="n">
        <v>8.050252710000001</v>
      </c>
      <c r="R61" s="20" t="n">
        <v>1.02564575</v>
      </c>
    </row>
    <row r="62" spans="1:18">
      <c r="A62" s="15" t="s">
        <v>622</v>
      </c>
      <c r="B62" s="17" t="n">
        <v>4476</v>
      </c>
      <c r="C62" s="18">
        <f>(4026.0/B62*100)</f>
        <v/>
      </c>
      <c r="D62" s="19" t="n">
        <v>450</v>
      </c>
      <c r="E62" s="18" t="n">
        <v>54.0438786</v>
      </c>
      <c r="F62" s="20" t="n">
        <v>2.25971809</v>
      </c>
      <c r="G62" s="18" t="n">
        <v>43.73901447</v>
      </c>
      <c r="H62" s="20" t="n">
        <v>2.30759686</v>
      </c>
      <c r="I62" s="18" t="n">
        <v>0</v>
      </c>
      <c r="J62" s="20" t="n">
        <v>0</v>
      </c>
      <c r="K62" s="18" t="n">
        <v>0.2260979</v>
      </c>
      <c r="L62" s="20" t="n">
        <v>0.22667909</v>
      </c>
      <c r="M62" s="18" t="n">
        <v>0</v>
      </c>
      <c r="N62" s="20" t="n">
        <v>0</v>
      </c>
      <c r="O62" s="18" t="n">
        <v>0</v>
      </c>
      <c r="P62" s="20" t="n">
        <v>0</v>
      </c>
      <c r="Q62" s="18" t="n">
        <v>1.99100904</v>
      </c>
      <c r="R62" s="20" t="n">
        <v>0.58442424</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(5074.0/B67*100)</f>
        <v/>
      </c>
      <c r="D67" s="19" t="n">
        <v>591</v>
      </c>
      <c r="E67" s="18" t="n">
        <v>25.67968264</v>
      </c>
      <c r="F67" s="20" t="n">
        <v>1.80878484</v>
      </c>
      <c r="G67" s="18" t="n">
        <v>46.53160497</v>
      </c>
      <c r="H67" s="20" t="n">
        <v>2.29470186</v>
      </c>
      <c r="I67" s="18" t="n">
        <v>0</v>
      </c>
      <c r="J67" s="20" t="n">
        <v>0</v>
      </c>
      <c r="K67" s="18" t="n">
        <v>3.24320683</v>
      </c>
      <c r="L67" s="20" t="n">
        <v>0.85245804</v>
      </c>
      <c r="M67" s="18" t="n">
        <v>0.31146781</v>
      </c>
      <c r="N67" s="20" t="n">
        <v>0.21853883</v>
      </c>
      <c r="O67" s="18" t="n">
        <v>0</v>
      </c>
      <c r="P67" s="20" t="n">
        <v>0</v>
      </c>
      <c r="Q67" s="18" t="n">
        <v>24.23403775</v>
      </c>
      <c r="R67" s="20" t="n">
        <v>1.92360369</v>
      </c>
    </row>
    <row r="68" spans="1:18">
      <c r="A68" s="15" t="s">
        <v>628</v>
      </c>
      <c r="B68" s="17" t="n">
        <v>6971</v>
      </c>
      <c r="C68" s="18">
        <f>(6409.0/B68*100)</f>
        <v/>
      </c>
      <c r="D68" s="19" t="n">
        <v>562</v>
      </c>
      <c r="E68" s="18" t="n">
        <v>52.31699556</v>
      </c>
      <c r="F68" s="20" t="n">
        <v>2.01319314</v>
      </c>
      <c r="G68" s="18" t="n">
        <v>37.72339122</v>
      </c>
      <c r="H68" s="20" t="n">
        <v>2.07140859</v>
      </c>
      <c r="I68" s="18" t="n">
        <v>0</v>
      </c>
      <c r="J68" s="20" t="n">
        <v>0</v>
      </c>
      <c r="K68" s="18" t="n">
        <v>1.02431155</v>
      </c>
      <c r="L68" s="20" t="n">
        <v>0.48710071</v>
      </c>
      <c r="M68" s="18" t="n">
        <v>0.47621964</v>
      </c>
      <c r="N68" s="20" t="n">
        <v>0.27343721</v>
      </c>
      <c r="O68" s="18" t="n">
        <v>0</v>
      </c>
      <c r="P68" s="20" t="n">
        <v>0</v>
      </c>
      <c r="Q68" s="18" t="n">
        <v>8.459082029999999</v>
      </c>
      <c r="R68" s="20" t="n">
        <v>1.25252337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(10792.0/B70*100)</f>
        <v/>
      </c>
      <c r="D70" s="19" t="n">
        <v>1291</v>
      </c>
      <c r="E70" s="18" t="n">
        <v>54.38542836</v>
      </c>
      <c r="F70" s="20" t="n">
        <v>1.30428743</v>
      </c>
      <c r="G70" s="18" t="n">
        <v>30.14134508</v>
      </c>
      <c r="H70" s="20" t="n">
        <v>1.13370242</v>
      </c>
      <c r="I70" s="18" t="n">
        <v>0</v>
      </c>
      <c r="J70" s="20" t="n">
        <v>0</v>
      </c>
      <c r="K70" s="18" t="n">
        <v>4.88778235</v>
      </c>
      <c r="L70" s="20" t="n">
        <v>0.6063240600000001</v>
      </c>
      <c r="M70" s="18" t="n">
        <v>0</v>
      </c>
      <c r="N70" s="20" t="n">
        <v>0</v>
      </c>
      <c r="O70" s="18" t="n">
        <v>0</v>
      </c>
      <c r="P70" s="20" t="n">
        <v>0</v>
      </c>
      <c r="Q70" s="18" t="n">
        <v>10.58544421</v>
      </c>
      <c r="R70" s="20" t="n">
        <v>0.7688176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(5392.0/B72*100)</f>
        <v/>
      </c>
      <c r="D72" s="19" t="n">
        <v>644</v>
      </c>
      <c r="E72" s="18" t="n">
        <v>51.10476471</v>
      </c>
      <c r="F72" s="20" t="n">
        <v>2.2476559</v>
      </c>
      <c r="G72" s="18" t="n">
        <v>34.18654367</v>
      </c>
      <c r="H72" s="20" t="n">
        <v>2.15220652</v>
      </c>
      <c r="I72" s="18" t="n">
        <v>0</v>
      </c>
      <c r="J72" s="20" t="n">
        <v>0</v>
      </c>
      <c r="K72" s="18" t="n">
        <v>1.45281465</v>
      </c>
      <c r="L72" s="20" t="n">
        <v>0.40909109</v>
      </c>
      <c r="M72" s="18" t="n">
        <v>0</v>
      </c>
      <c r="N72" s="20" t="n">
        <v>0</v>
      </c>
      <c r="O72" s="18" t="n">
        <v>0</v>
      </c>
      <c r="P72" s="20" t="n">
        <v>0</v>
      </c>
      <c r="Q72" s="18" t="n">
        <v>13.25587698</v>
      </c>
      <c r="R72" s="20" t="n">
        <v>1.14261379</v>
      </c>
    </row>
    <row r="73" spans="1:18">
      <c r="A73" s="15" t="s">
        <v>633</v>
      </c>
      <c r="B73" s="17" t="n">
        <v>6115</v>
      </c>
      <c r="C73" s="18">
        <f>(5475.0/B73*100)</f>
        <v/>
      </c>
      <c r="D73" s="19" t="n">
        <v>640</v>
      </c>
      <c r="E73" s="18" t="n">
        <v>56.98262613</v>
      </c>
      <c r="F73" s="20" t="n">
        <v>1.81932446</v>
      </c>
      <c r="G73" s="18" t="n">
        <v>39.47340255</v>
      </c>
      <c r="H73" s="20" t="n">
        <v>1.81422306</v>
      </c>
      <c r="I73" s="18" t="n">
        <v>0</v>
      </c>
      <c r="J73" s="20" t="n">
        <v>0</v>
      </c>
      <c r="K73" s="18" t="n">
        <v>0.97267604</v>
      </c>
      <c r="L73" s="20" t="n">
        <v>0.39918857</v>
      </c>
      <c r="M73" s="18" t="n">
        <v>0.16688727</v>
      </c>
      <c r="N73" s="20" t="n">
        <v>0.1661932</v>
      </c>
      <c r="O73" s="18" t="n">
        <v>0</v>
      </c>
      <c r="P73" s="20" t="n">
        <v>0</v>
      </c>
      <c r="Q73" s="18" t="n">
        <v>2.404408</v>
      </c>
      <c r="R73" s="20" t="n">
        <v>0.72716686</v>
      </c>
    </row>
    <row r="74" spans="1:18">
      <c r="A74" s="15" t="s">
        <v>634</v>
      </c>
      <c r="B74" s="17" t="n">
        <v>7708</v>
      </c>
      <c r="C74" s="18">
        <f>(6889.0/B74*100)</f>
        <v/>
      </c>
      <c r="D74" s="19" t="n">
        <v>819</v>
      </c>
      <c r="E74" s="18" t="n">
        <v>47.69463118</v>
      </c>
      <c r="F74" s="20" t="n">
        <v>1.88435557</v>
      </c>
      <c r="G74" s="18" t="n">
        <v>46.91739717</v>
      </c>
      <c r="H74" s="20" t="n">
        <v>1.87291433</v>
      </c>
      <c r="I74" s="18" t="n">
        <v>0</v>
      </c>
      <c r="J74" s="20" t="n">
        <v>0</v>
      </c>
      <c r="K74" s="18" t="n">
        <v>0.2417013</v>
      </c>
      <c r="L74" s="20" t="n">
        <v>0.18097675</v>
      </c>
      <c r="M74" s="18" t="n">
        <v>0</v>
      </c>
      <c r="N74" s="20" t="n">
        <v>0</v>
      </c>
      <c r="O74" s="18" t="n">
        <v>0</v>
      </c>
      <c r="P74" s="20" t="n">
        <v>0</v>
      </c>
      <c r="Q74" s="18" t="n">
        <v>5.14627035</v>
      </c>
      <c r="R74" s="20" t="n">
        <v>0.90158364</v>
      </c>
    </row>
    <row r="75" spans="1:18">
      <c r="A75" s="15" t="s">
        <v>635</v>
      </c>
      <c r="B75" s="17" t="n">
        <v>8249</v>
      </c>
      <c r="C75" s="18">
        <f>(7425.0/B75*100)</f>
        <v/>
      </c>
      <c r="D75" s="19" t="n">
        <v>824</v>
      </c>
      <c r="E75" s="18" t="n">
        <v>77.49619054999999</v>
      </c>
      <c r="F75" s="20" t="n">
        <v>1.91202837</v>
      </c>
      <c r="G75" s="18" t="n">
        <v>16.82486531</v>
      </c>
      <c r="H75" s="20" t="n">
        <v>1.57760545</v>
      </c>
      <c r="I75" s="18" t="n">
        <v>0</v>
      </c>
      <c r="J75" s="20" t="n">
        <v>0</v>
      </c>
      <c r="K75" s="18" t="n">
        <v>0.6707804000000001</v>
      </c>
      <c r="L75" s="20" t="n">
        <v>0.33392969</v>
      </c>
      <c r="M75" s="18" t="n">
        <v>0.25218636</v>
      </c>
      <c r="N75" s="20" t="n">
        <v>0.1854036</v>
      </c>
      <c r="O75" s="18" t="n">
        <v>0</v>
      </c>
      <c r="P75" s="20" t="n">
        <v>0</v>
      </c>
      <c r="Q75" s="18" t="n">
        <v>4.75597737</v>
      </c>
      <c r="R75" s="20" t="n">
        <v>0.90962433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(4867.0/B77*100)</f>
        <v/>
      </c>
      <c r="D77" s="19" t="n">
        <v>508</v>
      </c>
      <c r="E77" s="18" t="n">
        <v>54.96535093</v>
      </c>
      <c r="F77" s="20" t="n">
        <v>2.18002294</v>
      </c>
      <c r="G77" s="18" t="n">
        <v>9.64975359</v>
      </c>
      <c r="H77" s="20" t="n">
        <v>1.35600882</v>
      </c>
      <c r="I77" s="18" t="n">
        <v>0</v>
      </c>
      <c r="J77" s="20" t="n">
        <v>0</v>
      </c>
      <c r="K77" s="18" t="n">
        <v>8.06027986</v>
      </c>
      <c r="L77" s="20" t="n">
        <v>1.26969824</v>
      </c>
      <c r="M77" s="18" t="n">
        <v>1.18339262</v>
      </c>
      <c r="N77" s="20" t="n">
        <v>0.68549618</v>
      </c>
      <c r="O77" s="18" t="n">
        <v>0</v>
      </c>
      <c r="P77" s="20" t="n">
        <v>0</v>
      </c>
      <c r="Q77" s="18" t="n">
        <v>26.14122301</v>
      </c>
      <c r="R77" s="20" t="n">
        <v>2.03538447</v>
      </c>
    </row>
    <row r="78" spans="1:18">
      <c r="A78" s="15" t="s">
        <v>638</v>
      </c>
      <c r="B78" s="17" t="n">
        <v>14167</v>
      </c>
      <c r="C78" s="18">
        <f>(12644.0/B78*100)</f>
        <v/>
      </c>
      <c r="D78" s="19" t="n">
        <v>1523</v>
      </c>
      <c r="E78" s="18" t="n">
        <v>67.76886125</v>
      </c>
      <c r="F78" s="20" t="n">
        <v>1.29170366</v>
      </c>
      <c r="G78" s="18" t="n">
        <v>23.93031322</v>
      </c>
      <c r="H78" s="20" t="n">
        <v>1.13425691</v>
      </c>
      <c r="I78" s="18" t="n">
        <v>0</v>
      </c>
      <c r="J78" s="20" t="n">
        <v>0</v>
      </c>
      <c r="K78" s="18" t="n">
        <v>1.71740523</v>
      </c>
      <c r="L78" s="20" t="n">
        <v>0.5033367399999999</v>
      </c>
      <c r="M78" s="18" t="n">
        <v>0.08291005</v>
      </c>
      <c r="N78" s="20" t="n">
        <v>0.05889929</v>
      </c>
      <c r="O78" s="18" t="n">
        <v>0</v>
      </c>
      <c r="P78" s="20" t="n">
        <v>0</v>
      </c>
      <c r="Q78" s="18" t="n">
        <v>6.50051025</v>
      </c>
      <c r="R78" s="20" t="n">
        <v>0.83286692</v>
      </c>
    </row>
    <row r="79" spans="1:18">
      <c r="A79" s="15" t="s">
        <v>639</v>
      </c>
      <c r="B79" s="17" t="n">
        <v>6062</v>
      </c>
      <c r="C79" s="18">
        <f>(5488.0/B79*100)</f>
        <v/>
      </c>
      <c r="D79" s="19" t="n">
        <v>574</v>
      </c>
      <c r="E79" s="18" t="n">
        <v>39.86138409</v>
      </c>
      <c r="F79" s="20" t="n">
        <v>2.11581689</v>
      </c>
      <c r="G79" s="18" t="n">
        <v>33.54726223</v>
      </c>
      <c r="H79" s="20" t="n">
        <v>2.19935776</v>
      </c>
      <c r="I79" s="18" t="n">
        <v>0</v>
      </c>
      <c r="J79" s="20" t="n">
        <v>0</v>
      </c>
      <c r="K79" s="18" t="n">
        <v>4.32154689</v>
      </c>
      <c r="L79" s="20" t="n">
        <v>0.8972706499999999</v>
      </c>
      <c r="M79" s="18" t="n">
        <v>0</v>
      </c>
      <c r="N79" s="20" t="n">
        <v>0</v>
      </c>
      <c r="O79" s="18" t="n">
        <v>0</v>
      </c>
      <c r="P79" s="20" t="n">
        <v>0</v>
      </c>
      <c r="Q79" s="18" t="n">
        <v>22.26980679</v>
      </c>
      <c r="R79" s="20" t="n">
        <v>1.79764246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(29011.0/B82*100)</f>
        <v/>
      </c>
      <c r="D82" s="19" t="n">
        <v>3319</v>
      </c>
      <c r="E82" s="18" t="n">
        <v>50.00380254</v>
      </c>
      <c r="F82" s="20" t="n">
        <v>1.40080875</v>
      </c>
      <c r="G82" s="18" t="n">
        <v>38.62784652</v>
      </c>
      <c r="H82" s="20" t="n">
        <v>1.3993176</v>
      </c>
      <c r="I82" s="18" t="n">
        <v>0</v>
      </c>
      <c r="J82" s="20" t="n">
        <v>0</v>
      </c>
      <c r="K82" s="18" t="n">
        <v>1.89369243</v>
      </c>
      <c r="L82" s="20" t="n">
        <v>0.37505858</v>
      </c>
      <c r="M82" s="18" t="n">
        <v>0</v>
      </c>
      <c r="N82" s="20" t="n">
        <v>0</v>
      </c>
      <c r="O82" s="18" t="n">
        <v>0</v>
      </c>
      <c r="P82" s="20" t="n">
        <v>0</v>
      </c>
      <c r="Q82" s="18" t="n">
        <v>9.474658509999999</v>
      </c>
      <c r="R82" s="20" t="n">
        <v>0.76286394</v>
      </c>
    </row>
    <row r="83" spans="1:18">
      <c r="A83" s="15" t="s">
        <v>643</v>
      </c>
      <c r="B83" s="17" t="n">
        <v>1652</v>
      </c>
      <c r="C83" s="18">
        <f>(1478.0/B83*100)</f>
        <v/>
      </c>
      <c r="D83" s="19" t="n">
        <v>174</v>
      </c>
      <c r="E83" s="18" t="n">
        <v>55.92366965</v>
      </c>
      <c r="F83" s="20" t="n">
        <v>2.56106419</v>
      </c>
      <c r="G83" s="18" t="n">
        <v>43.40147581</v>
      </c>
      <c r="H83" s="20" t="n">
        <v>2.58744442</v>
      </c>
      <c r="I83" s="18" t="n">
        <v>0</v>
      </c>
      <c r="J83" s="20" t="n">
        <v>0</v>
      </c>
      <c r="K83" s="18" t="n">
        <v>0.67485454</v>
      </c>
      <c r="L83" s="20" t="n">
        <v>0.62927321</v>
      </c>
      <c r="M83" s="18" t="n">
        <v>0</v>
      </c>
      <c r="N83" s="20" t="n">
        <v>0</v>
      </c>
      <c r="O83" s="18" t="n">
        <v>0</v>
      </c>
      <c r="P83" s="20" t="n">
        <v>0</v>
      </c>
      <c r="Q83" s="18" t="n">
        <v>0</v>
      </c>
      <c r="R83" s="20" t="n">
        <v>0</v>
      </c>
    </row>
    <row r="84" spans="1:18">
      <c r="A84" s="23" t="s">
        <v>644</v>
      </c>
      <c r="B84" s="24" t="n">
        <v>1887</v>
      </c>
      <c r="C84" s="25">
        <f>(1687.0/B84*100)</f>
        <v/>
      </c>
      <c r="D84" s="19" t="n">
        <v>200</v>
      </c>
      <c r="E84" s="18" t="n">
        <v>61.11358966</v>
      </c>
      <c r="F84" s="20" t="n">
        <v>3.08302726</v>
      </c>
      <c r="G84" s="18" t="n">
        <v>36.72683421</v>
      </c>
      <c r="H84" s="20" t="n">
        <v>2.85502348</v>
      </c>
      <c r="I84" s="18" t="n">
        <v>0</v>
      </c>
      <c r="J84" s="20" t="n">
        <v>0</v>
      </c>
      <c r="K84" s="18" t="n">
        <v>0.67790491</v>
      </c>
      <c r="L84" s="20" t="n">
        <v>0.66058684</v>
      </c>
      <c r="M84" s="18" t="n">
        <v>0</v>
      </c>
      <c r="N84" s="20" t="n">
        <v>0</v>
      </c>
      <c r="O84" s="18" t="n">
        <v>0</v>
      </c>
      <c r="P84" s="20" t="n">
        <v>0</v>
      </c>
      <c r="Q84" s="18" t="n">
        <v>1.48167122</v>
      </c>
      <c r="R84" s="20" t="n">
        <v>0.83290109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(13039.0/B7*100)</f>
        <v/>
      </c>
      <c r="D7" s="19" t="n">
        <v>1491</v>
      </c>
      <c r="E7" s="18" t="n">
        <v>29.12960407</v>
      </c>
      <c r="F7" s="20" t="n">
        <v>1.32078234</v>
      </c>
      <c r="G7" s="18" t="n">
        <v>67.245439</v>
      </c>
      <c r="H7" s="20" t="n">
        <v>1.36262308</v>
      </c>
      <c r="I7" s="18" t="n">
        <v>0</v>
      </c>
      <c r="J7" s="20" t="n">
        <v>0</v>
      </c>
      <c r="K7" s="18" t="n">
        <v>2.6169974</v>
      </c>
      <c r="L7" s="20" t="n">
        <v>0.43135876</v>
      </c>
      <c r="M7" s="18" t="n">
        <v>0</v>
      </c>
      <c r="N7" s="20" t="n">
        <v>0</v>
      </c>
      <c r="O7" s="18" t="n">
        <v>0</v>
      </c>
      <c r="P7" s="20" t="n">
        <v>0</v>
      </c>
      <c r="Q7" s="18" t="n">
        <v>1.00795953</v>
      </c>
      <c r="R7" s="20" t="n">
        <v>0.28765979</v>
      </c>
    </row>
    <row r="8" spans="1:18">
      <c r="A8" s="15" t="s">
        <v>566</v>
      </c>
      <c r="B8" s="17" t="n">
        <v>7007</v>
      </c>
      <c r="C8" s="18">
        <f>(6246.0/B8*100)</f>
        <v/>
      </c>
      <c r="D8" s="19" t="n">
        <v>761</v>
      </c>
      <c r="E8" s="18" t="n">
        <v>31.4680493</v>
      </c>
      <c r="F8" s="20" t="n">
        <v>1.64163047</v>
      </c>
      <c r="G8" s="18" t="n">
        <v>65.45647099999999</v>
      </c>
      <c r="H8" s="20" t="n">
        <v>1.65745969</v>
      </c>
      <c r="I8" s="18" t="n">
        <v>0</v>
      </c>
      <c r="J8" s="20" t="n">
        <v>0</v>
      </c>
      <c r="K8" s="18" t="n">
        <v>2.17291544</v>
      </c>
      <c r="L8" s="20" t="n">
        <v>0.56201055</v>
      </c>
      <c r="M8" s="18" t="n">
        <v>0</v>
      </c>
      <c r="N8" s="20" t="n">
        <v>0</v>
      </c>
      <c r="O8" s="18" t="n">
        <v>0</v>
      </c>
      <c r="P8" s="20" t="n">
        <v>0</v>
      </c>
      <c r="Q8" s="18" t="n">
        <v>0.90256426</v>
      </c>
      <c r="R8" s="20" t="n">
        <v>0.35262828</v>
      </c>
    </row>
    <row r="9" spans="1:18">
      <c r="A9" s="15" t="s">
        <v>567</v>
      </c>
      <c r="B9" s="17" t="n">
        <v>9651</v>
      </c>
      <c r="C9" s="18">
        <f>(8674.0/B9*100)</f>
        <v/>
      </c>
      <c r="D9" s="19" t="n">
        <v>977</v>
      </c>
      <c r="E9" s="18" t="n">
        <v>33.60218376</v>
      </c>
      <c r="F9" s="20" t="n">
        <v>1.80440099</v>
      </c>
      <c r="G9" s="18" t="n">
        <v>63.82564114</v>
      </c>
      <c r="H9" s="20" t="n">
        <v>1.86593838</v>
      </c>
      <c r="I9" s="18" t="n">
        <v>0</v>
      </c>
      <c r="J9" s="20" t="n">
        <v>0</v>
      </c>
      <c r="K9" s="18" t="n">
        <v>1.60973692</v>
      </c>
      <c r="L9" s="20" t="n">
        <v>0.43784595</v>
      </c>
      <c r="M9" s="18" t="n">
        <v>0</v>
      </c>
      <c r="N9" s="20" t="n">
        <v>0</v>
      </c>
      <c r="O9" s="18" t="n">
        <v>0</v>
      </c>
      <c r="P9" s="20" t="n">
        <v>0</v>
      </c>
      <c r="Q9" s="18" t="n">
        <v>0.96243818</v>
      </c>
      <c r="R9" s="20" t="n">
        <v>0.32592517</v>
      </c>
    </row>
    <row r="10" spans="1:18">
      <c r="A10" s="15" t="s">
        <v>568</v>
      </c>
      <c r="B10" s="17" t="n">
        <v>20058</v>
      </c>
      <c r="C10" s="18">
        <f>(17803.0/B10*100)</f>
        <v/>
      </c>
      <c r="D10" s="19" t="n">
        <v>2255</v>
      </c>
      <c r="E10" s="18" t="n">
        <v>28.0590945</v>
      </c>
      <c r="F10" s="20" t="n">
        <v>1.12535988</v>
      </c>
      <c r="G10" s="18" t="n">
        <v>69.18170517</v>
      </c>
      <c r="H10" s="20" t="n">
        <v>1.27735451</v>
      </c>
      <c r="I10" s="18" t="n">
        <v>0</v>
      </c>
      <c r="J10" s="20" t="n">
        <v>0</v>
      </c>
      <c r="K10" s="18" t="n">
        <v>2.30709469</v>
      </c>
      <c r="L10" s="20" t="n">
        <v>0.47713124</v>
      </c>
      <c r="M10" s="18" t="n">
        <v>0</v>
      </c>
      <c r="N10" s="20" t="n">
        <v>0</v>
      </c>
      <c r="O10" s="18" t="n">
        <v>0</v>
      </c>
      <c r="P10" s="20" t="n">
        <v>0</v>
      </c>
      <c r="Q10" s="18" t="n">
        <v>0.45210564</v>
      </c>
      <c r="R10" s="20" t="n">
        <v>0.19009251</v>
      </c>
    </row>
    <row r="11" spans="1:18">
      <c r="A11" s="15" t="s">
        <v>569</v>
      </c>
      <c r="B11" s="17" t="n">
        <v>7053</v>
      </c>
      <c r="C11" s="18">
        <f>(6350.0/B11*100)</f>
        <v/>
      </c>
      <c r="D11" s="19" t="n">
        <v>703</v>
      </c>
      <c r="E11" s="18" t="n">
        <v>40.16869244</v>
      </c>
      <c r="F11" s="20" t="n">
        <v>2.05342834</v>
      </c>
      <c r="G11" s="18" t="n">
        <v>53.78039739</v>
      </c>
      <c r="H11" s="20" t="n">
        <v>2.16120637</v>
      </c>
      <c r="I11" s="18" t="n">
        <v>0</v>
      </c>
      <c r="J11" s="20" t="n">
        <v>0</v>
      </c>
      <c r="K11" s="18" t="n">
        <v>5.03420547</v>
      </c>
      <c r="L11" s="20" t="n">
        <v>0.94854446</v>
      </c>
      <c r="M11" s="18" t="n">
        <v>0</v>
      </c>
      <c r="N11" s="20" t="n">
        <v>0</v>
      </c>
      <c r="O11" s="18" t="n">
        <v>0</v>
      </c>
      <c r="P11" s="20" t="n">
        <v>0</v>
      </c>
      <c r="Q11" s="18" t="n">
        <v>1.0167047</v>
      </c>
      <c r="R11" s="20" t="n">
        <v>0.40546458</v>
      </c>
    </row>
    <row r="12" spans="1:18">
      <c r="A12" s="15" t="s">
        <v>570</v>
      </c>
      <c r="B12" s="17" t="n">
        <v>6894</v>
      </c>
      <c r="C12" s="18">
        <f>(6141.0/B12*100)</f>
        <v/>
      </c>
      <c r="D12" s="19" t="n">
        <v>753</v>
      </c>
      <c r="E12" s="18" t="n">
        <v>29.79914864</v>
      </c>
      <c r="F12" s="20" t="n">
        <v>1.74611369</v>
      </c>
      <c r="G12" s="18" t="n">
        <v>67.18179204</v>
      </c>
      <c r="H12" s="20" t="n">
        <v>1.86473326</v>
      </c>
      <c r="I12" s="18" t="n">
        <v>0</v>
      </c>
      <c r="J12" s="20" t="n">
        <v>0</v>
      </c>
      <c r="K12" s="18" t="n">
        <v>2.14635444</v>
      </c>
      <c r="L12" s="20" t="n">
        <v>0.5164609</v>
      </c>
      <c r="M12" s="18" t="n">
        <v>0</v>
      </c>
      <c r="N12" s="20" t="n">
        <v>0</v>
      </c>
      <c r="O12" s="18" t="n">
        <v>0</v>
      </c>
      <c r="P12" s="20" t="n">
        <v>0</v>
      </c>
      <c r="Q12" s="18" t="n">
        <v>0.87270488</v>
      </c>
      <c r="R12" s="20" t="n">
        <v>0.38018389</v>
      </c>
    </row>
    <row r="13" spans="1:18">
      <c r="A13" s="15" t="s">
        <v>571</v>
      </c>
      <c r="B13" s="17" t="n">
        <v>7161</v>
      </c>
      <c r="C13" s="18">
        <f>(6399.0/B13*100)</f>
        <v/>
      </c>
      <c r="D13" s="19" t="n">
        <v>762</v>
      </c>
      <c r="E13" s="18" t="n">
        <v>29.4891953</v>
      </c>
      <c r="F13" s="20" t="n">
        <v>1.85781179</v>
      </c>
      <c r="G13" s="18" t="n">
        <v>67.35343277</v>
      </c>
      <c r="H13" s="20" t="n">
        <v>1.89017452</v>
      </c>
      <c r="I13" s="18" t="n">
        <v>0</v>
      </c>
      <c r="J13" s="20" t="n">
        <v>0</v>
      </c>
      <c r="K13" s="18" t="n">
        <v>2.38160101</v>
      </c>
      <c r="L13" s="20" t="n">
        <v>0.70578705</v>
      </c>
      <c r="M13" s="18" t="n">
        <v>0</v>
      </c>
      <c r="N13" s="20" t="n">
        <v>0</v>
      </c>
      <c r="O13" s="18" t="n">
        <v>0</v>
      </c>
      <c r="P13" s="20" t="n">
        <v>0</v>
      </c>
      <c r="Q13" s="18" t="n">
        <v>0.77577093</v>
      </c>
      <c r="R13" s="20" t="n">
        <v>0.41803738</v>
      </c>
    </row>
    <row r="14" spans="1:18">
      <c r="A14" s="15" t="s">
        <v>572</v>
      </c>
      <c r="B14" s="17" t="n">
        <v>5587</v>
      </c>
      <c r="C14" s="18">
        <f>(4967.0/B14*100)</f>
        <v/>
      </c>
      <c r="D14" s="19" t="n">
        <v>620</v>
      </c>
      <c r="E14" s="18" t="n">
        <v>27.69100936</v>
      </c>
      <c r="F14" s="20" t="n">
        <v>2.00536437</v>
      </c>
      <c r="G14" s="18" t="n">
        <v>70.54480571000001</v>
      </c>
      <c r="H14" s="20" t="n">
        <v>2.10248517</v>
      </c>
      <c r="I14" s="18" t="n">
        <v>0</v>
      </c>
      <c r="J14" s="20" t="n">
        <v>0</v>
      </c>
      <c r="K14" s="18" t="n">
        <v>1.06869954</v>
      </c>
      <c r="L14" s="20" t="n">
        <v>0.5032551</v>
      </c>
      <c r="M14" s="18" t="n">
        <v>0</v>
      </c>
      <c r="N14" s="20" t="n">
        <v>0</v>
      </c>
      <c r="O14" s="18" t="n">
        <v>0</v>
      </c>
      <c r="P14" s="20" t="n">
        <v>0</v>
      </c>
      <c r="Q14" s="18" t="n">
        <v>0.6954854</v>
      </c>
      <c r="R14" s="20" t="n">
        <v>0.38268915</v>
      </c>
    </row>
    <row r="15" spans="1:18">
      <c r="A15" s="15" t="s">
        <v>573</v>
      </c>
      <c r="B15" s="17" t="n">
        <v>5882</v>
      </c>
      <c r="C15" s="18">
        <f>(5290.0/B15*100)</f>
        <v/>
      </c>
      <c r="D15" s="19" t="n">
        <v>592</v>
      </c>
      <c r="E15" s="18" t="n">
        <v>35.33462052</v>
      </c>
      <c r="F15" s="20" t="n">
        <v>1.88724536</v>
      </c>
      <c r="G15" s="18" t="n">
        <v>63.83803625</v>
      </c>
      <c r="H15" s="20" t="n">
        <v>1.94953994</v>
      </c>
      <c r="I15" s="18" t="n">
        <v>0</v>
      </c>
      <c r="J15" s="20" t="n">
        <v>0</v>
      </c>
      <c r="K15" s="18" t="n">
        <v>0.45715481</v>
      </c>
      <c r="L15" s="20" t="n">
        <v>0.268602</v>
      </c>
      <c r="M15" s="18" t="n">
        <v>0</v>
      </c>
      <c r="N15" s="20" t="n">
        <v>0</v>
      </c>
      <c r="O15" s="18" t="n">
        <v>0</v>
      </c>
      <c r="P15" s="20" t="n">
        <v>0</v>
      </c>
      <c r="Q15" s="18" t="n">
        <v>0.37018843</v>
      </c>
      <c r="R15" s="20" t="n">
        <v>0.27252255</v>
      </c>
    </row>
    <row r="16" spans="1:18">
      <c r="A16" s="15" t="s">
        <v>574</v>
      </c>
      <c r="B16" s="17" t="n">
        <v>6108</v>
      </c>
      <c r="C16" s="18">
        <f>(5471.0/B16*100)</f>
        <v/>
      </c>
      <c r="D16" s="19" t="n">
        <v>637</v>
      </c>
      <c r="E16" s="18" t="n">
        <v>37.22106831</v>
      </c>
      <c r="F16" s="20" t="n">
        <v>2.05227868</v>
      </c>
      <c r="G16" s="18" t="n">
        <v>58.10572888</v>
      </c>
      <c r="H16" s="20" t="n">
        <v>2.1259203</v>
      </c>
      <c r="I16" s="18" t="n">
        <v>0</v>
      </c>
      <c r="J16" s="20" t="n">
        <v>0</v>
      </c>
      <c r="K16" s="18" t="n">
        <v>3.31789525</v>
      </c>
      <c r="L16" s="20" t="n">
        <v>0.78168858</v>
      </c>
      <c r="M16" s="18" t="n">
        <v>0</v>
      </c>
      <c r="N16" s="20" t="n">
        <v>0</v>
      </c>
      <c r="O16" s="18" t="n">
        <v>0</v>
      </c>
      <c r="P16" s="20" t="n">
        <v>0</v>
      </c>
      <c r="Q16" s="18" t="n">
        <v>1.35530756</v>
      </c>
      <c r="R16" s="20" t="n">
        <v>0.5934742200000001</v>
      </c>
    </row>
    <row r="17" spans="1:18">
      <c r="A17" s="15" t="s">
        <v>575</v>
      </c>
      <c r="B17" s="17" t="n">
        <v>6504</v>
      </c>
      <c r="C17" s="18">
        <f>(5840.0/B17*100)</f>
        <v/>
      </c>
      <c r="D17" s="19" t="n">
        <v>664</v>
      </c>
      <c r="E17" s="18" t="n">
        <v>31.2961029</v>
      </c>
      <c r="F17" s="20" t="n">
        <v>1.92745578</v>
      </c>
      <c r="G17" s="18" t="n">
        <v>67.36050887</v>
      </c>
      <c r="H17" s="20" t="n">
        <v>1.88527135</v>
      </c>
      <c r="I17" s="18" t="n">
        <v>0</v>
      </c>
      <c r="J17" s="20" t="n">
        <v>0</v>
      </c>
      <c r="K17" s="18" t="n">
        <v>1.20213324</v>
      </c>
      <c r="L17" s="20" t="n">
        <v>0.36015874</v>
      </c>
      <c r="M17" s="18" t="n">
        <v>0</v>
      </c>
      <c r="N17" s="20" t="n">
        <v>0</v>
      </c>
      <c r="O17" s="18" t="n">
        <v>0</v>
      </c>
      <c r="P17" s="20" t="n">
        <v>0</v>
      </c>
      <c r="Q17" s="18" t="n">
        <v>0.14125499</v>
      </c>
      <c r="R17" s="20" t="n">
        <v>0.15006842</v>
      </c>
    </row>
    <row r="18" spans="1:18">
      <c r="A18" s="15" t="s">
        <v>576</v>
      </c>
      <c r="B18" s="17" t="n">
        <v>5532</v>
      </c>
      <c r="C18" s="18">
        <f>(4920.0/B18*100)</f>
        <v/>
      </c>
      <c r="D18" s="19" t="n">
        <v>612</v>
      </c>
      <c r="E18" s="18" t="n">
        <v>39.20933122</v>
      </c>
      <c r="F18" s="20" t="n">
        <v>1.92009599</v>
      </c>
      <c r="G18" s="18" t="n">
        <v>57.78437525</v>
      </c>
      <c r="H18" s="20" t="n">
        <v>1.9920703</v>
      </c>
      <c r="I18" s="18" t="n">
        <v>0</v>
      </c>
      <c r="J18" s="20" t="n">
        <v>0</v>
      </c>
      <c r="K18" s="18" t="n">
        <v>2.14342033</v>
      </c>
      <c r="L18" s="20" t="n">
        <v>0.57013662</v>
      </c>
      <c r="M18" s="18" t="n">
        <v>0</v>
      </c>
      <c r="N18" s="20" t="n">
        <v>0</v>
      </c>
      <c r="O18" s="18" t="n">
        <v>0</v>
      </c>
      <c r="P18" s="20" t="n">
        <v>0</v>
      </c>
      <c r="Q18" s="18" t="n">
        <v>0.8628732</v>
      </c>
      <c r="R18" s="20" t="n">
        <v>0.36259968</v>
      </c>
    </row>
    <row r="19" spans="1:18">
      <c r="A19" s="15" t="s">
        <v>577</v>
      </c>
      <c r="B19" s="17" t="n">
        <v>5658</v>
      </c>
      <c r="C19" s="18">
        <f>(5076.0/B19*100)</f>
        <v/>
      </c>
      <c r="D19" s="19" t="n">
        <v>582</v>
      </c>
      <c r="E19" s="18" t="n">
        <v>37.54639559</v>
      </c>
      <c r="F19" s="20" t="n">
        <v>2.34230829</v>
      </c>
      <c r="G19" s="18" t="n">
        <v>61.68442742</v>
      </c>
      <c r="H19" s="20" t="n">
        <v>2.40041208</v>
      </c>
      <c r="I19" s="18" t="n">
        <v>0</v>
      </c>
      <c r="J19" s="20" t="n">
        <v>0</v>
      </c>
      <c r="K19" s="18" t="n">
        <v>0</v>
      </c>
      <c r="L19" s="20" t="n">
        <v>0</v>
      </c>
      <c r="M19" s="18" t="n">
        <v>0</v>
      </c>
      <c r="N19" s="20" t="n">
        <v>0</v>
      </c>
      <c r="O19" s="18" t="n">
        <v>0</v>
      </c>
      <c r="P19" s="20" t="n">
        <v>0</v>
      </c>
      <c r="Q19" s="18" t="n">
        <v>0.7691769899999999</v>
      </c>
      <c r="R19" s="20" t="n">
        <v>0.49546917</v>
      </c>
    </row>
    <row r="20" spans="1:18">
      <c r="A20" s="15" t="s">
        <v>578</v>
      </c>
      <c r="B20" s="17" t="n">
        <v>3371</v>
      </c>
      <c r="C20" s="18">
        <f>(2986.0/B20*100)</f>
        <v/>
      </c>
      <c r="D20" s="19" t="n">
        <v>385</v>
      </c>
      <c r="E20" s="18" t="n">
        <v>37.78743963</v>
      </c>
      <c r="F20" s="20" t="n">
        <v>2.74320545</v>
      </c>
      <c r="G20" s="18" t="n">
        <v>59.61570238</v>
      </c>
      <c r="H20" s="20" t="n">
        <v>2.69800804</v>
      </c>
      <c r="I20" s="18" t="n">
        <v>0</v>
      </c>
      <c r="J20" s="20" t="n">
        <v>0</v>
      </c>
      <c r="K20" s="18" t="n">
        <v>1.20133292</v>
      </c>
      <c r="L20" s="20" t="n">
        <v>0.52766823</v>
      </c>
      <c r="M20" s="18" t="n">
        <v>0</v>
      </c>
      <c r="N20" s="20" t="n">
        <v>0</v>
      </c>
      <c r="O20" s="18" t="n">
        <v>0</v>
      </c>
      <c r="P20" s="20" t="n">
        <v>0</v>
      </c>
      <c r="Q20" s="18" t="n">
        <v>1.39552507</v>
      </c>
      <c r="R20" s="20" t="n">
        <v>0.68972388</v>
      </c>
    </row>
    <row r="21" spans="1:18">
      <c r="A21" s="15" t="s">
        <v>579</v>
      </c>
      <c r="B21" s="17" t="n">
        <v>5741</v>
      </c>
      <c r="C21" s="18">
        <f>(5127.0/B21*100)</f>
        <v/>
      </c>
      <c r="D21" s="19" t="n">
        <v>614</v>
      </c>
      <c r="E21" s="18" t="n">
        <v>35.00195968</v>
      </c>
      <c r="F21" s="20" t="n">
        <v>1.6185871</v>
      </c>
      <c r="G21" s="18" t="n">
        <v>62.76770628</v>
      </c>
      <c r="H21" s="20" t="n">
        <v>1.68837417</v>
      </c>
      <c r="I21" s="18" t="n">
        <v>0</v>
      </c>
      <c r="J21" s="20" t="n">
        <v>0</v>
      </c>
      <c r="K21" s="18" t="n">
        <v>1.50576773</v>
      </c>
      <c r="L21" s="20" t="n">
        <v>0.51253647</v>
      </c>
      <c r="M21" s="18" t="n">
        <v>0</v>
      </c>
      <c r="N21" s="20" t="n">
        <v>0</v>
      </c>
      <c r="O21" s="18" t="n">
        <v>0</v>
      </c>
      <c r="P21" s="20" t="n">
        <v>0</v>
      </c>
      <c r="Q21" s="18" t="n">
        <v>0.72456631</v>
      </c>
      <c r="R21" s="20" t="n">
        <v>0.39244033</v>
      </c>
    </row>
    <row r="22" spans="1:18">
      <c r="A22" s="15" t="s">
        <v>580</v>
      </c>
      <c r="B22" s="17" t="n">
        <v>6598</v>
      </c>
      <c r="C22" s="18">
        <f>(5953.0/B22*100)</f>
        <v/>
      </c>
      <c r="D22" s="19" t="n">
        <v>645</v>
      </c>
      <c r="E22" s="18" t="n">
        <v>34.96395174</v>
      </c>
      <c r="F22" s="20" t="n">
        <v>2.09403816</v>
      </c>
      <c r="G22" s="18" t="n">
        <v>60.25049771</v>
      </c>
      <c r="H22" s="20" t="n">
        <v>1.94617812</v>
      </c>
      <c r="I22" s="18" t="n">
        <v>0</v>
      </c>
      <c r="J22" s="20" t="n">
        <v>0</v>
      </c>
      <c r="K22" s="18" t="n">
        <v>3.56186339</v>
      </c>
      <c r="L22" s="20" t="n">
        <v>0.69212134</v>
      </c>
      <c r="M22" s="18" t="n">
        <v>0</v>
      </c>
      <c r="N22" s="20" t="n">
        <v>0</v>
      </c>
      <c r="O22" s="18" t="n">
        <v>0</v>
      </c>
      <c r="P22" s="20" t="n">
        <v>0</v>
      </c>
      <c r="Q22" s="18" t="n">
        <v>1.22368716</v>
      </c>
      <c r="R22" s="20" t="n">
        <v>0.46486474</v>
      </c>
    </row>
    <row r="23" spans="1:18">
      <c r="A23" s="15" t="s">
        <v>581</v>
      </c>
      <c r="B23" s="17" t="n">
        <v>11583</v>
      </c>
      <c r="C23" s="18">
        <f>(10368.0/B23*100)</f>
        <v/>
      </c>
      <c r="D23" s="19" t="n">
        <v>1215</v>
      </c>
      <c r="E23" s="18" t="n">
        <v>29.16549825</v>
      </c>
      <c r="F23" s="20" t="n">
        <v>1.90333925</v>
      </c>
      <c r="G23" s="18" t="n">
        <v>66.85502255</v>
      </c>
      <c r="H23" s="20" t="n">
        <v>1.88505252</v>
      </c>
      <c r="I23" s="18" t="n">
        <v>0</v>
      </c>
      <c r="J23" s="20" t="n">
        <v>0</v>
      </c>
      <c r="K23" s="18" t="n">
        <v>3.18176964</v>
      </c>
      <c r="L23" s="20" t="n">
        <v>0.84443511</v>
      </c>
      <c r="M23" s="18" t="n">
        <v>0</v>
      </c>
      <c r="N23" s="20" t="n">
        <v>0</v>
      </c>
      <c r="O23" s="18" t="n">
        <v>0</v>
      </c>
      <c r="P23" s="20" t="n">
        <v>0</v>
      </c>
      <c r="Q23" s="18" t="n">
        <v>0.79770956</v>
      </c>
      <c r="R23" s="20" t="n">
        <v>0.34592121</v>
      </c>
    </row>
    <row r="24" spans="1:18">
      <c r="A24" s="15" t="s">
        <v>582</v>
      </c>
      <c r="B24" s="17" t="n">
        <v>6647</v>
      </c>
      <c r="C24" s="18">
        <f>(5943.0/B24*100)</f>
        <v/>
      </c>
      <c r="D24" s="19" t="n">
        <v>704</v>
      </c>
      <c r="E24" s="18" t="n">
        <v>22.26466338</v>
      </c>
      <c r="F24" s="20" t="n">
        <v>1.69423031</v>
      </c>
      <c r="G24" s="18" t="n">
        <v>76.13213016</v>
      </c>
      <c r="H24" s="20" t="n">
        <v>1.72775195</v>
      </c>
      <c r="I24" s="18" t="n">
        <v>0</v>
      </c>
      <c r="J24" s="20" t="n">
        <v>0</v>
      </c>
      <c r="K24" s="18" t="n">
        <v>1.00347533</v>
      </c>
      <c r="L24" s="20" t="n">
        <v>0.37692272</v>
      </c>
      <c r="M24" s="18" t="n">
        <v>0</v>
      </c>
      <c r="N24" s="20" t="n">
        <v>0</v>
      </c>
      <c r="O24" s="18" t="n">
        <v>0</v>
      </c>
      <c r="P24" s="20" t="n">
        <v>0</v>
      </c>
      <c r="Q24" s="18" t="n">
        <v>0.59973113</v>
      </c>
      <c r="R24" s="20" t="n">
        <v>0.30165496</v>
      </c>
    </row>
    <row r="25" spans="1:18">
      <c r="A25" s="15" t="s">
        <v>583</v>
      </c>
      <c r="B25" s="17" t="n">
        <v>5581</v>
      </c>
      <c r="C25" s="18">
        <f>(4963.0/B25*100)</f>
        <v/>
      </c>
      <c r="D25" s="19" t="n">
        <v>618</v>
      </c>
      <c r="E25" s="18" t="n">
        <v>24.08521803</v>
      </c>
      <c r="F25" s="20" t="n">
        <v>1.67268246</v>
      </c>
      <c r="G25" s="18" t="n">
        <v>74.64253743</v>
      </c>
      <c r="H25" s="20" t="n">
        <v>1.66738449</v>
      </c>
      <c r="I25" s="18" t="n">
        <v>0</v>
      </c>
      <c r="J25" s="20" t="n">
        <v>0</v>
      </c>
      <c r="K25" s="18" t="n">
        <v>0.89119783</v>
      </c>
      <c r="L25" s="20" t="n">
        <v>0.37152681</v>
      </c>
      <c r="M25" s="18" t="n">
        <v>0</v>
      </c>
      <c r="N25" s="20" t="n">
        <v>0</v>
      </c>
      <c r="O25" s="18" t="n">
        <v>0</v>
      </c>
      <c r="P25" s="20" t="n">
        <v>0</v>
      </c>
      <c r="Q25" s="18" t="n">
        <v>0.38104672</v>
      </c>
      <c r="R25" s="20" t="n">
        <v>0.208822</v>
      </c>
    </row>
    <row r="26" spans="1:18">
      <c r="A26" s="15" t="s">
        <v>584</v>
      </c>
      <c r="B26" s="17" t="n">
        <v>4869</v>
      </c>
      <c r="C26" s="18">
        <f>(4347.0/B26*100)</f>
        <v/>
      </c>
      <c r="D26" s="19" t="n">
        <v>522</v>
      </c>
      <c r="E26" s="18" t="n">
        <v>36.65655505</v>
      </c>
      <c r="F26" s="20" t="n">
        <v>2.22923864</v>
      </c>
      <c r="G26" s="18" t="n">
        <v>62.64308701</v>
      </c>
      <c r="H26" s="20" t="n">
        <v>2.24228095</v>
      </c>
      <c r="I26" s="18" t="n">
        <v>0</v>
      </c>
      <c r="J26" s="20" t="n">
        <v>0</v>
      </c>
      <c r="K26" s="18" t="n">
        <v>0.30388278</v>
      </c>
      <c r="L26" s="20" t="n">
        <v>0.22986444</v>
      </c>
      <c r="M26" s="18" t="n">
        <v>0</v>
      </c>
      <c r="N26" s="20" t="n">
        <v>0</v>
      </c>
      <c r="O26" s="18" t="n">
        <v>0</v>
      </c>
      <c r="P26" s="20" t="n">
        <v>0</v>
      </c>
      <c r="Q26" s="18" t="n">
        <v>0.39647517</v>
      </c>
      <c r="R26" s="20" t="n">
        <v>0.28297268</v>
      </c>
    </row>
    <row r="27" spans="1:18">
      <c r="A27" s="15" t="s">
        <v>585</v>
      </c>
      <c r="B27" s="17" t="n">
        <v>5299</v>
      </c>
      <c r="C27" s="18">
        <f>(4748.0/B27*100)</f>
        <v/>
      </c>
      <c r="D27" s="19" t="n">
        <v>551</v>
      </c>
      <c r="E27" s="18" t="n">
        <v>37.06036968</v>
      </c>
      <c r="F27" s="20" t="n">
        <v>1.87321532</v>
      </c>
      <c r="G27" s="18" t="n">
        <v>59.81395574</v>
      </c>
      <c r="H27" s="20" t="n">
        <v>2.17666447</v>
      </c>
      <c r="I27" s="18" t="n">
        <v>0</v>
      </c>
      <c r="J27" s="20" t="n">
        <v>0</v>
      </c>
      <c r="K27" s="18" t="n">
        <v>2.41056464</v>
      </c>
      <c r="L27" s="20" t="n">
        <v>0.6267369</v>
      </c>
      <c r="M27" s="18" t="n">
        <v>0</v>
      </c>
      <c r="N27" s="20" t="n">
        <v>0</v>
      </c>
      <c r="O27" s="18" t="n">
        <v>0</v>
      </c>
      <c r="P27" s="20" t="n">
        <v>0</v>
      </c>
      <c r="Q27" s="18" t="n">
        <v>0.71510995</v>
      </c>
      <c r="R27" s="20" t="n">
        <v>0.35738184</v>
      </c>
    </row>
    <row r="28" spans="1:18">
      <c r="A28" s="15" t="s">
        <v>586</v>
      </c>
      <c r="B28" s="17" t="n">
        <v>7568</v>
      </c>
      <c r="C28" s="18">
        <f>(6870.0/B28*100)</f>
        <v/>
      </c>
      <c r="D28" s="19" t="n">
        <v>698</v>
      </c>
      <c r="E28" s="18" t="n">
        <v>43.85768632</v>
      </c>
      <c r="F28" s="20" t="n">
        <v>2.32588835</v>
      </c>
      <c r="G28" s="18" t="n">
        <v>53.80482947</v>
      </c>
      <c r="H28" s="20" t="n">
        <v>2.43122598</v>
      </c>
      <c r="I28" s="18" t="n">
        <v>0</v>
      </c>
      <c r="J28" s="20" t="n">
        <v>0</v>
      </c>
      <c r="K28" s="18" t="n">
        <v>2.06908068</v>
      </c>
      <c r="L28" s="20" t="n">
        <v>0.6032500200000001</v>
      </c>
      <c r="M28" s="18" t="n">
        <v>0</v>
      </c>
      <c r="N28" s="20" t="n">
        <v>0</v>
      </c>
      <c r="O28" s="18" t="n">
        <v>0</v>
      </c>
      <c r="P28" s="20" t="n">
        <v>0</v>
      </c>
      <c r="Q28" s="18" t="n">
        <v>0.26840353</v>
      </c>
      <c r="R28" s="20" t="n">
        <v>0.19346844</v>
      </c>
    </row>
    <row r="29" spans="1:18">
      <c r="A29" s="15" t="s">
        <v>587</v>
      </c>
      <c r="B29" s="17" t="n">
        <v>5385</v>
      </c>
      <c r="C29" s="18">
        <f>(4802.0/B29*100)</f>
        <v/>
      </c>
      <c r="D29" s="19" t="n">
        <v>583</v>
      </c>
      <c r="E29" s="18" t="n">
        <v>29.95469464</v>
      </c>
      <c r="F29" s="20" t="n">
        <v>1.67394467</v>
      </c>
      <c r="G29" s="18" t="n">
        <v>68.94920415</v>
      </c>
      <c r="H29" s="20" t="n">
        <v>1.63222751</v>
      </c>
      <c r="I29" s="18" t="n">
        <v>0</v>
      </c>
      <c r="J29" s="20" t="n">
        <v>0</v>
      </c>
      <c r="K29" s="18" t="n">
        <v>0.91209567</v>
      </c>
      <c r="L29" s="20" t="n">
        <v>0.37178219</v>
      </c>
      <c r="M29" s="18" t="n">
        <v>0</v>
      </c>
      <c r="N29" s="20" t="n">
        <v>0</v>
      </c>
      <c r="O29" s="18" t="n">
        <v>0</v>
      </c>
      <c r="P29" s="20" t="n">
        <v>0</v>
      </c>
      <c r="Q29" s="18" t="n">
        <v>0.18400554</v>
      </c>
      <c r="R29" s="20" t="n">
        <v>0.1843637</v>
      </c>
    </row>
    <row r="30" spans="1:18">
      <c r="A30" s="15" t="s">
        <v>588</v>
      </c>
      <c r="B30" s="17" t="n">
        <v>4520</v>
      </c>
      <c r="C30" s="18">
        <f>(4067.0/B30*100)</f>
        <v/>
      </c>
      <c r="D30" s="19" t="n">
        <v>453</v>
      </c>
      <c r="E30" s="18" t="n">
        <v>30.69019578</v>
      </c>
      <c r="F30" s="20" t="n">
        <v>2.07079146</v>
      </c>
      <c r="G30" s="18" t="n">
        <v>67.17667415</v>
      </c>
      <c r="H30" s="20" t="n">
        <v>2.22757361</v>
      </c>
      <c r="I30" s="18" t="n">
        <v>0</v>
      </c>
      <c r="J30" s="20" t="n">
        <v>0</v>
      </c>
      <c r="K30" s="18" t="n">
        <v>1.9012454</v>
      </c>
      <c r="L30" s="20" t="n">
        <v>0.6800083099999999</v>
      </c>
      <c r="M30" s="18" t="n">
        <v>0</v>
      </c>
      <c r="N30" s="20" t="n">
        <v>0</v>
      </c>
      <c r="O30" s="18" t="n">
        <v>0</v>
      </c>
      <c r="P30" s="20" t="n">
        <v>0</v>
      </c>
      <c r="Q30" s="18" t="n">
        <v>0.23188467</v>
      </c>
      <c r="R30" s="20" t="n">
        <v>0.20946744</v>
      </c>
    </row>
    <row r="31" spans="1:18">
      <c r="A31" s="15" t="s">
        <v>589</v>
      </c>
      <c r="B31" s="17" t="n">
        <v>5456</v>
      </c>
      <c r="C31" s="18">
        <f>(4868.0/B31*100)</f>
        <v/>
      </c>
      <c r="D31" s="19" t="n">
        <v>588</v>
      </c>
      <c r="E31" s="18" t="n">
        <v>34.8035656</v>
      </c>
      <c r="F31" s="20" t="n">
        <v>2.05974886</v>
      </c>
      <c r="G31" s="18" t="n">
        <v>61.71943306</v>
      </c>
      <c r="H31" s="20" t="n">
        <v>2.16881217</v>
      </c>
      <c r="I31" s="18" t="n">
        <v>0</v>
      </c>
      <c r="J31" s="20" t="n">
        <v>0</v>
      </c>
      <c r="K31" s="18" t="n">
        <v>3.29777281</v>
      </c>
      <c r="L31" s="20" t="n">
        <v>0.8545107</v>
      </c>
      <c r="M31" s="18" t="n">
        <v>0</v>
      </c>
      <c r="N31" s="20" t="n">
        <v>0</v>
      </c>
      <c r="O31" s="18" t="n">
        <v>0</v>
      </c>
      <c r="P31" s="20" t="n">
        <v>0</v>
      </c>
      <c r="Q31" s="18" t="n">
        <v>0.17922853</v>
      </c>
      <c r="R31" s="20" t="n">
        <v>0.18663835</v>
      </c>
    </row>
    <row r="32" spans="1:18">
      <c r="A32" s="15" t="s">
        <v>590</v>
      </c>
      <c r="B32" s="17" t="n">
        <v>4478</v>
      </c>
      <c r="C32" s="18">
        <f>(3980.0/B32*100)</f>
        <v/>
      </c>
      <c r="D32" s="19" t="n">
        <v>498</v>
      </c>
      <c r="E32" s="18" t="n">
        <v>33.4097147</v>
      </c>
      <c r="F32" s="20" t="n">
        <v>2.38625429</v>
      </c>
      <c r="G32" s="18" t="n">
        <v>65.99411379</v>
      </c>
      <c r="H32" s="20" t="n">
        <v>2.39328352</v>
      </c>
      <c r="I32" s="18" t="n">
        <v>0</v>
      </c>
      <c r="J32" s="20" t="n">
        <v>0</v>
      </c>
      <c r="K32" s="18" t="n">
        <v>0.38953695</v>
      </c>
      <c r="L32" s="20" t="n">
        <v>0.28734944</v>
      </c>
      <c r="M32" s="18" t="n">
        <v>0</v>
      </c>
      <c r="N32" s="20" t="n">
        <v>0</v>
      </c>
      <c r="O32" s="18" t="n">
        <v>0</v>
      </c>
      <c r="P32" s="20" t="n">
        <v>0</v>
      </c>
      <c r="Q32" s="18" t="n">
        <v>0.20663456</v>
      </c>
      <c r="R32" s="20" t="n">
        <v>0.20555241</v>
      </c>
    </row>
    <row r="33" spans="1:18">
      <c r="A33" s="15" t="s">
        <v>591</v>
      </c>
      <c r="B33" s="17" t="n">
        <v>7325</v>
      </c>
      <c r="C33" s="18">
        <f>(6580.0/B33*100)</f>
        <v/>
      </c>
      <c r="D33" s="19" t="n">
        <v>745</v>
      </c>
      <c r="E33" s="18" t="n">
        <v>27.85040535</v>
      </c>
      <c r="F33" s="20" t="n">
        <v>2.05969458</v>
      </c>
      <c r="G33" s="18" t="n">
        <v>70.91902030999999</v>
      </c>
      <c r="H33" s="20" t="n">
        <v>2.06372697</v>
      </c>
      <c r="I33" s="18" t="n">
        <v>0</v>
      </c>
      <c r="J33" s="20" t="n">
        <v>0</v>
      </c>
      <c r="K33" s="18" t="n">
        <v>0.90403329</v>
      </c>
      <c r="L33" s="20" t="n">
        <v>0.36866811</v>
      </c>
      <c r="M33" s="18" t="n">
        <v>0</v>
      </c>
      <c r="N33" s="20" t="n">
        <v>0</v>
      </c>
      <c r="O33" s="18" t="n">
        <v>0</v>
      </c>
      <c r="P33" s="20" t="n">
        <v>0</v>
      </c>
      <c r="Q33" s="18" t="n">
        <v>0.32654105</v>
      </c>
      <c r="R33" s="20" t="n">
        <v>0.22236089</v>
      </c>
    </row>
    <row r="34" spans="1:18">
      <c r="A34" s="15" t="s">
        <v>592</v>
      </c>
      <c r="B34" s="17" t="n">
        <v>6350</v>
      </c>
      <c r="C34" s="18">
        <f>(5664.0/B34*100)</f>
        <v/>
      </c>
      <c r="D34" s="19" t="n">
        <v>686</v>
      </c>
      <c r="E34" s="18" t="n">
        <v>39.07170343</v>
      </c>
      <c r="F34" s="20" t="n">
        <v>2.04825243</v>
      </c>
      <c r="G34" s="18" t="n">
        <v>58.92733472</v>
      </c>
      <c r="H34" s="20" t="n">
        <v>2.01798062</v>
      </c>
      <c r="I34" s="18" t="n">
        <v>0</v>
      </c>
      <c r="J34" s="20" t="n">
        <v>0</v>
      </c>
      <c r="K34" s="18" t="n">
        <v>1.43645632</v>
      </c>
      <c r="L34" s="20" t="n">
        <v>0.41909691</v>
      </c>
      <c r="M34" s="18" t="n">
        <v>0</v>
      </c>
      <c r="N34" s="20" t="n">
        <v>0</v>
      </c>
      <c r="O34" s="18" t="n">
        <v>0</v>
      </c>
      <c r="P34" s="20" t="n">
        <v>0</v>
      </c>
      <c r="Q34" s="18" t="n">
        <v>0.56450553</v>
      </c>
      <c r="R34" s="20" t="n">
        <v>0.27626273</v>
      </c>
    </row>
    <row r="35" spans="1:18">
      <c r="A35" s="15" t="s">
        <v>593</v>
      </c>
      <c r="B35" s="17" t="n">
        <v>6406</v>
      </c>
      <c r="C35" s="18">
        <f>(5758.0/B35*100)</f>
        <v/>
      </c>
      <c r="D35" s="19" t="n">
        <v>648</v>
      </c>
      <c r="E35" s="18" t="n">
        <v>31.93483932</v>
      </c>
      <c r="F35" s="20" t="n">
        <v>2.62510336</v>
      </c>
      <c r="G35" s="18" t="n">
        <v>66.80151410000001</v>
      </c>
      <c r="H35" s="20" t="n">
        <v>2.6135491</v>
      </c>
      <c r="I35" s="18" t="n">
        <v>0</v>
      </c>
      <c r="J35" s="20" t="n">
        <v>0</v>
      </c>
      <c r="K35" s="18" t="n">
        <v>0.55074753</v>
      </c>
      <c r="L35" s="20" t="n">
        <v>0.27658093</v>
      </c>
      <c r="M35" s="18" t="n">
        <v>0</v>
      </c>
      <c r="N35" s="20" t="n">
        <v>0</v>
      </c>
      <c r="O35" s="18" t="n">
        <v>0</v>
      </c>
      <c r="P35" s="20" t="n">
        <v>0</v>
      </c>
      <c r="Q35" s="18" t="n">
        <v>0.71289905</v>
      </c>
      <c r="R35" s="20" t="n">
        <v>0.30569114</v>
      </c>
    </row>
    <row r="36" spans="1:18">
      <c r="A36" s="15" t="s">
        <v>594</v>
      </c>
      <c r="B36" s="17" t="n">
        <v>6736</v>
      </c>
      <c r="C36" s="18">
        <f>(6060.0/B36*100)</f>
        <v/>
      </c>
      <c r="D36" s="19" t="n">
        <v>676</v>
      </c>
      <c r="E36" s="18" t="n">
        <v>33.67032183</v>
      </c>
      <c r="F36" s="20" t="n">
        <v>1.8787556</v>
      </c>
      <c r="G36" s="18" t="n">
        <v>63.48203539</v>
      </c>
      <c r="H36" s="20" t="n">
        <v>1.81503342</v>
      </c>
      <c r="I36" s="18" t="n">
        <v>0</v>
      </c>
      <c r="J36" s="20" t="n">
        <v>0</v>
      </c>
      <c r="K36" s="18" t="n">
        <v>2.39723619</v>
      </c>
      <c r="L36" s="20" t="n">
        <v>0.68030898</v>
      </c>
      <c r="M36" s="18" t="n">
        <v>0</v>
      </c>
      <c r="N36" s="20" t="n">
        <v>0</v>
      </c>
      <c r="O36" s="18" t="n">
        <v>0</v>
      </c>
      <c r="P36" s="20" t="n">
        <v>0</v>
      </c>
      <c r="Q36" s="18" t="n">
        <v>0.45040659</v>
      </c>
      <c r="R36" s="20" t="n">
        <v>0.2586334</v>
      </c>
    </row>
    <row r="37" spans="1:18">
      <c r="A37" s="15" t="s">
        <v>595</v>
      </c>
      <c r="B37" s="17" t="n">
        <v>5458</v>
      </c>
      <c r="C37" s="18">
        <f>(4892.0/B37*100)</f>
        <v/>
      </c>
      <c r="D37" s="19" t="n">
        <v>566</v>
      </c>
      <c r="E37" s="18" t="n">
        <v>35.90973317</v>
      </c>
      <c r="F37" s="20" t="n">
        <v>2.04336385</v>
      </c>
      <c r="G37" s="18" t="n">
        <v>58.49810351</v>
      </c>
      <c r="H37" s="20" t="n">
        <v>2.07209314</v>
      </c>
      <c r="I37" s="18" t="n">
        <v>0</v>
      </c>
      <c r="J37" s="20" t="n">
        <v>0</v>
      </c>
      <c r="K37" s="18" t="n">
        <v>4.56895802</v>
      </c>
      <c r="L37" s="20" t="n">
        <v>0.91405925</v>
      </c>
      <c r="M37" s="18" t="n">
        <v>0</v>
      </c>
      <c r="N37" s="20" t="n">
        <v>0</v>
      </c>
      <c r="O37" s="18" t="n">
        <v>0</v>
      </c>
      <c r="P37" s="20" t="n">
        <v>0</v>
      </c>
      <c r="Q37" s="18" t="n">
        <v>1.0232053</v>
      </c>
      <c r="R37" s="20" t="n">
        <v>0.42980929</v>
      </c>
    </row>
    <row r="38" spans="1:18">
      <c r="A38" s="15" t="s">
        <v>596</v>
      </c>
      <c r="B38" s="17" t="n">
        <v>5860</v>
      </c>
      <c r="C38" s="18">
        <f>(5222.0/B38*100)</f>
        <v/>
      </c>
      <c r="D38" s="19" t="n">
        <v>638</v>
      </c>
      <c r="E38" s="18" t="n">
        <v>31.19891071</v>
      </c>
      <c r="F38" s="20" t="n">
        <v>2.20698458</v>
      </c>
      <c r="G38" s="18" t="n">
        <v>65.96996075</v>
      </c>
      <c r="H38" s="20" t="n">
        <v>2.07737154</v>
      </c>
      <c r="I38" s="18" t="n">
        <v>0</v>
      </c>
      <c r="J38" s="20" t="n">
        <v>0</v>
      </c>
      <c r="K38" s="18" t="n">
        <v>2.03295921</v>
      </c>
      <c r="L38" s="20" t="n">
        <v>0.5898537</v>
      </c>
      <c r="M38" s="18" t="n">
        <v>0</v>
      </c>
      <c r="N38" s="20" t="n">
        <v>0</v>
      </c>
      <c r="O38" s="18" t="n">
        <v>0</v>
      </c>
      <c r="P38" s="20" t="n">
        <v>0</v>
      </c>
      <c r="Q38" s="18" t="n">
        <v>0.79816932</v>
      </c>
      <c r="R38" s="20" t="n">
        <v>0.3613589</v>
      </c>
    </row>
    <row r="39" spans="1:18">
      <c r="A39" s="15" t="s">
        <v>597</v>
      </c>
      <c r="B39" s="17" t="n">
        <v>5895</v>
      </c>
      <c r="C39" s="18">
        <f>(5238.0/B39*100)</f>
        <v/>
      </c>
      <c r="D39" s="19" t="n">
        <v>657</v>
      </c>
      <c r="E39" s="18" t="n">
        <v>39.65182987</v>
      </c>
      <c r="F39" s="20" t="n">
        <v>1.91152261</v>
      </c>
      <c r="G39" s="18" t="n">
        <v>58.59465665</v>
      </c>
      <c r="H39" s="20" t="n">
        <v>1.94075312</v>
      </c>
      <c r="I39" s="18" t="n">
        <v>0</v>
      </c>
      <c r="J39" s="20" t="n">
        <v>0</v>
      </c>
      <c r="K39" s="18" t="n">
        <v>0.79869153</v>
      </c>
      <c r="L39" s="20" t="n">
        <v>0.4017781</v>
      </c>
      <c r="M39" s="18" t="n">
        <v>0</v>
      </c>
      <c r="N39" s="20" t="n">
        <v>0</v>
      </c>
      <c r="O39" s="18" t="n">
        <v>0</v>
      </c>
      <c r="P39" s="20" t="n">
        <v>0</v>
      </c>
      <c r="Q39" s="18" t="n">
        <v>0.95482196</v>
      </c>
      <c r="R39" s="20" t="n">
        <v>0.41353883</v>
      </c>
    </row>
    <row r="40" spans="1:18">
      <c r="A40" s="15" t="s">
        <v>598</v>
      </c>
      <c r="B40" s="17" t="n">
        <v>14157</v>
      </c>
      <c r="C40" s="18">
        <f>(12610.0/B40*100)</f>
        <v/>
      </c>
      <c r="D40" s="19" t="n">
        <v>1547</v>
      </c>
      <c r="E40" s="18" t="n">
        <v>34.53160577</v>
      </c>
      <c r="F40" s="20" t="n">
        <v>1.48681697</v>
      </c>
      <c r="G40" s="18" t="n">
        <v>62.78504478</v>
      </c>
      <c r="H40" s="20" t="n">
        <v>1.48049516</v>
      </c>
      <c r="I40" s="18" t="n">
        <v>0</v>
      </c>
      <c r="J40" s="20" t="n">
        <v>0</v>
      </c>
      <c r="K40" s="18" t="n">
        <v>1.55820066</v>
      </c>
      <c r="L40" s="20" t="n">
        <v>0.48793779</v>
      </c>
      <c r="M40" s="18" t="n">
        <v>0</v>
      </c>
      <c r="N40" s="20" t="n">
        <v>0</v>
      </c>
      <c r="O40" s="18" t="n">
        <v>0</v>
      </c>
      <c r="P40" s="20" t="n">
        <v>0</v>
      </c>
      <c r="Q40" s="18" t="n">
        <v>1.12514878</v>
      </c>
      <c r="R40" s="20" t="n">
        <v>0.56404873</v>
      </c>
    </row>
    <row r="41" spans="1:18">
      <c r="A41" s="15" t="s">
        <v>599</v>
      </c>
      <c r="B41" s="17" t="n">
        <v>5712</v>
      </c>
      <c r="C41" s="18">
        <f>(5109.0/B41*100)</f>
        <v/>
      </c>
      <c r="D41" s="19" t="n">
        <v>603</v>
      </c>
      <c r="E41" s="18" t="n">
        <v>30.20906919</v>
      </c>
      <c r="F41" s="20" t="n">
        <v>2.10151769</v>
      </c>
      <c r="G41" s="18" t="n">
        <v>67.76742835</v>
      </c>
      <c r="H41" s="20" t="n">
        <v>2.27313363</v>
      </c>
      <c r="I41" s="18" t="n">
        <v>0</v>
      </c>
      <c r="J41" s="20" t="n">
        <v>0</v>
      </c>
      <c r="K41" s="18" t="n">
        <v>1.33083401</v>
      </c>
      <c r="L41" s="20" t="n">
        <v>0.64694565</v>
      </c>
      <c r="M41" s="18" t="n">
        <v>0</v>
      </c>
      <c r="N41" s="20" t="n">
        <v>0</v>
      </c>
      <c r="O41" s="18" t="n">
        <v>0</v>
      </c>
      <c r="P41" s="20" t="n">
        <v>0</v>
      </c>
      <c r="Q41" s="18" t="n">
        <v>0.69266845</v>
      </c>
      <c r="R41" s="20" t="n">
        <v>0.32344341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(21435.0/B46*100)</f>
        <v/>
      </c>
      <c r="D46" s="19" t="n">
        <v>1706</v>
      </c>
      <c r="E46" s="18" t="n">
        <v>37.89659863</v>
      </c>
      <c r="F46" s="20" t="n">
        <v>1.46303275</v>
      </c>
      <c r="G46" s="18" t="n">
        <v>58.02538833</v>
      </c>
      <c r="H46" s="20" t="n">
        <v>1.49342183</v>
      </c>
      <c r="I46" s="18" t="n">
        <v>0</v>
      </c>
      <c r="J46" s="20" t="n">
        <v>0</v>
      </c>
      <c r="K46" s="18" t="n">
        <v>3.20539863</v>
      </c>
      <c r="L46" s="20" t="n">
        <v>0.58573305</v>
      </c>
      <c r="M46" s="18" t="n">
        <v>0</v>
      </c>
      <c r="N46" s="20" t="n">
        <v>0</v>
      </c>
      <c r="O46" s="18" t="n">
        <v>0</v>
      </c>
      <c r="P46" s="20" t="n">
        <v>0</v>
      </c>
      <c r="Q46" s="18" t="n">
        <v>0.87261441</v>
      </c>
      <c r="R46" s="20" t="n">
        <v>0.27717432</v>
      </c>
    </row>
    <row r="47" spans="1:18">
      <c r="A47" s="15" t="s">
        <v>606</v>
      </c>
      <c r="B47" s="17" t="n">
        <v>5928</v>
      </c>
      <c r="C47" s="18">
        <f>(5295.0/B47*100)</f>
        <v/>
      </c>
      <c r="D47" s="19" t="n">
        <v>633</v>
      </c>
      <c r="E47" s="18" t="n">
        <v>35.38358867</v>
      </c>
      <c r="F47" s="20" t="n">
        <v>1.94279978</v>
      </c>
      <c r="G47" s="18" t="n">
        <v>61.87037422</v>
      </c>
      <c r="H47" s="20" t="n">
        <v>2.11727034</v>
      </c>
      <c r="I47" s="18" t="n">
        <v>0</v>
      </c>
      <c r="J47" s="20" t="n">
        <v>0</v>
      </c>
      <c r="K47" s="18" t="n">
        <v>1.36343817</v>
      </c>
      <c r="L47" s="20" t="n">
        <v>0.48952114</v>
      </c>
      <c r="M47" s="18" t="n">
        <v>0</v>
      </c>
      <c r="N47" s="20" t="n">
        <v>0</v>
      </c>
      <c r="O47" s="18" t="n">
        <v>0</v>
      </c>
      <c r="P47" s="20" t="n">
        <v>0</v>
      </c>
      <c r="Q47" s="18" t="n">
        <v>1.38259894</v>
      </c>
      <c r="R47" s="20" t="n">
        <v>0.52930854</v>
      </c>
    </row>
    <row r="48" spans="1:18">
      <c r="A48" s="15" t="s">
        <v>607</v>
      </c>
      <c r="B48" s="17" t="n">
        <v>9841</v>
      </c>
      <c r="C48" s="18">
        <f>(8737.0/B48*100)</f>
        <v/>
      </c>
      <c r="D48" s="19" t="n">
        <v>1104</v>
      </c>
      <c r="E48" s="18" t="n">
        <v>32.69724593</v>
      </c>
      <c r="F48" s="20" t="n">
        <v>1.92397918</v>
      </c>
      <c r="G48" s="18" t="n">
        <v>66.3626654</v>
      </c>
      <c r="H48" s="20" t="n">
        <v>2.02491062</v>
      </c>
      <c r="I48" s="18" t="n">
        <v>0</v>
      </c>
      <c r="J48" s="20" t="n">
        <v>0</v>
      </c>
      <c r="K48" s="18" t="n">
        <v>0.5317325899999999</v>
      </c>
      <c r="L48" s="20" t="n">
        <v>0.27341107</v>
      </c>
      <c r="M48" s="18" t="n">
        <v>0</v>
      </c>
      <c r="N48" s="20" t="n">
        <v>0</v>
      </c>
      <c r="O48" s="18" t="n">
        <v>0</v>
      </c>
      <c r="P48" s="20" t="n">
        <v>0</v>
      </c>
      <c r="Q48" s="18" t="n">
        <v>0.40835608</v>
      </c>
      <c r="R48" s="20" t="n">
        <v>0.24044734</v>
      </c>
    </row>
    <row r="49" spans="1:18">
      <c r="A49" s="15" t="s">
        <v>608</v>
      </c>
      <c r="B49" s="17" t="n">
        <v>11795</v>
      </c>
      <c r="C49" s="18">
        <f>(10547.0/B49*100)</f>
        <v/>
      </c>
      <c r="D49" s="19" t="n">
        <v>1248</v>
      </c>
      <c r="E49" s="18" t="n">
        <v>43.56784644</v>
      </c>
      <c r="F49" s="20" t="n">
        <v>1.87202476</v>
      </c>
      <c r="G49" s="18" t="n">
        <v>50.65007307</v>
      </c>
      <c r="H49" s="20" t="n">
        <v>1.88840718</v>
      </c>
      <c r="I49" s="18" t="n">
        <v>0</v>
      </c>
      <c r="J49" s="20" t="n">
        <v>0</v>
      </c>
      <c r="K49" s="18" t="n">
        <v>4.40665799</v>
      </c>
      <c r="L49" s="20" t="n">
        <v>0.91322477</v>
      </c>
      <c r="M49" s="18" t="n">
        <v>0</v>
      </c>
      <c r="N49" s="20" t="n">
        <v>0</v>
      </c>
      <c r="O49" s="18" t="n">
        <v>0</v>
      </c>
      <c r="P49" s="20" t="n">
        <v>0</v>
      </c>
      <c r="Q49" s="18" t="n">
        <v>1.3754225</v>
      </c>
      <c r="R49" s="20" t="n">
        <v>0.4484069</v>
      </c>
    </row>
    <row r="50" spans="1:18">
      <c r="A50" s="15" t="s">
        <v>609</v>
      </c>
      <c r="B50" s="17" t="n">
        <v>6866</v>
      </c>
      <c r="C50" s="18">
        <f>(6263.0/B50*100)</f>
        <v/>
      </c>
      <c r="D50" s="19" t="n">
        <v>603</v>
      </c>
      <c r="E50" s="18" t="n">
        <v>47.54758976</v>
      </c>
      <c r="F50" s="20" t="n">
        <v>1.95196973</v>
      </c>
      <c r="G50" s="18" t="n">
        <v>50.67925549</v>
      </c>
      <c r="H50" s="20" t="n">
        <v>2.02362492</v>
      </c>
      <c r="I50" s="18" t="n">
        <v>0</v>
      </c>
      <c r="J50" s="20" t="n">
        <v>0</v>
      </c>
      <c r="K50" s="18" t="n">
        <v>0.6532877499999999</v>
      </c>
      <c r="L50" s="20" t="n">
        <v>0.34084394</v>
      </c>
      <c r="M50" s="18" t="n">
        <v>0</v>
      </c>
      <c r="N50" s="20" t="n">
        <v>0</v>
      </c>
      <c r="O50" s="18" t="n">
        <v>0</v>
      </c>
      <c r="P50" s="20" t="n">
        <v>0</v>
      </c>
      <c r="Q50" s="18" t="n">
        <v>1.119867</v>
      </c>
      <c r="R50" s="20" t="n">
        <v>0.47450398</v>
      </c>
    </row>
    <row r="51" spans="1:18">
      <c r="A51" s="15" t="s">
        <v>610</v>
      </c>
      <c r="B51" s="17" t="n">
        <v>5809</v>
      </c>
      <c r="C51" s="18">
        <f>(5141.0/B51*100)</f>
        <v/>
      </c>
      <c r="D51" s="19" t="n">
        <v>668</v>
      </c>
      <c r="E51" s="18" t="n">
        <v>41.9007216</v>
      </c>
      <c r="F51" s="20" t="n">
        <v>1.95452716</v>
      </c>
      <c r="G51" s="18" t="n">
        <v>56.18422322</v>
      </c>
      <c r="H51" s="20" t="n">
        <v>1.94351473</v>
      </c>
      <c r="I51" s="18" t="n">
        <v>0</v>
      </c>
      <c r="J51" s="20" t="n">
        <v>0</v>
      </c>
      <c r="K51" s="18" t="n">
        <v>1.09934877</v>
      </c>
      <c r="L51" s="20" t="n">
        <v>0.38736119</v>
      </c>
      <c r="M51" s="18" t="n">
        <v>0</v>
      </c>
      <c r="N51" s="20" t="n">
        <v>0</v>
      </c>
      <c r="O51" s="18" t="n">
        <v>0</v>
      </c>
      <c r="P51" s="20" t="n">
        <v>0</v>
      </c>
      <c r="Q51" s="18" t="n">
        <v>0.8157064000000001</v>
      </c>
      <c r="R51" s="20" t="n">
        <v>0.36930267</v>
      </c>
    </row>
    <row r="52" spans="1:18">
      <c r="A52" s="15" t="s">
        <v>611</v>
      </c>
      <c r="B52" s="17" t="n">
        <v>5571</v>
      </c>
      <c r="C52" s="18">
        <f>(4979.0/B52*100)</f>
        <v/>
      </c>
      <c r="D52" s="19" t="n">
        <v>592</v>
      </c>
      <c r="E52" s="18" t="n">
        <v>44.76118355</v>
      </c>
      <c r="F52" s="20" t="n">
        <v>2.18895437</v>
      </c>
      <c r="G52" s="18" t="n">
        <v>51.88384731</v>
      </c>
      <c r="H52" s="20" t="n">
        <v>2.16816366</v>
      </c>
      <c r="I52" s="18" t="n">
        <v>0</v>
      </c>
      <c r="J52" s="20" t="n">
        <v>0</v>
      </c>
      <c r="K52" s="18" t="n">
        <v>2.00311147</v>
      </c>
      <c r="L52" s="20" t="n">
        <v>0.54564254</v>
      </c>
      <c r="M52" s="18" t="n">
        <v>0</v>
      </c>
      <c r="N52" s="20" t="n">
        <v>0</v>
      </c>
      <c r="O52" s="18" t="n">
        <v>0</v>
      </c>
      <c r="P52" s="20" t="n">
        <v>0</v>
      </c>
      <c r="Q52" s="18" t="n">
        <v>1.35185767</v>
      </c>
      <c r="R52" s="20" t="n">
        <v>0.50190285</v>
      </c>
    </row>
    <row r="53" spans="1:18">
      <c r="A53" s="15" t="s">
        <v>612</v>
      </c>
      <c r="B53" s="17" t="n">
        <v>4740</v>
      </c>
      <c r="C53" s="18">
        <f>(4254.0/B53*100)</f>
        <v/>
      </c>
      <c r="D53" s="19" t="n">
        <v>486</v>
      </c>
      <c r="E53" s="18" t="n">
        <v>42.83395236</v>
      </c>
      <c r="F53" s="20" t="n">
        <v>2.30367401</v>
      </c>
      <c r="G53" s="18" t="n">
        <v>28.63599796</v>
      </c>
      <c r="H53" s="20" t="n">
        <v>2.21196733</v>
      </c>
      <c r="I53" s="18" t="n">
        <v>0</v>
      </c>
      <c r="J53" s="20" t="n">
        <v>0</v>
      </c>
      <c r="K53" s="18" t="n">
        <v>27.62602317</v>
      </c>
      <c r="L53" s="20" t="n">
        <v>2.21768603</v>
      </c>
      <c r="M53" s="18" t="n">
        <v>0</v>
      </c>
      <c r="N53" s="20" t="n">
        <v>0</v>
      </c>
      <c r="O53" s="18" t="n">
        <v>0</v>
      </c>
      <c r="P53" s="20" t="n">
        <v>0</v>
      </c>
      <c r="Q53" s="18" t="n">
        <v>0.90402651</v>
      </c>
      <c r="R53" s="20" t="n">
        <v>0.5153407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(4759.0/B55*100)</f>
        <v/>
      </c>
      <c r="D55" s="19" t="n">
        <v>600</v>
      </c>
      <c r="E55" s="18" t="n">
        <v>20.71368734</v>
      </c>
      <c r="F55" s="20" t="n">
        <v>1.62103869</v>
      </c>
      <c r="G55" s="18" t="n">
        <v>77.42741993</v>
      </c>
      <c r="H55" s="20" t="n">
        <v>1.67707934</v>
      </c>
      <c r="I55" s="18" t="n">
        <v>0</v>
      </c>
      <c r="J55" s="20" t="n">
        <v>0</v>
      </c>
      <c r="K55" s="18" t="n">
        <v>1.1165271</v>
      </c>
      <c r="L55" s="20" t="n">
        <v>0.33429098</v>
      </c>
      <c r="M55" s="18" t="n">
        <v>0</v>
      </c>
      <c r="N55" s="20" t="n">
        <v>0</v>
      </c>
      <c r="O55" s="18" t="n">
        <v>0</v>
      </c>
      <c r="P55" s="20" t="n">
        <v>0</v>
      </c>
      <c r="Q55" s="18" t="n">
        <v>0.74236563</v>
      </c>
      <c r="R55" s="20" t="n">
        <v>0.24645425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(5784.0/B61*100)</f>
        <v/>
      </c>
      <c r="D61" s="19" t="n">
        <v>741</v>
      </c>
      <c r="E61" s="18" t="n">
        <v>38.28691868</v>
      </c>
      <c r="F61" s="20" t="n">
        <v>1.7881951</v>
      </c>
      <c r="G61" s="18" t="n">
        <v>59.9146492</v>
      </c>
      <c r="H61" s="20" t="n">
        <v>1.79388495</v>
      </c>
      <c r="I61" s="18" t="n">
        <v>0</v>
      </c>
      <c r="J61" s="20" t="n">
        <v>0</v>
      </c>
      <c r="K61" s="18" t="n">
        <v>0.97712001</v>
      </c>
      <c r="L61" s="20" t="n">
        <v>0.5406007900000001</v>
      </c>
      <c r="M61" s="18" t="n">
        <v>0</v>
      </c>
      <c r="N61" s="20" t="n">
        <v>0</v>
      </c>
      <c r="O61" s="18" t="n">
        <v>0</v>
      </c>
      <c r="P61" s="20" t="n">
        <v>0</v>
      </c>
      <c r="Q61" s="18" t="n">
        <v>0.82131211</v>
      </c>
      <c r="R61" s="20" t="n">
        <v>0.21322965</v>
      </c>
    </row>
    <row r="62" spans="1:18">
      <c r="A62" s="15" t="s">
        <v>622</v>
      </c>
      <c r="B62" s="17" t="n">
        <v>4476</v>
      </c>
      <c r="C62" s="18">
        <f>(4007.0/B62*100)</f>
        <v/>
      </c>
      <c r="D62" s="19" t="n">
        <v>469</v>
      </c>
      <c r="E62" s="18" t="n">
        <v>24.96892801</v>
      </c>
      <c r="F62" s="20" t="n">
        <v>2.14125777</v>
      </c>
      <c r="G62" s="18" t="n">
        <v>74.60226280000001</v>
      </c>
      <c r="H62" s="20" t="n">
        <v>2.11873365</v>
      </c>
      <c r="I62" s="18" t="n">
        <v>0</v>
      </c>
      <c r="J62" s="20" t="n">
        <v>0</v>
      </c>
      <c r="K62" s="18" t="n">
        <v>0.21692705</v>
      </c>
      <c r="L62" s="20" t="n">
        <v>0.21745073</v>
      </c>
      <c r="M62" s="18" t="n">
        <v>0</v>
      </c>
      <c r="N62" s="20" t="n">
        <v>0</v>
      </c>
      <c r="O62" s="18" t="n">
        <v>0</v>
      </c>
      <c r="P62" s="20" t="n">
        <v>0</v>
      </c>
      <c r="Q62" s="18" t="n">
        <v>0.21188213</v>
      </c>
      <c r="R62" s="20" t="n">
        <v>0.2132549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(5071.0/B67*100)</f>
        <v/>
      </c>
      <c r="D67" s="19" t="n">
        <v>594</v>
      </c>
      <c r="E67" s="18" t="n">
        <v>51.46237423</v>
      </c>
      <c r="F67" s="20" t="n">
        <v>1.92319183</v>
      </c>
      <c r="G67" s="18" t="n">
        <v>41.87888069</v>
      </c>
      <c r="H67" s="20" t="n">
        <v>1.95071946</v>
      </c>
      <c r="I67" s="18" t="n">
        <v>0</v>
      </c>
      <c r="J67" s="20" t="n">
        <v>0</v>
      </c>
      <c r="K67" s="18" t="n">
        <v>4.41358291</v>
      </c>
      <c r="L67" s="20" t="n">
        <v>0.98649061</v>
      </c>
      <c r="M67" s="18" t="n">
        <v>0</v>
      </c>
      <c r="N67" s="20" t="n">
        <v>0</v>
      </c>
      <c r="O67" s="18" t="n">
        <v>0</v>
      </c>
      <c r="P67" s="20" t="n">
        <v>0</v>
      </c>
      <c r="Q67" s="18" t="n">
        <v>2.24516217</v>
      </c>
      <c r="R67" s="20" t="n">
        <v>0.69193476</v>
      </c>
    </row>
    <row r="68" spans="1:18">
      <c r="A68" s="15" t="s">
        <v>628</v>
      </c>
      <c r="B68" s="17" t="n">
        <v>6971</v>
      </c>
      <c r="C68" s="18">
        <f>(6381.0/B68*100)</f>
        <v/>
      </c>
      <c r="D68" s="19" t="n">
        <v>590</v>
      </c>
      <c r="E68" s="18" t="n">
        <v>49.68656661</v>
      </c>
      <c r="F68" s="20" t="n">
        <v>2.40038759</v>
      </c>
      <c r="G68" s="18" t="n">
        <v>49.0151901</v>
      </c>
      <c r="H68" s="20" t="n">
        <v>2.44570828</v>
      </c>
      <c r="I68" s="18" t="n">
        <v>0</v>
      </c>
      <c r="J68" s="20" t="n">
        <v>0</v>
      </c>
      <c r="K68" s="18" t="n">
        <v>0.97309879</v>
      </c>
      <c r="L68" s="20" t="n">
        <v>0.46147165</v>
      </c>
      <c r="M68" s="18" t="n">
        <v>0</v>
      </c>
      <c r="N68" s="20" t="n">
        <v>0</v>
      </c>
      <c r="O68" s="18" t="n">
        <v>0</v>
      </c>
      <c r="P68" s="20" t="n">
        <v>0</v>
      </c>
      <c r="Q68" s="18" t="n">
        <v>0.3251445</v>
      </c>
      <c r="R68" s="20" t="n">
        <v>0.2280467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(10793.0/B70*100)</f>
        <v/>
      </c>
      <c r="D70" s="19" t="n">
        <v>1290</v>
      </c>
      <c r="E70" s="18" t="n">
        <v>43.54684836</v>
      </c>
      <c r="F70" s="20" t="n">
        <v>1.26020314</v>
      </c>
      <c r="G70" s="18" t="n">
        <v>49.47880019</v>
      </c>
      <c r="H70" s="20" t="n">
        <v>1.33630817</v>
      </c>
      <c r="I70" s="18" t="n">
        <v>0</v>
      </c>
      <c r="J70" s="20" t="n">
        <v>0</v>
      </c>
      <c r="K70" s="18" t="n">
        <v>5.43029405</v>
      </c>
      <c r="L70" s="20" t="n">
        <v>0.67510099</v>
      </c>
      <c r="M70" s="18" t="n">
        <v>0</v>
      </c>
      <c r="N70" s="20" t="n">
        <v>0</v>
      </c>
      <c r="O70" s="18" t="n">
        <v>0</v>
      </c>
      <c r="P70" s="20" t="n">
        <v>0</v>
      </c>
      <c r="Q70" s="18" t="n">
        <v>1.54405741</v>
      </c>
      <c r="R70" s="20" t="n">
        <v>0.34732863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(5379.0/B72*100)</f>
        <v/>
      </c>
      <c r="D72" s="19" t="n">
        <v>657</v>
      </c>
      <c r="E72" s="18" t="n">
        <v>41.99860153</v>
      </c>
      <c r="F72" s="20" t="n">
        <v>1.72008445</v>
      </c>
      <c r="G72" s="18" t="n">
        <v>55.79340596</v>
      </c>
      <c r="H72" s="20" t="n">
        <v>1.76695931</v>
      </c>
      <c r="I72" s="18" t="n">
        <v>0</v>
      </c>
      <c r="J72" s="20" t="n">
        <v>0</v>
      </c>
      <c r="K72" s="18" t="n">
        <v>1.42418441</v>
      </c>
      <c r="L72" s="20" t="n">
        <v>0.4000478</v>
      </c>
      <c r="M72" s="18" t="n">
        <v>0</v>
      </c>
      <c r="N72" s="20" t="n">
        <v>0</v>
      </c>
      <c r="O72" s="18" t="n">
        <v>0</v>
      </c>
      <c r="P72" s="20" t="n">
        <v>0</v>
      </c>
      <c r="Q72" s="18" t="n">
        <v>0.7838081</v>
      </c>
      <c r="R72" s="20" t="n">
        <v>0.67915337</v>
      </c>
    </row>
    <row r="73" spans="1:18">
      <c r="A73" s="15" t="s">
        <v>633</v>
      </c>
      <c r="B73" s="17" t="n">
        <v>6115</v>
      </c>
      <c r="C73" s="18">
        <f>(5464.0/B73*100)</f>
        <v/>
      </c>
      <c r="D73" s="19" t="n">
        <v>651</v>
      </c>
      <c r="E73" s="18" t="n">
        <v>25.27916261</v>
      </c>
      <c r="F73" s="20" t="n">
        <v>1.74361622</v>
      </c>
      <c r="G73" s="18" t="n">
        <v>73.56859012</v>
      </c>
      <c r="H73" s="20" t="n">
        <v>1.73571204</v>
      </c>
      <c r="I73" s="18" t="n">
        <v>0</v>
      </c>
      <c r="J73" s="20" t="n">
        <v>0</v>
      </c>
      <c r="K73" s="18" t="n">
        <v>0.95616886</v>
      </c>
      <c r="L73" s="20" t="n">
        <v>0.39252829</v>
      </c>
      <c r="M73" s="18" t="n">
        <v>0</v>
      </c>
      <c r="N73" s="20" t="n">
        <v>0</v>
      </c>
      <c r="O73" s="18" t="n">
        <v>0</v>
      </c>
      <c r="P73" s="20" t="n">
        <v>0</v>
      </c>
      <c r="Q73" s="18" t="n">
        <v>0.19607841</v>
      </c>
      <c r="R73" s="20" t="n">
        <v>0.19459807</v>
      </c>
    </row>
    <row r="74" spans="1:18">
      <c r="A74" s="15" t="s">
        <v>634</v>
      </c>
      <c r="B74" s="17" t="n">
        <v>7708</v>
      </c>
      <c r="C74" s="18">
        <f>(6886.0/B74*100)</f>
        <v/>
      </c>
      <c r="D74" s="19" t="n">
        <v>822</v>
      </c>
      <c r="E74" s="18" t="n">
        <v>29.56548863</v>
      </c>
      <c r="F74" s="20" t="n">
        <v>1.4877281</v>
      </c>
      <c r="G74" s="18" t="n">
        <v>70.07296958000001</v>
      </c>
      <c r="H74" s="20" t="n">
        <v>1.50899572</v>
      </c>
      <c r="I74" s="18" t="n">
        <v>0</v>
      </c>
      <c r="J74" s="20" t="n">
        <v>0</v>
      </c>
      <c r="K74" s="18" t="n">
        <v>0.36154179</v>
      </c>
      <c r="L74" s="20" t="n">
        <v>0.19862911</v>
      </c>
      <c r="M74" s="18" t="n">
        <v>0</v>
      </c>
      <c r="N74" s="20" t="n">
        <v>0</v>
      </c>
      <c r="O74" s="18" t="n">
        <v>0</v>
      </c>
      <c r="P74" s="20" t="n">
        <v>0</v>
      </c>
      <c r="Q74" s="18" t="n">
        <v>0</v>
      </c>
      <c r="R74" s="20" t="n">
        <v>0</v>
      </c>
    </row>
    <row r="75" spans="1:18">
      <c r="A75" s="15" t="s">
        <v>635</v>
      </c>
      <c r="B75" s="17" t="n">
        <v>8249</v>
      </c>
      <c r="C75" s="18">
        <f>(7407.0/B75*100)</f>
        <v/>
      </c>
      <c r="D75" s="19" t="n">
        <v>842</v>
      </c>
      <c r="E75" s="18" t="n">
        <v>59.34287764</v>
      </c>
      <c r="F75" s="20" t="n">
        <v>1.84785345</v>
      </c>
      <c r="G75" s="18" t="n">
        <v>38.6111946</v>
      </c>
      <c r="H75" s="20" t="n">
        <v>1.85110829</v>
      </c>
      <c r="I75" s="18" t="n">
        <v>0</v>
      </c>
      <c r="J75" s="20" t="n">
        <v>0</v>
      </c>
      <c r="K75" s="18" t="n">
        <v>0.85901871</v>
      </c>
      <c r="L75" s="20" t="n">
        <v>0.36823287</v>
      </c>
      <c r="M75" s="18" t="n">
        <v>0</v>
      </c>
      <c r="N75" s="20" t="n">
        <v>0</v>
      </c>
      <c r="O75" s="18" t="n">
        <v>0</v>
      </c>
      <c r="P75" s="20" t="n">
        <v>0</v>
      </c>
      <c r="Q75" s="18" t="n">
        <v>1.18690905</v>
      </c>
      <c r="R75" s="20" t="n">
        <v>0.4383754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(4855.0/B77*100)</f>
        <v/>
      </c>
      <c r="D77" s="19" t="n">
        <v>520</v>
      </c>
      <c r="E77" s="18" t="n">
        <v>45.41020573</v>
      </c>
      <c r="F77" s="20" t="n">
        <v>2.1845765</v>
      </c>
      <c r="G77" s="18" t="n">
        <v>42.61938948</v>
      </c>
      <c r="H77" s="20" t="n">
        <v>2.07335776</v>
      </c>
      <c r="I77" s="18" t="n">
        <v>0</v>
      </c>
      <c r="J77" s="20" t="n">
        <v>0</v>
      </c>
      <c r="K77" s="18" t="n">
        <v>9.07692078</v>
      </c>
      <c r="L77" s="20" t="n">
        <v>1.3859373</v>
      </c>
      <c r="M77" s="18" t="n">
        <v>0</v>
      </c>
      <c r="N77" s="20" t="n">
        <v>0</v>
      </c>
      <c r="O77" s="18" t="n">
        <v>0</v>
      </c>
      <c r="P77" s="20" t="n">
        <v>0</v>
      </c>
      <c r="Q77" s="18" t="n">
        <v>2.89348401</v>
      </c>
      <c r="R77" s="20" t="n">
        <v>0.68685657</v>
      </c>
    </row>
    <row r="78" spans="1:18">
      <c r="A78" s="15" t="s">
        <v>638</v>
      </c>
      <c r="B78" s="17" t="n">
        <v>14167</v>
      </c>
      <c r="C78" s="18">
        <f>(12639.0/B78*100)</f>
        <v/>
      </c>
      <c r="D78" s="19" t="n">
        <v>1528</v>
      </c>
      <c r="E78" s="18" t="n">
        <v>46.41242034</v>
      </c>
      <c r="F78" s="20" t="n">
        <v>1.4338098</v>
      </c>
      <c r="G78" s="18" t="n">
        <v>50.62671063</v>
      </c>
      <c r="H78" s="20" t="n">
        <v>1.4196236</v>
      </c>
      <c r="I78" s="18" t="n">
        <v>0</v>
      </c>
      <c r="J78" s="20" t="n">
        <v>0</v>
      </c>
      <c r="K78" s="18" t="n">
        <v>2.18820946</v>
      </c>
      <c r="L78" s="20" t="n">
        <v>0.56041408</v>
      </c>
      <c r="M78" s="18" t="n">
        <v>0</v>
      </c>
      <c r="N78" s="20" t="n">
        <v>0</v>
      </c>
      <c r="O78" s="18" t="n">
        <v>0</v>
      </c>
      <c r="P78" s="20" t="n">
        <v>0</v>
      </c>
      <c r="Q78" s="18" t="n">
        <v>0.77265957</v>
      </c>
      <c r="R78" s="20" t="n">
        <v>0.27193961</v>
      </c>
    </row>
    <row r="79" spans="1:18">
      <c r="A79" s="15" t="s">
        <v>639</v>
      </c>
      <c r="B79" s="17" t="n">
        <v>6062</v>
      </c>
      <c r="C79" s="18">
        <f>(5471.0/B79*100)</f>
        <v/>
      </c>
      <c r="D79" s="19" t="n">
        <v>591</v>
      </c>
      <c r="E79" s="18" t="n">
        <v>41.43067681</v>
      </c>
      <c r="F79" s="20" t="n">
        <v>2.04828777</v>
      </c>
      <c r="G79" s="18" t="n">
        <v>53.12405506</v>
      </c>
      <c r="H79" s="20" t="n">
        <v>2.1023686</v>
      </c>
      <c r="I79" s="18" t="n">
        <v>0</v>
      </c>
      <c r="J79" s="20" t="n">
        <v>0</v>
      </c>
      <c r="K79" s="18" t="n">
        <v>4.48147441</v>
      </c>
      <c r="L79" s="20" t="n">
        <v>0.89164028</v>
      </c>
      <c r="M79" s="18" t="n">
        <v>0</v>
      </c>
      <c r="N79" s="20" t="n">
        <v>0</v>
      </c>
      <c r="O79" s="18" t="n">
        <v>0</v>
      </c>
      <c r="P79" s="20" t="n">
        <v>0</v>
      </c>
      <c r="Q79" s="18" t="n">
        <v>0.96379372</v>
      </c>
      <c r="R79" s="20" t="n">
        <v>0.39437369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(28946.0/B82*100)</f>
        <v/>
      </c>
      <c r="D82" s="19" t="n">
        <v>3384</v>
      </c>
      <c r="E82" s="18" t="n">
        <v>34.19988849</v>
      </c>
      <c r="F82" s="20" t="n">
        <v>1.1617962</v>
      </c>
      <c r="G82" s="18" t="n">
        <v>62.9541581</v>
      </c>
      <c r="H82" s="20" t="n">
        <v>1.25933557</v>
      </c>
      <c r="I82" s="18" t="n">
        <v>0</v>
      </c>
      <c r="J82" s="20" t="n">
        <v>0</v>
      </c>
      <c r="K82" s="18" t="n">
        <v>2.0894262</v>
      </c>
      <c r="L82" s="20" t="n">
        <v>0.38784902</v>
      </c>
      <c r="M82" s="18" t="n">
        <v>0</v>
      </c>
      <c r="N82" s="20" t="n">
        <v>0</v>
      </c>
      <c r="O82" s="18" t="n">
        <v>0</v>
      </c>
      <c r="P82" s="20" t="n">
        <v>0</v>
      </c>
      <c r="Q82" s="18" t="n">
        <v>0.7565272199999999</v>
      </c>
      <c r="R82" s="20" t="n">
        <v>0.2528396</v>
      </c>
    </row>
    <row r="83" spans="1:18">
      <c r="A83" s="15" t="s">
        <v>643</v>
      </c>
      <c r="B83" s="17" t="n">
        <v>1652</v>
      </c>
      <c r="C83" s="18">
        <f>(1476.0/B83*100)</f>
        <v/>
      </c>
      <c r="D83" s="19" t="n">
        <v>176</v>
      </c>
      <c r="E83" s="18" t="n">
        <v>32.92643038</v>
      </c>
      <c r="F83" s="20" t="n">
        <v>3.27012206</v>
      </c>
      <c r="G83" s="18" t="n">
        <v>66.40592171999999</v>
      </c>
      <c r="H83" s="20" t="n">
        <v>3.12085379</v>
      </c>
      <c r="I83" s="18" t="n">
        <v>0</v>
      </c>
      <c r="J83" s="20" t="n">
        <v>0</v>
      </c>
      <c r="K83" s="18" t="n">
        <v>0.6676479</v>
      </c>
      <c r="L83" s="20" t="n">
        <v>0.62252957</v>
      </c>
      <c r="M83" s="18" t="n">
        <v>0</v>
      </c>
      <c r="N83" s="20" t="n">
        <v>0</v>
      </c>
      <c r="O83" s="18" t="n">
        <v>0</v>
      </c>
      <c r="P83" s="20" t="n">
        <v>0</v>
      </c>
      <c r="Q83" s="18" t="n">
        <v>0</v>
      </c>
      <c r="R83" s="20" t="n">
        <v>0</v>
      </c>
    </row>
    <row r="84" spans="1:18">
      <c r="A84" s="23" t="s">
        <v>644</v>
      </c>
      <c r="B84" s="24" t="n">
        <v>1887</v>
      </c>
      <c r="C84" s="25">
        <f>(1683.0/B84*100)</f>
        <v/>
      </c>
      <c r="D84" s="19" t="n">
        <v>204</v>
      </c>
      <c r="E84" s="18" t="n">
        <v>29.79753835</v>
      </c>
      <c r="F84" s="20" t="n">
        <v>3.72951723</v>
      </c>
      <c r="G84" s="18" t="n">
        <v>69.53890795</v>
      </c>
      <c r="H84" s="20" t="n">
        <v>3.74246898</v>
      </c>
      <c r="I84" s="18" t="n">
        <v>0</v>
      </c>
      <c r="J84" s="20" t="n">
        <v>0</v>
      </c>
      <c r="K84" s="18" t="n">
        <v>0.66355371</v>
      </c>
      <c r="L84" s="20" t="n">
        <v>0.64650462</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(13046.0/B7*100)</f>
        <v/>
      </c>
      <c r="D7" s="19" t="n">
        <v>1484</v>
      </c>
      <c r="E7" s="18" t="n">
        <v>45.52956409</v>
      </c>
      <c r="F7" s="20" t="n">
        <v>1.64117655</v>
      </c>
      <c r="G7" s="18" t="n">
        <v>51.34300931</v>
      </c>
      <c r="H7" s="20" t="n">
        <v>1.5998754</v>
      </c>
      <c r="I7" s="18" t="n">
        <v>0</v>
      </c>
      <c r="J7" s="20" t="n">
        <v>0</v>
      </c>
      <c r="K7" s="18" t="n">
        <v>2.96255052</v>
      </c>
      <c r="L7" s="20" t="n">
        <v>0.45826373</v>
      </c>
      <c r="M7" s="18" t="n">
        <v>0</v>
      </c>
      <c r="N7" s="20" t="n">
        <v>0</v>
      </c>
      <c r="O7" s="18" t="n">
        <v>0</v>
      </c>
      <c r="P7" s="20" t="n">
        <v>0</v>
      </c>
      <c r="Q7" s="18" t="n">
        <v>0.16487608</v>
      </c>
      <c r="R7" s="20" t="n">
        <v>0.06474968</v>
      </c>
    </row>
    <row r="8" spans="1:18">
      <c r="A8" s="15" t="s">
        <v>566</v>
      </c>
      <c r="B8" s="17" t="n">
        <v>7007</v>
      </c>
      <c r="C8" s="18">
        <f>(6249.0/B8*100)</f>
        <v/>
      </c>
      <c r="D8" s="19" t="n">
        <v>758</v>
      </c>
      <c r="E8" s="18" t="n">
        <v>48.43390298</v>
      </c>
      <c r="F8" s="20" t="n">
        <v>2.13935343</v>
      </c>
      <c r="G8" s="18" t="n">
        <v>47.04462271</v>
      </c>
      <c r="H8" s="20" t="n">
        <v>2.13157812</v>
      </c>
      <c r="I8" s="18" t="n">
        <v>0</v>
      </c>
      <c r="J8" s="20" t="n">
        <v>0</v>
      </c>
      <c r="K8" s="18" t="n">
        <v>2.71991633</v>
      </c>
      <c r="L8" s="20" t="n">
        <v>0.61657176</v>
      </c>
      <c r="M8" s="18" t="n">
        <v>0</v>
      </c>
      <c r="N8" s="20" t="n">
        <v>0</v>
      </c>
      <c r="O8" s="18" t="n">
        <v>0</v>
      </c>
      <c r="P8" s="20" t="n">
        <v>0</v>
      </c>
      <c r="Q8" s="18" t="n">
        <v>1.80155798</v>
      </c>
      <c r="R8" s="20" t="n">
        <v>0.55698789</v>
      </c>
    </row>
    <row r="9" spans="1:18">
      <c r="A9" s="15" t="s">
        <v>567</v>
      </c>
      <c r="B9" s="17" t="n">
        <v>9651</v>
      </c>
      <c r="C9" s="18">
        <f>(8689.0/B9*100)</f>
        <v/>
      </c>
      <c r="D9" s="19" t="n">
        <v>962</v>
      </c>
      <c r="E9" s="18" t="n">
        <v>43.29405484</v>
      </c>
      <c r="F9" s="20" t="n">
        <v>1.77186885</v>
      </c>
      <c r="G9" s="18" t="n">
        <v>53.82480167</v>
      </c>
      <c r="H9" s="20" t="n">
        <v>1.62715394</v>
      </c>
      <c r="I9" s="18" t="n">
        <v>0</v>
      </c>
      <c r="J9" s="20" t="n">
        <v>0</v>
      </c>
      <c r="K9" s="18" t="n">
        <v>2.09046777</v>
      </c>
      <c r="L9" s="20" t="n">
        <v>0.50641338</v>
      </c>
      <c r="M9" s="18" t="n">
        <v>0</v>
      </c>
      <c r="N9" s="20" t="n">
        <v>0</v>
      </c>
      <c r="O9" s="18" t="n">
        <v>0</v>
      </c>
      <c r="P9" s="20" t="n">
        <v>0</v>
      </c>
      <c r="Q9" s="18" t="n">
        <v>0.79067571</v>
      </c>
      <c r="R9" s="20" t="n">
        <v>0.30116784</v>
      </c>
    </row>
    <row r="10" spans="1:18">
      <c r="A10" s="15" t="s">
        <v>568</v>
      </c>
      <c r="B10" s="17" t="n">
        <v>20058</v>
      </c>
      <c r="C10" s="18">
        <f>(17807.0/B10*100)</f>
        <v/>
      </c>
      <c r="D10" s="19" t="n">
        <v>2251</v>
      </c>
      <c r="E10" s="18" t="n">
        <v>40.66800888</v>
      </c>
      <c r="F10" s="20" t="n">
        <v>1.67507245</v>
      </c>
      <c r="G10" s="18" t="n">
        <v>56.42757122</v>
      </c>
      <c r="H10" s="20" t="n">
        <v>1.75690759</v>
      </c>
      <c r="I10" s="18" t="n">
        <v>0</v>
      </c>
      <c r="J10" s="20" t="n">
        <v>0</v>
      </c>
      <c r="K10" s="18" t="n">
        <v>2.43332863</v>
      </c>
      <c r="L10" s="20" t="n">
        <v>0.48072189</v>
      </c>
      <c r="M10" s="18" t="n">
        <v>0</v>
      </c>
      <c r="N10" s="20" t="n">
        <v>0</v>
      </c>
      <c r="O10" s="18" t="n">
        <v>0</v>
      </c>
      <c r="P10" s="20" t="n">
        <v>0</v>
      </c>
      <c r="Q10" s="18" t="n">
        <v>0.47109127</v>
      </c>
      <c r="R10" s="20" t="n">
        <v>0.21309041</v>
      </c>
    </row>
    <row r="11" spans="1:18">
      <c r="A11" s="15" t="s">
        <v>569</v>
      </c>
      <c r="B11" s="17" t="n">
        <v>7053</v>
      </c>
      <c r="C11" s="18">
        <f>(6355.0/B11*100)</f>
        <v/>
      </c>
      <c r="D11" s="19" t="n">
        <v>698</v>
      </c>
      <c r="E11" s="18" t="n">
        <v>56.95225822</v>
      </c>
      <c r="F11" s="20" t="n">
        <v>2.38140797</v>
      </c>
      <c r="G11" s="18" t="n">
        <v>36.18832746</v>
      </c>
      <c r="H11" s="20" t="n">
        <v>2.31113581</v>
      </c>
      <c r="I11" s="18" t="n">
        <v>0</v>
      </c>
      <c r="J11" s="20" t="n">
        <v>0</v>
      </c>
      <c r="K11" s="18" t="n">
        <v>6.13444173</v>
      </c>
      <c r="L11" s="20" t="n">
        <v>0.97952965</v>
      </c>
      <c r="M11" s="18" t="n">
        <v>0</v>
      </c>
      <c r="N11" s="20" t="n">
        <v>0</v>
      </c>
      <c r="O11" s="18" t="n">
        <v>0</v>
      </c>
      <c r="P11" s="20" t="n">
        <v>0</v>
      </c>
      <c r="Q11" s="18" t="n">
        <v>0.72497259</v>
      </c>
      <c r="R11" s="20" t="n">
        <v>0.31448732</v>
      </c>
    </row>
    <row r="12" spans="1:18">
      <c r="A12" s="15" t="s">
        <v>570</v>
      </c>
      <c r="B12" s="17" t="n">
        <v>6894</v>
      </c>
      <c r="C12" s="18">
        <f>(6145.0/B12*100)</f>
        <v/>
      </c>
      <c r="D12" s="19" t="n">
        <v>749</v>
      </c>
      <c r="E12" s="18" t="n">
        <v>53.34622485</v>
      </c>
      <c r="F12" s="20" t="n">
        <v>2.07857929</v>
      </c>
      <c r="G12" s="18" t="n">
        <v>44.00987727</v>
      </c>
      <c r="H12" s="20" t="n">
        <v>2.05900361</v>
      </c>
      <c r="I12" s="18" t="n">
        <v>0</v>
      </c>
      <c r="J12" s="20" t="n">
        <v>0</v>
      </c>
      <c r="K12" s="18" t="n">
        <v>2.2651468</v>
      </c>
      <c r="L12" s="20" t="n">
        <v>0.52134217</v>
      </c>
      <c r="M12" s="18" t="n">
        <v>0</v>
      </c>
      <c r="N12" s="20" t="n">
        <v>0</v>
      </c>
      <c r="O12" s="18" t="n">
        <v>0</v>
      </c>
      <c r="P12" s="20" t="n">
        <v>0</v>
      </c>
      <c r="Q12" s="18" t="n">
        <v>0.37875107</v>
      </c>
      <c r="R12" s="20" t="n">
        <v>0.31007795</v>
      </c>
    </row>
    <row r="13" spans="1:18">
      <c r="A13" s="15" t="s">
        <v>571</v>
      </c>
      <c r="B13" s="17" t="n">
        <v>7161</v>
      </c>
      <c r="C13" s="18">
        <f>(6403.0/B13*100)</f>
        <v/>
      </c>
      <c r="D13" s="19" t="n">
        <v>758</v>
      </c>
      <c r="E13" s="18" t="n">
        <v>44.3771506</v>
      </c>
      <c r="F13" s="20" t="n">
        <v>2.21568898</v>
      </c>
      <c r="G13" s="18" t="n">
        <v>52.58350227</v>
      </c>
      <c r="H13" s="20" t="n">
        <v>2.3254697</v>
      </c>
      <c r="I13" s="18" t="n">
        <v>0</v>
      </c>
      <c r="J13" s="20" t="n">
        <v>0</v>
      </c>
      <c r="K13" s="18" t="n">
        <v>2.53856371</v>
      </c>
      <c r="L13" s="20" t="n">
        <v>0.68815169</v>
      </c>
      <c r="M13" s="18" t="n">
        <v>0</v>
      </c>
      <c r="N13" s="20" t="n">
        <v>0</v>
      </c>
      <c r="O13" s="18" t="n">
        <v>0</v>
      </c>
      <c r="P13" s="20" t="n">
        <v>0</v>
      </c>
      <c r="Q13" s="18" t="n">
        <v>0.50078342</v>
      </c>
      <c r="R13" s="20" t="n">
        <v>0.33232454</v>
      </c>
    </row>
    <row r="14" spans="1:18">
      <c r="A14" s="15" t="s">
        <v>572</v>
      </c>
      <c r="B14" s="17" t="n">
        <v>5587</v>
      </c>
      <c r="C14" s="18">
        <f>(4967.0/B14*100)</f>
        <v/>
      </c>
      <c r="D14" s="19" t="n">
        <v>620</v>
      </c>
      <c r="E14" s="18" t="n">
        <v>49.14043168</v>
      </c>
      <c r="F14" s="20" t="n">
        <v>2.3681567</v>
      </c>
      <c r="G14" s="18" t="n">
        <v>49.309719</v>
      </c>
      <c r="H14" s="20" t="n">
        <v>2.33033215</v>
      </c>
      <c r="I14" s="18" t="n">
        <v>0</v>
      </c>
      <c r="J14" s="20" t="n">
        <v>0</v>
      </c>
      <c r="K14" s="18" t="n">
        <v>1.43510705</v>
      </c>
      <c r="L14" s="20" t="n">
        <v>0.56375178</v>
      </c>
      <c r="M14" s="18" t="n">
        <v>0</v>
      </c>
      <c r="N14" s="20" t="n">
        <v>0</v>
      </c>
      <c r="O14" s="18" t="n">
        <v>0</v>
      </c>
      <c r="P14" s="20" t="n">
        <v>0</v>
      </c>
      <c r="Q14" s="18" t="n">
        <v>0.11474227</v>
      </c>
      <c r="R14" s="20" t="n">
        <v>0.11133013</v>
      </c>
    </row>
    <row r="15" spans="1:18">
      <c r="A15" s="15" t="s">
        <v>573</v>
      </c>
      <c r="B15" s="17" t="n">
        <v>5882</v>
      </c>
      <c r="C15" s="18">
        <f>(5291.0/B15*100)</f>
        <v/>
      </c>
      <c r="D15" s="19" t="n">
        <v>591</v>
      </c>
      <c r="E15" s="18" t="n">
        <v>44.85293413</v>
      </c>
      <c r="F15" s="20" t="n">
        <v>2.29270076</v>
      </c>
      <c r="G15" s="18" t="n">
        <v>54.5163636</v>
      </c>
      <c r="H15" s="20" t="n">
        <v>2.38925825</v>
      </c>
      <c r="I15" s="18" t="n">
        <v>0</v>
      </c>
      <c r="J15" s="20" t="n">
        <v>0</v>
      </c>
      <c r="K15" s="18" t="n">
        <v>0.4578371</v>
      </c>
      <c r="L15" s="20" t="n">
        <v>0.26902586</v>
      </c>
      <c r="M15" s="18" t="n">
        <v>0</v>
      </c>
      <c r="N15" s="20" t="n">
        <v>0</v>
      </c>
      <c r="O15" s="18" t="n">
        <v>0</v>
      </c>
      <c r="P15" s="20" t="n">
        <v>0</v>
      </c>
      <c r="Q15" s="18" t="n">
        <v>0.17286517</v>
      </c>
      <c r="R15" s="20" t="n">
        <v>0.1682846</v>
      </c>
    </row>
    <row r="16" spans="1:18">
      <c r="A16" s="15" t="s">
        <v>574</v>
      </c>
      <c r="B16" s="17" t="n">
        <v>6108</v>
      </c>
      <c r="C16" s="18">
        <f>(5477.0/B16*100)</f>
        <v/>
      </c>
      <c r="D16" s="19" t="n">
        <v>631</v>
      </c>
      <c r="E16" s="18" t="n">
        <v>47.04677358</v>
      </c>
      <c r="F16" s="20" t="n">
        <v>1.96011986</v>
      </c>
      <c r="G16" s="18" t="n">
        <v>47.27411507</v>
      </c>
      <c r="H16" s="20" t="n">
        <v>1.90071568</v>
      </c>
      <c r="I16" s="18" t="n">
        <v>0</v>
      </c>
      <c r="J16" s="20" t="n">
        <v>0</v>
      </c>
      <c r="K16" s="18" t="n">
        <v>4.8786072</v>
      </c>
      <c r="L16" s="20" t="n">
        <v>0.9327742999999999</v>
      </c>
      <c r="M16" s="18" t="n">
        <v>0</v>
      </c>
      <c r="N16" s="20" t="n">
        <v>0</v>
      </c>
      <c r="O16" s="18" t="n">
        <v>0</v>
      </c>
      <c r="P16" s="20" t="n">
        <v>0</v>
      </c>
      <c r="Q16" s="18" t="n">
        <v>0.80050415</v>
      </c>
      <c r="R16" s="20" t="n">
        <v>0.48486034</v>
      </c>
    </row>
    <row r="17" spans="1:18">
      <c r="A17" s="15" t="s">
        <v>575</v>
      </c>
      <c r="B17" s="17" t="n">
        <v>6504</v>
      </c>
      <c r="C17" s="18">
        <f>(5846.0/B17*100)</f>
        <v/>
      </c>
      <c r="D17" s="19" t="n">
        <v>658</v>
      </c>
      <c r="E17" s="18" t="n">
        <v>44.76483764</v>
      </c>
      <c r="F17" s="20" t="n">
        <v>1.8217826</v>
      </c>
      <c r="G17" s="18" t="n">
        <v>53.41309045</v>
      </c>
      <c r="H17" s="20" t="n">
        <v>1.85229504</v>
      </c>
      <c r="I17" s="18" t="n">
        <v>0</v>
      </c>
      <c r="J17" s="20" t="n">
        <v>0</v>
      </c>
      <c r="K17" s="18" t="n">
        <v>1.69341972</v>
      </c>
      <c r="L17" s="20" t="n">
        <v>0.46401941</v>
      </c>
      <c r="M17" s="18" t="n">
        <v>0</v>
      </c>
      <c r="N17" s="20" t="n">
        <v>0</v>
      </c>
      <c r="O17" s="18" t="n">
        <v>0</v>
      </c>
      <c r="P17" s="20" t="n">
        <v>0</v>
      </c>
      <c r="Q17" s="18" t="n">
        <v>0.12865219</v>
      </c>
      <c r="R17" s="20" t="n">
        <v>0.13307154</v>
      </c>
    </row>
    <row r="18" spans="1:18">
      <c r="A18" s="15" t="s">
        <v>576</v>
      </c>
      <c r="B18" s="17" t="n">
        <v>5532</v>
      </c>
      <c r="C18" s="18">
        <f>(4922.0/B18*100)</f>
        <v/>
      </c>
      <c r="D18" s="19" t="n">
        <v>610</v>
      </c>
      <c r="E18" s="18" t="n">
        <v>48.51186756</v>
      </c>
      <c r="F18" s="20" t="n">
        <v>2.13111903</v>
      </c>
      <c r="G18" s="18" t="n">
        <v>47.92331317</v>
      </c>
      <c r="H18" s="20" t="n">
        <v>2.07745353</v>
      </c>
      <c r="I18" s="18" t="n">
        <v>0</v>
      </c>
      <c r="J18" s="20" t="n">
        <v>0</v>
      </c>
      <c r="K18" s="18" t="n">
        <v>2.52206772</v>
      </c>
      <c r="L18" s="20" t="n">
        <v>0.57559351</v>
      </c>
      <c r="M18" s="18" t="n">
        <v>0</v>
      </c>
      <c r="N18" s="20" t="n">
        <v>0</v>
      </c>
      <c r="O18" s="18" t="n">
        <v>0</v>
      </c>
      <c r="P18" s="20" t="n">
        <v>0</v>
      </c>
      <c r="Q18" s="18" t="n">
        <v>1.04275156</v>
      </c>
      <c r="R18" s="20" t="n">
        <v>0.4825625</v>
      </c>
    </row>
    <row r="19" spans="1:18">
      <c r="A19" s="15" t="s">
        <v>577</v>
      </c>
      <c r="B19" s="17" t="n">
        <v>5658</v>
      </c>
      <c r="C19" s="18">
        <f>(5079.0/B19*100)</f>
        <v/>
      </c>
      <c r="D19" s="19" t="n">
        <v>579</v>
      </c>
      <c r="E19" s="18" t="n">
        <v>53.13555463</v>
      </c>
      <c r="F19" s="20" t="n">
        <v>2.3120518</v>
      </c>
      <c r="G19" s="18" t="n">
        <v>45.94458569</v>
      </c>
      <c r="H19" s="20" t="n">
        <v>2.40668734</v>
      </c>
      <c r="I19" s="18" t="n">
        <v>0</v>
      </c>
      <c r="J19" s="20" t="n">
        <v>0</v>
      </c>
      <c r="K19" s="18" t="n">
        <v>0.17092285</v>
      </c>
      <c r="L19" s="20" t="n">
        <v>0.15983872</v>
      </c>
      <c r="M19" s="18" t="n">
        <v>0</v>
      </c>
      <c r="N19" s="20" t="n">
        <v>0</v>
      </c>
      <c r="O19" s="18" t="n">
        <v>0</v>
      </c>
      <c r="P19" s="20" t="n">
        <v>0</v>
      </c>
      <c r="Q19" s="18" t="n">
        <v>0.74893683</v>
      </c>
      <c r="R19" s="20" t="n">
        <v>0.43379755</v>
      </c>
    </row>
    <row r="20" spans="1:18">
      <c r="A20" s="15" t="s">
        <v>578</v>
      </c>
      <c r="B20" s="17" t="n">
        <v>3371</v>
      </c>
      <c r="C20" s="18">
        <f>(2988.0/B20*100)</f>
        <v/>
      </c>
      <c r="D20" s="19" t="n">
        <v>383</v>
      </c>
      <c r="E20" s="18" t="n">
        <v>45.08924488</v>
      </c>
      <c r="F20" s="20" t="n">
        <v>2.75481345</v>
      </c>
      <c r="G20" s="18" t="n">
        <v>51.19991251</v>
      </c>
      <c r="H20" s="20" t="n">
        <v>2.78543737</v>
      </c>
      <c r="I20" s="18" t="n">
        <v>0</v>
      </c>
      <c r="J20" s="20" t="n">
        <v>0</v>
      </c>
      <c r="K20" s="18" t="n">
        <v>1.42855398</v>
      </c>
      <c r="L20" s="20" t="n">
        <v>0.57388515</v>
      </c>
      <c r="M20" s="18" t="n">
        <v>0</v>
      </c>
      <c r="N20" s="20" t="n">
        <v>0</v>
      </c>
      <c r="O20" s="18" t="n">
        <v>0</v>
      </c>
      <c r="P20" s="20" t="n">
        <v>0</v>
      </c>
      <c r="Q20" s="18" t="n">
        <v>2.28228862</v>
      </c>
      <c r="R20" s="20" t="n">
        <v>0.79997833</v>
      </c>
    </row>
    <row r="21" spans="1:18">
      <c r="A21" s="15" t="s">
        <v>579</v>
      </c>
      <c r="B21" s="17" t="n">
        <v>5741</v>
      </c>
      <c r="C21" s="18">
        <f>(5128.0/B21*100)</f>
        <v/>
      </c>
      <c r="D21" s="19" t="n">
        <v>613</v>
      </c>
      <c r="E21" s="18" t="n">
        <v>43.02522716</v>
      </c>
      <c r="F21" s="20" t="n">
        <v>1.95326539</v>
      </c>
      <c r="G21" s="18" t="n">
        <v>54.6567002</v>
      </c>
      <c r="H21" s="20" t="n">
        <v>2.02765685</v>
      </c>
      <c r="I21" s="18" t="n">
        <v>0</v>
      </c>
      <c r="J21" s="20" t="n">
        <v>0</v>
      </c>
      <c r="K21" s="18" t="n">
        <v>1.81970564</v>
      </c>
      <c r="L21" s="20" t="n">
        <v>0.5603857</v>
      </c>
      <c r="M21" s="18" t="n">
        <v>0</v>
      </c>
      <c r="N21" s="20" t="n">
        <v>0</v>
      </c>
      <c r="O21" s="18" t="n">
        <v>0</v>
      </c>
      <c r="P21" s="20" t="n">
        <v>0</v>
      </c>
      <c r="Q21" s="18" t="n">
        <v>0.49836701</v>
      </c>
      <c r="R21" s="20" t="n">
        <v>0.295935</v>
      </c>
    </row>
    <row r="22" spans="1:18">
      <c r="A22" s="15" t="s">
        <v>580</v>
      </c>
      <c r="B22" s="17" t="n">
        <v>6598</v>
      </c>
      <c r="C22" s="18">
        <f>(5954.0/B22*100)</f>
        <v/>
      </c>
      <c r="D22" s="19" t="n">
        <v>644</v>
      </c>
      <c r="E22" s="18" t="n">
        <v>48.27585242</v>
      </c>
      <c r="F22" s="20" t="n">
        <v>2.52951605</v>
      </c>
      <c r="G22" s="18" t="n">
        <v>46.74404931</v>
      </c>
      <c r="H22" s="20" t="n">
        <v>2.50995778</v>
      </c>
      <c r="I22" s="18" t="n">
        <v>0</v>
      </c>
      <c r="J22" s="20" t="n">
        <v>0</v>
      </c>
      <c r="K22" s="18" t="n">
        <v>4.13059132</v>
      </c>
      <c r="L22" s="20" t="n">
        <v>0.77476016</v>
      </c>
      <c r="M22" s="18" t="n">
        <v>0</v>
      </c>
      <c r="N22" s="20" t="n">
        <v>0</v>
      </c>
      <c r="O22" s="18" t="n">
        <v>0</v>
      </c>
      <c r="P22" s="20" t="n">
        <v>0</v>
      </c>
      <c r="Q22" s="18" t="n">
        <v>0.84950695</v>
      </c>
      <c r="R22" s="20" t="n">
        <v>0.41343827</v>
      </c>
    </row>
    <row r="23" spans="1:18">
      <c r="A23" s="15" t="s">
        <v>581</v>
      </c>
      <c r="B23" s="17" t="n">
        <v>11583</v>
      </c>
      <c r="C23" s="18">
        <f>(10372.0/B23*100)</f>
        <v/>
      </c>
      <c r="D23" s="19" t="n">
        <v>1211</v>
      </c>
      <c r="E23" s="18" t="n">
        <v>51.15965915</v>
      </c>
      <c r="F23" s="20" t="n">
        <v>2.06449807</v>
      </c>
      <c r="G23" s="18" t="n">
        <v>43.75056151</v>
      </c>
      <c r="H23" s="20" t="n">
        <v>2.20204192</v>
      </c>
      <c r="I23" s="18" t="n">
        <v>0</v>
      </c>
      <c r="J23" s="20" t="n">
        <v>0</v>
      </c>
      <c r="K23" s="18" t="n">
        <v>3.76958234</v>
      </c>
      <c r="L23" s="20" t="n">
        <v>0.8922962</v>
      </c>
      <c r="M23" s="18" t="n">
        <v>0</v>
      </c>
      <c r="N23" s="20" t="n">
        <v>0</v>
      </c>
      <c r="O23" s="18" t="n">
        <v>0</v>
      </c>
      <c r="P23" s="20" t="n">
        <v>0</v>
      </c>
      <c r="Q23" s="18" t="n">
        <v>1.320197</v>
      </c>
      <c r="R23" s="20" t="n">
        <v>0.48953264</v>
      </c>
    </row>
    <row r="24" spans="1:18">
      <c r="A24" s="15" t="s">
        <v>582</v>
      </c>
      <c r="B24" s="17" t="n">
        <v>6647</v>
      </c>
      <c r="C24" s="18">
        <f>(5950.0/B24*100)</f>
        <v/>
      </c>
      <c r="D24" s="19" t="n">
        <v>697</v>
      </c>
      <c r="E24" s="18" t="n">
        <v>39.97380107</v>
      </c>
      <c r="F24" s="20" t="n">
        <v>1.77921324</v>
      </c>
      <c r="G24" s="18" t="n">
        <v>57.62237938</v>
      </c>
      <c r="H24" s="20" t="n">
        <v>1.73423591</v>
      </c>
      <c r="I24" s="18" t="n">
        <v>0</v>
      </c>
      <c r="J24" s="20" t="n">
        <v>0</v>
      </c>
      <c r="K24" s="18" t="n">
        <v>1.71959064</v>
      </c>
      <c r="L24" s="20" t="n">
        <v>0.5269945700000001</v>
      </c>
      <c r="M24" s="18" t="n">
        <v>0</v>
      </c>
      <c r="N24" s="20" t="n">
        <v>0</v>
      </c>
      <c r="O24" s="18" t="n">
        <v>0</v>
      </c>
      <c r="P24" s="20" t="n">
        <v>0</v>
      </c>
      <c r="Q24" s="18" t="n">
        <v>0.68422891</v>
      </c>
      <c r="R24" s="20" t="n">
        <v>0.30889627</v>
      </c>
    </row>
    <row r="25" spans="1:18">
      <c r="A25" s="15" t="s">
        <v>583</v>
      </c>
      <c r="B25" s="17" t="n">
        <v>5581</v>
      </c>
      <c r="C25" s="18">
        <f>(4963.0/B25*100)</f>
        <v/>
      </c>
      <c r="D25" s="19" t="n">
        <v>618</v>
      </c>
      <c r="E25" s="18" t="n">
        <v>33.42448974</v>
      </c>
      <c r="F25" s="20" t="n">
        <v>1.85983717</v>
      </c>
      <c r="G25" s="18" t="n">
        <v>65.39109467999999</v>
      </c>
      <c r="H25" s="20" t="n">
        <v>1.89133656</v>
      </c>
      <c r="I25" s="18" t="n">
        <v>0</v>
      </c>
      <c r="J25" s="20" t="n">
        <v>0</v>
      </c>
      <c r="K25" s="18" t="n">
        <v>0.89119783</v>
      </c>
      <c r="L25" s="20" t="n">
        <v>0.37152681</v>
      </c>
      <c r="M25" s="18" t="n">
        <v>0</v>
      </c>
      <c r="N25" s="20" t="n">
        <v>0</v>
      </c>
      <c r="O25" s="18" t="n">
        <v>0</v>
      </c>
      <c r="P25" s="20" t="n">
        <v>0</v>
      </c>
      <c r="Q25" s="18" t="n">
        <v>0.29321775</v>
      </c>
      <c r="R25" s="20" t="n">
        <v>0.19010002</v>
      </c>
    </row>
    <row r="26" spans="1:18">
      <c r="A26" s="15" t="s">
        <v>584</v>
      </c>
      <c r="B26" s="17" t="n">
        <v>4869</v>
      </c>
      <c r="C26" s="18">
        <f>(4348.0/B26*100)</f>
        <v/>
      </c>
      <c r="D26" s="19" t="n">
        <v>521</v>
      </c>
      <c r="E26" s="18" t="n">
        <v>51.95059181</v>
      </c>
      <c r="F26" s="20" t="n">
        <v>2.23232644</v>
      </c>
      <c r="G26" s="18" t="n">
        <v>47.58711801</v>
      </c>
      <c r="H26" s="20" t="n">
        <v>2.18921262</v>
      </c>
      <c r="I26" s="18" t="n">
        <v>0</v>
      </c>
      <c r="J26" s="20" t="n">
        <v>0</v>
      </c>
      <c r="K26" s="18" t="n">
        <v>0.30497923</v>
      </c>
      <c r="L26" s="20" t="n">
        <v>0.23065652</v>
      </c>
      <c r="M26" s="18" t="n">
        <v>0</v>
      </c>
      <c r="N26" s="20" t="n">
        <v>0</v>
      </c>
      <c r="O26" s="18" t="n">
        <v>0</v>
      </c>
      <c r="P26" s="20" t="n">
        <v>0</v>
      </c>
      <c r="Q26" s="18" t="n">
        <v>0.15731094</v>
      </c>
      <c r="R26" s="20" t="n">
        <v>0.14237162</v>
      </c>
    </row>
    <row r="27" spans="1:18">
      <c r="A27" s="15" t="s">
        <v>585</v>
      </c>
      <c r="B27" s="17" t="n">
        <v>5299</v>
      </c>
      <c r="C27" s="18">
        <f>(4751.0/B27*100)</f>
        <v/>
      </c>
      <c r="D27" s="19" t="n">
        <v>548</v>
      </c>
      <c r="E27" s="18" t="n">
        <v>46.74617573</v>
      </c>
      <c r="F27" s="20" t="n">
        <v>1.95918205</v>
      </c>
      <c r="G27" s="18" t="n">
        <v>48.80946334</v>
      </c>
      <c r="H27" s="20" t="n">
        <v>2.06693454</v>
      </c>
      <c r="I27" s="18" t="n">
        <v>0</v>
      </c>
      <c r="J27" s="20" t="n">
        <v>0</v>
      </c>
      <c r="K27" s="18" t="n">
        <v>3.72813702</v>
      </c>
      <c r="L27" s="20" t="n">
        <v>0.75351323</v>
      </c>
      <c r="M27" s="18" t="n">
        <v>0</v>
      </c>
      <c r="N27" s="20" t="n">
        <v>0</v>
      </c>
      <c r="O27" s="18" t="n">
        <v>0</v>
      </c>
      <c r="P27" s="20" t="n">
        <v>0</v>
      </c>
      <c r="Q27" s="18" t="n">
        <v>0.7162239</v>
      </c>
      <c r="R27" s="20" t="n">
        <v>0.35922213</v>
      </c>
    </row>
    <row r="28" spans="1:18">
      <c r="A28" s="15" t="s">
        <v>586</v>
      </c>
      <c r="B28" s="17" t="n">
        <v>7568</v>
      </c>
      <c r="C28" s="18">
        <f>(6877.0/B28*100)</f>
        <v/>
      </c>
      <c r="D28" s="19" t="n">
        <v>691</v>
      </c>
      <c r="E28" s="18" t="n">
        <v>63.44102789</v>
      </c>
      <c r="F28" s="20" t="n">
        <v>1.98973195</v>
      </c>
      <c r="G28" s="18" t="n">
        <v>33.71735868</v>
      </c>
      <c r="H28" s="20" t="n">
        <v>1.95529247</v>
      </c>
      <c r="I28" s="18" t="n">
        <v>0</v>
      </c>
      <c r="J28" s="20" t="n">
        <v>0</v>
      </c>
      <c r="K28" s="18" t="n">
        <v>2.09215969</v>
      </c>
      <c r="L28" s="20" t="n">
        <v>0.60917635</v>
      </c>
      <c r="M28" s="18" t="n">
        <v>0</v>
      </c>
      <c r="N28" s="20" t="n">
        <v>0</v>
      </c>
      <c r="O28" s="18" t="n">
        <v>0</v>
      </c>
      <c r="P28" s="20" t="n">
        <v>0</v>
      </c>
      <c r="Q28" s="18" t="n">
        <v>0.74945373</v>
      </c>
      <c r="R28" s="20" t="n">
        <v>0.37486312</v>
      </c>
    </row>
    <row r="29" spans="1:18">
      <c r="A29" s="15" t="s">
        <v>587</v>
      </c>
      <c r="B29" s="17" t="n">
        <v>5385</v>
      </c>
      <c r="C29" s="18">
        <f>(4802.0/B29*100)</f>
        <v/>
      </c>
      <c r="D29" s="19" t="n">
        <v>583</v>
      </c>
      <c r="E29" s="18" t="n">
        <v>42.01452464</v>
      </c>
      <c r="F29" s="20" t="n">
        <v>2.02269024</v>
      </c>
      <c r="G29" s="18" t="n">
        <v>57.07337969</v>
      </c>
      <c r="H29" s="20" t="n">
        <v>2.04193541</v>
      </c>
      <c r="I29" s="18" t="n">
        <v>0</v>
      </c>
      <c r="J29" s="20" t="n">
        <v>0</v>
      </c>
      <c r="K29" s="18" t="n">
        <v>0.91209567</v>
      </c>
      <c r="L29" s="20" t="n">
        <v>0.37178219</v>
      </c>
      <c r="M29" s="18" t="n">
        <v>0</v>
      </c>
      <c r="N29" s="20" t="n">
        <v>0</v>
      </c>
      <c r="O29" s="18" t="n">
        <v>0</v>
      </c>
      <c r="P29" s="20" t="n">
        <v>0</v>
      </c>
      <c r="Q29" s="18" t="n">
        <v>0</v>
      </c>
      <c r="R29" s="20" t="n">
        <v>0</v>
      </c>
    </row>
    <row r="30" spans="1:18">
      <c r="A30" s="15" t="s">
        <v>588</v>
      </c>
      <c r="B30" s="17" t="n">
        <v>4520</v>
      </c>
      <c r="C30" s="18">
        <f>(4067.0/B30*100)</f>
        <v/>
      </c>
      <c r="D30" s="19" t="n">
        <v>453</v>
      </c>
      <c r="E30" s="18" t="n">
        <v>48.30431924</v>
      </c>
      <c r="F30" s="20" t="n">
        <v>2.20167581</v>
      </c>
      <c r="G30" s="18" t="n">
        <v>48.64359668</v>
      </c>
      <c r="H30" s="20" t="n">
        <v>2.40475721</v>
      </c>
      <c r="I30" s="18" t="n">
        <v>0</v>
      </c>
      <c r="J30" s="20" t="n">
        <v>0</v>
      </c>
      <c r="K30" s="18" t="n">
        <v>2.70744893</v>
      </c>
      <c r="L30" s="20" t="n">
        <v>0.79685167</v>
      </c>
      <c r="M30" s="18" t="n">
        <v>0</v>
      </c>
      <c r="N30" s="20" t="n">
        <v>0</v>
      </c>
      <c r="O30" s="18" t="n">
        <v>0</v>
      </c>
      <c r="P30" s="20" t="n">
        <v>0</v>
      </c>
      <c r="Q30" s="18" t="n">
        <v>0.34463515</v>
      </c>
      <c r="R30" s="20" t="n">
        <v>0.24916009</v>
      </c>
    </row>
    <row r="31" spans="1:18">
      <c r="A31" s="15" t="s">
        <v>589</v>
      </c>
      <c r="B31" s="17" t="n">
        <v>5456</v>
      </c>
      <c r="C31" s="18">
        <f>(4869.0/B31*100)</f>
        <v/>
      </c>
      <c r="D31" s="19" t="n">
        <v>587</v>
      </c>
      <c r="E31" s="18" t="n">
        <v>42.58096347</v>
      </c>
      <c r="F31" s="20" t="n">
        <v>2.13382133</v>
      </c>
      <c r="G31" s="18" t="n">
        <v>53.48094552</v>
      </c>
      <c r="H31" s="20" t="n">
        <v>2.08830966</v>
      </c>
      <c r="I31" s="18" t="n">
        <v>0</v>
      </c>
      <c r="J31" s="20" t="n">
        <v>0</v>
      </c>
      <c r="K31" s="18" t="n">
        <v>3.62859928</v>
      </c>
      <c r="L31" s="20" t="n">
        <v>0.84977993</v>
      </c>
      <c r="M31" s="18" t="n">
        <v>0</v>
      </c>
      <c r="N31" s="20" t="n">
        <v>0</v>
      </c>
      <c r="O31" s="18" t="n">
        <v>0</v>
      </c>
      <c r="P31" s="20" t="n">
        <v>0</v>
      </c>
      <c r="Q31" s="18" t="n">
        <v>0.30949173</v>
      </c>
      <c r="R31" s="20" t="n">
        <v>0.22188727</v>
      </c>
    </row>
    <row r="32" spans="1:18">
      <c r="A32" s="15" t="s">
        <v>590</v>
      </c>
      <c r="B32" s="17" t="n">
        <v>4478</v>
      </c>
      <c r="C32" s="18">
        <f>(3982.0/B32*100)</f>
        <v/>
      </c>
      <c r="D32" s="19" t="n">
        <v>496</v>
      </c>
      <c r="E32" s="18" t="n">
        <v>49.04757899</v>
      </c>
      <c r="F32" s="20" t="n">
        <v>2.27481566</v>
      </c>
      <c r="G32" s="18" t="n">
        <v>50.22068512</v>
      </c>
      <c r="H32" s="20" t="n">
        <v>2.28636649</v>
      </c>
      <c r="I32" s="18" t="n">
        <v>0</v>
      </c>
      <c r="J32" s="20" t="n">
        <v>0</v>
      </c>
      <c r="K32" s="18" t="n">
        <v>0.7317358900000001</v>
      </c>
      <c r="L32" s="20" t="n">
        <v>0.38794731</v>
      </c>
      <c r="M32" s="18" t="n">
        <v>0</v>
      </c>
      <c r="N32" s="20" t="n">
        <v>0</v>
      </c>
      <c r="O32" s="18" t="n">
        <v>0</v>
      </c>
      <c r="P32" s="20" t="n">
        <v>0</v>
      </c>
      <c r="Q32" s="18" t="n">
        <v>0</v>
      </c>
      <c r="R32" s="20" t="n">
        <v>0</v>
      </c>
    </row>
    <row r="33" spans="1:18">
      <c r="A33" s="15" t="s">
        <v>591</v>
      </c>
      <c r="B33" s="17" t="n">
        <v>7325</v>
      </c>
      <c r="C33" s="18">
        <f>(6587.0/B33*100)</f>
        <v/>
      </c>
      <c r="D33" s="19" t="n">
        <v>738</v>
      </c>
      <c r="E33" s="18" t="n">
        <v>54.64319357</v>
      </c>
      <c r="F33" s="20" t="n">
        <v>1.81537118</v>
      </c>
      <c r="G33" s="18" t="n">
        <v>43.68410729</v>
      </c>
      <c r="H33" s="20" t="n">
        <v>1.88244931</v>
      </c>
      <c r="I33" s="18" t="n">
        <v>0</v>
      </c>
      <c r="J33" s="20" t="n">
        <v>0</v>
      </c>
      <c r="K33" s="18" t="n">
        <v>1.25574738</v>
      </c>
      <c r="L33" s="20" t="n">
        <v>0.43396828</v>
      </c>
      <c r="M33" s="18" t="n">
        <v>0</v>
      </c>
      <c r="N33" s="20" t="n">
        <v>0</v>
      </c>
      <c r="O33" s="18" t="n">
        <v>0</v>
      </c>
      <c r="P33" s="20" t="n">
        <v>0</v>
      </c>
      <c r="Q33" s="18" t="n">
        <v>0.41695176</v>
      </c>
      <c r="R33" s="20" t="n">
        <v>0.28128629</v>
      </c>
    </row>
    <row r="34" spans="1:18">
      <c r="A34" s="15" t="s">
        <v>592</v>
      </c>
      <c r="B34" s="17" t="n">
        <v>6350</v>
      </c>
      <c r="C34" s="18">
        <f>(5664.0/B34*100)</f>
        <v/>
      </c>
      <c r="D34" s="19" t="n">
        <v>686</v>
      </c>
      <c r="E34" s="18" t="n">
        <v>56.14010747</v>
      </c>
      <c r="F34" s="20" t="n">
        <v>1.77688795</v>
      </c>
      <c r="G34" s="18" t="n">
        <v>41.54690491</v>
      </c>
      <c r="H34" s="20" t="n">
        <v>1.71119056</v>
      </c>
      <c r="I34" s="18" t="n">
        <v>0</v>
      </c>
      <c r="J34" s="20" t="n">
        <v>0</v>
      </c>
      <c r="K34" s="18" t="n">
        <v>1.94599993</v>
      </c>
      <c r="L34" s="20" t="n">
        <v>0.49769055</v>
      </c>
      <c r="M34" s="18" t="n">
        <v>0</v>
      </c>
      <c r="N34" s="20" t="n">
        <v>0</v>
      </c>
      <c r="O34" s="18" t="n">
        <v>0</v>
      </c>
      <c r="P34" s="20" t="n">
        <v>0</v>
      </c>
      <c r="Q34" s="18" t="n">
        <v>0.36698769</v>
      </c>
      <c r="R34" s="20" t="n">
        <v>0.24538504</v>
      </c>
    </row>
    <row r="35" spans="1:18">
      <c r="A35" s="15" t="s">
        <v>593</v>
      </c>
      <c r="B35" s="17" t="n">
        <v>6406</v>
      </c>
      <c r="C35" s="18">
        <f>(5759.0/B35*100)</f>
        <v/>
      </c>
      <c r="D35" s="19" t="n">
        <v>647</v>
      </c>
      <c r="E35" s="18" t="n">
        <v>50.01829567</v>
      </c>
      <c r="F35" s="20" t="n">
        <v>2.38348776</v>
      </c>
      <c r="G35" s="18" t="n">
        <v>48.02974034</v>
      </c>
      <c r="H35" s="20" t="n">
        <v>2.38765808</v>
      </c>
      <c r="I35" s="18" t="n">
        <v>0</v>
      </c>
      <c r="J35" s="20" t="n">
        <v>0</v>
      </c>
      <c r="K35" s="18" t="n">
        <v>1.16363474</v>
      </c>
      <c r="L35" s="20" t="n">
        <v>0.50254946</v>
      </c>
      <c r="M35" s="18" t="n">
        <v>0</v>
      </c>
      <c r="N35" s="20" t="n">
        <v>0</v>
      </c>
      <c r="O35" s="18" t="n">
        <v>0</v>
      </c>
      <c r="P35" s="20" t="n">
        <v>0</v>
      </c>
      <c r="Q35" s="18" t="n">
        <v>0.78832925</v>
      </c>
      <c r="R35" s="20" t="n">
        <v>0.51858529</v>
      </c>
    </row>
    <row r="36" spans="1:18">
      <c r="A36" s="15" t="s">
        <v>594</v>
      </c>
      <c r="B36" s="17" t="n">
        <v>6736</v>
      </c>
      <c r="C36" s="18">
        <f>(6064.0/B36*100)</f>
        <v/>
      </c>
      <c r="D36" s="19" t="n">
        <v>672</v>
      </c>
      <c r="E36" s="18" t="n">
        <v>54.02087316</v>
      </c>
      <c r="F36" s="20" t="n">
        <v>2.28045797</v>
      </c>
      <c r="G36" s="18" t="n">
        <v>42.07785477</v>
      </c>
      <c r="H36" s="20" t="n">
        <v>2.15554329</v>
      </c>
      <c r="I36" s="18" t="n">
        <v>0</v>
      </c>
      <c r="J36" s="20" t="n">
        <v>0</v>
      </c>
      <c r="K36" s="18" t="n">
        <v>3.23157361</v>
      </c>
      <c r="L36" s="20" t="n">
        <v>0.88459204</v>
      </c>
      <c r="M36" s="18" t="n">
        <v>0</v>
      </c>
      <c r="N36" s="20" t="n">
        <v>0</v>
      </c>
      <c r="O36" s="18" t="n">
        <v>0</v>
      </c>
      <c r="P36" s="20" t="n">
        <v>0</v>
      </c>
      <c r="Q36" s="18" t="n">
        <v>0.6696984499999999</v>
      </c>
      <c r="R36" s="20" t="n">
        <v>0.33841946</v>
      </c>
    </row>
    <row r="37" spans="1:18">
      <c r="A37" s="15" t="s">
        <v>595</v>
      </c>
      <c r="B37" s="17" t="n">
        <v>5458</v>
      </c>
      <c r="C37" s="18">
        <f>(4893.0/B37*100)</f>
        <v/>
      </c>
      <c r="D37" s="19" t="n">
        <v>565</v>
      </c>
      <c r="E37" s="18" t="n">
        <v>40.99555555</v>
      </c>
      <c r="F37" s="20" t="n">
        <v>2.17542285</v>
      </c>
      <c r="G37" s="18" t="n">
        <v>53.03642869</v>
      </c>
      <c r="H37" s="20" t="n">
        <v>2.36887144</v>
      </c>
      <c r="I37" s="18" t="n">
        <v>0</v>
      </c>
      <c r="J37" s="20" t="n">
        <v>0</v>
      </c>
      <c r="K37" s="18" t="n">
        <v>4.76533858</v>
      </c>
      <c r="L37" s="20" t="n">
        <v>0.9020499</v>
      </c>
      <c r="M37" s="18" t="n">
        <v>0</v>
      </c>
      <c r="N37" s="20" t="n">
        <v>0</v>
      </c>
      <c r="O37" s="18" t="n">
        <v>0</v>
      </c>
      <c r="P37" s="20" t="n">
        <v>0</v>
      </c>
      <c r="Q37" s="18" t="n">
        <v>1.20267719</v>
      </c>
      <c r="R37" s="20" t="n">
        <v>0.53115187</v>
      </c>
    </row>
    <row r="38" spans="1:18">
      <c r="A38" s="15" t="s">
        <v>596</v>
      </c>
      <c r="B38" s="17" t="n">
        <v>5860</v>
      </c>
      <c r="C38" s="18">
        <f>(5223.0/B38*100)</f>
        <v/>
      </c>
      <c r="D38" s="19" t="n">
        <v>637</v>
      </c>
      <c r="E38" s="18" t="n">
        <v>43.51950606</v>
      </c>
      <c r="F38" s="20" t="n">
        <v>2.26477918</v>
      </c>
      <c r="G38" s="18" t="n">
        <v>52.83954833</v>
      </c>
      <c r="H38" s="20" t="n">
        <v>2.31408661</v>
      </c>
      <c r="I38" s="18" t="n">
        <v>0</v>
      </c>
      <c r="J38" s="20" t="n">
        <v>0</v>
      </c>
      <c r="K38" s="18" t="n">
        <v>3.15549416</v>
      </c>
      <c r="L38" s="20" t="n">
        <v>0.76748616</v>
      </c>
      <c r="M38" s="18" t="n">
        <v>0</v>
      </c>
      <c r="N38" s="20" t="n">
        <v>0</v>
      </c>
      <c r="O38" s="18" t="n">
        <v>0</v>
      </c>
      <c r="P38" s="20" t="n">
        <v>0</v>
      </c>
      <c r="Q38" s="18" t="n">
        <v>0.48545144</v>
      </c>
      <c r="R38" s="20" t="n">
        <v>0.27969517</v>
      </c>
    </row>
    <row r="39" spans="1:18">
      <c r="A39" s="15" t="s">
        <v>597</v>
      </c>
      <c r="B39" s="17" t="n">
        <v>5895</v>
      </c>
      <c r="C39" s="18">
        <f>(5238.0/B39*100)</f>
        <v/>
      </c>
      <c r="D39" s="19" t="n">
        <v>657</v>
      </c>
      <c r="E39" s="18" t="n">
        <v>61.20148577</v>
      </c>
      <c r="F39" s="20" t="n">
        <v>2.35442465</v>
      </c>
      <c r="G39" s="18" t="n">
        <v>36.25672815</v>
      </c>
      <c r="H39" s="20" t="n">
        <v>2.39302402</v>
      </c>
      <c r="I39" s="18" t="n">
        <v>0</v>
      </c>
      <c r="J39" s="20" t="n">
        <v>0</v>
      </c>
      <c r="K39" s="18" t="n">
        <v>1.23415567</v>
      </c>
      <c r="L39" s="20" t="n">
        <v>0.45349211</v>
      </c>
      <c r="M39" s="18" t="n">
        <v>0</v>
      </c>
      <c r="N39" s="20" t="n">
        <v>0</v>
      </c>
      <c r="O39" s="18" t="n">
        <v>0</v>
      </c>
      <c r="P39" s="20" t="n">
        <v>0</v>
      </c>
      <c r="Q39" s="18" t="n">
        <v>1.30763042</v>
      </c>
      <c r="R39" s="20" t="n">
        <v>0.44764042</v>
      </c>
    </row>
    <row r="40" spans="1:18">
      <c r="A40" s="15" t="s">
        <v>598</v>
      </c>
      <c r="B40" s="17" t="n">
        <v>14157</v>
      </c>
      <c r="C40" s="18">
        <f>(12614.0/B40*100)</f>
        <v/>
      </c>
      <c r="D40" s="19" t="n">
        <v>1543</v>
      </c>
      <c r="E40" s="18" t="n">
        <v>48.59061448</v>
      </c>
      <c r="F40" s="20" t="n">
        <v>1.65949612</v>
      </c>
      <c r="G40" s="18" t="n">
        <v>48.93046326</v>
      </c>
      <c r="H40" s="20" t="n">
        <v>1.7436549</v>
      </c>
      <c r="I40" s="18" t="n">
        <v>0</v>
      </c>
      <c r="J40" s="20" t="n">
        <v>0</v>
      </c>
      <c r="K40" s="18" t="n">
        <v>1.84901817</v>
      </c>
      <c r="L40" s="20" t="n">
        <v>0.52575255</v>
      </c>
      <c r="M40" s="18" t="n">
        <v>0</v>
      </c>
      <c r="N40" s="20" t="n">
        <v>0</v>
      </c>
      <c r="O40" s="18" t="n">
        <v>0</v>
      </c>
      <c r="P40" s="20" t="n">
        <v>0</v>
      </c>
      <c r="Q40" s="18" t="n">
        <v>0.62990409</v>
      </c>
      <c r="R40" s="20" t="n">
        <v>0.31200839</v>
      </c>
    </row>
    <row r="41" spans="1:18">
      <c r="A41" s="15" t="s">
        <v>599</v>
      </c>
      <c r="B41" s="17" t="n">
        <v>5712</v>
      </c>
      <c r="C41" s="18">
        <f>(5112.0/B41*100)</f>
        <v/>
      </c>
      <c r="D41" s="19" t="n">
        <v>600</v>
      </c>
      <c r="E41" s="18" t="n">
        <v>48.18179727</v>
      </c>
      <c r="F41" s="20" t="n">
        <v>2.35495876</v>
      </c>
      <c r="G41" s="18" t="n">
        <v>49.75200499</v>
      </c>
      <c r="H41" s="20" t="n">
        <v>2.21677376</v>
      </c>
      <c r="I41" s="18" t="n">
        <v>0</v>
      </c>
      <c r="J41" s="20" t="n">
        <v>0</v>
      </c>
      <c r="K41" s="18" t="n">
        <v>1.88654217</v>
      </c>
      <c r="L41" s="20" t="n">
        <v>0.71331315</v>
      </c>
      <c r="M41" s="18" t="n">
        <v>0</v>
      </c>
      <c r="N41" s="20" t="n">
        <v>0</v>
      </c>
      <c r="O41" s="18" t="n">
        <v>0</v>
      </c>
      <c r="P41" s="20" t="n">
        <v>0</v>
      </c>
      <c r="Q41" s="18" t="n">
        <v>0.17965557</v>
      </c>
      <c r="R41" s="20" t="n">
        <v>0.1934317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(21459.0/B46*100)</f>
        <v/>
      </c>
      <c r="D46" s="19" t="n">
        <v>1682</v>
      </c>
      <c r="E46" s="18" t="n">
        <v>63.01764557</v>
      </c>
      <c r="F46" s="20" t="n">
        <v>1.51598461</v>
      </c>
      <c r="G46" s="18" t="n">
        <v>31.92565006</v>
      </c>
      <c r="H46" s="20" t="n">
        <v>1.41556184</v>
      </c>
      <c r="I46" s="18" t="n">
        <v>0</v>
      </c>
      <c r="J46" s="20" t="n">
        <v>0</v>
      </c>
      <c r="K46" s="18" t="n">
        <v>4.67681876</v>
      </c>
      <c r="L46" s="20" t="n">
        <v>0.71827277</v>
      </c>
      <c r="M46" s="18" t="n">
        <v>0</v>
      </c>
      <c r="N46" s="20" t="n">
        <v>0</v>
      </c>
      <c r="O46" s="18" t="n">
        <v>0</v>
      </c>
      <c r="P46" s="20" t="n">
        <v>0</v>
      </c>
      <c r="Q46" s="18" t="n">
        <v>0.37988562</v>
      </c>
      <c r="R46" s="20" t="n">
        <v>0.15388578</v>
      </c>
    </row>
    <row r="47" spans="1:18">
      <c r="A47" s="15" t="s">
        <v>606</v>
      </c>
      <c r="B47" s="17" t="n">
        <v>5928</v>
      </c>
      <c r="C47" s="18">
        <f>(5298.0/B47*100)</f>
        <v/>
      </c>
      <c r="D47" s="19" t="n">
        <v>630</v>
      </c>
      <c r="E47" s="18" t="n">
        <v>55.04912383</v>
      </c>
      <c r="F47" s="20" t="n">
        <v>2.23207023</v>
      </c>
      <c r="G47" s="18" t="n">
        <v>42.16419081</v>
      </c>
      <c r="H47" s="20" t="n">
        <v>2.23661332</v>
      </c>
      <c r="I47" s="18" t="n">
        <v>0</v>
      </c>
      <c r="J47" s="20" t="n">
        <v>0</v>
      </c>
      <c r="K47" s="18" t="n">
        <v>2.46206819</v>
      </c>
      <c r="L47" s="20" t="n">
        <v>0.64779367</v>
      </c>
      <c r="M47" s="18" t="n">
        <v>0</v>
      </c>
      <c r="N47" s="20" t="n">
        <v>0</v>
      </c>
      <c r="O47" s="18" t="n">
        <v>0</v>
      </c>
      <c r="P47" s="20" t="n">
        <v>0</v>
      </c>
      <c r="Q47" s="18" t="n">
        <v>0.32461717</v>
      </c>
      <c r="R47" s="20" t="n">
        <v>0.23335567</v>
      </c>
    </row>
    <row r="48" spans="1:18">
      <c r="A48" s="15" t="s">
        <v>607</v>
      </c>
      <c r="B48" s="17" t="n">
        <v>9841</v>
      </c>
      <c r="C48" s="18">
        <f>(8738.0/B48*100)</f>
        <v/>
      </c>
      <c r="D48" s="19" t="n">
        <v>1103</v>
      </c>
      <c r="E48" s="18" t="n">
        <v>36.51797107</v>
      </c>
      <c r="F48" s="20" t="n">
        <v>1.92092004</v>
      </c>
      <c r="G48" s="18" t="n">
        <v>62.7813386</v>
      </c>
      <c r="H48" s="20" t="n">
        <v>1.98533786</v>
      </c>
      <c r="I48" s="18" t="n">
        <v>0</v>
      </c>
      <c r="J48" s="20" t="n">
        <v>0</v>
      </c>
      <c r="K48" s="18" t="n">
        <v>0.5317362</v>
      </c>
      <c r="L48" s="20" t="n">
        <v>0.2734129</v>
      </c>
      <c r="M48" s="18" t="n">
        <v>0</v>
      </c>
      <c r="N48" s="20" t="n">
        <v>0</v>
      </c>
      <c r="O48" s="18" t="n">
        <v>0</v>
      </c>
      <c r="P48" s="20" t="n">
        <v>0</v>
      </c>
      <c r="Q48" s="18" t="n">
        <v>0.16895413</v>
      </c>
      <c r="R48" s="20" t="n">
        <v>0.12825109</v>
      </c>
    </row>
    <row r="49" spans="1:18">
      <c r="A49" s="15" t="s">
        <v>608</v>
      </c>
      <c r="B49" s="17" t="n">
        <v>11795</v>
      </c>
      <c r="C49" s="18">
        <f>(10551.0/B49*100)</f>
        <v/>
      </c>
      <c r="D49" s="19" t="n">
        <v>1244</v>
      </c>
      <c r="E49" s="18" t="n">
        <v>64.15698098999999</v>
      </c>
      <c r="F49" s="20" t="n">
        <v>2.25142029</v>
      </c>
      <c r="G49" s="18" t="n">
        <v>30.21269946</v>
      </c>
      <c r="H49" s="20" t="n">
        <v>2.08715214</v>
      </c>
      <c r="I49" s="18" t="n">
        <v>0</v>
      </c>
      <c r="J49" s="20" t="n">
        <v>0</v>
      </c>
      <c r="K49" s="18" t="n">
        <v>4.99726493</v>
      </c>
      <c r="L49" s="20" t="n">
        <v>1.03997351</v>
      </c>
      <c r="M49" s="18" t="n">
        <v>0</v>
      </c>
      <c r="N49" s="20" t="n">
        <v>0</v>
      </c>
      <c r="O49" s="18" t="n">
        <v>0</v>
      </c>
      <c r="P49" s="20" t="n">
        <v>0</v>
      </c>
      <c r="Q49" s="18" t="n">
        <v>0.63305462</v>
      </c>
      <c r="R49" s="20" t="n">
        <v>0.23959944</v>
      </c>
    </row>
    <row r="50" spans="1:18">
      <c r="A50" s="15" t="s">
        <v>609</v>
      </c>
      <c r="B50" s="17" t="n">
        <v>6866</v>
      </c>
      <c r="C50" s="18">
        <f>(6268.0/B50*100)</f>
        <v/>
      </c>
      <c r="D50" s="19" t="n">
        <v>598</v>
      </c>
      <c r="E50" s="18" t="n">
        <v>59.90657562</v>
      </c>
      <c r="F50" s="20" t="n">
        <v>2.14552728</v>
      </c>
      <c r="G50" s="18" t="n">
        <v>38.07630101</v>
      </c>
      <c r="H50" s="20" t="n">
        <v>2.12691597</v>
      </c>
      <c r="I50" s="18" t="n">
        <v>0</v>
      </c>
      <c r="J50" s="20" t="n">
        <v>0</v>
      </c>
      <c r="K50" s="18" t="n">
        <v>1.28582298</v>
      </c>
      <c r="L50" s="20" t="n">
        <v>0.42004973</v>
      </c>
      <c r="M50" s="18" t="n">
        <v>0</v>
      </c>
      <c r="N50" s="20" t="n">
        <v>0</v>
      </c>
      <c r="O50" s="18" t="n">
        <v>0</v>
      </c>
      <c r="P50" s="20" t="n">
        <v>0</v>
      </c>
      <c r="Q50" s="18" t="n">
        <v>0.73130039</v>
      </c>
      <c r="R50" s="20" t="n">
        <v>0.42816351</v>
      </c>
    </row>
    <row r="51" spans="1:18">
      <c r="A51" s="15" t="s">
        <v>610</v>
      </c>
      <c r="B51" s="17" t="n">
        <v>5809</v>
      </c>
      <c r="C51" s="18">
        <f>(5148.0/B51*100)</f>
        <v/>
      </c>
      <c r="D51" s="19" t="n">
        <v>661</v>
      </c>
      <c r="E51" s="18" t="n">
        <v>58.13608362</v>
      </c>
      <c r="F51" s="20" t="n">
        <v>2.15701247</v>
      </c>
      <c r="G51" s="18" t="n">
        <v>39.56653034</v>
      </c>
      <c r="H51" s="20" t="n">
        <v>2.14213904</v>
      </c>
      <c r="I51" s="18" t="n">
        <v>0</v>
      </c>
      <c r="J51" s="20" t="n">
        <v>0</v>
      </c>
      <c r="K51" s="18" t="n">
        <v>2.02660784</v>
      </c>
      <c r="L51" s="20" t="n">
        <v>0.54632728</v>
      </c>
      <c r="M51" s="18" t="n">
        <v>0</v>
      </c>
      <c r="N51" s="20" t="n">
        <v>0</v>
      </c>
      <c r="O51" s="18" t="n">
        <v>0</v>
      </c>
      <c r="P51" s="20" t="n">
        <v>0</v>
      </c>
      <c r="Q51" s="18" t="n">
        <v>0.2707782</v>
      </c>
      <c r="R51" s="20" t="n">
        <v>0.2008726</v>
      </c>
    </row>
    <row r="52" spans="1:18">
      <c r="A52" s="15" t="s">
        <v>611</v>
      </c>
      <c r="B52" s="17" t="n">
        <v>5571</v>
      </c>
      <c r="C52" s="18">
        <f>(4983.0/B52*100)</f>
        <v/>
      </c>
      <c r="D52" s="19" t="n">
        <v>588</v>
      </c>
      <c r="E52" s="18" t="n">
        <v>57.2563824</v>
      </c>
      <c r="F52" s="20" t="n">
        <v>2.44400061</v>
      </c>
      <c r="G52" s="18" t="n">
        <v>39.89944674</v>
      </c>
      <c r="H52" s="20" t="n">
        <v>2.34551339</v>
      </c>
      <c r="I52" s="18" t="n">
        <v>0</v>
      </c>
      <c r="J52" s="20" t="n">
        <v>0</v>
      </c>
      <c r="K52" s="18" t="n">
        <v>2.72222023</v>
      </c>
      <c r="L52" s="20" t="n">
        <v>0.59467057</v>
      </c>
      <c r="M52" s="18" t="n">
        <v>0</v>
      </c>
      <c r="N52" s="20" t="n">
        <v>0</v>
      </c>
      <c r="O52" s="18" t="n">
        <v>0</v>
      </c>
      <c r="P52" s="20" t="n">
        <v>0</v>
      </c>
      <c r="Q52" s="18" t="n">
        <v>0.12195063</v>
      </c>
      <c r="R52" s="20" t="n">
        <v>0.12146988</v>
      </c>
    </row>
    <row r="53" spans="1:18">
      <c r="A53" s="15" t="s">
        <v>612</v>
      </c>
      <c r="B53" s="17" t="n">
        <v>4740</v>
      </c>
      <c r="C53" s="18">
        <f>(4254.0/B53*100)</f>
        <v/>
      </c>
      <c r="D53" s="19" t="n">
        <v>486</v>
      </c>
      <c r="E53" s="18" t="n">
        <v>53.30759331</v>
      </c>
      <c r="F53" s="20" t="n">
        <v>2.4617005</v>
      </c>
      <c r="G53" s="18" t="n">
        <v>16.76453518</v>
      </c>
      <c r="H53" s="20" t="n">
        <v>1.99016987</v>
      </c>
      <c r="I53" s="18" t="n">
        <v>0</v>
      </c>
      <c r="J53" s="20" t="n">
        <v>0</v>
      </c>
      <c r="K53" s="18" t="n">
        <v>28.60610681</v>
      </c>
      <c r="L53" s="20" t="n">
        <v>2.21034697</v>
      </c>
      <c r="M53" s="18" t="n">
        <v>0</v>
      </c>
      <c r="N53" s="20" t="n">
        <v>0</v>
      </c>
      <c r="O53" s="18" t="n">
        <v>0</v>
      </c>
      <c r="P53" s="20" t="n">
        <v>0</v>
      </c>
      <c r="Q53" s="18" t="n">
        <v>1.3217647</v>
      </c>
      <c r="R53" s="20" t="n">
        <v>0.64617734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(4762.0/B55*100)</f>
        <v/>
      </c>
      <c r="D55" s="19" t="n">
        <v>597</v>
      </c>
      <c r="E55" s="18" t="n">
        <v>36.39680509</v>
      </c>
      <c r="F55" s="20" t="n">
        <v>2.321911</v>
      </c>
      <c r="G55" s="18" t="n">
        <v>62.48122575</v>
      </c>
      <c r="H55" s="20" t="n">
        <v>2.34016123</v>
      </c>
      <c r="I55" s="18" t="n">
        <v>0</v>
      </c>
      <c r="J55" s="20" t="n">
        <v>0</v>
      </c>
      <c r="K55" s="18" t="n">
        <v>1.12196917</v>
      </c>
      <c r="L55" s="20" t="n">
        <v>0.33597951</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(5785.0/B61*100)</f>
        <v/>
      </c>
      <c r="D61" s="19" t="n">
        <v>740</v>
      </c>
      <c r="E61" s="18" t="n">
        <v>60.53308052</v>
      </c>
      <c r="F61" s="20" t="n">
        <v>1.9302762</v>
      </c>
      <c r="G61" s="18" t="n">
        <v>38.32942303</v>
      </c>
      <c r="H61" s="20" t="n">
        <v>1.87045318</v>
      </c>
      <c r="I61" s="18" t="n">
        <v>0</v>
      </c>
      <c r="J61" s="20" t="n">
        <v>0</v>
      </c>
      <c r="K61" s="18" t="n">
        <v>1.13749645</v>
      </c>
      <c r="L61" s="20" t="n">
        <v>0.5651436</v>
      </c>
      <c r="M61" s="18" t="n">
        <v>0</v>
      </c>
      <c r="N61" s="20" t="n">
        <v>0</v>
      </c>
      <c r="O61" s="18" t="n">
        <v>0</v>
      </c>
      <c r="P61" s="20" t="n">
        <v>0</v>
      </c>
      <c r="Q61" s="18" t="n">
        <v>0</v>
      </c>
      <c r="R61" s="20" t="n">
        <v>0</v>
      </c>
    </row>
    <row r="62" spans="1:18">
      <c r="A62" s="15" t="s">
        <v>622</v>
      </c>
      <c r="B62" s="17" t="n">
        <v>4476</v>
      </c>
      <c r="C62" s="18">
        <f>(4012.0/B62*100)</f>
        <v/>
      </c>
      <c r="D62" s="19" t="n">
        <v>464</v>
      </c>
      <c r="E62" s="18" t="n">
        <v>42.92857203</v>
      </c>
      <c r="F62" s="20" t="n">
        <v>2.11884659</v>
      </c>
      <c r="G62" s="18" t="n">
        <v>56.63799532</v>
      </c>
      <c r="H62" s="20" t="n">
        <v>2.16043917</v>
      </c>
      <c r="I62" s="18" t="n">
        <v>0</v>
      </c>
      <c r="J62" s="20" t="n">
        <v>0</v>
      </c>
      <c r="K62" s="18" t="n">
        <v>0.21926598</v>
      </c>
      <c r="L62" s="20" t="n">
        <v>0.21978248</v>
      </c>
      <c r="M62" s="18" t="n">
        <v>0</v>
      </c>
      <c r="N62" s="20" t="n">
        <v>0</v>
      </c>
      <c r="O62" s="18" t="n">
        <v>0</v>
      </c>
      <c r="P62" s="20" t="n">
        <v>0</v>
      </c>
      <c r="Q62" s="18" t="n">
        <v>0.21416667</v>
      </c>
      <c r="R62" s="20" t="n">
        <v>0.21520003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(5073.0/B67*100)</f>
        <v/>
      </c>
      <c r="D67" s="19" t="n">
        <v>592</v>
      </c>
      <c r="E67" s="18" t="n">
        <v>58.63044018</v>
      </c>
      <c r="F67" s="20" t="n">
        <v>2.03587756</v>
      </c>
      <c r="G67" s="18" t="n">
        <v>32.75566791</v>
      </c>
      <c r="H67" s="20" t="n">
        <v>1.93788006</v>
      </c>
      <c r="I67" s="18" t="n">
        <v>0</v>
      </c>
      <c r="J67" s="20" t="n">
        <v>0</v>
      </c>
      <c r="K67" s="18" t="n">
        <v>6.80865941</v>
      </c>
      <c r="L67" s="20" t="n">
        <v>1.1262543</v>
      </c>
      <c r="M67" s="18" t="n">
        <v>0</v>
      </c>
      <c r="N67" s="20" t="n">
        <v>0</v>
      </c>
      <c r="O67" s="18" t="n">
        <v>0</v>
      </c>
      <c r="P67" s="20" t="n">
        <v>0</v>
      </c>
      <c r="Q67" s="18" t="n">
        <v>1.8052325</v>
      </c>
      <c r="R67" s="20" t="n">
        <v>0.66646245</v>
      </c>
    </row>
    <row r="68" spans="1:18">
      <c r="A68" s="15" t="s">
        <v>628</v>
      </c>
      <c r="B68" s="17" t="n">
        <v>6971</v>
      </c>
      <c r="C68" s="18">
        <f>(6388.0/B68*100)</f>
        <v/>
      </c>
      <c r="D68" s="19" t="n">
        <v>583</v>
      </c>
      <c r="E68" s="18" t="n">
        <v>68.24521061999999</v>
      </c>
      <c r="F68" s="20" t="n">
        <v>1.90314943</v>
      </c>
      <c r="G68" s="18" t="n">
        <v>29.8551652</v>
      </c>
      <c r="H68" s="20" t="n">
        <v>1.94236627</v>
      </c>
      <c r="I68" s="18" t="n">
        <v>0</v>
      </c>
      <c r="J68" s="20" t="n">
        <v>0</v>
      </c>
      <c r="K68" s="18" t="n">
        <v>1.58288044</v>
      </c>
      <c r="L68" s="20" t="n">
        <v>0.55199233</v>
      </c>
      <c r="M68" s="18" t="n">
        <v>0</v>
      </c>
      <c r="N68" s="20" t="n">
        <v>0</v>
      </c>
      <c r="O68" s="18" t="n">
        <v>0</v>
      </c>
      <c r="P68" s="20" t="n">
        <v>0</v>
      </c>
      <c r="Q68" s="18" t="n">
        <v>0.31674374</v>
      </c>
      <c r="R68" s="20" t="n">
        <v>0.22489611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(10792.0/B70*100)</f>
        <v/>
      </c>
      <c r="D70" s="19" t="n">
        <v>1291</v>
      </c>
      <c r="E70" s="18" t="n">
        <v>56.18717219</v>
      </c>
      <c r="F70" s="20" t="n">
        <v>1.52179158</v>
      </c>
      <c r="G70" s="18" t="n">
        <v>35.98304041</v>
      </c>
      <c r="H70" s="20" t="n">
        <v>1.58494595</v>
      </c>
      <c r="I70" s="18" t="n">
        <v>0</v>
      </c>
      <c r="J70" s="20" t="n">
        <v>0</v>
      </c>
      <c r="K70" s="18" t="n">
        <v>6.64399189</v>
      </c>
      <c r="L70" s="20" t="n">
        <v>0.76092432</v>
      </c>
      <c r="M70" s="18" t="n">
        <v>0</v>
      </c>
      <c r="N70" s="20" t="n">
        <v>0</v>
      </c>
      <c r="O70" s="18" t="n">
        <v>0</v>
      </c>
      <c r="P70" s="20" t="n">
        <v>0</v>
      </c>
      <c r="Q70" s="18" t="n">
        <v>1.18579552</v>
      </c>
      <c r="R70" s="20" t="n">
        <v>0.31967991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(5383.0/B72*100)</f>
        <v/>
      </c>
      <c r="D72" s="19" t="n">
        <v>653</v>
      </c>
      <c r="E72" s="18" t="n">
        <v>56.92631091</v>
      </c>
      <c r="F72" s="20" t="n">
        <v>2.53445104</v>
      </c>
      <c r="G72" s="18" t="n">
        <v>41.04565056</v>
      </c>
      <c r="H72" s="20" t="n">
        <v>2.58108398</v>
      </c>
      <c r="I72" s="18" t="n">
        <v>0</v>
      </c>
      <c r="J72" s="20" t="n">
        <v>0</v>
      </c>
      <c r="K72" s="18" t="n">
        <v>1.72781415</v>
      </c>
      <c r="L72" s="20" t="n">
        <v>0.52853734</v>
      </c>
      <c r="M72" s="18" t="n">
        <v>0</v>
      </c>
      <c r="N72" s="20" t="n">
        <v>0</v>
      </c>
      <c r="O72" s="18" t="n">
        <v>0</v>
      </c>
      <c r="P72" s="20" t="n">
        <v>0</v>
      </c>
      <c r="Q72" s="18" t="n">
        <v>0.30022439</v>
      </c>
      <c r="R72" s="20" t="n">
        <v>0.21170184</v>
      </c>
    </row>
    <row r="73" spans="1:18">
      <c r="A73" s="15" t="s">
        <v>633</v>
      </c>
      <c r="B73" s="17" t="n">
        <v>6115</v>
      </c>
      <c r="C73" s="18">
        <f>(5466.0/B73*100)</f>
        <v/>
      </c>
      <c r="D73" s="19" t="n">
        <v>649</v>
      </c>
      <c r="E73" s="18" t="n">
        <v>32.05296159</v>
      </c>
      <c r="F73" s="20" t="n">
        <v>2.00072412</v>
      </c>
      <c r="G73" s="18" t="n">
        <v>66.8019183</v>
      </c>
      <c r="H73" s="20" t="n">
        <v>2.03571366</v>
      </c>
      <c r="I73" s="18" t="n">
        <v>0</v>
      </c>
      <c r="J73" s="20" t="n">
        <v>0</v>
      </c>
      <c r="K73" s="18" t="n">
        <v>1.14512011</v>
      </c>
      <c r="L73" s="20" t="n">
        <v>0.43488054</v>
      </c>
      <c r="M73" s="18" t="n">
        <v>0</v>
      </c>
      <c r="N73" s="20" t="n">
        <v>0</v>
      </c>
      <c r="O73" s="18" t="n">
        <v>0</v>
      </c>
      <c r="P73" s="20" t="n">
        <v>0</v>
      </c>
      <c r="Q73" s="18" t="n">
        <v>0</v>
      </c>
      <c r="R73" s="20" t="n">
        <v>0</v>
      </c>
    </row>
    <row r="74" spans="1:18">
      <c r="A74" s="15" t="s">
        <v>634</v>
      </c>
      <c r="B74" s="17" t="n">
        <v>7708</v>
      </c>
      <c r="C74" s="18">
        <f>(6888.0/B74*100)</f>
        <v/>
      </c>
      <c r="D74" s="19" t="n">
        <v>820</v>
      </c>
      <c r="E74" s="18" t="n">
        <v>35.91013891</v>
      </c>
      <c r="F74" s="20" t="n">
        <v>1.65021967</v>
      </c>
      <c r="G74" s="18" t="n">
        <v>63.08780229</v>
      </c>
      <c r="H74" s="20" t="n">
        <v>1.70678331</v>
      </c>
      <c r="I74" s="18" t="n">
        <v>0</v>
      </c>
      <c r="J74" s="20" t="n">
        <v>0</v>
      </c>
      <c r="K74" s="18" t="n">
        <v>0.5924473</v>
      </c>
      <c r="L74" s="20" t="n">
        <v>0.26079395</v>
      </c>
      <c r="M74" s="18" t="n">
        <v>0</v>
      </c>
      <c r="N74" s="20" t="n">
        <v>0</v>
      </c>
      <c r="O74" s="18" t="n">
        <v>0</v>
      </c>
      <c r="P74" s="20" t="n">
        <v>0</v>
      </c>
      <c r="Q74" s="18" t="n">
        <v>0.40961149</v>
      </c>
      <c r="R74" s="20" t="n">
        <v>0.21090964</v>
      </c>
    </row>
    <row r="75" spans="1:18">
      <c r="A75" s="15" t="s">
        <v>635</v>
      </c>
      <c r="B75" s="17" t="n">
        <v>8249</v>
      </c>
      <c r="C75" s="18">
        <f>(7414.0/B75*100)</f>
        <v/>
      </c>
      <c r="D75" s="19" t="n">
        <v>835</v>
      </c>
      <c r="E75" s="18" t="n">
        <v>62.19615302</v>
      </c>
      <c r="F75" s="20" t="n">
        <v>2.20076336</v>
      </c>
      <c r="G75" s="18" t="n">
        <v>36.67575126</v>
      </c>
      <c r="H75" s="20" t="n">
        <v>2.14169084</v>
      </c>
      <c r="I75" s="18" t="n">
        <v>0</v>
      </c>
      <c r="J75" s="20" t="n">
        <v>0</v>
      </c>
      <c r="K75" s="18" t="n">
        <v>0.8711458</v>
      </c>
      <c r="L75" s="20" t="n">
        <v>0.37213084</v>
      </c>
      <c r="M75" s="18" t="n">
        <v>0</v>
      </c>
      <c r="N75" s="20" t="n">
        <v>0</v>
      </c>
      <c r="O75" s="18" t="n">
        <v>0</v>
      </c>
      <c r="P75" s="20" t="n">
        <v>0</v>
      </c>
      <c r="Q75" s="18" t="n">
        <v>0.25694992</v>
      </c>
      <c r="R75" s="20" t="n">
        <v>0.21303188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(4859.0/B77*100)</f>
        <v/>
      </c>
      <c r="D77" s="19" t="n">
        <v>516</v>
      </c>
      <c r="E77" s="18" t="n">
        <v>59.79544093</v>
      </c>
      <c r="F77" s="20" t="n">
        <v>2.30118224</v>
      </c>
      <c r="G77" s="18" t="n">
        <v>25.29215422</v>
      </c>
      <c r="H77" s="20" t="n">
        <v>1.93868691</v>
      </c>
      <c r="I77" s="18" t="n">
        <v>0</v>
      </c>
      <c r="J77" s="20" t="n">
        <v>0</v>
      </c>
      <c r="K77" s="18" t="n">
        <v>11.45270255</v>
      </c>
      <c r="L77" s="20" t="n">
        <v>1.50452377</v>
      </c>
      <c r="M77" s="18" t="n">
        <v>0</v>
      </c>
      <c r="N77" s="20" t="n">
        <v>0</v>
      </c>
      <c r="O77" s="18" t="n">
        <v>0</v>
      </c>
      <c r="P77" s="20" t="n">
        <v>0</v>
      </c>
      <c r="Q77" s="18" t="n">
        <v>3.4597023</v>
      </c>
      <c r="R77" s="20" t="n">
        <v>0.92843838</v>
      </c>
    </row>
    <row r="78" spans="1:18">
      <c r="A78" s="15" t="s">
        <v>638</v>
      </c>
      <c r="B78" s="17" t="n">
        <v>14167</v>
      </c>
      <c r="C78" s="18">
        <f>(12638.0/B78*100)</f>
        <v/>
      </c>
      <c r="D78" s="19" t="n">
        <v>1529</v>
      </c>
      <c r="E78" s="18" t="n">
        <v>58.82779406</v>
      </c>
      <c r="F78" s="20" t="n">
        <v>1.51391683</v>
      </c>
      <c r="G78" s="18" t="n">
        <v>37.37633802</v>
      </c>
      <c r="H78" s="20" t="n">
        <v>1.43184501</v>
      </c>
      <c r="I78" s="18" t="n">
        <v>0</v>
      </c>
      <c r="J78" s="20" t="n">
        <v>0</v>
      </c>
      <c r="K78" s="18" t="n">
        <v>2.43959851</v>
      </c>
      <c r="L78" s="20" t="n">
        <v>0.5743494</v>
      </c>
      <c r="M78" s="18" t="n">
        <v>0</v>
      </c>
      <c r="N78" s="20" t="n">
        <v>0</v>
      </c>
      <c r="O78" s="18" t="n">
        <v>0</v>
      </c>
      <c r="P78" s="20" t="n">
        <v>0</v>
      </c>
      <c r="Q78" s="18" t="n">
        <v>1.35626941</v>
      </c>
      <c r="R78" s="20" t="n">
        <v>0.39372981</v>
      </c>
    </row>
    <row r="79" spans="1:18">
      <c r="A79" s="15" t="s">
        <v>639</v>
      </c>
      <c r="B79" s="17" t="n">
        <v>6062</v>
      </c>
      <c r="C79" s="18">
        <f>(5475.0/B79*100)</f>
        <v/>
      </c>
      <c r="D79" s="19" t="n">
        <v>587</v>
      </c>
      <c r="E79" s="18" t="n">
        <v>60.58192082</v>
      </c>
      <c r="F79" s="20" t="n">
        <v>2.17832821</v>
      </c>
      <c r="G79" s="18" t="n">
        <v>31.15385547</v>
      </c>
      <c r="H79" s="20" t="n">
        <v>2.04958366</v>
      </c>
      <c r="I79" s="18" t="n">
        <v>0</v>
      </c>
      <c r="J79" s="20" t="n">
        <v>0</v>
      </c>
      <c r="K79" s="18" t="n">
        <v>6.9899413</v>
      </c>
      <c r="L79" s="20" t="n">
        <v>1.15841029</v>
      </c>
      <c r="M79" s="18" t="n">
        <v>0</v>
      </c>
      <c r="N79" s="20" t="n">
        <v>0</v>
      </c>
      <c r="O79" s="18" t="n">
        <v>0</v>
      </c>
      <c r="P79" s="20" t="n">
        <v>0</v>
      </c>
      <c r="Q79" s="18" t="n">
        <v>1.27428241</v>
      </c>
      <c r="R79" s="20" t="n">
        <v>0.54525146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(28965.0/B82*100)</f>
        <v/>
      </c>
      <c r="D82" s="19" t="n">
        <v>3365</v>
      </c>
      <c r="E82" s="18" t="n">
        <v>52.70192443</v>
      </c>
      <c r="F82" s="20" t="n">
        <v>1.29358364</v>
      </c>
      <c r="G82" s="18" t="n">
        <v>44.07875889</v>
      </c>
      <c r="H82" s="20" t="n">
        <v>1.28095497</v>
      </c>
      <c r="I82" s="18" t="n">
        <v>0</v>
      </c>
      <c r="J82" s="20" t="n">
        <v>0</v>
      </c>
      <c r="K82" s="18" t="n">
        <v>2.73465028</v>
      </c>
      <c r="L82" s="20" t="n">
        <v>0.46650021</v>
      </c>
      <c r="M82" s="18" t="n">
        <v>0</v>
      </c>
      <c r="N82" s="20" t="n">
        <v>0</v>
      </c>
      <c r="O82" s="18" t="n">
        <v>0</v>
      </c>
      <c r="P82" s="20" t="n">
        <v>0</v>
      </c>
      <c r="Q82" s="18" t="n">
        <v>0.48466641</v>
      </c>
      <c r="R82" s="20" t="n">
        <v>0.16578997</v>
      </c>
    </row>
    <row r="83" spans="1:18">
      <c r="A83" s="15" t="s">
        <v>643</v>
      </c>
      <c r="B83" s="17" t="n">
        <v>1652</v>
      </c>
      <c r="C83" s="18">
        <f>(1477.0/B83*100)</f>
        <v/>
      </c>
      <c r="D83" s="19" t="n">
        <v>175</v>
      </c>
      <c r="E83" s="18" t="n">
        <v>37.05757582</v>
      </c>
      <c r="F83" s="20" t="n">
        <v>4.87741603</v>
      </c>
      <c r="G83" s="18" t="n">
        <v>61.62622774</v>
      </c>
      <c r="H83" s="20" t="n">
        <v>4.42264095</v>
      </c>
      <c r="I83" s="18" t="n">
        <v>0</v>
      </c>
      <c r="J83" s="20" t="n">
        <v>0</v>
      </c>
      <c r="K83" s="18" t="n">
        <v>0.67060135</v>
      </c>
      <c r="L83" s="20" t="n">
        <v>0.62540918</v>
      </c>
      <c r="M83" s="18" t="n">
        <v>0</v>
      </c>
      <c r="N83" s="20" t="n">
        <v>0</v>
      </c>
      <c r="O83" s="18" t="n">
        <v>0</v>
      </c>
      <c r="P83" s="20" t="n">
        <v>0</v>
      </c>
      <c r="Q83" s="18" t="n">
        <v>0.64559508</v>
      </c>
      <c r="R83" s="20" t="n">
        <v>0.65146146</v>
      </c>
    </row>
    <row r="84" spans="1:18">
      <c r="A84" s="23" t="s">
        <v>644</v>
      </c>
      <c r="B84" s="24" t="n">
        <v>1887</v>
      </c>
      <c r="C84" s="25">
        <f>(1685.0/B84*100)</f>
        <v/>
      </c>
      <c r="D84" s="19" t="n">
        <v>202</v>
      </c>
      <c r="E84" s="18" t="n">
        <v>47.83939212</v>
      </c>
      <c r="F84" s="20" t="n">
        <v>3.58599908</v>
      </c>
      <c r="G84" s="18" t="n">
        <v>51.49026344</v>
      </c>
      <c r="H84" s="20" t="n">
        <v>3.50457766</v>
      </c>
      <c r="I84" s="18" t="n">
        <v>0</v>
      </c>
      <c r="J84" s="20" t="n">
        <v>0</v>
      </c>
      <c r="K84" s="18" t="n">
        <v>0.67034445</v>
      </c>
      <c r="L84" s="20" t="n">
        <v>0.65305245</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(13059.0/B7*100)</f>
        <v/>
      </c>
      <c r="D7" s="19" t="n">
        <v>1471</v>
      </c>
      <c r="E7" s="18" t="n">
        <v>68.51381569</v>
      </c>
      <c r="F7" s="20" t="n">
        <v>1.42683898</v>
      </c>
      <c r="G7" s="18" t="n">
        <v>18.98073968</v>
      </c>
      <c r="H7" s="20" t="n">
        <v>1.17931541</v>
      </c>
      <c r="I7" s="18" t="n">
        <v>0</v>
      </c>
      <c r="J7" s="20" t="n">
        <v>0</v>
      </c>
      <c r="K7" s="18" t="n">
        <v>12.46924556</v>
      </c>
      <c r="L7" s="20" t="n">
        <v>1.05942444</v>
      </c>
      <c r="M7" s="18" t="n">
        <v>0.03619907</v>
      </c>
      <c r="N7" s="20" t="n">
        <v>0.01771053</v>
      </c>
      <c r="O7" s="18" t="n">
        <v>0</v>
      </c>
      <c r="P7" s="20" t="n">
        <v>0</v>
      </c>
      <c r="Q7" s="18" t="n">
        <v>0</v>
      </c>
      <c r="R7" s="20" t="n">
        <v>0</v>
      </c>
    </row>
    <row r="8" spans="1:18">
      <c r="A8" s="15" t="s">
        <v>566</v>
      </c>
      <c r="B8" s="17" t="n">
        <v>7007</v>
      </c>
      <c r="C8" s="18">
        <f>(6251.0/B8*100)</f>
        <v/>
      </c>
      <c r="D8" s="19" t="n">
        <v>756</v>
      </c>
      <c r="E8" s="18" t="n">
        <v>44.90922036</v>
      </c>
      <c r="F8" s="20" t="n">
        <v>2.18364862</v>
      </c>
      <c r="G8" s="18" t="n">
        <v>36.67522264</v>
      </c>
      <c r="H8" s="20" t="n">
        <v>2.15105027</v>
      </c>
      <c r="I8" s="18" t="n">
        <v>0</v>
      </c>
      <c r="J8" s="20" t="n">
        <v>0</v>
      </c>
      <c r="K8" s="18" t="n">
        <v>18.415557</v>
      </c>
      <c r="L8" s="20" t="n">
        <v>1.71812938</v>
      </c>
      <c r="M8" s="18" t="n">
        <v>0</v>
      </c>
      <c r="N8" s="20" t="n">
        <v>0</v>
      </c>
      <c r="O8" s="18" t="n">
        <v>0</v>
      </c>
      <c r="P8" s="20" t="n">
        <v>0</v>
      </c>
      <c r="Q8" s="18" t="n">
        <v>0</v>
      </c>
      <c r="R8" s="20" t="n">
        <v>0</v>
      </c>
    </row>
    <row r="9" spans="1:18">
      <c r="A9" s="15" t="s">
        <v>567</v>
      </c>
      <c r="B9" s="17" t="n">
        <v>9651</v>
      </c>
      <c r="C9" s="18">
        <f>(8700.0/B9*100)</f>
        <v/>
      </c>
      <c r="D9" s="19" t="n">
        <v>951</v>
      </c>
      <c r="E9" s="18" t="n">
        <v>56.91714744</v>
      </c>
      <c r="F9" s="20" t="n">
        <v>1.36560865</v>
      </c>
      <c r="G9" s="18" t="n">
        <v>31.24991194</v>
      </c>
      <c r="H9" s="20" t="n">
        <v>1.52794435</v>
      </c>
      <c r="I9" s="18" t="n">
        <v>0</v>
      </c>
      <c r="J9" s="20" t="n">
        <v>0</v>
      </c>
      <c r="K9" s="18" t="n">
        <v>11.47146221</v>
      </c>
      <c r="L9" s="20" t="n">
        <v>1.03777767</v>
      </c>
      <c r="M9" s="18" t="n">
        <v>0.36147841</v>
      </c>
      <c r="N9" s="20" t="n">
        <v>0.21985679</v>
      </c>
      <c r="O9" s="18" t="n">
        <v>0</v>
      </c>
      <c r="P9" s="20" t="n">
        <v>0</v>
      </c>
      <c r="Q9" s="18" t="n">
        <v>0</v>
      </c>
      <c r="R9" s="20" t="n">
        <v>0</v>
      </c>
    </row>
    <row r="10" spans="1:18">
      <c r="A10" s="15" t="s">
        <v>568</v>
      </c>
      <c r="B10" s="17" t="n">
        <v>20058</v>
      </c>
      <c r="C10" s="18">
        <f>(17817.0/B10*100)</f>
        <v/>
      </c>
      <c r="D10" s="19" t="n">
        <v>2241</v>
      </c>
      <c r="E10" s="18" t="n">
        <v>60.72903308</v>
      </c>
      <c r="F10" s="20" t="n">
        <v>1.16893091</v>
      </c>
      <c r="G10" s="18" t="n">
        <v>32.93358444</v>
      </c>
      <c r="H10" s="20" t="n">
        <v>1.39413454</v>
      </c>
      <c r="I10" s="18" t="n">
        <v>0</v>
      </c>
      <c r="J10" s="20" t="n">
        <v>0</v>
      </c>
      <c r="K10" s="18" t="n">
        <v>6.32388721</v>
      </c>
      <c r="L10" s="20" t="n">
        <v>0.76026114</v>
      </c>
      <c r="M10" s="18" t="n">
        <v>0.01349527</v>
      </c>
      <c r="N10" s="20" t="n">
        <v>0.012483</v>
      </c>
      <c r="O10" s="18" t="n">
        <v>0</v>
      </c>
      <c r="P10" s="20" t="n">
        <v>0</v>
      </c>
      <c r="Q10" s="18" t="n">
        <v>0</v>
      </c>
      <c r="R10" s="20" t="n">
        <v>0</v>
      </c>
    </row>
    <row r="11" spans="1:18">
      <c r="A11" s="15" t="s">
        <v>569</v>
      </c>
      <c r="B11" s="17" t="n">
        <v>7053</v>
      </c>
      <c r="C11" s="18">
        <f>(6360.0/B11*100)</f>
        <v/>
      </c>
      <c r="D11" s="19" t="n">
        <v>693</v>
      </c>
      <c r="E11" s="18" t="n">
        <v>63.09724948</v>
      </c>
      <c r="F11" s="20" t="n">
        <v>2.13623228</v>
      </c>
      <c r="G11" s="18" t="n">
        <v>17.69286752</v>
      </c>
      <c r="H11" s="20" t="n">
        <v>1.49842437</v>
      </c>
      <c r="I11" s="18" t="n">
        <v>0</v>
      </c>
      <c r="J11" s="20" t="n">
        <v>0</v>
      </c>
      <c r="K11" s="18" t="n">
        <v>19.209883</v>
      </c>
      <c r="L11" s="20" t="n">
        <v>1.84120857</v>
      </c>
      <c r="M11" s="18" t="n">
        <v>0</v>
      </c>
      <c r="N11" s="20" t="n">
        <v>0</v>
      </c>
      <c r="O11" s="18" t="n">
        <v>0</v>
      </c>
      <c r="P11" s="20" t="n">
        <v>0</v>
      </c>
      <c r="Q11" s="18" t="n">
        <v>0</v>
      </c>
      <c r="R11" s="20" t="n">
        <v>0</v>
      </c>
    </row>
    <row r="12" spans="1:18">
      <c r="A12" s="15" t="s">
        <v>570</v>
      </c>
      <c r="B12" s="17" t="n">
        <v>6894</v>
      </c>
      <c r="C12" s="18">
        <f>(6151.0/B12*100)</f>
        <v/>
      </c>
      <c r="D12" s="19" t="n">
        <v>743</v>
      </c>
      <c r="E12" s="18" t="n">
        <v>58.29529125</v>
      </c>
      <c r="F12" s="20" t="n">
        <v>2.28582444</v>
      </c>
      <c r="G12" s="18" t="n">
        <v>21.01691677</v>
      </c>
      <c r="H12" s="20" t="n">
        <v>1.93729186</v>
      </c>
      <c r="I12" s="18" t="n">
        <v>0</v>
      </c>
      <c r="J12" s="20" t="n">
        <v>0</v>
      </c>
      <c r="K12" s="18" t="n">
        <v>20.68779199</v>
      </c>
      <c r="L12" s="20" t="n">
        <v>1.57639439</v>
      </c>
      <c r="M12" s="18" t="n">
        <v>0</v>
      </c>
      <c r="N12" s="20" t="n">
        <v>0</v>
      </c>
      <c r="O12" s="18" t="n">
        <v>0</v>
      </c>
      <c r="P12" s="20" t="n">
        <v>0</v>
      </c>
      <c r="Q12" s="18" t="n">
        <v>0</v>
      </c>
      <c r="R12" s="20" t="n">
        <v>0</v>
      </c>
    </row>
    <row r="13" spans="1:18">
      <c r="A13" s="15" t="s">
        <v>571</v>
      </c>
      <c r="B13" s="17" t="n">
        <v>7161</v>
      </c>
      <c r="C13" s="18">
        <f>(6407.0/B13*100)</f>
        <v/>
      </c>
      <c r="D13" s="19" t="n">
        <v>754</v>
      </c>
      <c r="E13" s="18" t="n">
        <v>68.43953748</v>
      </c>
      <c r="F13" s="20" t="n">
        <v>2.09432165</v>
      </c>
      <c r="G13" s="18" t="n">
        <v>19.18182362</v>
      </c>
      <c r="H13" s="20" t="n">
        <v>1.59097108</v>
      </c>
      <c r="I13" s="18" t="n">
        <v>0</v>
      </c>
      <c r="J13" s="20" t="n">
        <v>0</v>
      </c>
      <c r="K13" s="18" t="n">
        <v>12.3786389</v>
      </c>
      <c r="L13" s="20" t="n">
        <v>1.42233171</v>
      </c>
      <c r="M13" s="18" t="n">
        <v>0</v>
      </c>
      <c r="N13" s="20" t="n">
        <v>0</v>
      </c>
      <c r="O13" s="18" t="n">
        <v>0</v>
      </c>
      <c r="P13" s="20" t="n">
        <v>0</v>
      </c>
      <c r="Q13" s="18" t="n">
        <v>0</v>
      </c>
      <c r="R13" s="20" t="n">
        <v>0</v>
      </c>
    </row>
    <row r="14" spans="1:18">
      <c r="A14" s="15" t="s">
        <v>572</v>
      </c>
      <c r="B14" s="17" t="n">
        <v>5587</v>
      </c>
      <c r="C14" s="18">
        <f>(4974.0/B14*100)</f>
        <v/>
      </c>
      <c r="D14" s="19" t="n">
        <v>613</v>
      </c>
      <c r="E14" s="18" t="n">
        <v>57.65647337</v>
      </c>
      <c r="F14" s="20" t="n">
        <v>2.31831606</v>
      </c>
      <c r="G14" s="18" t="n">
        <v>36.7201292</v>
      </c>
      <c r="H14" s="20" t="n">
        <v>2.22152302</v>
      </c>
      <c r="I14" s="18" t="n">
        <v>0</v>
      </c>
      <c r="J14" s="20" t="n">
        <v>0</v>
      </c>
      <c r="K14" s="18" t="n">
        <v>5.62339743</v>
      </c>
      <c r="L14" s="20" t="n">
        <v>0.9592843</v>
      </c>
      <c r="M14" s="18" t="n">
        <v>0</v>
      </c>
      <c r="N14" s="20" t="n">
        <v>0</v>
      </c>
      <c r="O14" s="18" t="n">
        <v>0</v>
      </c>
      <c r="P14" s="20" t="n">
        <v>0</v>
      </c>
      <c r="Q14" s="18" t="n">
        <v>0</v>
      </c>
      <c r="R14" s="20" t="n">
        <v>0</v>
      </c>
    </row>
    <row r="15" spans="1:18">
      <c r="A15" s="15" t="s">
        <v>573</v>
      </c>
      <c r="B15" s="17" t="n">
        <v>5882</v>
      </c>
      <c r="C15" s="18">
        <f>(5294.0/B15*100)</f>
        <v/>
      </c>
      <c r="D15" s="19" t="n">
        <v>588</v>
      </c>
      <c r="E15" s="18" t="n">
        <v>49.4717795</v>
      </c>
      <c r="F15" s="20" t="n">
        <v>1.93545995</v>
      </c>
      <c r="G15" s="18" t="n">
        <v>43.71086234</v>
      </c>
      <c r="H15" s="20" t="n">
        <v>1.92380756</v>
      </c>
      <c r="I15" s="18" t="n">
        <v>0</v>
      </c>
      <c r="J15" s="20" t="n">
        <v>0</v>
      </c>
      <c r="K15" s="18" t="n">
        <v>6.81735816</v>
      </c>
      <c r="L15" s="20" t="n">
        <v>1.1314969</v>
      </c>
      <c r="M15" s="18" t="n">
        <v>0</v>
      </c>
      <c r="N15" s="20" t="n">
        <v>0</v>
      </c>
      <c r="O15" s="18" t="n">
        <v>0</v>
      </c>
      <c r="P15" s="20" t="n">
        <v>0</v>
      </c>
      <c r="Q15" s="18" t="n">
        <v>0</v>
      </c>
      <c r="R15" s="20" t="n">
        <v>0</v>
      </c>
    </row>
    <row r="16" spans="1:18">
      <c r="A16" s="15" t="s">
        <v>574</v>
      </c>
      <c r="B16" s="17" t="n">
        <v>6108</v>
      </c>
      <c r="C16" s="18">
        <f>(5487.0/B16*100)</f>
        <v/>
      </c>
      <c r="D16" s="19" t="n">
        <v>621</v>
      </c>
      <c r="E16" s="18" t="n">
        <v>52.37667288</v>
      </c>
      <c r="F16" s="20" t="n">
        <v>2.12577405</v>
      </c>
      <c r="G16" s="18" t="n">
        <v>28.33177837</v>
      </c>
      <c r="H16" s="20" t="n">
        <v>1.68771835</v>
      </c>
      <c r="I16" s="18" t="n">
        <v>0</v>
      </c>
      <c r="J16" s="20" t="n">
        <v>0</v>
      </c>
      <c r="K16" s="18" t="n">
        <v>19.29154875</v>
      </c>
      <c r="L16" s="20" t="n">
        <v>1.62130885</v>
      </c>
      <c r="M16" s="18" t="n">
        <v>0</v>
      </c>
      <c r="N16" s="20" t="n">
        <v>0</v>
      </c>
      <c r="O16" s="18" t="n">
        <v>0</v>
      </c>
      <c r="P16" s="20" t="n">
        <v>0</v>
      </c>
      <c r="Q16" s="18" t="n">
        <v>0</v>
      </c>
      <c r="R16" s="20" t="n">
        <v>0</v>
      </c>
    </row>
    <row r="17" spans="1:18">
      <c r="A17" s="15" t="s">
        <v>575</v>
      </c>
      <c r="B17" s="17" t="n">
        <v>6504</v>
      </c>
      <c r="C17" s="18">
        <f>(5857.0/B17*100)</f>
        <v/>
      </c>
      <c r="D17" s="19" t="n">
        <v>647</v>
      </c>
      <c r="E17" s="18" t="n">
        <v>51.27355821</v>
      </c>
      <c r="F17" s="20" t="n">
        <v>1.93576409</v>
      </c>
      <c r="G17" s="18" t="n">
        <v>35.8583499</v>
      </c>
      <c r="H17" s="20" t="n">
        <v>1.67960155</v>
      </c>
      <c r="I17" s="18" t="n">
        <v>0</v>
      </c>
      <c r="J17" s="20" t="n">
        <v>0</v>
      </c>
      <c r="K17" s="18" t="n">
        <v>12.86809189</v>
      </c>
      <c r="L17" s="20" t="n">
        <v>1.60318529</v>
      </c>
      <c r="M17" s="18" t="n">
        <v>0</v>
      </c>
      <c r="N17" s="20" t="n">
        <v>0</v>
      </c>
      <c r="O17" s="18" t="n">
        <v>0</v>
      </c>
      <c r="P17" s="20" t="n">
        <v>0</v>
      </c>
      <c r="Q17" s="18" t="n">
        <v>0</v>
      </c>
      <c r="R17" s="20" t="n">
        <v>0</v>
      </c>
    </row>
    <row r="18" spans="1:18">
      <c r="A18" s="15" t="s">
        <v>576</v>
      </c>
      <c r="B18" s="17" t="n">
        <v>5532</v>
      </c>
      <c r="C18" s="18">
        <f>(4925.0/B18*100)</f>
        <v/>
      </c>
      <c r="D18" s="19" t="n">
        <v>607</v>
      </c>
      <c r="E18" s="18" t="n">
        <v>51.3107928</v>
      </c>
      <c r="F18" s="20" t="n">
        <v>1.99374934</v>
      </c>
      <c r="G18" s="18" t="n">
        <v>29.76748731</v>
      </c>
      <c r="H18" s="20" t="n">
        <v>1.8602528</v>
      </c>
      <c r="I18" s="18" t="n">
        <v>0</v>
      </c>
      <c r="J18" s="20" t="n">
        <v>0</v>
      </c>
      <c r="K18" s="18" t="n">
        <v>18.92171989</v>
      </c>
      <c r="L18" s="20" t="n">
        <v>2.0938129</v>
      </c>
      <c r="M18" s="18" t="n">
        <v>0</v>
      </c>
      <c r="N18" s="20" t="n">
        <v>0</v>
      </c>
      <c r="O18" s="18" t="n">
        <v>0</v>
      </c>
      <c r="P18" s="20" t="n">
        <v>0</v>
      </c>
      <c r="Q18" s="18" t="n">
        <v>0</v>
      </c>
      <c r="R18" s="20" t="n">
        <v>0</v>
      </c>
    </row>
    <row r="19" spans="1:18">
      <c r="A19" s="15" t="s">
        <v>577</v>
      </c>
      <c r="B19" s="17" t="n">
        <v>5658</v>
      </c>
      <c r="C19" s="18">
        <f>(5084.0/B19*100)</f>
        <v/>
      </c>
      <c r="D19" s="19" t="n">
        <v>574</v>
      </c>
      <c r="E19" s="18" t="n">
        <v>49.83766601</v>
      </c>
      <c r="F19" s="20" t="n">
        <v>1.8241563</v>
      </c>
      <c r="G19" s="18" t="n">
        <v>29.97878163</v>
      </c>
      <c r="H19" s="20" t="n">
        <v>2.07589985</v>
      </c>
      <c r="I19" s="18" t="n">
        <v>0</v>
      </c>
      <c r="J19" s="20" t="n">
        <v>0</v>
      </c>
      <c r="K19" s="18" t="n">
        <v>20.18355237</v>
      </c>
      <c r="L19" s="20" t="n">
        <v>1.75140646</v>
      </c>
      <c r="M19" s="18" t="n">
        <v>0</v>
      </c>
      <c r="N19" s="20" t="n">
        <v>0</v>
      </c>
      <c r="O19" s="18" t="n">
        <v>0</v>
      </c>
      <c r="P19" s="20" t="n">
        <v>0</v>
      </c>
      <c r="Q19" s="18" t="n">
        <v>0</v>
      </c>
      <c r="R19" s="20" t="n">
        <v>0</v>
      </c>
    </row>
    <row r="20" spans="1:18">
      <c r="A20" s="15" t="s">
        <v>578</v>
      </c>
      <c r="B20" s="17" t="n">
        <v>3371</v>
      </c>
      <c r="C20" s="18">
        <f>(2991.0/B20*100)</f>
        <v/>
      </c>
      <c r="D20" s="19" t="n">
        <v>380</v>
      </c>
      <c r="E20" s="18" t="n">
        <v>65.50580563</v>
      </c>
      <c r="F20" s="20" t="n">
        <v>2.33651373</v>
      </c>
      <c r="G20" s="18" t="n">
        <v>15.27452975</v>
      </c>
      <c r="H20" s="20" t="n">
        <v>1.88383697</v>
      </c>
      <c r="I20" s="18" t="n">
        <v>0</v>
      </c>
      <c r="J20" s="20" t="n">
        <v>0</v>
      </c>
      <c r="K20" s="18" t="n">
        <v>19.21966461</v>
      </c>
      <c r="L20" s="20" t="n">
        <v>1.82662686</v>
      </c>
      <c r="M20" s="18" t="n">
        <v>0</v>
      </c>
      <c r="N20" s="20" t="n">
        <v>0</v>
      </c>
      <c r="O20" s="18" t="n">
        <v>0</v>
      </c>
      <c r="P20" s="20" t="n">
        <v>0</v>
      </c>
      <c r="Q20" s="18" t="n">
        <v>0</v>
      </c>
      <c r="R20" s="20" t="n">
        <v>0</v>
      </c>
    </row>
    <row r="21" spans="1:18">
      <c r="A21" s="15" t="s">
        <v>579</v>
      </c>
      <c r="B21" s="17" t="n">
        <v>5741</v>
      </c>
      <c r="C21" s="18">
        <f>(5134.0/B21*100)</f>
        <v/>
      </c>
      <c r="D21" s="19" t="n">
        <v>607</v>
      </c>
      <c r="E21" s="18" t="n">
        <v>72.8747355</v>
      </c>
      <c r="F21" s="20" t="n">
        <v>2.01114653</v>
      </c>
      <c r="G21" s="18" t="n">
        <v>20.69829821</v>
      </c>
      <c r="H21" s="20" t="n">
        <v>1.83443887</v>
      </c>
      <c r="I21" s="18" t="n">
        <v>0</v>
      </c>
      <c r="J21" s="20" t="n">
        <v>0</v>
      </c>
      <c r="K21" s="18" t="n">
        <v>6.42696629</v>
      </c>
      <c r="L21" s="20" t="n">
        <v>1.10484499</v>
      </c>
      <c r="M21" s="18" t="n">
        <v>0</v>
      </c>
      <c r="N21" s="20" t="n">
        <v>0</v>
      </c>
      <c r="O21" s="18" t="n">
        <v>0</v>
      </c>
      <c r="P21" s="20" t="n">
        <v>0</v>
      </c>
      <c r="Q21" s="18" t="n">
        <v>0</v>
      </c>
      <c r="R21" s="20" t="n">
        <v>0</v>
      </c>
    </row>
    <row r="22" spans="1:18">
      <c r="A22" s="15" t="s">
        <v>580</v>
      </c>
      <c r="B22" s="17" t="n">
        <v>6598</v>
      </c>
      <c r="C22" s="18">
        <f>(5961.0/B22*100)</f>
        <v/>
      </c>
      <c r="D22" s="19" t="n">
        <v>637</v>
      </c>
      <c r="E22" s="18" t="n">
        <v>45.92090012</v>
      </c>
      <c r="F22" s="20" t="n">
        <v>2.26585626</v>
      </c>
      <c r="G22" s="18" t="n">
        <v>34.78753527</v>
      </c>
      <c r="H22" s="20" t="n">
        <v>2.00208478</v>
      </c>
      <c r="I22" s="18" t="n">
        <v>0</v>
      </c>
      <c r="J22" s="20" t="n">
        <v>0</v>
      </c>
      <c r="K22" s="18" t="n">
        <v>19.2915646</v>
      </c>
      <c r="L22" s="20" t="n">
        <v>1.9471793</v>
      </c>
      <c r="M22" s="18" t="n">
        <v>0</v>
      </c>
      <c r="N22" s="20" t="n">
        <v>0</v>
      </c>
      <c r="O22" s="18" t="n">
        <v>0</v>
      </c>
      <c r="P22" s="20" t="n">
        <v>0</v>
      </c>
      <c r="Q22" s="18" t="n">
        <v>0</v>
      </c>
      <c r="R22" s="20" t="n">
        <v>0</v>
      </c>
    </row>
    <row r="23" spans="1:18">
      <c r="A23" s="15" t="s">
        <v>581</v>
      </c>
      <c r="B23" s="17" t="n">
        <v>11583</v>
      </c>
      <c r="C23" s="18">
        <f>(10379.0/B23*100)</f>
        <v/>
      </c>
      <c r="D23" s="19" t="n">
        <v>1204</v>
      </c>
      <c r="E23" s="18" t="n">
        <v>55.48241796</v>
      </c>
      <c r="F23" s="20" t="n">
        <v>2.20017087</v>
      </c>
      <c r="G23" s="18" t="n">
        <v>24.06340318</v>
      </c>
      <c r="H23" s="20" t="n">
        <v>1.71308255</v>
      </c>
      <c r="I23" s="18" t="n">
        <v>0</v>
      </c>
      <c r="J23" s="20" t="n">
        <v>0</v>
      </c>
      <c r="K23" s="18" t="n">
        <v>20.45417885</v>
      </c>
      <c r="L23" s="20" t="n">
        <v>1.92202476</v>
      </c>
      <c r="M23" s="18" t="n">
        <v>0</v>
      </c>
      <c r="N23" s="20" t="n">
        <v>0</v>
      </c>
      <c r="O23" s="18" t="n">
        <v>0</v>
      </c>
      <c r="P23" s="20" t="n">
        <v>0</v>
      </c>
      <c r="Q23" s="18" t="n">
        <v>0</v>
      </c>
      <c r="R23" s="20" t="n">
        <v>0</v>
      </c>
    </row>
    <row r="24" spans="1:18">
      <c r="A24" s="15" t="s">
        <v>582</v>
      </c>
      <c r="B24" s="17" t="n">
        <v>6647</v>
      </c>
      <c r="C24" s="18">
        <f>(5961.0/B24*100)</f>
        <v/>
      </c>
      <c r="D24" s="19" t="n">
        <v>686</v>
      </c>
      <c r="E24" s="18" t="n">
        <v>68.39327606000001</v>
      </c>
      <c r="F24" s="20" t="n">
        <v>1.48817621</v>
      </c>
      <c r="G24" s="18" t="n">
        <v>19.87139112</v>
      </c>
      <c r="H24" s="20" t="n">
        <v>1.53559053</v>
      </c>
      <c r="I24" s="18" t="n">
        <v>0</v>
      </c>
      <c r="J24" s="20" t="n">
        <v>0</v>
      </c>
      <c r="K24" s="18" t="n">
        <v>11.73533283</v>
      </c>
      <c r="L24" s="20" t="n">
        <v>1.24277097</v>
      </c>
      <c r="M24" s="18" t="n">
        <v>0</v>
      </c>
      <c r="N24" s="20" t="n">
        <v>0</v>
      </c>
      <c r="O24" s="18" t="n">
        <v>0</v>
      </c>
      <c r="P24" s="20" t="n">
        <v>0</v>
      </c>
      <c r="Q24" s="18" t="n">
        <v>0</v>
      </c>
      <c r="R24" s="20" t="n">
        <v>0</v>
      </c>
    </row>
    <row r="25" spans="1:18">
      <c r="A25" s="15" t="s">
        <v>583</v>
      </c>
      <c r="B25" s="17" t="n">
        <v>5581</v>
      </c>
      <c r="C25" s="18">
        <f>(4963.0/B25*100)</f>
        <v/>
      </c>
      <c r="D25" s="19" t="n">
        <v>618</v>
      </c>
      <c r="E25" s="18" t="n">
        <v>70.99760664999999</v>
      </c>
      <c r="F25" s="20" t="n">
        <v>1.91079269</v>
      </c>
      <c r="G25" s="18" t="n">
        <v>17.32088396</v>
      </c>
      <c r="H25" s="20" t="n">
        <v>1.66509023</v>
      </c>
      <c r="I25" s="18" t="n">
        <v>0</v>
      </c>
      <c r="J25" s="20" t="n">
        <v>0</v>
      </c>
      <c r="K25" s="18" t="n">
        <v>11.68150939</v>
      </c>
      <c r="L25" s="20" t="n">
        <v>1.38980702</v>
      </c>
      <c r="M25" s="18" t="n">
        <v>0</v>
      </c>
      <c r="N25" s="20" t="n">
        <v>0</v>
      </c>
      <c r="O25" s="18" t="n">
        <v>0</v>
      </c>
      <c r="P25" s="20" t="n">
        <v>0</v>
      </c>
      <c r="Q25" s="18" t="n">
        <v>0</v>
      </c>
      <c r="R25" s="20" t="n">
        <v>0</v>
      </c>
    </row>
    <row r="26" spans="1:18">
      <c r="A26" s="15" t="s">
        <v>584</v>
      </c>
      <c r="B26" s="17" t="n">
        <v>4869</v>
      </c>
      <c r="C26" s="18">
        <f>(4349.0/B26*100)</f>
        <v/>
      </c>
      <c r="D26" s="19" t="n">
        <v>520</v>
      </c>
      <c r="E26" s="18" t="n">
        <v>70.77341568</v>
      </c>
      <c r="F26" s="20" t="n">
        <v>2.16351015</v>
      </c>
      <c r="G26" s="18" t="n">
        <v>25.21572332</v>
      </c>
      <c r="H26" s="20" t="n">
        <v>2.13370106</v>
      </c>
      <c r="I26" s="18" t="n">
        <v>0</v>
      </c>
      <c r="J26" s="20" t="n">
        <v>0</v>
      </c>
      <c r="K26" s="18" t="n">
        <v>4.010861</v>
      </c>
      <c r="L26" s="20" t="n">
        <v>0.8387891</v>
      </c>
      <c r="M26" s="18" t="n">
        <v>0</v>
      </c>
      <c r="N26" s="20" t="n">
        <v>0</v>
      </c>
      <c r="O26" s="18" t="n">
        <v>0</v>
      </c>
      <c r="P26" s="20" t="n">
        <v>0</v>
      </c>
      <c r="Q26" s="18" t="n">
        <v>0</v>
      </c>
      <c r="R26" s="20" t="n">
        <v>0</v>
      </c>
    </row>
    <row r="27" spans="1:18">
      <c r="A27" s="15" t="s">
        <v>585</v>
      </c>
      <c r="B27" s="17" t="n">
        <v>5299</v>
      </c>
      <c r="C27" s="18">
        <f>(4764.0/B27*100)</f>
        <v/>
      </c>
      <c r="D27" s="19" t="n">
        <v>535</v>
      </c>
      <c r="E27" s="18" t="n">
        <v>53.13731376</v>
      </c>
      <c r="F27" s="20" t="n">
        <v>2.35942967</v>
      </c>
      <c r="G27" s="18" t="n">
        <v>28.97255401</v>
      </c>
      <c r="H27" s="20" t="n">
        <v>2.27285495</v>
      </c>
      <c r="I27" s="18" t="n">
        <v>0</v>
      </c>
      <c r="J27" s="20" t="n">
        <v>0</v>
      </c>
      <c r="K27" s="18" t="n">
        <v>17.89013223</v>
      </c>
      <c r="L27" s="20" t="n">
        <v>1.57739175</v>
      </c>
      <c r="M27" s="18" t="n">
        <v>0</v>
      </c>
      <c r="N27" s="20" t="n">
        <v>0</v>
      </c>
      <c r="O27" s="18" t="n">
        <v>0</v>
      </c>
      <c r="P27" s="20" t="n">
        <v>0</v>
      </c>
      <c r="Q27" s="18" t="n">
        <v>0</v>
      </c>
      <c r="R27" s="20" t="n">
        <v>0</v>
      </c>
    </row>
    <row r="28" spans="1:18">
      <c r="A28" s="15" t="s">
        <v>586</v>
      </c>
      <c r="B28" s="17" t="n">
        <v>7568</v>
      </c>
      <c r="C28" s="18">
        <f>(6899.0/B28*100)</f>
        <v/>
      </c>
      <c r="D28" s="19" t="n">
        <v>669</v>
      </c>
      <c r="E28" s="18" t="n">
        <v>80.15405210999999</v>
      </c>
      <c r="F28" s="20" t="n">
        <v>1.74170433</v>
      </c>
      <c r="G28" s="18" t="n">
        <v>11.5777608</v>
      </c>
      <c r="H28" s="20" t="n">
        <v>1.34055764</v>
      </c>
      <c r="I28" s="18" t="n">
        <v>0</v>
      </c>
      <c r="J28" s="20" t="n">
        <v>0</v>
      </c>
      <c r="K28" s="18" t="n">
        <v>8.26818709</v>
      </c>
      <c r="L28" s="20" t="n">
        <v>1.26612037</v>
      </c>
      <c r="M28" s="18" t="n">
        <v>0</v>
      </c>
      <c r="N28" s="20" t="n">
        <v>0</v>
      </c>
      <c r="O28" s="18" t="n">
        <v>0</v>
      </c>
      <c r="P28" s="20" t="n">
        <v>0</v>
      </c>
      <c r="Q28" s="18" t="n">
        <v>0</v>
      </c>
      <c r="R28" s="20" t="n">
        <v>0</v>
      </c>
    </row>
    <row r="29" spans="1:18">
      <c r="A29" s="15" t="s">
        <v>587</v>
      </c>
      <c r="B29" s="17" t="n">
        <v>5385</v>
      </c>
      <c r="C29" s="18">
        <f>(4802.0/B29*100)</f>
        <v/>
      </c>
      <c r="D29" s="19" t="n">
        <v>583</v>
      </c>
      <c r="E29" s="18" t="n">
        <v>64.17656565</v>
      </c>
      <c r="F29" s="20" t="n">
        <v>2.00117889</v>
      </c>
      <c r="G29" s="18" t="n">
        <v>29.599862</v>
      </c>
      <c r="H29" s="20" t="n">
        <v>2.09352354</v>
      </c>
      <c r="I29" s="18" t="n">
        <v>0</v>
      </c>
      <c r="J29" s="20" t="n">
        <v>0</v>
      </c>
      <c r="K29" s="18" t="n">
        <v>6.22357235</v>
      </c>
      <c r="L29" s="20" t="n">
        <v>0.98082696</v>
      </c>
      <c r="M29" s="18" t="n">
        <v>0</v>
      </c>
      <c r="N29" s="20" t="n">
        <v>0</v>
      </c>
      <c r="O29" s="18" t="n">
        <v>0</v>
      </c>
      <c r="P29" s="20" t="n">
        <v>0</v>
      </c>
      <c r="Q29" s="18" t="n">
        <v>0</v>
      </c>
      <c r="R29" s="20" t="n">
        <v>0</v>
      </c>
    </row>
    <row r="30" spans="1:18">
      <c r="A30" s="15" t="s">
        <v>588</v>
      </c>
      <c r="B30" s="17" t="n">
        <v>4520</v>
      </c>
      <c r="C30" s="18">
        <f>(4073.0/B30*100)</f>
        <v/>
      </c>
      <c r="D30" s="19" t="n">
        <v>447</v>
      </c>
      <c r="E30" s="18" t="n">
        <v>62.10754647</v>
      </c>
      <c r="F30" s="20" t="n">
        <v>2.43486264</v>
      </c>
      <c r="G30" s="18" t="n">
        <v>23.00231339</v>
      </c>
      <c r="H30" s="20" t="n">
        <v>1.91795071</v>
      </c>
      <c r="I30" s="18" t="n">
        <v>0</v>
      </c>
      <c r="J30" s="20" t="n">
        <v>0</v>
      </c>
      <c r="K30" s="18" t="n">
        <v>14.89014014</v>
      </c>
      <c r="L30" s="20" t="n">
        <v>1.65361828</v>
      </c>
      <c r="M30" s="18" t="n">
        <v>0</v>
      </c>
      <c r="N30" s="20" t="n">
        <v>0</v>
      </c>
      <c r="O30" s="18" t="n">
        <v>0</v>
      </c>
      <c r="P30" s="20" t="n">
        <v>0</v>
      </c>
      <c r="Q30" s="18" t="n">
        <v>0</v>
      </c>
      <c r="R30" s="20" t="n">
        <v>0</v>
      </c>
    </row>
    <row r="31" spans="1:18">
      <c r="A31" s="15" t="s">
        <v>589</v>
      </c>
      <c r="B31" s="17" t="n">
        <v>5456</v>
      </c>
      <c r="C31" s="18">
        <f>(4870.0/B31*100)</f>
        <v/>
      </c>
      <c r="D31" s="19" t="n">
        <v>586</v>
      </c>
      <c r="E31" s="18" t="n">
        <v>57.88982643</v>
      </c>
      <c r="F31" s="20" t="n">
        <v>2.27213363</v>
      </c>
      <c r="G31" s="18" t="n">
        <v>21.80140842</v>
      </c>
      <c r="H31" s="20" t="n">
        <v>1.7651305</v>
      </c>
      <c r="I31" s="18" t="n">
        <v>0</v>
      </c>
      <c r="J31" s="20" t="n">
        <v>0</v>
      </c>
      <c r="K31" s="18" t="n">
        <v>20.30876515</v>
      </c>
      <c r="L31" s="20" t="n">
        <v>1.77983947</v>
      </c>
      <c r="M31" s="18" t="n">
        <v>0</v>
      </c>
      <c r="N31" s="20" t="n">
        <v>0</v>
      </c>
      <c r="O31" s="18" t="n">
        <v>0</v>
      </c>
      <c r="P31" s="20" t="n">
        <v>0</v>
      </c>
      <c r="Q31" s="18" t="n">
        <v>0</v>
      </c>
      <c r="R31" s="20" t="n">
        <v>0</v>
      </c>
    </row>
    <row r="32" spans="1:18">
      <c r="A32" s="15" t="s">
        <v>590</v>
      </c>
      <c r="B32" s="17" t="n">
        <v>4478</v>
      </c>
      <c r="C32" s="18">
        <f>(3987.0/B32*100)</f>
        <v/>
      </c>
      <c r="D32" s="19" t="n">
        <v>491</v>
      </c>
      <c r="E32" s="18" t="n">
        <v>65.91001935</v>
      </c>
      <c r="F32" s="20" t="n">
        <v>1.99959241</v>
      </c>
      <c r="G32" s="18" t="n">
        <v>21.44254435</v>
      </c>
      <c r="H32" s="20" t="n">
        <v>1.78186946</v>
      </c>
      <c r="I32" s="18" t="n">
        <v>0</v>
      </c>
      <c r="J32" s="20" t="n">
        <v>0</v>
      </c>
      <c r="K32" s="18" t="n">
        <v>12.6474363</v>
      </c>
      <c r="L32" s="20" t="n">
        <v>1.65033009</v>
      </c>
      <c r="M32" s="18" t="n">
        <v>0</v>
      </c>
      <c r="N32" s="20" t="n">
        <v>0</v>
      </c>
      <c r="O32" s="18" t="n">
        <v>0</v>
      </c>
      <c r="P32" s="20" t="n">
        <v>0</v>
      </c>
      <c r="Q32" s="18" t="n">
        <v>0</v>
      </c>
      <c r="R32" s="20" t="n">
        <v>0</v>
      </c>
    </row>
    <row r="33" spans="1:18">
      <c r="A33" s="15" t="s">
        <v>591</v>
      </c>
      <c r="B33" s="17" t="n">
        <v>7325</v>
      </c>
      <c r="C33" s="18">
        <f>(6605.0/B33*100)</f>
        <v/>
      </c>
      <c r="D33" s="19" t="n">
        <v>720</v>
      </c>
      <c r="E33" s="18" t="n">
        <v>53.61061017</v>
      </c>
      <c r="F33" s="20" t="n">
        <v>2.3434946</v>
      </c>
      <c r="G33" s="18" t="n">
        <v>32.21778673</v>
      </c>
      <c r="H33" s="20" t="n">
        <v>1.91443438</v>
      </c>
      <c r="I33" s="18" t="n">
        <v>0</v>
      </c>
      <c r="J33" s="20" t="n">
        <v>0</v>
      </c>
      <c r="K33" s="18" t="n">
        <v>14.17160309</v>
      </c>
      <c r="L33" s="20" t="n">
        <v>1.65722773</v>
      </c>
      <c r="M33" s="18" t="n">
        <v>0</v>
      </c>
      <c r="N33" s="20" t="n">
        <v>0</v>
      </c>
      <c r="O33" s="18" t="n">
        <v>0</v>
      </c>
      <c r="P33" s="20" t="n">
        <v>0</v>
      </c>
      <c r="Q33" s="18" t="n">
        <v>0</v>
      </c>
      <c r="R33" s="20" t="n">
        <v>0</v>
      </c>
    </row>
    <row r="34" spans="1:18">
      <c r="A34" s="15" t="s">
        <v>592</v>
      </c>
      <c r="B34" s="17" t="n">
        <v>6350</v>
      </c>
      <c r="C34" s="18">
        <f>(5669.0/B34*100)</f>
        <v/>
      </c>
      <c r="D34" s="19" t="n">
        <v>681</v>
      </c>
      <c r="E34" s="18" t="n">
        <v>62.99334256</v>
      </c>
      <c r="F34" s="20" t="n">
        <v>1.73047133</v>
      </c>
      <c r="G34" s="18" t="n">
        <v>18.41456203</v>
      </c>
      <c r="H34" s="20" t="n">
        <v>1.55211601</v>
      </c>
      <c r="I34" s="18" t="n">
        <v>0</v>
      </c>
      <c r="J34" s="20" t="n">
        <v>0</v>
      </c>
      <c r="K34" s="18" t="n">
        <v>18.48918923</v>
      </c>
      <c r="L34" s="20" t="n">
        <v>1.5703512</v>
      </c>
      <c r="M34" s="18" t="n">
        <v>0.10290619</v>
      </c>
      <c r="N34" s="20" t="n">
        <v>0.09646049</v>
      </c>
      <c r="O34" s="18" t="n">
        <v>0</v>
      </c>
      <c r="P34" s="20" t="n">
        <v>0</v>
      </c>
      <c r="Q34" s="18" t="n">
        <v>0</v>
      </c>
      <c r="R34" s="20" t="n">
        <v>0</v>
      </c>
    </row>
    <row r="35" spans="1:18">
      <c r="A35" s="15" t="s">
        <v>593</v>
      </c>
      <c r="B35" s="17" t="n">
        <v>6406</v>
      </c>
      <c r="C35" s="18">
        <f>(5760.0/B35*100)</f>
        <v/>
      </c>
      <c r="D35" s="19" t="n">
        <v>646</v>
      </c>
      <c r="E35" s="18" t="n">
        <v>51.84226563</v>
      </c>
      <c r="F35" s="20" t="n">
        <v>2.76719994</v>
      </c>
      <c r="G35" s="18" t="n">
        <v>40.17394135</v>
      </c>
      <c r="H35" s="20" t="n">
        <v>2.64548649</v>
      </c>
      <c r="I35" s="18" t="n">
        <v>0</v>
      </c>
      <c r="J35" s="20" t="n">
        <v>0</v>
      </c>
      <c r="K35" s="18" t="n">
        <v>7.98379302</v>
      </c>
      <c r="L35" s="20" t="n">
        <v>1.20520189</v>
      </c>
      <c r="M35" s="18" t="n">
        <v>0</v>
      </c>
      <c r="N35" s="20" t="n">
        <v>0</v>
      </c>
      <c r="O35" s="18" t="n">
        <v>0</v>
      </c>
      <c r="P35" s="20" t="n">
        <v>0</v>
      </c>
      <c r="Q35" s="18" t="n">
        <v>0</v>
      </c>
      <c r="R35" s="20" t="n">
        <v>0</v>
      </c>
    </row>
    <row r="36" spans="1:18">
      <c r="A36" s="15" t="s">
        <v>594</v>
      </c>
      <c r="B36" s="17" t="n">
        <v>6736</v>
      </c>
      <c r="C36" s="18">
        <f>(6079.0/B36*100)</f>
        <v/>
      </c>
      <c r="D36" s="19" t="n">
        <v>657</v>
      </c>
      <c r="E36" s="18" t="n">
        <v>50.49789352</v>
      </c>
      <c r="F36" s="20" t="n">
        <v>2.02972448</v>
      </c>
      <c r="G36" s="18" t="n">
        <v>38.52473138</v>
      </c>
      <c r="H36" s="20" t="n">
        <v>2.0134648</v>
      </c>
      <c r="I36" s="18" t="n">
        <v>0</v>
      </c>
      <c r="J36" s="20" t="n">
        <v>0</v>
      </c>
      <c r="K36" s="18" t="n">
        <v>10.8251668</v>
      </c>
      <c r="L36" s="20" t="n">
        <v>1.15175553</v>
      </c>
      <c r="M36" s="18" t="n">
        <v>0.1522083</v>
      </c>
      <c r="N36" s="20" t="n">
        <v>0.15257003</v>
      </c>
      <c r="O36" s="18" t="n">
        <v>0</v>
      </c>
      <c r="P36" s="20" t="n">
        <v>0</v>
      </c>
      <c r="Q36" s="18" t="n">
        <v>0</v>
      </c>
      <c r="R36" s="20" t="n">
        <v>0</v>
      </c>
    </row>
    <row r="37" spans="1:18">
      <c r="A37" s="15" t="s">
        <v>595</v>
      </c>
      <c r="B37" s="17" t="n">
        <v>5458</v>
      </c>
      <c r="C37" s="18">
        <f>(4901.0/B37*100)</f>
        <v/>
      </c>
      <c r="D37" s="19" t="n">
        <v>557</v>
      </c>
      <c r="E37" s="18" t="n">
        <v>53.81403189</v>
      </c>
      <c r="F37" s="20" t="n">
        <v>2.11848885</v>
      </c>
      <c r="G37" s="18" t="n">
        <v>30.92533795</v>
      </c>
      <c r="H37" s="20" t="n">
        <v>2.01924284</v>
      </c>
      <c r="I37" s="18" t="n">
        <v>0</v>
      </c>
      <c r="J37" s="20" t="n">
        <v>0</v>
      </c>
      <c r="K37" s="18" t="n">
        <v>15.26063016</v>
      </c>
      <c r="L37" s="20" t="n">
        <v>1.72945634</v>
      </c>
      <c r="M37" s="18" t="n">
        <v>0</v>
      </c>
      <c r="N37" s="20" t="n">
        <v>0</v>
      </c>
      <c r="O37" s="18" t="n">
        <v>0</v>
      </c>
      <c r="P37" s="20" t="n">
        <v>0</v>
      </c>
      <c r="Q37" s="18" t="n">
        <v>0</v>
      </c>
      <c r="R37" s="20" t="n">
        <v>0</v>
      </c>
    </row>
    <row r="38" spans="1:18">
      <c r="A38" s="15" t="s">
        <v>596</v>
      </c>
      <c r="B38" s="17" t="n">
        <v>5860</v>
      </c>
      <c r="C38" s="18">
        <f>(5225.0/B38*100)</f>
        <v/>
      </c>
      <c r="D38" s="19" t="n">
        <v>635</v>
      </c>
      <c r="E38" s="18" t="n">
        <v>46.27837173</v>
      </c>
      <c r="F38" s="20" t="n">
        <v>2.13789768</v>
      </c>
      <c r="G38" s="18" t="n">
        <v>38.31760946</v>
      </c>
      <c r="H38" s="20" t="n">
        <v>2.27342085</v>
      </c>
      <c r="I38" s="18" t="n">
        <v>0</v>
      </c>
      <c r="J38" s="20" t="n">
        <v>0</v>
      </c>
      <c r="K38" s="18" t="n">
        <v>12.99993834</v>
      </c>
      <c r="L38" s="20" t="n">
        <v>1.50347272</v>
      </c>
      <c r="M38" s="18" t="n">
        <v>2.40408047</v>
      </c>
      <c r="N38" s="20" t="n">
        <v>0.65341653</v>
      </c>
      <c r="O38" s="18" t="n">
        <v>0</v>
      </c>
      <c r="P38" s="20" t="n">
        <v>0</v>
      </c>
      <c r="Q38" s="18" t="n">
        <v>0</v>
      </c>
      <c r="R38" s="20" t="n">
        <v>0</v>
      </c>
    </row>
    <row r="39" spans="1:18">
      <c r="A39" s="15" t="s">
        <v>597</v>
      </c>
      <c r="B39" s="17" t="n">
        <v>5895</v>
      </c>
      <c r="C39" s="18">
        <f>(5238.0/B39*100)</f>
        <v/>
      </c>
      <c r="D39" s="19" t="n">
        <v>657</v>
      </c>
      <c r="E39" s="18" t="n">
        <v>71.52370718</v>
      </c>
      <c r="F39" s="20" t="n">
        <v>2.2309437</v>
      </c>
      <c r="G39" s="18" t="n">
        <v>13.88978076</v>
      </c>
      <c r="H39" s="20" t="n">
        <v>1.63890859</v>
      </c>
      <c r="I39" s="18" t="n">
        <v>0</v>
      </c>
      <c r="J39" s="20" t="n">
        <v>0</v>
      </c>
      <c r="K39" s="18" t="n">
        <v>14.58651206</v>
      </c>
      <c r="L39" s="20" t="n">
        <v>1.79910449</v>
      </c>
      <c r="M39" s="18" t="n">
        <v>0</v>
      </c>
      <c r="N39" s="20" t="n">
        <v>0</v>
      </c>
      <c r="O39" s="18" t="n">
        <v>0</v>
      </c>
      <c r="P39" s="20" t="n">
        <v>0</v>
      </c>
      <c r="Q39" s="18" t="n">
        <v>0</v>
      </c>
      <c r="R39" s="20" t="n">
        <v>0</v>
      </c>
    </row>
    <row r="40" spans="1:18">
      <c r="A40" s="15" t="s">
        <v>598</v>
      </c>
      <c r="B40" s="17" t="n">
        <v>14157</v>
      </c>
      <c r="C40" s="18">
        <f>(12616.0/B40*100)</f>
        <v/>
      </c>
      <c r="D40" s="19" t="n">
        <v>1541</v>
      </c>
      <c r="E40" s="18" t="n">
        <v>65.07955326</v>
      </c>
      <c r="F40" s="20" t="n">
        <v>1.89640606</v>
      </c>
      <c r="G40" s="18" t="n">
        <v>23.98240559</v>
      </c>
      <c r="H40" s="20" t="n">
        <v>1.68536686</v>
      </c>
      <c r="I40" s="18" t="n">
        <v>0</v>
      </c>
      <c r="J40" s="20" t="n">
        <v>0</v>
      </c>
      <c r="K40" s="18" t="n">
        <v>10.93804115</v>
      </c>
      <c r="L40" s="20" t="n">
        <v>1.33626398</v>
      </c>
      <c r="M40" s="18" t="n">
        <v>0</v>
      </c>
      <c r="N40" s="20" t="n">
        <v>0</v>
      </c>
      <c r="O40" s="18" t="n">
        <v>0</v>
      </c>
      <c r="P40" s="20" t="n">
        <v>0</v>
      </c>
      <c r="Q40" s="18" t="n">
        <v>0</v>
      </c>
      <c r="R40" s="20" t="n">
        <v>0</v>
      </c>
    </row>
    <row r="41" spans="1:18">
      <c r="A41" s="15" t="s">
        <v>599</v>
      </c>
      <c r="B41" s="17" t="n">
        <v>5712</v>
      </c>
      <c r="C41" s="18">
        <f>(5123.0/B41*100)</f>
        <v/>
      </c>
      <c r="D41" s="19" t="n">
        <v>589</v>
      </c>
      <c r="E41" s="18" t="n">
        <v>74.3254472</v>
      </c>
      <c r="F41" s="20" t="n">
        <v>2.09784896</v>
      </c>
      <c r="G41" s="18" t="n">
        <v>20.19122395</v>
      </c>
      <c r="H41" s="20" t="n">
        <v>1.553409</v>
      </c>
      <c r="I41" s="18" t="n">
        <v>0</v>
      </c>
      <c r="J41" s="20" t="n">
        <v>0</v>
      </c>
      <c r="K41" s="18" t="n">
        <v>5.48332885</v>
      </c>
      <c r="L41" s="20" t="n">
        <v>1.35630018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(21522.0/B46*100)</f>
        <v/>
      </c>
      <c r="D46" s="19" t="n">
        <v>1619</v>
      </c>
      <c r="E46" s="18" t="n">
        <v>69.58590022999999</v>
      </c>
      <c r="F46" s="20" t="n">
        <v>1.59201081</v>
      </c>
      <c r="G46" s="18" t="n">
        <v>7.76180591</v>
      </c>
      <c r="H46" s="20" t="n">
        <v>0.82880822</v>
      </c>
      <c r="I46" s="18" t="n">
        <v>0</v>
      </c>
      <c r="J46" s="20" t="n">
        <v>0</v>
      </c>
      <c r="K46" s="18" t="n">
        <v>22.21522717</v>
      </c>
      <c r="L46" s="20" t="n">
        <v>1.581179</v>
      </c>
      <c r="M46" s="18" t="n">
        <v>0.43706669</v>
      </c>
      <c r="N46" s="20" t="n">
        <v>0.16152156</v>
      </c>
      <c r="O46" s="18" t="n">
        <v>0</v>
      </c>
      <c r="P46" s="20" t="n">
        <v>0</v>
      </c>
      <c r="Q46" s="18" t="n">
        <v>0</v>
      </c>
      <c r="R46" s="20" t="n">
        <v>0</v>
      </c>
    </row>
    <row r="47" spans="1:18">
      <c r="A47" s="15" t="s">
        <v>606</v>
      </c>
      <c r="B47" s="17" t="n">
        <v>5928</v>
      </c>
      <c r="C47" s="18">
        <f>(5305.0/B47*100)</f>
        <v/>
      </c>
      <c r="D47" s="19" t="n">
        <v>623</v>
      </c>
      <c r="E47" s="18" t="n">
        <v>57.1967168</v>
      </c>
      <c r="F47" s="20" t="n">
        <v>2.24856957</v>
      </c>
      <c r="G47" s="18" t="n">
        <v>17.29578475</v>
      </c>
      <c r="H47" s="20" t="n">
        <v>1.91213845</v>
      </c>
      <c r="I47" s="18" t="n">
        <v>0</v>
      </c>
      <c r="J47" s="20" t="n">
        <v>0</v>
      </c>
      <c r="K47" s="18" t="n">
        <v>25.50749845</v>
      </c>
      <c r="L47" s="20" t="n">
        <v>1.83316259</v>
      </c>
      <c r="M47" s="18" t="n">
        <v>0</v>
      </c>
      <c r="N47" s="20" t="n">
        <v>0</v>
      </c>
      <c r="O47" s="18" t="n">
        <v>0</v>
      </c>
      <c r="P47" s="20" t="n">
        <v>0</v>
      </c>
      <c r="Q47" s="18" t="n">
        <v>0</v>
      </c>
      <c r="R47" s="20" t="n">
        <v>0</v>
      </c>
    </row>
    <row r="48" spans="1:18">
      <c r="A48" s="15" t="s">
        <v>607</v>
      </c>
      <c r="B48" s="17" t="n">
        <v>9841</v>
      </c>
      <c r="C48" s="18">
        <f>(8749.0/B48*100)</f>
        <v/>
      </c>
      <c r="D48" s="19" t="n">
        <v>1092</v>
      </c>
      <c r="E48" s="18" t="n">
        <v>64.30568596000001</v>
      </c>
      <c r="F48" s="20" t="n">
        <v>2.0384523</v>
      </c>
      <c r="G48" s="18" t="n">
        <v>24.59076577</v>
      </c>
      <c r="H48" s="20" t="n">
        <v>1.92063334</v>
      </c>
      <c r="I48" s="18" t="n">
        <v>0</v>
      </c>
      <c r="J48" s="20" t="n">
        <v>0</v>
      </c>
      <c r="K48" s="18" t="n">
        <v>11.10354827</v>
      </c>
      <c r="L48" s="20" t="n">
        <v>1.33959757</v>
      </c>
      <c r="M48" s="18" t="n">
        <v>0</v>
      </c>
      <c r="N48" s="20" t="n">
        <v>0</v>
      </c>
      <c r="O48" s="18" t="n">
        <v>0</v>
      </c>
      <c r="P48" s="20" t="n">
        <v>0</v>
      </c>
      <c r="Q48" s="18" t="n">
        <v>0</v>
      </c>
      <c r="R48" s="20" t="n">
        <v>0</v>
      </c>
    </row>
    <row r="49" spans="1:18">
      <c r="A49" s="15" t="s">
        <v>608</v>
      </c>
      <c r="B49" s="17" t="n">
        <v>11795</v>
      </c>
      <c r="C49" s="18">
        <f>(10569.0/B49*100)</f>
        <v/>
      </c>
      <c r="D49" s="19" t="n">
        <v>1226</v>
      </c>
      <c r="E49" s="18" t="n">
        <v>77.00052679</v>
      </c>
      <c r="F49" s="20" t="n">
        <v>1.40439028</v>
      </c>
      <c r="G49" s="18" t="n">
        <v>8.43657365</v>
      </c>
      <c r="H49" s="20" t="n">
        <v>0.94522865</v>
      </c>
      <c r="I49" s="18" t="n">
        <v>0</v>
      </c>
      <c r="J49" s="20" t="n">
        <v>0</v>
      </c>
      <c r="K49" s="18" t="n">
        <v>14.48257604</v>
      </c>
      <c r="L49" s="20" t="n">
        <v>1.28504209</v>
      </c>
      <c r="M49" s="18" t="n">
        <v>0.08032353</v>
      </c>
      <c r="N49" s="20" t="n">
        <v>0.0988208</v>
      </c>
      <c r="O49" s="18" t="n">
        <v>0</v>
      </c>
      <c r="P49" s="20" t="n">
        <v>0</v>
      </c>
      <c r="Q49" s="18" t="n">
        <v>0</v>
      </c>
      <c r="R49" s="20" t="n">
        <v>0</v>
      </c>
    </row>
    <row r="50" spans="1:18">
      <c r="A50" s="15" t="s">
        <v>609</v>
      </c>
      <c r="B50" s="17" t="n">
        <v>6866</v>
      </c>
      <c r="C50" s="18">
        <f>(6278.0/B50*100)</f>
        <v/>
      </c>
      <c r="D50" s="19" t="n">
        <v>588</v>
      </c>
      <c r="E50" s="18" t="n">
        <v>75.96992109999999</v>
      </c>
      <c r="F50" s="20" t="n">
        <v>1.81330296</v>
      </c>
      <c r="G50" s="18" t="n">
        <v>14.43844455</v>
      </c>
      <c r="H50" s="20" t="n">
        <v>1.57698881</v>
      </c>
      <c r="I50" s="18" t="n">
        <v>0</v>
      </c>
      <c r="J50" s="20" t="n">
        <v>0</v>
      </c>
      <c r="K50" s="18" t="n">
        <v>9.591634340000001</v>
      </c>
      <c r="L50" s="20" t="n">
        <v>1.49858064</v>
      </c>
      <c r="M50" s="18" t="n">
        <v>0</v>
      </c>
      <c r="N50" s="20" t="n">
        <v>0</v>
      </c>
      <c r="O50" s="18" t="n">
        <v>0</v>
      </c>
      <c r="P50" s="20" t="n">
        <v>0</v>
      </c>
      <c r="Q50" s="18" t="n">
        <v>0</v>
      </c>
      <c r="R50" s="20" t="n">
        <v>0</v>
      </c>
    </row>
    <row r="51" spans="1:18">
      <c r="A51" s="15" t="s">
        <v>610</v>
      </c>
      <c r="B51" s="17" t="n">
        <v>5809</v>
      </c>
      <c r="C51" s="18">
        <f>(5154.0/B51*100)</f>
        <v/>
      </c>
      <c r="D51" s="19" t="n">
        <v>655</v>
      </c>
      <c r="E51" s="18" t="n">
        <v>69.44707907</v>
      </c>
      <c r="F51" s="20" t="n">
        <v>2.03585794</v>
      </c>
      <c r="G51" s="18" t="n">
        <v>16.73417686</v>
      </c>
      <c r="H51" s="20" t="n">
        <v>1.66096357</v>
      </c>
      <c r="I51" s="18" t="n">
        <v>0</v>
      </c>
      <c r="J51" s="20" t="n">
        <v>0</v>
      </c>
      <c r="K51" s="18" t="n">
        <v>13.81874407</v>
      </c>
      <c r="L51" s="20" t="n">
        <v>1.28542985</v>
      </c>
      <c r="M51" s="18" t="n">
        <v>0</v>
      </c>
      <c r="N51" s="20" t="n">
        <v>0</v>
      </c>
      <c r="O51" s="18" t="n">
        <v>0</v>
      </c>
      <c r="P51" s="20" t="n">
        <v>0</v>
      </c>
      <c r="Q51" s="18" t="n">
        <v>0</v>
      </c>
      <c r="R51" s="20" t="n">
        <v>0</v>
      </c>
    </row>
    <row r="52" spans="1:18">
      <c r="A52" s="15" t="s">
        <v>611</v>
      </c>
      <c r="B52" s="17" t="n">
        <v>5571</v>
      </c>
      <c r="C52" s="18">
        <f>(4985.0/B52*100)</f>
        <v/>
      </c>
      <c r="D52" s="19" t="n">
        <v>586</v>
      </c>
      <c r="E52" s="18" t="n">
        <v>56.96920743</v>
      </c>
      <c r="F52" s="20" t="n">
        <v>2.20707203</v>
      </c>
      <c r="G52" s="18" t="n">
        <v>19.4188081</v>
      </c>
      <c r="H52" s="20" t="n">
        <v>1.90026915</v>
      </c>
      <c r="I52" s="18" t="n">
        <v>0</v>
      </c>
      <c r="J52" s="20" t="n">
        <v>0</v>
      </c>
      <c r="K52" s="18" t="n">
        <v>23.61198448</v>
      </c>
      <c r="L52" s="20" t="n">
        <v>1.9354904</v>
      </c>
      <c r="M52" s="18" t="n">
        <v>0</v>
      </c>
      <c r="N52" s="20" t="n">
        <v>0</v>
      </c>
      <c r="O52" s="18" t="n">
        <v>0</v>
      </c>
      <c r="P52" s="20" t="n">
        <v>0</v>
      </c>
      <c r="Q52" s="18" t="n">
        <v>0</v>
      </c>
      <c r="R52" s="20" t="n">
        <v>0</v>
      </c>
    </row>
    <row r="53" spans="1:18">
      <c r="A53" s="15" t="s">
        <v>612</v>
      </c>
      <c r="B53" s="17" t="n">
        <v>4740</v>
      </c>
      <c r="C53" s="18">
        <f>(4254.0/B53*100)</f>
        <v/>
      </c>
      <c r="D53" s="19" t="n">
        <v>486</v>
      </c>
      <c r="E53" s="18" t="n">
        <v>47.77859216</v>
      </c>
      <c r="F53" s="20" t="n">
        <v>2.35036433</v>
      </c>
      <c r="G53" s="18" t="n">
        <v>1.39854672</v>
      </c>
      <c r="H53" s="20" t="n">
        <v>0.48931842</v>
      </c>
      <c r="I53" s="18" t="n">
        <v>0</v>
      </c>
      <c r="J53" s="20" t="n">
        <v>0</v>
      </c>
      <c r="K53" s="18" t="n">
        <v>49.74168796</v>
      </c>
      <c r="L53" s="20" t="n">
        <v>2.19668226</v>
      </c>
      <c r="M53" s="18" t="n">
        <v>1.08117316</v>
      </c>
      <c r="N53" s="20" t="n">
        <v>0.9669657699999999</v>
      </c>
      <c r="O53" s="18" t="n">
        <v>0</v>
      </c>
      <c r="P53" s="20" t="n">
        <v>0</v>
      </c>
      <c r="Q53" s="18" t="n">
        <v>0</v>
      </c>
      <c r="R53" s="20" t="n">
        <v>0</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(4769.0/B55*100)</f>
        <v/>
      </c>
      <c r="D55" s="19" t="n">
        <v>590</v>
      </c>
      <c r="E55" s="18" t="n">
        <v>66.67655311</v>
      </c>
      <c r="F55" s="20" t="n">
        <v>2.25048194</v>
      </c>
      <c r="G55" s="18" t="n">
        <v>25.5555532</v>
      </c>
      <c r="H55" s="20" t="n">
        <v>2.09898325</v>
      </c>
      <c r="I55" s="18" t="n">
        <v>0</v>
      </c>
      <c r="J55" s="20" t="n">
        <v>0</v>
      </c>
      <c r="K55" s="18" t="n">
        <v>7.76789369</v>
      </c>
      <c r="L55" s="20" t="n">
        <v>1.11493623</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(5787.0/B61*100)</f>
        <v/>
      </c>
      <c r="D61" s="19" t="n">
        <v>738</v>
      </c>
      <c r="E61" s="18" t="n">
        <v>66.26241373000001</v>
      </c>
      <c r="F61" s="20" t="n">
        <v>2.01835363</v>
      </c>
      <c r="G61" s="18" t="n">
        <v>22.28554496</v>
      </c>
      <c r="H61" s="20" t="n">
        <v>1.75520966</v>
      </c>
      <c r="I61" s="18" t="n">
        <v>0</v>
      </c>
      <c r="J61" s="20" t="n">
        <v>0</v>
      </c>
      <c r="K61" s="18" t="n">
        <v>11.31448541</v>
      </c>
      <c r="L61" s="20" t="n">
        <v>1.23298141</v>
      </c>
      <c r="M61" s="18" t="n">
        <v>0.1375559</v>
      </c>
      <c r="N61" s="20" t="n">
        <v>0.13568004</v>
      </c>
      <c r="O61" s="18" t="n">
        <v>0</v>
      </c>
      <c r="P61" s="20" t="n">
        <v>0</v>
      </c>
      <c r="Q61" s="18" t="n">
        <v>0</v>
      </c>
      <c r="R61" s="20" t="n">
        <v>0</v>
      </c>
    </row>
    <row r="62" spans="1:18">
      <c r="A62" s="15" t="s">
        <v>622</v>
      </c>
      <c r="B62" s="17" t="n">
        <v>4476</v>
      </c>
      <c r="C62" s="18">
        <f>(4026.0/B62*100)</f>
        <v/>
      </c>
      <c r="D62" s="19" t="n">
        <v>450</v>
      </c>
      <c r="E62" s="18" t="n">
        <v>68.60162733</v>
      </c>
      <c r="F62" s="20" t="n">
        <v>2.36608272</v>
      </c>
      <c r="G62" s="18" t="n">
        <v>25.58909819</v>
      </c>
      <c r="H62" s="20" t="n">
        <v>2.23731323</v>
      </c>
      <c r="I62" s="18" t="n">
        <v>0</v>
      </c>
      <c r="J62" s="20" t="n">
        <v>0</v>
      </c>
      <c r="K62" s="18" t="n">
        <v>5.80927449</v>
      </c>
      <c r="L62" s="20" t="n">
        <v>1.21198302</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(5074.0/B67*100)</f>
        <v/>
      </c>
      <c r="D67" s="19" t="n">
        <v>591</v>
      </c>
      <c r="E67" s="18" t="n">
        <v>55.56311987</v>
      </c>
      <c r="F67" s="20" t="n">
        <v>2.17123535</v>
      </c>
      <c r="G67" s="18" t="n">
        <v>12.26791742</v>
      </c>
      <c r="H67" s="20" t="n">
        <v>1.36344324</v>
      </c>
      <c r="I67" s="18" t="n">
        <v>0</v>
      </c>
      <c r="J67" s="20" t="n">
        <v>0</v>
      </c>
      <c r="K67" s="18" t="n">
        <v>31.8574949</v>
      </c>
      <c r="L67" s="20" t="n">
        <v>1.94651711</v>
      </c>
      <c r="M67" s="18" t="n">
        <v>0.31146781</v>
      </c>
      <c r="N67" s="20" t="n">
        <v>0.21853883</v>
      </c>
      <c r="O67" s="18" t="n">
        <v>0</v>
      </c>
      <c r="P67" s="20" t="n">
        <v>0</v>
      </c>
      <c r="Q67" s="18" t="n">
        <v>0</v>
      </c>
      <c r="R67" s="20" t="n">
        <v>0</v>
      </c>
    </row>
    <row r="68" spans="1:18">
      <c r="A68" s="15" t="s">
        <v>628</v>
      </c>
      <c r="B68" s="17" t="n">
        <v>6971</v>
      </c>
      <c r="C68" s="18">
        <f>(6409.0/B68*100)</f>
        <v/>
      </c>
      <c r="D68" s="19" t="n">
        <v>562</v>
      </c>
      <c r="E68" s="18" t="n">
        <v>71.67180688000001</v>
      </c>
      <c r="F68" s="20" t="n">
        <v>2.02184323</v>
      </c>
      <c r="G68" s="18" t="n">
        <v>13.74854293</v>
      </c>
      <c r="H68" s="20" t="n">
        <v>1.50364691</v>
      </c>
      <c r="I68" s="18" t="n">
        <v>0</v>
      </c>
      <c r="J68" s="20" t="n">
        <v>0</v>
      </c>
      <c r="K68" s="18" t="n">
        <v>14.10343055</v>
      </c>
      <c r="L68" s="20" t="n">
        <v>1.46880867</v>
      </c>
      <c r="M68" s="18" t="n">
        <v>0.47621964</v>
      </c>
      <c r="N68" s="20" t="n">
        <v>0.27343721</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(10791.0/B70*100)</f>
        <v/>
      </c>
      <c r="D70" s="19" t="n">
        <v>1292</v>
      </c>
      <c r="E70" s="18" t="n">
        <v>69.04335795999999</v>
      </c>
      <c r="F70" s="20" t="n">
        <v>1.28308787</v>
      </c>
      <c r="G70" s="18" t="n">
        <v>10.62660327</v>
      </c>
      <c r="H70" s="20" t="n">
        <v>0.97260555</v>
      </c>
      <c r="I70" s="18" t="n">
        <v>0</v>
      </c>
      <c r="J70" s="20" t="n">
        <v>0</v>
      </c>
      <c r="K70" s="18" t="n">
        <v>20.33003877</v>
      </c>
      <c r="L70" s="20" t="n">
        <v>1.1976955</v>
      </c>
      <c r="M70" s="18" t="n">
        <v>0</v>
      </c>
      <c r="N70" s="20" t="n">
        <v>0</v>
      </c>
      <c r="O70" s="18" t="n">
        <v>0</v>
      </c>
      <c r="P70" s="20" t="n">
        <v>0</v>
      </c>
      <c r="Q70" s="18" t="n">
        <v>0</v>
      </c>
      <c r="R70" s="20" t="n">
        <v>0</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(5392.0/B72*100)</f>
        <v/>
      </c>
      <c r="D72" s="19" t="n">
        <v>644</v>
      </c>
      <c r="E72" s="18" t="n">
        <v>62.98202225</v>
      </c>
      <c r="F72" s="20" t="n">
        <v>1.99854995</v>
      </c>
      <c r="G72" s="18" t="n">
        <v>25.40918241</v>
      </c>
      <c r="H72" s="20" t="n">
        <v>1.36947673</v>
      </c>
      <c r="I72" s="18" t="n">
        <v>0</v>
      </c>
      <c r="J72" s="20" t="n">
        <v>0</v>
      </c>
      <c r="K72" s="18" t="n">
        <v>11.60879534</v>
      </c>
      <c r="L72" s="20" t="n">
        <v>1.42131347</v>
      </c>
      <c r="M72" s="18" t="n">
        <v>0</v>
      </c>
      <c r="N72" s="20" t="n">
        <v>0</v>
      </c>
      <c r="O72" s="18" t="n">
        <v>0</v>
      </c>
      <c r="P72" s="20" t="n">
        <v>0</v>
      </c>
      <c r="Q72" s="18" t="n">
        <v>0</v>
      </c>
      <c r="R72" s="20" t="n">
        <v>0</v>
      </c>
    </row>
    <row r="73" spans="1:18">
      <c r="A73" s="15" t="s">
        <v>633</v>
      </c>
      <c r="B73" s="17" t="n">
        <v>6115</v>
      </c>
      <c r="C73" s="18">
        <f>(5475.0/B73*100)</f>
        <v/>
      </c>
      <c r="D73" s="19" t="n">
        <v>640</v>
      </c>
      <c r="E73" s="18" t="n">
        <v>43.68727867</v>
      </c>
      <c r="F73" s="20" t="n">
        <v>1.75023768</v>
      </c>
      <c r="G73" s="18" t="n">
        <v>52.33846427</v>
      </c>
      <c r="H73" s="20" t="n">
        <v>2.08654627</v>
      </c>
      <c r="I73" s="18" t="n">
        <v>0</v>
      </c>
      <c r="J73" s="20" t="n">
        <v>0</v>
      </c>
      <c r="K73" s="18" t="n">
        <v>3.80736979</v>
      </c>
      <c r="L73" s="20" t="n">
        <v>0.74749059</v>
      </c>
      <c r="M73" s="18" t="n">
        <v>0.16688727</v>
      </c>
      <c r="N73" s="20" t="n">
        <v>0.1661932</v>
      </c>
      <c r="O73" s="18" t="n">
        <v>0</v>
      </c>
      <c r="P73" s="20" t="n">
        <v>0</v>
      </c>
      <c r="Q73" s="18" t="n">
        <v>0</v>
      </c>
      <c r="R73" s="20" t="n">
        <v>0</v>
      </c>
    </row>
    <row r="74" spans="1:18">
      <c r="A74" s="15" t="s">
        <v>634</v>
      </c>
      <c r="B74" s="17" t="n">
        <v>7708</v>
      </c>
      <c r="C74" s="18">
        <f>(6889.0/B74*100)</f>
        <v/>
      </c>
      <c r="D74" s="19" t="n">
        <v>819</v>
      </c>
      <c r="E74" s="18" t="n">
        <v>61.45283061</v>
      </c>
      <c r="F74" s="20" t="n">
        <v>1.77366751</v>
      </c>
      <c r="G74" s="18" t="n">
        <v>28.46095287</v>
      </c>
      <c r="H74" s="20" t="n">
        <v>1.49314708</v>
      </c>
      <c r="I74" s="18" t="n">
        <v>0</v>
      </c>
      <c r="J74" s="20" t="n">
        <v>0</v>
      </c>
      <c r="K74" s="18" t="n">
        <v>10.08621652</v>
      </c>
      <c r="L74" s="20" t="n">
        <v>1.16206765</v>
      </c>
      <c r="M74" s="18" t="n">
        <v>0</v>
      </c>
      <c r="N74" s="20" t="n">
        <v>0</v>
      </c>
      <c r="O74" s="18" t="n">
        <v>0</v>
      </c>
      <c r="P74" s="20" t="n">
        <v>0</v>
      </c>
      <c r="Q74" s="18" t="n">
        <v>0</v>
      </c>
      <c r="R74" s="20" t="n">
        <v>0</v>
      </c>
    </row>
    <row r="75" spans="1:18">
      <c r="A75" s="15" t="s">
        <v>635</v>
      </c>
      <c r="B75" s="17" t="n">
        <v>8249</v>
      </c>
      <c r="C75" s="18">
        <f>(7425.0/B75*100)</f>
        <v/>
      </c>
      <c r="D75" s="19" t="n">
        <v>824</v>
      </c>
      <c r="E75" s="18" t="n">
        <v>81.0829267</v>
      </c>
      <c r="F75" s="20" t="n">
        <v>1.75795489</v>
      </c>
      <c r="G75" s="18" t="n">
        <v>14.13164745</v>
      </c>
      <c r="H75" s="20" t="n">
        <v>1.45123266</v>
      </c>
      <c r="I75" s="18" t="n">
        <v>0</v>
      </c>
      <c r="J75" s="20" t="n">
        <v>0</v>
      </c>
      <c r="K75" s="18" t="n">
        <v>4.71482869</v>
      </c>
      <c r="L75" s="20" t="n">
        <v>0.95906002</v>
      </c>
      <c r="M75" s="18" t="n">
        <v>0.07059715</v>
      </c>
      <c r="N75" s="20" t="n">
        <v>0.07013661</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(4864.0/B77*100)</f>
        <v/>
      </c>
      <c r="D77" s="19" t="n">
        <v>511</v>
      </c>
      <c r="E77" s="18" t="n">
        <v>59.52587344</v>
      </c>
      <c r="F77" s="20" t="n">
        <v>2.37972906</v>
      </c>
      <c r="G77" s="18" t="n">
        <v>4.1660765</v>
      </c>
      <c r="H77" s="20" t="n">
        <v>0.79421095</v>
      </c>
      <c r="I77" s="18" t="n">
        <v>0</v>
      </c>
      <c r="J77" s="20" t="n">
        <v>0</v>
      </c>
      <c r="K77" s="18" t="n">
        <v>35.13028422</v>
      </c>
      <c r="L77" s="20" t="n">
        <v>2.34500061</v>
      </c>
      <c r="M77" s="18" t="n">
        <v>1.17776584</v>
      </c>
      <c r="N77" s="20" t="n">
        <v>0.68119598</v>
      </c>
      <c r="O77" s="18" t="n">
        <v>0</v>
      </c>
      <c r="P77" s="20" t="n">
        <v>0</v>
      </c>
      <c r="Q77" s="18" t="n">
        <v>0</v>
      </c>
      <c r="R77" s="20" t="n">
        <v>0</v>
      </c>
    </row>
    <row r="78" spans="1:18">
      <c r="A78" s="15" t="s">
        <v>638</v>
      </c>
      <c r="B78" s="17" t="n">
        <v>14167</v>
      </c>
      <c r="C78" s="18">
        <f>(12643.0/B78*100)</f>
        <v/>
      </c>
      <c r="D78" s="19" t="n">
        <v>1524</v>
      </c>
      <c r="E78" s="18" t="n">
        <v>73.77814148</v>
      </c>
      <c r="F78" s="20" t="n">
        <v>1.51128671</v>
      </c>
      <c r="G78" s="18" t="n">
        <v>14.1920891</v>
      </c>
      <c r="H78" s="20" t="n">
        <v>1.1302182</v>
      </c>
      <c r="I78" s="18" t="n">
        <v>0</v>
      </c>
      <c r="J78" s="20" t="n">
        <v>0</v>
      </c>
      <c r="K78" s="18" t="n">
        <v>11.94690779</v>
      </c>
      <c r="L78" s="20" t="n">
        <v>1.14819002</v>
      </c>
      <c r="M78" s="18" t="n">
        <v>0.08286163000000001</v>
      </c>
      <c r="N78" s="20" t="n">
        <v>0.05886901</v>
      </c>
      <c r="O78" s="18" t="n">
        <v>0</v>
      </c>
      <c r="P78" s="20" t="n">
        <v>0</v>
      </c>
      <c r="Q78" s="18" t="n">
        <v>0</v>
      </c>
      <c r="R78" s="20" t="n">
        <v>0</v>
      </c>
    </row>
    <row r="79" spans="1:18">
      <c r="A79" s="15" t="s">
        <v>639</v>
      </c>
      <c r="B79" s="17" t="n">
        <v>6062</v>
      </c>
      <c r="C79" s="18">
        <f>(5486.0/B79*100)</f>
        <v/>
      </c>
      <c r="D79" s="19" t="n">
        <v>576</v>
      </c>
      <c r="E79" s="18" t="n">
        <v>57.65423544</v>
      </c>
      <c r="F79" s="20" t="n">
        <v>2.06139352</v>
      </c>
      <c r="G79" s="18" t="n">
        <v>17.28481424</v>
      </c>
      <c r="H79" s="20" t="n">
        <v>1.64251422</v>
      </c>
      <c r="I79" s="18" t="n">
        <v>0</v>
      </c>
      <c r="J79" s="20" t="n">
        <v>0</v>
      </c>
      <c r="K79" s="18" t="n">
        <v>25.06095032</v>
      </c>
      <c r="L79" s="20" t="n">
        <v>1.9767534</v>
      </c>
      <c r="M79" s="18" t="n">
        <v>0</v>
      </c>
      <c r="N79" s="20" t="n">
        <v>0</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(29009.0/B82*100)</f>
        <v/>
      </c>
      <c r="D82" s="19" t="n">
        <v>3321</v>
      </c>
      <c r="E82" s="18" t="n">
        <v>54.13960096</v>
      </c>
      <c r="F82" s="20" t="n">
        <v>1.08883824</v>
      </c>
      <c r="G82" s="18" t="n">
        <v>34.55603325</v>
      </c>
      <c r="H82" s="20" t="n">
        <v>1.05553135</v>
      </c>
      <c r="I82" s="18" t="n">
        <v>0</v>
      </c>
      <c r="J82" s="20" t="n">
        <v>0</v>
      </c>
      <c r="K82" s="18" t="n">
        <v>11.22101269</v>
      </c>
      <c r="L82" s="20" t="n">
        <v>0.87554518</v>
      </c>
      <c r="M82" s="18" t="n">
        <v>0.08335310999999999</v>
      </c>
      <c r="N82" s="20" t="n">
        <v>0.08344733999999999</v>
      </c>
      <c r="O82" s="18" t="n">
        <v>0</v>
      </c>
      <c r="P82" s="20" t="n">
        <v>0</v>
      </c>
      <c r="Q82" s="18" t="n">
        <v>0</v>
      </c>
      <c r="R82" s="20" t="n">
        <v>0</v>
      </c>
    </row>
    <row r="83" spans="1:18">
      <c r="A83" s="15" t="s">
        <v>643</v>
      </c>
      <c r="B83" s="17" t="n">
        <v>1652</v>
      </c>
      <c r="C83" s="18">
        <f>(1478.0/B83*100)</f>
        <v/>
      </c>
      <c r="D83" s="19" t="n">
        <v>174</v>
      </c>
      <c r="E83" s="18" t="n">
        <v>73.49405127999999</v>
      </c>
      <c r="F83" s="20" t="n">
        <v>2.99018624</v>
      </c>
      <c r="G83" s="18" t="n">
        <v>25.40895342</v>
      </c>
      <c r="H83" s="20" t="n">
        <v>3.01227322</v>
      </c>
      <c r="I83" s="18" t="n">
        <v>0</v>
      </c>
      <c r="J83" s="20" t="n">
        <v>0</v>
      </c>
      <c r="K83" s="18" t="n">
        <v>1.0969953</v>
      </c>
      <c r="L83" s="20" t="n">
        <v>0.75230683</v>
      </c>
      <c r="M83" s="18" t="n">
        <v>0</v>
      </c>
      <c r="N83" s="20" t="n">
        <v>0</v>
      </c>
      <c r="O83" s="18" t="n">
        <v>0</v>
      </c>
      <c r="P83" s="20" t="n">
        <v>0</v>
      </c>
      <c r="Q83" s="18" t="n">
        <v>0</v>
      </c>
      <c r="R83" s="20" t="n">
        <v>0</v>
      </c>
    </row>
    <row r="84" spans="1:18">
      <c r="A84" s="23" t="s">
        <v>644</v>
      </c>
      <c r="B84" s="24" t="n">
        <v>1887</v>
      </c>
      <c r="C84" s="25">
        <f>(1687.0/B84*100)</f>
        <v/>
      </c>
      <c r="D84" s="19" t="n">
        <v>200</v>
      </c>
      <c r="E84" s="18" t="n">
        <v>70.40949565</v>
      </c>
      <c r="F84" s="20" t="n">
        <v>3.27575295</v>
      </c>
      <c r="G84" s="18" t="n">
        <v>23.20924305</v>
      </c>
      <c r="H84" s="20" t="n">
        <v>3.19740995</v>
      </c>
      <c r="I84" s="18" t="n">
        <v>0</v>
      </c>
      <c r="J84" s="20" t="n">
        <v>0</v>
      </c>
      <c r="K84" s="18" t="n">
        <v>6.3812613</v>
      </c>
      <c r="L84" s="20" t="n">
        <v>1.30923851</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38.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697</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(12926.0/B7*100)</f>
        <v/>
      </c>
      <c r="D7" s="19" t="n">
        <v>1604</v>
      </c>
      <c r="E7" s="18" t="n">
        <v>38.1702411</v>
      </c>
      <c r="F7" s="20" t="n">
        <v>1.56547607</v>
      </c>
      <c r="G7" s="18" t="n">
        <v>26.01473832</v>
      </c>
      <c r="H7" s="20" t="n">
        <v>1.51701675</v>
      </c>
      <c r="I7" s="18" t="n">
        <v>29.34014134</v>
      </c>
      <c r="J7" s="20" t="n">
        <v>1.44617091</v>
      </c>
      <c r="K7" s="18" t="n">
        <v>0</v>
      </c>
      <c r="L7" s="20" t="n">
        <v>0</v>
      </c>
      <c r="M7" s="18" t="n">
        <v>0.01707882</v>
      </c>
      <c r="N7" s="20" t="n">
        <v>0.01657618</v>
      </c>
      <c r="O7" s="18" t="n">
        <v>0.0162171</v>
      </c>
      <c r="P7" s="20" t="n">
        <v>0.0117276</v>
      </c>
      <c r="Q7" s="18" t="n">
        <v>0</v>
      </c>
      <c r="R7" s="20" t="n">
        <v>0</v>
      </c>
      <c r="S7" s="18" t="n">
        <v>6.44158332</v>
      </c>
      <c r="T7" s="20" t="n">
        <v>0.74821043</v>
      </c>
    </row>
    <row r="8" spans="1:20">
      <c r="A8" s="15" t="s">
        <v>566</v>
      </c>
      <c r="B8" s="17" t="n">
        <v>7007</v>
      </c>
      <c r="C8" s="18">
        <f>(6218.0/B8*100)</f>
        <v/>
      </c>
      <c r="D8" s="19" t="n">
        <v>789</v>
      </c>
      <c r="E8" s="18" t="n">
        <v>38.57462005</v>
      </c>
      <c r="F8" s="20" t="n">
        <v>1.81302882</v>
      </c>
      <c r="G8" s="18" t="n">
        <v>22.55905321</v>
      </c>
      <c r="H8" s="20" t="n">
        <v>1.39041816</v>
      </c>
      <c r="I8" s="18" t="n">
        <v>28.24366913</v>
      </c>
      <c r="J8" s="20" t="n">
        <v>1.79819047</v>
      </c>
      <c r="K8" s="18" t="n">
        <v>0</v>
      </c>
      <c r="L8" s="20" t="n">
        <v>0</v>
      </c>
      <c r="M8" s="18" t="n">
        <v>0</v>
      </c>
      <c r="N8" s="20" t="n">
        <v>0</v>
      </c>
      <c r="O8" s="18" t="n">
        <v>0</v>
      </c>
      <c r="P8" s="20" t="n">
        <v>0</v>
      </c>
      <c r="Q8" s="18" t="n">
        <v>0</v>
      </c>
      <c r="R8" s="20" t="n">
        <v>0</v>
      </c>
      <c r="S8" s="18" t="n">
        <v>10.6226576</v>
      </c>
      <c r="T8" s="20" t="n">
        <v>1.18596899</v>
      </c>
    </row>
    <row r="9" spans="1:20">
      <c r="A9" s="15" t="s">
        <v>567</v>
      </c>
      <c r="B9" s="17" t="n">
        <v>9651</v>
      </c>
      <c r="C9" s="18">
        <f>(8626.0/B9*100)</f>
        <v/>
      </c>
      <c r="D9" s="19" t="n">
        <v>1025</v>
      </c>
      <c r="E9" s="18" t="n">
        <v>27.02416099</v>
      </c>
      <c r="F9" s="20" t="n">
        <v>1.36902606</v>
      </c>
      <c r="G9" s="18" t="n">
        <v>23.30055335</v>
      </c>
      <c r="H9" s="20" t="n">
        <v>1.35056195</v>
      </c>
      <c r="I9" s="18" t="n">
        <v>42.71562042</v>
      </c>
      <c r="J9" s="20" t="n">
        <v>1.59128799</v>
      </c>
      <c r="K9" s="18" t="n">
        <v>0</v>
      </c>
      <c r="L9" s="20" t="n">
        <v>0</v>
      </c>
      <c r="M9" s="18" t="n">
        <v>0</v>
      </c>
      <c r="N9" s="20" t="n">
        <v>0</v>
      </c>
      <c r="O9" s="18" t="n">
        <v>0.47388538</v>
      </c>
      <c r="P9" s="20" t="n">
        <v>0.15158032</v>
      </c>
      <c r="Q9" s="18" t="n">
        <v>0</v>
      </c>
      <c r="R9" s="20" t="n">
        <v>0</v>
      </c>
      <c r="S9" s="18" t="n">
        <v>6.48577985</v>
      </c>
      <c r="T9" s="20" t="n">
        <v>0.78793569</v>
      </c>
    </row>
    <row r="10" spans="1:20">
      <c r="A10" s="15" t="s">
        <v>568</v>
      </c>
      <c r="B10" s="17" t="n">
        <v>20058</v>
      </c>
      <c r="C10" s="18">
        <f>(17874.0/B10*100)</f>
        <v/>
      </c>
      <c r="D10" s="19" t="n">
        <v>2184</v>
      </c>
      <c r="E10" s="18" t="n">
        <v>34.63583176</v>
      </c>
      <c r="F10" s="20" t="n">
        <v>1.48444738</v>
      </c>
      <c r="G10" s="18" t="n">
        <v>26.95867548</v>
      </c>
      <c r="H10" s="20" t="n">
        <v>1.42606176</v>
      </c>
      <c r="I10" s="18" t="n">
        <v>34.3200944</v>
      </c>
      <c r="J10" s="20" t="n">
        <v>1.49036538</v>
      </c>
      <c r="K10" s="18" t="n">
        <v>0</v>
      </c>
      <c r="L10" s="20" t="n">
        <v>0</v>
      </c>
      <c r="M10" s="18" t="n">
        <v>0.03725492</v>
      </c>
      <c r="N10" s="20" t="n">
        <v>0.02208747</v>
      </c>
      <c r="O10" s="18" t="n">
        <v>0.00372568</v>
      </c>
      <c r="P10" s="20" t="n">
        <v>0.00379793</v>
      </c>
      <c r="Q10" s="18" t="n">
        <v>0</v>
      </c>
      <c r="R10" s="20" t="n">
        <v>0</v>
      </c>
      <c r="S10" s="18" t="n">
        <v>4.04441776</v>
      </c>
      <c r="T10" s="20" t="n">
        <v>0.64409938</v>
      </c>
    </row>
    <row r="11" spans="1:20">
      <c r="A11" s="15" t="s">
        <v>569</v>
      </c>
      <c r="B11" s="17" t="n">
        <v>7053</v>
      </c>
      <c r="C11" s="18">
        <f>(6245.0/B11*100)</f>
        <v/>
      </c>
      <c r="D11" s="19" t="n">
        <v>808</v>
      </c>
      <c r="E11" s="18" t="n">
        <v>35.39775429</v>
      </c>
      <c r="F11" s="20" t="n">
        <v>1.76418649</v>
      </c>
      <c r="G11" s="18" t="n">
        <v>25.64061467</v>
      </c>
      <c r="H11" s="20" t="n">
        <v>1.8290112</v>
      </c>
      <c r="I11" s="18" t="n">
        <v>24.11112623</v>
      </c>
      <c r="J11" s="20" t="n">
        <v>1.51569321</v>
      </c>
      <c r="K11" s="18" t="n">
        <v>0</v>
      </c>
      <c r="L11" s="20" t="n">
        <v>0</v>
      </c>
      <c r="M11" s="18" t="n">
        <v>0.1637359</v>
      </c>
      <c r="N11" s="20" t="n">
        <v>0.15992861</v>
      </c>
      <c r="O11" s="18" t="n">
        <v>0.01228297</v>
      </c>
      <c r="P11" s="20" t="n">
        <v>0.01226997</v>
      </c>
      <c r="Q11" s="18" t="n">
        <v>0</v>
      </c>
      <c r="R11" s="20" t="n">
        <v>0</v>
      </c>
      <c r="S11" s="18" t="n">
        <v>14.67448594</v>
      </c>
      <c r="T11" s="20" t="n">
        <v>1.54068615</v>
      </c>
    </row>
    <row r="12" spans="1:20">
      <c r="A12" s="15" t="s">
        <v>570</v>
      </c>
      <c r="B12" s="17" t="n">
        <v>6894</v>
      </c>
      <c r="C12" s="18">
        <f>(6136.0/B12*100)</f>
        <v/>
      </c>
      <c r="D12" s="19" t="n">
        <v>758</v>
      </c>
      <c r="E12" s="18" t="n">
        <v>37.98044897</v>
      </c>
      <c r="F12" s="20" t="n">
        <v>1.98031126</v>
      </c>
      <c r="G12" s="18" t="n">
        <v>23.32176504</v>
      </c>
      <c r="H12" s="20" t="n">
        <v>1.77986134</v>
      </c>
      <c r="I12" s="18" t="n">
        <v>26.29415338</v>
      </c>
      <c r="J12" s="20" t="n">
        <v>1.74959688</v>
      </c>
      <c r="K12" s="18" t="n">
        <v>0</v>
      </c>
      <c r="L12" s="20" t="n">
        <v>0</v>
      </c>
      <c r="M12" s="18" t="n">
        <v>0</v>
      </c>
      <c r="N12" s="20" t="n">
        <v>0</v>
      </c>
      <c r="O12" s="18" t="n">
        <v>0.07776629</v>
      </c>
      <c r="P12" s="20" t="n">
        <v>0.10435588</v>
      </c>
      <c r="Q12" s="18" t="n">
        <v>0</v>
      </c>
      <c r="R12" s="20" t="n">
        <v>0</v>
      </c>
      <c r="S12" s="18" t="n">
        <v>12.32586632</v>
      </c>
      <c r="T12" s="20" t="n">
        <v>1.49771337</v>
      </c>
    </row>
    <row r="13" spans="1:20">
      <c r="A13" s="15" t="s">
        <v>571</v>
      </c>
      <c r="B13" s="17" t="n">
        <v>7161</v>
      </c>
      <c r="C13" s="18">
        <f>(6417.0/B13*100)</f>
        <v/>
      </c>
      <c r="D13" s="19" t="n">
        <v>744</v>
      </c>
      <c r="E13" s="18" t="n">
        <v>29.18943326</v>
      </c>
      <c r="F13" s="20" t="n">
        <v>2.03856991</v>
      </c>
      <c r="G13" s="18" t="n">
        <v>27.24730572</v>
      </c>
      <c r="H13" s="20" t="n">
        <v>1.75236162</v>
      </c>
      <c r="I13" s="18" t="n">
        <v>38.76797775</v>
      </c>
      <c r="J13" s="20" t="n">
        <v>2.10106179</v>
      </c>
      <c r="K13" s="18" t="n">
        <v>0</v>
      </c>
      <c r="L13" s="20" t="n">
        <v>0</v>
      </c>
      <c r="M13" s="18" t="n">
        <v>0.39475727</v>
      </c>
      <c r="N13" s="20" t="n">
        <v>0.24161922</v>
      </c>
      <c r="O13" s="18" t="n">
        <v>0</v>
      </c>
      <c r="P13" s="20" t="n">
        <v>0</v>
      </c>
      <c r="Q13" s="18" t="n">
        <v>0</v>
      </c>
      <c r="R13" s="20" t="n">
        <v>0</v>
      </c>
      <c r="S13" s="18" t="n">
        <v>4.40052599</v>
      </c>
      <c r="T13" s="20" t="n">
        <v>0.96004885</v>
      </c>
    </row>
    <row r="14" spans="1:20">
      <c r="A14" s="15" t="s">
        <v>572</v>
      </c>
      <c r="B14" s="17" t="n">
        <v>5587</v>
      </c>
      <c r="C14" s="18">
        <f>(4991.0/B14*100)</f>
        <v/>
      </c>
      <c r="D14" s="19" t="n">
        <v>596</v>
      </c>
      <c r="E14" s="18" t="n">
        <v>27.04182368</v>
      </c>
      <c r="F14" s="20" t="n">
        <v>2.06265058</v>
      </c>
      <c r="G14" s="18" t="n">
        <v>25.33859071</v>
      </c>
      <c r="H14" s="20" t="n">
        <v>1.82840341</v>
      </c>
      <c r="I14" s="18" t="n">
        <v>44.83115369</v>
      </c>
      <c r="J14" s="20" t="n">
        <v>1.94619591</v>
      </c>
      <c r="K14" s="18" t="n">
        <v>0</v>
      </c>
      <c r="L14" s="20" t="n">
        <v>0</v>
      </c>
      <c r="M14" s="18" t="n">
        <v>0</v>
      </c>
      <c r="N14" s="20" t="n">
        <v>0</v>
      </c>
      <c r="O14" s="18" t="n">
        <v>0</v>
      </c>
      <c r="P14" s="20" t="n">
        <v>0</v>
      </c>
      <c r="Q14" s="18" t="n">
        <v>0</v>
      </c>
      <c r="R14" s="20" t="n">
        <v>0</v>
      </c>
      <c r="S14" s="18" t="n">
        <v>2.78843192</v>
      </c>
      <c r="T14" s="20" t="n">
        <v>0.71489664</v>
      </c>
    </row>
    <row r="15" spans="1:20">
      <c r="A15" s="15" t="s">
        <v>573</v>
      </c>
      <c r="B15" s="17" t="n">
        <v>5882</v>
      </c>
      <c r="C15" s="18">
        <f>(5216.0/B15*100)</f>
        <v/>
      </c>
      <c r="D15" s="19" t="n">
        <v>666</v>
      </c>
      <c r="E15" s="18" t="n">
        <v>18.20110238</v>
      </c>
      <c r="F15" s="20" t="n">
        <v>1.61183549</v>
      </c>
      <c r="G15" s="18" t="n">
        <v>23.93441984</v>
      </c>
      <c r="H15" s="20" t="n">
        <v>1.73574197</v>
      </c>
      <c r="I15" s="18" t="n">
        <v>53.03184438</v>
      </c>
      <c r="J15" s="20" t="n">
        <v>1.99678184</v>
      </c>
      <c r="K15" s="18" t="n">
        <v>0</v>
      </c>
      <c r="L15" s="20" t="n">
        <v>0</v>
      </c>
      <c r="M15" s="18" t="n">
        <v>0</v>
      </c>
      <c r="N15" s="20" t="n">
        <v>0</v>
      </c>
      <c r="O15" s="18" t="n">
        <v>0</v>
      </c>
      <c r="P15" s="20" t="n">
        <v>0</v>
      </c>
      <c r="Q15" s="18" t="n">
        <v>0</v>
      </c>
      <c r="R15" s="20" t="n">
        <v>0</v>
      </c>
      <c r="S15" s="18" t="n">
        <v>4.8326334</v>
      </c>
      <c r="T15" s="20" t="n">
        <v>0.76982895</v>
      </c>
    </row>
    <row r="16" spans="1:20">
      <c r="A16" s="15" t="s">
        <v>574</v>
      </c>
      <c r="B16" s="17" t="n">
        <v>6108</v>
      </c>
      <c r="C16" s="18">
        <f>(5459.0/B16*100)</f>
        <v/>
      </c>
      <c r="D16" s="19" t="n">
        <v>649</v>
      </c>
      <c r="E16" s="18" t="n">
        <v>39.53662086</v>
      </c>
      <c r="F16" s="20" t="n">
        <v>1.89579087</v>
      </c>
      <c r="G16" s="18" t="n">
        <v>24.52680346</v>
      </c>
      <c r="H16" s="20" t="n">
        <v>1.87005262</v>
      </c>
      <c r="I16" s="18" t="n">
        <v>26.23542013</v>
      </c>
      <c r="J16" s="20" t="n">
        <v>1.86382286</v>
      </c>
      <c r="K16" s="18" t="n">
        <v>0</v>
      </c>
      <c r="L16" s="20" t="n">
        <v>0</v>
      </c>
      <c r="M16" s="18" t="n">
        <v>0</v>
      </c>
      <c r="N16" s="20" t="n">
        <v>0</v>
      </c>
      <c r="O16" s="18" t="n">
        <v>0</v>
      </c>
      <c r="P16" s="20" t="n">
        <v>0</v>
      </c>
      <c r="Q16" s="18" t="n">
        <v>0</v>
      </c>
      <c r="R16" s="20" t="n">
        <v>0</v>
      </c>
      <c r="S16" s="18" t="n">
        <v>9.701155549999999</v>
      </c>
      <c r="T16" s="20" t="n">
        <v>1.33941838</v>
      </c>
    </row>
    <row r="17" spans="1:20">
      <c r="A17" s="15" t="s">
        <v>575</v>
      </c>
      <c r="B17" s="17" t="n">
        <v>6504</v>
      </c>
      <c r="C17" s="18">
        <f>(5811.0/B17*100)</f>
        <v/>
      </c>
      <c r="D17" s="19" t="n">
        <v>693</v>
      </c>
      <c r="E17" s="18" t="n">
        <v>35.89426617</v>
      </c>
      <c r="F17" s="20" t="n">
        <v>2.15290535</v>
      </c>
      <c r="G17" s="18" t="n">
        <v>24.05154877</v>
      </c>
      <c r="H17" s="20" t="n">
        <v>1.71979972</v>
      </c>
      <c r="I17" s="18" t="n">
        <v>33.45203931</v>
      </c>
      <c r="J17" s="20" t="n">
        <v>1.78222695</v>
      </c>
      <c r="K17" s="18" t="n">
        <v>0</v>
      </c>
      <c r="L17" s="20" t="n">
        <v>0</v>
      </c>
      <c r="M17" s="18" t="n">
        <v>0.16154903</v>
      </c>
      <c r="N17" s="20" t="n">
        <v>0.16282662</v>
      </c>
      <c r="O17" s="18" t="n">
        <v>0</v>
      </c>
      <c r="P17" s="20" t="n">
        <v>0</v>
      </c>
      <c r="Q17" s="18" t="n">
        <v>0</v>
      </c>
      <c r="R17" s="20" t="n">
        <v>0</v>
      </c>
      <c r="S17" s="18" t="n">
        <v>6.44059672</v>
      </c>
      <c r="T17" s="20" t="n">
        <v>0.91792387</v>
      </c>
    </row>
    <row r="18" spans="1:20">
      <c r="A18" s="15" t="s">
        <v>576</v>
      </c>
      <c r="B18" s="17" t="n">
        <v>5532</v>
      </c>
      <c r="C18" s="18">
        <f>(4938.0/B18*100)</f>
        <v/>
      </c>
      <c r="D18" s="19" t="n">
        <v>594</v>
      </c>
      <c r="E18" s="18" t="n">
        <v>31.08659395</v>
      </c>
      <c r="F18" s="20" t="n">
        <v>2.05019359</v>
      </c>
      <c r="G18" s="18" t="n">
        <v>31.68776192</v>
      </c>
      <c r="H18" s="20" t="n">
        <v>1.92073168</v>
      </c>
      <c r="I18" s="18" t="n">
        <v>24.80668978</v>
      </c>
      <c r="J18" s="20" t="n">
        <v>1.97177981</v>
      </c>
      <c r="K18" s="18" t="n">
        <v>0</v>
      </c>
      <c r="L18" s="20" t="n">
        <v>0</v>
      </c>
      <c r="M18" s="18" t="n">
        <v>0.19760883</v>
      </c>
      <c r="N18" s="20" t="n">
        <v>0.19563859</v>
      </c>
      <c r="O18" s="18" t="n">
        <v>0</v>
      </c>
      <c r="P18" s="20" t="n">
        <v>0</v>
      </c>
      <c r="Q18" s="18" t="n">
        <v>0</v>
      </c>
      <c r="R18" s="20" t="n">
        <v>0</v>
      </c>
      <c r="S18" s="18" t="n">
        <v>12.22134552</v>
      </c>
      <c r="T18" s="20" t="n">
        <v>1.6174333</v>
      </c>
    </row>
    <row r="19" spans="1:20">
      <c r="A19" s="15" t="s">
        <v>577</v>
      </c>
      <c r="B19" s="17" t="n">
        <v>5658</v>
      </c>
      <c r="C19" s="18">
        <f>(5017.0/B19*100)</f>
        <v/>
      </c>
      <c r="D19" s="19" t="n">
        <v>641</v>
      </c>
      <c r="E19" s="18" t="n">
        <v>40.40535715</v>
      </c>
      <c r="F19" s="20" t="n">
        <v>2.09327056</v>
      </c>
      <c r="G19" s="18" t="n">
        <v>18.33264412</v>
      </c>
      <c r="H19" s="20" t="n">
        <v>1.74633965</v>
      </c>
      <c r="I19" s="18" t="n">
        <v>29.95197386</v>
      </c>
      <c r="J19" s="20" t="n">
        <v>1.80100413</v>
      </c>
      <c r="K19" s="18" t="n">
        <v>0</v>
      </c>
      <c r="L19" s="20" t="n">
        <v>0</v>
      </c>
      <c r="M19" s="18" t="n">
        <v>0</v>
      </c>
      <c r="N19" s="20" t="n">
        <v>0</v>
      </c>
      <c r="O19" s="18" t="n">
        <v>0.14568002</v>
      </c>
      <c r="P19" s="20" t="n">
        <v>0.14604829</v>
      </c>
      <c r="Q19" s="18" t="n">
        <v>0</v>
      </c>
      <c r="R19" s="20" t="n">
        <v>0</v>
      </c>
      <c r="S19" s="18" t="n">
        <v>11.16434486</v>
      </c>
      <c r="T19" s="20" t="n">
        <v>1.16947684</v>
      </c>
    </row>
    <row r="20" spans="1:20">
      <c r="A20" s="15" t="s">
        <v>578</v>
      </c>
      <c r="B20" s="17" t="n">
        <v>3371</v>
      </c>
      <c r="C20" s="18">
        <f>(3024.0/B20*100)</f>
        <v/>
      </c>
      <c r="D20" s="19" t="n">
        <v>347</v>
      </c>
      <c r="E20" s="18" t="n">
        <v>47.58908954</v>
      </c>
      <c r="F20" s="20" t="n">
        <v>2.63134017</v>
      </c>
      <c r="G20" s="18" t="n">
        <v>21.27531626</v>
      </c>
      <c r="H20" s="20" t="n">
        <v>2.40299735</v>
      </c>
      <c r="I20" s="18" t="n">
        <v>21.46639616</v>
      </c>
      <c r="J20" s="20" t="n">
        <v>2.199475</v>
      </c>
      <c r="K20" s="18" t="n">
        <v>0</v>
      </c>
      <c r="L20" s="20" t="n">
        <v>0</v>
      </c>
      <c r="M20" s="18" t="n">
        <v>0.24348524</v>
      </c>
      <c r="N20" s="20" t="n">
        <v>0.24483981</v>
      </c>
      <c r="O20" s="18" t="n">
        <v>0.44055001</v>
      </c>
      <c r="P20" s="20" t="n">
        <v>0.43371279</v>
      </c>
      <c r="Q20" s="18" t="n">
        <v>0</v>
      </c>
      <c r="R20" s="20" t="n">
        <v>0</v>
      </c>
      <c r="S20" s="18" t="n">
        <v>8.98516279</v>
      </c>
      <c r="T20" s="20" t="n">
        <v>1.3868541</v>
      </c>
    </row>
    <row r="21" spans="1:20">
      <c r="A21" s="15" t="s">
        <v>579</v>
      </c>
      <c r="B21" s="17" t="n">
        <v>5741</v>
      </c>
      <c r="C21" s="18">
        <f>(5081.0/B21*100)</f>
        <v/>
      </c>
      <c r="D21" s="19" t="n">
        <v>660</v>
      </c>
      <c r="E21" s="18" t="n">
        <v>34.51665092</v>
      </c>
      <c r="F21" s="20" t="n">
        <v>1.78686376</v>
      </c>
      <c r="G21" s="18" t="n">
        <v>27.1805677</v>
      </c>
      <c r="H21" s="20" t="n">
        <v>1.62335879</v>
      </c>
      <c r="I21" s="18" t="n">
        <v>32.64286034</v>
      </c>
      <c r="J21" s="20" t="n">
        <v>1.72787968</v>
      </c>
      <c r="K21" s="18" t="n">
        <v>0</v>
      </c>
      <c r="L21" s="20" t="n">
        <v>0</v>
      </c>
      <c r="M21" s="18" t="n">
        <v>0</v>
      </c>
      <c r="N21" s="20" t="n">
        <v>0</v>
      </c>
      <c r="O21" s="18" t="n">
        <v>0</v>
      </c>
      <c r="P21" s="20" t="n">
        <v>0</v>
      </c>
      <c r="Q21" s="18" t="n">
        <v>0</v>
      </c>
      <c r="R21" s="20" t="n">
        <v>0</v>
      </c>
      <c r="S21" s="18" t="n">
        <v>5.65992103</v>
      </c>
      <c r="T21" s="20" t="n">
        <v>0.96355214</v>
      </c>
    </row>
    <row r="22" spans="1:20">
      <c r="A22" s="15" t="s">
        <v>580</v>
      </c>
      <c r="B22" s="17" t="n">
        <v>6598</v>
      </c>
      <c r="C22" s="18">
        <f>(5859.0/B22*100)</f>
        <v/>
      </c>
      <c r="D22" s="19" t="n">
        <v>739</v>
      </c>
      <c r="E22" s="18" t="n">
        <v>50.52582667</v>
      </c>
      <c r="F22" s="20" t="n">
        <v>2.23339717</v>
      </c>
      <c r="G22" s="18" t="n">
        <v>16.95333444</v>
      </c>
      <c r="H22" s="20" t="n">
        <v>1.45943539</v>
      </c>
      <c r="I22" s="18" t="n">
        <v>14.92210744</v>
      </c>
      <c r="J22" s="20" t="n">
        <v>1.46775464</v>
      </c>
      <c r="K22" s="18" t="n">
        <v>0</v>
      </c>
      <c r="L22" s="20" t="n">
        <v>0</v>
      </c>
      <c r="M22" s="18" t="n">
        <v>0.16229479</v>
      </c>
      <c r="N22" s="20" t="n">
        <v>0.1141556</v>
      </c>
      <c r="O22" s="18" t="n">
        <v>0</v>
      </c>
      <c r="P22" s="20" t="n">
        <v>0</v>
      </c>
      <c r="Q22" s="18" t="n">
        <v>0</v>
      </c>
      <c r="R22" s="20" t="n">
        <v>0</v>
      </c>
      <c r="S22" s="18" t="n">
        <v>17.43643666</v>
      </c>
      <c r="T22" s="20" t="n">
        <v>1.74224741</v>
      </c>
    </row>
    <row r="23" spans="1:20">
      <c r="A23" s="15" t="s">
        <v>581</v>
      </c>
      <c r="B23" s="17" t="n">
        <v>11583</v>
      </c>
      <c r="C23" s="18">
        <f>(10270.0/B23*100)</f>
        <v/>
      </c>
      <c r="D23" s="19" t="n">
        <v>1313</v>
      </c>
      <c r="E23" s="18" t="n">
        <v>38.75125571</v>
      </c>
      <c r="F23" s="20" t="n">
        <v>1.83681882</v>
      </c>
      <c r="G23" s="18" t="n">
        <v>21.77882816</v>
      </c>
      <c r="H23" s="20" t="n">
        <v>1.78329282</v>
      </c>
      <c r="I23" s="18" t="n">
        <v>27.11526276</v>
      </c>
      <c r="J23" s="20" t="n">
        <v>1.994312</v>
      </c>
      <c r="K23" s="18" t="n">
        <v>0</v>
      </c>
      <c r="L23" s="20" t="n">
        <v>0</v>
      </c>
      <c r="M23" s="18" t="n">
        <v>0.22608407</v>
      </c>
      <c r="N23" s="20" t="n">
        <v>0.26099443</v>
      </c>
      <c r="O23" s="18" t="n">
        <v>0.00564002</v>
      </c>
      <c r="P23" s="20" t="n">
        <v>0.00563385</v>
      </c>
      <c r="Q23" s="18" t="n">
        <v>0</v>
      </c>
      <c r="R23" s="20" t="n">
        <v>0</v>
      </c>
      <c r="S23" s="18" t="n">
        <v>12.12292926</v>
      </c>
      <c r="T23" s="20" t="n">
        <v>1.47764503</v>
      </c>
    </row>
    <row r="24" spans="1:20">
      <c r="A24" s="15" t="s">
        <v>582</v>
      </c>
      <c r="B24" s="17" t="n">
        <v>6647</v>
      </c>
      <c r="C24" s="18">
        <f>(5900.0/B24*100)</f>
        <v/>
      </c>
      <c r="D24" s="19" t="n">
        <v>747</v>
      </c>
      <c r="E24" s="18" t="n">
        <v>19.11836393</v>
      </c>
      <c r="F24" s="20" t="n">
        <v>1.45014022</v>
      </c>
      <c r="G24" s="18" t="n">
        <v>56.01418062</v>
      </c>
      <c r="H24" s="20" t="n">
        <v>1.86486527</v>
      </c>
      <c r="I24" s="18" t="n">
        <v>18.66547653</v>
      </c>
      <c r="J24" s="20" t="n">
        <v>1.41639798</v>
      </c>
      <c r="K24" s="18" t="n">
        <v>0</v>
      </c>
      <c r="L24" s="20" t="n">
        <v>0</v>
      </c>
      <c r="M24" s="18" t="n">
        <v>0.11841989</v>
      </c>
      <c r="N24" s="20" t="n">
        <v>0.11848224</v>
      </c>
      <c r="O24" s="18" t="n">
        <v>0.12652724</v>
      </c>
      <c r="P24" s="20" t="n">
        <v>0.12634571</v>
      </c>
      <c r="Q24" s="18" t="n">
        <v>0</v>
      </c>
      <c r="R24" s="20" t="n">
        <v>0</v>
      </c>
      <c r="S24" s="18" t="n">
        <v>5.95703178</v>
      </c>
      <c r="T24" s="20" t="n">
        <v>0.8766829</v>
      </c>
    </row>
    <row r="25" spans="1:20">
      <c r="A25" s="15" t="s">
        <v>583</v>
      </c>
      <c r="B25" s="17" t="n">
        <v>5581</v>
      </c>
      <c r="C25" s="18">
        <f>(4957.0/B25*100)</f>
        <v/>
      </c>
      <c r="D25" s="19" t="n">
        <v>624</v>
      </c>
      <c r="E25" s="18" t="n">
        <v>27.35856789</v>
      </c>
      <c r="F25" s="20" t="n">
        <v>2.09352849</v>
      </c>
      <c r="G25" s="18" t="n">
        <v>37.05585953</v>
      </c>
      <c r="H25" s="20" t="n">
        <v>2.10101521</v>
      </c>
      <c r="I25" s="18" t="n">
        <v>27.29552761</v>
      </c>
      <c r="J25" s="20" t="n">
        <v>1.94310141</v>
      </c>
      <c r="K25" s="18" t="n">
        <v>0</v>
      </c>
      <c r="L25" s="20" t="n">
        <v>0</v>
      </c>
      <c r="M25" s="18" t="n">
        <v>0.9387002</v>
      </c>
      <c r="N25" s="20" t="n">
        <v>0.41033927</v>
      </c>
      <c r="O25" s="18" t="n">
        <v>0</v>
      </c>
      <c r="P25" s="20" t="n">
        <v>0</v>
      </c>
      <c r="Q25" s="18" t="n">
        <v>0</v>
      </c>
      <c r="R25" s="20" t="n">
        <v>0</v>
      </c>
      <c r="S25" s="18" t="n">
        <v>7.35134477</v>
      </c>
      <c r="T25" s="20" t="n">
        <v>1.18704766</v>
      </c>
    </row>
    <row r="26" spans="1:20">
      <c r="A26" s="15" t="s">
        <v>584</v>
      </c>
      <c r="B26" s="17" t="n">
        <v>4869</v>
      </c>
      <c r="C26" s="18">
        <f>(4335.0/B26*100)</f>
        <v/>
      </c>
      <c r="D26" s="19" t="n">
        <v>534</v>
      </c>
      <c r="E26" s="18" t="n">
        <v>33.64655268</v>
      </c>
      <c r="F26" s="20" t="n">
        <v>2.05447922</v>
      </c>
      <c r="G26" s="18" t="n">
        <v>22.78767233</v>
      </c>
      <c r="H26" s="20" t="n">
        <v>2.06824569</v>
      </c>
      <c r="I26" s="18" t="n">
        <v>39.12654703</v>
      </c>
      <c r="J26" s="20" t="n">
        <v>2.17012727</v>
      </c>
      <c r="K26" s="18" t="n">
        <v>0</v>
      </c>
      <c r="L26" s="20" t="n">
        <v>0</v>
      </c>
      <c r="M26" s="18" t="n">
        <v>0</v>
      </c>
      <c r="N26" s="20" t="n">
        <v>0</v>
      </c>
      <c r="O26" s="18" t="n">
        <v>0</v>
      </c>
      <c r="P26" s="20" t="n">
        <v>0</v>
      </c>
      <c r="Q26" s="18" t="n">
        <v>0</v>
      </c>
      <c r="R26" s="20" t="n">
        <v>0</v>
      </c>
      <c r="S26" s="18" t="n">
        <v>4.43922795</v>
      </c>
      <c r="T26" s="20" t="n">
        <v>0.8406973</v>
      </c>
    </row>
    <row r="27" spans="1:20">
      <c r="A27" s="15" t="s">
        <v>585</v>
      </c>
      <c r="B27" s="17" t="n">
        <v>5299</v>
      </c>
      <c r="C27" s="18">
        <f>(4715.0/B27*100)</f>
        <v/>
      </c>
      <c r="D27" s="19" t="n">
        <v>584</v>
      </c>
      <c r="E27" s="18" t="n">
        <v>33.44369012</v>
      </c>
      <c r="F27" s="20" t="n">
        <v>1.90597499</v>
      </c>
      <c r="G27" s="18" t="n">
        <v>27.0035035</v>
      </c>
      <c r="H27" s="20" t="n">
        <v>1.86265775</v>
      </c>
      <c r="I27" s="18" t="n">
        <v>31.95479183</v>
      </c>
      <c r="J27" s="20" t="n">
        <v>1.83125749</v>
      </c>
      <c r="K27" s="18" t="n">
        <v>0</v>
      </c>
      <c r="L27" s="20" t="n">
        <v>0</v>
      </c>
      <c r="M27" s="18" t="n">
        <v>0</v>
      </c>
      <c r="N27" s="20" t="n">
        <v>0</v>
      </c>
      <c r="O27" s="18" t="n">
        <v>0</v>
      </c>
      <c r="P27" s="20" t="n">
        <v>0</v>
      </c>
      <c r="Q27" s="18" t="n">
        <v>0</v>
      </c>
      <c r="R27" s="20" t="n">
        <v>0</v>
      </c>
      <c r="S27" s="18" t="n">
        <v>7.59801455</v>
      </c>
      <c r="T27" s="20" t="n">
        <v>1.18147435</v>
      </c>
    </row>
    <row r="28" spans="1:20">
      <c r="A28" s="15" t="s">
        <v>586</v>
      </c>
      <c r="B28" s="17" t="n">
        <v>7568</v>
      </c>
      <c r="C28" s="18">
        <f>(6734.0/B28*100)</f>
        <v/>
      </c>
      <c r="D28" s="19" t="n">
        <v>834</v>
      </c>
      <c r="E28" s="18" t="n">
        <v>62.71749364</v>
      </c>
      <c r="F28" s="20" t="n">
        <v>1.83621378</v>
      </c>
      <c r="G28" s="18" t="n">
        <v>20.14133958</v>
      </c>
      <c r="H28" s="20" t="n">
        <v>1.21447825</v>
      </c>
      <c r="I28" s="18" t="n">
        <v>9.212533799999999</v>
      </c>
      <c r="J28" s="20" t="n">
        <v>1.12516062</v>
      </c>
      <c r="K28" s="18" t="n">
        <v>0</v>
      </c>
      <c r="L28" s="20" t="n">
        <v>0</v>
      </c>
      <c r="M28" s="18" t="n">
        <v>0.51212432</v>
      </c>
      <c r="N28" s="20" t="n">
        <v>0.27365414</v>
      </c>
      <c r="O28" s="18" t="n">
        <v>0.10680907</v>
      </c>
      <c r="P28" s="20" t="n">
        <v>0.11086386</v>
      </c>
      <c r="Q28" s="18" t="n">
        <v>0</v>
      </c>
      <c r="R28" s="20" t="n">
        <v>0</v>
      </c>
      <c r="S28" s="18" t="n">
        <v>7.30969958</v>
      </c>
      <c r="T28" s="20" t="n">
        <v>1.16578008</v>
      </c>
    </row>
    <row r="29" spans="1:20">
      <c r="A29" s="15" t="s">
        <v>587</v>
      </c>
      <c r="B29" s="17" t="n">
        <v>5385</v>
      </c>
      <c r="C29" s="18">
        <f>(4782.0/B29*100)</f>
        <v/>
      </c>
      <c r="D29" s="19" t="n">
        <v>603</v>
      </c>
      <c r="E29" s="18" t="n">
        <v>28.85112673</v>
      </c>
      <c r="F29" s="20" t="n">
        <v>1.95775889</v>
      </c>
      <c r="G29" s="18" t="n">
        <v>28.12166631</v>
      </c>
      <c r="H29" s="20" t="n">
        <v>2.00116849</v>
      </c>
      <c r="I29" s="18" t="n">
        <v>38.08209753</v>
      </c>
      <c r="J29" s="20" t="n">
        <v>2.17384577</v>
      </c>
      <c r="K29" s="18" t="n">
        <v>0</v>
      </c>
      <c r="L29" s="20" t="n">
        <v>0</v>
      </c>
      <c r="M29" s="18" t="n">
        <v>0.40420148</v>
      </c>
      <c r="N29" s="20" t="n">
        <v>0.24121892</v>
      </c>
      <c r="O29" s="18" t="n">
        <v>0</v>
      </c>
      <c r="P29" s="20" t="n">
        <v>0</v>
      </c>
      <c r="Q29" s="18" t="n">
        <v>0</v>
      </c>
      <c r="R29" s="20" t="n">
        <v>0</v>
      </c>
      <c r="S29" s="18" t="n">
        <v>4.54090795</v>
      </c>
      <c r="T29" s="20" t="n">
        <v>0.84251642</v>
      </c>
    </row>
    <row r="30" spans="1:20">
      <c r="A30" s="15" t="s">
        <v>588</v>
      </c>
      <c r="B30" s="17" t="n">
        <v>4520</v>
      </c>
      <c r="C30" s="18">
        <f>(4022.0/B30*100)</f>
        <v/>
      </c>
      <c r="D30" s="19" t="n">
        <v>498</v>
      </c>
      <c r="E30" s="18" t="n">
        <v>36.48894212</v>
      </c>
      <c r="F30" s="20" t="n">
        <v>2.28159231</v>
      </c>
      <c r="G30" s="18" t="n">
        <v>25.07678262</v>
      </c>
      <c r="H30" s="20" t="n">
        <v>2.20996315</v>
      </c>
      <c r="I30" s="18" t="n">
        <v>29.53186868</v>
      </c>
      <c r="J30" s="20" t="n">
        <v>2.13928455</v>
      </c>
      <c r="K30" s="18" t="n">
        <v>0</v>
      </c>
      <c r="L30" s="20" t="n">
        <v>0</v>
      </c>
      <c r="M30" s="18" t="n">
        <v>0.26116561</v>
      </c>
      <c r="N30" s="20" t="n">
        <v>0.22463806</v>
      </c>
      <c r="O30" s="18" t="n">
        <v>0</v>
      </c>
      <c r="P30" s="20" t="n">
        <v>0</v>
      </c>
      <c r="Q30" s="18" t="n">
        <v>0</v>
      </c>
      <c r="R30" s="20" t="n">
        <v>0</v>
      </c>
      <c r="S30" s="18" t="n">
        <v>8.64124097</v>
      </c>
      <c r="T30" s="20" t="n">
        <v>1.35080246</v>
      </c>
    </row>
    <row r="31" spans="1:20">
      <c r="A31" s="15" t="s">
        <v>589</v>
      </c>
      <c r="B31" s="17" t="n">
        <v>5456</v>
      </c>
      <c r="C31" s="18">
        <f>(4861.0/B31*100)</f>
        <v/>
      </c>
      <c r="D31" s="19" t="n">
        <v>595</v>
      </c>
      <c r="E31" s="18" t="n">
        <v>36.48519606</v>
      </c>
      <c r="F31" s="20" t="n">
        <v>1.93349403</v>
      </c>
      <c r="G31" s="18" t="n">
        <v>20.35971515</v>
      </c>
      <c r="H31" s="20" t="n">
        <v>1.57175886</v>
      </c>
      <c r="I31" s="18" t="n">
        <v>35.95045457</v>
      </c>
      <c r="J31" s="20" t="n">
        <v>2.10185026</v>
      </c>
      <c r="K31" s="18" t="n">
        <v>0</v>
      </c>
      <c r="L31" s="20" t="n">
        <v>0</v>
      </c>
      <c r="M31" s="18" t="n">
        <v>0.49987287</v>
      </c>
      <c r="N31" s="20" t="n">
        <v>0.28348454</v>
      </c>
      <c r="O31" s="18" t="n">
        <v>0.31390825</v>
      </c>
      <c r="P31" s="20" t="n">
        <v>0.0341514</v>
      </c>
      <c r="Q31" s="18" t="n">
        <v>0</v>
      </c>
      <c r="R31" s="20" t="n">
        <v>0</v>
      </c>
      <c r="S31" s="18" t="n">
        <v>6.3908531</v>
      </c>
      <c r="T31" s="20" t="n">
        <v>0.85059149</v>
      </c>
    </row>
    <row r="32" spans="1:20">
      <c r="A32" s="15" t="s">
        <v>590</v>
      </c>
      <c r="B32" s="17" t="n">
        <v>4478</v>
      </c>
      <c r="C32" s="18">
        <f>(3989.0/B32*100)</f>
        <v/>
      </c>
      <c r="D32" s="19" t="n">
        <v>489</v>
      </c>
      <c r="E32" s="18" t="n">
        <v>27.44515551</v>
      </c>
      <c r="F32" s="20" t="n">
        <v>1.93542176</v>
      </c>
      <c r="G32" s="18" t="n">
        <v>15.29429042</v>
      </c>
      <c r="H32" s="20" t="n">
        <v>1.61771472</v>
      </c>
      <c r="I32" s="18" t="n">
        <v>50.98357402</v>
      </c>
      <c r="J32" s="20" t="n">
        <v>2.25708585</v>
      </c>
      <c r="K32" s="18" t="n">
        <v>0</v>
      </c>
      <c r="L32" s="20" t="n">
        <v>0</v>
      </c>
      <c r="M32" s="18" t="n">
        <v>0</v>
      </c>
      <c r="N32" s="20" t="n">
        <v>0</v>
      </c>
      <c r="O32" s="18" t="n">
        <v>0</v>
      </c>
      <c r="P32" s="20" t="n">
        <v>0</v>
      </c>
      <c r="Q32" s="18" t="n">
        <v>0</v>
      </c>
      <c r="R32" s="20" t="n">
        <v>0</v>
      </c>
      <c r="S32" s="18" t="n">
        <v>6.27698005</v>
      </c>
      <c r="T32" s="20" t="n">
        <v>1.09238894</v>
      </c>
    </row>
    <row r="33" spans="1:20">
      <c r="A33" s="15" t="s">
        <v>591</v>
      </c>
      <c r="B33" s="17" t="n">
        <v>7325</v>
      </c>
      <c r="C33" s="18">
        <f>(6517.0/B33*100)</f>
        <v/>
      </c>
      <c r="D33" s="19" t="n">
        <v>808</v>
      </c>
      <c r="E33" s="18" t="n">
        <v>33.114748</v>
      </c>
      <c r="F33" s="20" t="n">
        <v>2.24877275</v>
      </c>
      <c r="G33" s="18" t="n">
        <v>27.78137204</v>
      </c>
      <c r="H33" s="20" t="n">
        <v>1.65933245</v>
      </c>
      <c r="I33" s="18" t="n">
        <v>33.96224098</v>
      </c>
      <c r="J33" s="20" t="n">
        <v>1.83570291</v>
      </c>
      <c r="K33" s="18" t="n">
        <v>0</v>
      </c>
      <c r="L33" s="20" t="n">
        <v>0</v>
      </c>
      <c r="M33" s="18" t="n">
        <v>0.23904636</v>
      </c>
      <c r="N33" s="20" t="n">
        <v>0.28441976</v>
      </c>
      <c r="O33" s="18" t="n">
        <v>0.22336811</v>
      </c>
      <c r="P33" s="20" t="n">
        <v>0.24870234</v>
      </c>
      <c r="Q33" s="18" t="n">
        <v>0</v>
      </c>
      <c r="R33" s="20" t="n">
        <v>0</v>
      </c>
      <c r="S33" s="18" t="n">
        <v>4.6792245</v>
      </c>
      <c r="T33" s="20" t="n">
        <v>0.82114767</v>
      </c>
    </row>
    <row r="34" spans="1:20">
      <c r="A34" s="15" t="s">
        <v>592</v>
      </c>
      <c r="B34" s="17" t="n">
        <v>6350</v>
      </c>
      <c r="C34" s="18">
        <f>(5674.0/B34*100)</f>
        <v/>
      </c>
      <c r="D34" s="19" t="n">
        <v>676</v>
      </c>
      <c r="E34" s="18" t="n">
        <v>40.12229346</v>
      </c>
      <c r="F34" s="20" t="n">
        <v>1.95999124</v>
      </c>
      <c r="G34" s="18" t="n">
        <v>21.47497309</v>
      </c>
      <c r="H34" s="20" t="n">
        <v>1.58618305</v>
      </c>
      <c r="I34" s="18" t="n">
        <v>23.49247972</v>
      </c>
      <c r="J34" s="20" t="n">
        <v>1.50626455</v>
      </c>
      <c r="K34" s="18" t="n">
        <v>0</v>
      </c>
      <c r="L34" s="20" t="n">
        <v>0</v>
      </c>
      <c r="M34" s="18" t="n">
        <v>0.20338678</v>
      </c>
      <c r="N34" s="20" t="n">
        <v>0.11349974</v>
      </c>
      <c r="O34" s="18" t="n">
        <v>0</v>
      </c>
      <c r="P34" s="20" t="n">
        <v>0</v>
      </c>
      <c r="Q34" s="18" t="n">
        <v>0</v>
      </c>
      <c r="R34" s="20" t="n">
        <v>0</v>
      </c>
      <c r="S34" s="18" t="n">
        <v>14.70686695</v>
      </c>
      <c r="T34" s="20" t="n">
        <v>1.40224341</v>
      </c>
    </row>
    <row r="35" spans="1:20">
      <c r="A35" s="15" t="s">
        <v>593</v>
      </c>
      <c r="B35" s="17" t="n">
        <v>6406</v>
      </c>
      <c r="C35" s="18">
        <f>(5685.0/B35*100)</f>
        <v/>
      </c>
      <c r="D35" s="19" t="n">
        <v>721</v>
      </c>
      <c r="E35" s="18" t="n">
        <v>23.33164203</v>
      </c>
      <c r="F35" s="20" t="n">
        <v>2.21852972</v>
      </c>
      <c r="G35" s="18" t="n">
        <v>21.73429934</v>
      </c>
      <c r="H35" s="20" t="n">
        <v>1.98869653</v>
      </c>
      <c r="I35" s="18" t="n">
        <v>49.30691428</v>
      </c>
      <c r="J35" s="20" t="n">
        <v>2.22241767</v>
      </c>
      <c r="K35" s="18" t="n">
        <v>0</v>
      </c>
      <c r="L35" s="20" t="n">
        <v>0</v>
      </c>
      <c r="M35" s="18" t="n">
        <v>0</v>
      </c>
      <c r="N35" s="20" t="n">
        <v>0</v>
      </c>
      <c r="O35" s="18" t="n">
        <v>0.23432443</v>
      </c>
      <c r="P35" s="20" t="n">
        <v>0.2356566</v>
      </c>
      <c r="Q35" s="18" t="n">
        <v>0</v>
      </c>
      <c r="R35" s="20" t="n">
        <v>0</v>
      </c>
      <c r="S35" s="18" t="n">
        <v>5.39281992</v>
      </c>
      <c r="T35" s="20" t="n">
        <v>0.9632045</v>
      </c>
    </row>
    <row r="36" spans="1:20">
      <c r="A36" s="15" t="s">
        <v>594</v>
      </c>
      <c r="B36" s="17" t="n">
        <v>6736</v>
      </c>
      <c r="C36" s="18">
        <f>(5983.0/B36*100)</f>
        <v/>
      </c>
      <c r="D36" s="19" t="n">
        <v>753</v>
      </c>
      <c r="E36" s="18" t="n">
        <v>29.68189392</v>
      </c>
      <c r="F36" s="20" t="n">
        <v>1.53306643</v>
      </c>
      <c r="G36" s="18" t="n">
        <v>23.6343559</v>
      </c>
      <c r="H36" s="20" t="n">
        <v>1.51907166</v>
      </c>
      <c r="I36" s="18" t="n">
        <v>38.17624224</v>
      </c>
      <c r="J36" s="20" t="n">
        <v>1.71465323</v>
      </c>
      <c r="K36" s="18" t="n">
        <v>0</v>
      </c>
      <c r="L36" s="20" t="n">
        <v>0</v>
      </c>
      <c r="M36" s="18" t="n">
        <v>0.30589947</v>
      </c>
      <c r="N36" s="20" t="n">
        <v>0.18791571</v>
      </c>
      <c r="O36" s="18" t="n">
        <v>0</v>
      </c>
      <c r="P36" s="20" t="n">
        <v>0</v>
      </c>
      <c r="Q36" s="18" t="n">
        <v>0</v>
      </c>
      <c r="R36" s="20" t="n">
        <v>0</v>
      </c>
      <c r="S36" s="18" t="n">
        <v>8.201608480000001</v>
      </c>
      <c r="T36" s="20" t="n">
        <v>1.07608229</v>
      </c>
    </row>
    <row r="37" spans="1:20">
      <c r="A37" s="15" t="s">
        <v>595</v>
      </c>
      <c r="B37" s="17" t="n">
        <v>5458</v>
      </c>
      <c r="C37" s="18">
        <f>(4867.0/B37*100)</f>
        <v/>
      </c>
      <c r="D37" s="19" t="n">
        <v>591</v>
      </c>
      <c r="E37" s="18" t="n">
        <v>43.45326855</v>
      </c>
      <c r="F37" s="20" t="n">
        <v>2.14464907</v>
      </c>
      <c r="G37" s="18" t="n">
        <v>19.61282947</v>
      </c>
      <c r="H37" s="20" t="n">
        <v>1.73509665</v>
      </c>
      <c r="I37" s="18" t="n">
        <v>27.50136286</v>
      </c>
      <c r="J37" s="20" t="n">
        <v>1.93083807</v>
      </c>
      <c r="K37" s="18" t="n">
        <v>0</v>
      </c>
      <c r="L37" s="20" t="n">
        <v>0</v>
      </c>
      <c r="M37" s="18" t="n">
        <v>0.14936333</v>
      </c>
      <c r="N37" s="20" t="n">
        <v>0.15052899</v>
      </c>
      <c r="O37" s="18" t="n">
        <v>0</v>
      </c>
      <c r="P37" s="20" t="n">
        <v>0</v>
      </c>
      <c r="Q37" s="18" t="n">
        <v>0</v>
      </c>
      <c r="R37" s="20" t="n">
        <v>0</v>
      </c>
      <c r="S37" s="18" t="n">
        <v>9.28317579</v>
      </c>
      <c r="T37" s="20" t="n">
        <v>1.33248224</v>
      </c>
    </row>
    <row r="38" spans="1:20">
      <c r="A38" s="15" t="s">
        <v>596</v>
      </c>
      <c r="B38" s="17" t="n">
        <v>5860</v>
      </c>
      <c r="C38" s="18">
        <f>(5217.0/B38*100)</f>
        <v/>
      </c>
      <c r="D38" s="19" t="n">
        <v>643</v>
      </c>
      <c r="E38" s="18" t="n">
        <v>28.49644428</v>
      </c>
      <c r="F38" s="20" t="n">
        <v>1.98102245</v>
      </c>
      <c r="G38" s="18" t="n">
        <v>27.65042059</v>
      </c>
      <c r="H38" s="20" t="n">
        <v>1.8403425</v>
      </c>
      <c r="I38" s="18" t="n">
        <v>33.45056276</v>
      </c>
      <c r="J38" s="20" t="n">
        <v>2.34432448</v>
      </c>
      <c r="K38" s="18" t="n">
        <v>0</v>
      </c>
      <c r="L38" s="20" t="n">
        <v>0</v>
      </c>
      <c r="M38" s="18" t="n">
        <v>0.12895498</v>
      </c>
      <c r="N38" s="20" t="n">
        <v>0.1290946</v>
      </c>
      <c r="O38" s="18" t="n">
        <v>4.49635875</v>
      </c>
      <c r="P38" s="20" t="n">
        <v>0.90693661</v>
      </c>
      <c r="Q38" s="18" t="n">
        <v>0</v>
      </c>
      <c r="R38" s="20" t="n">
        <v>0</v>
      </c>
      <c r="S38" s="18" t="n">
        <v>5.77725864</v>
      </c>
      <c r="T38" s="20" t="n">
        <v>0.9088446100000001</v>
      </c>
    </row>
    <row r="39" spans="1:20">
      <c r="A39" s="15" t="s">
        <v>597</v>
      </c>
      <c r="B39" s="17" t="n">
        <v>5895</v>
      </c>
      <c r="C39" s="18">
        <f>(5253.0/B39*100)</f>
        <v/>
      </c>
      <c r="D39" s="19" t="n">
        <v>642</v>
      </c>
      <c r="E39" s="18" t="n">
        <v>56.13388498</v>
      </c>
      <c r="F39" s="20" t="n">
        <v>1.98292256</v>
      </c>
      <c r="G39" s="18" t="n">
        <v>19.58250474</v>
      </c>
      <c r="H39" s="20" t="n">
        <v>1.44087646</v>
      </c>
      <c r="I39" s="18" t="n">
        <v>10.28903032</v>
      </c>
      <c r="J39" s="20" t="n">
        <v>1.09631363</v>
      </c>
      <c r="K39" s="18" t="n">
        <v>0</v>
      </c>
      <c r="L39" s="20" t="n">
        <v>0</v>
      </c>
      <c r="M39" s="18" t="n">
        <v>0</v>
      </c>
      <c r="N39" s="20" t="n">
        <v>0</v>
      </c>
      <c r="O39" s="18" t="n">
        <v>0</v>
      </c>
      <c r="P39" s="20" t="n">
        <v>0</v>
      </c>
      <c r="Q39" s="18" t="n">
        <v>0</v>
      </c>
      <c r="R39" s="20" t="n">
        <v>0</v>
      </c>
      <c r="S39" s="18" t="n">
        <v>13.99457996</v>
      </c>
      <c r="T39" s="20" t="n">
        <v>1.47217416</v>
      </c>
    </row>
    <row r="40" spans="1:20">
      <c r="A40" s="15" t="s">
        <v>598</v>
      </c>
      <c r="B40" s="17" t="n">
        <v>14157</v>
      </c>
      <c r="C40" s="18">
        <f>(12606.0/B40*100)</f>
        <v/>
      </c>
      <c r="D40" s="19" t="n">
        <v>1551</v>
      </c>
      <c r="E40" s="18" t="n">
        <v>49.70896941</v>
      </c>
      <c r="F40" s="20" t="n">
        <v>2.01817168</v>
      </c>
      <c r="G40" s="18" t="n">
        <v>18.49430161</v>
      </c>
      <c r="H40" s="20" t="n">
        <v>1.45781768</v>
      </c>
      <c r="I40" s="18" t="n">
        <v>25.40349898</v>
      </c>
      <c r="J40" s="20" t="n">
        <v>1.74394308</v>
      </c>
      <c r="K40" s="18" t="n">
        <v>0</v>
      </c>
      <c r="L40" s="20" t="n">
        <v>0</v>
      </c>
      <c r="M40" s="18" t="n">
        <v>0.27710436</v>
      </c>
      <c r="N40" s="20" t="n">
        <v>0.18325383</v>
      </c>
      <c r="O40" s="18" t="n">
        <v>0.05045068</v>
      </c>
      <c r="P40" s="20" t="n">
        <v>0.04851786</v>
      </c>
      <c r="Q40" s="18" t="n">
        <v>0</v>
      </c>
      <c r="R40" s="20" t="n">
        <v>0</v>
      </c>
      <c r="S40" s="18" t="n">
        <v>6.06567496</v>
      </c>
      <c r="T40" s="20" t="n">
        <v>0.97537774</v>
      </c>
    </row>
    <row r="41" spans="1:20">
      <c r="A41" s="15" t="s">
        <v>599</v>
      </c>
      <c r="B41" s="17" t="n">
        <v>5712</v>
      </c>
      <c r="C41" s="18">
        <f>(5090.0/B41*100)</f>
        <v/>
      </c>
      <c r="D41" s="19" t="n">
        <v>622</v>
      </c>
      <c r="E41" s="18" t="n">
        <v>43.39802211</v>
      </c>
      <c r="F41" s="20" t="n">
        <v>2.33309835</v>
      </c>
      <c r="G41" s="18" t="n">
        <v>26.88411673</v>
      </c>
      <c r="H41" s="20" t="n">
        <v>1.93039295</v>
      </c>
      <c r="I41" s="18" t="n">
        <v>25.72496893</v>
      </c>
      <c r="J41" s="20" t="n">
        <v>2.18060142</v>
      </c>
      <c r="K41" s="18" t="n">
        <v>0</v>
      </c>
      <c r="L41" s="20" t="n">
        <v>0</v>
      </c>
      <c r="M41" s="18" t="n">
        <v>0.21779942</v>
      </c>
      <c r="N41" s="20" t="n">
        <v>0.17783767</v>
      </c>
      <c r="O41" s="18" t="n">
        <v>0.28521818</v>
      </c>
      <c r="P41" s="20" t="n">
        <v>0.20176966</v>
      </c>
      <c r="Q41" s="18" t="n">
        <v>0</v>
      </c>
      <c r="R41" s="20" t="n">
        <v>0</v>
      </c>
      <c r="S41" s="18" t="n">
        <v>3.48987463</v>
      </c>
      <c r="T41" s="20" t="n">
        <v>0.81847214</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(20781.0/B46*100)</f>
        <v/>
      </c>
      <c r="D46" s="19" t="n">
        <v>2360</v>
      </c>
      <c r="E46" s="18" t="n">
        <v>50.25174361</v>
      </c>
      <c r="F46" s="20" t="n">
        <v>1.31215079</v>
      </c>
      <c r="G46" s="18" t="n">
        <v>20.00039477</v>
      </c>
      <c r="H46" s="20" t="n">
        <v>1.09057372</v>
      </c>
      <c r="I46" s="18" t="n">
        <v>6.05149349</v>
      </c>
      <c r="J46" s="20" t="n">
        <v>0.75364743</v>
      </c>
      <c r="K46" s="18" t="n">
        <v>0</v>
      </c>
      <c r="L46" s="20" t="n">
        <v>0</v>
      </c>
      <c r="M46" s="18" t="n">
        <v>0.50524102</v>
      </c>
      <c r="N46" s="20" t="n">
        <v>0.20848373</v>
      </c>
      <c r="O46" s="18" t="n">
        <v>0.4308605</v>
      </c>
      <c r="P46" s="20" t="n">
        <v>0.22658788</v>
      </c>
      <c r="Q46" s="18" t="n">
        <v>0</v>
      </c>
      <c r="R46" s="20" t="n">
        <v>0</v>
      </c>
      <c r="S46" s="18" t="n">
        <v>22.76026662</v>
      </c>
      <c r="T46" s="20" t="n">
        <v>1.08379078</v>
      </c>
    </row>
    <row r="47" spans="1:20">
      <c r="A47" s="15" t="s">
        <v>606</v>
      </c>
      <c r="B47" s="17" t="n">
        <v>5928</v>
      </c>
      <c r="C47" s="18">
        <f>(5277.0/B47*100)</f>
        <v/>
      </c>
      <c r="D47" s="19" t="n">
        <v>651</v>
      </c>
      <c r="E47" s="18" t="n">
        <v>37.00584159</v>
      </c>
      <c r="F47" s="20" t="n">
        <v>2.01752807</v>
      </c>
      <c r="G47" s="18" t="n">
        <v>17.98599692</v>
      </c>
      <c r="H47" s="20" t="n">
        <v>1.32922364</v>
      </c>
      <c r="I47" s="18" t="n">
        <v>25.30329264</v>
      </c>
      <c r="J47" s="20" t="n">
        <v>1.88238734</v>
      </c>
      <c r="K47" s="18" t="n">
        <v>0</v>
      </c>
      <c r="L47" s="20" t="n">
        <v>0</v>
      </c>
      <c r="M47" s="18" t="n">
        <v>0.46919234</v>
      </c>
      <c r="N47" s="20" t="n">
        <v>0.30917076</v>
      </c>
      <c r="O47" s="18" t="n">
        <v>0.15856131</v>
      </c>
      <c r="P47" s="20" t="n">
        <v>0.15041963</v>
      </c>
      <c r="Q47" s="18" t="n">
        <v>0</v>
      </c>
      <c r="R47" s="20" t="n">
        <v>0</v>
      </c>
      <c r="S47" s="18" t="n">
        <v>19.0771152</v>
      </c>
      <c r="T47" s="20" t="n">
        <v>1.78818761</v>
      </c>
    </row>
    <row r="48" spans="1:20">
      <c r="A48" s="15" t="s">
        <v>607</v>
      </c>
      <c r="B48" s="17" t="n">
        <v>9841</v>
      </c>
      <c r="C48" s="18">
        <f>(8781.0/B48*100)</f>
        <v/>
      </c>
      <c r="D48" s="19" t="n">
        <v>1060</v>
      </c>
      <c r="E48" s="18" t="n">
        <v>32.4605161</v>
      </c>
      <c r="F48" s="20" t="n">
        <v>2.45260467</v>
      </c>
      <c r="G48" s="18" t="n">
        <v>12.65216619</v>
      </c>
      <c r="H48" s="20" t="n">
        <v>1.28773931</v>
      </c>
      <c r="I48" s="18" t="n">
        <v>47.06339916</v>
      </c>
      <c r="J48" s="20" t="n">
        <v>2.94391425</v>
      </c>
      <c r="K48" s="18" t="n">
        <v>0</v>
      </c>
      <c r="L48" s="20" t="n">
        <v>0</v>
      </c>
      <c r="M48" s="18" t="n">
        <v>0.07199730999999999</v>
      </c>
      <c r="N48" s="20" t="n">
        <v>0.10100393</v>
      </c>
      <c r="O48" s="18" t="n">
        <v>0.02889926</v>
      </c>
      <c r="P48" s="20" t="n">
        <v>0.02213274</v>
      </c>
      <c r="Q48" s="18" t="n">
        <v>0</v>
      </c>
      <c r="R48" s="20" t="n">
        <v>0</v>
      </c>
      <c r="S48" s="18" t="n">
        <v>7.72302199</v>
      </c>
      <c r="T48" s="20" t="n">
        <v>1.12218994</v>
      </c>
    </row>
    <row r="49" spans="1:20">
      <c r="A49" s="15" t="s">
        <v>608</v>
      </c>
      <c r="B49" s="17" t="n">
        <v>11795</v>
      </c>
      <c r="C49" s="18">
        <f>(10500.0/B49*100)</f>
        <v/>
      </c>
      <c r="D49" s="19" t="n">
        <v>1295</v>
      </c>
      <c r="E49" s="18" t="n">
        <v>60.92060343</v>
      </c>
      <c r="F49" s="20" t="n">
        <v>1.75536752</v>
      </c>
      <c r="G49" s="18" t="n">
        <v>26.8924559</v>
      </c>
      <c r="H49" s="20" t="n">
        <v>1.68699817</v>
      </c>
      <c r="I49" s="18" t="n">
        <v>3.39290323</v>
      </c>
      <c r="J49" s="20" t="n">
        <v>0.61320232</v>
      </c>
      <c r="K49" s="18" t="n">
        <v>0</v>
      </c>
      <c r="L49" s="20" t="n">
        <v>0</v>
      </c>
      <c r="M49" s="18" t="n">
        <v>0.67734342</v>
      </c>
      <c r="N49" s="20" t="n">
        <v>0.39365794</v>
      </c>
      <c r="O49" s="18" t="n">
        <v>0.11492301</v>
      </c>
      <c r="P49" s="20" t="n">
        <v>0.06165034</v>
      </c>
      <c r="Q49" s="18" t="n">
        <v>0</v>
      </c>
      <c r="R49" s="20" t="n">
        <v>0</v>
      </c>
      <c r="S49" s="18" t="n">
        <v>8.001771010000001</v>
      </c>
      <c r="T49" s="20" t="n">
        <v>1.07374138</v>
      </c>
    </row>
    <row r="50" spans="1:20">
      <c r="A50" s="15" t="s">
        <v>609</v>
      </c>
      <c r="B50" s="17" t="n">
        <v>6866</v>
      </c>
      <c r="C50" s="18">
        <f>(6191.0/B50*100)</f>
        <v/>
      </c>
      <c r="D50" s="19" t="n">
        <v>675</v>
      </c>
      <c r="E50" s="18" t="n">
        <v>55.5258102</v>
      </c>
      <c r="F50" s="20" t="n">
        <v>2.16412848</v>
      </c>
      <c r="G50" s="18" t="n">
        <v>30.00032649</v>
      </c>
      <c r="H50" s="20" t="n">
        <v>1.89029773</v>
      </c>
      <c r="I50" s="18" t="n">
        <v>3.97950691</v>
      </c>
      <c r="J50" s="20" t="n">
        <v>0.97886909</v>
      </c>
      <c r="K50" s="18" t="n">
        <v>0</v>
      </c>
      <c r="L50" s="20" t="n">
        <v>0</v>
      </c>
      <c r="M50" s="18" t="n">
        <v>0.16196248</v>
      </c>
      <c r="N50" s="20" t="n">
        <v>0.16289166</v>
      </c>
      <c r="O50" s="18" t="n">
        <v>0.32102763</v>
      </c>
      <c r="P50" s="20" t="n">
        <v>0.31267854</v>
      </c>
      <c r="Q50" s="18" t="n">
        <v>0</v>
      </c>
      <c r="R50" s="20" t="n">
        <v>0</v>
      </c>
      <c r="S50" s="18" t="n">
        <v>10.01136628</v>
      </c>
      <c r="T50" s="20" t="n">
        <v>1.1988385</v>
      </c>
    </row>
    <row r="51" spans="1:20">
      <c r="A51" s="15" t="s">
        <v>610</v>
      </c>
      <c r="B51" s="17" t="n">
        <v>5809</v>
      </c>
      <c r="C51" s="18">
        <f>(5176.0/B51*100)</f>
        <v/>
      </c>
      <c r="D51" s="19" t="n">
        <v>633</v>
      </c>
      <c r="E51" s="18" t="n">
        <v>35.98441698</v>
      </c>
      <c r="F51" s="20" t="n">
        <v>1.99547315</v>
      </c>
      <c r="G51" s="18" t="n">
        <v>17.46124302</v>
      </c>
      <c r="H51" s="20" t="n">
        <v>1.48397291</v>
      </c>
      <c r="I51" s="18" t="n">
        <v>31.29261577</v>
      </c>
      <c r="J51" s="20" t="n">
        <v>1.69083745</v>
      </c>
      <c r="K51" s="18" t="n">
        <v>0</v>
      </c>
      <c r="L51" s="20" t="n">
        <v>0</v>
      </c>
      <c r="M51" s="18" t="n">
        <v>0.16074986</v>
      </c>
      <c r="N51" s="20" t="n">
        <v>0.15722614</v>
      </c>
      <c r="O51" s="18" t="n">
        <v>0</v>
      </c>
      <c r="P51" s="20" t="n">
        <v>0</v>
      </c>
      <c r="Q51" s="18" t="n">
        <v>0</v>
      </c>
      <c r="R51" s="20" t="n">
        <v>0</v>
      </c>
      <c r="S51" s="18" t="n">
        <v>15.10097437</v>
      </c>
      <c r="T51" s="20" t="n">
        <v>1.52828529</v>
      </c>
    </row>
    <row r="52" spans="1:20">
      <c r="A52" s="15" t="s">
        <v>611</v>
      </c>
      <c r="B52" s="17" t="n">
        <v>5571</v>
      </c>
      <c r="C52" s="18">
        <f>(4957.0/B52*100)</f>
        <v/>
      </c>
      <c r="D52" s="19" t="n">
        <v>614</v>
      </c>
      <c r="E52" s="18" t="n">
        <v>44.72539013</v>
      </c>
      <c r="F52" s="20" t="n">
        <v>2.20354345</v>
      </c>
      <c r="G52" s="18" t="n">
        <v>20.33493778</v>
      </c>
      <c r="H52" s="20" t="n">
        <v>1.77770294</v>
      </c>
      <c r="I52" s="18" t="n">
        <v>18.7371267</v>
      </c>
      <c r="J52" s="20" t="n">
        <v>1.62316181</v>
      </c>
      <c r="K52" s="18" t="n">
        <v>0</v>
      </c>
      <c r="L52" s="20" t="n">
        <v>0</v>
      </c>
      <c r="M52" s="18" t="n">
        <v>0.37535535</v>
      </c>
      <c r="N52" s="20" t="n">
        <v>0.21963428</v>
      </c>
      <c r="O52" s="18" t="n">
        <v>0.36059477</v>
      </c>
      <c r="P52" s="20" t="n">
        <v>0.26017895</v>
      </c>
      <c r="Q52" s="18" t="n">
        <v>0</v>
      </c>
      <c r="R52" s="20" t="n">
        <v>0</v>
      </c>
      <c r="S52" s="18" t="n">
        <v>15.46659528</v>
      </c>
      <c r="T52" s="20" t="n">
        <v>1.64676595</v>
      </c>
    </row>
    <row r="53" spans="1:20">
      <c r="A53" s="15" t="s">
        <v>612</v>
      </c>
      <c r="B53" s="17" t="n">
        <v>4740</v>
      </c>
      <c r="C53" s="18">
        <f>(4196.0/B53*100)</f>
        <v/>
      </c>
      <c r="D53" s="19" t="n">
        <v>544</v>
      </c>
      <c r="E53" s="18" t="n">
        <v>54.06058037</v>
      </c>
      <c r="F53" s="20" t="n">
        <v>2.1261353</v>
      </c>
      <c r="G53" s="18" t="n">
        <v>10.00264014</v>
      </c>
      <c r="H53" s="20" t="n">
        <v>1.31836516</v>
      </c>
      <c r="I53" s="18" t="n">
        <v>3.24056387</v>
      </c>
      <c r="J53" s="20" t="n">
        <v>0.75743635</v>
      </c>
      <c r="K53" s="18" t="n">
        <v>0</v>
      </c>
      <c r="L53" s="20" t="n">
        <v>0</v>
      </c>
      <c r="M53" s="18" t="n">
        <v>3.94924573</v>
      </c>
      <c r="N53" s="20" t="n">
        <v>0.85469953</v>
      </c>
      <c r="O53" s="18" t="n">
        <v>0.56002328</v>
      </c>
      <c r="P53" s="20" t="n">
        <v>0.43224126</v>
      </c>
      <c r="Q53" s="18" t="n">
        <v>0</v>
      </c>
      <c r="R53" s="20" t="n">
        <v>0</v>
      </c>
      <c r="S53" s="18" t="n">
        <v>28.18694661</v>
      </c>
      <c r="T53" s="20" t="n">
        <v>2.29391378</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(4778.0/B55*100)</f>
        <v/>
      </c>
      <c r="D55" s="19" t="n">
        <v>581</v>
      </c>
      <c r="E55" s="18" t="n">
        <v>36.71172812</v>
      </c>
      <c r="F55" s="20" t="n">
        <v>2.05384141</v>
      </c>
      <c r="G55" s="18" t="n">
        <v>21.08835712</v>
      </c>
      <c r="H55" s="20" t="n">
        <v>2.00572491</v>
      </c>
      <c r="I55" s="18" t="n">
        <v>37.11201006</v>
      </c>
      <c r="J55" s="20" t="n">
        <v>1.90182471</v>
      </c>
      <c r="K55" s="18" t="n">
        <v>0</v>
      </c>
      <c r="L55" s="20" t="n">
        <v>0</v>
      </c>
      <c r="M55" s="18" t="n">
        <v>0</v>
      </c>
      <c r="N55" s="20" t="n">
        <v>0</v>
      </c>
      <c r="O55" s="18" t="n">
        <v>0.15630049</v>
      </c>
      <c r="P55" s="20" t="n">
        <v>0.15783552</v>
      </c>
      <c r="Q55" s="18" t="n">
        <v>0</v>
      </c>
      <c r="R55" s="20" t="n">
        <v>0</v>
      </c>
      <c r="S55" s="18" t="n">
        <v>4.93160421</v>
      </c>
      <c r="T55" s="20" t="n">
        <v>0.89112525</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(5819.0/B61*100)</f>
        <v/>
      </c>
      <c r="D61" s="19" t="n">
        <v>706</v>
      </c>
      <c r="E61" s="18" t="n">
        <v>34.28810105</v>
      </c>
      <c r="F61" s="20" t="n">
        <v>2.1047746</v>
      </c>
      <c r="G61" s="18" t="n">
        <v>25.38624692</v>
      </c>
      <c r="H61" s="20" t="n">
        <v>2.3100838</v>
      </c>
      <c r="I61" s="18" t="n">
        <v>29.76835499</v>
      </c>
      <c r="J61" s="20" t="n">
        <v>1.92358724</v>
      </c>
      <c r="K61" s="18" t="n">
        <v>0</v>
      </c>
      <c r="L61" s="20" t="n">
        <v>0</v>
      </c>
      <c r="M61" s="18" t="n">
        <v>0</v>
      </c>
      <c r="N61" s="20" t="n">
        <v>0</v>
      </c>
      <c r="O61" s="18" t="n">
        <v>0</v>
      </c>
      <c r="P61" s="20" t="n">
        <v>0</v>
      </c>
      <c r="Q61" s="18" t="n">
        <v>0</v>
      </c>
      <c r="R61" s="20" t="n">
        <v>0</v>
      </c>
      <c r="S61" s="18" t="n">
        <v>10.55729703</v>
      </c>
      <c r="T61" s="20" t="n">
        <v>1.23499349</v>
      </c>
    </row>
    <row r="62" spans="1:20">
      <c r="A62" s="15" t="s">
        <v>622</v>
      </c>
      <c r="B62" s="17" t="n">
        <v>4476</v>
      </c>
      <c r="C62" s="18">
        <f>(3994.0/B62*100)</f>
        <v/>
      </c>
      <c r="D62" s="19" t="n">
        <v>482</v>
      </c>
      <c r="E62" s="18" t="n">
        <v>33.48165369</v>
      </c>
      <c r="F62" s="20" t="n">
        <v>2.26099869</v>
      </c>
      <c r="G62" s="18" t="n">
        <v>32.31032137</v>
      </c>
      <c r="H62" s="20" t="n">
        <v>1.96401485</v>
      </c>
      <c r="I62" s="18" t="n">
        <v>31.10233223</v>
      </c>
      <c r="J62" s="20" t="n">
        <v>2.32365995</v>
      </c>
      <c r="K62" s="18" t="n">
        <v>0</v>
      </c>
      <c r="L62" s="20" t="n">
        <v>0</v>
      </c>
      <c r="M62" s="18" t="n">
        <v>0</v>
      </c>
      <c r="N62" s="20" t="n">
        <v>0</v>
      </c>
      <c r="O62" s="18" t="n">
        <v>0</v>
      </c>
      <c r="P62" s="20" t="n">
        <v>0</v>
      </c>
      <c r="Q62" s="18" t="n">
        <v>0</v>
      </c>
      <c r="R62" s="20" t="n">
        <v>0</v>
      </c>
      <c r="S62" s="18" t="n">
        <v>3.10569271</v>
      </c>
      <c r="T62" s="20" t="n">
        <v>0.76539868</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(5042.0/B67*100)</f>
        <v/>
      </c>
      <c r="D67" s="19" t="n">
        <v>623</v>
      </c>
      <c r="E67" s="18" t="n">
        <v>43.43782406</v>
      </c>
      <c r="F67" s="20" t="n">
        <v>2.0039481</v>
      </c>
      <c r="G67" s="18" t="n">
        <v>14.94609344</v>
      </c>
      <c r="H67" s="20" t="n">
        <v>1.41289285</v>
      </c>
      <c r="I67" s="18" t="n">
        <v>16.12405306</v>
      </c>
      <c r="J67" s="20" t="n">
        <v>1.55249264</v>
      </c>
      <c r="K67" s="18" t="n">
        <v>0</v>
      </c>
      <c r="L67" s="20" t="n">
        <v>0</v>
      </c>
      <c r="M67" s="18" t="n">
        <v>0.13398893</v>
      </c>
      <c r="N67" s="20" t="n">
        <v>0.13385359</v>
      </c>
      <c r="O67" s="18" t="n">
        <v>0.58898986</v>
      </c>
      <c r="P67" s="20" t="n">
        <v>0.29156627</v>
      </c>
      <c r="Q67" s="18" t="n">
        <v>0</v>
      </c>
      <c r="R67" s="20" t="n">
        <v>0</v>
      </c>
      <c r="S67" s="18" t="n">
        <v>24.76905066</v>
      </c>
      <c r="T67" s="20" t="n">
        <v>1.70838731</v>
      </c>
    </row>
    <row r="68" spans="1:20">
      <c r="A68" s="15" t="s">
        <v>628</v>
      </c>
      <c r="B68" s="17" t="n">
        <v>6971</v>
      </c>
      <c r="C68" s="18">
        <f>(6207.0/B68*100)</f>
        <v/>
      </c>
      <c r="D68" s="19" t="n">
        <v>764</v>
      </c>
      <c r="E68" s="18" t="n">
        <v>59.06689733</v>
      </c>
      <c r="F68" s="20" t="n">
        <v>2.19168549</v>
      </c>
      <c r="G68" s="18" t="n">
        <v>19.02809097</v>
      </c>
      <c r="H68" s="20" t="n">
        <v>1.62653285</v>
      </c>
      <c r="I68" s="18" t="n">
        <v>8.48760974</v>
      </c>
      <c r="J68" s="20" t="n">
        <v>1.17571373</v>
      </c>
      <c r="K68" s="18" t="n">
        <v>0</v>
      </c>
      <c r="L68" s="20" t="n">
        <v>0</v>
      </c>
      <c r="M68" s="18" t="n">
        <v>0.09823108999999999</v>
      </c>
      <c r="N68" s="20" t="n">
        <v>0.09847363000000001</v>
      </c>
      <c r="O68" s="18" t="n">
        <v>0.23311712</v>
      </c>
      <c r="P68" s="20" t="n">
        <v>0.21177319</v>
      </c>
      <c r="Q68" s="18" t="n">
        <v>0</v>
      </c>
      <c r="R68" s="20" t="n">
        <v>0</v>
      </c>
      <c r="S68" s="18" t="n">
        <v>13.08605375</v>
      </c>
      <c r="T68" s="20" t="n">
        <v>1.42052456</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(10724.0/B70*100)</f>
        <v/>
      </c>
      <c r="D70" s="19" t="n">
        <v>1359</v>
      </c>
      <c r="E70" s="18" t="n">
        <v>50.67193153</v>
      </c>
      <c r="F70" s="20" t="n">
        <v>1.19531898</v>
      </c>
      <c r="G70" s="18" t="n">
        <v>20.11050567</v>
      </c>
      <c r="H70" s="20" t="n">
        <v>1.0597746</v>
      </c>
      <c r="I70" s="18" t="n">
        <v>14.03749809</v>
      </c>
      <c r="J70" s="20" t="n">
        <v>0.88880001</v>
      </c>
      <c r="K70" s="18" t="n">
        <v>0</v>
      </c>
      <c r="L70" s="20" t="n">
        <v>0</v>
      </c>
      <c r="M70" s="18" t="n">
        <v>0.66169298</v>
      </c>
      <c r="N70" s="20" t="n">
        <v>0.22194251</v>
      </c>
      <c r="O70" s="18" t="n">
        <v>0.0699192</v>
      </c>
      <c r="P70" s="20" t="n">
        <v>0.07005876</v>
      </c>
      <c r="Q70" s="18" t="n">
        <v>0</v>
      </c>
      <c r="R70" s="20" t="n">
        <v>0</v>
      </c>
      <c r="S70" s="18" t="n">
        <v>14.44845253</v>
      </c>
      <c r="T70" s="20" t="n">
        <v>0.9984237500000001</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(5394.0/B72*100)</f>
        <v/>
      </c>
      <c r="D72" s="19" t="n">
        <v>642</v>
      </c>
      <c r="E72" s="18" t="n">
        <v>52.76880222</v>
      </c>
      <c r="F72" s="20" t="n">
        <v>2.02180508</v>
      </c>
      <c r="G72" s="18" t="n">
        <v>14.79697022</v>
      </c>
      <c r="H72" s="20" t="n">
        <v>1.52632368</v>
      </c>
      <c r="I72" s="18" t="n">
        <v>25.75821889</v>
      </c>
      <c r="J72" s="20" t="n">
        <v>1.9401521</v>
      </c>
      <c r="K72" s="18" t="n">
        <v>0</v>
      </c>
      <c r="L72" s="20" t="n">
        <v>0</v>
      </c>
      <c r="M72" s="18" t="n">
        <v>0.36011948</v>
      </c>
      <c r="N72" s="20" t="n">
        <v>0.25275934</v>
      </c>
      <c r="O72" s="18" t="n">
        <v>0</v>
      </c>
      <c r="P72" s="20" t="n">
        <v>0</v>
      </c>
      <c r="Q72" s="18" t="n">
        <v>0</v>
      </c>
      <c r="R72" s="20" t="n">
        <v>0</v>
      </c>
      <c r="S72" s="18" t="n">
        <v>6.31588919</v>
      </c>
      <c r="T72" s="20" t="n">
        <v>1.05293381</v>
      </c>
    </row>
    <row r="73" spans="1:20">
      <c r="A73" s="15" t="s">
        <v>633</v>
      </c>
      <c r="B73" s="17" t="n">
        <v>6115</v>
      </c>
      <c r="C73" s="18">
        <f>(5425.0/B73*100)</f>
        <v/>
      </c>
      <c r="D73" s="19" t="n">
        <v>690</v>
      </c>
      <c r="E73" s="18" t="n">
        <v>36.49625898</v>
      </c>
      <c r="F73" s="20" t="n">
        <v>1.79937027</v>
      </c>
      <c r="G73" s="18" t="n">
        <v>29.58693774</v>
      </c>
      <c r="H73" s="20" t="n">
        <v>1.98446599</v>
      </c>
      <c r="I73" s="18" t="n">
        <v>31.15447909</v>
      </c>
      <c r="J73" s="20" t="n">
        <v>1.67046142</v>
      </c>
      <c r="K73" s="18" t="n">
        <v>0</v>
      </c>
      <c r="L73" s="20" t="n">
        <v>0</v>
      </c>
      <c r="M73" s="18" t="n">
        <v>0</v>
      </c>
      <c r="N73" s="20" t="n">
        <v>0</v>
      </c>
      <c r="O73" s="18" t="n">
        <v>0</v>
      </c>
      <c r="P73" s="20" t="n">
        <v>0</v>
      </c>
      <c r="Q73" s="18" t="n">
        <v>0</v>
      </c>
      <c r="R73" s="20" t="n">
        <v>0</v>
      </c>
      <c r="S73" s="18" t="n">
        <v>2.76232419</v>
      </c>
      <c r="T73" s="20" t="n">
        <v>0.64139166</v>
      </c>
    </row>
    <row r="74" spans="1:20">
      <c r="A74" s="15" t="s">
        <v>634</v>
      </c>
      <c r="B74" s="17" t="n">
        <v>7708</v>
      </c>
      <c r="C74" s="18">
        <f>(6864.0/B74*100)</f>
        <v/>
      </c>
      <c r="D74" s="19" t="n">
        <v>844</v>
      </c>
      <c r="E74" s="18" t="n">
        <v>37.05601683</v>
      </c>
      <c r="F74" s="20" t="n">
        <v>1.65102086</v>
      </c>
      <c r="G74" s="18" t="n">
        <v>17.73668758</v>
      </c>
      <c r="H74" s="20" t="n">
        <v>1.45210076</v>
      </c>
      <c r="I74" s="18" t="n">
        <v>37.74755804</v>
      </c>
      <c r="J74" s="20" t="n">
        <v>1.91361455</v>
      </c>
      <c r="K74" s="18" t="n">
        <v>0</v>
      </c>
      <c r="L74" s="20" t="n">
        <v>0</v>
      </c>
      <c r="M74" s="18" t="n">
        <v>0.15675985</v>
      </c>
      <c r="N74" s="20" t="n">
        <v>0.15732803</v>
      </c>
      <c r="O74" s="18" t="n">
        <v>0</v>
      </c>
      <c r="P74" s="20" t="n">
        <v>0</v>
      </c>
      <c r="Q74" s="18" t="n">
        <v>0</v>
      </c>
      <c r="R74" s="20" t="n">
        <v>0</v>
      </c>
      <c r="S74" s="18" t="n">
        <v>7.30297771</v>
      </c>
      <c r="T74" s="20" t="n">
        <v>1.03965874</v>
      </c>
    </row>
    <row r="75" spans="1:20">
      <c r="A75" s="15" t="s">
        <v>635</v>
      </c>
      <c r="B75" s="17" t="n">
        <v>8249</v>
      </c>
      <c r="C75" s="18">
        <f>(7370.0/B75*100)</f>
        <v/>
      </c>
      <c r="D75" s="19" t="n">
        <v>879</v>
      </c>
      <c r="E75" s="18" t="n">
        <v>66.3704803</v>
      </c>
      <c r="F75" s="20" t="n">
        <v>1.82911461</v>
      </c>
      <c r="G75" s="18" t="n">
        <v>24.57001721</v>
      </c>
      <c r="H75" s="20" t="n">
        <v>1.60473818</v>
      </c>
      <c r="I75" s="18" t="n">
        <v>6.15160226</v>
      </c>
      <c r="J75" s="20" t="n">
        <v>1.19229023</v>
      </c>
      <c r="K75" s="18" t="n">
        <v>0</v>
      </c>
      <c r="L75" s="20" t="n">
        <v>0</v>
      </c>
      <c r="M75" s="18" t="n">
        <v>0</v>
      </c>
      <c r="N75" s="20" t="n">
        <v>0</v>
      </c>
      <c r="O75" s="18" t="n">
        <v>0.16033409</v>
      </c>
      <c r="P75" s="20" t="n">
        <v>0.16029112</v>
      </c>
      <c r="Q75" s="18" t="n">
        <v>0</v>
      </c>
      <c r="R75" s="20" t="n">
        <v>0</v>
      </c>
      <c r="S75" s="18" t="n">
        <v>2.74756613</v>
      </c>
      <c r="T75" s="20" t="n">
        <v>0.5665085</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(4830.0/B77*100)</f>
        <v/>
      </c>
      <c r="D77" s="19" t="n">
        <v>545</v>
      </c>
      <c r="E77" s="18" t="n">
        <v>47.55797042</v>
      </c>
      <c r="F77" s="20" t="n">
        <v>2.16718827</v>
      </c>
      <c r="G77" s="18" t="n">
        <v>22.73837069</v>
      </c>
      <c r="H77" s="20" t="n">
        <v>1.70366664</v>
      </c>
      <c r="I77" s="18" t="n">
        <v>6.08324002</v>
      </c>
      <c r="J77" s="20" t="n">
        <v>1.19837871</v>
      </c>
      <c r="K77" s="18" t="n">
        <v>0</v>
      </c>
      <c r="L77" s="20" t="n">
        <v>0</v>
      </c>
      <c r="M77" s="18" t="n">
        <v>1.38615593</v>
      </c>
      <c r="N77" s="20" t="n">
        <v>0.40172865</v>
      </c>
      <c r="O77" s="18" t="n">
        <v>0.93142371</v>
      </c>
      <c r="P77" s="20" t="n">
        <v>0.40668171</v>
      </c>
      <c r="Q77" s="18" t="n">
        <v>0</v>
      </c>
      <c r="R77" s="20" t="n">
        <v>0</v>
      </c>
      <c r="S77" s="18" t="n">
        <v>21.30283924</v>
      </c>
      <c r="T77" s="20" t="n">
        <v>2.04984294</v>
      </c>
    </row>
    <row r="78" spans="1:20">
      <c r="A78" s="15" t="s">
        <v>638</v>
      </c>
      <c r="B78" s="17" t="n">
        <v>14167</v>
      </c>
      <c r="C78" s="18">
        <f>(12613.0/B78*100)</f>
        <v/>
      </c>
      <c r="D78" s="19" t="n">
        <v>1554</v>
      </c>
      <c r="E78" s="18" t="n">
        <v>52.81220592</v>
      </c>
      <c r="F78" s="20" t="n">
        <v>1.4020756</v>
      </c>
      <c r="G78" s="18" t="n">
        <v>23.70606354</v>
      </c>
      <c r="H78" s="20" t="n">
        <v>1.17252551</v>
      </c>
      <c r="I78" s="18" t="n">
        <v>14.09987614</v>
      </c>
      <c r="J78" s="20" t="n">
        <v>1.09802677</v>
      </c>
      <c r="K78" s="18" t="n">
        <v>0</v>
      </c>
      <c r="L78" s="20" t="n">
        <v>0</v>
      </c>
      <c r="M78" s="18" t="n">
        <v>0.73925065</v>
      </c>
      <c r="N78" s="20" t="n">
        <v>0.29210715</v>
      </c>
      <c r="O78" s="18" t="n">
        <v>0.23236393</v>
      </c>
      <c r="P78" s="20" t="n">
        <v>0.13111171</v>
      </c>
      <c r="Q78" s="18" t="n">
        <v>0</v>
      </c>
      <c r="R78" s="20" t="n">
        <v>0</v>
      </c>
      <c r="S78" s="18" t="n">
        <v>8.410239819999999</v>
      </c>
      <c r="T78" s="20" t="n">
        <v>0.87768342</v>
      </c>
    </row>
    <row r="79" spans="1:20">
      <c r="A79" s="15" t="s">
        <v>639</v>
      </c>
      <c r="B79" s="17" t="n">
        <v>6062</v>
      </c>
      <c r="C79" s="18">
        <f>(5379.0/B79*100)</f>
        <v/>
      </c>
      <c r="D79" s="19" t="n">
        <v>683</v>
      </c>
      <c r="E79" s="18" t="n">
        <v>32.66781091</v>
      </c>
      <c r="F79" s="20" t="n">
        <v>1.73235527</v>
      </c>
      <c r="G79" s="18" t="n">
        <v>22.76609237</v>
      </c>
      <c r="H79" s="20" t="n">
        <v>1.63197624</v>
      </c>
      <c r="I79" s="18" t="n">
        <v>23.84710317</v>
      </c>
      <c r="J79" s="20" t="n">
        <v>1.68439066</v>
      </c>
      <c r="K79" s="18" t="n">
        <v>0</v>
      </c>
      <c r="L79" s="20" t="n">
        <v>0</v>
      </c>
      <c r="M79" s="18" t="n">
        <v>0.23942398</v>
      </c>
      <c r="N79" s="20" t="n">
        <v>0.16846837</v>
      </c>
      <c r="O79" s="18" t="n">
        <v>0.16747716</v>
      </c>
      <c r="P79" s="20" t="n">
        <v>0.17021827</v>
      </c>
      <c r="Q79" s="18" t="n">
        <v>0</v>
      </c>
      <c r="R79" s="20" t="n">
        <v>0</v>
      </c>
      <c r="S79" s="18" t="n">
        <v>20.31209241</v>
      </c>
      <c r="T79" s="20" t="n">
        <v>1.50006322</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(28752.0/B82*100)</f>
        <v/>
      </c>
      <c r="D82" s="19" t="n">
        <v>3578</v>
      </c>
      <c r="E82" s="18" t="n">
        <v>29.82981672</v>
      </c>
      <c r="F82" s="20" t="n">
        <v>1.01702596</v>
      </c>
      <c r="G82" s="18" t="n">
        <v>24.90520924</v>
      </c>
      <c r="H82" s="20" t="n">
        <v>0.95931079</v>
      </c>
      <c r="I82" s="18" t="n">
        <v>38.10280652</v>
      </c>
      <c r="J82" s="20" t="n">
        <v>1.08071477</v>
      </c>
      <c r="K82" s="18" t="n">
        <v>0</v>
      </c>
      <c r="L82" s="20" t="n">
        <v>0</v>
      </c>
      <c r="M82" s="18" t="n">
        <v>0.18059388</v>
      </c>
      <c r="N82" s="20" t="n">
        <v>0.12169052</v>
      </c>
      <c r="O82" s="18" t="n">
        <v>0.07599456</v>
      </c>
      <c r="P82" s="20" t="n">
        <v>0.0615246</v>
      </c>
      <c r="Q82" s="18" t="n">
        <v>0</v>
      </c>
      <c r="R82" s="20" t="n">
        <v>0</v>
      </c>
      <c r="S82" s="18" t="n">
        <v>6.90557908</v>
      </c>
      <c r="T82" s="20" t="n">
        <v>0.67994646</v>
      </c>
    </row>
    <row r="83" spans="1:20">
      <c r="A83" s="15" t="s">
        <v>643</v>
      </c>
      <c r="B83" s="17" t="n">
        <v>1652</v>
      </c>
      <c r="C83" s="18">
        <f>(1474.0/B83*100)</f>
        <v/>
      </c>
      <c r="D83" s="19" t="n">
        <v>178</v>
      </c>
      <c r="E83" s="18" t="n">
        <v>34.58429393</v>
      </c>
      <c r="F83" s="20" t="n">
        <v>3.57449218</v>
      </c>
      <c r="G83" s="18" t="n">
        <v>22.5326502</v>
      </c>
      <c r="H83" s="20" t="n">
        <v>2.58361858</v>
      </c>
      <c r="I83" s="18" t="n">
        <v>39.96219843</v>
      </c>
      <c r="J83" s="20" t="n">
        <v>4.44580364</v>
      </c>
      <c r="K83" s="18" t="n">
        <v>0</v>
      </c>
      <c r="L83" s="20" t="n">
        <v>0</v>
      </c>
      <c r="M83" s="18" t="n">
        <v>0</v>
      </c>
      <c r="N83" s="20" t="n">
        <v>0</v>
      </c>
      <c r="O83" s="18" t="n">
        <v>0</v>
      </c>
      <c r="P83" s="20" t="n">
        <v>0</v>
      </c>
      <c r="Q83" s="18" t="n">
        <v>0</v>
      </c>
      <c r="R83" s="20" t="n">
        <v>0</v>
      </c>
      <c r="S83" s="18" t="n">
        <v>2.92085745</v>
      </c>
      <c r="T83" s="20" t="n">
        <v>1.39645355</v>
      </c>
    </row>
    <row r="84" spans="1:20">
      <c r="A84" s="23" t="s">
        <v>644</v>
      </c>
      <c r="B84" s="24" t="n">
        <v>1887</v>
      </c>
      <c r="C84" s="25">
        <f>(1698.0/B84*100)</f>
        <v/>
      </c>
      <c r="D84" s="19" t="n">
        <v>189</v>
      </c>
      <c r="E84" s="18" t="n">
        <v>44.02814654</v>
      </c>
      <c r="F84" s="20" t="n">
        <v>3.68264604</v>
      </c>
      <c r="G84" s="18" t="n">
        <v>24.04943193</v>
      </c>
      <c r="H84" s="20" t="n">
        <v>3.2510759</v>
      </c>
      <c r="I84" s="18" t="n">
        <v>28.27244667</v>
      </c>
      <c r="J84" s="20" t="n">
        <v>2.55506197</v>
      </c>
      <c r="K84" s="18" t="n">
        <v>0</v>
      </c>
      <c r="L84" s="20" t="n">
        <v>0</v>
      </c>
      <c r="M84" s="18" t="n">
        <v>0</v>
      </c>
      <c r="N84" s="20" t="n">
        <v>0</v>
      </c>
      <c r="O84" s="18" t="n">
        <v>0</v>
      </c>
      <c r="P84" s="20" t="n">
        <v>0</v>
      </c>
      <c r="Q84" s="18" t="n">
        <v>0</v>
      </c>
      <c r="R84" s="20" t="n">
        <v>0</v>
      </c>
      <c r="S84" s="18" t="n">
        <v>3.64997486</v>
      </c>
      <c r="T84" s="20" t="n">
        <v>1.53086292</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(12924.0/B7*100)</f>
        <v/>
      </c>
      <c r="D7" s="19" t="n">
        <v>1606</v>
      </c>
      <c r="E7" s="18" t="n">
        <v>28.89099327</v>
      </c>
      <c r="F7" s="20" t="n">
        <v>1.48655061</v>
      </c>
      <c r="G7" s="18" t="n">
        <v>69.43482987</v>
      </c>
      <c r="H7" s="20" t="n">
        <v>1.44272111</v>
      </c>
      <c r="I7" s="18" t="n">
        <v>0</v>
      </c>
      <c r="J7" s="20" t="n">
        <v>0</v>
      </c>
      <c r="K7" s="18" t="n">
        <v>0.01704678</v>
      </c>
      <c r="L7" s="20" t="n">
        <v>0.01654503</v>
      </c>
      <c r="M7" s="18" t="n">
        <v>0</v>
      </c>
      <c r="N7" s="20" t="n">
        <v>0</v>
      </c>
      <c r="O7" s="18" t="n">
        <v>0</v>
      </c>
      <c r="P7" s="20" t="n">
        <v>0</v>
      </c>
      <c r="Q7" s="18" t="n">
        <v>1.65713009</v>
      </c>
      <c r="R7" s="20" t="n">
        <v>0.28916411</v>
      </c>
    </row>
    <row r="8" spans="1:18">
      <c r="A8" s="15" t="s">
        <v>566</v>
      </c>
      <c r="B8" s="17" t="n">
        <v>7007</v>
      </c>
      <c r="C8" s="18">
        <f>(6218.0/B8*100)</f>
        <v/>
      </c>
      <c r="D8" s="19" t="n">
        <v>789</v>
      </c>
      <c r="E8" s="18" t="n">
        <v>36.20012346</v>
      </c>
      <c r="F8" s="20" t="n">
        <v>1.59495167</v>
      </c>
      <c r="G8" s="18" t="n">
        <v>61.60119249</v>
      </c>
      <c r="H8" s="20" t="n">
        <v>1.58677247</v>
      </c>
      <c r="I8" s="18" t="n">
        <v>0</v>
      </c>
      <c r="J8" s="20" t="n">
        <v>0</v>
      </c>
      <c r="K8" s="18" t="n">
        <v>0</v>
      </c>
      <c r="L8" s="20" t="n">
        <v>0</v>
      </c>
      <c r="M8" s="18" t="n">
        <v>0</v>
      </c>
      <c r="N8" s="20" t="n">
        <v>0</v>
      </c>
      <c r="O8" s="18" t="n">
        <v>0</v>
      </c>
      <c r="P8" s="20" t="n">
        <v>0</v>
      </c>
      <c r="Q8" s="18" t="n">
        <v>2.19868406</v>
      </c>
      <c r="R8" s="20" t="n">
        <v>0.61240759</v>
      </c>
    </row>
    <row r="9" spans="1:18">
      <c r="A9" s="15" t="s">
        <v>567</v>
      </c>
      <c r="B9" s="17" t="n">
        <v>9651</v>
      </c>
      <c r="C9" s="18">
        <f>(8625.0/B9*100)</f>
        <v/>
      </c>
      <c r="D9" s="19" t="n">
        <v>1026</v>
      </c>
      <c r="E9" s="18" t="n">
        <v>37.82793398</v>
      </c>
      <c r="F9" s="20" t="n">
        <v>1.60197021</v>
      </c>
      <c r="G9" s="18" t="n">
        <v>60.63757059</v>
      </c>
      <c r="H9" s="20" t="n">
        <v>1.5782544</v>
      </c>
      <c r="I9" s="18" t="n">
        <v>0</v>
      </c>
      <c r="J9" s="20" t="n">
        <v>0</v>
      </c>
      <c r="K9" s="18" t="n">
        <v>0</v>
      </c>
      <c r="L9" s="20" t="n">
        <v>0</v>
      </c>
      <c r="M9" s="18" t="n">
        <v>0</v>
      </c>
      <c r="N9" s="20" t="n">
        <v>0</v>
      </c>
      <c r="O9" s="18" t="n">
        <v>0</v>
      </c>
      <c r="P9" s="20" t="n">
        <v>0</v>
      </c>
      <c r="Q9" s="18" t="n">
        <v>1.53449543</v>
      </c>
      <c r="R9" s="20" t="n">
        <v>0.38683153</v>
      </c>
    </row>
    <row r="10" spans="1:18">
      <c r="A10" s="15" t="s">
        <v>568</v>
      </c>
      <c r="B10" s="17" t="n">
        <v>20058</v>
      </c>
      <c r="C10" s="18">
        <f>(17875.0/B10*100)</f>
        <v/>
      </c>
      <c r="D10" s="19" t="n">
        <v>2183</v>
      </c>
      <c r="E10" s="18" t="n">
        <v>28.49800903</v>
      </c>
      <c r="F10" s="20" t="n">
        <v>1.54698646</v>
      </c>
      <c r="G10" s="18" t="n">
        <v>69.40519825</v>
      </c>
      <c r="H10" s="20" t="n">
        <v>1.58142325</v>
      </c>
      <c r="I10" s="18" t="n">
        <v>0</v>
      </c>
      <c r="J10" s="20" t="n">
        <v>0</v>
      </c>
      <c r="K10" s="18" t="n">
        <v>0.03726161</v>
      </c>
      <c r="L10" s="20" t="n">
        <v>0.02209138</v>
      </c>
      <c r="M10" s="18" t="n">
        <v>0</v>
      </c>
      <c r="N10" s="20" t="n">
        <v>0</v>
      </c>
      <c r="O10" s="18" t="n">
        <v>0</v>
      </c>
      <c r="P10" s="20" t="n">
        <v>0</v>
      </c>
      <c r="Q10" s="18" t="n">
        <v>2.05953111</v>
      </c>
      <c r="R10" s="20" t="n">
        <v>0.52553045</v>
      </c>
    </row>
    <row r="11" spans="1:18">
      <c r="A11" s="15" t="s">
        <v>569</v>
      </c>
      <c r="B11" s="17" t="n">
        <v>7053</v>
      </c>
      <c r="C11" s="18">
        <f>(6245.0/B11*100)</f>
        <v/>
      </c>
      <c r="D11" s="19" t="n">
        <v>808</v>
      </c>
      <c r="E11" s="18" t="n">
        <v>42.43230107</v>
      </c>
      <c r="F11" s="20" t="n">
        <v>2.20400013</v>
      </c>
      <c r="G11" s="18" t="n">
        <v>54.91626883</v>
      </c>
      <c r="H11" s="20" t="n">
        <v>2.25556634</v>
      </c>
      <c r="I11" s="18" t="n">
        <v>0</v>
      </c>
      <c r="J11" s="20" t="n">
        <v>0</v>
      </c>
      <c r="K11" s="18" t="n">
        <v>0.1637359</v>
      </c>
      <c r="L11" s="20" t="n">
        <v>0.15992861</v>
      </c>
      <c r="M11" s="18" t="n">
        <v>0</v>
      </c>
      <c r="N11" s="20" t="n">
        <v>0</v>
      </c>
      <c r="O11" s="18" t="n">
        <v>0</v>
      </c>
      <c r="P11" s="20" t="n">
        <v>0</v>
      </c>
      <c r="Q11" s="18" t="n">
        <v>2.4876942</v>
      </c>
      <c r="R11" s="20" t="n">
        <v>0.61627958</v>
      </c>
    </row>
    <row r="12" spans="1:18">
      <c r="A12" s="15" t="s">
        <v>570</v>
      </c>
      <c r="B12" s="17" t="n">
        <v>6894</v>
      </c>
      <c r="C12" s="18">
        <f>(6136.0/B12*100)</f>
        <v/>
      </c>
      <c r="D12" s="19" t="n">
        <v>758</v>
      </c>
      <c r="E12" s="18" t="n">
        <v>41.73692471</v>
      </c>
      <c r="F12" s="20" t="n">
        <v>1.85869533</v>
      </c>
      <c r="G12" s="18" t="n">
        <v>55.62629256</v>
      </c>
      <c r="H12" s="20" t="n">
        <v>1.96462844</v>
      </c>
      <c r="I12" s="18" t="n">
        <v>0</v>
      </c>
      <c r="J12" s="20" t="n">
        <v>0</v>
      </c>
      <c r="K12" s="18" t="n">
        <v>0</v>
      </c>
      <c r="L12" s="20" t="n">
        <v>0</v>
      </c>
      <c r="M12" s="18" t="n">
        <v>0</v>
      </c>
      <c r="N12" s="20" t="n">
        <v>0</v>
      </c>
      <c r="O12" s="18" t="n">
        <v>0</v>
      </c>
      <c r="P12" s="20" t="n">
        <v>0</v>
      </c>
      <c r="Q12" s="18" t="n">
        <v>2.63678272</v>
      </c>
      <c r="R12" s="20" t="n">
        <v>0.78988444</v>
      </c>
    </row>
    <row r="13" spans="1:18">
      <c r="A13" s="15" t="s">
        <v>571</v>
      </c>
      <c r="B13" s="17" t="n">
        <v>7161</v>
      </c>
      <c r="C13" s="18">
        <f>(6415.0/B13*100)</f>
        <v/>
      </c>
      <c r="D13" s="19" t="n">
        <v>746</v>
      </c>
      <c r="E13" s="18" t="n">
        <v>28.46117438</v>
      </c>
      <c r="F13" s="20" t="n">
        <v>1.99635867</v>
      </c>
      <c r="G13" s="18" t="n">
        <v>69.23873478</v>
      </c>
      <c r="H13" s="20" t="n">
        <v>2.13169572</v>
      </c>
      <c r="I13" s="18" t="n">
        <v>0</v>
      </c>
      <c r="J13" s="20" t="n">
        <v>0</v>
      </c>
      <c r="K13" s="18" t="n">
        <v>0.39309325</v>
      </c>
      <c r="L13" s="20" t="n">
        <v>0.24058624</v>
      </c>
      <c r="M13" s="18" t="n">
        <v>0</v>
      </c>
      <c r="N13" s="20" t="n">
        <v>0</v>
      </c>
      <c r="O13" s="18" t="n">
        <v>0</v>
      </c>
      <c r="P13" s="20" t="n">
        <v>0</v>
      </c>
      <c r="Q13" s="18" t="n">
        <v>1.9069976</v>
      </c>
      <c r="R13" s="20" t="n">
        <v>0.57423967</v>
      </c>
    </row>
    <row r="14" spans="1:18">
      <c r="A14" s="15" t="s">
        <v>572</v>
      </c>
      <c r="B14" s="17" t="n">
        <v>5587</v>
      </c>
      <c r="C14" s="18">
        <f>(4991.0/B14*100)</f>
        <v/>
      </c>
      <c r="D14" s="19" t="n">
        <v>596</v>
      </c>
      <c r="E14" s="18" t="n">
        <v>34.1523694</v>
      </c>
      <c r="F14" s="20" t="n">
        <v>2.11309865</v>
      </c>
      <c r="G14" s="18" t="n">
        <v>64.47032238</v>
      </c>
      <c r="H14" s="20" t="n">
        <v>2.30705658</v>
      </c>
      <c r="I14" s="18" t="n">
        <v>0</v>
      </c>
      <c r="J14" s="20" t="n">
        <v>0</v>
      </c>
      <c r="K14" s="18" t="n">
        <v>0</v>
      </c>
      <c r="L14" s="20" t="n">
        <v>0</v>
      </c>
      <c r="M14" s="18" t="n">
        <v>0</v>
      </c>
      <c r="N14" s="20" t="n">
        <v>0</v>
      </c>
      <c r="O14" s="18" t="n">
        <v>0</v>
      </c>
      <c r="P14" s="20" t="n">
        <v>0</v>
      </c>
      <c r="Q14" s="18" t="n">
        <v>1.37730821</v>
      </c>
      <c r="R14" s="20" t="n">
        <v>0.55856098</v>
      </c>
    </row>
    <row r="15" spans="1:18">
      <c r="A15" s="15" t="s">
        <v>573</v>
      </c>
      <c r="B15" s="17" t="n">
        <v>5882</v>
      </c>
      <c r="C15" s="18">
        <f>(5216.0/B15*100)</f>
        <v/>
      </c>
      <c r="D15" s="19" t="n">
        <v>666</v>
      </c>
      <c r="E15" s="18" t="n">
        <v>29.00371813</v>
      </c>
      <c r="F15" s="20" t="n">
        <v>1.53416088</v>
      </c>
      <c r="G15" s="18" t="n">
        <v>69.21821367</v>
      </c>
      <c r="H15" s="20" t="n">
        <v>1.52326808</v>
      </c>
      <c r="I15" s="18" t="n">
        <v>0</v>
      </c>
      <c r="J15" s="20" t="n">
        <v>0</v>
      </c>
      <c r="K15" s="18" t="n">
        <v>0</v>
      </c>
      <c r="L15" s="20" t="n">
        <v>0</v>
      </c>
      <c r="M15" s="18" t="n">
        <v>0</v>
      </c>
      <c r="N15" s="20" t="n">
        <v>0</v>
      </c>
      <c r="O15" s="18" t="n">
        <v>0</v>
      </c>
      <c r="P15" s="20" t="n">
        <v>0</v>
      </c>
      <c r="Q15" s="18" t="n">
        <v>1.7780682</v>
      </c>
      <c r="R15" s="20" t="n">
        <v>0.52234021</v>
      </c>
    </row>
    <row r="16" spans="1:18">
      <c r="A16" s="15" t="s">
        <v>574</v>
      </c>
      <c r="B16" s="17" t="n">
        <v>6108</v>
      </c>
      <c r="C16" s="18">
        <f>(5459.0/B16*100)</f>
        <v/>
      </c>
      <c r="D16" s="19" t="n">
        <v>649</v>
      </c>
      <c r="E16" s="18" t="n">
        <v>38.21599946</v>
      </c>
      <c r="F16" s="20" t="n">
        <v>1.93953597</v>
      </c>
      <c r="G16" s="18" t="n">
        <v>57.72866163</v>
      </c>
      <c r="H16" s="20" t="n">
        <v>2.07436083</v>
      </c>
      <c r="I16" s="18" t="n">
        <v>0</v>
      </c>
      <c r="J16" s="20" t="n">
        <v>0</v>
      </c>
      <c r="K16" s="18" t="n">
        <v>0</v>
      </c>
      <c r="L16" s="20" t="n">
        <v>0</v>
      </c>
      <c r="M16" s="18" t="n">
        <v>0</v>
      </c>
      <c r="N16" s="20" t="n">
        <v>0</v>
      </c>
      <c r="O16" s="18" t="n">
        <v>0</v>
      </c>
      <c r="P16" s="20" t="n">
        <v>0</v>
      </c>
      <c r="Q16" s="18" t="n">
        <v>4.05533891</v>
      </c>
      <c r="R16" s="20" t="n">
        <v>0.90809653</v>
      </c>
    </row>
    <row r="17" spans="1:18">
      <c r="A17" s="15" t="s">
        <v>575</v>
      </c>
      <c r="B17" s="17" t="n">
        <v>6504</v>
      </c>
      <c r="C17" s="18">
        <f>(5810.0/B17*100)</f>
        <v/>
      </c>
      <c r="D17" s="19" t="n">
        <v>694</v>
      </c>
      <c r="E17" s="18" t="n">
        <v>36.00813657</v>
      </c>
      <c r="F17" s="20" t="n">
        <v>2.06871388</v>
      </c>
      <c r="G17" s="18" t="n">
        <v>61.36061203</v>
      </c>
      <c r="H17" s="20" t="n">
        <v>2.23831086</v>
      </c>
      <c r="I17" s="18" t="n">
        <v>0</v>
      </c>
      <c r="J17" s="20" t="n">
        <v>0</v>
      </c>
      <c r="K17" s="18" t="n">
        <v>0.16129692</v>
      </c>
      <c r="L17" s="20" t="n">
        <v>0.16257115</v>
      </c>
      <c r="M17" s="18" t="n">
        <v>0</v>
      </c>
      <c r="N17" s="20" t="n">
        <v>0</v>
      </c>
      <c r="O17" s="18" t="n">
        <v>0</v>
      </c>
      <c r="P17" s="20" t="n">
        <v>0</v>
      </c>
      <c r="Q17" s="18" t="n">
        <v>2.46995447</v>
      </c>
      <c r="R17" s="20" t="n">
        <v>0.70155903</v>
      </c>
    </row>
    <row r="18" spans="1:18">
      <c r="A18" s="15" t="s">
        <v>576</v>
      </c>
      <c r="B18" s="17" t="n">
        <v>5532</v>
      </c>
      <c r="C18" s="18">
        <f>(4938.0/B18*100)</f>
        <v/>
      </c>
      <c r="D18" s="19" t="n">
        <v>594</v>
      </c>
      <c r="E18" s="18" t="n">
        <v>46.28319045</v>
      </c>
      <c r="F18" s="20" t="n">
        <v>2.44600267</v>
      </c>
      <c r="G18" s="18" t="n">
        <v>49.60472931</v>
      </c>
      <c r="H18" s="20" t="n">
        <v>2.48502708</v>
      </c>
      <c r="I18" s="18" t="n">
        <v>0</v>
      </c>
      <c r="J18" s="20" t="n">
        <v>0</v>
      </c>
      <c r="K18" s="18" t="n">
        <v>0.19760883</v>
      </c>
      <c r="L18" s="20" t="n">
        <v>0.19563859</v>
      </c>
      <c r="M18" s="18" t="n">
        <v>0</v>
      </c>
      <c r="N18" s="20" t="n">
        <v>0</v>
      </c>
      <c r="O18" s="18" t="n">
        <v>0</v>
      </c>
      <c r="P18" s="20" t="n">
        <v>0</v>
      </c>
      <c r="Q18" s="18" t="n">
        <v>3.91447141</v>
      </c>
      <c r="R18" s="20" t="n">
        <v>0.83816622</v>
      </c>
    </row>
    <row r="19" spans="1:18">
      <c r="A19" s="15" t="s">
        <v>577</v>
      </c>
      <c r="B19" s="17" t="n">
        <v>5658</v>
      </c>
      <c r="C19" s="18">
        <f>(5017.0/B19*100)</f>
        <v/>
      </c>
      <c r="D19" s="19" t="n">
        <v>641</v>
      </c>
      <c r="E19" s="18" t="n">
        <v>50.02436741</v>
      </c>
      <c r="F19" s="20" t="n">
        <v>2.37721211</v>
      </c>
      <c r="G19" s="18" t="n">
        <v>47.70041461</v>
      </c>
      <c r="H19" s="20" t="n">
        <v>2.27780009</v>
      </c>
      <c r="I19" s="18" t="n">
        <v>0</v>
      </c>
      <c r="J19" s="20" t="n">
        <v>0</v>
      </c>
      <c r="K19" s="18" t="n">
        <v>0</v>
      </c>
      <c r="L19" s="20" t="n">
        <v>0</v>
      </c>
      <c r="M19" s="18" t="n">
        <v>0</v>
      </c>
      <c r="N19" s="20" t="n">
        <v>0</v>
      </c>
      <c r="O19" s="18" t="n">
        <v>0</v>
      </c>
      <c r="P19" s="20" t="n">
        <v>0</v>
      </c>
      <c r="Q19" s="18" t="n">
        <v>2.27521798</v>
      </c>
      <c r="R19" s="20" t="n">
        <v>0.63948592</v>
      </c>
    </row>
    <row r="20" spans="1:18">
      <c r="A20" s="15" t="s">
        <v>578</v>
      </c>
      <c r="B20" s="17" t="n">
        <v>3371</v>
      </c>
      <c r="C20" s="18">
        <f>(3024.0/B20*100)</f>
        <v/>
      </c>
      <c r="D20" s="19" t="n">
        <v>347</v>
      </c>
      <c r="E20" s="18" t="n">
        <v>38.36002272</v>
      </c>
      <c r="F20" s="20" t="n">
        <v>2.3331826</v>
      </c>
      <c r="G20" s="18" t="n">
        <v>56.75601163</v>
      </c>
      <c r="H20" s="20" t="n">
        <v>2.53286404</v>
      </c>
      <c r="I20" s="18" t="n">
        <v>0</v>
      </c>
      <c r="J20" s="20" t="n">
        <v>0</v>
      </c>
      <c r="K20" s="18" t="n">
        <v>0.24348524</v>
      </c>
      <c r="L20" s="20" t="n">
        <v>0.24483981</v>
      </c>
      <c r="M20" s="18" t="n">
        <v>0</v>
      </c>
      <c r="N20" s="20" t="n">
        <v>0</v>
      </c>
      <c r="O20" s="18" t="n">
        <v>0</v>
      </c>
      <c r="P20" s="20" t="n">
        <v>0</v>
      </c>
      <c r="Q20" s="18" t="n">
        <v>4.64048041</v>
      </c>
      <c r="R20" s="20" t="n">
        <v>1.14647325</v>
      </c>
    </row>
    <row r="21" spans="1:18">
      <c r="A21" s="15" t="s">
        <v>579</v>
      </c>
      <c r="B21" s="17" t="n">
        <v>5741</v>
      </c>
      <c r="C21" s="18">
        <f>(5081.0/B21*100)</f>
        <v/>
      </c>
      <c r="D21" s="19" t="n">
        <v>660</v>
      </c>
      <c r="E21" s="18" t="n">
        <v>36.92846223</v>
      </c>
      <c r="F21" s="20" t="n">
        <v>1.94187775</v>
      </c>
      <c r="G21" s="18" t="n">
        <v>61.98420105</v>
      </c>
      <c r="H21" s="20" t="n">
        <v>2.00459154</v>
      </c>
      <c r="I21" s="18" t="n">
        <v>0</v>
      </c>
      <c r="J21" s="20" t="n">
        <v>0</v>
      </c>
      <c r="K21" s="18" t="n">
        <v>0</v>
      </c>
      <c r="L21" s="20" t="n">
        <v>0</v>
      </c>
      <c r="M21" s="18" t="n">
        <v>0</v>
      </c>
      <c r="N21" s="20" t="n">
        <v>0</v>
      </c>
      <c r="O21" s="18" t="n">
        <v>0</v>
      </c>
      <c r="P21" s="20" t="n">
        <v>0</v>
      </c>
      <c r="Q21" s="18" t="n">
        <v>1.08733672</v>
      </c>
      <c r="R21" s="20" t="n">
        <v>0.35618867</v>
      </c>
    </row>
    <row r="22" spans="1:18">
      <c r="A22" s="15" t="s">
        <v>580</v>
      </c>
      <c r="B22" s="17" t="n">
        <v>6598</v>
      </c>
      <c r="C22" s="18">
        <f>(5857.0/B22*100)</f>
        <v/>
      </c>
      <c r="D22" s="19" t="n">
        <v>741</v>
      </c>
      <c r="E22" s="18" t="n">
        <v>46.10549228</v>
      </c>
      <c r="F22" s="20" t="n">
        <v>2.1201639</v>
      </c>
      <c r="G22" s="18" t="n">
        <v>46.36860842</v>
      </c>
      <c r="H22" s="20" t="n">
        <v>2.15066611</v>
      </c>
      <c r="I22" s="18" t="n">
        <v>0</v>
      </c>
      <c r="J22" s="20" t="n">
        <v>0</v>
      </c>
      <c r="K22" s="18" t="n">
        <v>0.28141908</v>
      </c>
      <c r="L22" s="20" t="n">
        <v>0.16564767</v>
      </c>
      <c r="M22" s="18" t="n">
        <v>0</v>
      </c>
      <c r="N22" s="20" t="n">
        <v>0</v>
      </c>
      <c r="O22" s="18" t="n">
        <v>0</v>
      </c>
      <c r="P22" s="20" t="n">
        <v>0</v>
      </c>
      <c r="Q22" s="18" t="n">
        <v>7.24448021</v>
      </c>
      <c r="R22" s="20" t="n">
        <v>0.96577286</v>
      </c>
    </row>
    <row r="23" spans="1:18">
      <c r="A23" s="15" t="s">
        <v>581</v>
      </c>
      <c r="B23" s="17" t="n">
        <v>11583</v>
      </c>
      <c r="C23" s="18">
        <f>(10271.0/B23*100)</f>
        <v/>
      </c>
      <c r="D23" s="19" t="n">
        <v>1312</v>
      </c>
      <c r="E23" s="18" t="n">
        <v>41.78372534</v>
      </c>
      <c r="F23" s="20" t="n">
        <v>1.81275659</v>
      </c>
      <c r="G23" s="18" t="n">
        <v>55.99215195</v>
      </c>
      <c r="H23" s="20" t="n">
        <v>1.90648482</v>
      </c>
      <c r="I23" s="18" t="n">
        <v>0</v>
      </c>
      <c r="J23" s="20" t="n">
        <v>0</v>
      </c>
      <c r="K23" s="18" t="n">
        <v>0.22619739</v>
      </c>
      <c r="L23" s="20" t="n">
        <v>0.26112523</v>
      </c>
      <c r="M23" s="18" t="n">
        <v>0</v>
      </c>
      <c r="N23" s="20" t="n">
        <v>0</v>
      </c>
      <c r="O23" s="18" t="n">
        <v>0</v>
      </c>
      <c r="P23" s="20" t="n">
        <v>0</v>
      </c>
      <c r="Q23" s="18" t="n">
        <v>1.99792531</v>
      </c>
      <c r="R23" s="20" t="n">
        <v>0.60045455</v>
      </c>
    </row>
    <row r="24" spans="1:18">
      <c r="A24" s="15" t="s">
        <v>582</v>
      </c>
      <c r="B24" s="17" t="n">
        <v>6647</v>
      </c>
      <c r="C24" s="18">
        <f>(5900.0/B24*100)</f>
        <v/>
      </c>
      <c r="D24" s="19" t="n">
        <v>747</v>
      </c>
      <c r="E24" s="18" t="n">
        <v>26.66256688</v>
      </c>
      <c r="F24" s="20" t="n">
        <v>1.92906537</v>
      </c>
      <c r="G24" s="18" t="n">
        <v>72.46204458</v>
      </c>
      <c r="H24" s="20" t="n">
        <v>1.99196231</v>
      </c>
      <c r="I24" s="18" t="n">
        <v>0</v>
      </c>
      <c r="J24" s="20" t="n">
        <v>0</v>
      </c>
      <c r="K24" s="18" t="n">
        <v>0.11841989</v>
      </c>
      <c r="L24" s="20" t="n">
        <v>0.11848224</v>
      </c>
      <c r="M24" s="18" t="n">
        <v>0</v>
      </c>
      <c r="N24" s="20" t="n">
        <v>0</v>
      </c>
      <c r="O24" s="18" t="n">
        <v>0</v>
      </c>
      <c r="P24" s="20" t="n">
        <v>0</v>
      </c>
      <c r="Q24" s="18" t="n">
        <v>0.75696864</v>
      </c>
      <c r="R24" s="20" t="n">
        <v>0.33208057</v>
      </c>
    </row>
    <row r="25" spans="1:18">
      <c r="A25" s="15" t="s">
        <v>583</v>
      </c>
      <c r="B25" s="17" t="n">
        <v>5581</v>
      </c>
      <c r="C25" s="18">
        <f>(4957.0/B25*100)</f>
        <v/>
      </c>
      <c r="D25" s="19" t="n">
        <v>624</v>
      </c>
      <c r="E25" s="18" t="n">
        <v>25.35722299</v>
      </c>
      <c r="F25" s="20" t="n">
        <v>1.66808671</v>
      </c>
      <c r="G25" s="18" t="n">
        <v>71.82272935</v>
      </c>
      <c r="H25" s="20" t="n">
        <v>1.75974807</v>
      </c>
      <c r="I25" s="18" t="n">
        <v>0</v>
      </c>
      <c r="J25" s="20" t="n">
        <v>0</v>
      </c>
      <c r="K25" s="18" t="n">
        <v>1.10304407</v>
      </c>
      <c r="L25" s="20" t="n">
        <v>0.43958784</v>
      </c>
      <c r="M25" s="18" t="n">
        <v>0</v>
      </c>
      <c r="N25" s="20" t="n">
        <v>0</v>
      </c>
      <c r="O25" s="18" t="n">
        <v>0</v>
      </c>
      <c r="P25" s="20" t="n">
        <v>0</v>
      </c>
      <c r="Q25" s="18" t="n">
        <v>1.71700359</v>
      </c>
      <c r="R25" s="20" t="n">
        <v>0.55717392</v>
      </c>
    </row>
    <row r="26" spans="1:18">
      <c r="A26" s="15" t="s">
        <v>584</v>
      </c>
      <c r="B26" s="17" t="n">
        <v>4869</v>
      </c>
      <c r="C26" s="18">
        <f>(4334.0/B26*100)</f>
        <v/>
      </c>
      <c r="D26" s="19" t="n">
        <v>535</v>
      </c>
      <c r="E26" s="18" t="n">
        <v>48.40851163</v>
      </c>
      <c r="F26" s="20" t="n">
        <v>2.36522061</v>
      </c>
      <c r="G26" s="18" t="n">
        <v>50.16030902</v>
      </c>
      <c r="H26" s="20" t="n">
        <v>2.40003148</v>
      </c>
      <c r="I26" s="18" t="n">
        <v>0</v>
      </c>
      <c r="J26" s="20" t="n">
        <v>0</v>
      </c>
      <c r="K26" s="18" t="n">
        <v>0</v>
      </c>
      <c r="L26" s="20" t="n">
        <v>0</v>
      </c>
      <c r="M26" s="18" t="n">
        <v>0</v>
      </c>
      <c r="N26" s="20" t="n">
        <v>0</v>
      </c>
      <c r="O26" s="18" t="n">
        <v>0</v>
      </c>
      <c r="P26" s="20" t="n">
        <v>0</v>
      </c>
      <c r="Q26" s="18" t="n">
        <v>1.43117935</v>
      </c>
      <c r="R26" s="20" t="n">
        <v>0.5167244600000001</v>
      </c>
    </row>
    <row r="27" spans="1:18">
      <c r="A27" s="15" t="s">
        <v>585</v>
      </c>
      <c r="B27" s="17" t="n">
        <v>5299</v>
      </c>
      <c r="C27" s="18">
        <f>(4714.0/B27*100)</f>
        <v/>
      </c>
      <c r="D27" s="19" t="n">
        <v>585</v>
      </c>
      <c r="E27" s="18" t="n">
        <v>39.0058966</v>
      </c>
      <c r="F27" s="20" t="n">
        <v>1.98079556</v>
      </c>
      <c r="G27" s="18" t="n">
        <v>57.67940809</v>
      </c>
      <c r="H27" s="20" t="n">
        <v>2.01130819</v>
      </c>
      <c r="I27" s="18" t="n">
        <v>0</v>
      </c>
      <c r="J27" s="20" t="n">
        <v>0</v>
      </c>
      <c r="K27" s="18" t="n">
        <v>0</v>
      </c>
      <c r="L27" s="20" t="n">
        <v>0</v>
      </c>
      <c r="M27" s="18" t="n">
        <v>0</v>
      </c>
      <c r="N27" s="20" t="n">
        <v>0</v>
      </c>
      <c r="O27" s="18" t="n">
        <v>0</v>
      </c>
      <c r="P27" s="20" t="n">
        <v>0</v>
      </c>
      <c r="Q27" s="18" t="n">
        <v>3.31469531</v>
      </c>
      <c r="R27" s="20" t="n">
        <v>0.79376708</v>
      </c>
    </row>
    <row r="28" spans="1:18">
      <c r="A28" s="15" t="s">
        <v>586</v>
      </c>
      <c r="B28" s="17" t="n">
        <v>7568</v>
      </c>
      <c r="C28" s="18">
        <f>(6729.0/B28*100)</f>
        <v/>
      </c>
      <c r="D28" s="19" t="n">
        <v>839</v>
      </c>
      <c r="E28" s="18" t="n">
        <v>54.75806363</v>
      </c>
      <c r="F28" s="20" t="n">
        <v>1.92191121</v>
      </c>
      <c r="G28" s="18" t="n">
        <v>43.11854819</v>
      </c>
      <c r="H28" s="20" t="n">
        <v>1.88994608</v>
      </c>
      <c r="I28" s="18" t="n">
        <v>0</v>
      </c>
      <c r="J28" s="20" t="n">
        <v>0</v>
      </c>
      <c r="K28" s="18" t="n">
        <v>0.50899335</v>
      </c>
      <c r="L28" s="20" t="n">
        <v>0.27219133</v>
      </c>
      <c r="M28" s="18" t="n">
        <v>0</v>
      </c>
      <c r="N28" s="20" t="n">
        <v>0</v>
      </c>
      <c r="O28" s="18" t="n">
        <v>0</v>
      </c>
      <c r="P28" s="20" t="n">
        <v>0</v>
      </c>
      <c r="Q28" s="18" t="n">
        <v>1.61439483</v>
      </c>
      <c r="R28" s="20" t="n">
        <v>0.50471871</v>
      </c>
    </row>
    <row r="29" spans="1:18">
      <c r="A29" s="15" t="s">
        <v>587</v>
      </c>
      <c r="B29" s="17" t="n">
        <v>5385</v>
      </c>
      <c r="C29" s="18">
        <f>(4782.0/B29*100)</f>
        <v/>
      </c>
      <c r="D29" s="19" t="n">
        <v>603</v>
      </c>
      <c r="E29" s="18" t="n">
        <v>38.75497022</v>
      </c>
      <c r="F29" s="20" t="n">
        <v>1.89768772</v>
      </c>
      <c r="G29" s="18" t="n">
        <v>58.9262185</v>
      </c>
      <c r="H29" s="20" t="n">
        <v>2.01574684</v>
      </c>
      <c r="I29" s="18" t="n">
        <v>0</v>
      </c>
      <c r="J29" s="20" t="n">
        <v>0</v>
      </c>
      <c r="K29" s="18" t="n">
        <v>0.40420148</v>
      </c>
      <c r="L29" s="20" t="n">
        <v>0.24121892</v>
      </c>
      <c r="M29" s="18" t="n">
        <v>0</v>
      </c>
      <c r="N29" s="20" t="n">
        <v>0</v>
      </c>
      <c r="O29" s="18" t="n">
        <v>0</v>
      </c>
      <c r="P29" s="20" t="n">
        <v>0</v>
      </c>
      <c r="Q29" s="18" t="n">
        <v>1.9146098</v>
      </c>
      <c r="R29" s="20" t="n">
        <v>0.43935323</v>
      </c>
    </row>
    <row r="30" spans="1:18">
      <c r="A30" s="15" t="s">
        <v>588</v>
      </c>
      <c r="B30" s="17" t="n">
        <v>4520</v>
      </c>
      <c r="C30" s="18">
        <f>(4022.0/B30*100)</f>
        <v/>
      </c>
      <c r="D30" s="19" t="n">
        <v>498</v>
      </c>
      <c r="E30" s="18" t="n">
        <v>28.533718</v>
      </c>
      <c r="F30" s="20" t="n">
        <v>1.84486976</v>
      </c>
      <c r="G30" s="18" t="n">
        <v>69.42104148</v>
      </c>
      <c r="H30" s="20" t="n">
        <v>1.82085121</v>
      </c>
      <c r="I30" s="18" t="n">
        <v>0</v>
      </c>
      <c r="J30" s="20" t="n">
        <v>0</v>
      </c>
      <c r="K30" s="18" t="n">
        <v>0.26116561</v>
      </c>
      <c r="L30" s="20" t="n">
        <v>0.22463806</v>
      </c>
      <c r="M30" s="18" t="n">
        <v>0</v>
      </c>
      <c r="N30" s="20" t="n">
        <v>0</v>
      </c>
      <c r="O30" s="18" t="n">
        <v>0</v>
      </c>
      <c r="P30" s="20" t="n">
        <v>0</v>
      </c>
      <c r="Q30" s="18" t="n">
        <v>1.7840749</v>
      </c>
      <c r="R30" s="20" t="n">
        <v>0.52348036</v>
      </c>
    </row>
    <row r="31" spans="1:18">
      <c r="A31" s="15" t="s">
        <v>589</v>
      </c>
      <c r="B31" s="17" t="n">
        <v>5456</v>
      </c>
      <c r="C31" s="18">
        <f>(4861.0/B31*100)</f>
        <v/>
      </c>
      <c r="D31" s="19" t="n">
        <v>595</v>
      </c>
      <c r="E31" s="18" t="n">
        <v>33.0790262</v>
      </c>
      <c r="F31" s="20" t="n">
        <v>1.97048574</v>
      </c>
      <c r="G31" s="18" t="n">
        <v>64.25584897</v>
      </c>
      <c r="H31" s="20" t="n">
        <v>2.0268493</v>
      </c>
      <c r="I31" s="18" t="n">
        <v>0</v>
      </c>
      <c r="J31" s="20" t="n">
        <v>0</v>
      </c>
      <c r="K31" s="18" t="n">
        <v>0.49987287</v>
      </c>
      <c r="L31" s="20" t="n">
        <v>0.28348454</v>
      </c>
      <c r="M31" s="18" t="n">
        <v>0</v>
      </c>
      <c r="N31" s="20" t="n">
        <v>0</v>
      </c>
      <c r="O31" s="18" t="n">
        <v>0</v>
      </c>
      <c r="P31" s="20" t="n">
        <v>0</v>
      </c>
      <c r="Q31" s="18" t="n">
        <v>2.16525195</v>
      </c>
      <c r="R31" s="20" t="n">
        <v>0.65581232</v>
      </c>
    </row>
    <row r="32" spans="1:18">
      <c r="A32" s="15" t="s">
        <v>590</v>
      </c>
      <c r="B32" s="17" t="n">
        <v>4478</v>
      </c>
      <c r="C32" s="18">
        <f>(3989.0/B32*100)</f>
        <v/>
      </c>
      <c r="D32" s="19" t="n">
        <v>489</v>
      </c>
      <c r="E32" s="18" t="n">
        <v>35.51663071</v>
      </c>
      <c r="F32" s="20" t="n">
        <v>2.14378238</v>
      </c>
      <c r="G32" s="18" t="n">
        <v>62.75511672</v>
      </c>
      <c r="H32" s="20" t="n">
        <v>2.15613857</v>
      </c>
      <c r="I32" s="18" t="n">
        <v>0</v>
      </c>
      <c r="J32" s="20" t="n">
        <v>0</v>
      </c>
      <c r="K32" s="18" t="n">
        <v>0</v>
      </c>
      <c r="L32" s="20" t="n">
        <v>0</v>
      </c>
      <c r="M32" s="18" t="n">
        <v>0</v>
      </c>
      <c r="N32" s="20" t="n">
        <v>0</v>
      </c>
      <c r="O32" s="18" t="n">
        <v>0</v>
      </c>
      <c r="P32" s="20" t="n">
        <v>0</v>
      </c>
      <c r="Q32" s="18" t="n">
        <v>1.72825257</v>
      </c>
      <c r="R32" s="20" t="n">
        <v>0.49739678</v>
      </c>
    </row>
    <row r="33" spans="1:18">
      <c r="A33" s="15" t="s">
        <v>591</v>
      </c>
      <c r="B33" s="17" t="n">
        <v>7325</v>
      </c>
      <c r="C33" s="18">
        <f>(6515.0/B33*100)</f>
        <v/>
      </c>
      <c r="D33" s="19" t="n">
        <v>810</v>
      </c>
      <c r="E33" s="18" t="n">
        <v>33.58141843</v>
      </c>
      <c r="F33" s="20" t="n">
        <v>1.74773287</v>
      </c>
      <c r="G33" s="18" t="n">
        <v>64.85432199</v>
      </c>
      <c r="H33" s="20" t="n">
        <v>1.78871722</v>
      </c>
      <c r="I33" s="18" t="n">
        <v>0</v>
      </c>
      <c r="J33" s="20" t="n">
        <v>0</v>
      </c>
      <c r="K33" s="18" t="n">
        <v>0.23814567</v>
      </c>
      <c r="L33" s="20" t="n">
        <v>0.28336102</v>
      </c>
      <c r="M33" s="18" t="n">
        <v>0</v>
      </c>
      <c r="N33" s="20" t="n">
        <v>0</v>
      </c>
      <c r="O33" s="18" t="n">
        <v>0</v>
      </c>
      <c r="P33" s="20" t="n">
        <v>0</v>
      </c>
      <c r="Q33" s="18" t="n">
        <v>1.32611391</v>
      </c>
      <c r="R33" s="20" t="n">
        <v>0.42650522</v>
      </c>
    </row>
    <row r="34" spans="1:18">
      <c r="A34" s="15" t="s">
        <v>592</v>
      </c>
      <c r="B34" s="17" t="n">
        <v>6350</v>
      </c>
      <c r="C34" s="18">
        <f>(5673.0/B34*100)</f>
        <v/>
      </c>
      <c r="D34" s="19" t="n">
        <v>677</v>
      </c>
      <c r="E34" s="18" t="n">
        <v>43.10547841</v>
      </c>
      <c r="F34" s="20" t="n">
        <v>2.16629912</v>
      </c>
      <c r="G34" s="18" t="n">
        <v>52.39939533</v>
      </c>
      <c r="H34" s="20" t="n">
        <v>2.10694146</v>
      </c>
      <c r="I34" s="18" t="n">
        <v>0</v>
      </c>
      <c r="J34" s="20" t="n">
        <v>0</v>
      </c>
      <c r="K34" s="18" t="n">
        <v>0.2028262</v>
      </c>
      <c r="L34" s="20" t="n">
        <v>0.11320167</v>
      </c>
      <c r="M34" s="18" t="n">
        <v>0</v>
      </c>
      <c r="N34" s="20" t="n">
        <v>0</v>
      </c>
      <c r="O34" s="18" t="n">
        <v>0</v>
      </c>
      <c r="P34" s="20" t="n">
        <v>0</v>
      </c>
      <c r="Q34" s="18" t="n">
        <v>4.29230006</v>
      </c>
      <c r="R34" s="20" t="n">
        <v>0.86274852</v>
      </c>
    </row>
    <row r="35" spans="1:18">
      <c r="A35" s="15" t="s">
        <v>593</v>
      </c>
      <c r="B35" s="17" t="n">
        <v>6406</v>
      </c>
      <c r="C35" s="18">
        <f>(5685.0/B35*100)</f>
        <v/>
      </c>
      <c r="D35" s="19" t="n">
        <v>721</v>
      </c>
      <c r="E35" s="18" t="n">
        <v>35.28166557</v>
      </c>
      <c r="F35" s="20" t="n">
        <v>2.08877726</v>
      </c>
      <c r="G35" s="18" t="n">
        <v>63.08264326</v>
      </c>
      <c r="H35" s="20" t="n">
        <v>2.04707788</v>
      </c>
      <c r="I35" s="18" t="n">
        <v>0</v>
      </c>
      <c r="J35" s="20" t="n">
        <v>0</v>
      </c>
      <c r="K35" s="18" t="n">
        <v>0</v>
      </c>
      <c r="L35" s="20" t="n">
        <v>0</v>
      </c>
      <c r="M35" s="18" t="n">
        <v>0</v>
      </c>
      <c r="N35" s="20" t="n">
        <v>0</v>
      </c>
      <c r="O35" s="18" t="n">
        <v>0</v>
      </c>
      <c r="P35" s="20" t="n">
        <v>0</v>
      </c>
      <c r="Q35" s="18" t="n">
        <v>1.63569117</v>
      </c>
      <c r="R35" s="20" t="n">
        <v>0.55326935</v>
      </c>
    </row>
    <row r="36" spans="1:18">
      <c r="A36" s="15" t="s">
        <v>594</v>
      </c>
      <c r="B36" s="17" t="n">
        <v>6736</v>
      </c>
      <c r="C36" s="18">
        <f>(5983.0/B36*100)</f>
        <v/>
      </c>
      <c r="D36" s="19" t="n">
        <v>753</v>
      </c>
      <c r="E36" s="18" t="n">
        <v>38.79132306</v>
      </c>
      <c r="F36" s="20" t="n">
        <v>1.74729381</v>
      </c>
      <c r="G36" s="18" t="n">
        <v>57.89486668</v>
      </c>
      <c r="H36" s="20" t="n">
        <v>1.78195114</v>
      </c>
      <c r="I36" s="18" t="n">
        <v>0</v>
      </c>
      <c r="J36" s="20" t="n">
        <v>0</v>
      </c>
      <c r="K36" s="18" t="n">
        <v>0.30589947</v>
      </c>
      <c r="L36" s="20" t="n">
        <v>0.18791571</v>
      </c>
      <c r="M36" s="18" t="n">
        <v>0</v>
      </c>
      <c r="N36" s="20" t="n">
        <v>0</v>
      </c>
      <c r="O36" s="18" t="n">
        <v>0</v>
      </c>
      <c r="P36" s="20" t="n">
        <v>0</v>
      </c>
      <c r="Q36" s="18" t="n">
        <v>3.0079108</v>
      </c>
      <c r="R36" s="20" t="n">
        <v>0.65998254</v>
      </c>
    </row>
    <row r="37" spans="1:18">
      <c r="A37" s="15" t="s">
        <v>595</v>
      </c>
      <c r="B37" s="17" t="n">
        <v>5458</v>
      </c>
      <c r="C37" s="18">
        <f>(4867.0/B37*100)</f>
        <v/>
      </c>
      <c r="D37" s="19" t="n">
        <v>591</v>
      </c>
      <c r="E37" s="18" t="n">
        <v>31.37768568</v>
      </c>
      <c r="F37" s="20" t="n">
        <v>2.22059778</v>
      </c>
      <c r="G37" s="18" t="n">
        <v>65.30442443</v>
      </c>
      <c r="H37" s="20" t="n">
        <v>2.44895851</v>
      </c>
      <c r="I37" s="18" t="n">
        <v>0</v>
      </c>
      <c r="J37" s="20" t="n">
        <v>0</v>
      </c>
      <c r="K37" s="18" t="n">
        <v>0.14936333</v>
      </c>
      <c r="L37" s="20" t="n">
        <v>0.15052899</v>
      </c>
      <c r="M37" s="18" t="n">
        <v>0</v>
      </c>
      <c r="N37" s="20" t="n">
        <v>0</v>
      </c>
      <c r="O37" s="18" t="n">
        <v>0</v>
      </c>
      <c r="P37" s="20" t="n">
        <v>0</v>
      </c>
      <c r="Q37" s="18" t="n">
        <v>3.16852656</v>
      </c>
      <c r="R37" s="20" t="n">
        <v>0.82752706</v>
      </c>
    </row>
    <row r="38" spans="1:18">
      <c r="A38" s="15" t="s">
        <v>596</v>
      </c>
      <c r="B38" s="17" t="n">
        <v>5860</v>
      </c>
      <c r="C38" s="18">
        <f>(5217.0/B38*100)</f>
        <v/>
      </c>
      <c r="D38" s="19" t="n">
        <v>643</v>
      </c>
      <c r="E38" s="18" t="n">
        <v>34.30316988</v>
      </c>
      <c r="F38" s="20" t="n">
        <v>1.96428051</v>
      </c>
      <c r="G38" s="18" t="n">
        <v>64.34867226999999</v>
      </c>
      <c r="H38" s="20" t="n">
        <v>2.01158184</v>
      </c>
      <c r="I38" s="18" t="n">
        <v>0</v>
      </c>
      <c r="J38" s="20" t="n">
        <v>0</v>
      </c>
      <c r="K38" s="18" t="n">
        <v>0.12895498</v>
      </c>
      <c r="L38" s="20" t="n">
        <v>0.1290946</v>
      </c>
      <c r="M38" s="18" t="n">
        <v>0</v>
      </c>
      <c r="N38" s="20" t="n">
        <v>0</v>
      </c>
      <c r="O38" s="18" t="n">
        <v>0</v>
      </c>
      <c r="P38" s="20" t="n">
        <v>0</v>
      </c>
      <c r="Q38" s="18" t="n">
        <v>1.21920287</v>
      </c>
      <c r="R38" s="20" t="n">
        <v>0.48252978</v>
      </c>
    </row>
    <row r="39" spans="1:18">
      <c r="A39" s="15" t="s">
        <v>597</v>
      </c>
      <c r="B39" s="17" t="n">
        <v>5895</v>
      </c>
      <c r="C39" s="18">
        <f>(5253.0/B39*100)</f>
        <v/>
      </c>
      <c r="D39" s="19" t="n">
        <v>642</v>
      </c>
      <c r="E39" s="18" t="n">
        <v>54.0825653</v>
      </c>
      <c r="F39" s="20" t="n">
        <v>2.52527958</v>
      </c>
      <c r="G39" s="18" t="n">
        <v>44.07319995</v>
      </c>
      <c r="H39" s="20" t="n">
        <v>2.57476747</v>
      </c>
      <c r="I39" s="18" t="n">
        <v>0</v>
      </c>
      <c r="J39" s="20" t="n">
        <v>0</v>
      </c>
      <c r="K39" s="18" t="n">
        <v>0</v>
      </c>
      <c r="L39" s="20" t="n">
        <v>0</v>
      </c>
      <c r="M39" s="18" t="n">
        <v>0</v>
      </c>
      <c r="N39" s="20" t="n">
        <v>0</v>
      </c>
      <c r="O39" s="18" t="n">
        <v>0</v>
      </c>
      <c r="P39" s="20" t="n">
        <v>0</v>
      </c>
      <c r="Q39" s="18" t="n">
        <v>1.84423475</v>
      </c>
      <c r="R39" s="20" t="n">
        <v>0.43009673</v>
      </c>
    </row>
    <row r="40" spans="1:18">
      <c r="A40" s="15" t="s">
        <v>598</v>
      </c>
      <c r="B40" s="17" t="n">
        <v>14157</v>
      </c>
      <c r="C40" s="18">
        <f>(12606.0/B40*100)</f>
        <v/>
      </c>
      <c r="D40" s="19" t="n">
        <v>1551</v>
      </c>
      <c r="E40" s="18" t="n">
        <v>32.84801883</v>
      </c>
      <c r="F40" s="20" t="n">
        <v>2.08659448</v>
      </c>
      <c r="G40" s="18" t="n">
        <v>63.85212459</v>
      </c>
      <c r="H40" s="20" t="n">
        <v>2.04424263</v>
      </c>
      <c r="I40" s="18" t="n">
        <v>0</v>
      </c>
      <c r="J40" s="20" t="n">
        <v>0</v>
      </c>
      <c r="K40" s="18" t="n">
        <v>0.30718807</v>
      </c>
      <c r="L40" s="20" t="n">
        <v>0.18583671</v>
      </c>
      <c r="M40" s="18" t="n">
        <v>0</v>
      </c>
      <c r="N40" s="20" t="n">
        <v>0</v>
      </c>
      <c r="O40" s="18" t="n">
        <v>0</v>
      </c>
      <c r="P40" s="20" t="n">
        <v>0</v>
      </c>
      <c r="Q40" s="18" t="n">
        <v>2.99266851</v>
      </c>
      <c r="R40" s="20" t="n">
        <v>0.9039929</v>
      </c>
    </row>
    <row r="41" spans="1:18">
      <c r="A41" s="15" t="s">
        <v>599</v>
      </c>
      <c r="B41" s="17" t="n">
        <v>5712</v>
      </c>
      <c r="C41" s="18">
        <f>(5093.0/B41*100)</f>
        <v/>
      </c>
      <c r="D41" s="19" t="n">
        <v>619</v>
      </c>
      <c r="E41" s="18" t="n">
        <v>38.42335432</v>
      </c>
      <c r="F41" s="20" t="n">
        <v>2.12947033</v>
      </c>
      <c r="G41" s="18" t="n">
        <v>59.80563401</v>
      </c>
      <c r="H41" s="20" t="n">
        <v>2.13648283</v>
      </c>
      <c r="I41" s="18" t="n">
        <v>0</v>
      </c>
      <c r="J41" s="20" t="n">
        <v>0</v>
      </c>
      <c r="K41" s="18" t="n">
        <v>0.21910533</v>
      </c>
      <c r="L41" s="20" t="n">
        <v>0.17883785</v>
      </c>
      <c r="M41" s="18" t="n">
        <v>0</v>
      </c>
      <c r="N41" s="20" t="n">
        <v>0</v>
      </c>
      <c r="O41" s="18" t="n">
        <v>0</v>
      </c>
      <c r="P41" s="20" t="n">
        <v>0</v>
      </c>
      <c r="Q41" s="18" t="n">
        <v>1.55190634</v>
      </c>
      <c r="R41" s="20" t="n">
        <v>0.5615010499999999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(20768.0/B46*100)</f>
        <v/>
      </c>
      <c r="D46" s="19" t="n">
        <v>2373</v>
      </c>
      <c r="E46" s="18" t="n">
        <v>54.77153567</v>
      </c>
      <c r="F46" s="20" t="n">
        <v>1.2677829</v>
      </c>
      <c r="G46" s="18" t="n">
        <v>39.62159068</v>
      </c>
      <c r="H46" s="20" t="n">
        <v>1.27698272</v>
      </c>
      <c r="I46" s="18" t="n">
        <v>0</v>
      </c>
      <c r="J46" s="20" t="n">
        <v>0</v>
      </c>
      <c r="K46" s="18" t="n">
        <v>0.51808227</v>
      </c>
      <c r="L46" s="20" t="n">
        <v>0.20781168</v>
      </c>
      <c r="M46" s="18" t="n">
        <v>0</v>
      </c>
      <c r="N46" s="20" t="n">
        <v>0</v>
      </c>
      <c r="O46" s="18" t="n">
        <v>0</v>
      </c>
      <c r="P46" s="20" t="n">
        <v>0</v>
      </c>
      <c r="Q46" s="18" t="n">
        <v>5.08879138</v>
      </c>
      <c r="R46" s="20" t="n">
        <v>0.61539219</v>
      </c>
    </row>
    <row r="47" spans="1:18">
      <c r="A47" s="15" t="s">
        <v>606</v>
      </c>
      <c r="B47" s="17" t="n">
        <v>5928</v>
      </c>
      <c r="C47" s="18">
        <f>(5276.0/B47*100)</f>
        <v/>
      </c>
      <c r="D47" s="19" t="n">
        <v>652</v>
      </c>
      <c r="E47" s="18" t="n">
        <v>48.54296227</v>
      </c>
      <c r="F47" s="20" t="n">
        <v>2.15353177</v>
      </c>
      <c r="G47" s="18" t="n">
        <v>49.17497532</v>
      </c>
      <c r="H47" s="20" t="n">
        <v>2.18538082</v>
      </c>
      <c r="I47" s="18" t="n">
        <v>0</v>
      </c>
      <c r="J47" s="20" t="n">
        <v>0</v>
      </c>
      <c r="K47" s="18" t="n">
        <v>0.46850149</v>
      </c>
      <c r="L47" s="20" t="n">
        <v>0.30871056</v>
      </c>
      <c r="M47" s="18" t="n">
        <v>0</v>
      </c>
      <c r="N47" s="20" t="n">
        <v>0</v>
      </c>
      <c r="O47" s="18" t="n">
        <v>0</v>
      </c>
      <c r="P47" s="20" t="n">
        <v>0</v>
      </c>
      <c r="Q47" s="18" t="n">
        <v>1.81356092</v>
      </c>
      <c r="R47" s="20" t="n">
        <v>0.44247933</v>
      </c>
    </row>
    <row r="48" spans="1:18">
      <c r="A48" s="15" t="s">
        <v>607</v>
      </c>
      <c r="B48" s="17" t="n">
        <v>9841</v>
      </c>
      <c r="C48" s="18">
        <f>(8782.0/B48*100)</f>
        <v/>
      </c>
      <c r="D48" s="19" t="n">
        <v>1059</v>
      </c>
      <c r="E48" s="18" t="n">
        <v>34.1494846</v>
      </c>
      <c r="F48" s="20" t="n">
        <v>1.55898052</v>
      </c>
      <c r="G48" s="18" t="n">
        <v>63.07144924</v>
      </c>
      <c r="H48" s="20" t="n">
        <v>1.61723729</v>
      </c>
      <c r="I48" s="18" t="n">
        <v>0</v>
      </c>
      <c r="J48" s="20" t="n">
        <v>0</v>
      </c>
      <c r="K48" s="18" t="n">
        <v>0.07210069</v>
      </c>
      <c r="L48" s="20" t="n">
        <v>0.10114918</v>
      </c>
      <c r="M48" s="18" t="n">
        <v>0</v>
      </c>
      <c r="N48" s="20" t="n">
        <v>0</v>
      </c>
      <c r="O48" s="18" t="n">
        <v>0</v>
      </c>
      <c r="P48" s="20" t="n">
        <v>0</v>
      </c>
      <c r="Q48" s="18" t="n">
        <v>2.70696546</v>
      </c>
      <c r="R48" s="20" t="n">
        <v>0.63196399</v>
      </c>
    </row>
    <row r="49" spans="1:18">
      <c r="A49" s="15" t="s">
        <v>608</v>
      </c>
      <c r="B49" s="17" t="n">
        <v>11795</v>
      </c>
      <c r="C49" s="18">
        <f>(10499.0/B49*100)</f>
        <v/>
      </c>
      <c r="D49" s="19" t="n">
        <v>1296</v>
      </c>
      <c r="E49" s="18" t="n">
        <v>48.37048987</v>
      </c>
      <c r="F49" s="20" t="n">
        <v>1.72808121</v>
      </c>
      <c r="G49" s="18" t="n">
        <v>48.31735751</v>
      </c>
      <c r="H49" s="20" t="n">
        <v>1.64650914</v>
      </c>
      <c r="I49" s="18" t="n">
        <v>0</v>
      </c>
      <c r="J49" s="20" t="n">
        <v>0</v>
      </c>
      <c r="K49" s="18" t="n">
        <v>0.67682122</v>
      </c>
      <c r="L49" s="20" t="n">
        <v>0.39335515</v>
      </c>
      <c r="M49" s="18" t="n">
        <v>0</v>
      </c>
      <c r="N49" s="20" t="n">
        <v>0</v>
      </c>
      <c r="O49" s="18" t="n">
        <v>0</v>
      </c>
      <c r="P49" s="20" t="n">
        <v>0</v>
      </c>
      <c r="Q49" s="18" t="n">
        <v>2.6353314</v>
      </c>
      <c r="R49" s="20" t="n">
        <v>0.5630541100000001</v>
      </c>
    </row>
    <row r="50" spans="1:18">
      <c r="A50" s="15" t="s">
        <v>609</v>
      </c>
      <c r="B50" s="17" t="n">
        <v>6866</v>
      </c>
      <c r="C50" s="18">
        <f>(6191.0/B50*100)</f>
        <v/>
      </c>
      <c r="D50" s="19" t="n">
        <v>675</v>
      </c>
      <c r="E50" s="18" t="n">
        <v>56.2377379</v>
      </c>
      <c r="F50" s="20" t="n">
        <v>1.9913406</v>
      </c>
      <c r="G50" s="18" t="n">
        <v>40.53127756</v>
      </c>
      <c r="H50" s="20" t="n">
        <v>1.946447</v>
      </c>
      <c r="I50" s="18" t="n">
        <v>0</v>
      </c>
      <c r="J50" s="20" t="n">
        <v>0</v>
      </c>
      <c r="K50" s="18" t="n">
        <v>0.1619129</v>
      </c>
      <c r="L50" s="20" t="n">
        <v>0.16285125</v>
      </c>
      <c r="M50" s="18" t="n">
        <v>0</v>
      </c>
      <c r="N50" s="20" t="n">
        <v>0</v>
      </c>
      <c r="O50" s="18" t="n">
        <v>0</v>
      </c>
      <c r="P50" s="20" t="n">
        <v>0</v>
      </c>
      <c r="Q50" s="18" t="n">
        <v>3.06907164</v>
      </c>
      <c r="R50" s="20" t="n">
        <v>0.71197729</v>
      </c>
    </row>
    <row r="51" spans="1:18">
      <c r="A51" s="15" t="s">
        <v>610</v>
      </c>
      <c r="B51" s="17" t="n">
        <v>5809</v>
      </c>
      <c r="C51" s="18">
        <f>(5175.0/B51*100)</f>
        <v/>
      </c>
      <c r="D51" s="19" t="n">
        <v>634</v>
      </c>
      <c r="E51" s="18" t="n">
        <v>43.11655273</v>
      </c>
      <c r="F51" s="20" t="n">
        <v>1.94232936</v>
      </c>
      <c r="G51" s="18" t="n">
        <v>53.65653673</v>
      </c>
      <c r="H51" s="20" t="n">
        <v>1.95623455</v>
      </c>
      <c r="I51" s="18" t="n">
        <v>0</v>
      </c>
      <c r="J51" s="20" t="n">
        <v>0</v>
      </c>
      <c r="K51" s="18" t="n">
        <v>0.16044937</v>
      </c>
      <c r="L51" s="20" t="n">
        <v>0.15692998</v>
      </c>
      <c r="M51" s="18" t="n">
        <v>0</v>
      </c>
      <c r="N51" s="20" t="n">
        <v>0</v>
      </c>
      <c r="O51" s="18" t="n">
        <v>0</v>
      </c>
      <c r="P51" s="20" t="n">
        <v>0</v>
      </c>
      <c r="Q51" s="18" t="n">
        <v>3.06646117</v>
      </c>
      <c r="R51" s="20" t="n">
        <v>0.8565293899999999</v>
      </c>
    </row>
    <row r="52" spans="1:18">
      <c r="A52" s="15" t="s">
        <v>611</v>
      </c>
      <c r="B52" s="17" t="n">
        <v>5571</v>
      </c>
      <c r="C52" s="18">
        <f>(4958.0/B52*100)</f>
        <v/>
      </c>
      <c r="D52" s="19" t="n">
        <v>613</v>
      </c>
      <c r="E52" s="18" t="n">
        <v>49.05025486</v>
      </c>
      <c r="F52" s="20" t="n">
        <v>1.88980982</v>
      </c>
      <c r="G52" s="18" t="n">
        <v>46.90535123</v>
      </c>
      <c r="H52" s="20" t="n">
        <v>1.95604928</v>
      </c>
      <c r="I52" s="18" t="n">
        <v>0</v>
      </c>
      <c r="J52" s="20" t="n">
        <v>0</v>
      </c>
      <c r="K52" s="18" t="n">
        <v>0.37588096</v>
      </c>
      <c r="L52" s="20" t="n">
        <v>0.21991452</v>
      </c>
      <c r="M52" s="18" t="n">
        <v>0</v>
      </c>
      <c r="N52" s="20" t="n">
        <v>0</v>
      </c>
      <c r="O52" s="18" t="n">
        <v>0</v>
      </c>
      <c r="P52" s="20" t="n">
        <v>0</v>
      </c>
      <c r="Q52" s="18" t="n">
        <v>3.66851295</v>
      </c>
      <c r="R52" s="20" t="n">
        <v>0.78854859</v>
      </c>
    </row>
    <row r="53" spans="1:18">
      <c r="A53" s="15" t="s">
        <v>612</v>
      </c>
      <c r="B53" s="17" t="n">
        <v>4740</v>
      </c>
      <c r="C53" s="18">
        <f>(4195.0/B53*100)</f>
        <v/>
      </c>
      <c r="D53" s="19" t="n">
        <v>545</v>
      </c>
      <c r="E53" s="18" t="n">
        <v>49.01219958</v>
      </c>
      <c r="F53" s="20" t="n">
        <v>2.26483519</v>
      </c>
      <c r="G53" s="18" t="n">
        <v>35.55472013</v>
      </c>
      <c r="H53" s="20" t="n">
        <v>2.10381254</v>
      </c>
      <c r="I53" s="18" t="n">
        <v>0</v>
      </c>
      <c r="J53" s="20" t="n">
        <v>0</v>
      </c>
      <c r="K53" s="18" t="n">
        <v>5.02218683</v>
      </c>
      <c r="L53" s="20" t="n">
        <v>1.027346</v>
      </c>
      <c r="M53" s="18" t="n">
        <v>0</v>
      </c>
      <c r="N53" s="20" t="n">
        <v>0</v>
      </c>
      <c r="O53" s="18" t="n">
        <v>0</v>
      </c>
      <c r="P53" s="20" t="n">
        <v>0</v>
      </c>
      <c r="Q53" s="18" t="n">
        <v>10.41089346</v>
      </c>
      <c r="R53" s="20" t="n">
        <v>1.54619372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(4778.0/B55*100)</f>
        <v/>
      </c>
      <c r="D55" s="19" t="n">
        <v>581</v>
      </c>
      <c r="E55" s="18" t="n">
        <v>40.98315408</v>
      </c>
      <c r="F55" s="20" t="n">
        <v>2.07596746</v>
      </c>
      <c r="G55" s="18" t="n">
        <v>58.07134627</v>
      </c>
      <c r="H55" s="20" t="n">
        <v>2.02579039</v>
      </c>
      <c r="I55" s="18" t="n">
        <v>0</v>
      </c>
      <c r="J55" s="20" t="n">
        <v>0</v>
      </c>
      <c r="K55" s="18" t="n">
        <v>0</v>
      </c>
      <c r="L55" s="20" t="n">
        <v>0</v>
      </c>
      <c r="M55" s="18" t="n">
        <v>0</v>
      </c>
      <c r="N55" s="20" t="n">
        <v>0</v>
      </c>
      <c r="O55" s="18" t="n">
        <v>0</v>
      </c>
      <c r="P55" s="20" t="n">
        <v>0</v>
      </c>
      <c r="Q55" s="18" t="n">
        <v>0.94549965</v>
      </c>
      <c r="R55" s="20" t="n">
        <v>0.45033019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(5820.0/B61*100)</f>
        <v/>
      </c>
      <c r="D61" s="19" t="n">
        <v>705</v>
      </c>
      <c r="E61" s="18" t="n">
        <v>52.82751516</v>
      </c>
      <c r="F61" s="20" t="n">
        <v>1.83976258</v>
      </c>
      <c r="G61" s="18" t="n">
        <v>46.06140697</v>
      </c>
      <c r="H61" s="20" t="n">
        <v>1.83170691</v>
      </c>
      <c r="I61" s="18" t="n">
        <v>0</v>
      </c>
      <c r="J61" s="20" t="n">
        <v>0</v>
      </c>
      <c r="K61" s="18" t="n">
        <v>0</v>
      </c>
      <c r="L61" s="20" t="n">
        <v>0</v>
      </c>
      <c r="M61" s="18" t="n">
        <v>0</v>
      </c>
      <c r="N61" s="20" t="n">
        <v>0</v>
      </c>
      <c r="O61" s="18" t="n">
        <v>0</v>
      </c>
      <c r="P61" s="20" t="n">
        <v>0</v>
      </c>
      <c r="Q61" s="18" t="n">
        <v>1.11107787</v>
      </c>
      <c r="R61" s="20" t="n">
        <v>0.38583482</v>
      </c>
    </row>
    <row r="62" spans="1:18">
      <c r="A62" s="15" t="s">
        <v>622</v>
      </c>
      <c r="B62" s="17" t="n">
        <v>4476</v>
      </c>
      <c r="C62" s="18">
        <f>(3994.0/B62*100)</f>
        <v/>
      </c>
      <c r="D62" s="19" t="n">
        <v>482</v>
      </c>
      <c r="E62" s="18" t="n">
        <v>41.76071879</v>
      </c>
      <c r="F62" s="20" t="n">
        <v>2.25912983</v>
      </c>
      <c r="G62" s="18" t="n">
        <v>58.03314711</v>
      </c>
      <c r="H62" s="20" t="n">
        <v>2.27406843</v>
      </c>
      <c r="I62" s="18" t="n">
        <v>0</v>
      </c>
      <c r="J62" s="20" t="n">
        <v>0</v>
      </c>
      <c r="K62" s="18" t="n">
        <v>0</v>
      </c>
      <c r="L62" s="20" t="n">
        <v>0</v>
      </c>
      <c r="M62" s="18" t="n">
        <v>0</v>
      </c>
      <c r="N62" s="20" t="n">
        <v>0</v>
      </c>
      <c r="O62" s="18" t="n">
        <v>0</v>
      </c>
      <c r="P62" s="20" t="n">
        <v>0</v>
      </c>
      <c r="Q62" s="18" t="n">
        <v>0.20613411</v>
      </c>
      <c r="R62" s="20" t="n">
        <v>0.2076882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(5041.0/B67*100)</f>
        <v/>
      </c>
      <c r="D67" s="19" t="n">
        <v>624</v>
      </c>
      <c r="E67" s="18" t="n">
        <v>61.05348656</v>
      </c>
      <c r="F67" s="20" t="n">
        <v>2.18926721</v>
      </c>
      <c r="G67" s="18" t="n">
        <v>31.56714562</v>
      </c>
      <c r="H67" s="20" t="n">
        <v>2.06455449</v>
      </c>
      <c r="I67" s="18" t="n">
        <v>0</v>
      </c>
      <c r="J67" s="20" t="n">
        <v>0</v>
      </c>
      <c r="K67" s="18" t="n">
        <v>0.13388811</v>
      </c>
      <c r="L67" s="20" t="n">
        <v>0.13375352</v>
      </c>
      <c r="M67" s="18" t="n">
        <v>0</v>
      </c>
      <c r="N67" s="20" t="n">
        <v>0</v>
      </c>
      <c r="O67" s="18" t="n">
        <v>0</v>
      </c>
      <c r="P67" s="20" t="n">
        <v>0</v>
      </c>
      <c r="Q67" s="18" t="n">
        <v>7.2454797</v>
      </c>
      <c r="R67" s="20" t="n">
        <v>1.27037305</v>
      </c>
    </row>
    <row r="68" spans="1:18">
      <c r="A68" s="15" t="s">
        <v>628</v>
      </c>
      <c r="B68" s="17" t="n">
        <v>6971</v>
      </c>
      <c r="C68" s="18">
        <f>(6205.0/B68*100)</f>
        <v/>
      </c>
      <c r="D68" s="19" t="n">
        <v>766</v>
      </c>
      <c r="E68" s="18" t="n">
        <v>50.8495766</v>
      </c>
      <c r="F68" s="20" t="n">
        <v>1.99219853</v>
      </c>
      <c r="G68" s="18" t="n">
        <v>46.82134265</v>
      </c>
      <c r="H68" s="20" t="n">
        <v>2.02977378</v>
      </c>
      <c r="I68" s="18" t="n">
        <v>0</v>
      </c>
      <c r="J68" s="20" t="n">
        <v>0</v>
      </c>
      <c r="K68" s="18" t="n">
        <v>0.09805969</v>
      </c>
      <c r="L68" s="20" t="n">
        <v>0.09829781</v>
      </c>
      <c r="M68" s="18" t="n">
        <v>0</v>
      </c>
      <c r="N68" s="20" t="n">
        <v>0</v>
      </c>
      <c r="O68" s="18" t="n">
        <v>0</v>
      </c>
      <c r="P68" s="20" t="n">
        <v>0</v>
      </c>
      <c r="Q68" s="18" t="n">
        <v>2.23102106</v>
      </c>
      <c r="R68" s="20" t="n">
        <v>0.50846755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(10724.0/B70*100)</f>
        <v/>
      </c>
      <c r="D70" s="19" t="n">
        <v>1359</v>
      </c>
      <c r="E70" s="18" t="n">
        <v>54.81022735</v>
      </c>
      <c r="F70" s="20" t="n">
        <v>1.30259828</v>
      </c>
      <c r="G70" s="18" t="n">
        <v>37.45609301</v>
      </c>
      <c r="H70" s="20" t="n">
        <v>1.29789993</v>
      </c>
      <c r="I70" s="18" t="n">
        <v>0</v>
      </c>
      <c r="J70" s="20" t="n">
        <v>0</v>
      </c>
      <c r="K70" s="18" t="n">
        <v>0.66169298</v>
      </c>
      <c r="L70" s="20" t="n">
        <v>0.22194251</v>
      </c>
      <c r="M70" s="18" t="n">
        <v>0</v>
      </c>
      <c r="N70" s="20" t="n">
        <v>0</v>
      </c>
      <c r="O70" s="18" t="n">
        <v>0</v>
      </c>
      <c r="P70" s="20" t="n">
        <v>0</v>
      </c>
      <c r="Q70" s="18" t="n">
        <v>7.07198666</v>
      </c>
      <c r="R70" s="20" t="n">
        <v>0.68756289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(5393.0/B72*100)</f>
        <v/>
      </c>
      <c r="D72" s="19" t="n">
        <v>643</v>
      </c>
      <c r="E72" s="18" t="n">
        <v>53.4713918</v>
      </c>
      <c r="F72" s="20" t="n">
        <v>1.80559997</v>
      </c>
      <c r="G72" s="18" t="n">
        <v>44.02644836</v>
      </c>
      <c r="H72" s="20" t="n">
        <v>1.88893119</v>
      </c>
      <c r="I72" s="18" t="n">
        <v>0</v>
      </c>
      <c r="J72" s="20" t="n">
        <v>0</v>
      </c>
      <c r="K72" s="18" t="n">
        <v>0.3593907</v>
      </c>
      <c r="L72" s="20" t="n">
        <v>0.25225826</v>
      </c>
      <c r="M72" s="18" t="n">
        <v>0</v>
      </c>
      <c r="N72" s="20" t="n">
        <v>0</v>
      </c>
      <c r="O72" s="18" t="n">
        <v>0</v>
      </c>
      <c r="P72" s="20" t="n">
        <v>0</v>
      </c>
      <c r="Q72" s="18" t="n">
        <v>2.14276914</v>
      </c>
      <c r="R72" s="20" t="n">
        <v>0.57284521</v>
      </c>
    </row>
    <row r="73" spans="1:18">
      <c r="A73" s="15" t="s">
        <v>633</v>
      </c>
      <c r="B73" s="17" t="n">
        <v>6115</v>
      </c>
      <c r="C73" s="18">
        <f>(5425.0/B73*100)</f>
        <v/>
      </c>
      <c r="D73" s="19" t="n">
        <v>690</v>
      </c>
      <c r="E73" s="18" t="n">
        <v>34.06126631</v>
      </c>
      <c r="F73" s="20" t="n">
        <v>1.95875775</v>
      </c>
      <c r="G73" s="18" t="n">
        <v>64.92723472</v>
      </c>
      <c r="H73" s="20" t="n">
        <v>1.98408965</v>
      </c>
      <c r="I73" s="18" t="n">
        <v>0</v>
      </c>
      <c r="J73" s="20" t="n">
        <v>0</v>
      </c>
      <c r="K73" s="18" t="n">
        <v>0.23311472</v>
      </c>
      <c r="L73" s="20" t="n">
        <v>0.22302065</v>
      </c>
      <c r="M73" s="18" t="n">
        <v>0</v>
      </c>
      <c r="N73" s="20" t="n">
        <v>0</v>
      </c>
      <c r="O73" s="18" t="n">
        <v>0</v>
      </c>
      <c r="P73" s="20" t="n">
        <v>0</v>
      </c>
      <c r="Q73" s="18" t="n">
        <v>0.77838425</v>
      </c>
      <c r="R73" s="20" t="n">
        <v>0.31325895</v>
      </c>
    </row>
    <row r="74" spans="1:18">
      <c r="A74" s="15" t="s">
        <v>634</v>
      </c>
      <c r="B74" s="17" t="n">
        <v>7708</v>
      </c>
      <c r="C74" s="18">
        <f>(6864.0/B74*100)</f>
        <v/>
      </c>
      <c r="D74" s="19" t="n">
        <v>844</v>
      </c>
      <c r="E74" s="18" t="n">
        <v>31.34610952</v>
      </c>
      <c r="F74" s="20" t="n">
        <v>1.46275424</v>
      </c>
      <c r="G74" s="18" t="n">
        <v>67.73873005</v>
      </c>
      <c r="H74" s="20" t="n">
        <v>1.44299627</v>
      </c>
      <c r="I74" s="18" t="n">
        <v>0</v>
      </c>
      <c r="J74" s="20" t="n">
        <v>0</v>
      </c>
      <c r="K74" s="18" t="n">
        <v>0.15675985</v>
      </c>
      <c r="L74" s="20" t="n">
        <v>0.15732803</v>
      </c>
      <c r="M74" s="18" t="n">
        <v>0</v>
      </c>
      <c r="N74" s="20" t="n">
        <v>0</v>
      </c>
      <c r="O74" s="18" t="n">
        <v>0</v>
      </c>
      <c r="P74" s="20" t="n">
        <v>0</v>
      </c>
      <c r="Q74" s="18" t="n">
        <v>0.75840058</v>
      </c>
      <c r="R74" s="20" t="n">
        <v>0.34348137</v>
      </c>
    </row>
    <row r="75" spans="1:18">
      <c r="A75" s="15" t="s">
        <v>635</v>
      </c>
      <c r="B75" s="17" t="n">
        <v>8249</v>
      </c>
      <c r="C75" s="18">
        <f>(7370.0/B75*100)</f>
        <v/>
      </c>
      <c r="D75" s="19" t="n">
        <v>879</v>
      </c>
      <c r="E75" s="18" t="n">
        <v>50.92500141</v>
      </c>
      <c r="F75" s="20" t="n">
        <v>1.74884989</v>
      </c>
      <c r="G75" s="18" t="n">
        <v>48.06456546</v>
      </c>
      <c r="H75" s="20" t="n">
        <v>1.75163155</v>
      </c>
      <c r="I75" s="18" t="n">
        <v>0</v>
      </c>
      <c r="J75" s="20" t="n">
        <v>0</v>
      </c>
      <c r="K75" s="18" t="n">
        <v>0</v>
      </c>
      <c r="L75" s="20" t="n">
        <v>0</v>
      </c>
      <c r="M75" s="18" t="n">
        <v>0</v>
      </c>
      <c r="N75" s="20" t="n">
        <v>0</v>
      </c>
      <c r="O75" s="18" t="n">
        <v>0</v>
      </c>
      <c r="P75" s="20" t="n">
        <v>0</v>
      </c>
      <c r="Q75" s="18" t="n">
        <v>1.01043313</v>
      </c>
      <c r="R75" s="20" t="n">
        <v>0.38955066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(4830.0/B77*100)</f>
        <v/>
      </c>
      <c r="D77" s="19" t="n">
        <v>545</v>
      </c>
      <c r="E77" s="18" t="n">
        <v>59.18253607</v>
      </c>
      <c r="F77" s="20" t="n">
        <v>2.32828729</v>
      </c>
      <c r="G77" s="18" t="n">
        <v>33.86843774</v>
      </c>
      <c r="H77" s="20" t="n">
        <v>2.23195872</v>
      </c>
      <c r="I77" s="18" t="n">
        <v>0</v>
      </c>
      <c r="J77" s="20" t="n">
        <v>0</v>
      </c>
      <c r="K77" s="18" t="n">
        <v>1.38454311</v>
      </c>
      <c r="L77" s="20" t="n">
        <v>0.40120045</v>
      </c>
      <c r="M77" s="18" t="n">
        <v>0</v>
      </c>
      <c r="N77" s="20" t="n">
        <v>0</v>
      </c>
      <c r="O77" s="18" t="n">
        <v>0</v>
      </c>
      <c r="P77" s="20" t="n">
        <v>0</v>
      </c>
      <c r="Q77" s="18" t="n">
        <v>5.56448308</v>
      </c>
      <c r="R77" s="20" t="n">
        <v>1.1285194</v>
      </c>
    </row>
    <row r="78" spans="1:18">
      <c r="A78" s="15" t="s">
        <v>638</v>
      </c>
      <c r="B78" s="17" t="n">
        <v>14167</v>
      </c>
      <c r="C78" s="18">
        <f>(12613.0/B78*100)</f>
        <v/>
      </c>
      <c r="D78" s="19" t="n">
        <v>1554</v>
      </c>
      <c r="E78" s="18" t="n">
        <v>52.5376211</v>
      </c>
      <c r="F78" s="20" t="n">
        <v>1.71112545</v>
      </c>
      <c r="G78" s="18" t="n">
        <v>43.10110775</v>
      </c>
      <c r="H78" s="20" t="n">
        <v>1.75732339</v>
      </c>
      <c r="I78" s="18" t="n">
        <v>0</v>
      </c>
      <c r="J78" s="20" t="n">
        <v>0</v>
      </c>
      <c r="K78" s="18" t="n">
        <v>0.73925065</v>
      </c>
      <c r="L78" s="20" t="n">
        <v>0.29210715</v>
      </c>
      <c r="M78" s="18" t="n">
        <v>0</v>
      </c>
      <c r="N78" s="20" t="n">
        <v>0</v>
      </c>
      <c r="O78" s="18" t="n">
        <v>0</v>
      </c>
      <c r="P78" s="20" t="n">
        <v>0</v>
      </c>
      <c r="Q78" s="18" t="n">
        <v>3.62202051</v>
      </c>
      <c r="R78" s="20" t="n">
        <v>0.60372852</v>
      </c>
    </row>
    <row r="79" spans="1:18">
      <c r="A79" s="15" t="s">
        <v>639</v>
      </c>
      <c r="B79" s="17" t="n">
        <v>6062</v>
      </c>
      <c r="C79" s="18">
        <f>(5377.0/B79*100)</f>
        <v/>
      </c>
      <c r="D79" s="19" t="n">
        <v>685</v>
      </c>
      <c r="E79" s="18" t="n">
        <v>45.63545933</v>
      </c>
      <c r="F79" s="20" t="n">
        <v>2.26703853</v>
      </c>
      <c r="G79" s="18" t="n">
        <v>48.62434192</v>
      </c>
      <c r="H79" s="20" t="n">
        <v>2.05121168</v>
      </c>
      <c r="I79" s="18" t="n">
        <v>0</v>
      </c>
      <c r="J79" s="20" t="n">
        <v>0</v>
      </c>
      <c r="K79" s="18" t="n">
        <v>0.23871247</v>
      </c>
      <c r="L79" s="20" t="n">
        <v>0.16797331</v>
      </c>
      <c r="M79" s="18" t="n">
        <v>0</v>
      </c>
      <c r="N79" s="20" t="n">
        <v>0</v>
      </c>
      <c r="O79" s="18" t="n">
        <v>0</v>
      </c>
      <c r="P79" s="20" t="n">
        <v>0</v>
      </c>
      <c r="Q79" s="18" t="n">
        <v>5.50148628</v>
      </c>
      <c r="R79" s="20" t="n">
        <v>0.92175714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(28751.0/B82*100)</f>
        <v/>
      </c>
      <c r="D82" s="19" t="n">
        <v>3579</v>
      </c>
      <c r="E82" s="18" t="n">
        <v>38.13107131</v>
      </c>
      <c r="F82" s="20" t="n">
        <v>1.27335013</v>
      </c>
      <c r="G82" s="18" t="n">
        <v>58.91339057</v>
      </c>
      <c r="H82" s="20" t="n">
        <v>1.28847087</v>
      </c>
      <c r="I82" s="18" t="n">
        <v>0</v>
      </c>
      <c r="J82" s="20" t="n">
        <v>0</v>
      </c>
      <c r="K82" s="18" t="n">
        <v>0.18058204</v>
      </c>
      <c r="L82" s="20" t="n">
        <v>0.12168266</v>
      </c>
      <c r="M82" s="18" t="n">
        <v>0</v>
      </c>
      <c r="N82" s="20" t="n">
        <v>0</v>
      </c>
      <c r="O82" s="18" t="n">
        <v>0</v>
      </c>
      <c r="P82" s="20" t="n">
        <v>0</v>
      </c>
      <c r="Q82" s="18" t="n">
        <v>2.77495608</v>
      </c>
      <c r="R82" s="20" t="n">
        <v>0.44607251</v>
      </c>
    </row>
    <row r="83" spans="1:18">
      <c r="A83" s="15" t="s">
        <v>643</v>
      </c>
      <c r="B83" s="17" t="n">
        <v>1652</v>
      </c>
      <c r="C83" s="18">
        <f>(1474.0/B83*100)</f>
        <v/>
      </c>
      <c r="D83" s="19" t="n">
        <v>178</v>
      </c>
      <c r="E83" s="18" t="n">
        <v>21.35158662</v>
      </c>
      <c r="F83" s="20" t="n">
        <v>3.40409033</v>
      </c>
      <c r="G83" s="18" t="n">
        <v>77.61236989</v>
      </c>
      <c r="H83" s="20" t="n">
        <v>3.55890071</v>
      </c>
      <c r="I83" s="18" t="n">
        <v>0</v>
      </c>
      <c r="J83" s="20" t="n">
        <v>0</v>
      </c>
      <c r="K83" s="18" t="n">
        <v>0</v>
      </c>
      <c r="L83" s="20" t="n">
        <v>0</v>
      </c>
      <c r="M83" s="18" t="n">
        <v>0</v>
      </c>
      <c r="N83" s="20" t="n">
        <v>0</v>
      </c>
      <c r="O83" s="18" t="n">
        <v>0</v>
      </c>
      <c r="P83" s="20" t="n">
        <v>0</v>
      </c>
      <c r="Q83" s="18" t="n">
        <v>1.03604348</v>
      </c>
      <c r="R83" s="20" t="n">
        <v>0.73550896</v>
      </c>
    </row>
    <row r="84" spans="1:18">
      <c r="A84" s="23" t="s">
        <v>644</v>
      </c>
      <c r="B84" s="24" t="n">
        <v>1887</v>
      </c>
      <c r="C84" s="25">
        <f>(1698.0/B84*100)</f>
        <v/>
      </c>
      <c r="D84" s="19" t="n">
        <v>189</v>
      </c>
      <c r="E84" s="18" t="n">
        <v>33.39791393</v>
      </c>
      <c r="F84" s="20" t="n">
        <v>2.93351994</v>
      </c>
      <c r="G84" s="18" t="n">
        <v>65.34532479000001</v>
      </c>
      <c r="H84" s="20" t="n">
        <v>3.04610588</v>
      </c>
      <c r="I84" s="18" t="n">
        <v>0</v>
      </c>
      <c r="J84" s="20" t="n">
        <v>0</v>
      </c>
      <c r="K84" s="18" t="n">
        <v>0</v>
      </c>
      <c r="L84" s="20" t="n">
        <v>0</v>
      </c>
      <c r="M84" s="18" t="n">
        <v>0</v>
      </c>
      <c r="N84" s="20" t="n">
        <v>0</v>
      </c>
      <c r="O84" s="18" t="n">
        <v>0</v>
      </c>
      <c r="P84" s="20" t="n">
        <v>0</v>
      </c>
      <c r="Q84" s="18" t="n">
        <v>1.25676129</v>
      </c>
      <c r="R84" s="20" t="n">
        <v>0.3706418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699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(12926.0/B7*100)</f>
        <v/>
      </c>
      <c r="D7" s="19" t="n">
        <v>1604</v>
      </c>
      <c r="E7" s="18" t="n">
        <v>56.65403234</v>
      </c>
      <c r="F7" s="20" t="n">
        <v>1.57095225</v>
      </c>
      <c r="G7" s="18" t="n">
        <v>41.42432919</v>
      </c>
      <c r="H7" s="20" t="n">
        <v>1.59088763</v>
      </c>
      <c r="I7" s="18" t="n">
        <v>0</v>
      </c>
      <c r="J7" s="20" t="n">
        <v>0</v>
      </c>
      <c r="K7" s="18" t="n">
        <v>0.01707882</v>
      </c>
      <c r="L7" s="20" t="n">
        <v>0.01657618</v>
      </c>
      <c r="M7" s="18" t="n">
        <v>0</v>
      </c>
      <c r="N7" s="20" t="n">
        <v>0</v>
      </c>
      <c r="O7" s="18" t="n">
        <v>0</v>
      </c>
      <c r="P7" s="20" t="n">
        <v>0</v>
      </c>
      <c r="Q7" s="18" t="n">
        <v>1.90455964</v>
      </c>
      <c r="R7" s="20" t="n">
        <v>0.39978657</v>
      </c>
    </row>
    <row r="8" spans="1:18">
      <c r="A8" s="15" t="s">
        <v>566</v>
      </c>
      <c r="B8" s="17" t="n">
        <v>7007</v>
      </c>
      <c r="C8" s="18">
        <f>(6218.0/B8*100)</f>
        <v/>
      </c>
      <c r="D8" s="19" t="n">
        <v>789</v>
      </c>
      <c r="E8" s="18" t="n">
        <v>61.9101256</v>
      </c>
      <c r="F8" s="20" t="n">
        <v>2.01870898</v>
      </c>
      <c r="G8" s="18" t="n">
        <v>35.36030096</v>
      </c>
      <c r="H8" s="20" t="n">
        <v>1.96267031</v>
      </c>
      <c r="I8" s="18" t="n">
        <v>0</v>
      </c>
      <c r="J8" s="20" t="n">
        <v>0</v>
      </c>
      <c r="K8" s="18" t="n">
        <v>0</v>
      </c>
      <c r="L8" s="20" t="n">
        <v>0</v>
      </c>
      <c r="M8" s="18" t="n">
        <v>0</v>
      </c>
      <c r="N8" s="20" t="n">
        <v>0</v>
      </c>
      <c r="O8" s="18" t="n">
        <v>0</v>
      </c>
      <c r="P8" s="20" t="n">
        <v>0</v>
      </c>
      <c r="Q8" s="18" t="n">
        <v>2.72957344</v>
      </c>
      <c r="R8" s="20" t="n">
        <v>0.67285702</v>
      </c>
    </row>
    <row r="9" spans="1:18">
      <c r="A9" s="15" t="s">
        <v>567</v>
      </c>
      <c r="B9" s="17" t="n">
        <v>9651</v>
      </c>
      <c r="C9" s="18">
        <f>(8626.0/B9*100)</f>
        <v/>
      </c>
      <c r="D9" s="19" t="n">
        <v>1025</v>
      </c>
      <c r="E9" s="18" t="n">
        <v>58.69530412</v>
      </c>
      <c r="F9" s="20" t="n">
        <v>1.77689917</v>
      </c>
      <c r="G9" s="18" t="n">
        <v>39.19379903</v>
      </c>
      <c r="H9" s="20" t="n">
        <v>1.72020343</v>
      </c>
      <c r="I9" s="18" t="n">
        <v>0</v>
      </c>
      <c r="J9" s="20" t="n">
        <v>0</v>
      </c>
      <c r="K9" s="18" t="n">
        <v>0</v>
      </c>
      <c r="L9" s="20" t="n">
        <v>0</v>
      </c>
      <c r="M9" s="18" t="n">
        <v>0</v>
      </c>
      <c r="N9" s="20" t="n">
        <v>0</v>
      </c>
      <c r="O9" s="18" t="n">
        <v>0</v>
      </c>
      <c r="P9" s="20" t="n">
        <v>0</v>
      </c>
      <c r="Q9" s="18" t="n">
        <v>2.11089684</v>
      </c>
      <c r="R9" s="20" t="n">
        <v>0.5405432</v>
      </c>
    </row>
    <row r="10" spans="1:18">
      <c r="A10" s="15" t="s">
        <v>568</v>
      </c>
      <c r="B10" s="17" t="n">
        <v>20058</v>
      </c>
      <c r="C10" s="18">
        <f>(17875.0/B10*100)</f>
        <v/>
      </c>
      <c r="D10" s="19" t="n">
        <v>2183</v>
      </c>
      <c r="E10" s="18" t="n">
        <v>55.43416038</v>
      </c>
      <c r="F10" s="20" t="n">
        <v>1.33608804</v>
      </c>
      <c r="G10" s="18" t="n">
        <v>42.60341707</v>
      </c>
      <c r="H10" s="20" t="n">
        <v>1.29481329</v>
      </c>
      <c r="I10" s="18" t="n">
        <v>0</v>
      </c>
      <c r="J10" s="20" t="n">
        <v>0</v>
      </c>
      <c r="K10" s="18" t="n">
        <v>0.03726161</v>
      </c>
      <c r="L10" s="20" t="n">
        <v>0.02209138</v>
      </c>
      <c r="M10" s="18" t="n">
        <v>0</v>
      </c>
      <c r="N10" s="20" t="n">
        <v>0</v>
      </c>
      <c r="O10" s="18" t="n">
        <v>0</v>
      </c>
      <c r="P10" s="20" t="n">
        <v>0</v>
      </c>
      <c r="Q10" s="18" t="n">
        <v>1.92516094</v>
      </c>
      <c r="R10" s="20" t="n">
        <v>0.49769551</v>
      </c>
    </row>
    <row r="11" spans="1:18">
      <c r="A11" s="15" t="s">
        <v>569</v>
      </c>
      <c r="B11" s="17" t="n">
        <v>7053</v>
      </c>
      <c r="C11" s="18">
        <f>(6245.0/B11*100)</f>
        <v/>
      </c>
      <c r="D11" s="19" t="n">
        <v>808</v>
      </c>
      <c r="E11" s="18" t="n">
        <v>79.7033003</v>
      </c>
      <c r="F11" s="20" t="n">
        <v>1.66957092</v>
      </c>
      <c r="G11" s="18" t="n">
        <v>16.90616017</v>
      </c>
      <c r="H11" s="20" t="n">
        <v>1.394888</v>
      </c>
      <c r="I11" s="18" t="n">
        <v>0</v>
      </c>
      <c r="J11" s="20" t="n">
        <v>0</v>
      </c>
      <c r="K11" s="18" t="n">
        <v>0.1637359</v>
      </c>
      <c r="L11" s="20" t="n">
        <v>0.15992861</v>
      </c>
      <c r="M11" s="18" t="n">
        <v>0</v>
      </c>
      <c r="N11" s="20" t="n">
        <v>0</v>
      </c>
      <c r="O11" s="18" t="n">
        <v>0</v>
      </c>
      <c r="P11" s="20" t="n">
        <v>0</v>
      </c>
      <c r="Q11" s="18" t="n">
        <v>3.22680364</v>
      </c>
      <c r="R11" s="20" t="n">
        <v>1.10555512</v>
      </c>
    </row>
    <row r="12" spans="1:18">
      <c r="A12" s="15" t="s">
        <v>570</v>
      </c>
      <c r="B12" s="17" t="n">
        <v>6894</v>
      </c>
      <c r="C12" s="18">
        <f>(6136.0/B12*100)</f>
        <v/>
      </c>
      <c r="D12" s="19" t="n">
        <v>758</v>
      </c>
      <c r="E12" s="18" t="n">
        <v>55.58071855</v>
      </c>
      <c r="F12" s="20" t="n">
        <v>2.09581624</v>
      </c>
      <c r="G12" s="18" t="n">
        <v>41.35402625</v>
      </c>
      <c r="H12" s="20" t="n">
        <v>2.05220603</v>
      </c>
      <c r="I12" s="18" t="n">
        <v>0</v>
      </c>
      <c r="J12" s="20" t="n">
        <v>0</v>
      </c>
      <c r="K12" s="18" t="n">
        <v>0</v>
      </c>
      <c r="L12" s="20" t="n">
        <v>0</v>
      </c>
      <c r="M12" s="18" t="n">
        <v>0</v>
      </c>
      <c r="N12" s="20" t="n">
        <v>0</v>
      </c>
      <c r="O12" s="18" t="n">
        <v>0</v>
      </c>
      <c r="P12" s="20" t="n">
        <v>0</v>
      </c>
      <c r="Q12" s="18" t="n">
        <v>3.0652552</v>
      </c>
      <c r="R12" s="20" t="n">
        <v>0.79834687</v>
      </c>
    </row>
    <row r="13" spans="1:18">
      <c r="A13" s="15" t="s">
        <v>571</v>
      </c>
      <c r="B13" s="17" t="n">
        <v>7161</v>
      </c>
      <c r="C13" s="18">
        <f>(6417.0/B13*100)</f>
        <v/>
      </c>
      <c r="D13" s="19" t="n">
        <v>744</v>
      </c>
      <c r="E13" s="18" t="n">
        <v>60.26119668</v>
      </c>
      <c r="F13" s="20" t="n">
        <v>2.36905599</v>
      </c>
      <c r="G13" s="18" t="n">
        <v>37.39593227</v>
      </c>
      <c r="H13" s="20" t="n">
        <v>2.3601583</v>
      </c>
      <c r="I13" s="18" t="n">
        <v>0</v>
      </c>
      <c r="J13" s="20" t="n">
        <v>0</v>
      </c>
      <c r="K13" s="18" t="n">
        <v>0.39475727</v>
      </c>
      <c r="L13" s="20" t="n">
        <v>0.24161922</v>
      </c>
      <c r="M13" s="18" t="n">
        <v>0</v>
      </c>
      <c r="N13" s="20" t="n">
        <v>0</v>
      </c>
      <c r="O13" s="18" t="n">
        <v>0</v>
      </c>
      <c r="P13" s="20" t="n">
        <v>0</v>
      </c>
      <c r="Q13" s="18" t="n">
        <v>1.94811377</v>
      </c>
      <c r="R13" s="20" t="n">
        <v>0.52251861</v>
      </c>
    </row>
    <row r="14" spans="1:18">
      <c r="A14" s="15" t="s">
        <v>572</v>
      </c>
      <c r="B14" s="17" t="n">
        <v>5587</v>
      </c>
      <c r="C14" s="18">
        <f>(4991.0/B14*100)</f>
        <v/>
      </c>
      <c r="D14" s="19" t="n">
        <v>596</v>
      </c>
      <c r="E14" s="18" t="n">
        <v>46.79163549</v>
      </c>
      <c r="F14" s="20" t="n">
        <v>2.41025978</v>
      </c>
      <c r="G14" s="18" t="n">
        <v>52.18150219</v>
      </c>
      <c r="H14" s="20" t="n">
        <v>2.48247079</v>
      </c>
      <c r="I14" s="18" t="n">
        <v>0</v>
      </c>
      <c r="J14" s="20" t="n">
        <v>0</v>
      </c>
      <c r="K14" s="18" t="n">
        <v>0</v>
      </c>
      <c r="L14" s="20" t="n">
        <v>0</v>
      </c>
      <c r="M14" s="18" t="n">
        <v>0</v>
      </c>
      <c r="N14" s="20" t="n">
        <v>0</v>
      </c>
      <c r="O14" s="18" t="n">
        <v>0</v>
      </c>
      <c r="P14" s="20" t="n">
        <v>0</v>
      </c>
      <c r="Q14" s="18" t="n">
        <v>1.02686232</v>
      </c>
      <c r="R14" s="20" t="n">
        <v>0.35655304</v>
      </c>
    </row>
    <row r="15" spans="1:18">
      <c r="A15" s="15" t="s">
        <v>573</v>
      </c>
      <c r="B15" s="17" t="n">
        <v>5882</v>
      </c>
      <c r="C15" s="18">
        <f>(5216.0/B15*100)</f>
        <v/>
      </c>
      <c r="D15" s="19" t="n">
        <v>666</v>
      </c>
      <c r="E15" s="18" t="n">
        <v>56.24307072</v>
      </c>
      <c r="F15" s="20" t="n">
        <v>1.95350851</v>
      </c>
      <c r="G15" s="18" t="n">
        <v>42.54128334</v>
      </c>
      <c r="H15" s="20" t="n">
        <v>2.0227168</v>
      </c>
      <c r="I15" s="18" t="n">
        <v>0</v>
      </c>
      <c r="J15" s="20" t="n">
        <v>0</v>
      </c>
      <c r="K15" s="18" t="n">
        <v>0</v>
      </c>
      <c r="L15" s="20" t="n">
        <v>0</v>
      </c>
      <c r="M15" s="18" t="n">
        <v>0</v>
      </c>
      <c r="N15" s="20" t="n">
        <v>0</v>
      </c>
      <c r="O15" s="18" t="n">
        <v>0</v>
      </c>
      <c r="P15" s="20" t="n">
        <v>0</v>
      </c>
      <c r="Q15" s="18" t="n">
        <v>1.21564594</v>
      </c>
      <c r="R15" s="20" t="n">
        <v>0.43112477</v>
      </c>
    </row>
    <row r="16" spans="1:18">
      <c r="A16" s="15" t="s">
        <v>574</v>
      </c>
      <c r="B16" s="17" t="n">
        <v>6108</v>
      </c>
      <c r="C16" s="18">
        <f>(5459.0/B16*100)</f>
        <v/>
      </c>
      <c r="D16" s="19" t="n">
        <v>649</v>
      </c>
      <c r="E16" s="18" t="n">
        <v>74.92591879</v>
      </c>
      <c r="F16" s="20" t="n">
        <v>1.69438173</v>
      </c>
      <c r="G16" s="18" t="n">
        <v>21.79665834</v>
      </c>
      <c r="H16" s="20" t="n">
        <v>1.59589101</v>
      </c>
      <c r="I16" s="18" t="n">
        <v>0</v>
      </c>
      <c r="J16" s="20" t="n">
        <v>0</v>
      </c>
      <c r="K16" s="18" t="n">
        <v>0</v>
      </c>
      <c r="L16" s="20" t="n">
        <v>0</v>
      </c>
      <c r="M16" s="18" t="n">
        <v>0</v>
      </c>
      <c r="N16" s="20" t="n">
        <v>0</v>
      </c>
      <c r="O16" s="18" t="n">
        <v>0</v>
      </c>
      <c r="P16" s="20" t="n">
        <v>0</v>
      </c>
      <c r="Q16" s="18" t="n">
        <v>3.27742288</v>
      </c>
      <c r="R16" s="20" t="n">
        <v>0.7926921300000001</v>
      </c>
    </row>
    <row r="17" spans="1:18">
      <c r="A17" s="15" t="s">
        <v>575</v>
      </c>
      <c r="B17" s="17" t="n">
        <v>6504</v>
      </c>
      <c r="C17" s="18">
        <f>(5811.0/B17*100)</f>
        <v/>
      </c>
      <c r="D17" s="19" t="n">
        <v>693</v>
      </c>
      <c r="E17" s="18" t="n">
        <v>59.86629244</v>
      </c>
      <c r="F17" s="20" t="n">
        <v>1.90297093</v>
      </c>
      <c r="G17" s="18" t="n">
        <v>37.47383288</v>
      </c>
      <c r="H17" s="20" t="n">
        <v>1.92051806</v>
      </c>
      <c r="I17" s="18" t="n">
        <v>0</v>
      </c>
      <c r="J17" s="20" t="n">
        <v>0</v>
      </c>
      <c r="K17" s="18" t="n">
        <v>0.16154903</v>
      </c>
      <c r="L17" s="20" t="n">
        <v>0.16282662</v>
      </c>
      <c r="M17" s="18" t="n">
        <v>0</v>
      </c>
      <c r="N17" s="20" t="n">
        <v>0</v>
      </c>
      <c r="O17" s="18" t="n">
        <v>0</v>
      </c>
      <c r="P17" s="20" t="n">
        <v>0</v>
      </c>
      <c r="Q17" s="18" t="n">
        <v>2.49832565</v>
      </c>
      <c r="R17" s="20" t="n">
        <v>0.71585748</v>
      </c>
    </row>
    <row r="18" spans="1:18">
      <c r="A18" s="15" t="s">
        <v>576</v>
      </c>
      <c r="B18" s="17" t="n">
        <v>5532</v>
      </c>
      <c r="C18" s="18">
        <f>(4938.0/B18*100)</f>
        <v/>
      </c>
      <c r="D18" s="19" t="n">
        <v>594</v>
      </c>
      <c r="E18" s="18" t="n">
        <v>69.91343073</v>
      </c>
      <c r="F18" s="20" t="n">
        <v>2.03917495</v>
      </c>
      <c r="G18" s="18" t="n">
        <v>27.01839875</v>
      </c>
      <c r="H18" s="20" t="n">
        <v>1.93232899</v>
      </c>
      <c r="I18" s="18" t="n">
        <v>0</v>
      </c>
      <c r="J18" s="20" t="n">
        <v>0</v>
      </c>
      <c r="K18" s="18" t="n">
        <v>0.19760883</v>
      </c>
      <c r="L18" s="20" t="n">
        <v>0.19563859</v>
      </c>
      <c r="M18" s="18" t="n">
        <v>0</v>
      </c>
      <c r="N18" s="20" t="n">
        <v>0</v>
      </c>
      <c r="O18" s="18" t="n">
        <v>0</v>
      </c>
      <c r="P18" s="20" t="n">
        <v>0</v>
      </c>
      <c r="Q18" s="18" t="n">
        <v>2.87056169</v>
      </c>
      <c r="R18" s="20" t="n">
        <v>0.7810928</v>
      </c>
    </row>
    <row r="19" spans="1:18">
      <c r="A19" s="15" t="s">
        <v>577</v>
      </c>
      <c r="B19" s="17" t="n">
        <v>5658</v>
      </c>
      <c r="C19" s="18">
        <f>(5017.0/B19*100)</f>
        <v/>
      </c>
      <c r="D19" s="19" t="n">
        <v>641</v>
      </c>
      <c r="E19" s="18" t="n">
        <v>53.23625653</v>
      </c>
      <c r="F19" s="20" t="n">
        <v>1.78726451</v>
      </c>
      <c r="G19" s="18" t="n">
        <v>46.02344387</v>
      </c>
      <c r="H19" s="20" t="n">
        <v>1.8066349</v>
      </c>
      <c r="I19" s="18" t="n">
        <v>0</v>
      </c>
      <c r="J19" s="20" t="n">
        <v>0</v>
      </c>
      <c r="K19" s="18" t="n">
        <v>0</v>
      </c>
      <c r="L19" s="20" t="n">
        <v>0</v>
      </c>
      <c r="M19" s="18" t="n">
        <v>0</v>
      </c>
      <c r="N19" s="20" t="n">
        <v>0</v>
      </c>
      <c r="O19" s="18" t="n">
        <v>0</v>
      </c>
      <c r="P19" s="20" t="n">
        <v>0</v>
      </c>
      <c r="Q19" s="18" t="n">
        <v>0.7402995999999999</v>
      </c>
      <c r="R19" s="20" t="n">
        <v>0.33548053</v>
      </c>
    </row>
    <row r="20" spans="1:18">
      <c r="A20" s="15" t="s">
        <v>578</v>
      </c>
      <c r="B20" s="17" t="n">
        <v>3371</v>
      </c>
      <c r="C20" s="18">
        <f>(3024.0/B20*100)</f>
        <v/>
      </c>
      <c r="D20" s="19" t="n">
        <v>347</v>
      </c>
      <c r="E20" s="18" t="n">
        <v>0</v>
      </c>
      <c r="F20" s="20" t="n">
        <v>0</v>
      </c>
      <c r="G20" s="18" t="n">
        <v>0</v>
      </c>
      <c r="H20" s="20" t="n">
        <v>0</v>
      </c>
      <c r="I20" s="18" t="n">
        <v>0</v>
      </c>
      <c r="J20" s="20" t="n">
        <v>0</v>
      </c>
      <c r="K20" s="18" t="n">
        <v>0</v>
      </c>
      <c r="L20" s="20" t="n">
        <v>0</v>
      </c>
      <c r="M20" s="18" t="n">
        <v>100</v>
      </c>
      <c r="N20" s="20" t="n">
        <v>0</v>
      </c>
      <c r="O20" s="18" t="n">
        <v>0</v>
      </c>
      <c r="P20" s="20" t="n">
        <v>0</v>
      </c>
      <c r="Q20" s="18" t="n">
        <v>0</v>
      </c>
      <c r="R20" s="20" t="n">
        <v>0</v>
      </c>
    </row>
    <row r="21" spans="1:18">
      <c r="A21" s="15" t="s">
        <v>579</v>
      </c>
      <c r="B21" s="17" t="n">
        <v>5741</v>
      </c>
      <c r="C21" s="18">
        <f>(5082.0/B21*100)</f>
        <v/>
      </c>
      <c r="D21" s="19" t="n">
        <v>659</v>
      </c>
      <c r="E21" s="18" t="n">
        <v>54.52168653</v>
      </c>
      <c r="F21" s="20" t="n">
        <v>2.07406292</v>
      </c>
      <c r="G21" s="18" t="n">
        <v>43.97428255</v>
      </c>
      <c r="H21" s="20" t="n">
        <v>2.00293423</v>
      </c>
      <c r="I21" s="18" t="n">
        <v>0</v>
      </c>
      <c r="J21" s="20" t="n">
        <v>0</v>
      </c>
      <c r="K21" s="18" t="n">
        <v>0</v>
      </c>
      <c r="L21" s="20" t="n">
        <v>0</v>
      </c>
      <c r="M21" s="18" t="n">
        <v>0</v>
      </c>
      <c r="N21" s="20" t="n">
        <v>0</v>
      </c>
      <c r="O21" s="18" t="n">
        <v>0</v>
      </c>
      <c r="P21" s="20" t="n">
        <v>0</v>
      </c>
      <c r="Q21" s="18" t="n">
        <v>1.50403092</v>
      </c>
      <c r="R21" s="20" t="n">
        <v>0.47113783</v>
      </c>
    </row>
    <row r="22" spans="1:18">
      <c r="A22" s="15" t="s">
        <v>580</v>
      </c>
      <c r="B22" s="17" t="n">
        <v>6598</v>
      </c>
      <c r="C22" s="18">
        <f>(5858.0/B22*100)</f>
        <v/>
      </c>
      <c r="D22" s="19" t="n">
        <v>740</v>
      </c>
      <c r="E22" s="18" t="n">
        <v>17.0462932</v>
      </c>
      <c r="F22" s="20" t="n">
        <v>1.37853523</v>
      </c>
      <c r="G22" s="18" t="n">
        <v>5.01921833</v>
      </c>
      <c r="H22" s="20" t="n">
        <v>0.88373086</v>
      </c>
      <c r="I22" s="18" t="n">
        <v>0</v>
      </c>
      <c r="J22" s="20" t="n">
        <v>0</v>
      </c>
      <c r="K22" s="18" t="n">
        <v>0.28179607</v>
      </c>
      <c r="L22" s="20" t="n">
        <v>0.16586769</v>
      </c>
      <c r="M22" s="18" t="n">
        <v>74.85775147</v>
      </c>
      <c r="N22" s="20" t="n">
        <v>1.72622121</v>
      </c>
      <c r="O22" s="18" t="n">
        <v>0</v>
      </c>
      <c r="P22" s="20" t="n">
        <v>0</v>
      </c>
      <c r="Q22" s="18" t="n">
        <v>2.79494094</v>
      </c>
      <c r="R22" s="20" t="n">
        <v>0.7806544600000001</v>
      </c>
    </row>
    <row r="23" spans="1:18">
      <c r="A23" s="15" t="s">
        <v>581</v>
      </c>
      <c r="B23" s="17" t="n">
        <v>11583</v>
      </c>
      <c r="C23" s="18">
        <f>(10270.0/B23*100)</f>
        <v/>
      </c>
      <c r="D23" s="19" t="n">
        <v>1313</v>
      </c>
      <c r="E23" s="18" t="n">
        <v>70.42107333</v>
      </c>
      <c r="F23" s="20" t="n">
        <v>1.92158531</v>
      </c>
      <c r="G23" s="18" t="n">
        <v>27.9726397</v>
      </c>
      <c r="H23" s="20" t="n">
        <v>2.06527456</v>
      </c>
      <c r="I23" s="18" t="n">
        <v>0</v>
      </c>
      <c r="J23" s="20" t="n">
        <v>0</v>
      </c>
      <c r="K23" s="18" t="n">
        <v>0.22608407</v>
      </c>
      <c r="L23" s="20" t="n">
        <v>0.26099443</v>
      </c>
      <c r="M23" s="18" t="n">
        <v>0</v>
      </c>
      <c r="N23" s="20" t="n">
        <v>0</v>
      </c>
      <c r="O23" s="18" t="n">
        <v>0</v>
      </c>
      <c r="P23" s="20" t="n">
        <v>0</v>
      </c>
      <c r="Q23" s="18" t="n">
        <v>1.3802029</v>
      </c>
      <c r="R23" s="20" t="n">
        <v>0.47718091</v>
      </c>
    </row>
    <row r="24" spans="1:18">
      <c r="A24" s="15" t="s">
        <v>582</v>
      </c>
      <c r="B24" s="17" t="n">
        <v>6647</v>
      </c>
      <c r="C24" s="18">
        <f>(5900.0/B24*100)</f>
        <v/>
      </c>
      <c r="D24" s="19" t="n">
        <v>747</v>
      </c>
      <c r="E24" s="18" t="n">
        <v>0</v>
      </c>
      <c r="F24" s="20" t="n">
        <v>0</v>
      </c>
      <c r="G24" s="18" t="n">
        <v>0</v>
      </c>
      <c r="H24" s="20" t="n">
        <v>0</v>
      </c>
      <c r="I24" s="18" t="n">
        <v>0</v>
      </c>
      <c r="J24" s="20" t="n">
        <v>0</v>
      </c>
      <c r="K24" s="18" t="n">
        <v>0</v>
      </c>
      <c r="L24" s="20" t="n">
        <v>0</v>
      </c>
      <c r="M24" s="18" t="n">
        <v>100</v>
      </c>
      <c r="N24" s="20" t="n">
        <v>0</v>
      </c>
      <c r="O24" s="18" t="n">
        <v>0</v>
      </c>
      <c r="P24" s="20" t="n">
        <v>0</v>
      </c>
      <c r="Q24" s="18" t="n">
        <v>0</v>
      </c>
      <c r="R24" s="20" t="n">
        <v>0</v>
      </c>
    </row>
    <row r="25" spans="1:18">
      <c r="A25" s="15" t="s">
        <v>583</v>
      </c>
      <c r="B25" s="17" t="n">
        <v>5581</v>
      </c>
      <c r="C25" s="18">
        <f>(4957.0/B25*100)</f>
        <v/>
      </c>
      <c r="D25" s="19" t="n">
        <v>624</v>
      </c>
      <c r="E25" s="18" t="n">
        <v>55.12521864</v>
      </c>
      <c r="F25" s="20" t="n">
        <v>1.97309752</v>
      </c>
      <c r="G25" s="18" t="n">
        <v>42.72793581</v>
      </c>
      <c r="H25" s="20" t="n">
        <v>1.95528832</v>
      </c>
      <c r="I25" s="18" t="n">
        <v>0</v>
      </c>
      <c r="J25" s="20" t="n">
        <v>0</v>
      </c>
      <c r="K25" s="18" t="n">
        <v>1.10304407</v>
      </c>
      <c r="L25" s="20" t="n">
        <v>0.43958784</v>
      </c>
      <c r="M25" s="18" t="n">
        <v>0</v>
      </c>
      <c r="N25" s="20" t="n">
        <v>0</v>
      </c>
      <c r="O25" s="18" t="n">
        <v>0</v>
      </c>
      <c r="P25" s="20" t="n">
        <v>0</v>
      </c>
      <c r="Q25" s="18" t="n">
        <v>1.04380147</v>
      </c>
      <c r="R25" s="20" t="n">
        <v>0.43602168</v>
      </c>
    </row>
    <row r="26" spans="1:18">
      <c r="A26" s="15" t="s">
        <v>584</v>
      </c>
      <c r="B26" s="17" t="n">
        <v>4869</v>
      </c>
      <c r="C26" s="18">
        <f>(4335.0/B26*100)</f>
        <v/>
      </c>
      <c r="D26" s="19" t="n">
        <v>534</v>
      </c>
      <c r="E26" s="18" t="n">
        <v>57.81162862</v>
      </c>
      <c r="F26" s="20" t="n">
        <v>2.02233294</v>
      </c>
      <c r="G26" s="18" t="n">
        <v>41.21193599</v>
      </c>
      <c r="H26" s="20" t="n">
        <v>2.01844791</v>
      </c>
      <c r="I26" s="18" t="n">
        <v>0</v>
      </c>
      <c r="J26" s="20" t="n">
        <v>0</v>
      </c>
      <c r="K26" s="18" t="n">
        <v>0</v>
      </c>
      <c r="L26" s="20" t="n">
        <v>0</v>
      </c>
      <c r="M26" s="18" t="n">
        <v>0</v>
      </c>
      <c r="N26" s="20" t="n">
        <v>0</v>
      </c>
      <c r="O26" s="18" t="n">
        <v>0</v>
      </c>
      <c r="P26" s="20" t="n">
        <v>0</v>
      </c>
      <c r="Q26" s="18" t="n">
        <v>0.97643539</v>
      </c>
      <c r="R26" s="20" t="n">
        <v>0.34614257</v>
      </c>
    </row>
    <row r="27" spans="1:18">
      <c r="A27" s="15" t="s">
        <v>585</v>
      </c>
      <c r="B27" s="17" t="n">
        <v>5299</v>
      </c>
      <c r="C27" s="18">
        <f>(4715.0/B27*100)</f>
        <v/>
      </c>
      <c r="D27" s="19" t="n">
        <v>584</v>
      </c>
      <c r="E27" s="18" t="n">
        <v>66.21456031</v>
      </c>
      <c r="F27" s="20" t="n">
        <v>1.96412662</v>
      </c>
      <c r="G27" s="18" t="n">
        <v>30.1200938</v>
      </c>
      <c r="H27" s="20" t="n">
        <v>1.85625781</v>
      </c>
      <c r="I27" s="18" t="n">
        <v>0</v>
      </c>
      <c r="J27" s="20" t="n">
        <v>0</v>
      </c>
      <c r="K27" s="18" t="n">
        <v>0</v>
      </c>
      <c r="L27" s="20" t="n">
        <v>0</v>
      </c>
      <c r="M27" s="18" t="n">
        <v>0</v>
      </c>
      <c r="N27" s="20" t="n">
        <v>0</v>
      </c>
      <c r="O27" s="18" t="n">
        <v>0</v>
      </c>
      <c r="P27" s="20" t="n">
        <v>0</v>
      </c>
      <c r="Q27" s="18" t="n">
        <v>3.66534589</v>
      </c>
      <c r="R27" s="20" t="n">
        <v>0.9592901700000001</v>
      </c>
    </row>
    <row r="28" spans="1:18">
      <c r="A28" s="15" t="s">
        <v>586</v>
      </c>
      <c r="B28" s="17" t="n">
        <v>7568</v>
      </c>
      <c r="C28" s="18">
        <f>(6734.0/B28*100)</f>
        <v/>
      </c>
      <c r="D28" s="19" t="n">
        <v>834</v>
      </c>
      <c r="E28" s="18" t="n">
        <v>73.75239307</v>
      </c>
      <c r="F28" s="20" t="n">
        <v>1.84662387</v>
      </c>
      <c r="G28" s="18" t="n">
        <v>24.53020748</v>
      </c>
      <c r="H28" s="20" t="n">
        <v>1.74607749</v>
      </c>
      <c r="I28" s="18" t="n">
        <v>0</v>
      </c>
      <c r="J28" s="20" t="n">
        <v>0</v>
      </c>
      <c r="K28" s="18" t="n">
        <v>0.51212432</v>
      </c>
      <c r="L28" s="20" t="n">
        <v>0.27365414</v>
      </c>
      <c r="M28" s="18" t="n">
        <v>0</v>
      </c>
      <c r="N28" s="20" t="n">
        <v>0</v>
      </c>
      <c r="O28" s="18" t="n">
        <v>0</v>
      </c>
      <c r="P28" s="20" t="n">
        <v>0</v>
      </c>
      <c r="Q28" s="18" t="n">
        <v>1.20527513</v>
      </c>
      <c r="R28" s="20" t="n">
        <v>0.38596771</v>
      </c>
    </row>
    <row r="29" spans="1:18">
      <c r="A29" s="15" t="s">
        <v>587</v>
      </c>
      <c r="B29" s="17" t="n">
        <v>5385</v>
      </c>
      <c r="C29" s="18">
        <f>(4782.0/B29*100)</f>
        <v/>
      </c>
      <c r="D29" s="19" t="n">
        <v>603</v>
      </c>
      <c r="E29" s="18" t="n">
        <v>58.24788765</v>
      </c>
      <c r="F29" s="20" t="n">
        <v>2.04647307</v>
      </c>
      <c r="G29" s="18" t="n">
        <v>39.44007142</v>
      </c>
      <c r="H29" s="20" t="n">
        <v>2.09105916</v>
      </c>
      <c r="I29" s="18" t="n">
        <v>0</v>
      </c>
      <c r="J29" s="20" t="n">
        <v>0</v>
      </c>
      <c r="K29" s="18" t="n">
        <v>0.40420148</v>
      </c>
      <c r="L29" s="20" t="n">
        <v>0.24121892</v>
      </c>
      <c r="M29" s="18" t="n">
        <v>0</v>
      </c>
      <c r="N29" s="20" t="n">
        <v>0</v>
      </c>
      <c r="O29" s="18" t="n">
        <v>0</v>
      </c>
      <c r="P29" s="20" t="n">
        <v>0</v>
      </c>
      <c r="Q29" s="18" t="n">
        <v>1.90783944</v>
      </c>
      <c r="R29" s="20" t="n">
        <v>0.43465766</v>
      </c>
    </row>
    <row r="30" spans="1:18">
      <c r="A30" s="15" t="s">
        <v>588</v>
      </c>
      <c r="B30" s="17" t="n">
        <v>4520</v>
      </c>
      <c r="C30" s="18">
        <f>(4022.0/B30*100)</f>
        <v/>
      </c>
      <c r="D30" s="19" t="n">
        <v>498</v>
      </c>
      <c r="E30" s="18" t="n">
        <v>67.18621013000001</v>
      </c>
      <c r="F30" s="20" t="n">
        <v>2.16514667</v>
      </c>
      <c r="G30" s="18" t="n">
        <v>30.89380752</v>
      </c>
      <c r="H30" s="20" t="n">
        <v>2.17212104</v>
      </c>
      <c r="I30" s="18" t="n">
        <v>0</v>
      </c>
      <c r="J30" s="20" t="n">
        <v>0</v>
      </c>
      <c r="K30" s="18" t="n">
        <v>0.26116561</v>
      </c>
      <c r="L30" s="20" t="n">
        <v>0.22463806</v>
      </c>
      <c r="M30" s="18" t="n">
        <v>0</v>
      </c>
      <c r="N30" s="20" t="n">
        <v>0</v>
      </c>
      <c r="O30" s="18" t="n">
        <v>0</v>
      </c>
      <c r="P30" s="20" t="n">
        <v>0</v>
      </c>
      <c r="Q30" s="18" t="n">
        <v>1.65881673</v>
      </c>
      <c r="R30" s="20" t="n">
        <v>0.6041706100000001</v>
      </c>
    </row>
    <row r="31" spans="1:18">
      <c r="A31" s="15" t="s">
        <v>589</v>
      </c>
      <c r="B31" s="17" t="n">
        <v>5456</v>
      </c>
      <c r="C31" s="18">
        <f>(4861.0/B31*100)</f>
        <v/>
      </c>
      <c r="D31" s="19" t="n">
        <v>595</v>
      </c>
      <c r="E31" s="18" t="n">
        <v>60.60918584</v>
      </c>
      <c r="F31" s="20" t="n">
        <v>1.80584648</v>
      </c>
      <c r="G31" s="18" t="n">
        <v>37.21321207</v>
      </c>
      <c r="H31" s="20" t="n">
        <v>1.87052272</v>
      </c>
      <c r="I31" s="18" t="n">
        <v>0</v>
      </c>
      <c r="J31" s="20" t="n">
        <v>0</v>
      </c>
      <c r="K31" s="18" t="n">
        <v>0.49987287</v>
      </c>
      <c r="L31" s="20" t="n">
        <v>0.28348454</v>
      </c>
      <c r="M31" s="18" t="n">
        <v>0</v>
      </c>
      <c r="N31" s="20" t="n">
        <v>0</v>
      </c>
      <c r="O31" s="18" t="n">
        <v>0</v>
      </c>
      <c r="P31" s="20" t="n">
        <v>0</v>
      </c>
      <c r="Q31" s="18" t="n">
        <v>1.67772921</v>
      </c>
      <c r="R31" s="20" t="n">
        <v>0.53283561</v>
      </c>
    </row>
    <row r="32" spans="1:18">
      <c r="A32" s="15" t="s">
        <v>590</v>
      </c>
      <c r="B32" s="17" t="n">
        <v>4478</v>
      </c>
      <c r="C32" s="18">
        <f>(3989.0/B32*100)</f>
        <v/>
      </c>
      <c r="D32" s="19" t="n">
        <v>489</v>
      </c>
      <c r="E32" s="18" t="n">
        <v>57.63344147</v>
      </c>
      <c r="F32" s="20" t="n">
        <v>2.69358416</v>
      </c>
      <c r="G32" s="18" t="n">
        <v>41.17393528</v>
      </c>
      <c r="H32" s="20" t="n">
        <v>2.63855414</v>
      </c>
      <c r="I32" s="18" t="n">
        <v>0</v>
      </c>
      <c r="J32" s="20" t="n">
        <v>0</v>
      </c>
      <c r="K32" s="18" t="n">
        <v>0</v>
      </c>
      <c r="L32" s="20" t="n">
        <v>0</v>
      </c>
      <c r="M32" s="18" t="n">
        <v>0</v>
      </c>
      <c r="N32" s="20" t="n">
        <v>0</v>
      </c>
      <c r="O32" s="18" t="n">
        <v>0</v>
      </c>
      <c r="P32" s="20" t="n">
        <v>0</v>
      </c>
      <c r="Q32" s="18" t="n">
        <v>1.19262325</v>
      </c>
      <c r="R32" s="20" t="n">
        <v>0.48260287</v>
      </c>
    </row>
    <row r="33" spans="1:18">
      <c r="A33" s="15" t="s">
        <v>591</v>
      </c>
      <c r="B33" s="17" t="n">
        <v>7325</v>
      </c>
      <c r="C33" s="18">
        <f>(6517.0/B33*100)</f>
        <v/>
      </c>
      <c r="D33" s="19" t="n">
        <v>808</v>
      </c>
      <c r="E33" s="18" t="n">
        <v>76.45770933999999</v>
      </c>
      <c r="F33" s="20" t="n">
        <v>1.82521679</v>
      </c>
      <c r="G33" s="18" t="n">
        <v>21.53879298</v>
      </c>
      <c r="H33" s="20" t="n">
        <v>1.78464444</v>
      </c>
      <c r="I33" s="18" t="n">
        <v>0</v>
      </c>
      <c r="J33" s="20" t="n">
        <v>0</v>
      </c>
      <c r="K33" s="18" t="n">
        <v>0.23904636</v>
      </c>
      <c r="L33" s="20" t="n">
        <v>0.28441976</v>
      </c>
      <c r="M33" s="18" t="n">
        <v>0</v>
      </c>
      <c r="N33" s="20" t="n">
        <v>0</v>
      </c>
      <c r="O33" s="18" t="n">
        <v>0</v>
      </c>
      <c r="P33" s="20" t="n">
        <v>0</v>
      </c>
      <c r="Q33" s="18" t="n">
        <v>1.76445132</v>
      </c>
      <c r="R33" s="20" t="n">
        <v>0.57942266</v>
      </c>
    </row>
    <row r="34" spans="1:18">
      <c r="A34" s="15" t="s">
        <v>592</v>
      </c>
      <c r="B34" s="17" t="n">
        <v>6350</v>
      </c>
      <c r="C34" s="18">
        <f>(5674.0/B34*100)</f>
        <v/>
      </c>
      <c r="D34" s="19" t="n">
        <v>676</v>
      </c>
      <c r="E34" s="18" t="n">
        <v>50.36266672</v>
      </c>
      <c r="F34" s="20" t="n">
        <v>2.03252443</v>
      </c>
      <c r="G34" s="18" t="n">
        <v>46.56952493</v>
      </c>
      <c r="H34" s="20" t="n">
        <v>1.85543898</v>
      </c>
      <c r="I34" s="18" t="n">
        <v>0</v>
      </c>
      <c r="J34" s="20" t="n">
        <v>0</v>
      </c>
      <c r="K34" s="18" t="n">
        <v>0.20338678</v>
      </c>
      <c r="L34" s="20" t="n">
        <v>0.11349974</v>
      </c>
      <c r="M34" s="18" t="n">
        <v>0</v>
      </c>
      <c r="N34" s="20" t="n">
        <v>0</v>
      </c>
      <c r="O34" s="18" t="n">
        <v>0</v>
      </c>
      <c r="P34" s="20" t="n">
        <v>0</v>
      </c>
      <c r="Q34" s="18" t="n">
        <v>2.86442158</v>
      </c>
      <c r="R34" s="20" t="n">
        <v>0.71653177</v>
      </c>
    </row>
    <row r="35" spans="1:18">
      <c r="A35" s="15" t="s">
        <v>593</v>
      </c>
      <c r="B35" s="17" t="n">
        <v>6406</v>
      </c>
      <c r="C35" s="18">
        <f>(5685.0/B35*100)</f>
        <v/>
      </c>
      <c r="D35" s="19" t="n">
        <v>721</v>
      </c>
      <c r="E35" s="18" t="n">
        <v>45.39624861</v>
      </c>
      <c r="F35" s="20" t="n">
        <v>2.21726142</v>
      </c>
      <c r="G35" s="18" t="n">
        <v>52.75690638</v>
      </c>
      <c r="H35" s="20" t="n">
        <v>2.11949536</v>
      </c>
      <c r="I35" s="18" t="n">
        <v>0</v>
      </c>
      <c r="J35" s="20" t="n">
        <v>0</v>
      </c>
      <c r="K35" s="18" t="n">
        <v>0</v>
      </c>
      <c r="L35" s="20" t="n">
        <v>0</v>
      </c>
      <c r="M35" s="18" t="n">
        <v>0</v>
      </c>
      <c r="N35" s="20" t="n">
        <v>0</v>
      </c>
      <c r="O35" s="18" t="n">
        <v>0</v>
      </c>
      <c r="P35" s="20" t="n">
        <v>0</v>
      </c>
      <c r="Q35" s="18" t="n">
        <v>1.84684501</v>
      </c>
      <c r="R35" s="20" t="n">
        <v>0.65725544</v>
      </c>
    </row>
    <row r="36" spans="1:18">
      <c r="A36" s="15" t="s">
        <v>594</v>
      </c>
      <c r="B36" s="17" t="n">
        <v>6736</v>
      </c>
      <c r="C36" s="18">
        <f>(5983.0/B36*100)</f>
        <v/>
      </c>
      <c r="D36" s="19" t="n">
        <v>753</v>
      </c>
      <c r="E36" s="18" t="n">
        <v>65.57652536000001</v>
      </c>
      <c r="F36" s="20" t="n">
        <v>1.79135386</v>
      </c>
      <c r="G36" s="18" t="n">
        <v>30.9538289</v>
      </c>
      <c r="H36" s="20" t="n">
        <v>1.74959083</v>
      </c>
      <c r="I36" s="18" t="n">
        <v>0</v>
      </c>
      <c r="J36" s="20" t="n">
        <v>0</v>
      </c>
      <c r="K36" s="18" t="n">
        <v>0.30589947</v>
      </c>
      <c r="L36" s="20" t="n">
        <v>0.18791571</v>
      </c>
      <c r="M36" s="18" t="n">
        <v>0</v>
      </c>
      <c r="N36" s="20" t="n">
        <v>0</v>
      </c>
      <c r="O36" s="18" t="n">
        <v>0</v>
      </c>
      <c r="P36" s="20" t="n">
        <v>0</v>
      </c>
      <c r="Q36" s="18" t="n">
        <v>3.16374627</v>
      </c>
      <c r="R36" s="20" t="n">
        <v>0.64791428</v>
      </c>
    </row>
    <row r="37" spans="1:18">
      <c r="A37" s="15" t="s">
        <v>595</v>
      </c>
      <c r="B37" s="17" t="n">
        <v>5458</v>
      </c>
      <c r="C37" s="18">
        <f>(4867.0/B37*100)</f>
        <v/>
      </c>
      <c r="D37" s="19" t="n">
        <v>591</v>
      </c>
      <c r="E37" s="18" t="n">
        <v>63.30467475</v>
      </c>
      <c r="F37" s="20" t="n">
        <v>1.90203634</v>
      </c>
      <c r="G37" s="18" t="n">
        <v>33.01465335</v>
      </c>
      <c r="H37" s="20" t="n">
        <v>1.87288744</v>
      </c>
      <c r="I37" s="18" t="n">
        <v>0</v>
      </c>
      <c r="J37" s="20" t="n">
        <v>0</v>
      </c>
      <c r="K37" s="18" t="n">
        <v>0.14936333</v>
      </c>
      <c r="L37" s="20" t="n">
        <v>0.15052899</v>
      </c>
      <c r="M37" s="18" t="n">
        <v>0</v>
      </c>
      <c r="N37" s="20" t="n">
        <v>0</v>
      </c>
      <c r="O37" s="18" t="n">
        <v>0</v>
      </c>
      <c r="P37" s="20" t="n">
        <v>0</v>
      </c>
      <c r="Q37" s="18" t="n">
        <v>3.53130856</v>
      </c>
      <c r="R37" s="20" t="n">
        <v>0.78594274</v>
      </c>
    </row>
    <row r="38" spans="1:18">
      <c r="A38" s="15" t="s">
        <v>596</v>
      </c>
      <c r="B38" s="17" t="n">
        <v>5860</v>
      </c>
      <c r="C38" s="18">
        <f>(5217.0/B38*100)</f>
        <v/>
      </c>
      <c r="D38" s="19" t="n">
        <v>643</v>
      </c>
      <c r="E38" s="18" t="n">
        <v>65.38085139</v>
      </c>
      <c r="F38" s="20" t="n">
        <v>2.28605845</v>
      </c>
      <c r="G38" s="18" t="n">
        <v>33.08132331</v>
      </c>
      <c r="H38" s="20" t="n">
        <v>2.34014562</v>
      </c>
      <c r="I38" s="18" t="n">
        <v>0</v>
      </c>
      <c r="J38" s="20" t="n">
        <v>0</v>
      </c>
      <c r="K38" s="18" t="n">
        <v>0.12895498</v>
      </c>
      <c r="L38" s="20" t="n">
        <v>0.1290946</v>
      </c>
      <c r="M38" s="18" t="n">
        <v>0</v>
      </c>
      <c r="N38" s="20" t="n">
        <v>0</v>
      </c>
      <c r="O38" s="18" t="n">
        <v>0</v>
      </c>
      <c r="P38" s="20" t="n">
        <v>0</v>
      </c>
      <c r="Q38" s="18" t="n">
        <v>1.40887032</v>
      </c>
      <c r="R38" s="20" t="n">
        <v>0.58288052</v>
      </c>
    </row>
    <row r="39" spans="1:18">
      <c r="A39" s="15" t="s">
        <v>597</v>
      </c>
      <c r="B39" s="17" t="n">
        <v>5895</v>
      </c>
      <c r="C39" s="18">
        <f>(5253.0/B39*100)</f>
        <v/>
      </c>
      <c r="D39" s="19" t="n">
        <v>642</v>
      </c>
      <c r="E39" s="18" t="n">
        <v>66.88866443000001</v>
      </c>
      <c r="F39" s="20" t="n">
        <v>1.96568913</v>
      </c>
      <c r="G39" s="18" t="n">
        <v>31.10002559</v>
      </c>
      <c r="H39" s="20" t="n">
        <v>1.9567319</v>
      </c>
      <c r="I39" s="18" t="n">
        <v>0</v>
      </c>
      <c r="J39" s="20" t="n">
        <v>0</v>
      </c>
      <c r="K39" s="18" t="n">
        <v>0</v>
      </c>
      <c r="L39" s="20" t="n">
        <v>0</v>
      </c>
      <c r="M39" s="18" t="n">
        <v>0</v>
      </c>
      <c r="N39" s="20" t="n">
        <v>0</v>
      </c>
      <c r="O39" s="18" t="n">
        <v>0</v>
      </c>
      <c r="P39" s="20" t="n">
        <v>0</v>
      </c>
      <c r="Q39" s="18" t="n">
        <v>2.01130998</v>
      </c>
      <c r="R39" s="20" t="n">
        <v>0.57068467</v>
      </c>
    </row>
    <row r="40" spans="1:18">
      <c r="A40" s="15" t="s">
        <v>598</v>
      </c>
      <c r="B40" s="17" t="n">
        <v>14157</v>
      </c>
      <c r="C40" s="18">
        <f>(12606.0/B40*100)</f>
        <v/>
      </c>
      <c r="D40" s="19" t="n">
        <v>1551</v>
      </c>
      <c r="E40" s="18" t="n">
        <v>65.10593119000001</v>
      </c>
      <c r="F40" s="20" t="n">
        <v>1.76114362</v>
      </c>
      <c r="G40" s="18" t="n">
        <v>31.77355097</v>
      </c>
      <c r="H40" s="20" t="n">
        <v>1.78361015</v>
      </c>
      <c r="I40" s="18" t="n">
        <v>0</v>
      </c>
      <c r="J40" s="20" t="n">
        <v>0</v>
      </c>
      <c r="K40" s="18" t="n">
        <v>0.30718807</v>
      </c>
      <c r="L40" s="20" t="n">
        <v>0.18583671</v>
      </c>
      <c r="M40" s="18" t="n">
        <v>0</v>
      </c>
      <c r="N40" s="20" t="n">
        <v>0</v>
      </c>
      <c r="O40" s="18" t="n">
        <v>0</v>
      </c>
      <c r="P40" s="20" t="n">
        <v>0</v>
      </c>
      <c r="Q40" s="18" t="n">
        <v>2.81332977</v>
      </c>
      <c r="R40" s="20" t="n">
        <v>0.79216973</v>
      </c>
    </row>
    <row r="41" spans="1:18">
      <c r="A41" s="15" t="s">
        <v>599</v>
      </c>
      <c r="B41" s="17" t="n">
        <v>5712</v>
      </c>
      <c r="C41" s="18">
        <f>(5093.0/B41*100)</f>
        <v/>
      </c>
      <c r="D41" s="19" t="n">
        <v>619</v>
      </c>
      <c r="E41" s="18" t="n">
        <v>64.99313424</v>
      </c>
      <c r="F41" s="20" t="n">
        <v>2.20026555</v>
      </c>
      <c r="G41" s="18" t="n">
        <v>34.24227968</v>
      </c>
      <c r="H41" s="20" t="n">
        <v>2.20609098</v>
      </c>
      <c r="I41" s="18" t="n">
        <v>0</v>
      </c>
      <c r="J41" s="20" t="n">
        <v>0</v>
      </c>
      <c r="K41" s="18" t="n">
        <v>0.21910533</v>
      </c>
      <c r="L41" s="20" t="n">
        <v>0.17883785</v>
      </c>
      <c r="M41" s="18" t="n">
        <v>0</v>
      </c>
      <c r="N41" s="20" t="n">
        <v>0</v>
      </c>
      <c r="O41" s="18" t="n">
        <v>0</v>
      </c>
      <c r="P41" s="20" t="n">
        <v>0</v>
      </c>
      <c r="Q41" s="18" t="n">
        <v>0.54548074</v>
      </c>
      <c r="R41" s="20" t="n">
        <v>0.30608655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(20780.0/B46*100)</f>
        <v/>
      </c>
      <c r="D46" s="19" t="n">
        <v>2361</v>
      </c>
      <c r="E46" s="18" t="n">
        <v>0</v>
      </c>
      <c r="F46" s="20" t="n">
        <v>0</v>
      </c>
      <c r="G46" s="18" t="n">
        <v>0</v>
      </c>
      <c r="H46" s="20" t="n">
        <v>0</v>
      </c>
      <c r="I46" s="18" t="n">
        <v>0</v>
      </c>
      <c r="J46" s="20" t="n">
        <v>0</v>
      </c>
      <c r="K46" s="18" t="n">
        <v>0</v>
      </c>
      <c r="L46" s="20" t="n">
        <v>0</v>
      </c>
      <c r="M46" s="18" t="n">
        <v>100</v>
      </c>
      <c r="N46" s="20" t="n">
        <v>0</v>
      </c>
      <c r="O46" s="18" t="n">
        <v>0</v>
      </c>
      <c r="P46" s="20" t="n">
        <v>0</v>
      </c>
      <c r="Q46" s="18" t="n">
        <v>0</v>
      </c>
      <c r="R46" s="20" t="n">
        <v>0</v>
      </c>
    </row>
    <row r="47" spans="1:18">
      <c r="A47" s="15" t="s">
        <v>606</v>
      </c>
      <c r="B47" s="17" t="n">
        <v>5928</v>
      </c>
      <c r="C47" s="18">
        <f>(5277.0/B47*100)</f>
        <v/>
      </c>
      <c r="D47" s="19" t="n">
        <v>651</v>
      </c>
      <c r="E47" s="18" t="n">
        <v>59.54913572</v>
      </c>
      <c r="F47" s="20" t="n">
        <v>2.12283659</v>
      </c>
      <c r="G47" s="18" t="n">
        <v>37.72401254</v>
      </c>
      <c r="H47" s="20" t="n">
        <v>2.03724176</v>
      </c>
      <c r="I47" s="18" t="n">
        <v>0</v>
      </c>
      <c r="J47" s="20" t="n">
        <v>0</v>
      </c>
      <c r="K47" s="18" t="n">
        <v>0.46919234</v>
      </c>
      <c r="L47" s="20" t="n">
        <v>0.30917076</v>
      </c>
      <c r="M47" s="18" t="n">
        <v>0</v>
      </c>
      <c r="N47" s="20" t="n">
        <v>0</v>
      </c>
      <c r="O47" s="18" t="n">
        <v>0</v>
      </c>
      <c r="P47" s="20" t="n">
        <v>0</v>
      </c>
      <c r="Q47" s="18" t="n">
        <v>2.2576594</v>
      </c>
      <c r="R47" s="20" t="n">
        <v>0.52526567</v>
      </c>
    </row>
    <row r="48" spans="1:18">
      <c r="A48" s="15" t="s">
        <v>607</v>
      </c>
      <c r="B48" s="17" t="n">
        <v>9841</v>
      </c>
      <c r="C48" s="18">
        <f>(8782.0/B48*100)</f>
        <v/>
      </c>
      <c r="D48" s="19" t="n">
        <v>1059</v>
      </c>
      <c r="E48" s="18" t="n">
        <v>43.05822693</v>
      </c>
      <c r="F48" s="20" t="n">
        <v>2.31098457</v>
      </c>
      <c r="G48" s="18" t="n">
        <v>54.81970722</v>
      </c>
      <c r="H48" s="20" t="n">
        <v>2.38675394</v>
      </c>
      <c r="I48" s="18" t="n">
        <v>0</v>
      </c>
      <c r="J48" s="20" t="n">
        <v>0</v>
      </c>
      <c r="K48" s="18" t="n">
        <v>0.07210069</v>
      </c>
      <c r="L48" s="20" t="n">
        <v>0.10114918</v>
      </c>
      <c r="M48" s="18" t="n">
        <v>0</v>
      </c>
      <c r="N48" s="20" t="n">
        <v>0</v>
      </c>
      <c r="O48" s="18" t="n">
        <v>0</v>
      </c>
      <c r="P48" s="20" t="n">
        <v>0</v>
      </c>
      <c r="Q48" s="18" t="n">
        <v>2.04996516</v>
      </c>
      <c r="R48" s="20" t="n">
        <v>0.53708778</v>
      </c>
    </row>
    <row r="49" spans="1:18">
      <c r="A49" s="15" t="s">
        <v>608</v>
      </c>
      <c r="B49" s="17" t="n">
        <v>11795</v>
      </c>
      <c r="C49" s="18">
        <f>(10500.0/B49*100)</f>
        <v/>
      </c>
      <c r="D49" s="19" t="n">
        <v>1295</v>
      </c>
      <c r="E49" s="18" t="n">
        <v>0</v>
      </c>
      <c r="F49" s="20" t="n">
        <v>0</v>
      </c>
      <c r="G49" s="18" t="n">
        <v>0</v>
      </c>
      <c r="H49" s="20" t="n">
        <v>0</v>
      </c>
      <c r="I49" s="18" t="n">
        <v>0</v>
      </c>
      <c r="J49" s="20" t="n">
        <v>0</v>
      </c>
      <c r="K49" s="18" t="n">
        <v>0</v>
      </c>
      <c r="L49" s="20" t="n">
        <v>0</v>
      </c>
      <c r="M49" s="18" t="n">
        <v>100</v>
      </c>
      <c r="N49" s="20" t="n">
        <v>0</v>
      </c>
      <c r="O49" s="18" t="n">
        <v>0</v>
      </c>
      <c r="P49" s="20" t="n">
        <v>0</v>
      </c>
      <c r="Q49" s="18" t="n">
        <v>0</v>
      </c>
      <c r="R49" s="20" t="n">
        <v>0</v>
      </c>
    </row>
    <row r="50" spans="1:18">
      <c r="A50" s="15" t="s">
        <v>609</v>
      </c>
      <c r="B50" s="17" t="n">
        <v>6866</v>
      </c>
      <c r="C50" s="18">
        <f>(6191.0/B50*100)</f>
        <v/>
      </c>
      <c r="D50" s="19" t="n">
        <v>675</v>
      </c>
      <c r="E50" s="18" t="n">
        <v>0</v>
      </c>
      <c r="F50" s="20" t="n">
        <v>0</v>
      </c>
      <c r="G50" s="18" t="n">
        <v>0</v>
      </c>
      <c r="H50" s="20" t="n">
        <v>0</v>
      </c>
      <c r="I50" s="18" t="n">
        <v>0</v>
      </c>
      <c r="J50" s="20" t="n">
        <v>0</v>
      </c>
      <c r="K50" s="18" t="n">
        <v>0</v>
      </c>
      <c r="L50" s="20" t="n">
        <v>0</v>
      </c>
      <c r="M50" s="18" t="n">
        <v>100</v>
      </c>
      <c r="N50" s="20" t="n">
        <v>0</v>
      </c>
      <c r="O50" s="18" t="n">
        <v>0</v>
      </c>
      <c r="P50" s="20" t="n">
        <v>0</v>
      </c>
      <c r="Q50" s="18" t="n">
        <v>0</v>
      </c>
      <c r="R50" s="20" t="n">
        <v>0</v>
      </c>
    </row>
    <row r="51" spans="1:18">
      <c r="A51" s="15" t="s">
        <v>610</v>
      </c>
      <c r="B51" s="17" t="n">
        <v>5809</v>
      </c>
      <c r="C51" s="18">
        <f>(5175.0/B51*100)</f>
        <v/>
      </c>
      <c r="D51" s="19" t="n">
        <v>634</v>
      </c>
      <c r="E51" s="18" t="n">
        <v>52.74435761</v>
      </c>
      <c r="F51" s="20" t="n">
        <v>1.90015529</v>
      </c>
      <c r="G51" s="18" t="n">
        <v>45.00342275</v>
      </c>
      <c r="H51" s="20" t="n">
        <v>1.79385326</v>
      </c>
      <c r="I51" s="18" t="n">
        <v>0</v>
      </c>
      <c r="J51" s="20" t="n">
        <v>0</v>
      </c>
      <c r="K51" s="18" t="n">
        <v>0.16044937</v>
      </c>
      <c r="L51" s="20" t="n">
        <v>0.15692998</v>
      </c>
      <c r="M51" s="18" t="n">
        <v>0</v>
      </c>
      <c r="N51" s="20" t="n">
        <v>0</v>
      </c>
      <c r="O51" s="18" t="n">
        <v>0</v>
      </c>
      <c r="P51" s="20" t="n">
        <v>0</v>
      </c>
      <c r="Q51" s="18" t="n">
        <v>2.09177026</v>
      </c>
      <c r="R51" s="20" t="n">
        <v>0.65784522</v>
      </c>
    </row>
    <row r="52" spans="1:18">
      <c r="A52" s="15" t="s">
        <v>611</v>
      </c>
      <c r="B52" s="17" t="n">
        <v>5571</v>
      </c>
      <c r="C52" s="18">
        <f>(4958.0/B52*100)</f>
        <v/>
      </c>
      <c r="D52" s="19" t="n">
        <v>613</v>
      </c>
      <c r="E52" s="18" t="n">
        <v>10.00077809</v>
      </c>
      <c r="F52" s="20" t="n">
        <v>1.38322488</v>
      </c>
      <c r="G52" s="18" t="n">
        <v>5.28223276</v>
      </c>
      <c r="H52" s="20" t="n">
        <v>0.93514383</v>
      </c>
      <c r="I52" s="18" t="n">
        <v>0</v>
      </c>
      <c r="J52" s="20" t="n">
        <v>0</v>
      </c>
      <c r="K52" s="18" t="n">
        <v>0</v>
      </c>
      <c r="L52" s="20" t="n">
        <v>0</v>
      </c>
      <c r="M52" s="18" t="n">
        <v>84.57413409</v>
      </c>
      <c r="N52" s="20" t="n">
        <v>1.6200096</v>
      </c>
      <c r="O52" s="18" t="n">
        <v>0</v>
      </c>
      <c r="P52" s="20" t="n">
        <v>0</v>
      </c>
      <c r="Q52" s="18" t="n">
        <v>0.14285506</v>
      </c>
      <c r="R52" s="20" t="n">
        <v>0.14456524</v>
      </c>
    </row>
    <row r="53" spans="1:18">
      <c r="A53" s="15" t="s">
        <v>612</v>
      </c>
      <c r="B53" s="17" t="n">
        <v>4740</v>
      </c>
      <c r="C53" s="18">
        <f>(4195.0/B53*100)</f>
        <v/>
      </c>
      <c r="D53" s="19" t="n">
        <v>545</v>
      </c>
      <c r="E53" s="18" t="n">
        <v>61.77740639</v>
      </c>
      <c r="F53" s="20" t="n">
        <v>2.40228402</v>
      </c>
      <c r="G53" s="18" t="n">
        <v>25.10671477</v>
      </c>
      <c r="H53" s="20" t="n">
        <v>2.11237092</v>
      </c>
      <c r="I53" s="18" t="n">
        <v>0</v>
      </c>
      <c r="J53" s="20" t="n">
        <v>0</v>
      </c>
      <c r="K53" s="18" t="n">
        <v>5.36582753</v>
      </c>
      <c r="L53" s="20" t="n">
        <v>1.0825726</v>
      </c>
      <c r="M53" s="18" t="n">
        <v>0</v>
      </c>
      <c r="N53" s="20" t="n">
        <v>0</v>
      </c>
      <c r="O53" s="18" t="n">
        <v>0</v>
      </c>
      <c r="P53" s="20" t="n">
        <v>0</v>
      </c>
      <c r="Q53" s="18" t="n">
        <v>7.75005131</v>
      </c>
      <c r="R53" s="20" t="n">
        <v>1.11350518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(4778.0/B55*100)</f>
        <v/>
      </c>
      <c r="D55" s="19" t="n">
        <v>581</v>
      </c>
      <c r="E55" s="18" t="n">
        <v>57.59527095</v>
      </c>
      <c r="F55" s="20" t="n">
        <v>2.06944845</v>
      </c>
      <c r="G55" s="18" t="n">
        <v>41.22959067</v>
      </c>
      <c r="H55" s="20" t="n">
        <v>2.09806921</v>
      </c>
      <c r="I55" s="18" t="n">
        <v>0</v>
      </c>
      <c r="J55" s="20" t="n">
        <v>0</v>
      </c>
      <c r="K55" s="18" t="n">
        <v>0</v>
      </c>
      <c r="L55" s="20" t="n">
        <v>0</v>
      </c>
      <c r="M55" s="18" t="n">
        <v>0</v>
      </c>
      <c r="N55" s="20" t="n">
        <v>0</v>
      </c>
      <c r="O55" s="18" t="n">
        <v>0</v>
      </c>
      <c r="P55" s="20" t="n">
        <v>0</v>
      </c>
      <c r="Q55" s="18" t="n">
        <v>1.17513837</v>
      </c>
      <c r="R55" s="20" t="n">
        <v>0.50157732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(5819.0/B61*100)</f>
        <v/>
      </c>
      <c r="D61" s="19" t="n">
        <v>706</v>
      </c>
      <c r="E61" s="18" t="n">
        <v>54.12264278</v>
      </c>
      <c r="F61" s="20" t="n">
        <v>2.30494684</v>
      </c>
      <c r="G61" s="18" t="n">
        <v>44.25531415</v>
      </c>
      <c r="H61" s="20" t="n">
        <v>2.14834175</v>
      </c>
      <c r="I61" s="18" t="n">
        <v>0</v>
      </c>
      <c r="J61" s="20" t="n">
        <v>0</v>
      </c>
      <c r="K61" s="18" t="n">
        <v>0</v>
      </c>
      <c r="L61" s="20" t="n">
        <v>0</v>
      </c>
      <c r="M61" s="18" t="n">
        <v>0</v>
      </c>
      <c r="N61" s="20" t="n">
        <v>0</v>
      </c>
      <c r="O61" s="18" t="n">
        <v>0</v>
      </c>
      <c r="P61" s="20" t="n">
        <v>0</v>
      </c>
      <c r="Q61" s="18" t="n">
        <v>1.62204307</v>
      </c>
      <c r="R61" s="20" t="n">
        <v>0.97387184</v>
      </c>
    </row>
    <row r="62" spans="1:18">
      <c r="A62" s="15" t="s">
        <v>622</v>
      </c>
      <c r="B62" s="17" t="n">
        <v>4476</v>
      </c>
      <c r="C62" s="18">
        <f>(3994.0/B62*100)</f>
        <v/>
      </c>
      <c r="D62" s="19" t="n">
        <v>482</v>
      </c>
      <c r="E62" s="18" t="n">
        <v>58.68951314</v>
      </c>
      <c r="F62" s="20" t="n">
        <v>2.34268252</v>
      </c>
      <c r="G62" s="18" t="n">
        <v>41.31048686</v>
      </c>
      <c r="H62" s="20" t="n">
        <v>2.34268252</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(5043.0/B67*100)</f>
        <v/>
      </c>
      <c r="D67" s="19" t="n">
        <v>622</v>
      </c>
      <c r="E67" s="18" t="n">
        <v>54.49096783</v>
      </c>
      <c r="F67" s="20" t="n">
        <v>2.11042319</v>
      </c>
      <c r="G67" s="18" t="n">
        <v>37.35653293</v>
      </c>
      <c r="H67" s="20" t="n">
        <v>1.90337601</v>
      </c>
      <c r="I67" s="18" t="n">
        <v>0</v>
      </c>
      <c r="J67" s="20" t="n">
        <v>0</v>
      </c>
      <c r="K67" s="18" t="n">
        <v>0.13435715</v>
      </c>
      <c r="L67" s="20" t="n">
        <v>0.13422416</v>
      </c>
      <c r="M67" s="18" t="n">
        <v>0</v>
      </c>
      <c r="N67" s="20" t="n">
        <v>0</v>
      </c>
      <c r="O67" s="18" t="n">
        <v>0</v>
      </c>
      <c r="P67" s="20" t="n">
        <v>0</v>
      </c>
      <c r="Q67" s="18" t="n">
        <v>8.01814209</v>
      </c>
      <c r="R67" s="20" t="n">
        <v>1.17004699</v>
      </c>
    </row>
    <row r="68" spans="1:18">
      <c r="A68" s="15" t="s">
        <v>628</v>
      </c>
      <c r="B68" s="17" t="n">
        <v>6971</v>
      </c>
      <c r="C68" s="18">
        <f>(6208.0/B68*100)</f>
        <v/>
      </c>
      <c r="D68" s="19" t="n">
        <v>763</v>
      </c>
      <c r="E68" s="18" t="n">
        <v>79.16299893999999</v>
      </c>
      <c r="F68" s="20" t="n">
        <v>1.42049061</v>
      </c>
      <c r="G68" s="18" t="n">
        <v>18.84282048</v>
      </c>
      <c r="H68" s="20" t="n">
        <v>1.4401715</v>
      </c>
      <c r="I68" s="18" t="n">
        <v>0</v>
      </c>
      <c r="J68" s="20" t="n">
        <v>0</v>
      </c>
      <c r="K68" s="18" t="n">
        <v>0.09837893</v>
      </c>
      <c r="L68" s="20" t="n">
        <v>0.09862115</v>
      </c>
      <c r="M68" s="18" t="n">
        <v>0</v>
      </c>
      <c r="N68" s="20" t="n">
        <v>0</v>
      </c>
      <c r="O68" s="18" t="n">
        <v>0</v>
      </c>
      <c r="P68" s="20" t="n">
        <v>0</v>
      </c>
      <c r="Q68" s="18" t="n">
        <v>1.89580165</v>
      </c>
      <c r="R68" s="20" t="n">
        <v>0.46920646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(10724.0/B70*100)</f>
        <v/>
      </c>
      <c r="D70" s="19" t="n">
        <v>1359</v>
      </c>
      <c r="E70" s="18" t="n">
        <v>62.19371008</v>
      </c>
      <c r="F70" s="20" t="n">
        <v>1.30100034</v>
      </c>
      <c r="G70" s="18" t="n">
        <v>31.04270607</v>
      </c>
      <c r="H70" s="20" t="n">
        <v>1.19646061</v>
      </c>
      <c r="I70" s="18" t="n">
        <v>0</v>
      </c>
      <c r="J70" s="20" t="n">
        <v>0</v>
      </c>
      <c r="K70" s="18" t="n">
        <v>0.66169298</v>
      </c>
      <c r="L70" s="20" t="n">
        <v>0.22194251</v>
      </c>
      <c r="M70" s="18" t="n">
        <v>0</v>
      </c>
      <c r="N70" s="20" t="n">
        <v>0</v>
      </c>
      <c r="O70" s="18" t="n">
        <v>0</v>
      </c>
      <c r="P70" s="20" t="n">
        <v>0</v>
      </c>
      <c r="Q70" s="18" t="n">
        <v>6.10189087</v>
      </c>
      <c r="R70" s="20" t="n">
        <v>0.68550674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(5394.0/B72*100)</f>
        <v/>
      </c>
      <c r="D72" s="19" t="n">
        <v>642</v>
      </c>
      <c r="E72" s="18" t="n">
        <v>54.62223993</v>
      </c>
      <c r="F72" s="20" t="n">
        <v>2.09616598</v>
      </c>
      <c r="G72" s="18" t="n">
        <v>43.25871655</v>
      </c>
      <c r="H72" s="20" t="n">
        <v>2.22260395</v>
      </c>
      <c r="I72" s="18" t="n">
        <v>0</v>
      </c>
      <c r="J72" s="20" t="n">
        <v>0</v>
      </c>
      <c r="K72" s="18" t="n">
        <v>0.36011948</v>
      </c>
      <c r="L72" s="20" t="n">
        <v>0.25275934</v>
      </c>
      <c r="M72" s="18" t="n">
        <v>0</v>
      </c>
      <c r="N72" s="20" t="n">
        <v>0</v>
      </c>
      <c r="O72" s="18" t="n">
        <v>0</v>
      </c>
      <c r="P72" s="20" t="n">
        <v>0</v>
      </c>
      <c r="Q72" s="18" t="n">
        <v>1.75892404</v>
      </c>
      <c r="R72" s="20" t="n">
        <v>0.57679853</v>
      </c>
    </row>
    <row r="73" spans="1:18">
      <c r="A73" s="15" t="s">
        <v>633</v>
      </c>
      <c r="B73" s="17" t="n">
        <v>6115</v>
      </c>
      <c r="C73" s="18">
        <f>(5425.0/B73*100)</f>
        <v/>
      </c>
      <c r="D73" s="19" t="n">
        <v>690</v>
      </c>
      <c r="E73" s="18" t="n">
        <v>53.95177763</v>
      </c>
      <c r="F73" s="20" t="n">
        <v>2.5692322</v>
      </c>
      <c r="G73" s="18" t="n">
        <v>45.40569931</v>
      </c>
      <c r="H73" s="20" t="n">
        <v>2.53991004</v>
      </c>
      <c r="I73" s="18" t="n">
        <v>0</v>
      </c>
      <c r="J73" s="20" t="n">
        <v>0</v>
      </c>
      <c r="K73" s="18" t="n">
        <v>0.23311472</v>
      </c>
      <c r="L73" s="20" t="n">
        <v>0.22302065</v>
      </c>
      <c r="M73" s="18" t="n">
        <v>0</v>
      </c>
      <c r="N73" s="20" t="n">
        <v>0</v>
      </c>
      <c r="O73" s="18" t="n">
        <v>0</v>
      </c>
      <c r="P73" s="20" t="n">
        <v>0</v>
      </c>
      <c r="Q73" s="18" t="n">
        <v>0.40940834</v>
      </c>
      <c r="R73" s="20" t="n">
        <v>0.23559415</v>
      </c>
    </row>
    <row r="74" spans="1:18">
      <c r="A74" s="15" t="s">
        <v>634</v>
      </c>
      <c r="B74" s="17" t="n">
        <v>7708</v>
      </c>
      <c r="C74" s="18">
        <f>(6864.0/B74*100)</f>
        <v/>
      </c>
      <c r="D74" s="19" t="n">
        <v>844</v>
      </c>
      <c r="E74" s="18" t="n">
        <v>55.49059918</v>
      </c>
      <c r="F74" s="20" t="n">
        <v>1.77681692</v>
      </c>
      <c r="G74" s="18" t="n">
        <v>43.70441835</v>
      </c>
      <c r="H74" s="20" t="n">
        <v>1.86522725</v>
      </c>
      <c r="I74" s="18" t="n">
        <v>0</v>
      </c>
      <c r="J74" s="20" t="n">
        <v>0</v>
      </c>
      <c r="K74" s="18" t="n">
        <v>0.15675985</v>
      </c>
      <c r="L74" s="20" t="n">
        <v>0.15732803</v>
      </c>
      <c r="M74" s="18" t="n">
        <v>0</v>
      </c>
      <c r="N74" s="20" t="n">
        <v>0</v>
      </c>
      <c r="O74" s="18" t="n">
        <v>0</v>
      </c>
      <c r="P74" s="20" t="n">
        <v>0</v>
      </c>
      <c r="Q74" s="18" t="n">
        <v>0.64822262</v>
      </c>
      <c r="R74" s="20" t="n">
        <v>0.27094286</v>
      </c>
    </row>
    <row r="75" spans="1:18">
      <c r="A75" s="15" t="s">
        <v>635</v>
      </c>
      <c r="B75" s="17" t="n">
        <v>8249</v>
      </c>
      <c r="C75" s="18">
        <f>(7372.0/B75*100)</f>
        <v/>
      </c>
      <c r="D75" s="19" t="n">
        <v>877</v>
      </c>
      <c r="E75" s="18" t="n">
        <v>68.95431803</v>
      </c>
      <c r="F75" s="20" t="n">
        <v>1.44224515</v>
      </c>
      <c r="G75" s="18" t="n">
        <v>30.73261512</v>
      </c>
      <c r="H75" s="20" t="n">
        <v>1.43875175</v>
      </c>
      <c r="I75" s="18" t="n">
        <v>0</v>
      </c>
      <c r="J75" s="20" t="n">
        <v>0</v>
      </c>
      <c r="K75" s="18" t="n">
        <v>0</v>
      </c>
      <c r="L75" s="20" t="n">
        <v>0</v>
      </c>
      <c r="M75" s="18" t="n">
        <v>0</v>
      </c>
      <c r="N75" s="20" t="n">
        <v>0</v>
      </c>
      <c r="O75" s="18" t="n">
        <v>0</v>
      </c>
      <c r="P75" s="20" t="n">
        <v>0</v>
      </c>
      <c r="Q75" s="18" t="n">
        <v>0.31306685</v>
      </c>
      <c r="R75" s="20" t="n">
        <v>0.21299544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(4832.0/B77*100)</f>
        <v/>
      </c>
      <c r="D77" s="19" t="n">
        <v>543</v>
      </c>
      <c r="E77" s="18" t="n">
        <v>72.05475376</v>
      </c>
      <c r="F77" s="20" t="n">
        <v>1.84064529</v>
      </c>
      <c r="G77" s="18" t="n">
        <v>21.56101307</v>
      </c>
      <c r="H77" s="20" t="n">
        <v>1.73404979</v>
      </c>
      <c r="I77" s="18" t="n">
        <v>0</v>
      </c>
      <c r="J77" s="20" t="n">
        <v>0</v>
      </c>
      <c r="K77" s="18" t="n">
        <v>1.39143267</v>
      </c>
      <c r="L77" s="20" t="n">
        <v>0.40313596</v>
      </c>
      <c r="M77" s="18" t="n">
        <v>0</v>
      </c>
      <c r="N77" s="20" t="n">
        <v>0</v>
      </c>
      <c r="O77" s="18" t="n">
        <v>0</v>
      </c>
      <c r="P77" s="20" t="n">
        <v>0</v>
      </c>
      <c r="Q77" s="18" t="n">
        <v>4.9928005</v>
      </c>
      <c r="R77" s="20" t="n">
        <v>1.00246077</v>
      </c>
    </row>
    <row r="78" spans="1:18">
      <c r="A78" s="15" t="s">
        <v>638</v>
      </c>
      <c r="B78" s="17" t="n">
        <v>14167</v>
      </c>
      <c r="C78" s="18">
        <f>(12613.0/B78*100)</f>
        <v/>
      </c>
      <c r="D78" s="19" t="n">
        <v>1554</v>
      </c>
      <c r="E78" s="18" t="n">
        <v>57.29454913</v>
      </c>
      <c r="F78" s="20" t="n">
        <v>1.34172039</v>
      </c>
      <c r="G78" s="18" t="n">
        <v>38.16892722</v>
      </c>
      <c r="H78" s="20" t="n">
        <v>1.2269342</v>
      </c>
      <c r="I78" s="18" t="n">
        <v>0</v>
      </c>
      <c r="J78" s="20" t="n">
        <v>0</v>
      </c>
      <c r="K78" s="18" t="n">
        <v>0.73925065</v>
      </c>
      <c r="L78" s="20" t="n">
        <v>0.29210715</v>
      </c>
      <c r="M78" s="18" t="n">
        <v>0</v>
      </c>
      <c r="N78" s="20" t="n">
        <v>0</v>
      </c>
      <c r="O78" s="18" t="n">
        <v>0</v>
      </c>
      <c r="P78" s="20" t="n">
        <v>0</v>
      </c>
      <c r="Q78" s="18" t="n">
        <v>3.797273</v>
      </c>
      <c r="R78" s="20" t="n">
        <v>0.60544329</v>
      </c>
    </row>
    <row r="79" spans="1:18">
      <c r="A79" s="15" t="s">
        <v>639</v>
      </c>
      <c r="B79" s="17" t="n">
        <v>6062</v>
      </c>
      <c r="C79" s="18">
        <f>(5378.0/B79*100)</f>
        <v/>
      </c>
      <c r="D79" s="19" t="n">
        <v>684</v>
      </c>
      <c r="E79" s="18" t="n">
        <v>0</v>
      </c>
      <c r="F79" s="20" t="n">
        <v>0</v>
      </c>
      <c r="G79" s="18" t="n">
        <v>0</v>
      </c>
      <c r="H79" s="20" t="n">
        <v>0</v>
      </c>
      <c r="I79" s="18" t="n">
        <v>0</v>
      </c>
      <c r="J79" s="20" t="n">
        <v>0</v>
      </c>
      <c r="K79" s="18" t="n">
        <v>0</v>
      </c>
      <c r="L79" s="20" t="n">
        <v>0</v>
      </c>
      <c r="M79" s="18" t="n">
        <v>100</v>
      </c>
      <c r="N79" s="20" t="n">
        <v>0</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(28752.0/B82*100)</f>
        <v/>
      </c>
      <c r="D82" s="19" t="n">
        <v>3578</v>
      </c>
      <c r="E82" s="18" t="n">
        <v>68.29345777</v>
      </c>
      <c r="F82" s="20" t="n">
        <v>1.09306798</v>
      </c>
      <c r="G82" s="18" t="n">
        <v>28.85306239</v>
      </c>
      <c r="H82" s="20" t="n">
        <v>1.09206428</v>
      </c>
      <c r="I82" s="18" t="n">
        <v>0</v>
      </c>
      <c r="J82" s="20" t="n">
        <v>0</v>
      </c>
      <c r="K82" s="18" t="n">
        <v>0.18059388</v>
      </c>
      <c r="L82" s="20" t="n">
        <v>0.12169052</v>
      </c>
      <c r="M82" s="18" t="n">
        <v>0</v>
      </c>
      <c r="N82" s="20" t="n">
        <v>0</v>
      </c>
      <c r="O82" s="18" t="n">
        <v>0</v>
      </c>
      <c r="P82" s="20" t="n">
        <v>0</v>
      </c>
      <c r="Q82" s="18" t="n">
        <v>2.67288595</v>
      </c>
      <c r="R82" s="20" t="n">
        <v>0.46714979</v>
      </c>
    </row>
    <row r="83" spans="1:18">
      <c r="A83" s="15" t="s">
        <v>643</v>
      </c>
      <c r="B83" s="17" t="n">
        <v>1652</v>
      </c>
      <c r="C83" s="18">
        <f>(1474.0/B83*100)</f>
        <v/>
      </c>
      <c r="D83" s="19" t="n">
        <v>178</v>
      </c>
      <c r="E83" s="18" t="n">
        <v>57.72380593</v>
      </c>
      <c r="F83" s="20" t="n">
        <v>4.18098792</v>
      </c>
      <c r="G83" s="18" t="n">
        <v>41.10954127</v>
      </c>
      <c r="H83" s="20" t="n">
        <v>4.56176997</v>
      </c>
      <c r="I83" s="18" t="n">
        <v>0</v>
      </c>
      <c r="J83" s="20" t="n">
        <v>0</v>
      </c>
      <c r="K83" s="18" t="n">
        <v>0</v>
      </c>
      <c r="L83" s="20" t="n">
        <v>0</v>
      </c>
      <c r="M83" s="18" t="n">
        <v>0</v>
      </c>
      <c r="N83" s="20" t="n">
        <v>0</v>
      </c>
      <c r="O83" s="18" t="n">
        <v>0</v>
      </c>
      <c r="P83" s="20" t="n">
        <v>0</v>
      </c>
      <c r="Q83" s="18" t="n">
        <v>1.1666528</v>
      </c>
      <c r="R83" s="20" t="n">
        <v>1.06240958</v>
      </c>
    </row>
    <row r="84" spans="1:18">
      <c r="A84" s="23" t="s">
        <v>644</v>
      </c>
      <c r="B84" s="24" t="n">
        <v>1887</v>
      </c>
      <c r="C84" s="25">
        <f>(1698.0/B84*100)</f>
        <v/>
      </c>
      <c r="D84" s="19" t="n">
        <v>189</v>
      </c>
      <c r="E84" s="18" t="n">
        <v>61.66222158</v>
      </c>
      <c r="F84" s="20" t="n">
        <v>3.59747367</v>
      </c>
      <c r="G84" s="18" t="n">
        <v>36.64779558</v>
      </c>
      <c r="H84" s="20" t="n">
        <v>3.44038305</v>
      </c>
      <c r="I84" s="18" t="n">
        <v>0</v>
      </c>
      <c r="J84" s="20" t="n">
        <v>0</v>
      </c>
      <c r="K84" s="18" t="n">
        <v>0</v>
      </c>
      <c r="L84" s="20" t="n">
        <v>0</v>
      </c>
      <c r="M84" s="18" t="n">
        <v>0</v>
      </c>
      <c r="N84" s="20" t="n">
        <v>0</v>
      </c>
      <c r="O84" s="18" t="n">
        <v>0</v>
      </c>
      <c r="P84" s="20" t="n">
        <v>0</v>
      </c>
      <c r="Q84" s="18" t="n">
        <v>1.68998284</v>
      </c>
      <c r="R84" s="20" t="n">
        <v>1.00183038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1.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700</v>
      </c>
    </row>
    <row customHeight="1" ht="30" r="4" spans="1:24">
      <c r="A4" s="6" t="n"/>
      <c r="B4" s="7" t="s">
        <v>551</v>
      </c>
      <c r="C4" s="7" t="s">
        <v>552</v>
      </c>
      <c r="D4" s="8" t="s">
        <v>551</v>
      </c>
      <c r="E4" s="9" t="s">
        <v>655</v>
      </c>
      <c r="F4" s="10" t="n"/>
      <c r="G4" s="9" t="s">
        <v>656</v>
      </c>
      <c r="H4" s="10" t="n"/>
      <c r="I4" s="9" t="s">
        <v>701</v>
      </c>
      <c r="J4" s="10" t="n"/>
      <c r="K4" s="9" t="s">
        <v>657</v>
      </c>
      <c r="L4" s="10" t="n"/>
      <c r="M4" s="9" t="s">
        <v>658</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row>
    <row r="6" spans="1:24">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565</v>
      </c>
      <c r="B7" s="17" t="n">
        <v>14530</v>
      </c>
      <c r="C7" s="18">
        <f>(12934.0/B7*100)</f>
        <v/>
      </c>
      <c r="D7" s="19" t="n">
        <v>1596</v>
      </c>
      <c r="E7" s="18" t="n">
        <v>12.13326544</v>
      </c>
      <c r="F7" s="20" t="n">
        <v>0.97268992</v>
      </c>
      <c r="G7" s="18" t="n">
        <v>14.55825484</v>
      </c>
      <c r="H7" s="20" t="n">
        <v>1.22235237</v>
      </c>
      <c r="I7" s="18" t="n">
        <v>15.0077763</v>
      </c>
      <c r="J7" s="20" t="n">
        <v>1.13169982</v>
      </c>
      <c r="K7" s="18" t="n">
        <v>33.28551647</v>
      </c>
      <c r="L7" s="20" t="n">
        <v>1.6218705</v>
      </c>
      <c r="M7" s="18" t="n">
        <v>18.11800962</v>
      </c>
      <c r="N7" s="20" t="n">
        <v>1.18231621</v>
      </c>
      <c r="O7" s="18" t="n">
        <v>0</v>
      </c>
      <c r="P7" s="20" t="n">
        <v>0</v>
      </c>
      <c r="Q7" s="18" t="n">
        <v>0.01714558</v>
      </c>
      <c r="R7" s="20" t="n">
        <v>0.01664139</v>
      </c>
      <c r="S7" s="18" t="n">
        <v>0.09148944000000001</v>
      </c>
      <c r="T7" s="20" t="n">
        <v>0.07603588999999999</v>
      </c>
      <c r="U7" s="18" t="n">
        <v>0</v>
      </c>
      <c r="V7" s="20" t="n">
        <v>0</v>
      </c>
      <c r="W7" s="18" t="n">
        <v>6.78854232</v>
      </c>
      <c r="X7" s="20" t="n">
        <v>0.656367</v>
      </c>
    </row>
    <row r="8" spans="1:24">
      <c r="A8" s="15" t="s">
        <v>566</v>
      </c>
      <c r="B8" s="17" t="n">
        <v>7007</v>
      </c>
      <c r="C8" s="18">
        <f>(6218.0/B8*100)</f>
        <v/>
      </c>
      <c r="D8" s="19" t="n">
        <v>789</v>
      </c>
      <c r="E8" s="18" t="n">
        <v>11.75522675</v>
      </c>
      <c r="F8" s="20" t="n">
        <v>1.36485131</v>
      </c>
      <c r="G8" s="18" t="n">
        <v>4.77243444</v>
      </c>
      <c r="H8" s="20" t="n">
        <v>0.79031504</v>
      </c>
      <c r="I8" s="18" t="n">
        <v>17.61817889</v>
      </c>
      <c r="J8" s="20" t="n">
        <v>1.65944041</v>
      </c>
      <c r="K8" s="18" t="n">
        <v>37.111432</v>
      </c>
      <c r="L8" s="20" t="n">
        <v>2.09881786</v>
      </c>
      <c r="M8" s="18" t="n">
        <v>16.06039315</v>
      </c>
      <c r="N8" s="20" t="n">
        <v>1.67838065</v>
      </c>
      <c r="O8" s="18" t="n">
        <v>0</v>
      </c>
      <c r="P8" s="20" t="n">
        <v>0</v>
      </c>
      <c r="Q8" s="18" t="n">
        <v>0</v>
      </c>
      <c r="R8" s="20" t="n">
        <v>0</v>
      </c>
      <c r="S8" s="18" t="n">
        <v>0</v>
      </c>
      <c r="T8" s="20" t="n">
        <v>0</v>
      </c>
      <c r="U8" s="18" t="n">
        <v>0</v>
      </c>
      <c r="V8" s="20" t="n">
        <v>0</v>
      </c>
      <c r="W8" s="18" t="n">
        <v>12.68233477</v>
      </c>
      <c r="X8" s="20" t="n">
        <v>1.2992089</v>
      </c>
    </row>
    <row r="9" spans="1:24">
      <c r="A9" s="15" t="s">
        <v>567</v>
      </c>
      <c r="B9" s="17" t="n">
        <v>9651</v>
      </c>
      <c r="C9" s="18">
        <f>(8628.0/B9*100)</f>
        <v/>
      </c>
      <c r="D9" s="19" t="n">
        <v>1023</v>
      </c>
      <c r="E9" s="18" t="n">
        <v>11.20556004</v>
      </c>
      <c r="F9" s="20" t="n">
        <v>0.91669133</v>
      </c>
      <c r="G9" s="18" t="n">
        <v>8.60732979</v>
      </c>
      <c r="H9" s="20" t="n">
        <v>0.82318674</v>
      </c>
      <c r="I9" s="18" t="n">
        <v>18.71535314</v>
      </c>
      <c r="J9" s="20" t="n">
        <v>1.4214646</v>
      </c>
      <c r="K9" s="18" t="n">
        <v>34.68959054</v>
      </c>
      <c r="L9" s="20" t="n">
        <v>1.5062459</v>
      </c>
      <c r="M9" s="18" t="n">
        <v>15.96607039</v>
      </c>
      <c r="N9" s="20" t="n">
        <v>1.06888293</v>
      </c>
      <c r="O9" s="18" t="n">
        <v>0</v>
      </c>
      <c r="P9" s="20" t="n">
        <v>0</v>
      </c>
      <c r="Q9" s="18" t="n">
        <v>0</v>
      </c>
      <c r="R9" s="20" t="n">
        <v>0</v>
      </c>
      <c r="S9" s="18" t="n">
        <v>0.47481115</v>
      </c>
      <c r="T9" s="20" t="n">
        <v>0.15187423</v>
      </c>
      <c r="U9" s="18" t="n">
        <v>0</v>
      </c>
      <c r="V9" s="20" t="n">
        <v>0</v>
      </c>
      <c r="W9" s="18" t="n">
        <v>10.34128495</v>
      </c>
      <c r="X9" s="20" t="n">
        <v>0.97096813</v>
      </c>
    </row>
    <row r="10" spans="1:24">
      <c r="A10" s="15" t="s">
        <v>568</v>
      </c>
      <c r="B10" s="17" t="n">
        <v>20058</v>
      </c>
      <c r="C10" s="18">
        <f>(17877.0/B10*100)</f>
        <v/>
      </c>
      <c r="D10" s="19" t="n">
        <v>2181</v>
      </c>
      <c r="E10" s="18" t="n">
        <v>12.96816806</v>
      </c>
      <c r="F10" s="20" t="n">
        <v>0.93064006</v>
      </c>
      <c r="G10" s="18" t="n">
        <v>14.21890528</v>
      </c>
      <c r="H10" s="20" t="n">
        <v>1.1079155</v>
      </c>
      <c r="I10" s="18" t="n">
        <v>12.48911801</v>
      </c>
      <c r="J10" s="20" t="n">
        <v>1.08750485</v>
      </c>
      <c r="K10" s="18" t="n">
        <v>36.86448298</v>
      </c>
      <c r="L10" s="20" t="n">
        <v>1.30918017</v>
      </c>
      <c r="M10" s="18" t="n">
        <v>19.21741144</v>
      </c>
      <c r="N10" s="20" t="n">
        <v>1.15796438</v>
      </c>
      <c r="O10" s="18" t="n">
        <v>0</v>
      </c>
      <c r="P10" s="20" t="n">
        <v>0</v>
      </c>
      <c r="Q10" s="18" t="n">
        <v>0.08068019999999999</v>
      </c>
      <c r="R10" s="20" t="n">
        <v>0.04857604</v>
      </c>
      <c r="S10" s="18" t="n">
        <v>0.00373087</v>
      </c>
      <c r="T10" s="20" t="n">
        <v>0.00380331</v>
      </c>
      <c r="U10" s="18" t="n">
        <v>0</v>
      </c>
      <c r="V10" s="20" t="n">
        <v>0</v>
      </c>
      <c r="W10" s="18" t="n">
        <v>4.15750316</v>
      </c>
      <c r="X10" s="20" t="n">
        <v>0.65072889</v>
      </c>
    </row>
    <row r="11" spans="1:24">
      <c r="A11" s="15" t="s">
        <v>569</v>
      </c>
      <c r="B11" s="17" t="n">
        <v>7053</v>
      </c>
      <c r="C11" s="18">
        <f>(6250.0/B11*100)</f>
        <v/>
      </c>
      <c r="D11" s="19" t="n">
        <v>803</v>
      </c>
      <c r="E11" s="18" t="n">
        <v>10.34420496</v>
      </c>
      <c r="F11" s="20" t="n">
        <v>1.34421979</v>
      </c>
      <c r="G11" s="18" t="n">
        <v>20.72390077</v>
      </c>
      <c r="H11" s="20" t="n">
        <v>1.55612622</v>
      </c>
      <c r="I11" s="18" t="n">
        <v>23.77318943</v>
      </c>
      <c r="J11" s="20" t="n">
        <v>1.70007278</v>
      </c>
      <c r="K11" s="18" t="n">
        <v>27.19138552</v>
      </c>
      <c r="L11" s="20" t="n">
        <v>1.83810058</v>
      </c>
      <c r="M11" s="18" t="n">
        <v>7.58981923</v>
      </c>
      <c r="N11" s="20" t="n">
        <v>1.09621267</v>
      </c>
      <c r="O11" s="18" t="n">
        <v>0</v>
      </c>
      <c r="P11" s="20" t="n">
        <v>0</v>
      </c>
      <c r="Q11" s="18" t="n">
        <v>0.16430584</v>
      </c>
      <c r="R11" s="20" t="n">
        <v>0.16048288</v>
      </c>
      <c r="S11" s="18" t="n">
        <v>0</v>
      </c>
      <c r="T11" s="20" t="n">
        <v>0</v>
      </c>
      <c r="U11" s="18" t="n">
        <v>0</v>
      </c>
      <c r="V11" s="20" t="n">
        <v>0</v>
      </c>
      <c r="W11" s="18" t="n">
        <v>10.21319426</v>
      </c>
      <c r="X11" s="20" t="n">
        <v>1.46340849</v>
      </c>
    </row>
    <row r="12" spans="1:24">
      <c r="A12" s="15" t="s">
        <v>570</v>
      </c>
      <c r="B12" s="17" t="n">
        <v>6894</v>
      </c>
      <c r="C12" s="18">
        <f>(6137.0/B12*100)</f>
        <v/>
      </c>
      <c r="D12" s="19" t="n">
        <v>757</v>
      </c>
      <c r="E12" s="18" t="n">
        <v>9.57542241</v>
      </c>
      <c r="F12" s="20" t="n">
        <v>1.25664416</v>
      </c>
      <c r="G12" s="18" t="n">
        <v>13.9697286</v>
      </c>
      <c r="H12" s="20" t="n">
        <v>1.36663453</v>
      </c>
      <c r="I12" s="18" t="n">
        <v>13.92237847</v>
      </c>
      <c r="J12" s="20" t="n">
        <v>1.39579582</v>
      </c>
      <c r="K12" s="18" t="n">
        <v>37.58641243</v>
      </c>
      <c r="L12" s="20" t="n">
        <v>1.99871602</v>
      </c>
      <c r="M12" s="18" t="n">
        <v>7.58921941</v>
      </c>
      <c r="N12" s="20" t="n">
        <v>1.2188298</v>
      </c>
      <c r="O12" s="18" t="n">
        <v>0</v>
      </c>
      <c r="P12" s="20" t="n">
        <v>0</v>
      </c>
      <c r="Q12" s="18" t="n">
        <v>0</v>
      </c>
      <c r="R12" s="20" t="n">
        <v>0</v>
      </c>
      <c r="S12" s="18" t="n">
        <v>0.07782673</v>
      </c>
      <c r="T12" s="20" t="n">
        <v>0.10443348</v>
      </c>
      <c r="U12" s="18" t="n">
        <v>0</v>
      </c>
      <c r="V12" s="20" t="n">
        <v>0</v>
      </c>
      <c r="W12" s="18" t="n">
        <v>17.27901195</v>
      </c>
      <c r="X12" s="20" t="n">
        <v>1.59186433</v>
      </c>
    </row>
    <row r="13" spans="1:24">
      <c r="A13" s="15" t="s">
        <v>571</v>
      </c>
      <c r="B13" s="17" t="n">
        <v>7161</v>
      </c>
      <c r="C13" s="18">
        <f>(6419.0/B13*100)</f>
        <v/>
      </c>
      <c r="D13" s="19" t="n">
        <v>742</v>
      </c>
      <c r="E13" s="18" t="n">
        <v>9.461536969999999</v>
      </c>
      <c r="F13" s="20" t="n">
        <v>1.24967101</v>
      </c>
      <c r="G13" s="18" t="n">
        <v>11.34134798</v>
      </c>
      <c r="H13" s="20" t="n">
        <v>1.43052901</v>
      </c>
      <c r="I13" s="18" t="n">
        <v>18.87137439</v>
      </c>
      <c r="J13" s="20" t="n">
        <v>1.93504811</v>
      </c>
      <c r="K13" s="18" t="n">
        <v>36.66709197</v>
      </c>
      <c r="L13" s="20" t="n">
        <v>2.16188507</v>
      </c>
      <c r="M13" s="18" t="n">
        <v>14.20409299</v>
      </c>
      <c r="N13" s="20" t="n">
        <v>1.46951176</v>
      </c>
      <c r="O13" s="18" t="n">
        <v>0</v>
      </c>
      <c r="P13" s="20" t="n">
        <v>0</v>
      </c>
      <c r="Q13" s="18" t="n">
        <v>0.39556766</v>
      </c>
      <c r="R13" s="20" t="n">
        <v>0.24210638</v>
      </c>
      <c r="S13" s="18" t="n">
        <v>0</v>
      </c>
      <c r="T13" s="20" t="n">
        <v>0</v>
      </c>
      <c r="U13" s="18" t="n">
        <v>0</v>
      </c>
      <c r="V13" s="20" t="n">
        <v>0</v>
      </c>
      <c r="W13" s="18" t="n">
        <v>9.05898805</v>
      </c>
      <c r="X13" s="20" t="n">
        <v>1.20894678</v>
      </c>
    </row>
    <row r="14" spans="1:24">
      <c r="A14" s="15" t="s">
        <v>572</v>
      </c>
      <c r="B14" s="17" t="n">
        <v>5587</v>
      </c>
      <c r="C14" s="18">
        <f>(4991.0/B14*100)</f>
        <v/>
      </c>
      <c r="D14" s="19" t="n">
        <v>596</v>
      </c>
      <c r="E14" s="18" t="n">
        <v>13.83933368</v>
      </c>
      <c r="F14" s="20" t="n">
        <v>1.4847565</v>
      </c>
      <c r="G14" s="18" t="n">
        <v>8.06555507</v>
      </c>
      <c r="H14" s="20" t="n">
        <v>1.25215639</v>
      </c>
      <c r="I14" s="18" t="n">
        <v>11.92032699</v>
      </c>
      <c r="J14" s="20" t="n">
        <v>1.43519687</v>
      </c>
      <c r="K14" s="18" t="n">
        <v>47.43832372</v>
      </c>
      <c r="L14" s="20" t="n">
        <v>2.42073948</v>
      </c>
      <c r="M14" s="18" t="n">
        <v>13.11321737</v>
      </c>
      <c r="N14" s="20" t="n">
        <v>1.42009508</v>
      </c>
      <c r="O14" s="18" t="n">
        <v>0</v>
      </c>
      <c r="P14" s="20" t="n">
        <v>0</v>
      </c>
      <c r="Q14" s="18" t="n">
        <v>0</v>
      </c>
      <c r="R14" s="20" t="n">
        <v>0</v>
      </c>
      <c r="S14" s="18" t="n">
        <v>0</v>
      </c>
      <c r="T14" s="20" t="n">
        <v>0</v>
      </c>
      <c r="U14" s="18" t="n">
        <v>0</v>
      </c>
      <c r="V14" s="20" t="n">
        <v>0</v>
      </c>
      <c r="W14" s="18" t="n">
        <v>5.62324318</v>
      </c>
      <c r="X14" s="20" t="n">
        <v>1.12341337</v>
      </c>
    </row>
    <row r="15" spans="1:24">
      <c r="A15" s="15" t="s">
        <v>573</v>
      </c>
      <c r="B15" s="17" t="n">
        <v>5882</v>
      </c>
      <c r="C15" s="18">
        <f>(5216.0/B15*100)</f>
        <v/>
      </c>
      <c r="D15" s="19" t="n">
        <v>666</v>
      </c>
      <c r="E15" s="18" t="n">
        <v>9.63437858</v>
      </c>
      <c r="F15" s="20" t="n">
        <v>1.05155652</v>
      </c>
      <c r="G15" s="18" t="n">
        <v>7.93278887</v>
      </c>
      <c r="H15" s="20" t="n">
        <v>1.14002188</v>
      </c>
      <c r="I15" s="18" t="n">
        <v>9.878259010000001</v>
      </c>
      <c r="J15" s="20" t="n">
        <v>1.22309796</v>
      </c>
      <c r="K15" s="18" t="n">
        <v>58.49885467</v>
      </c>
      <c r="L15" s="20" t="n">
        <v>1.81290592</v>
      </c>
      <c r="M15" s="18" t="n">
        <v>8.268648089999999</v>
      </c>
      <c r="N15" s="20" t="n">
        <v>0.99088141</v>
      </c>
      <c r="O15" s="18" t="n">
        <v>0</v>
      </c>
      <c r="P15" s="20" t="n">
        <v>0</v>
      </c>
      <c r="Q15" s="18" t="n">
        <v>0</v>
      </c>
      <c r="R15" s="20" t="n">
        <v>0</v>
      </c>
      <c r="S15" s="18" t="n">
        <v>0</v>
      </c>
      <c r="T15" s="20" t="n">
        <v>0</v>
      </c>
      <c r="U15" s="18" t="n">
        <v>0</v>
      </c>
      <c r="V15" s="20" t="n">
        <v>0</v>
      </c>
      <c r="W15" s="18" t="n">
        <v>5.78707078</v>
      </c>
      <c r="X15" s="20" t="n">
        <v>0.94989519</v>
      </c>
    </row>
    <row r="16" spans="1:24">
      <c r="A16" s="15" t="s">
        <v>574</v>
      </c>
      <c r="B16" s="17" t="n">
        <v>6108</v>
      </c>
      <c r="C16" s="18">
        <f>(5461.0/B16*100)</f>
        <v/>
      </c>
      <c r="D16" s="19" t="n">
        <v>647</v>
      </c>
      <c r="E16" s="18" t="n">
        <v>4.72922686</v>
      </c>
      <c r="F16" s="20" t="n">
        <v>0.84358395</v>
      </c>
      <c r="G16" s="18" t="n">
        <v>13.52972933</v>
      </c>
      <c r="H16" s="20" t="n">
        <v>1.3318227</v>
      </c>
      <c r="I16" s="18" t="n">
        <v>17.51628725</v>
      </c>
      <c r="J16" s="20" t="n">
        <v>1.46571715</v>
      </c>
      <c r="K16" s="18" t="n">
        <v>36.53185287</v>
      </c>
      <c r="L16" s="20" t="n">
        <v>1.81269941</v>
      </c>
      <c r="M16" s="18" t="n">
        <v>12.45426358</v>
      </c>
      <c r="N16" s="20" t="n">
        <v>1.27210357</v>
      </c>
      <c r="O16" s="18" t="n">
        <v>0</v>
      </c>
      <c r="P16" s="20" t="n">
        <v>0</v>
      </c>
      <c r="Q16" s="18" t="n">
        <v>0</v>
      </c>
      <c r="R16" s="20" t="n">
        <v>0</v>
      </c>
      <c r="S16" s="18" t="n">
        <v>0</v>
      </c>
      <c r="T16" s="20" t="n">
        <v>0</v>
      </c>
      <c r="U16" s="18" t="n">
        <v>0</v>
      </c>
      <c r="V16" s="20" t="n">
        <v>0</v>
      </c>
      <c r="W16" s="18" t="n">
        <v>15.23864011</v>
      </c>
      <c r="X16" s="20" t="n">
        <v>1.51776908</v>
      </c>
    </row>
    <row r="17" spans="1:24">
      <c r="A17" s="15" t="s">
        <v>575</v>
      </c>
      <c r="B17" s="17" t="n">
        <v>6504</v>
      </c>
      <c r="C17" s="18">
        <f>(5814.0/B17*100)</f>
        <v/>
      </c>
      <c r="D17" s="19" t="n">
        <v>690</v>
      </c>
      <c r="E17" s="18" t="n">
        <v>11.09451691</v>
      </c>
      <c r="F17" s="20" t="n">
        <v>1.16210065</v>
      </c>
      <c r="G17" s="18" t="n">
        <v>5.98225554</v>
      </c>
      <c r="H17" s="20" t="n">
        <v>0.90558501</v>
      </c>
      <c r="I17" s="18" t="n">
        <v>15.17096205</v>
      </c>
      <c r="J17" s="20" t="n">
        <v>1.40779172</v>
      </c>
      <c r="K17" s="18" t="n">
        <v>45.57052009</v>
      </c>
      <c r="L17" s="20" t="n">
        <v>2.25724664</v>
      </c>
      <c r="M17" s="18" t="n">
        <v>10.13931777</v>
      </c>
      <c r="N17" s="20" t="n">
        <v>1.19511897</v>
      </c>
      <c r="O17" s="18" t="n">
        <v>0</v>
      </c>
      <c r="P17" s="20" t="n">
        <v>0</v>
      </c>
      <c r="Q17" s="18" t="n">
        <v>0.1622108</v>
      </c>
      <c r="R17" s="20" t="n">
        <v>0.16349664</v>
      </c>
      <c r="S17" s="18" t="n">
        <v>0</v>
      </c>
      <c r="T17" s="20" t="n">
        <v>0</v>
      </c>
      <c r="U17" s="18" t="n">
        <v>0</v>
      </c>
      <c r="V17" s="20" t="n">
        <v>0</v>
      </c>
      <c r="W17" s="18" t="n">
        <v>11.88021685</v>
      </c>
      <c r="X17" s="20" t="n">
        <v>1.35746101</v>
      </c>
    </row>
    <row r="18" spans="1:24">
      <c r="A18" s="15" t="s">
        <v>576</v>
      </c>
      <c r="B18" s="17" t="n">
        <v>5532</v>
      </c>
      <c r="C18" s="18">
        <f>(4938.0/B18*100)</f>
        <v/>
      </c>
      <c r="D18" s="19" t="n">
        <v>594</v>
      </c>
      <c r="E18" s="18" t="n">
        <v>11.50270638</v>
      </c>
      <c r="F18" s="20" t="n">
        <v>1.49481828</v>
      </c>
      <c r="G18" s="18" t="n">
        <v>7.14438641</v>
      </c>
      <c r="H18" s="20" t="n">
        <v>1.11684952</v>
      </c>
      <c r="I18" s="18" t="n">
        <v>27.65899409</v>
      </c>
      <c r="J18" s="20" t="n">
        <v>1.90220363</v>
      </c>
      <c r="K18" s="18" t="n">
        <v>25.92920591</v>
      </c>
      <c r="L18" s="20" t="n">
        <v>2.19396589</v>
      </c>
      <c r="M18" s="18" t="n">
        <v>13.95770168</v>
      </c>
      <c r="N18" s="20" t="n">
        <v>1.77245429</v>
      </c>
      <c r="O18" s="18" t="n">
        <v>0</v>
      </c>
      <c r="P18" s="20" t="n">
        <v>0</v>
      </c>
      <c r="Q18" s="18" t="n">
        <v>0.19756289</v>
      </c>
      <c r="R18" s="20" t="n">
        <v>0.1955862</v>
      </c>
      <c r="S18" s="18" t="n">
        <v>0</v>
      </c>
      <c r="T18" s="20" t="n">
        <v>0</v>
      </c>
      <c r="U18" s="18" t="n">
        <v>0</v>
      </c>
      <c r="V18" s="20" t="n">
        <v>0</v>
      </c>
      <c r="W18" s="18" t="n">
        <v>13.60944264</v>
      </c>
      <c r="X18" s="20" t="n">
        <v>1.60642669</v>
      </c>
    </row>
    <row r="19" spans="1:24">
      <c r="A19" s="15" t="s">
        <v>577</v>
      </c>
      <c r="B19" s="17" t="n">
        <v>5658</v>
      </c>
      <c r="C19" s="18">
        <f>(5017.0/B19*100)</f>
        <v/>
      </c>
      <c r="D19" s="19" t="n">
        <v>641</v>
      </c>
      <c r="E19" s="18" t="n">
        <v>20.52855267</v>
      </c>
      <c r="F19" s="20" t="n">
        <v>1.69833029</v>
      </c>
      <c r="G19" s="18" t="n">
        <v>2.04909523</v>
      </c>
      <c r="H19" s="20" t="n">
        <v>0.53278774</v>
      </c>
      <c r="I19" s="18" t="n">
        <v>14.14725075</v>
      </c>
      <c r="J19" s="20" t="n">
        <v>1.491094</v>
      </c>
      <c r="K19" s="18" t="n">
        <v>8.76927643</v>
      </c>
      <c r="L19" s="20" t="n">
        <v>1.22333978</v>
      </c>
      <c r="M19" s="18" t="n">
        <v>33.84474267</v>
      </c>
      <c r="N19" s="20" t="n">
        <v>1.65898938</v>
      </c>
      <c r="O19" s="18" t="n">
        <v>0</v>
      </c>
      <c r="P19" s="20" t="n">
        <v>0</v>
      </c>
      <c r="Q19" s="18" t="n">
        <v>0</v>
      </c>
      <c r="R19" s="20" t="n">
        <v>0</v>
      </c>
      <c r="S19" s="18" t="n">
        <v>0.14568002</v>
      </c>
      <c r="T19" s="20" t="n">
        <v>0.14604829</v>
      </c>
      <c r="U19" s="18" t="n">
        <v>0</v>
      </c>
      <c r="V19" s="20" t="n">
        <v>0</v>
      </c>
      <c r="W19" s="18" t="n">
        <v>20.51540224</v>
      </c>
      <c r="X19" s="20" t="n">
        <v>1.51806779</v>
      </c>
    </row>
    <row r="20" spans="1:24">
      <c r="A20" s="15" t="s">
        <v>578</v>
      </c>
      <c r="B20" s="17" t="n">
        <v>3371</v>
      </c>
      <c r="C20" s="18">
        <f>(3024.0/B20*100)</f>
        <v/>
      </c>
      <c r="D20" s="19" t="n">
        <v>347</v>
      </c>
      <c r="E20" s="18" t="n">
        <v>30.3545447</v>
      </c>
      <c r="F20" s="20" t="n">
        <v>2.35194575</v>
      </c>
      <c r="G20" s="18" t="n">
        <v>10.20996414</v>
      </c>
      <c r="H20" s="20" t="n">
        <v>1.72411618</v>
      </c>
      <c r="I20" s="18" t="n">
        <v>15.2470333</v>
      </c>
      <c r="J20" s="20" t="n">
        <v>1.89145126</v>
      </c>
      <c r="K20" s="18" t="n">
        <v>22.4254626</v>
      </c>
      <c r="L20" s="20" t="n">
        <v>2.58653631</v>
      </c>
      <c r="M20" s="18" t="n">
        <v>10.60342654</v>
      </c>
      <c r="N20" s="20" t="n">
        <v>1.52745003</v>
      </c>
      <c r="O20" s="18" t="n">
        <v>0</v>
      </c>
      <c r="P20" s="20" t="n">
        <v>0</v>
      </c>
      <c r="Q20" s="18" t="n">
        <v>0.24348524</v>
      </c>
      <c r="R20" s="20" t="n">
        <v>0.24483981</v>
      </c>
      <c r="S20" s="18" t="n">
        <v>0.44055001</v>
      </c>
      <c r="T20" s="20" t="n">
        <v>0.43371279</v>
      </c>
      <c r="U20" s="18" t="n">
        <v>0</v>
      </c>
      <c r="V20" s="20" t="n">
        <v>0</v>
      </c>
      <c r="W20" s="18" t="n">
        <v>10.47553348</v>
      </c>
      <c r="X20" s="20" t="n">
        <v>1.96624706</v>
      </c>
    </row>
    <row r="21" spans="1:24">
      <c r="A21" s="15" t="s">
        <v>579</v>
      </c>
      <c r="B21" s="17" t="n">
        <v>5741</v>
      </c>
      <c r="C21" s="18">
        <f>(5081.0/B21*100)</f>
        <v/>
      </c>
      <c r="D21" s="19" t="n">
        <v>660</v>
      </c>
      <c r="E21" s="18" t="n">
        <v>19.13230414</v>
      </c>
      <c r="F21" s="20" t="n">
        <v>1.55670588</v>
      </c>
      <c r="G21" s="18" t="n">
        <v>21.24490731</v>
      </c>
      <c r="H21" s="20" t="n">
        <v>1.42794634</v>
      </c>
      <c r="I21" s="18" t="n">
        <v>14.09282561</v>
      </c>
      <c r="J21" s="20" t="n">
        <v>1.28978342</v>
      </c>
      <c r="K21" s="18" t="n">
        <v>25.35204026</v>
      </c>
      <c r="L21" s="20" t="n">
        <v>1.88414258</v>
      </c>
      <c r="M21" s="18" t="n">
        <v>14.47250072</v>
      </c>
      <c r="N21" s="20" t="n">
        <v>1.26751974</v>
      </c>
      <c r="O21" s="18" t="n">
        <v>0</v>
      </c>
      <c r="P21" s="20" t="n">
        <v>0</v>
      </c>
      <c r="Q21" s="18" t="n">
        <v>0</v>
      </c>
      <c r="R21" s="20" t="n">
        <v>0</v>
      </c>
      <c r="S21" s="18" t="n">
        <v>0</v>
      </c>
      <c r="T21" s="20" t="n">
        <v>0</v>
      </c>
      <c r="U21" s="18" t="n">
        <v>0</v>
      </c>
      <c r="V21" s="20" t="n">
        <v>0</v>
      </c>
      <c r="W21" s="18" t="n">
        <v>5.70542195</v>
      </c>
      <c r="X21" s="20" t="n">
        <v>1.03468583</v>
      </c>
    </row>
    <row r="22" spans="1:24">
      <c r="A22" s="15" t="s">
        <v>580</v>
      </c>
      <c r="B22" s="17" t="n">
        <v>6598</v>
      </c>
      <c r="C22" s="18">
        <f>(5933.0/B22*100)</f>
        <v/>
      </c>
      <c r="D22" s="19" t="n">
        <v>665</v>
      </c>
      <c r="E22" s="18" t="n">
        <v>4.84838799</v>
      </c>
      <c r="F22" s="20" t="n">
        <v>0.77031198</v>
      </c>
      <c r="G22" s="18" t="n">
        <v>5.62551194</v>
      </c>
      <c r="H22" s="20" t="n">
        <v>0.88789837</v>
      </c>
      <c r="I22" s="18" t="n">
        <v>14.19150067</v>
      </c>
      <c r="J22" s="20" t="n">
        <v>1.35568406</v>
      </c>
      <c r="K22" s="18" t="n">
        <v>46.91844841</v>
      </c>
      <c r="L22" s="20" t="n">
        <v>2.03199735</v>
      </c>
      <c r="M22" s="18" t="n">
        <v>15.94071152</v>
      </c>
      <c r="N22" s="20" t="n">
        <v>1.60635526</v>
      </c>
      <c r="O22" s="18" t="n">
        <v>0</v>
      </c>
      <c r="P22" s="20" t="n">
        <v>0</v>
      </c>
      <c r="Q22" s="18" t="n">
        <v>0.45347517</v>
      </c>
      <c r="R22" s="20" t="n">
        <v>0.23074922</v>
      </c>
      <c r="S22" s="18" t="n">
        <v>0</v>
      </c>
      <c r="T22" s="20" t="n">
        <v>0</v>
      </c>
      <c r="U22" s="18" t="n">
        <v>0</v>
      </c>
      <c r="V22" s="20" t="n">
        <v>0</v>
      </c>
      <c r="W22" s="18" t="n">
        <v>12.0219643</v>
      </c>
      <c r="X22" s="20" t="n">
        <v>1.46546302</v>
      </c>
    </row>
    <row r="23" spans="1:24">
      <c r="A23" s="15" t="s">
        <v>581</v>
      </c>
      <c r="B23" s="17" t="n">
        <v>11583</v>
      </c>
      <c r="C23" s="18">
        <f>(10272.0/B23*100)</f>
        <v/>
      </c>
      <c r="D23" s="19" t="n">
        <v>1311</v>
      </c>
      <c r="E23" s="18" t="n">
        <v>5.25830208</v>
      </c>
      <c r="F23" s="20" t="n">
        <v>0.84607164</v>
      </c>
      <c r="G23" s="18" t="n">
        <v>9.12010368</v>
      </c>
      <c r="H23" s="20" t="n">
        <v>1.1781137</v>
      </c>
      <c r="I23" s="18" t="n">
        <v>18.53158341</v>
      </c>
      <c r="J23" s="20" t="n">
        <v>1.3024529</v>
      </c>
      <c r="K23" s="18" t="n">
        <v>39.74259616</v>
      </c>
      <c r="L23" s="20" t="n">
        <v>1.99483364</v>
      </c>
      <c r="M23" s="18" t="n">
        <v>15.21252545</v>
      </c>
      <c r="N23" s="20" t="n">
        <v>1.48293834</v>
      </c>
      <c r="O23" s="18" t="n">
        <v>0</v>
      </c>
      <c r="P23" s="20" t="n">
        <v>0</v>
      </c>
      <c r="Q23" s="18" t="n">
        <v>0.45015171</v>
      </c>
      <c r="R23" s="20" t="n">
        <v>0.36327821</v>
      </c>
      <c r="S23" s="18" t="n">
        <v>0.00564573</v>
      </c>
      <c r="T23" s="20" t="n">
        <v>0.00563954</v>
      </c>
      <c r="U23" s="18" t="n">
        <v>0</v>
      </c>
      <c r="V23" s="20" t="n">
        <v>0</v>
      </c>
      <c r="W23" s="18" t="n">
        <v>11.67909177</v>
      </c>
      <c r="X23" s="20" t="n">
        <v>1.50850354</v>
      </c>
    </row>
    <row r="24" spans="1:24">
      <c r="A24" s="15" t="s">
        <v>582</v>
      </c>
      <c r="B24" s="17" t="n">
        <v>6647</v>
      </c>
      <c r="C24" s="18">
        <f>(5902.0/B24*100)</f>
        <v/>
      </c>
      <c r="D24" s="19" t="n">
        <v>745</v>
      </c>
      <c r="E24" s="18" t="n">
        <v>7.66810562</v>
      </c>
      <c r="F24" s="20" t="n">
        <v>1.00963435</v>
      </c>
      <c r="G24" s="18" t="n">
        <v>4.66482855</v>
      </c>
      <c r="H24" s="20" t="n">
        <v>0.86030092</v>
      </c>
      <c r="I24" s="18" t="n">
        <v>8.095478679999999</v>
      </c>
      <c r="J24" s="20" t="n">
        <v>1.00708545</v>
      </c>
      <c r="K24" s="18" t="n">
        <v>51.71875207</v>
      </c>
      <c r="L24" s="20" t="n">
        <v>2.16843099</v>
      </c>
      <c r="M24" s="18" t="n">
        <v>14.62361974</v>
      </c>
      <c r="N24" s="20" t="n">
        <v>1.43283335</v>
      </c>
      <c r="O24" s="18" t="n">
        <v>0</v>
      </c>
      <c r="P24" s="20" t="n">
        <v>0</v>
      </c>
      <c r="Q24" s="18" t="n">
        <v>0.11872259</v>
      </c>
      <c r="R24" s="20" t="n">
        <v>0.11878304</v>
      </c>
      <c r="S24" s="18" t="n">
        <v>0</v>
      </c>
      <c r="T24" s="20" t="n">
        <v>0</v>
      </c>
      <c r="U24" s="18" t="n">
        <v>0</v>
      </c>
      <c r="V24" s="20" t="n">
        <v>0</v>
      </c>
      <c r="W24" s="18" t="n">
        <v>13.11049275</v>
      </c>
      <c r="X24" s="20" t="n">
        <v>1.5014149</v>
      </c>
    </row>
    <row r="25" spans="1:24">
      <c r="A25" s="15" t="s">
        <v>583</v>
      </c>
      <c r="B25" s="17" t="n">
        <v>5581</v>
      </c>
      <c r="C25" s="18">
        <f>(4958.0/B25*100)</f>
        <v/>
      </c>
      <c r="D25" s="19" t="n">
        <v>623</v>
      </c>
      <c r="E25" s="18" t="n">
        <v>12.09763558</v>
      </c>
      <c r="F25" s="20" t="n">
        <v>1.23199822</v>
      </c>
      <c r="G25" s="18" t="n">
        <v>10.22617922</v>
      </c>
      <c r="H25" s="20" t="n">
        <v>1.19666321</v>
      </c>
      <c r="I25" s="18" t="n">
        <v>4.97244847</v>
      </c>
      <c r="J25" s="20" t="n">
        <v>0.96281759</v>
      </c>
      <c r="K25" s="18" t="n">
        <v>62.22147218</v>
      </c>
      <c r="L25" s="20" t="n">
        <v>2.13155324</v>
      </c>
      <c r="M25" s="18" t="n">
        <v>3.93699756</v>
      </c>
      <c r="N25" s="20" t="n">
        <v>0.83003193</v>
      </c>
      <c r="O25" s="18" t="n">
        <v>0</v>
      </c>
      <c r="P25" s="20" t="n">
        <v>0</v>
      </c>
      <c r="Q25" s="18" t="n">
        <v>1.10461437</v>
      </c>
      <c r="R25" s="20" t="n">
        <v>0.44016526</v>
      </c>
      <c r="S25" s="18" t="n">
        <v>0</v>
      </c>
      <c r="T25" s="20" t="n">
        <v>0</v>
      </c>
      <c r="U25" s="18" t="n">
        <v>0</v>
      </c>
      <c r="V25" s="20" t="n">
        <v>0</v>
      </c>
      <c r="W25" s="18" t="n">
        <v>5.44065262</v>
      </c>
      <c r="X25" s="20" t="n">
        <v>0.97737761</v>
      </c>
    </row>
    <row r="26" spans="1:24">
      <c r="A26" s="15" t="s">
        <v>584</v>
      </c>
      <c r="B26" s="17" t="n">
        <v>4869</v>
      </c>
      <c r="C26" s="18">
        <f>(4335.0/B26*100)</f>
        <v/>
      </c>
      <c r="D26" s="19" t="n">
        <v>534</v>
      </c>
      <c r="E26" s="18" t="n">
        <v>10.09183928</v>
      </c>
      <c r="F26" s="20" t="n">
        <v>1.40030527</v>
      </c>
      <c r="G26" s="18" t="n">
        <v>6.59124067</v>
      </c>
      <c r="H26" s="20" t="n">
        <v>1.12860997</v>
      </c>
      <c r="I26" s="18" t="n">
        <v>23.45781032</v>
      </c>
      <c r="J26" s="20" t="n">
        <v>1.9944821</v>
      </c>
      <c r="K26" s="18" t="n">
        <v>32.68690122</v>
      </c>
      <c r="L26" s="20" t="n">
        <v>2.07784583</v>
      </c>
      <c r="M26" s="18" t="n">
        <v>18.81284362</v>
      </c>
      <c r="N26" s="20" t="n">
        <v>1.8316504</v>
      </c>
      <c r="O26" s="18" t="n">
        <v>0</v>
      </c>
      <c r="P26" s="20" t="n">
        <v>0</v>
      </c>
      <c r="Q26" s="18" t="n">
        <v>0</v>
      </c>
      <c r="R26" s="20" t="n">
        <v>0</v>
      </c>
      <c r="S26" s="18" t="n">
        <v>0</v>
      </c>
      <c r="T26" s="20" t="n">
        <v>0</v>
      </c>
      <c r="U26" s="18" t="n">
        <v>0</v>
      </c>
      <c r="V26" s="20" t="n">
        <v>0</v>
      </c>
      <c r="W26" s="18" t="n">
        <v>8.35936489</v>
      </c>
      <c r="X26" s="20" t="n">
        <v>1.2648522</v>
      </c>
    </row>
    <row r="27" spans="1:24">
      <c r="A27" s="15" t="s">
        <v>585</v>
      </c>
      <c r="B27" s="17" t="n">
        <v>5299</v>
      </c>
      <c r="C27" s="18">
        <f>(4716.0/B27*100)</f>
        <v/>
      </c>
      <c r="D27" s="19" t="n">
        <v>583</v>
      </c>
      <c r="E27" s="18" t="n">
        <v>11.04649852</v>
      </c>
      <c r="F27" s="20" t="n">
        <v>1.36497546</v>
      </c>
      <c r="G27" s="18" t="n">
        <v>9.125242399999999</v>
      </c>
      <c r="H27" s="20" t="n">
        <v>1.14251314</v>
      </c>
      <c r="I27" s="18" t="n">
        <v>22.18607902</v>
      </c>
      <c r="J27" s="20" t="n">
        <v>1.50478186</v>
      </c>
      <c r="K27" s="18" t="n">
        <v>31.56043827</v>
      </c>
      <c r="L27" s="20" t="n">
        <v>1.82272691</v>
      </c>
      <c r="M27" s="18" t="n">
        <v>11.89539915</v>
      </c>
      <c r="N27" s="20" t="n">
        <v>1.40591466</v>
      </c>
      <c r="O27" s="18" t="n">
        <v>0</v>
      </c>
      <c r="P27" s="20" t="n">
        <v>0</v>
      </c>
      <c r="Q27" s="18" t="n">
        <v>0</v>
      </c>
      <c r="R27" s="20" t="n">
        <v>0</v>
      </c>
      <c r="S27" s="18" t="n">
        <v>0</v>
      </c>
      <c r="T27" s="20" t="n">
        <v>0</v>
      </c>
      <c r="U27" s="18" t="n">
        <v>0</v>
      </c>
      <c r="V27" s="20" t="n">
        <v>0</v>
      </c>
      <c r="W27" s="18" t="n">
        <v>14.18634264</v>
      </c>
      <c r="X27" s="20" t="n">
        <v>1.39807912</v>
      </c>
    </row>
    <row r="28" spans="1:24">
      <c r="A28" s="15" t="s">
        <v>586</v>
      </c>
      <c r="B28" s="17" t="n">
        <v>7568</v>
      </c>
      <c r="C28" s="18">
        <f>(6747.0/B28*100)</f>
        <v/>
      </c>
      <c r="D28" s="19" t="n">
        <v>821</v>
      </c>
      <c r="E28" s="18" t="n">
        <v>18.87221719</v>
      </c>
      <c r="F28" s="20" t="n">
        <v>1.48949715</v>
      </c>
      <c r="G28" s="18" t="n">
        <v>17.59125861</v>
      </c>
      <c r="H28" s="20" t="n">
        <v>1.29091644</v>
      </c>
      <c r="I28" s="18" t="n">
        <v>48.23467814</v>
      </c>
      <c r="J28" s="20" t="n">
        <v>1.85286446</v>
      </c>
      <c r="K28" s="18" t="n">
        <v>6.64856961</v>
      </c>
      <c r="L28" s="20" t="n">
        <v>0.98151795</v>
      </c>
      <c r="M28" s="18" t="n">
        <v>5.3645536</v>
      </c>
      <c r="N28" s="20" t="n">
        <v>0.8442407199999999</v>
      </c>
      <c r="O28" s="18" t="n">
        <v>0</v>
      </c>
      <c r="P28" s="20" t="n">
        <v>0</v>
      </c>
      <c r="Q28" s="18" t="n">
        <v>0.6223808199999999</v>
      </c>
      <c r="R28" s="20" t="n">
        <v>0.29667931</v>
      </c>
      <c r="S28" s="18" t="n">
        <v>0.10889167</v>
      </c>
      <c r="T28" s="20" t="n">
        <v>0.11298762</v>
      </c>
      <c r="U28" s="18" t="n">
        <v>0</v>
      </c>
      <c r="V28" s="20" t="n">
        <v>0</v>
      </c>
      <c r="W28" s="18" t="n">
        <v>2.55745036</v>
      </c>
      <c r="X28" s="20" t="n">
        <v>0.71429778</v>
      </c>
    </row>
    <row r="29" spans="1:24">
      <c r="A29" s="15" t="s">
        <v>587</v>
      </c>
      <c r="B29" s="17" t="n">
        <v>5385</v>
      </c>
      <c r="C29" s="18">
        <f>(4782.0/B29*100)</f>
        <v/>
      </c>
      <c r="D29" s="19" t="n">
        <v>603</v>
      </c>
      <c r="E29" s="18" t="n">
        <v>13.01150925</v>
      </c>
      <c r="F29" s="20" t="n">
        <v>1.49581113</v>
      </c>
      <c r="G29" s="18" t="n">
        <v>8.527867629999999</v>
      </c>
      <c r="H29" s="20" t="n">
        <v>1.17994678</v>
      </c>
      <c r="I29" s="18" t="n">
        <v>23.59728624</v>
      </c>
      <c r="J29" s="20" t="n">
        <v>1.73079217</v>
      </c>
      <c r="K29" s="18" t="n">
        <v>28.67497446</v>
      </c>
      <c r="L29" s="20" t="n">
        <v>1.87914816</v>
      </c>
      <c r="M29" s="18" t="n">
        <v>21.34488808</v>
      </c>
      <c r="N29" s="20" t="n">
        <v>1.94353082</v>
      </c>
      <c r="O29" s="18" t="n">
        <v>0</v>
      </c>
      <c r="P29" s="20" t="n">
        <v>0</v>
      </c>
      <c r="Q29" s="18" t="n">
        <v>0.40420148</v>
      </c>
      <c r="R29" s="20" t="n">
        <v>0.24121892</v>
      </c>
      <c r="S29" s="18" t="n">
        <v>0</v>
      </c>
      <c r="T29" s="20" t="n">
        <v>0</v>
      </c>
      <c r="U29" s="18" t="n">
        <v>0</v>
      </c>
      <c r="V29" s="20" t="n">
        <v>0</v>
      </c>
      <c r="W29" s="18" t="n">
        <v>4.43927285</v>
      </c>
      <c r="X29" s="20" t="n">
        <v>0.89278165</v>
      </c>
    </row>
    <row r="30" spans="1:24">
      <c r="A30" s="15" t="s">
        <v>588</v>
      </c>
      <c r="B30" s="17" t="n">
        <v>4520</v>
      </c>
      <c r="C30" s="18">
        <f>(4023.0/B30*100)</f>
        <v/>
      </c>
      <c r="D30" s="19" t="n">
        <v>497</v>
      </c>
      <c r="E30" s="18" t="n">
        <v>10.34671213</v>
      </c>
      <c r="F30" s="20" t="n">
        <v>1.4980784</v>
      </c>
      <c r="G30" s="18" t="n">
        <v>10.5589748</v>
      </c>
      <c r="H30" s="20" t="n">
        <v>1.45448496</v>
      </c>
      <c r="I30" s="18" t="n">
        <v>14.58994893</v>
      </c>
      <c r="J30" s="20" t="n">
        <v>1.54358443</v>
      </c>
      <c r="K30" s="18" t="n">
        <v>35.44923756</v>
      </c>
      <c r="L30" s="20" t="n">
        <v>2.59064791</v>
      </c>
      <c r="M30" s="18" t="n">
        <v>19.54986467</v>
      </c>
      <c r="N30" s="20" t="n">
        <v>1.87313449</v>
      </c>
      <c r="O30" s="18" t="n">
        <v>0</v>
      </c>
      <c r="P30" s="20" t="n">
        <v>0</v>
      </c>
      <c r="Q30" s="18" t="n">
        <v>0.48735947</v>
      </c>
      <c r="R30" s="20" t="n">
        <v>0.31772738</v>
      </c>
      <c r="S30" s="18" t="n">
        <v>0</v>
      </c>
      <c r="T30" s="20" t="n">
        <v>0</v>
      </c>
      <c r="U30" s="18" t="n">
        <v>0</v>
      </c>
      <c r="V30" s="20" t="n">
        <v>0</v>
      </c>
      <c r="W30" s="18" t="n">
        <v>9.01790244</v>
      </c>
      <c r="X30" s="20" t="n">
        <v>1.18657447</v>
      </c>
    </row>
    <row r="31" spans="1:24">
      <c r="A31" s="15" t="s">
        <v>589</v>
      </c>
      <c r="B31" s="17" t="n">
        <v>5456</v>
      </c>
      <c r="C31" s="18">
        <f>(4862.0/B31*100)</f>
        <v/>
      </c>
      <c r="D31" s="19" t="n">
        <v>594</v>
      </c>
      <c r="E31" s="18" t="n">
        <v>15.29005973</v>
      </c>
      <c r="F31" s="20" t="n">
        <v>1.35590901</v>
      </c>
      <c r="G31" s="18" t="n">
        <v>8.53126709</v>
      </c>
      <c r="H31" s="20" t="n">
        <v>1.29109678</v>
      </c>
      <c r="I31" s="18" t="n">
        <v>14.00438471</v>
      </c>
      <c r="J31" s="20" t="n">
        <v>1.30966261</v>
      </c>
      <c r="K31" s="18" t="n">
        <v>30.4548772</v>
      </c>
      <c r="L31" s="20" t="n">
        <v>1.84213109</v>
      </c>
      <c r="M31" s="18" t="n">
        <v>19.14263464</v>
      </c>
      <c r="N31" s="20" t="n">
        <v>1.52492765</v>
      </c>
      <c r="O31" s="18" t="n">
        <v>0</v>
      </c>
      <c r="P31" s="20" t="n">
        <v>0</v>
      </c>
      <c r="Q31" s="18" t="n">
        <v>0.50073874</v>
      </c>
      <c r="R31" s="20" t="n">
        <v>0.2839724</v>
      </c>
      <c r="S31" s="18" t="n">
        <v>0.14333505</v>
      </c>
      <c r="T31" s="20" t="n">
        <v>0.16912347</v>
      </c>
      <c r="U31" s="18" t="n">
        <v>0</v>
      </c>
      <c r="V31" s="20" t="n">
        <v>0</v>
      </c>
      <c r="W31" s="18" t="n">
        <v>11.93270284</v>
      </c>
      <c r="X31" s="20" t="n">
        <v>1.50522857</v>
      </c>
    </row>
    <row r="32" spans="1:24">
      <c r="A32" s="15" t="s">
        <v>590</v>
      </c>
      <c r="B32" s="17" t="n">
        <v>4478</v>
      </c>
      <c r="C32" s="18">
        <f>(3990.0/B32*100)</f>
        <v/>
      </c>
      <c r="D32" s="19" t="n">
        <v>488</v>
      </c>
      <c r="E32" s="18" t="n">
        <v>4.41159668</v>
      </c>
      <c r="F32" s="20" t="n">
        <v>0.935147</v>
      </c>
      <c r="G32" s="18" t="n">
        <v>10.46749644</v>
      </c>
      <c r="H32" s="20" t="n">
        <v>1.46335926</v>
      </c>
      <c r="I32" s="18" t="n">
        <v>14.13168133</v>
      </c>
      <c r="J32" s="20" t="n">
        <v>1.59103383</v>
      </c>
      <c r="K32" s="18" t="n">
        <v>54.22425131</v>
      </c>
      <c r="L32" s="20" t="n">
        <v>2.09943194</v>
      </c>
      <c r="M32" s="18" t="n">
        <v>8.70500309</v>
      </c>
      <c r="N32" s="20" t="n">
        <v>1.48057077</v>
      </c>
      <c r="O32" s="18" t="n">
        <v>0</v>
      </c>
      <c r="P32" s="20" t="n">
        <v>0</v>
      </c>
      <c r="Q32" s="18" t="n">
        <v>0</v>
      </c>
      <c r="R32" s="20" t="n">
        <v>0</v>
      </c>
      <c r="S32" s="18" t="n">
        <v>0</v>
      </c>
      <c r="T32" s="20" t="n">
        <v>0</v>
      </c>
      <c r="U32" s="18" t="n">
        <v>0</v>
      </c>
      <c r="V32" s="20" t="n">
        <v>0</v>
      </c>
      <c r="W32" s="18" t="n">
        <v>8.059971150000001</v>
      </c>
      <c r="X32" s="20" t="n">
        <v>1.32874717</v>
      </c>
    </row>
    <row r="33" spans="1:24">
      <c r="A33" s="15" t="s">
        <v>591</v>
      </c>
      <c r="B33" s="17" t="n">
        <v>7325</v>
      </c>
      <c r="C33" s="18">
        <f>(6521.0/B33*100)</f>
        <v/>
      </c>
      <c r="D33" s="19" t="n">
        <v>804</v>
      </c>
      <c r="E33" s="18" t="n">
        <v>11.77559557</v>
      </c>
      <c r="F33" s="20" t="n">
        <v>1.31611857</v>
      </c>
      <c r="G33" s="18" t="n">
        <v>11.54824051</v>
      </c>
      <c r="H33" s="20" t="n">
        <v>1.29561396</v>
      </c>
      <c r="I33" s="18" t="n">
        <v>20.7148842</v>
      </c>
      <c r="J33" s="20" t="n">
        <v>1.49480264</v>
      </c>
      <c r="K33" s="18" t="n">
        <v>29.26376114</v>
      </c>
      <c r="L33" s="20" t="n">
        <v>2.24394169</v>
      </c>
      <c r="M33" s="18" t="n">
        <v>13.51601661</v>
      </c>
      <c r="N33" s="20" t="n">
        <v>1.364835</v>
      </c>
      <c r="O33" s="18" t="n">
        <v>0</v>
      </c>
      <c r="P33" s="20" t="n">
        <v>0</v>
      </c>
      <c r="Q33" s="18" t="n">
        <v>0.23992069</v>
      </c>
      <c r="R33" s="20" t="n">
        <v>0.285459</v>
      </c>
      <c r="S33" s="18" t="n">
        <v>0.2241851</v>
      </c>
      <c r="T33" s="20" t="n">
        <v>0.24960709</v>
      </c>
      <c r="U33" s="18" t="n">
        <v>0</v>
      </c>
      <c r="V33" s="20" t="n">
        <v>0</v>
      </c>
      <c r="W33" s="18" t="n">
        <v>12.71739618</v>
      </c>
      <c r="X33" s="20" t="n">
        <v>1.54973403</v>
      </c>
    </row>
    <row r="34" spans="1:24">
      <c r="A34" s="15" t="s">
        <v>592</v>
      </c>
      <c r="B34" s="17" t="n">
        <v>6350</v>
      </c>
      <c r="C34" s="18">
        <f>(5678.0/B34*100)</f>
        <v/>
      </c>
      <c r="D34" s="19" t="n">
        <v>672</v>
      </c>
      <c r="E34" s="18" t="n">
        <v>9.39517305</v>
      </c>
      <c r="F34" s="20" t="n">
        <v>1.42038966</v>
      </c>
      <c r="G34" s="18" t="n">
        <v>6.97980805</v>
      </c>
      <c r="H34" s="20" t="n">
        <v>0.96925223</v>
      </c>
      <c r="I34" s="18" t="n">
        <v>24.67118635</v>
      </c>
      <c r="J34" s="20" t="n">
        <v>2.13416452</v>
      </c>
      <c r="K34" s="18" t="n">
        <v>30.58443053</v>
      </c>
      <c r="L34" s="20" t="n">
        <v>2.20317388</v>
      </c>
      <c r="M34" s="18" t="n">
        <v>13.48149126</v>
      </c>
      <c r="N34" s="20" t="n">
        <v>1.44434903</v>
      </c>
      <c r="O34" s="18" t="n">
        <v>0</v>
      </c>
      <c r="P34" s="20" t="n">
        <v>0</v>
      </c>
      <c r="Q34" s="18" t="n">
        <v>0.20514057</v>
      </c>
      <c r="R34" s="20" t="n">
        <v>0.11446707</v>
      </c>
      <c r="S34" s="18" t="n">
        <v>0</v>
      </c>
      <c r="T34" s="20" t="n">
        <v>0</v>
      </c>
      <c r="U34" s="18" t="n">
        <v>0</v>
      </c>
      <c r="V34" s="20" t="n">
        <v>0</v>
      </c>
      <c r="W34" s="18" t="n">
        <v>14.68277019</v>
      </c>
      <c r="X34" s="20" t="n">
        <v>1.42464326</v>
      </c>
    </row>
    <row r="35" spans="1:24">
      <c r="A35" s="15" t="s">
        <v>593</v>
      </c>
      <c r="B35" s="17" t="n">
        <v>6406</v>
      </c>
      <c r="C35" s="18">
        <f>(5685.0/B35*100)</f>
        <v/>
      </c>
      <c r="D35" s="19" t="n">
        <v>721</v>
      </c>
      <c r="E35" s="18" t="n">
        <v>11.10293747</v>
      </c>
      <c r="F35" s="20" t="n">
        <v>1.45567152</v>
      </c>
      <c r="G35" s="18" t="n">
        <v>13.36799483</v>
      </c>
      <c r="H35" s="20" t="n">
        <v>1.82436456</v>
      </c>
      <c r="I35" s="18" t="n">
        <v>13.691109</v>
      </c>
      <c r="J35" s="20" t="n">
        <v>1.47694814</v>
      </c>
      <c r="K35" s="18" t="n">
        <v>40.55483594</v>
      </c>
      <c r="L35" s="20" t="n">
        <v>2.2474517</v>
      </c>
      <c r="M35" s="18" t="n">
        <v>10.95021972</v>
      </c>
      <c r="N35" s="20" t="n">
        <v>1.33929609</v>
      </c>
      <c r="O35" s="18" t="n">
        <v>0</v>
      </c>
      <c r="P35" s="20" t="n">
        <v>0</v>
      </c>
      <c r="Q35" s="18" t="n">
        <v>0</v>
      </c>
      <c r="R35" s="20" t="n">
        <v>0</v>
      </c>
      <c r="S35" s="18" t="n">
        <v>0.23432443</v>
      </c>
      <c r="T35" s="20" t="n">
        <v>0.2356566</v>
      </c>
      <c r="U35" s="18" t="n">
        <v>0</v>
      </c>
      <c r="V35" s="20" t="n">
        <v>0</v>
      </c>
      <c r="W35" s="18" t="n">
        <v>10.09857861</v>
      </c>
      <c r="X35" s="20" t="n">
        <v>1.36002401</v>
      </c>
    </row>
    <row r="36" spans="1:24">
      <c r="A36" s="15" t="s">
        <v>594</v>
      </c>
      <c r="B36" s="17" t="n">
        <v>6736</v>
      </c>
      <c r="C36" s="18">
        <f>(5990.0/B36*100)</f>
        <v/>
      </c>
      <c r="D36" s="19" t="n">
        <v>746</v>
      </c>
      <c r="E36" s="18" t="n">
        <v>10.61419027</v>
      </c>
      <c r="F36" s="20" t="n">
        <v>1.33777381</v>
      </c>
      <c r="G36" s="18" t="n">
        <v>16.32119782</v>
      </c>
      <c r="H36" s="20" t="n">
        <v>1.40259635</v>
      </c>
      <c r="I36" s="18" t="n">
        <v>24.24625698</v>
      </c>
      <c r="J36" s="20" t="n">
        <v>1.64888806</v>
      </c>
      <c r="K36" s="18" t="n">
        <v>27.87556208</v>
      </c>
      <c r="L36" s="20" t="n">
        <v>1.76876404</v>
      </c>
      <c r="M36" s="18" t="n">
        <v>11.60779703</v>
      </c>
      <c r="N36" s="20" t="n">
        <v>1.21555902</v>
      </c>
      <c r="O36" s="18" t="n">
        <v>0</v>
      </c>
      <c r="P36" s="20" t="n">
        <v>0</v>
      </c>
      <c r="Q36" s="18" t="n">
        <v>0.30863896</v>
      </c>
      <c r="R36" s="20" t="n">
        <v>0.18956336</v>
      </c>
      <c r="S36" s="18" t="n">
        <v>0</v>
      </c>
      <c r="T36" s="20" t="n">
        <v>0</v>
      </c>
      <c r="U36" s="18" t="n">
        <v>0</v>
      </c>
      <c r="V36" s="20" t="n">
        <v>0</v>
      </c>
      <c r="W36" s="18" t="n">
        <v>9.026356850000001</v>
      </c>
      <c r="X36" s="20" t="n">
        <v>1.03889115</v>
      </c>
    </row>
    <row r="37" spans="1:24">
      <c r="A37" s="15" t="s">
        <v>595</v>
      </c>
      <c r="B37" s="17" t="n">
        <v>5458</v>
      </c>
      <c r="C37" s="18">
        <f>(4869.0/B37*100)</f>
        <v/>
      </c>
      <c r="D37" s="19" t="n">
        <v>589</v>
      </c>
      <c r="E37" s="18" t="n">
        <v>10.52148235</v>
      </c>
      <c r="F37" s="20" t="n">
        <v>1.31788443</v>
      </c>
      <c r="G37" s="18" t="n">
        <v>7.77996869</v>
      </c>
      <c r="H37" s="20" t="n">
        <v>1.1383003</v>
      </c>
      <c r="I37" s="18" t="n">
        <v>14.17186694</v>
      </c>
      <c r="J37" s="20" t="n">
        <v>1.54097335</v>
      </c>
      <c r="K37" s="18" t="n">
        <v>36.54013509</v>
      </c>
      <c r="L37" s="20" t="n">
        <v>2.11975324</v>
      </c>
      <c r="M37" s="18" t="n">
        <v>15.67127988</v>
      </c>
      <c r="N37" s="20" t="n">
        <v>1.69210925</v>
      </c>
      <c r="O37" s="18" t="n">
        <v>0</v>
      </c>
      <c r="P37" s="20" t="n">
        <v>0</v>
      </c>
      <c r="Q37" s="18" t="n">
        <v>0.14993705</v>
      </c>
      <c r="R37" s="20" t="n">
        <v>0.15110734</v>
      </c>
      <c r="S37" s="18" t="n">
        <v>0</v>
      </c>
      <c r="T37" s="20" t="n">
        <v>0</v>
      </c>
      <c r="U37" s="18" t="n">
        <v>0</v>
      </c>
      <c r="V37" s="20" t="n">
        <v>0</v>
      </c>
      <c r="W37" s="18" t="n">
        <v>15.16533</v>
      </c>
      <c r="X37" s="20" t="n">
        <v>1.38876311</v>
      </c>
    </row>
    <row r="38" spans="1:24">
      <c r="A38" s="15" t="s">
        <v>596</v>
      </c>
      <c r="B38" s="17" t="n">
        <v>5860</v>
      </c>
      <c r="C38" s="18">
        <f>(5217.0/B38*100)</f>
        <v/>
      </c>
      <c r="D38" s="19" t="n">
        <v>643</v>
      </c>
      <c r="E38" s="18" t="n">
        <v>8.71285905</v>
      </c>
      <c r="F38" s="20" t="n">
        <v>1.16036799</v>
      </c>
      <c r="G38" s="18" t="n">
        <v>4.80119056</v>
      </c>
      <c r="H38" s="20" t="n">
        <v>1.0669441</v>
      </c>
      <c r="I38" s="18" t="n">
        <v>16.11530968</v>
      </c>
      <c r="J38" s="20" t="n">
        <v>1.91206393</v>
      </c>
      <c r="K38" s="18" t="n">
        <v>41.06530448</v>
      </c>
      <c r="L38" s="20" t="n">
        <v>2.26781612</v>
      </c>
      <c r="M38" s="18" t="n">
        <v>13.12818521</v>
      </c>
      <c r="N38" s="20" t="n">
        <v>1.46538496</v>
      </c>
      <c r="O38" s="18" t="n">
        <v>0</v>
      </c>
      <c r="P38" s="20" t="n">
        <v>0</v>
      </c>
      <c r="Q38" s="18" t="n">
        <v>0.12895498</v>
      </c>
      <c r="R38" s="20" t="n">
        <v>0.1290946</v>
      </c>
      <c r="S38" s="18" t="n">
        <v>4.49635875</v>
      </c>
      <c r="T38" s="20" t="n">
        <v>0.90693661</v>
      </c>
      <c r="U38" s="18" t="n">
        <v>0</v>
      </c>
      <c r="V38" s="20" t="n">
        <v>0</v>
      </c>
      <c r="W38" s="18" t="n">
        <v>11.55183731</v>
      </c>
      <c r="X38" s="20" t="n">
        <v>1.49411448</v>
      </c>
    </row>
    <row r="39" spans="1:24">
      <c r="A39" s="15" t="s">
        <v>597</v>
      </c>
      <c r="B39" s="17" t="n">
        <v>5895</v>
      </c>
      <c r="C39" s="18">
        <f>(5252.0/B39*100)</f>
        <v/>
      </c>
      <c r="D39" s="19" t="n">
        <v>643</v>
      </c>
      <c r="E39" s="18" t="n">
        <v>16.31721614</v>
      </c>
      <c r="F39" s="20" t="n">
        <v>1.40307707</v>
      </c>
      <c r="G39" s="18" t="n">
        <v>11.94559189</v>
      </c>
      <c r="H39" s="20" t="n">
        <v>1.39716767</v>
      </c>
      <c r="I39" s="18" t="n">
        <v>40.77762269</v>
      </c>
      <c r="J39" s="20" t="n">
        <v>2.2298381</v>
      </c>
      <c r="K39" s="18" t="n">
        <v>8.05994218</v>
      </c>
      <c r="L39" s="20" t="n">
        <v>1.19691724</v>
      </c>
      <c r="M39" s="18" t="n">
        <v>11.10987014</v>
      </c>
      <c r="N39" s="20" t="n">
        <v>1.27355311</v>
      </c>
      <c r="O39" s="18" t="n">
        <v>0</v>
      </c>
      <c r="P39" s="20" t="n">
        <v>0</v>
      </c>
      <c r="Q39" s="18" t="n">
        <v>0</v>
      </c>
      <c r="R39" s="20" t="n">
        <v>0</v>
      </c>
      <c r="S39" s="18" t="n">
        <v>0</v>
      </c>
      <c r="T39" s="20" t="n">
        <v>0</v>
      </c>
      <c r="U39" s="18" t="n">
        <v>0</v>
      </c>
      <c r="V39" s="20" t="n">
        <v>0</v>
      </c>
      <c r="W39" s="18" t="n">
        <v>11.78975695</v>
      </c>
      <c r="X39" s="20" t="n">
        <v>1.13961519</v>
      </c>
    </row>
    <row r="40" spans="1:24">
      <c r="A40" s="15" t="s">
        <v>598</v>
      </c>
      <c r="B40" s="17" t="n">
        <v>14157</v>
      </c>
      <c r="C40" s="18">
        <f>(12609.0/B40*100)</f>
        <v/>
      </c>
      <c r="D40" s="19" t="n">
        <v>1548</v>
      </c>
      <c r="E40" s="18" t="n">
        <v>5.12841381</v>
      </c>
      <c r="F40" s="20" t="n">
        <v>0.90042202</v>
      </c>
      <c r="G40" s="18" t="n">
        <v>15.00005135</v>
      </c>
      <c r="H40" s="20" t="n">
        <v>1.13654954</v>
      </c>
      <c r="I40" s="18" t="n">
        <v>21.05954599</v>
      </c>
      <c r="J40" s="20" t="n">
        <v>1.66481056</v>
      </c>
      <c r="K40" s="18" t="n">
        <v>33.80937924</v>
      </c>
      <c r="L40" s="20" t="n">
        <v>1.70419927</v>
      </c>
      <c r="M40" s="18" t="n">
        <v>16.26098976</v>
      </c>
      <c r="N40" s="20" t="n">
        <v>1.36774652</v>
      </c>
      <c r="O40" s="18" t="n">
        <v>0</v>
      </c>
      <c r="P40" s="20" t="n">
        <v>0</v>
      </c>
      <c r="Q40" s="18" t="n">
        <v>0.30742705</v>
      </c>
      <c r="R40" s="20" t="n">
        <v>0.18596148</v>
      </c>
      <c r="S40" s="18" t="n">
        <v>0.05048993</v>
      </c>
      <c r="T40" s="20" t="n">
        <v>0.04855633</v>
      </c>
      <c r="U40" s="18" t="n">
        <v>0</v>
      </c>
      <c r="V40" s="20" t="n">
        <v>0</v>
      </c>
      <c r="W40" s="18" t="n">
        <v>8.38370286</v>
      </c>
      <c r="X40" s="20" t="n">
        <v>1.21130131</v>
      </c>
    </row>
    <row r="41" spans="1:24">
      <c r="A41" s="15" t="s">
        <v>599</v>
      </c>
      <c r="B41" s="17" t="n">
        <v>5712</v>
      </c>
      <c r="C41" s="18">
        <f>(5091.0/B41*100)</f>
        <v/>
      </c>
      <c r="D41" s="19" t="n">
        <v>621</v>
      </c>
      <c r="E41" s="18" t="n">
        <v>16.4698022</v>
      </c>
      <c r="F41" s="20" t="n">
        <v>1.7055097</v>
      </c>
      <c r="G41" s="18" t="n">
        <v>14.58868261</v>
      </c>
      <c r="H41" s="20" t="n">
        <v>1.43725155</v>
      </c>
      <c r="I41" s="18" t="n">
        <v>18.24346454</v>
      </c>
      <c r="J41" s="20" t="n">
        <v>1.64286092</v>
      </c>
      <c r="K41" s="18" t="n">
        <v>30.93724876</v>
      </c>
      <c r="L41" s="20" t="n">
        <v>2.16436616</v>
      </c>
      <c r="M41" s="18" t="n">
        <v>17.08022952</v>
      </c>
      <c r="N41" s="20" t="n">
        <v>1.54310545</v>
      </c>
      <c r="O41" s="18" t="n">
        <v>0</v>
      </c>
      <c r="P41" s="20" t="n">
        <v>0</v>
      </c>
      <c r="Q41" s="18" t="n">
        <v>0.21817241</v>
      </c>
      <c r="R41" s="20" t="n">
        <v>0.17815169</v>
      </c>
      <c r="S41" s="18" t="n">
        <v>0</v>
      </c>
      <c r="T41" s="20" t="n">
        <v>0</v>
      </c>
      <c r="U41" s="18" t="n">
        <v>0</v>
      </c>
      <c r="V41" s="20" t="n">
        <v>0</v>
      </c>
      <c r="W41" s="18" t="n">
        <v>2.46239995</v>
      </c>
      <c r="X41" s="20" t="n">
        <v>0.7175199</v>
      </c>
    </row>
    <row r="42" spans="1:24">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c r="W44" s="18" t="s">
        <v>603</v>
      </c>
      <c r="X44" s="20" t="s">
        <v>603</v>
      </c>
    </row>
    <row r="45" spans="1:24">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c r="W45" s="18" t="s">
        <v>603</v>
      </c>
      <c r="X45" s="20" t="s">
        <v>603</v>
      </c>
    </row>
    <row r="46" spans="1:24">
      <c r="A46" s="15" t="s">
        <v>605</v>
      </c>
      <c r="B46" s="17" t="n">
        <v>23141</v>
      </c>
      <c r="C46" s="18">
        <f>(20874.0/B46*100)</f>
        <v/>
      </c>
      <c r="D46" s="19" t="n">
        <v>2267</v>
      </c>
      <c r="E46" s="18" t="n">
        <v>10.09784521</v>
      </c>
      <c r="F46" s="20" t="n">
        <v>0.80475703</v>
      </c>
      <c r="G46" s="18" t="n">
        <v>22.79522685</v>
      </c>
      <c r="H46" s="20" t="n">
        <v>1.36422033</v>
      </c>
      <c r="I46" s="18" t="n">
        <v>30.2075567</v>
      </c>
      <c r="J46" s="20" t="n">
        <v>1.28504877</v>
      </c>
      <c r="K46" s="18" t="n">
        <v>14.79571032</v>
      </c>
      <c r="L46" s="20" t="n">
        <v>1.10823751</v>
      </c>
      <c r="M46" s="18" t="n">
        <v>6.21862541</v>
      </c>
      <c r="N46" s="20" t="n">
        <v>0.62750487</v>
      </c>
      <c r="O46" s="18" t="n">
        <v>0</v>
      </c>
      <c r="P46" s="20" t="n">
        <v>0</v>
      </c>
      <c r="Q46" s="18" t="n">
        <v>0.58835552</v>
      </c>
      <c r="R46" s="20" t="n">
        <v>0.21774954</v>
      </c>
      <c r="S46" s="18" t="n">
        <v>0.31877242</v>
      </c>
      <c r="T46" s="20" t="n">
        <v>0.1633996</v>
      </c>
      <c r="U46" s="18" t="n">
        <v>0</v>
      </c>
      <c r="V46" s="20" t="n">
        <v>0</v>
      </c>
      <c r="W46" s="18" t="n">
        <v>14.97790758</v>
      </c>
      <c r="X46" s="20" t="n">
        <v>1.11459438</v>
      </c>
    </row>
    <row r="47" spans="1:24">
      <c r="A47" s="15" t="s">
        <v>606</v>
      </c>
      <c r="B47" s="17" t="n">
        <v>5928</v>
      </c>
      <c r="C47" s="18">
        <f>(5280.0/B47*100)</f>
        <v/>
      </c>
      <c r="D47" s="19" t="n">
        <v>648</v>
      </c>
      <c r="E47" s="18" t="n">
        <v>4.05072638</v>
      </c>
      <c r="F47" s="20" t="n">
        <v>0.71806389</v>
      </c>
      <c r="G47" s="18" t="n">
        <v>6.31399032</v>
      </c>
      <c r="H47" s="20" t="n">
        <v>0.97425911</v>
      </c>
      <c r="I47" s="18" t="n">
        <v>20.7026248</v>
      </c>
      <c r="J47" s="20" t="n">
        <v>1.71064147</v>
      </c>
      <c r="K47" s="18" t="n">
        <v>31.52216589</v>
      </c>
      <c r="L47" s="20" t="n">
        <v>2.22291423</v>
      </c>
      <c r="M47" s="18" t="n">
        <v>16.164486</v>
      </c>
      <c r="N47" s="20" t="n">
        <v>1.54676106</v>
      </c>
      <c r="O47" s="18" t="n">
        <v>0</v>
      </c>
      <c r="P47" s="20" t="n">
        <v>0</v>
      </c>
      <c r="Q47" s="18" t="n">
        <v>0.47200207</v>
      </c>
      <c r="R47" s="20" t="n">
        <v>0.31109368</v>
      </c>
      <c r="S47" s="18" t="n">
        <v>0.15951085</v>
      </c>
      <c r="T47" s="20" t="n">
        <v>0.1513179</v>
      </c>
      <c r="U47" s="18" t="n">
        <v>0</v>
      </c>
      <c r="V47" s="20" t="n">
        <v>0</v>
      </c>
      <c r="W47" s="18" t="n">
        <v>20.61449369</v>
      </c>
      <c r="X47" s="20" t="n">
        <v>1.87776769</v>
      </c>
    </row>
    <row r="48" spans="1:24">
      <c r="A48" s="15" t="s">
        <v>607</v>
      </c>
      <c r="B48" s="17" t="n">
        <v>9841</v>
      </c>
      <c r="C48" s="18">
        <f>(8783.0/B48*100)</f>
        <v/>
      </c>
      <c r="D48" s="19" t="n">
        <v>1058</v>
      </c>
      <c r="E48" s="18" t="n">
        <v>7.35066659</v>
      </c>
      <c r="F48" s="20" t="n">
        <v>0.94300846</v>
      </c>
      <c r="G48" s="18" t="n">
        <v>16.00853141</v>
      </c>
      <c r="H48" s="20" t="n">
        <v>1.44314623</v>
      </c>
      <c r="I48" s="18" t="n">
        <v>8.24673391</v>
      </c>
      <c r="J48" s="20" t="n">
        <v>1.16088446</v>
      </c>
      <c r="K48" s="18" t="n">
        <v>29.90714351</v>
      </c>
      <c r="L48" s="20" t="n">
        <v>1.99909797</v>
      </c>
      <c r="M48" s="18" t="n">
        <v>30.65137607</v>
      </c>
      <c r="N48" s="20" t="n">
        <v>1.59082353</v>
      </c>
      <c r="O48" s="18" t="n">
        <v>0</v>
      </c>
      <c r="P48" s="20" t="n">
        <v>0</v>
      </c>
      <c r="Q48" s="18" t="n">
        <v>0.21668997</v>
      </c>
      <c r="R48" s="20" t="n">
        <v>0.17665661</v>
      </c>
      <c r="S48" s="18" t="n">
        <v>0.02895492</v>
      </c>
      <c r="T48" s="20" t="n">
        <v>0.02217471</v>
      </c>
      <c r="U48" s="18" t="n">
        <v>0</v>
      </c>
      <c r="V48" s="20" t="n">
        <v>0</v>
      </c>
      <c r="W48" s="18" t="n">
        <v>7.58990362</v>
      </c>
      <c r="X48" s="20" t="n">
        <v>1.07081213</v>
      </c>
    </row>
    <row r="49" spans="1:24">
      <c r="A49" s="15" t="s">
        <v>608</v>
      </c>
      <c r="B49" s="17" t="n">
        <v>11795</v>
      </c>
      <c r="C49" s="18">
        <f>(10511.0/B49*100)</f>
        <v/>
      </c>
      <c r="D49" s="19" t="n">
        <v>1284</v>
      </c>
      <c r="E49" s="18" t="n">
        <v>30.9525101</v>
      </c>
      <c r="F49" s="20" t="n">
        <v>1.52136323</v>
      </c>
      <c r="G49" s="18" t="n">
        <v>11.25634419</v>
      </c>
      <c r="H49" s="20" t="n">
        <v>0.8709321799999999</v>
      </c>
      <c r="I49" s="18" t="n">
        <v>30.03126702</v>
      </c>
      <c r="J49" s="20" t="n">
        <v>1.70624125</v>
      </c>
      <c r="K49" s="18" t="n">
        <v>13.09407876</v>
      </c>
      <c r="L49" s="20" t="n">
        <v>1.13269325</v>
      </c>
      <c r="M49" s="18" t="n">
        <v>9.21041832</v>
      </c>
      <c r="N49" s="20" t="n">
        <v>0.95973637</v>
      </c>
      <c r="O49" s="18" t="n">
        <v>0</v>
      </c>
      <c r="P49" s="20" t="n">
        <v>0</v>
      </c>
      <c r="Q49" s="18" t="n">
        <v>0.9786114299999999</v>
      </c>
      <c r="R49" s="20" t="n">
        <v>0.49579844</v>
      </c>
      <c r="S49" s="18" t="n">
        <v>0.11609354</v>
      </c>
      <c r="T49" s="20" t="n">
        <v>0.06227491</v>
      </c>
      <c r="U49" s="18" t="n">
        <v>0</v>
      </c>
      <c r="V49" s="20" t="n">
        <v>0</v>
      </c>
      <c r="W49" s="18" t="n">
        <v>4.36067664</v>
      </c>
      <c r="X49" s="20" t="n">
        <v>0.79222179</v>
      </c>
    </row>
    <row r="50" spans="1:24">
      <c r="A50" s="15" t="s">
        <v>609</v>
      </c>
      <c r="B50" s="17" t="n">
        <v>6866</v>
      </c>
      <c r="C50" s="18">
        <f>(6194.0/B50*100)</f>
        <v/>
      </c>
      <c r="D50" s="19" t="n">
        <v>672</v>
      </c>
      <c r="E50" s="18" t="n">
        <v>31.45285141</v>
      </c>
      <c r="F50" s="20" t="n">
        <v>1.83991313</v>
      </c>
      <c r="G50" s="18" t="n">
        <v>10.11440031</v>
      </c>
      <c r="H50" s="20" t="n">
        <v>1.23626404</v>
      </c>
      <c r="I50" s="18" t="n">
        <v>33.07080196</v>
      </c>
      <c r="J50" s="20" t="n">
        <v>1.96474026</v>
      </c>
      <c r="K50" s="18" t="n">
        <v>12.96904711</v>
      </c>
      <c r="L50" s="20" t="n">
        <v>1.2460993</v>
      </c>
      <c r="M50" s="18" t="n">
        <v>6.60156975</v>
      </c>
      <c r="N50" s="20" t="n">
        <v>1.1996179</v>
      </c>
      <c r="O50" s="18" t="n">
        <v>0</v>
      </c>
      <c r="P50" s="20" t="n">
        <v>0</v>
      </c>
      <c r="Q50" s="18" t="n">
        <v>0.16281163</v>
      </c>
      <c r="R50" s="20" t="n">
        <v>0.16374111</v>
      </c>
      <c r="S50" s="18" t="n">
        <v>0.32271073</v>
      </c>
      <c r="T50" s="20" t="n">
        <v>0.31430586</v>
      </c>
      <c r="U50" s="18" t="n">
        <v>0</v>
      </c>
      <c r="V50" s="20" t="n">
        <v>0</v>
      </c>
      <c r="W50" s="18" t="n">
        <v>5.3058071</v>
      </c>
      <c r="X50" s="20" t="n">
        <v>0.95671008</v>
      </c>
    </row>
    <row r="51" spans="1:24">
      <c r="A51" s="15" t="s">
        <v>610</v>
      </c>
      <c r="B51" s="17" t="n">
        <v>5809</v>
      </c>
      <c r="C51" s="18">
        <f>(5176.0/B51*100)</f>
        <v/>
      </c>
      <c r="D51" s="19" t="n">
        <v>633</v>
      </c>
      <c r="E51" s="18" t="n">
        <v>9.296747229999999</v>
      </c>
      <c r="F51" s="20" t="n">
        <v>1.24405795</v>
      </c>
      <c r="G51" s="18" t="n">
        <v>12.54456014</v>
      </c>
      <c r="H51" s="20" t="n">
        <v>1.29170562</v>
      </c>
      <c r="I51" s="18" t="n">
        <v>13.14764714</v>
      </c>
      <c r="J51" s="20" t="n">
        <v>1.41693797</v>
      </c>
      <c r="K51" s="18" t="n">
        <v>32.58330443</v>
      </c>
      <c r="L51" s="20" t="n">
        <v>1.85943697</v>
      </c>
      <c r="M51" s="18" t="n">
        <v>15.16018132</v>
      </c>
      <c r="N51" s="20" t="n">
        <v>1.39892472</v>
      </c>
      <c r="O51" s="18" t="n">
        <v>0</v>
      </c>
      <c r="P51" s="20" t="n">
        <v>0</v>
      </c>
      <c r="Q51" s="18" t="n">
        <v>0.16067145</v>
      </c>
      <c r="R51" s="20" t="n">
        <v>0.15714587</v>
      </c>
      <c r="S51" s="18" t="n">
        <v>0</v>
      </c>
      <c r="T51" s="20" t="n">
        <v>0</v>
      </c>
      <c r="U51" s="18" t="n">
        <v>0</v>
      </c>
      <c r="V51" s="20" t="n">
        <v>0</v>
      </c>
      <c r="W51" s="18" t="n">
        <v>17.10688829</v>
      </c>
      <c r="X51" s="20" t="n">
        <v>1.52298638</v>
      </c>
    </row>
    <row r="52" spans="1:24">
      <c r="A52" s="15" t="s">
        <v>611</v>
      </c>
      <c r="B52" s="17" t="n">
        <v>5571</v>
      </c>
      <c r="C52" s="18">
        <f>(4958.0/B52*100)</f>
        <v/>
      </c>
      <c r="D52" s="19" t="n">
        <v>613</v>
      </c>
      <c r="E52" s="18" t="n">
        <v>9.6245548</v>
      </c>
      <c r="F52" s="20" t="n">
        <v>1.18455934</v>
      </c>
      <c r="G52" s="18" t="n">
        <v>9.22151092</v>
      </c>
      <c r="H52" s="20" t="n">
        <v>1.33514745</v>
      </c>
      <c r="I52" s="18" t="n">
        <v>22.45059502</v>
      </c>
      <c r="J52" s="20" t="n">
        <v>1.56456781</v>
      </c>
      <c r="K52" s="18" t="n">
        <v>19.62969202</v>
      </c>
      <c r="L52" s="20" t="n">
        <v>1.7924328</v>
      </c>
      <c r="M52" s="18" t="n">
        <v>19.38446591</v>
      </c>
      <c r="N52" s="20" t="n">
        <v>1.56528403</v>
      </c>
      <c r="O52" s="18" t="n">
        <v>0</v>
      </c>
      <c r="P52" s="20" t="n">
        <v>0</v>
      </c>
      <c r="Q52" s="18" t="n">
        <v>0.37601111</v>
      </c>
      <c r="R52" s="20" t="n">
        <v>0.22007695</v>
      </c>
      <c r="S52" s="18" t="n">
        <v>0.22477857</v>
      </c>
      <c r="T52" s="20" t="n">
        <v>0.22624048</v>
      </c>
      <c r="U52" s="18" t="n">
        <v>0</v>
      </c>
      <c r="V52" s="20" t="n">
        <v>0</v>
      </c>
      <c r="W52" s="18" t="n">
        <v>19.08839165</v>
      </c>
      <c r="X52" s="20" t="n">
        <v>1.45342423</v>
      </c>
    </row>
    <row r="53" spans="1:24">
      <c r="A53" s="15" t="s">
        <v>612</v>
      </c>
      <c r="B53" s="17" t="n">
        <v>4740</v>
      </c>
      <c r="C53" s="18">
        <f>(4199.0/B53*100)</f>
        <v/>
      </c>
      <c r="D53" s="19" t="n">
        <v>541</v>
      </c>
      <c r="E53" s="18" t="n">
        <v>25.2417147</v>
      </c>
      <c r="F53" s="20" t="n">
        <v>1.94676401</v>
      </c>
      <c r="G53" s="18" t="n">
        <v>14.22605889</v>
      </c>
      <c r="H53" s="20" t="n">
        <v>1.69008038</v>
      </c>
      <c r="I53" s="18" t="n">
        <v>33.53107184</v>
      </c>
      <c r="J53" s="20" t="n">
        <v>1.97217496</v>
      </c>
      <c r="K53" s="18" t="n">
        <v>3.12527029</v>
      </c>
      <c r="L53" s="20" t="n">
        <v>0.80957514</v>
      </c>
      <c r="M53" s="18" t="n">
        <v>1.58203455</v>
      </c>
      <c r="N53" s="20" t="n">
        <v>0.51455047</v>
      </c>
      <c r="O53" s="18" t="n">
        <v>0</v>
      </c>
      <c r="P53" s="20" t="n">
        <v>0</v>
      </c>
      <c r="Q53" s="18" t="n">
        <v>6.11332311</v>
      </c>
      <c r="R53" s="20" t="n">
        <v>1.1170072</v>
      </c>
      <c r="S53" s="18" t="n">
        <v>0.5638380200000001</v>
      </c>
      <c r="T53" s="20" t="n">
        <v>0.43525606</v>
      </c>
      <c r="U53" s="18" t="n">
        <v>0</v>
      </c>
      <c r="V53" s="20" t="n">
        <v>0</v>
      </c>
      <c r="W53" s="18" t="n">
        <v>15.61668859</v>
      </c>
      <c r="X53" s="20" t="n">
        <v>1.50529996</v>
      </c>
    </row>
    <row r="54" spans="1:24">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c r="W54" s="18" t="s">
        <v>603</v>
      </c>
      <c r="X54" s="20" t="s">
        <v>603</v>
      </c>
    </row>
    <row r="55" spans="1:24">
      <c r="A55" s="15" t="s">
        <v>614</v>
      </c>
      <c r="B55" s="17" t="n">
        <v>5359</v>
      </c>
      <c r="C55" s="18">
        <f>(4781.0/B55*100)</f>
        <v/>
      </c>
      <c r="D55" s="19" t="n">
        <v>578</v>
      </c>
      <c r="E55" s="18" t="n">
        <v>9.861406240000001</v>
      </c>
      <c r="F55" s="20" t="n">
        <v>1.28543573</v>
      </c>
      <c r="G55" s="18" t="n">
        <v>7.57714784</v>
      </c>
      <c r="H55" s="20" t="n">
        <v>1.22115688</v>
      </c>
      <c r="I55" s="18" t="n">
        <v>9.412408770000001</v>
      </c>
      <c r="J55" s="20" t="n">
        <v>1.37191095</v>
      </c>
      <c r="K55" s="18" t="n">
        <v>56.1539062</v>
      </c>
      <c r="L55" s="20" t="n">
        <v>2.37531655</v>
      </c>
      <c r="M55" s="18" t="n">
        <v>13.60211281</v>
      </c>
      <c r="N55" s="20" t="n">
        <v>1.44700404</v>
      </c>
      <c r="O55" s="18" t="n">
        <v>0</v>
      </c>
      <c r="P55" s="20" t="n">
        <v>0</v>
      </c>
      <c r="Q55" s="18" t="n">
        <v>0</v>
      </c>
      <c r="R55" s="20" t="n">
        <v>0</v>
      </c>
      <c r="S55" s="18" t="n">
        <v>0.1570742</v>
      </c>
      <c r="T55" s="20" t="n">
        <v>0.15862464</v>
      </c>
      <c r="U55" s="18" t="n">
        <v>0</v>
      </c>
      <c r="V55" s="20" t="n">
        <v>0</v>
      </c>
      <c r="W55" s="18" t="n">
        <v>3.23594395</v>
      </c>
      <c r="X55" s="20" t="n">
        <v>0.83457187</v>
      </c>
    </row>
    <row r="56" spans="1:24">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c r="W56" s="18" t="s">
        <v>603</v>
      </c>
      <c r="X56" s="20" t="s">
        <v>603</v>
      </c>
    </row>
    <row r="57" spans="1:24">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c r="W57" s="18" t="s">
        <v>603</v>
      </c>
      <c r="X57" s="20" t="s">
        <v>603</v>
      </c>
    </row>
    <row r="58" spans="1:24">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row>
    <row r="59" spans="1:24">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c r="W59" s="18" t="s">
        <v>603</v>
      </c>
      <c r="X59" s="20" t="s">
        <v>603</v>
      </c>
    </row>
    <row r="60" spans="1:24">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c r="W60" s="18" t="s">
        <v>603</v>
      </c>
      <c r="X60" s="20" t="s">
        <v>603</v>
      </c>
    </row>
    <row r="61" spans="1:24">
      <c r="A61" s="15" t="s">
        <v>621</v>
      </c>
      <c r="B61" s="17" t="n">
        <v>6525</v>
      </c>
      <c r="C61" s="18">
        <f>(5819.0/B61*100)</f>
        <v/>
      </c>
      <c r="D61" s="19" t="n">
        <v>706</v>
      </c>
      <c r="E61" s="18" t="n">
        <v>5.5301884</v>
      </c>
      <c r="F61" s="20" t="n">
        <v>0.85222822</v>
      </c>
      <c r="G61" s="18" t="n">
        <v>23.79959976</v>
      </c>
      <c r="H61" s="20" t="n">
        <v>1.94472039</v>
      </c>
      <c r="I61" s="18" t="n">
        <v>17.11966874</v>
      </c>
      <c r="J61" s="20" t="n">
        <v>1.60016939</v>
      </c>
      <c r="K61" s="18" t="n">
        <v>36.16901384</v>
      </c>
      <c r="L61" s="20" t="n">
        <v>2.17852521</v>
      </c>
      <c r="M61" s="18" t="n">
        <v>7.28360056</v>
      </c>
      <c r="N61" s="20" t="n">
        <v>1.09603872</v>
      </c>
      <c r="O61" s="18" t="n">
        <v>0</v>
      </c>
      <c r="P61" s="20" t="n">
        <v>0</v>
      </c>
      <c r="Q61" s="18" t="n">
        <v>0</v>
      </c>
      <c r="R61" s="20" t="n">
        <v>0</v>
      </c>
      <c r="S61" s="18" t="n">
        <v>0</v>
      </c>
      <c r="T61" s="20" t="n">
        <v>0</v>
      </c>
      <c r="U61" s="18" t="n">
        <v>0</v>
      </c>
      <c r="V61" s="20" t="n">
        <v>0</v>
      </c>
      <c r="W61" s="18" t="n">
        <v>10.09792871</v>
      </c>
      <c r="X61" s="20" t="n">
        <v>1.41226932</v>
      </c>
    </row>
    <row r="62" spans="1:24">
      <c r="A62" s="15" t="s">
        <v>622</v>
      </c>
      <c r="B62" s="17" t="n">
        <v>4476</v>
      </c>
      <c r="C62" s="18">
        <f>(3994.0/B62*100)</f>
        <v/>
      </c>
      <c r="D62" s="19" t="n">
        <v>482</v>
      </c>
      <c r="E62" s="18" t="n">
        <v>14.75815481</v>
      </c>
      <c r="F62" s="20" t="n">
        <v>1.6557443</v>
      </c>
      <c r="G62" s="18" t="n">
        <v>24.47369634</v>
      </c>
      <c r="H62" s="20" t="n">
        <v>1.85752154</v>
      </c>
      <c r="I62" s="18" t="n">
        <v>17.63671659</v>
      </c>
      <c r="J62" s="20" t="n">
        <v>1.53968472</v>
      </c>
      <c r="K62" s="18" t="n">
        <v>19.69801024</v>
      </c>
      <c r="L62" s="20" t="n">
        <v>1.80463372</v>
      </c>
      <c r="M62" s="18" t="n">
        <v>21.33776994</v>
      </c>
      <c r="N62" s="20" t="n">
        <v>1.76650932</v>
      </c>
      <c r="O62" s="18" t="n">
        <v>0</v>
      </c>
      <c r="P62" s="20" t="n">
        <v>0</v>
      </c>
      <c r="Q62" s="18" t="n">
        <v>0</v>
      </c>
      <c r="R62" s="20" t="n">
        <v>0</v>
      </c>
      <c r="S62" s="18" t="n">
        <v>0</v>
      </c>
      <c r="T62" s="20" t="n">
        <v>0</v>
      </c>
      <c r="U62" s="18" t="n">
        <v>0</v>
      </c>
      <c r="V62" s="20" t="n">
        <v>0</v>
      </c>
      <c r="W62" s="18" t="n">
        <v>2.09565208</v>
      </c>
      <c r="X62" s="20" t="n">
        <v>0.63261669</v>
      </c>
    </row>
    <row r="63" spans="1:24">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c r="W63" s="18" t="s">
        <v>603</v>
      </c>
      <c r="X63" s="20" t="s">
        <v>603</v>
      </c>
    </row>
    <row r="64" spans="1:24">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row>
    <row r="65" spans="1:24">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c r="W65" s="18" t="s">
        <v>603</v>
      </c>
      <c r="X65" s="20" t="s">
        <v>603</v>
      </c>
    </row>
    <row r="66" spans="1:24">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c r="W66" s="18" t="s">
        <v>603</v>
      </c>
      <c r="X66" s="20" t="s">
        <v>603</v>
      </c>
    </row>
    <row r="67" spans="1:24">
      <c r="A67" s="15" t="s">
        <v>627</v>
      </c>
      <c r="B67" s="17" t="n">
        <v>5665</v>
      </c>
      <c r="C67" s="18">
        <f>(5044.0/B67*100)</f>
        <v/>
      </c>
      <c r="D67" s="19" t="n">
        <v>621</v>
      </c>
      <c r="E67" s="18" t="n">
        <v>10.34614207</v>
      </c>
      <c r="F67" s="20" t="n">
        <v>1.38453168</v>
      </c>
      <c r="G67" s="18" t="n">
        <v>6.44092038</v>
      </c>
      <c r="H67" s="20" t="n">
        <v>1.05210557</v>
      </c>
      <c r="I67" s="18" t="n">
        <v>11.87077487</v>
      </c>
      <c r="J67" s="20" t="n">
        <v>1.35740341</v>
      </c>
      <c r="K67" s="18" t="n">
        <v>12.84064531</v>
      </c>
      <c r="L67" s="20" t="n">
        <v>1.48218244</v>
      </c>
      <c r="M67" s="18" t="n">
        <v>30.44747262</v>
      </c>
      <c r="N67" s="20" t="n">
        <v>1.92261258</v>
      </c>
      <c r="O67" s="18" t="n">
        <v>0</v>
      </c>
      <c r="P67" s="20" t="n">
        <v>0</v>
      </c>
      <c r="Q67" s="18" t="n">
        <v>0.13459487</v>
      </c>
      <c r="R67" s="20" t="n">
        <v>0.134462</v>
      </c>
      <c r="S67" s="18" t="n">
        <v>0.91864767</v>
      </c>
      <c r="T67" s="20" t="n">
        <v>0.2930928</v>
      </c>
      <c r="U67" s="18" t="n">
        <v>0</v>
      </c>
      <c r="V67" s="20" t="n">
        <v>0</v>
      </c>
      <c r="W67" s="18" t="n">
        <v>27.0008022</v>
      </c>
      <c r="X67" s="20" t="n">
        <v>1.63763138</v>
      </c>
    </row>
    <row r="68" spans="1:24">
      <c r="A68" s="15" t="s">
        <v>628</v>
      </c>
      <c r="B68" s="17" t="n">
        <v>6971</v>
      </c>
      <c r="C68" s="18">
        <f>(6223.0/B68*100)</f>
        <v/>
      </c>
      <c r="D68" s="19" t="n">
        <v>748</v>
      </c>
      <c r="E68" s="18" t="n">
        <v>20.74778984</v>
      </c>
      <c r="F68" s="20" t="n">
        <v>1.4683184</v>
      </c>
      <c r="G68" s="18" t="n">
        <v>13.53903694</v>
      </c>
      <c r="H68" s="20" t="n">
        <v>1.26733749</v>
      </c>
      <c r="I68" s="18" t="n">
        <v>39.30006713</v>
      </c>
      <c r="J68" s="20" t="n">
        <v>1.99085463</v>
      </c>
      <c r="K68" s="18" t="n">
        <v>15.99931024</v>
      </c>
      <c r="L68" s="20" t="n">
        <v>1.62965747</v>
      </c>
      <c r="M68" s="18" t="n">
        <v>4.36744865</v>
      </c>
      <c r="N68" s="20" t="n">
        <v>0.7584855700000001</v>
      </c>
      <c r="O68" s="18" t="n">
        <v>0</v>
      </c>
      <c r="P68" s="20" t="n">
        <v>0</v>
      </c>
      <c r="Q68" s="18" t="n">
        <v>0.10036927</v>
      </c>
      <c r="R68" s="20" t="n">
        <v>0.10050115</v>
      </c>
      <c r="S68" s="18" t="n">
        <v>0.23819133</v>
      </c>
      <c r="T68" s="20" t="n">
        <v>0.21666607</v>
      </c>
      <c r="U68" s="18" t="n">
        <v>0</v>
      </c>
      <c r="V68" s="20" t="n">
        <v>0</v>
      </c>
      <c r="W68" s="18" t="n">
        <v>5.70778659</v>
      </c>
      <c r="X68" s="20" t="n">
        <v>0.83308954</v>
      </c>
    </row>
    <row r="69" spans="1:24">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c r="W69" s="18" t="s">
        <v>603</v>
      </c>
      <c r="X69" s="20" t="s">
        <v>603</v>
      </c>
    </row>
    <row r="70" spans="1:24">
      <c r="A70" s="15" t="s">
        <v>630</v>
      </c>
      <c r="B70" s="17" t="n">
        <v>12083</v>
      </c>
      <c r="C70" s="18">
        <f>(10725.0/B70*100)</f>
        <v/>
      </c>
      <c r="D70" s="19" t="n">
        <v>1358</v>
      </c>
      <c r="E70" s="18" t="n">
        <v>8.87581003</v>
      </c>
      <c r="F70" s="20" t="n">
        <v>0.84084326</v>
      </c>
      <c r="G70" s="18" t="n">
        <v>7.60936326</v>
      </c>
      <c r="H70" s="20" t="n">
        <v>0.68399676</v>
      </c>
      <c r="I70" s="18" t="n">
        <v>33.34901433</v>
      </c>
      <c r="J70" s="20" t="n">
        <v>1.35634123</v>
      </c>
      <c r="K70" s="18" t="n">
        <v>18.19990168</v>
      </c>
      <c r="L70" s="20" t="n">
        <v>0.95825429</v>
      </c>
      <c r="M70" s="18" t="n">
        <v>20.58011826</v>
      </c>
      <c r="N70" s="20" t="n">
        <v>1.09225921</v>
      </c>
      <c r="O70" s="18" t="n">
        <v>0</v>
      </c>
      <c r="P70" s="20" t="n">
        <v>0</v>
      </c>
      <c r="Q70" s="18" t="n">
        <v>0.9592844699999999</v>
      </c>
      <c r="R70" s="20" t="n">
        <v>0.26573995</v>
      </c>
      <c r="S70" s="18" t="n">
        <v>0.06997610999999999</v>
      </c>
      <c r="T70" s="20" t="n">
        <v>0.07011551000000001</v>
      </c>
      <c r="U70" s="18" t="n">
        <v>0</v>
      </c>
      <c r="V70" s="20" t="n">
        <v>0</v>
      </c>
      <c r="W70" s="18" t="n">
        <v>10.35653186</v>
      </c>
      <c r="X70" s="20" t="n">
        <v>0.83714518</v>
      </c>
    </row>
    <row r="71" spans="1:24">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c r="W71" s="18" t="s">
        <v>603</v>
      </c>
      <c r="X71" s="20" t="s">
        <v>603</v>
      </c>
    </row>
    <row r="72" spans="1:24">
      <c r="A72" s="15" t="s">
        <v>632</v>
      </c>
      <c r="B72" s="17" t="n">
        <v>6036</v>
      </c>
      <c r="C72" s="18">
        <f>(5399.0/B72*100)</f>
        <v/>
      </c>
      <c r="D72" s="19" t="n">
        <v>637</v>
      </c>
      <c r="E72" s="18" t="n">
        <v>7.76586868</v>
      </c>
      <c r="F72" s="20" t="n">
        <v>1.25972647</v>
      </c>
      <c r="G72" s="18" t="n">
        <v>9.651196499999999</v>
      </c>
      <c r="H72" s="20" t="n">
        <v>1.18002252</v>
      </c>
      <c r="I72" s="18" t="n">
        <v>15.48456432</v>
      </c>
      <c r="J72" s="20" t="n">
        <v>1.3617193</v>
      </c>
      <c r="K72" s="18" t="n">
        <v>44.84052342</v>
      </c>
      <c r="L72" s="20" t="n">
        <v>2.29980813</v>
      </c>
      <c r="M72" s="18" t="n">
        <v>13.64580866</v>
      </c>
      <c r="N72" s="20" t="n">
        <v>1.57262891</v>
      </c>
      <c r="O72" s="18" t="n">
        <v>0</v>
      </c>
      <c r="P72" s="20" t="n">
        <v>0</v>
      </c>
      <c r="Q72" s="18" t="n">
        <v>0.51887539</v>
      </c>
      <c r="R72" s="20" t="n">
        <v>0.30085516</v>
      </c>
      <c r="S72" s="18" t="n">
        <v>0</v>
      </c>
      <c r="T72" s="20" t="n">
        <v>0</v>
      </c>
      <c r="U72" s="18" t="n">
        <v>0</v>
      </c>
      <c r="V72" s="20" t="n">
        <v>0</v>
      </c>
      <c r="W72" s="18" t="n">
        <v>8.09316304</v>
      </c>
      <c r="X72" s="20" t="n">
        <v>1.11502716</v>
      </c>
    </row>
    <row r="73" spans="1:24">
      <c r="A73" s="15" t="s">
        <v>633</v>
      </c>
      <c r="B73" s="17" t="n">
        <v>6115</v>
      </c>
      <c r="C73" s="18">
        <f>(5425.0/B73*100)</f>
        <v/>
      </c>
      <c r="D73" s="19" t="n">
        <v>690</v>
      </c>
      <c r="E73" s="18" t="n">
        <v>10.18877115</v>
      </c>
      <c r="F73" s="20" t="n">
        <v>1.12570868</v>
      </c>
      <c r="G73" s="18" t="n">
        <v>8.26703749</v>
      </c>
      <c r="H73" s="20" t="n">
        <v>1.08391056</v>
      </c>
      <c r="I73" s="18" t="n">
        <v>15.67968506</v>
      </c>
      <c r="J73" s="20" t="n">
        <v>1.31187479</v>
      </c>
      <c r="K73" s="18" t="n">
        <v>40.8165137</v>
      </c>
      <c r="L73" s="20" t="n">
        <v>1.71924436</v>
      </c>
      <c r="M73" s="18" t="n">
        <v>22.4165865</v>
      </c>
      <c r="N73" s="20" t="n">
        <v>1.67405073</v>
      </c>
      <c r="O73" s="18" t="n">
        <v>0</v>
      </c>
      <c r="P73" s="20" t="n">
        <v>0</v>
      </c>
      <c r="Q73" s="18" t="n">
        <v>0.23311472</v>
      </c>
      <c r="R73" s="20" t="n">
        <v>0.22302065</v>
      </c>
      <c r="S73" s="18" t="n">
        <v>0</v>
      </c>
      <c r="T73" s="20" t="n">
        <v>0</v>
      </c>
      <c r="U73" s="18" t="n">
        <v>0</v>
      </c>
      <c r="V73" s="20" t="n">
        <v>0</v>
      </c>
      <c r="W73" s="18" t="n">
        <v>2.39829138</v>
      </c>
      <c r="X73" s="20" t="n">
        <v>0.57536485</v>
      </c>
    </row>
    <row r="74" spans="1:24">
      <c r="A74" s="15" t="s">
        <v>634</v>
      </c>
      <c r="B74" s="17" t="n">
        <v>7708</v>
      </c>
      <c r="C74" s="18">
        <f>(6865.0/B74*100)</f>
        <v/>
      </c>
      <c r="D74" s="19" t="n">
        <v>843</v>
      </c>
      <c r="E74" s="18" t="n">
        <v>16.43340232</v>
      </c>
      <c r="F74" s="20" t="n">
        <v>1.16542309</v>
      </c>
      <c r="G74" s="18" t="n">
        <v>6.38840897</v>
      </c>
      <c r="H74" s="20" t="n">
        <v>0.83052556</v>
      </c>
      <c r="I74" s="18" t="n">
        <v>14.61884677</v>
      </c>
      <c r="J74" s="20" t="n">
        <v>1.15408996</v>
      </c>
      <c r="K74" s="18" t="n">
        <v>27.74575857</v>
      </c>
      <c r="L74" s="20" t="n">
        <v>1.52608662</v>
      </c>
      <c r="M74" s="18" t="n">
        <v>27.01274799</v>
      </c>
      <c r="N74" s="20" t="n">
        <v>1.5441806</v>
      </c>
      <c r="O74" s="18" t="n">
        <v>0</v>
      </c>
      <c r="P74" s="20" t="n">
        <v>0</v>
      </c>
      <c r="Q74" s="18" t="n">
        <v>0.15688412</v>
      </c>
      <c r="R74" s="20" t="n">
        <v>0.15745329</v>
      </c>
      <c r="S74" s="18" t="n">
        <v>0</v>
      </c>
      <c r="T74" s="20" t="n">
        <v>0</v>
      </c>
      <c r="U74" s="18" t="n">
        <v>0</v>
      </c>
      <c r="V74" s="20" t="n">
        <v>0</v>
      </c>
      <c r="W74" s="18" t="n">
        <v>7.64395126</v>
      </c>
      <c r="X74" s="20" t="n">
        <v>0.84414375</v>
      </c>
    </row>
    <row r="75" spans="1:24">
      <c r="A75" s="15" t="s">
        <v>635</v>
      </c>
      <c r="B75" s="17" t="n">
        <v>8249</v>
      </c>
      <c r="C75" s="18">
        <f>(7377.0/B75*100)</f>
        <v/>
      </c>
      <c r="D75" s="19" t="n">
        <v>872</v>
      </c>
      <c r="E75" s="18" t="n">
        <v>23.09621624</v>
      </c>
      <c r="F75" s="20" t="n">
        <v>2.05336597</v>
      </c>
      <c r="G75" s="18" t="n">
        <v>9.07105035</v>
      </c>
      <c r="H75" s="20" t="n">
        <v>1.15313562</v>
      </c>
      <c r="I75" s="18" t="n">
        <v>40.12408054</v>
      </c>
      <c r="J75" s="20" t="n">
        <v>1.90543621</v>
      </c>
      <c r="K75" s="18" t="n">
        <v>16.89862989</v>
      </c>
      <c r="L75" s="20" t="n">
        <v>1.44421529</v>
      </c>
      <c r="M75" s="18" t="n">
        <v>9.195225860000001</v>
      </c>
      <c r="N75" s="20" t="n">
        <v>1.21609922</v>
      </c>
      <c r="O75" s="18" t="n">
        <v>0</v>
      </c>
      <c r="P75" s="20" t="n">
        <v>0</v>
      </c>
      <c r="Q75" s="18" t="n">
        <v>0</v>
      </c>
      <c r="R75" s="20" t="n">
        <v>0</v>
      </c>
      <c r="S75" s="18" t="n">
        <v>0.16184282</v>
      </c>
      <c r="T75" s="20" t="n">
        <v>0.16180256</v>
      </c>
      <c r="U75" s="18" t="n">
        <v>0</v>
      </c>
      <c r="V75" s="20" t="n">
        <v>0</v>
      </c>
      <c r="W75" s="18" t="n">
        <v>1.4529543</v>
      </c>
      <c r="X75" s="20" t="n">
        <v>0.45069907</v>
      </c>
    </row>
    <row r="76" spans="1:24">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c r="W76" s="18" t="s">
        <v>603</v>
      </c>
      <c r="X76" s="20" t="s">
        <v>603</v>
      </c>
    </row>
    <row r="77" spans="1:24">
      <c r="A77" s="15" t="s">
        <v>637</v>
      </c>
      <c r="B77" s="17" t="n">
        <v>5375</v>
      </c>
      <c r="C77" s="18">
        <f>(4837.0/B77*100)</f>
        <v/>
      </c>
      <c r="D77" s="19" t="n">
        <v>538</v>
      </c>
      <c r="E77" s="18" t="n">
        <v>9.292191170000001</v>
      </c>
      <c r="F77" s="20" t="n">
        <v>1.31080548</v>
      </c>
      <c r="G77" s="18" t="n">
        <v>4.60162211</v>
      </c>
      <c r="H77" s="20" t="n">
        <v>0.88519971</v>
      </c>
      <c r="I77" s="18" t="n">
        <v>34.37030348</v>
      </c>
      <c r="J77" s="20" t="n">
        <v>2.09713445</v>
      </c>
      <c r="K77" s="18" t="n">
        <v>7.67822007</v>
      </c>
      <c r="L77" s="20" t="n">
        <v>1.46112734</v>
      </c>
      <c r="M77" s="18" t="n">
        <v>12.37326334</v>
      </c>
      <c r="N77" s="20" t="n">
        <v>1.50038917</v>
      </c>
      <c r="O77" s="18" t="n">
        <v>0</v>
      </c>
      <c r="P77" s="20" t="n">
        <v>0</v>
      </c>
      <c r="Q77" s="18" t="n">
        <v>1.60731731</v>
      </c>
      <c r="R77" s="20" t="n">
        <v>0.47553568</v>
      </c>
      <c r="S77" s="18" t="n">
        <v>0.94319655</v>
      </c>
      <c r="T77" s="20" t="n">
        <v>0.41202787</v>
      </c>
      <c r="U77" s="18" t="n">
        <v>0</v>
      </c>
      <c r="V77" s="20" t="n">
        <v>0</v>
      </c>
      <c r="W77" s="18" t="n">
        <v>29.13388596</v>
      </c>
      <c r="X77" s="20" t="n">
        <v>1.95838985</v>
      </c>
    </row>
    <row r="78" spans="1:24">
      <c r="A78" s="15" t="s">
        <v>638</v>
      </c>
      <c r="B78" s="17" t="n">
        <v>14167</v>
      </c>
      <c r="C78" s="18">
        <f>(12616.0/B78*100)</f>
        <v/>
      </c>
      <c r="D78" s="19" t="n">
        <v>1551</v>
      </c>
      <c r="E78" s="18" t="n">
        <v>20.23693138</v>
      </c>
      <c r="F78" s="20" t="n">
        <v>1.3466733</v>
      </c>
      <c r="G78" s="18" t="n">
        <v>7.29902054</v>
      </c>
      <c r="H78" s="20" t="n">
        <v>0.93622507</v>
      </c>
      <c r="I78" s="18" t="n">
        <v>27.94934258</v>
      </c>
      <c r="J78" s="20" t="n">
        <v>1.56953367</v>
      </c>
      <c r="K78" s="18" t="n">
        <v>16.36177774</v>
      </c>
      <c r="L78" s="20" t="n">
        <v>1.0853298</v>
      </c>
      <c r="M78" s="18" t="n">
        <v>20.18347646</v>
      </c>
      <c r="N78" s="20" t="n">
        <v>1.48469399</v>
      </c>
      <c r="O78" s="18" t="n">
        <v>0</v>
      </c>
      <c r="P78" s="20" t="n">
        <v>0</v>
      </c>
      <c r="Q78" s="18" t="n">
        <v>0.90968128</v>
      </c>
      <c r="R78" s="20" t="n">
        <v>0.32039187</v>
      </c>
      <c r="S78" s="18" t="n">
        <v>0.21017408</v>
      </c>
      <c r="T78" s="20" t="n">
        <v>0.12975358</v>
      </c>
      <c r="U78" s="18" t="n">
        <v>0</v>
      </c>
      <c r="V78" s="20" t="n">
        <v>0</v>
      </c>
      <c r="W78" s="18" t="n">
        <v>6.84959594</v>
      </c>
      <c r="X78" s="20" t="n">
        <v>0.73777911</v>
      </c>
    </row>
    <row r="79" spans="1:24">
      <c r="A79" s="15" t="s">
        <v>639</v>
      </c>
      <c r="B79" s="17" t="n">
        <v>6062</v>
      </c>
      <c r="C79" s="18">
        <f>(5379.0/B79*100)</f>
        <v/>
      </c>
      <c r="D79" s="19" t="n">
        <v>683</v>
      </c>
      <c r="E79" s="18" t="n">
        <v>19.92801927</v>
      </c>
      <c r="F79" s="20" t="n">
        <v>1.67558441</v>
      </c>
      <c r="G79" s="18" t="n">
        <v>12.30077012</v>
      </c>
      <c r="H79" s="20" t="n">
        <v>1.43946369</v>
      </c>
      <c r="I79" s="18" t="n">
        <v>19.82755244</v>
      </c>
      <c r="J79" s="20" t="n">
        <v>1.51496684</v>
      </c>
      <c r="K79" s="18" t="n">
        <v>17.90148817</v>
      </c>
      <c r="L79" s="20" t="n">
        <v>1.46937617</v>
      </c>
      <c r="M79" s="18" t="n">
        <v>7.93901171</v>
      </c>
      <c r="N79" s="20" t="n">
        <v>1.05883077</v>
      </c>
      <c r="O79" s="18" t="n">
        <v>0</v>
      </c>
      <c r="P79" s="20" t="n">
        <v>0</v>
      </c>
      <c r="Q79" s="18" t="n">
        <v>0.23951658</v>
      </c>
      <c r="R79" s="20" t="n">
        <v>0.16850015</v>
      </c>
      <c r="S79" s="18" t="n">
        <v>0.16754193</v>
      </c>
      <c r="T79" s="20" t="n">
        <v>0.17028324</v>
      </c>
      <c r="U79" s="18" t="n">
        <v>0</v>
      </c>
      <c r="V79" s="20" t="n">
        <v>0</v>
      </c>
      <c r="W79" s="18" t="n">
        <v>21.69609978</v>
      </c>
      <c r="X79" s="20" t="n">
        <v>1.43972912</v>
      </c>
    </row>
    <row r="80" spans="1:24">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c r="W80" s="18" t="s">
        <v>603</v>
      </c>
      <c r="X80" s="20" t="s">
        <v>603</v>
      </c>
    </row>
    <row r="81" spans="1:24">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c r="W81" s="18" t="s">
        <v>603</v>
      </c>
      <c r="X81" s="20" t="s">
        <v>603</v>
      </c>
    </row>
    <row r="82" spans="1:24">
      <c r="A82" s="15" t="s">
        <v>642</v>
      </c>
      <c r="B82" s="17" t="n">
        <v>32330</v>
      </c>
      <c r="C82" s="18">
        <f>(28768.0/B82*100)</f>
        <v/>
      </c>
      <c r="D82" s="19" t="n">
        <v>3562</v>
      </c>
      <c r="E82" s="18" t="n">
        <v>10.15427739</v>
      </c>
      <c r="F82" s="20" t="n">
        <v>0.73727171</v>
      </c>
      <c r="G82" s="18" t="n">
        <v>16.61494886</v>
      </c>
      <c r="H82" s="20" t="n">
        <v>0.870653</v>
      </c>
      <c r="I82" s="18" t="n">
        <v>24.37997409</v>
      </c>
      <c r="J82" s="20" t="n">
        <v>1.03943771</v>
      </c>
      <c r="K82" s="18" t="n">
        <v>26.89935455</v>
      </c>
      <c r="L82" s="20" t="n">
        <v>1.02713501</v>
      </c>
      <c r="M82" s="18" t="n">
        <v>12.17028832</v>
      </c>
      <c r="N82" s="20" t="n">
        <v>0.86935978</v>
      </c>
      <c r="O82" s="18" t="n">
        <v>0</v>
      </c>
      <c r="P82" s="20" t="n">
        <v>0</v>
      </c>
      <c r="Q82" s="18" t="n">
        <v>0.18164079</v>
      </c>
      <c r="R82" s="20" t="n">
        <v>0.12239637</v>
      </c>
      <c r="S82" s="18" t="n">
        <v>0.07643511</v>
      </c>
      <c r="T82" s="20" t="n">
        <v>0.06188853</v>
      </c>
      <c r="U82" s="18" t="n">
        <v>0</v>
      </c>
      <c r="V82" s="20" t="n">
        <v>0</v>
      </c>
      <c r="W82" s="18" t="n">
        <v>9.523080889999999</v>
      </c>
      <c r="X82" s="20" t="n">
        <v>0.74509467</v>
      </c>
    </row>
    <row r="83" spans="1:24">
      <c r="A83" s="15" t="s">
        <v>643</v>
      </c>
      <c r="B83" s="17" t="n">
        <v>1652</v>
      </c>
      <c r="C83" s="18">
        <f>(1474.0/B83*100)</f>
        <v/>
      </c>
      <c r="D83" s="19" t="n">
        <v>178</v>
      </c>
      <c r="E83" s="18" t="n">
        <v>6.23057371</v>
      </c>
      <c r="F83" s="20" t="n">
        <v>1.76668557</v>
      </c>
      <c r="G83" s="18" t="n">
        <v>14.68388166</v>
      </c>
      <c r="H83" s="20" t="n">
        <v>3.52977592</v>
      </c>
      <c r="I83" s="18" t="n">
        <v>11.47573321</v>
      </c>
      <c r="J83" s="20" t="n">
        <v>2.26821205</v>
      </c>
      <c r="K83" s="18" t="n">
        <v>48.94231135</v>
      </c>
      <c r="L83" s="20" t="n">
        <v>4.6143566</v>
      </c>
      <c r="M83" s="18" t="n">
        <v>17.03651705</v>
      </c>
      <c r="N83" s="20" t="n">
        <v>2.51271581</v>
      </c>
      <c r="O83" s="18" t="n">
        <v>0</v>
      </c>
      <c r="P83" s="20" t="n">
        <v>0</v>
      </c>
      <c r="Q83" s="18" t="n">
        <v>0</v>
      </c>
      <c r="R83" s="20" t="n">
        <v>0</v>
      </c>
      <c r="S83" s="18" t="n">
        <v>0</v>
      </c>
      <c r="T83" s="20" t="n">
        <v>0</v>
      </c>
      <c r="U83" s="18" t="n">
        <v>0</v>
      </c>
      <c r="V83" s="20" t="n">
        <v>0</v>
      </c>
      <c r="W83" s="18" t="n">
        <v>1.63098303</v>
      </c>
      <c r="X83" s="20" t="n">
        <v>1.16401961</v>
      </c>
    </row>
    <row r="84" spans="1:24">
      <c r="A84" s="23" t="s">
        <v>644</v>
      </c>
      <c r="B84" s="24" t="n">
        <v>1887</v>
      </c>
      <c r="C84" s="25">
        <f>(1699.0/B84*100)</f>
        <v/>
      </c>
      <c r="D84" s="19" t="n">
        <v>188</v>
      </c>
      <c r="E84" s="18" t="n">
        <v>13.47335153</v>
      </c>
      <c r="F84" s="20" t="n">
        <v>2.2074067</v>
      </c>
      <c r="G84" s="18" t="n">
        <v>11.43164891</v>
      </c>
      <c r="H84" s="20" t="n">
        <v>1.86164096</v>
      </c>
      <c r="I84" s="18" t="n">
        <v>23.45649659</v>
      </c>
      <c r="J84" s="20" t="n">
        <v>2.63537701</v>
      </c>
      <c r="K84" s="18" t="n">
        <v>36.22961006</v>
      </c>
      <c r="L84" s="20" t="n">
        <v>3.86218785</v>
      </c>
      <c r="M84" s="18" t="n">
        <v>14.98783715</v>
      </c>
      <c r="N84" s="20" t="n">
        <v>2.834294</v>
      </c>
      <c r="O84" s="18" t="n">
        <v>0</v>
      </c>
      <c r="P84" s="20" t="n">
        <v>0</v>
      </c>
      <c r="Q84" s="18" t="n">
        <v>0</v>
      </c>
      <c r="R84" s="20" t="n">
        <v>0</v>
      </c>
      <c r="S84" s="18" t="n">
        <v>0</v>
      </c>
      <c r="T84" s="20" t="n">
        <v>0</v>
      </c>
      <c r="U84" s="18" t="n">
        <v>0</v>
      </c>
      <c r="V84" s="20" t="n">
        <v>0</v>
      </c>
      <c r="W84" s="18" t="n">
        <v>0.42105575</v>
      </c>
      <c r="X84" s="20" t="n">
        <v>0.39378891</v>
      </c>
    </row>
    <row r="86" spans="1:24">
      <c r="A86" s="3" t="s">
        <v>645</v>
      </c>
    </row>
    <row r="87" spans="1:24">
      <c r="A87" s="26" t="s">
        <v>646</v>
      </c>
    </row>
    <row r="88" spans="1:24">
      <c r="A88" s="26" t="s">
        <v>647</v>
      </c>
    </row>
    <row customHeight="1" ht="30" r="89" spans="1:24">
      <c r="A89" s="26" t="s">
        <v>648</v>
      </c>
    </row>
    <row customHeight="1" ht="30" r="90" spans="1:24">
      <c r="A90" s="26" t="s">
        <v>649</v>
      </c>
    </row>
    <row customHeight="1" ht="30" r="91" spans="1:24">
      <c r="A91" s="26" t="s">
        <v>650</v>
      </c>
    </row>
    <row customHeight="1" ht="30" r="92" spans="1:24">
      <c r="A92" s="26" t="s">
        <v>651</v>
      </c>
    </row>
    <row customHeight="1" ht="30" r="93" spans="1:24">
      <c r="A93" s="26" t="s">
        <v>652</v>
      </c>
    </row>
    <row customHeight="1" ht="30" r="94" spans="1:24">
      <c r="A94" s="26" t="s">
        <v>653</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42.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702</v>
      </c>
    </row>
    <row customHeight="1" ht="30" r="4" spans="1:26">
      <c r="A4" s="6" t="n"/>
      <c r="B4" s="7" t="s">
        <v>551</v>
      </c>
      <c r="C4" s="7" t="s">
        <v>552</v>
      </c>
      <c r="D4" s="8" t="s">
        <v>551</v>
      </c>
      <c r="E4" s="9" t="s">
        <v>655</v>
      </c>
      <c r="F4" s="10" t="n"/>
      <c r="G4" s="9" t="s">
        <v>656</v>
      </c>
      <c r="H4" s="10" t="n"/>
      <c r="I4" s="9" t="s">
        <v>701</v>
      </c>
      <c r="J4" s="10" t="n"/>
      <c r="K4" s="9" t="s">
        <v>703</v>
      </c>
      <c r="L4" s="10" t="n"/>
      <c r="M4" s="9" t="s">
        <v>657</v>
      </c>
      <c r="N4" s="10" t="n"/>
      <c r="O4" s="9" t="s">
        <v>658</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c r="Y5" s="12" t="s">
        <v>561</v>
      </c>
      <c r="Z5" s="11" t="s">
        <v>563</v>
      </c>
    </row>
    <row r="6" spans="1:26">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565</v>
      </c>
      <c r="B7" s="17" t="n">
        <v>14530</v>
      </c>
      <c r="C7" s="18">
        <f>(12934.0/B7*100)</f>
        <v/>
      </c>
      <c r="D7" s="19" t="n">
        <v>1596</v>
      </c>
      <c r="E7" s="18" t="n">
        <v>37.62689419</v>
      </c>
      <c r="F7" s="20" t="n">
        <v>1.53083895</v>
      </c>
      <c r="G7" s="18" t="n">
        <v>9.8091787</v>
      </c>
      <c r="H7" s="20" t="n">
        <v>0.94505688</v>
      </c>
      <c r="I7" s="18" t="n">
        <v>0.78838854</v>
      </c>
      <c r="J7" s="20" t="n">
        <v>0.2478392</v>
      </c>
      <c r="K7" s="18" t="n">
        <v>16.22265952</v>
      </c>
      <c r="L7" s="20" t="n">
        <v>1.05575972</v>
      </c>
      <c r="M7" s="18" t="n">
        <v>23.98404278</v>
      </c>
      <c r="N7" s="20" t="n">
        <v>1.14069218</v>
      </c>
      <c r="O7" s="18" t="n">
        <v>4.9112458</v>
      </c>
      <c r="P7" s="20" t="n">
        <v>0.67456055</v>
      </c>
      <c r="Q7" s="18" t="n">
        <v>0</v>
      </c>
      <c r="R7" s="20" t="n">
        <v>0</v>
      </c>
      <c r="S7" s="18" t="n">
        <v>0.01714558</v>
      </c>
      <c r="T7" s="20" t="n">
        <v>0.01664139</v>
      </c>
      <c r="U7" s="18" t="n">
        <v>0.01628049</v>
      </c>
      <c r="V7" s="20" t="n">
        <v>0.01177593</v>
      </c>
      <c r="W7" s="18" t="n">
        <v>0</v>
      </c>
      <c r="X7" s="20" t="n">
        <v>0</v>
      </c>
      <c r="Y7" s="18" t="n">
        <v>6.62416441</v>
      </c>
      <c r="Z7" s="20" t="n">
        <v>0.81600821</v>
      </c>
    </row>
    <row r="8" spans="1:26">
      <c r="A8" s="15" t="s">
        <v>566</v>
      </c>
      <c r="B8" s="17" t="n">
        <v>7007</v>
      </c>
      <c r="C8" s="18">
        <f>(6218.0/B8*100)</f>
        <v/>
      </c>
      <c r="D8" s="19" t="n">
        <v>789</v>
      </c>
      <c r="E8" s="18" t="n">
        <v>13.91469884</v>
      </c>
      <c r="F8" s="20" t="n">
        <v>1.40482041</v>
      </c>
      <c r="G8" s="18" t="n">
        <v>0.76883683</v>
      </c>
      <c r="H8" s="20" t="n">
        <v>0.26463637</v>
      </c>
      <c r="I8" s="18" t="n">
        <v>0.78454506</v>
      </c>
      <c r="J8" s="20" t="n">
        <v>0.32982717</v>
      </c>
      <c r="K8" s="18" t="n">
        <v>44.35951099</v>
      </c>
      <c r="L8" s="20" t="n">
        <v>2.29124413</v>
      </c>
      <c r="M8" s="18" t="n">
        <v>17.23415997</v>
      </c>
      <c r="N8" s="20" t="n">
        <v>1.46962995</v>
      </c>
      <c r="O8" s="18" t="n">
        <v>2.63976809</v>
      </c>
      <c r="P8" s="20" t="n">
        <v>0.79033091</v>
      </c>
      <c r="Q8" s="18" t="n">
        <v>0</v>
      </c>
      <c r="R8" s="20" t="n">
        <v>0</v>
      </c>
      <c r="S8" s="18" t="n">
        <v>0</v>
      </c>
      <c r="T8" s="20" t="n">
        <v>0</v>
      </c>
      <c r="U8" s="18" t="n">
        <v>0</v>
      </c>
      <c r="V8" s="20" t="n">
        <v>0</v>
      </c>
      <c r="W8" s="18" t="n">
        <v>0</v>
      </c>
      <c r="X8" s="20" t="n">
        <v>0</v>
      </c>
      <c r="Y8" s="18" t="n">
        <v>20.29848022</v>
      </c>
      <c r="Z8" s="20" t="n">
        <v>1.68937221</v>
      </c>
    </row>
    <row r="9" spans="1:26">
      <c r="A9" s="15" t="s">
        <v>567</v>
      </c>
      <c r="B9" s="17" t="n">
        <v>9651</v>
      </c>
      <c r="C9" s="18">
        <f>(8628.0/B9*100)</f>
        <v/>
      </c>
      <c r="D9" s="19" t="n">
        <v>1023</v>
      </c>
      <c r="E9" s="18" t="n">
        <v>24.97098171</v>
      </c>
      <c r="F9" s="20" t="n">
        <v>1.3846495</v>
      </c>
      <c r="G9" s="18" t="n">
        <v>10.64034464</v>
      </c>
      <c r="H9" s="20" t="n">
        <v>1.04927213</v>
      </c>
      <c r="I9" s="18" t="n">
        <v>0.248005</v>
      </c>
      <c r="J9" s="20" t="n">
        <v>0.17950514</v>
      </c>
      <c r="K9" s="18" t="n">
        <v>24.1189768</v>
      </c>
      <c r="L9" s="20" t="n">
        <v>1.21089149</v>
      </c>
      <c r="M9" s="18" t="n">
        <v>20.21164246</v>
      </c>
      <c r="N9" s="20" t="n">
        <v>1.32506965</v>
      </c>
      <c r="O9" s="18" t="n">
        <v>12.53518807</v>
      </c>
      <c r="P9" s="20" t="n">
        <v>0.89846159</v>
      </c>
      <c r="Q9" s="18" t="n">
        <v>0</v>
      </c>
      <c r="R9" s="20" t="n">
        <v>0</v>
      </c>
      <c r="S9" s="18" t="n">
        <v>0</v>
      </c>
      <c r="T9" s="20" t="n">
        <v>0</v>
      </c>
      <c r="U9" s="18" t="n">
        <v>0.47481115</v>
      </c>
      <c r="V9" s="20" t="n">
        <v>0.15187423</v>
      </c>
      <c r="W9" s="18" t="n">
        <v>0</v>
      </c>
      <c r="X9" s="20" t="n">
        <v>0</v>
      </c>
      <c r="Y9" s="18" t="n">
        <v>6.80005017</v>
      </c>
      <c r="Z9" s="20" t="n">
        <v>0.79100677</v>
      </c>
    </row>
    <row r="10" spans="1:26">
      <c r="A10" s="15" t="s">
        <v>568</v>
      </c>
      <c r="B10" s="17" t="n">
        <v>20058</v>
      </c>
      <c r="C10" s="18">
        <f>(17877.0/B10*100)</f>
        <v/>
      </c>
      <c r="D10" s="19" t="n">
        <v>2181</v>
      </c>
      <c r="E10" s="18" t="n">
        <v>30.4386516</v>
      </c>
      <c r="F10" s="20" t="n">
        <v>1.40832296</v>
      </c>
      <c r="G10" s="18" t="n">
        <v>11.31067816</v>
      </c>
      <c r="H10" s="20" t="n">
        <v>0.88347432</v>
      </c>
      <c r="I10" s="18" t="n">
        <v>0.7459819</v>
      </c>
      <c r="J10" s="20" t="n">
        <v>0.28148931</v>
      </c>
      <c r="K10" s="18" t="n">
        <v>20.91469548</v>
      </c>
      <c r="L10" s="20" t="n">
        <v>1.26963227</v>
      </c>
      <c r="M10" s="18" t="n">
        <v>25.9618053</v>
      </c>
      <c r="N10" s="20" t="n">
        <v>1.18541416</v>
      </c>
      <c r="O10" s="18" t="n">
        <v>6.43627132</v>
      </c>
      <c r="P10" s="20" t="n">
        <v>0.76681793</v>
      </c>
      <c r="Q10" s="18" t="n">
        <v>0</v>
      </c>
      <c r="R10" s="20" t="n">
        <v>0</v>
      </c>
      <c r="S10" s="18" t="n">
        <v>0.08068019999999999</v>
      </c>
      <c r="T10" s="20" t="n">
        <v>0.04857604</v>
      </c>
      <c r="U10" s="18" t="n">
        <v>0.00373087</v>
      </c>
      <c r="V10" s="20" t="n">
        <v>0.00380331</v>
      </c>
      <c r="W10" s="18" t="n">
        <v>0</v>
      </c>
      <c r="X10" s="20" t="n">
        <v>0</v>
      </c>
      <c r="Y10" s="18" t="n">
        <v>4.10750517</v>
      </c>
      <c r="Z10" s="20" t="n">
        <v>0.57526895</v>
      </c>
    </row>
    <row r="11" spans="1:26">
      <c r="A11" s="15" t="s">
        <v>569</v>
      </c>
      <c r="B11" s="17" t="n">
        <v>7053</v>
      </c>
      <c r="C11" s="18">
        <f>(6250.0/B11*100)</f>
        <v/>
      </c>
      <c r="D11" s="19" t="n">
        <v>803</v>
      </c>
      <c r="E11" s="18" t="n">
        <v>26.91952527</v>
      </c>
      <c r="F11" s="20" t="n">
        <v>1.68095788</v>
      </c>
      <c r="G11" s="18" t="n">
        <v>14.37648883</v>
      </c>
      <c r="H11" s="20" t="n">
        <v>1.29238848</v>
      </c>
      <c r="I11" s="18" t="n">
        <v>0</v>
      </c>
      <c r="J11" s="20" t="n">
        <v>0</v>
      </c>
      <c r="K11" s="18" t="n">
        <v>24.71322425</v>
      </c>
      <c r="L11" s="20" t="n">
        <v>1.70996925</v>
      </c>
      <c r="M11" s="18" t="n">
        <v>19.25993477</v>
      </c>
      <c r="N11" s="20" t="n">
        <v>1.20979225</v>
      </c>
      <c r="O11" s="18" t="n">
        <v>3.61712035</v>
      </c>
      <c r="P11" s="20" t="n">
        <v>0.86324732</v>
      </c>
      <c r="Q11" s="18" t="n">
        <v>0</v>
      </c>
      <c r="R11" s="20" t="n">
        <v>0</v>
      </c>
      <c r="S11" s="18" t="n">
        <v>0.16430584</v>
      </c>
      <c r="T11" s="20" t="n">
        <v>0.16048288</v>
      </c>
      <c r="U11" s="18" t="n">
        <v>0</v>
      </c>
      <c r="V11" s="20" t="n">
        <v>0</v>
      </c>
      <c r="W11" s="18" t="n">
        <v>0</v>
      </c>
      <c r="X11" s="20" t="n">
        <v>0</v>
      </c>
      <c r="Y11" s="18" t="n">
        <v>10.94940068</v>
      </c>
      <c r="Z11" s="20" t="n">
        <v>1.60130061</v>
      </c>
    </row>
    <row r="12" spans="1:26">
      <c r="A12" s="15" t="s">
        <v>570</v>
      </c>
      <c r="B12" s="17" t="n">
        <v>6894</v>
      </c>
      <c r="C12" s="18">
        <f>(6137.0/B12*100)</f>
        <v/>
      </c>
      <c r="D12" s="19" t="n">
        <v>757</v>
      </c>
      <c r="E12" s="18" t="n">
        <v>21.57753214</v>
      </c>
      <c r="F12" s="20" t="n">
        <v>1.71471074</v>
      </c>
      <c r="G12" s="18" t="n">
        <v>15.95429452</v>
      </c>
      <c r="H12" s="20" t="n">
        <v>1.62489844</v>
      </c>
      <c r="I12" s="18" t="n">
        <v>0.37473862</v>
      </c>
      <c r="J12" s="20" t="n">
        <v>0.29910543</v>
      </c>
      <c r="K12" s="18" t="n">
        <v>15.58781616</v>
      </c>
      <c r="L12" s="20" t="n">
        <v>1.39213984</v>
      </c>
      <c r="M12" s="18" t="n">
        <v>19.44580265</v>
      </c>
      <c r="N12" s="20" t="n">
        <v>1.67001828</v>
      </c>
      <c r="O12" s="18" t="n">
        <v>11.60922448</v>
      </c>
      <c r="P12" s="20" t="n">
        <v>1.5699563</v>
      </c>
      <c r="Q12" s="18" t="n">
        <v>0</v>
      </c>
      <c r="R12" s="20" t="n">
        <v>0</v>
      </c>
      <c r="S12" s="18" t="n">
        <v>0</v>
      </c>
      <c r="T12" s="20" t="n">
        <v>0</v>
      </c>
      <c r="U12" s="18" t="n">
        <v>0.07782673</v>
      </c>
      <c r="V12" s="20" t="n">
        <v>0.10443348</v>
      </c>
      <c r="W12" s="18" t="n">
        <v>0</v>
      </c>
      <c r="X12" s="20" t="n">
        <v>0</v>
      </c>
      <c r="Y12" s="18" t="n">
        <v>15.3727647</v>
      </c>
      <c r="Z12" s="20" t="n">
        <v>1.47402334</v>
      </c>
    </row>
    <row r="13" spans="1:26">
      <c r="A13" s="15" t="s">
        <v>571</v>
      </c>
      <c r="B13" s="17" t="n">
        <v>7161</v>
      </c>
      <c r="C13" s="18">
        <f>(6419.0/B13*100)</f>
        <v/>
      </c>
      <c r="D13" s="19" t="n">
        <v>742</v>
      </c>
      <c r="E13" s="18" t="n">
        <v>27.68416584</v>
      </c>
      <c r="F13" s="20" t="n">
        <v>1.94545213</v>
      </c>
      <c r="G13" s="18" t="n">
        <v>9.01701398</v>
      </c>
      <c r="H13" s="20" t="n">
        <v>1.15750445</v>
      </c>
      <c r="I13" s="18" t="n">
        <v>0.7053650299999999</v>
      </c>
      <c r="J13" s="20" t="n">
        <v>0.33092702</v>
      </c>
      <c r="K13" s="18" t="n">
        <v>26.77646094</v>
      </c>
      <c r="L13" s="20" t="n">
        <v>2.294449</v>
      </c>
      <c r="M13" s="18" t="n">
        <v>20.43419099</v>
      </c>
      <c r="N13" s="20" t="n">
        <v>1.56529503</v>
      </c>
      <c r="O13" s="18" t="n">
        <v>5.84058664</v>
      </c>
      <c r="P13" s="20" t="n">
        <v>1.00379428</v>
      </c>
      <c r="Q13" s="18" t="n">
        <v>0</v>
      </c>
      <c r="R13" s="20" t="n">
        <v>0</v>
      </c>
      <c r="S13" s="18" t="n">
        <v>0.39556766</v>
      </c>
      <c r="T13" s="20" t="n">
        <v>0.24210638</v>
      </c>
      <c r="U13" s="18" t="n">
        <v>0.11926338</v>
      </c>
      <c r="V13" s="20" t="n">
        <v>0.1170942</v>
      </c>
      <c r="W13" s="18" t="n">
        <v>0</v>
      </c>
      <c r="X13" s="20" t="n">
        <v>0</v>
      </c>
      <c r="Y13" s="18" t="n">
        <v>9.02738555</v>
      </c>
      <c r="Z13" s="20" t="n">
        <v>1.0732732</v>
      </c>
    </row>
    <row r="14" spans="1:26">
      <c r="A14" s="15" t="s">
        <v>572</v>
      </c>
      <c r="B14" s="17" t="n">
        <v>5587</v>
      </c>
      <c r="C14" s="18">
        <f>(4991.0/B14*100)</f>
        <v/>
      </c>
      <c r="D14" s="19" t="n">
        <v>596</v>
      </c>
      <c r="E14" s="18" t="n">
        <v>30.85863206</v>
      </c>
      <c r="F14" s="20" t="n">
        <v>2.15666367</v>
      </c>
      <c r="G14" s="18" t="n">
        <v>11.08390032</v>
      </c>
      <c r="H14" s="20" t="n">
        <v>1.44519718</v>
      </c>
      <c r="I14" s="18" t="n">
        <v>0.83232881</v>
      </c>
      <c r="J14" s="20" t="n">
        <v>0.59617236</v>
      </c>
      <c r="K14" s="18" t="n">
        <v>12.3198583</v>
      </c>
      <c r="L14" s="20" t="n">
        <v>1.60630015</v>
      </c>
      <c r="M14" s="18" t="n">
        <v>28.32548674</v>
      </c>
      <c r="N14" s="20" t="n">
        <v>2.09415797</v>
      </c>
      <c r="O14" s="18" t="n">
        <v>12.16030406</v>
      </c>
      <c r="P14" s="20" t="n">
        <v>1.43726186</v>
      </c>
      <c r="Q14" s="18" t="n">
        <v>0</v>
      </c>
      <c r="R14" s="20" t="n">
        <v>0</v>
      </c>
      <c r="S14" s="18" t="n">
        <v>0</v>
      </c>
      <c r="T14" s="20" t="n">
        <v>0</v>
      </c>
      <c r="U14" s="18" t="n">
        <v>0.13718547</v>
      </c>
      <c r="V14" s="20" t="n">
        <v>0.13764647</v>
      </c>
      <c r="W14" s="18" t="n">
        <v>0</v>
      </c>
      <c r="X14" s="20" t="n">
        <v>0</v>
      </c>
      <c r="Y14" s="18" t="n">
        <v>4.28230425</v>
      </c>
      <c r="Z14" s="20" t="n">
        <v>0.82414364</v>
      </c>
    </row>
    <row r="15" spans="1:26">
      <c r="A15" s="15" t="s">
        <v>573</v>
      </c>
      <c r="B15" s="17" t="n">
        <v>5882</v>
      </c>
      <c r="C15" s="18">
        <f>(5216.0/B15*100)</f>
        <v/>
      </c>
      <c r="D15" s="19" t="n">
        <v>666</v>
      </c>
      <c r="E15" s="18" t="n">
        <v>18.47907306</v>
      </c>
      <c r="F15" s="20" t="n">
        <v>1.48142762</v>
      </c>
      <c r="G15" s="18" t="n">
        <v>24.50761265</v>
      </c>
      <c r="H15" s="20" t="n">
        <v>1.78073655</v>
      </c>
      <c r="I15" s="18" t="n">
        <v>0.15278136</v>
      </c>
      <c r="J15" s="20" t="n">
        <v>0.15311907</v>
      </c>
      <c r="K15" s="18" t="n">
        <v>14.16604247</v>
      </c>
      <c r="L15" s="20" t="n">
        <v>1.29204638</v>
      </c>
      <c r="M15" s="18" t="n">
        <v>26.25111997</v>
      </c>
      <c r="N15" s="20" t="n">
        <v>1.79044595</v>
      </c>
      <c r="O15" s="18" t="n">
        <v>10.2497424</v>
      </c>
      <c r="P15" s="20" t="n">
        <v>1.20696396</v>
      </c>
      <c r="Q15" s="18" t="n">
        <v>0</v>
      </c>
      <c r="R15" s="20" t="n">
        <v>0</v>
      </c>
      <c r="S15" s="18" t="n">
        <v>0</v>
      </c>
      <c r="T15" s="20" t="n">
        <v>0</v>
      </c>
      <c r="U15" s="18" t="n">
        <v>0</v>
      </c>
      <c r="V15" s="20" t="n">
        <v>0</v>
      </c>
      <c r="W15" s="18" t="n">
        <v>0</v>
      </c>
      <c r="X15" s="20" t="n">
        <v>0</v>
      </c>
      <c r="Y15" s="18" t="n">
        <v>6.19362808</v>
      </c>
      <c r="Z15" s="20" t="n">
        <v>0.95615951</v>
      </c>
    </row>
    <row r="16" spans="1:26">
      <c r="A16" s="15" t="s">
        <v>574</v>
      </c>
      <c r="B16" s="17" t="n">
        <v>6108</v>
      </c>
      <c r="C16" s="18">
        <f>(5461.0/B16*100)</f>
        <v/>
      </c>
      <c r="D16" s="19" t="n">
        <v>647</v>
      </c>
      <c r="E16" s="18" t="n">
        <v>18.31945581</v>
      </c>
      <c r="F16" s="20" t="n">
        <v>1.67637381</v>
      </c>
      <c r="G16" s="18" t="n">
        <v>6.17221711</v>
      </c>
      <c r="H16" s="20" t="n">
        <v>0.9729473199999999</v>
      </c>
      <c r="I16" s="18" t="n">
        <v>0</v>
      </c>
      <c r="J16" s="20" t="n">
        <v>0</v>
      </c>
      <c r="K16" s="18" t="n">
        <v>25.45942897</v>
      </c>
      <c r="L16" s="20" t="n">
        <v>1.65472335</v>
      </c>
      <c r="M16" s="18" t="n">
        <v>32.15891494</v>
      </c>
      <c r="N16" s="20" t="n">
        <v>1.66969618</v>
      </c>
      <c r="O16" s="18" t="n">
        <v>3.57924462</v>
      </c>
      <c r="P16" s="20" t="n">
        <v>0.6886017</v>
      </c>
      <c r="Q16" s="18" t="n">
        <v>0</v>
      </c>
      <c r="R16" s="20" t="n">
        <v>0</v>
      </c>
      <c r="S16" s="18" t="n">
        <v>0</v>
      </c>
      <c r="T16" s="20" t="n">
        <v>0</v>
      </c>
      <c r="U16" s="18" t="n">
        <v>0</v>
      </c>
      <c r="V16" s="20" t="n">
        <v>0</v>
      </c>
      <c r="W16" s="18" t="n">
        <v>0</v>
      </c>
      <c r="X16" s="20" t="n">
        <v>0</v>
      </c>
      <c r="Y16" s="18" t="n">
        <v>14.31073855</v>
      </c>
      <c r="Z16" s="20" t="n">
        <v>1.55131803</v>
      </c>
    </row>
    <row r="17" spans="1:26">
      <c r="A17" s="15" t="s">
        <v>575</v>
      </c>
      <c r="B17" s="17" t="n">
        <v>6504</v>
      </c>
      <c r="C17" s="18">
        <f>(5814.0/B17*100)</f>
        <v/>
      </c>
      <c r="D17" s="19" t="n">
        <v>690</v>
      </c>
      <c r="E17" s="18" t="n">
        <v>28.32716078</v>
      </c>
      <c r="F17" s="20" t="n">
        <v>1.82619593</v>
      </c>
      <c r="G17" s="18" t="n">
        <v>13.67095649</v>
      </c>
      <c r="H17" s="20" t="n">
        <v>1.31928361</v>
      </c>
      <c r="I17" s="18" t="n">
        <v>0</v>
      </c>
      <c r="J17" s="20" t="n">
        <v>0</v>
      </c>
      <c r="K17" s="18" t="n">
        <v>10.30862873</v>
      </c>
      <c r="L17" s="20" t="n">
        <v>1.24519143</v>
      </c>
      <c r="M17" s="18" t="n">
        <v>19.78839721</v>
      </c>
      <c r="N17" s="20" t="n">
        <v>1.48753054</v>
      </c>
      <c r="O17" s="18" t="n">
        <v>14.21099999</v>
      </c>
      <c r="P17" s="20" t="n">
        <v>1.32969363</v>
      </c>
      <c r="Q17" s="18" t="n">
        <v>0</v>
      </c>
      <c r="R17" s="20" t="n">
        <v>0</v>
      </c>
      <c r="S17" s="18" t="n">
        <v>0.1622108</v>
      </c>
      <c r="T17" s="20" t="n">
        <v>0.16349664</v>
      </c>
      <c r="U17" s="18" t="n">
        <v>0</v>
      </c>
      <c r="V17" s="20" t="n">
        <v>0</v>
      </c>
      <c r="W17" s="18" t="n">
        <v>0</v>
      </c>
      <c r="X17" s="20" t="n">
        <v>0</v>
      </c>
      <c r="Y17" s="18" t="n">
        <v>13.531646</v>
      </c>
      <c r="Z17" s="20" t="n">
        <v>1.40238719</v>
      </c>
    </row>
    <row r="18" spans="1:26">
      <c r="A18" s="15" t="s">
        <v>576</v>
      </c>
      <c r="B18" s="17" t="n">
        <v>5532</v>
      </c>
      <c r="C18" s="18">
        <f>(4937.0/B18*100)</f>
        <v/>
      </c>
      <c r="D18" s="19" t="n">
        <v>595</v>
      </c>
      <c r="E18" s="18" t="n">
        <v>23.07105993</v>
      </c>
      <c r="F18" s="20" t="n">
        <v>1.74233916</v>
      </c>
      <c r="G18" s="18" t="n">
        <v>7.73950236</v>
      </c>
      <c r="H18" s="20" t="n">
        <v>1.19217577</v>
      </c>
      <c r="I18" s="18" t="n">
        <v>0.62996987</v>
      </c>
      <c r="J18" s="20" t="n">
        <v>0.32790649</v>
      </c>
      <c r="K18" s="18" t="n">
        <v>27.4919409</v>
      </c>
      <c r="L18" s="20" t="n">
        <v>1.96151361</v>
      </c>
      <c r="M18" s="18" t="n">
        <v>13.7159854</v>
      </c>
      <c r="N18" s="20" t="n">
        <v>1.33667655</v>
      </c>
      <c r="O18" s="18" t="n">
        <v>12.32949249</v>
      </c>
      <c r="P18" s="20" t="n">
        <v>1.49246739</v>
      </c>
      <c r="Q18" s="18" t="n">
        <v>0</v>
      </c>
      <c r="R18" s="20" t="n">
        <v>0</v>
      </c>
      <c r="S18" s="18" t="n">
        <v>0.19726419</v>
      </c>
      <c r="T18" s="20" t="n">
        <v>0.19529211</v>
      </c>
      <c r="U18" s="18" t="n">
        <v>0</v>
      </c>
      <c r="V18" s="20" t="n">
        <v>0</v>
      </c>
      <c r="W18" s="18" t="n">
        <v>0</v>
      </c>
      <c r="X18" s="20" t="n">
        <v>0</v>
      </c>
      <c r="Y18" s="18" t="n">
        <v>14.82478485</v>
      </c>
      <c r="Z18" s="20" t="n">
        <v>1.69188539</v>
      </c>
    </row>
    <row r="19" spans="1:26">
      <c r="A19" s="15" t="s">
        <v>577</v>
      </c>
      <c r="B19" s="17" t="n">
        <v>5658</v>
      </c>
      <c r="C19" s="18">
        <f>(5017.0/B19*100)</f>
        <v/>
      </c>
      <c r="D19" s="19" t="n">
        <v>641</v>
      </c>
      <c r="E19" s="18" t="n">
        <v>25.77984294</v>
      </c>
      <c r="F19" s="20" t="n">
        <v>1.6862969</v>
      </c>
      <c r="G19" s="18" t="n">
        <v>4.32389866</v>
      </c>
      <c r="H19" s="20" t="n">
        <v>0.83861279</v>
      </c>
      <c r="I19" s="18" t="n">
        <v>0.6408782</v>
      </c>
      <c r="J19" s="20" t="n">
        <v>0.39830921</v>
      </c>
      <c r="K19" s="18" t="n">
        <v>36.55390235</v>
      </c>
      <c r="L19" s="20" t="n">
        <v>2.06694909</v>
      </c>
      <c r="M19" s="18" t="n">
        <v>11.195155</v>
      </c>
      <c r="N19" s="20" t="n">
        <v>1.37562104</v>
      </c>
      <c r="O19" s="18" t="n">
        <v>2.12379991</v>
      </c>
      <c r="P19" s="20" t="n">
        <v>0.55718039</v>
      </c>
      <c r="Q19" s="18" t="n">
        <v>0</v>
      </c>
      <c r="R19" s="20" t="n">
        <v>0</v>
      </c>
      <c r="S19" s="18" t="n">
        <v>0</v>
      </c>
      <c r="T19" s="20" t="n">
        <v>0</v>
      </c>
      <c r="U19" s="18" t="n">
        <v>0.14568002</v>
      </c>
      <c r="V19" s="20" t="n">
        <v>0.14604829</v>
      </c>
      <c r="W19" s="18" t="n">
        <v>0</v>
      </c>
      <c r="X19" s="20" t="n">
        <v>0</v>
      </c>
      <c r="Y19" s="18" t="n">
        <v>19.23684292</v>
      </c>
      <c r="Z19" s="20" t="n">
        <v>1.44531848</v>
      </c>
    </row>
    <row r="20" spans="1:26">
      <c r="A20" s="15" t="s">
        <v>578</v>
      </c>
      <c r="B20" s="17" t="n">
        <v>3371</v>
      </c>
      <c r="C20" s="18">
        <f>(3024.0/B20*100)</f>
        <v/>
      </c>
      <c r="D20" s="19" t="n">
        <v>347</v>
      </c>
      <c r="E20" s="18" t="n">
        <v>21.24004985</v>
      </c>
      <c r="F20" s="20" t="n">
        <v>1.99889214</v>
      </c>
      <c r="G20" s="18" t="n">
        <v>14.3199657</v>
      </c>
      <c r="H20" s="20" t="n">
        <v>1.77910927</v>
      </c>
      <c r="I20" s="18" t="n">
        <v>0.27936766</v>
      </c>
      <c r="J20" s="20" t="n">
        <v>0.28065685</v>
      </c>
      <c r="K20" s="18" t="n">
        <v>30.19527613</v>
      </c>
      <c r="L20" s="20" t="n">
        <v>2.57450181</v>
      </c>
      <c r="M20" s="18" t="n">
        <v>13.83604123</v>
      </c>
      <c r="N20" s="20" t="n">
        <v>2.00025513</v>
      </c>
      <c r="O20" s="18" t="n">
        <v>8.2171714</v>
      </c>
      <c r="P20" s="20" t="n">
        <v>1.53542427</v>
      </c>
      <c r="Q20" s="18" t="n">
        <v>0</v>
      </c>
      <c r="R20" s="20" t="n">
        <v>0</v>
      </c>
      <c r="S20" s="18" t="n">
        <v>0.24348524</v>
      </c>
      <c r="T20" s="20" t="n">
        <v>0.24483981</v>
      </c>
      <c r="U20" s="18" t="n">
        <v>0.44055001</v>
      </c>
      <c r="V20" s="20" t="n">
        <v>0.43371279</v>
      </c>
      <c r="W20" s="18" t="n">
        <v>0</v>
      </c>
      <c r="X20" s="20" t="n">
        <v>0</v>
      </c>
      <c r="Y20" s="18" t="n">
        <v>11.22809278</v>
      </c>
      <c r="Z20" s="20" t="n">
        <v>1.80322763</v>
      </c>
    </row>
    <row r="21" spans="1:26">
      <c r="A21" s="15" t="s">
        <v>579</v>
      </c>
      <c r="B21" s="17" t="n">
        <v>5741</v>
      </c>
      <c r="C21" s="18">
        <f>(5081.0/B21*100)</f>
        <v/>
      </c>
      <c r="D21" s="19" t="n">
        <v>660</v>
      </c>
      <c r="E21" s="18" t="n">
        <v>38.95501143</v>
      </c>
      <c r="F21" s="20" t="n">
        <v>1.96659081</v>
      </c>
      <c r="G21" s="18" t="n">
        <v>9.874177550000001</v>
      </c>
      <c r="H21" s="20" t="n">
        <v>1.24031274</v>
      </c>
      <c r="I21" s="18" t="n">
        <v>0.78605222</v>
      </c>
      <c r="J21" s="20" t="n">
        <v>0.33559237</v>
      </c>
      <c r="K21" s="18" t="n">
        <v>23.44910576</v>
      </c>
      <c r="L21" s="20" t="n">
        <v>1.75677586</v>
      </c>
      <c r="M21" s="18" t="n">
        <v>17.19059099</v>
      </c>
      <c r="N21" s="20" t="n">
        <v>1.47061629</v>
      </c>
      <c r="O21" s="18" t="n">
        <v>5.57717141</v>
      </c>
      <c r="P21" s="20" t="n">
        <v>0.91511972</v>
      </c>
      <c r="Q21" s="18" t="n">
        <v>0</v>
      </c>
      <c r="R21" s="20" t="n">
        <v>0</v>
      </c>
      <c r="S21" s="18" t="n">
        <v>0</v>
      </c>
      <c r="T21" s="20" t="n">
        <v>0</v>
      </c>
      <c r="U21" s="18" t="n">
        <v>0</v>
      </c>
      <c r="V21" s="20" t="n">
        <v>0</v>
      </c>
      <c r="W21" s="18" t="n">
        <v>0</v>
      </c>
      <c r="X21" s="20" t="n">
        <v>0</v>
      </c>
      <c r="Y21" s="18" t="n">
        <v>4.16789065</v>
      </c>
      <c r="Z21" s="20" t="n">
        <v>0.72667068</v>
      </c>
    </row>
    <row r="22" spans="1:26">
      <c r="A22" s="15" t="s">
        <v>580</v>
      </c>
      <c r="B22" s="17" t="n">
        <v>6598</v>
      </c>
      <c r="C22" s="18">
        <f>(5933.0/B22*100)</f>
        <v/>
      </c>
      <c r="D22" s="19" t="n">
        <v>665</v>
      </c>
      <c r="E22" s="18" t="n">
        <v>31.39348166</v>
      </c>
      <c r="F22" s="20" t="n">
        <v>1.97762161</v>
      </c>
      <c r="G22" s="18" t="n">
        <v>15.19458232</v>
      </c>
      <c r="H22" s="20" t="n">
        <v>1.41736394</v>
      </c>
      <c r="I22" s="18" t="n">
        <v>0</v>
      </c>
      <c r="J22" s="20" t="n">
        <v>0</v>
      </c>
      <c r="K22" s="18" t="n">
        <v>18.96735351</v>
      </c>
      <c r="L22" s="20" t="n">
        <v>1.79966183</v>
      </c>
      <c r="M22" s="18" t="n">
        <v>15.04419153</v>
      </c>
      <c r="N22" s="20" t="n">
        <v>1.563282</v>
      </c>
      <c r="O22" s="18" t="n">
        <v>7.47060232</v>
      </c>
      <c r="P22" s="20" t="n">
        <v>1.03349472</v>
      </c>
      <c r="Q22" s="18" t="n">
        <v>0</v>
      </c>
      <c r="R22" s="20" t="n">
        <v>0</v>
      </c>
      <c r="S22" s="18" t="n">
        <v>0.45347517</v>
      </c>
      <c r="T22" s="20" t="n">
        <v>0.23074922</v>
      </c>
      <c r="U22" s="18" t="n">
        <v>0</v>
      </c>
      <c r="V22" s="20" t="n">
        <v>0</v>
      </c>
      <c r="W22" s="18" t="n">
        <v>0</v>
      </c>
      <c r="X22" s="20" t="n">
        <v>0</v>
      </c>
      <c r="Y22" s="18" t="n">
        <v>11.47631349</v>
      </c>
      <c r="Z22" s="20" t="n">
        <v>1.27964435</v>
      </c>
    </row>
    <row r="23" spans="1:26">
      <c r="A23" s="15" t="s">
        <v>581</v>
      </c>
      <c r="B23" s="17" t="n">
        <v>11583</v>
      </c>
      <c r="C23" s="18">
        <f>(10272.0/B23*100)</f>
        <v/>
      </c>
      <c r="D23" s="19" t="n">
        <v>1311</v>
      </c>
      <c r="E23" s="18" t="n">
        <v>20.06528933</v>
      </c>
      <c r="F23" s="20" t="n">
        <v>1.61559058</v>
      </c>
      <c r="G23" s="18" t="n">
        <v>8.802494790000001</v>
      </c>
      <c r="H23" s="20" t="n">
        <v>1.15020994</v>
      </c>
      <c r="I23" s="18" t="n">
        <v>0</v>
      </c>
      <c r="J23" s="20" t="n">
        <v>0</v>
      </c>
      <c r="K23" s="18" t="n">
        <v>23.52278817</v>
      </c>
      <c r="L23" s="20" t="n">
        <v>1.92796283</v>
      </c>
      <c r="M23" s="18" t="n">
        <v>25.12746118</v>
      </c>
      <c r="N23" s="20" t="n">
        <v>1.51848655</v>
      </c>
      <c r="O23" s="18" t="n">
        <v>6.16168243</v>
      </c>
      <c r="P23" s="20" t="n">
        <v>1.13826024</v>
      </c>
      <c r="Q23" s="18" t="n">
        <v>0</v>
      </c>
      <c r="R23" s="20" t="n">
        <v>0</v>
      </c>
      <c r="S23" s="18" t="n">
        <v>0.45015171</v>
      </c>
      <c r="T23" s="20" t="n">
        <v>0.36327821</v>
      </c>
      <c r="U23" s="18" t="n">
        <v>0.00564573</v>
      </c>
      <c r="V23" s="20" t="n">
        <v>0.00563954</v>
      </c>
      <c r="W23" s="18" t="n">
        <v>0</v>
      </c>
      <c r="X23" s="20" t="n">
        <v>0</v>
      </c>
      <c r="Y23" s="18" t="n">
        <v>15.86448666</v>
      </c>
      <c r="Z23" s="20" t="n">
        <v>1.99280814</v>
      </c>
    </row>
    <row r="24" spans="1:26">
      <c r="A24" s="15" t="s">
        <v>582</v>
      </c>
      <c r="B24" s="17" t="n">
        <v>6647</v>
      </c>
      <c r="C24" s="18">
        <f>(5902.0/B24*100)</f>
        <v/>
      </c>
      <c r="D24" s="19" t="n">
        <v>745</v>
      </c>
      <c r="E24" s="18" t="n">
        <v>20.79662809</v>
      </c>
      <c r="F24" s="20" t="n">
        <v>1.72191904</v>
      </c>
      <c r="G24" s="18" t="n">
        <v>17.83251147</v>
      </c>
      <c r="H24" s="20" t="n">
        <v>1.64734734</v>
      </c>
      <c r="I24" s="18" t="n">
        <v>0.14878411</v>
      </c>
      <c r="J24" s="20" t="n">
        <v>0.14868567</v>
      </c>
      <c r="K24" s="18" t="n">
        <v>13.29421705</v>
      </c>
      <c r="L24" s="20" t="n">
        <v>1.42407738</v>
      </c>
      <c r="M24" s="18" t="n">
        <v>26.20788524</v>
      </c>
      <c r="N24" s="20" t="n">
        <v>1.72447762</v>
      </c>
      <c r="O24" s="18" t="n">
        <v>10.74274996</v>
      </c>
      <c r="P24" s="20" t="n">
        <v>1.07227089</v>
      </c>
      <c r="Q24" s="18" t="n">
        <v>0</v>
      </c>
      <c r="R24" s="20" t="n">
        <v>0</v>
      </c>
      <c r="S24" s="18" t="n">
        <v>0.11872259</v>
      </c>
      <c r="T24" s="20" t="n">
        <v>0.11878304</v>
      </c>
      <c r="U24" s="18" t="n">
        <v>0</v>
      </c>
      <c r="V24" s="20" t="n">
        <v>0</v>
      </c>
      <c r="W24" s="18" t="n">
        <v>0</v>
      </c>
      <c r="X24" s="20" t="n">
        <v>0</v>
      </c>
      <c r="Y24" s="18" t="n">
        <v>10.85850148</v>
      </c>
      <c r="Z24" s="20" t="n">
        <v>1.07903323</v>
      </c>
    </row>
    <row r="25" spans="1:26">
      <c r="A25" s="15" t="s">
        <v>583</v>
      </c>
      <c r="B25" s="17" t="n">
        <v>5581</v>
      </c>
      <c r="C25" s="18">
        <f>(4957.0/B25*100)</f>
        <v/>
      </c>
      <c r="D25" s="19" t="n">
        <v>624</v>
      </c>
      <c r="E25" s="18" t="n">
        <v>10.14763033</v>
      </c>
      <c r="F25" s="20" t="n">
        <v>1.18844173</v>
      </c>
      <c r="G25" s="18" t="n">
        <v>1.02396041</v>
      </c>
      <c r="H25" s="20" t="n">
        <v>0.48725776</v>
      </c>
      <c r="I25" s="18" t="n">
        <v>0.02175849</v>
      </c>
      <c r="J25" s="20" t="n">
        <v>0.02179102</v>
      </c>
      <c r="K25" s="18" t="n">
        <v>35.50028053</v>
      </c>
      <c r="L25" s="20" t="n">
        <v>1.91020751</v>
      </c>
      <c r="M25" s="18" t="n">
        <v>25.21628384</v>
      </c>
      <c r="N25" s="20" t="n">
        <v>1.74908373</v>
      </c>
      <c r="O25" s="18" t="n">
        <v>18.02625737</v>
      </c>
      <c r="P25" s="20" t="n">
        <v>1.68598303</v>
      </c>
      <c r="Q25" s="18" t="n">
        <v>0</v>
      </c>
      <c r="R25" s="20" t="n">
        <v>0</v>
      </c>
      <c r="S25" s="18" t="n">
        <v>1.10304407</v>
      </c>
      <c r="T25" s="20" t="n">
        <v>0.43958784</v>
      </c>
      <c r="U25" s="18" t="n">
        <v>0</v>
      </c>
      <c r="V25" s="20" t="n">
        <v>0</v>
      </c>
      <c r="W25" s="18" t="n">
        <v>0</v>
      </c>
      <c r="X25" s="20" t="n">
        <v>0</v>
      </c>
      <c r="Y25" s="18" t="n">
        <v>8.96078496</v>
      </c>
      <c r="Z25" s="20" t="n">
        <v>1.26744312</v>
      </c>
    </row>
    <row r="26" spans="1:26">
      <c r="A26" s="15" t="s">
        <v>584</v>
      </c>
      <c r="B26" s="17" t="n">
        <v>4869</v>
      </c>
      <c r="C26" s="18">
        <f>(4335.0/B26*100)</f>
        <v/>
      </c>
      <c r="D26" s="19" t="n">
        <v>534</v>
      </c>
      <c r="E26" s="18" t="n">
        <v>24.1985396</v>
      </c>
      <c r="F26" s="20" t="n">
        <v>2.06050465</v>
      </c>
      <c r="G26" s="18" t="n">
        <v>11.27959049</v>
      </c>
      <c r="H26" s="20" t="n">
        <v>1.41419459</v>
      </c>
      <c r="I26" s="18" t="n">
        <v>0</v>
      </c>
      <c r="J26" s="20" t="n">
        <v>0</v>
      </c>
      <c r="K26" s="18" t="n">
        <v>27.61829274</v>
      </c>
      <c r="L26" s="20" t="n">
        <v>1.84742009</v>
      </c>
      <c r="M26" s="18" t="n">
        <v>20.20531085</v>
      </c>
      <c r="N26" s="20" t="n">
        <v>1.63870351</v>
      </c>
      <c r="O26" s="18" t="n">
        <v>9.20999806</v>
      </c>
      <c r="P26" s="20" t="n">
        <v>1.34802127</v>
      </c>
      <c r="Q26" s="18" t="n">
        <v>0</v>
      </c>
      <c r="R26" s="20" t="n">
        <v>0</v>
      </c>
      <c r="S26" s="18" t="n">
        <v>0</v>
      </c>
      <c r="T26" s="20" t="n">
        <v>0</v>
      </c>
      <c r="U26" s="18" t="n">
        <v>0</v>
      </c>
      <c r="V26" s="20" t="n">
        <v>0</v>
      </c>
      <c r="W26" s="18" t="n">
        <v>0</v>
      </c>
      <c r="X26" s="20" t="n">
        <v>0</v>
      </c>
      <c r="Y26" s="18" t="n">
        <v>7.48826826</v>
      </c>
      <c r="Z26" s="20" t="n">
        <v>1.14651649</v>
      </c>
    </row>
    <row r="27" spans="1:26">
      <c r="A27" s="15" t="s">
        <v>585</v>
      </c>
      <c r="B27" s="17" t="n">
        <v>5299</v>
      </c>
      <c r="C27" s="18">
        <f>(4716.0/B27*100)</f>
        <v/>
      </c>
      <c r="D27" s="19" t="n">
        <v>583</v>
      </c>
      <c r="E27" s="18" t="n">
        <v>22.18444611</v>
      </c>
      <c r="F27" s="20" t="n">
        <v>1.65330801</v>
      </c>
      <c r="G27" s="18" t="n">
        <v>0.69918567</v>
      </c>
      <c r="H27" s="20" t="n">
        <v>0.3485167</v>
      </c>
      <c r="I27" s="18" t="n">
        <v>0.67376492</v>
      </c>
      <c r="J27" s="20" t="n">
        <v>0.33537487</v>
      </c>
      <c r="K27" s="18" t="n">
        <v>38.12087571</v>
      </c>
      <c r="L27" s="20" t="n">
        <v>1.93340912</v>
      </c>
      <c r="M27" s="18" t="n">
        <v>18.09476668</v>
      </c>
      <c r="N27" s="20" t="n">
        <v>1.58490338</v>
      </c>
      <c r="O27" s="18" t="n">
        <v>7.86098073</v>
      </c>
      <c r="P27" s="20" t="n">
        <v>1.155715</v>
      </c>
      <c r="Q27" s="18" t="n">
        <v>0</v>
      </c>
      <c r="R27" s="20" t="n">
        <v>0</v>
      </c>
      <c r="S27" s="18" t="n">
        <v>0</v>
      </c>
      <c r="T27" s="20" t="n">
        <v>0</v>
      </c>
      <c r="U27" s="18" t="n">
        <v>0</v>
      </c>
      <c r="V27" s="20" t="n">
        <v>0</v>
      </c>
      <c r="W27" s="18" t="n">
        <v>0</v>
      </c>
      <c r="X27" s="20" t="n">
        <v>0</v>
      </c>
      <c r="Y27" s="18" t="n">
        <v>12.36598018</v>
      </c>
      <c r="Z27" s="20" t="n">
        <v>1.47485229</v>
      </c>
    </row>
    <row r="28" spans="1:26">
      <c r="A28" s="15" t="s">
        <v>586</v>
      </c>
      <c r="B28" s="17" t="n">
        <v>7568</v>
      </c>
      <c r="C28" s="18">
        <f>(6747.0/B28*100)</f>
        <v/>
      </c>
      <c r="D28" s="19" t="n">
        <v>821</v>
      </c>
      <c r="E28" s="18" t="n">
        <v>22.50303689</v>
      </c>
      <c r="F28" s="20" t="n">
        <v>1.71153923</v>
      </c>
      <c r="G28" s="18" t="n">
        <v>9.75398334</v>
      </c>
      <c r="H28" s="20" t="n">
        <v>1.32175411</v>
      </c>
      <c r="I28" s="18" t="n">
        <v>0.6349643699999999</v>
      </c>
      <c r="J28" s="20" t="n">
        <v>0.26999029</v>
      </c>
      <c r="K28" s="18" t="n">
        <v>45.73365174</v>
      </c>
      <c r="L28" s="20" t="n">
        <v>2.24255284</v>
      </c>
      <c r="M28" s="18" t="n">
        <v>12.27333888</v>
      </c>
      <c r="N28" s="20" t="n">
        <v>1.43387491</v>
      </c>
      <c r="O28" s="18" t="n">
        <v>5.59938862</v>
      </c>
      <c r="P28" s="20" t="n">
        <v>0.86530264</v>
      </c>
      <c r="Q28" s="18" t="n">
        <v>0</v>
      </c>
      <c r="R28" s="20" t="n">
        <v>0</v>
      </c>
      <c r="S28" s="18" t="n">
        <v>0.6223808199999999</v>
      </c>
      <c r="T28" s="20" t="n">
        <v>0.29667931</v>
      </c>
      <c r="U28" s="18" t="n">
        <v>0.10889167</v>
      </c>
      <c r="V28" s="20" t="n">
        <v>0.11298762</v>
      </c>
      <c r="W28" s="18" t="n">
        <v>0</v>
      </c>
      <c r="X28" s="20" t="n">
        <v>0</v>
      </c>
      <c r="Y28" s="18" t="n">
        <v>2.77036367</v>
      </c>
      <c r="Z28" s="20" t="n">
        <v>0.83065179</v>
      </c>
    </row>
    <row r="29" spans="1:26">
      <c r="A29" s="15" t="s">
        <v>587</v>
      </c>
      <c r="B29" s="17" t="n">
        <v>5385</v>
      </c>
      <c r="C29" s="18">
        <f>(4782.0/B29*100)</f>
        <v/>
      </c>
      <c r="D29" s="19" t="n">
        <v>603</v>
      </c>
      <c r="E29" s="18" t="n">
        <v>13.91413288</v>
      </c>
      <c r="F29" s="20" t="n">
        <v>1.39524043</v>
      </c>
      <c r="G29" s="18" t="n">
        <v>13.93191783</v>
      </c>
      <c r="H29" s="20" t="n">
        <v>1.46074521</v>
      </c>
      <c r="I29" s="18" t="n">
        <v>0.3345088</v>
      </c>
      <c r="J29" s="20" t="n">
        <v>0.22034548</v>
      </c>
      <c r="K29" s="18" t="n">
        <v>37.25608789</v>
      </c>
      <c r="L29" s="20" t="n">
        <v>2.0838662</v>
      </c>
      <c r="M29" s="18" t="n">
        <v>16.10858149</v>
      </c>
      <c r="N29" s="20" t="n">
        <v>1.44730463</v>
      </c>
      <c r="O29" s="18" t="n">
        <v>12.85704269</v>
      </c>
      <c r="P29" s="20" t="n">
        <v>1.26055584</v>
      </c>
      <c r="Q29" s="18" t="n">
        <v>0</v>
      </c>
      <c r="R29" s="20" t="n">
        <v>0</v>
      </c>
      <c r="S29" s="18" t="n">
        <v>0.40420148</v>
      </c>
      <c r="T29" s="20" t="n">
        <v>0.24121892</v>
      </c>
      <c r="U29" s="18" t="n">
        <v>0</v>
      </c>
      <c r="V29" s="20" t="n">
        <v>0</v>
      </c>
      <c r="W29" s="18" t="n">
        <v>0</v>
      </c>
      <c r="X29" s="20" t="n">
        <v>0</v>
      </c>
      <c r="Y29" s="18" t="n">
        <v>5.19352694</v>
      </c>
      <c r="Z29" s="20" t="n">
        <v>0.88026006</v>
      </c>
    </row>
    <row r="30" spans="1:26">
      <c r="A30" s="15" t="s">
        <v>588</v>
      </c>
      <c r="B30" s="17" t="n">
        <v>4520</v>
      </c>
      <c r="C30" s="18">
        <f>(4023.0/B30*100)</f>
        <v/>
      </c>
      <c r="D30" s="19" t="n">
        <v>497</v>
      </c>
      <c r="E30" s="18" t="n">
        <v>36.78036233</v>
      </c>
      <c r="F30" s="20" t="n">
        <v>2.316614</v>
      </c>
      <c r="G30" s="18" t="n">
        <v>7.88264492</v>
      </c>
      <c r="H30" s="20" t="n">
        <v>1.33355327</v>
      </c>
      <c r="I30" s="18" t="n">
        <v>0.89866655</v>
      </c>
      <c r="J30" s="20" t="n">
        <v>0.45603514</v>
      </c>
      <c r="K30" s="18" t="n">
        <v>17.5877654</v>
      </c>
      <c r="L30" s="20" t="n">
        <v>1.74273854</v>
      </c>
      <c r="M30" s="18" t="n">
        <v>26.03022625</v>
      </c>
      <c r="N30" s="20" t="n">
        <v>1.99018974</v>
      </c>
      <c r="O30" s="18" t="n">
        <v>4.66740431</v>
      </c>
      <c r="P30" s="20" t="n">
        <v>1.12274627</v>
      </c>
      <c r="Q30" s="18" t="n">
        <v>0</v>
      </c>
      <c r="R30" s="20" t="n">
        <v>0</v>
      </c>
      <c r="S30" s="18" t="n">
        <v>0.48735947</v>
      </c>
      <c r="T30" s="20" t="n">
        <v>0.31772738</v>
      </c>
      <c r="U30" s="18" t="n">
        <v>0</v>
      </c>
      <c r="V30" s="20" t="n">
        <v>0</v>
      </c>
      <c r="W30" s="18" t="n">
        <v>0</v>
      </c>
      <c r="X30" s="20" t="n">
        <v>0</v>
      </c>
      <c r="Y30" s="18" t="n">
        <v>5.66557078</v>
      </c>
      <c r="Z30" s="20" t="n">
        <v>1.14826848</v>
      </c>
    </row>
    <row r="31" spans="1:26">
      <c r="A31" s="15" t="s">
        <v>589</v>
      </c>
      <c r="B31" s="17" t="n">
        <v>5456</v>
      </c>
      <c r="C31" s="18">
        <f>(4862.0/B31*100)</f>
        <v/>
      </c>
      <c r="D31" s="19" t="n">
        <v>594</v>
      </c>
      <c r="E31" s="18" t="n">
        <v>34.90439906</v>
      </c>
      <c r="F31" s="20" t="n">
        <v>1.97237853</v>
      </c>
      <c r="G31" s="18" t="n">
        <v>18.06782932</v>
      </c>
      <c r="H31" s="20" t="n">
        <v>1.46165885</v>
      </c>
      <c r="I31" s="18" t="n">
        <v>0.15959315</v>
      </c>
      <c r="J31" s="20" t="n">
        <v>0.14349729</v>
      </c>
      <c r="K31" s="18" t="n">
        <v>10.61044742</v>
      </c>
      <c r="L31" s="20" t="n">
        <v>1.17003708</v>
      </c>
      <c r="M31" s="18" t="n">
        <v>15.48252703</v>
      </c>
      <c r="N31" s="20" t="n">
        <v>1.30325584</v>
      </c>
      <c r="O31" s="18" t="n">
        <v>11.96477903</v>
      </c>
      <c r="P31" s="20" t="n">
        <v>1.36132795</v>
      </c>
      <c r="Q31" s="18" t="n">
        <v>0</v>
      </c>
      <c r="R31" s="20" t="n">
        <v>0</v>
      </c>
      <c r="S31" s="18" t="n">
        <v>0.50073874</v>
      </c>
      <c r="T31" s="20" t="n">
        <v>0.2839724</v>
      </c>
      <c r="U31" s="18" t="n">
        <v>0.14333505</v>
      </c>
      <c r="V31" s="20" t="n">
        <v>0.16912347</v>
      </c>
      <c r="W31" s="18" t="n">
        <v>0</v>
      </c>
      <c r="X31" s="20" t="n">
        <v>0</v>
      </c>
      <c r="Y31" s="18" t="n">
        <v>8.166351199999999</v>
      </c>
      <c r="Z31" s="20" t="n">
        <v>1.19300941</v>
      </c>
    </row>
    <row r="32" spans="1:26">
      <c r="A32" s="15" t="s">
        <v>590</v>
      </c>
      <c r="B32" s="17" t="n">
        <v>4478</v>
      </c>
      <c r="C32" s="18">
        <f>(3990.0/B32*100)</f>
        <v/>
      </c>
      <c r="D32" s="19" t="n">
        <v>488</v>
      </c>
      <c r="E32" s="18" t="n">
        <v>24.85053625</v>
      </c>
      <c r="F32" s="20" t="n">
        <v>2.07116521</v>
      </c>
      <c r="G32" s="18" t="n">
        <v>10.68131775</v>
      </c>
      <c r="H32" s="20" t="n">
        <v>1.35032756</v>
      </c>
      <c r="I32" s="18" t="n">
        <v>0.43935067</v>
      </c>
      <c r="J32" s="20" t="n">
        <v>0.31053585</v>
      </c>
      <c r="K32" s="18" t="n">
        <v>20.79816622</v>
      </c>
      <c r="L32" s="20" t="n">
        <v>1.50021026</v>
      </c>
      <c r="M32" s="18" t="n">
        <v>17.56246808</v>
      </c>
      <c r="N32" s="20" t="n">
        <v>1.69422836</v>
      </c>
      <c r="O32" s="18" t="n">
        <v>14.32244858</v>
      </c>
      <c r="P32" s="20" t="n">
        <v>1.7084378</v>
      </c>
      <c r="Q32" s="18" t="n">
        <v>0</v>
      </c>
      <c r="R32" s="20" t="n">
        <v>0</v>
      </c>
      <c r="S32" s="18" t="n">
        <v>0</v>
      </c>
      <c r="T32" s="20" t="n">
        <v>0</v>
      </c>
      <c r="U32" s="18" t="n">
        <v>0</v>
      </c>
      <c r="V32" s="20" t="n">
        <v>0</v>
      </c>
      <c r="W32" s="18" t="n">
        <v>0</v>
      </c>
      <c r="X32" s="20" t="n">
        <v>0</v>
      </c>
      <c r="Y32" s="18" t="n">
        <v>11.34571245</v>
      </c>
      <c r="Z32" s="20" t="n">
        <v>1.46406317</v>
      </c>
    </row>
    <row r="33" spans="1:26">
      <c r="A33" s="15" t="s">
        <v>591</v>
      </c>
      <c r="B33" s="17" t="n">
        <v>7325</v>
      </c>
      <c r="C33" s="18">
        <f>(6521.0/B33*100)</f>
        <v/>
      </c>
      <c r="D33" s="19" t="n">
        <v>804</v>
      </c>
      <c r="E33" s="18" t="n">
        <v>21.56867557</v>
      </c>
      <c r="F33" s="20" t="n">
        <v>1.87402139</v>
      </c>
      <c r="G33" s="18" t="n">
        <v>14.26775011</v>
      </c>
      <c r="H33" s="20" t="n">
        <v>1.43019688</v>
      </c>
      <c r="I33" s="18" t="n">
        <v>0</v>
      </c>
      <c r="J33" s="20" t="n">
        <v>0</v>
      </c>
      <c r="K33" s="18" t="n">
        <v>17.75246026</v>
      </c>
      <c r="L33" s="20" t="n">
        <v>1.67491761</v>
      </c>
      <c r="M33" s="18" t="n">
        <v>31.77388213</v>
      </c>
      <c r="N33" s="20" t="n">
        <v>2.10741124</v>
      </c>
      <c r="O33" s="18" t="n">
        <v>3.36294958</v>
      </c>
      <c r="P33" s="20" t="n">
        <v>0.71187884</v>
      </c>
      <c r="Q33" s="18" t="n">
        <v>0</v>
      </c>
      <c r="R33" s="20" t="n">
        <v>0</v>
      </c>
      <c r="S33" s="18" t="n">
        <v>0.23992069</v>
      </c>
      <c r="T33" s="20" t="n">
        <v>0.285459</v>
      </c>
      <c r="U33" s="18" t="n">
        <v>0.2241851</v>
      </c>
      <c r="V33" s="20" t="n">
        <v>0.24960709</v>
      </c>
      <c r="W33" s="18" t="n">
        <v>0</v>
      </c>
      <c r="X33" s="20" t="n">
        <v>0</v>
      </c>
      <c r="Y33" s="18" t="n">
        <v>10.81017655</v>
      </c>
      <c r="Z33" s="20" t="n">
        <v>1.33798224</v>
      </c>
    </row>
    <row r="34" spans="1:26">
      <c r="A34" s="15" t="s">
        <v>592</v>
      </c>
      <c r="B34" s="17" t="n">
        <v>6350</v>
      </c>
      <c r="C34" s="18">
        <f>(5677.0/B34*100)</f>
        <v/>
      </c>
      <c r="D34" s="19" t="n">
        <v>673</v>
      </c>
      <c r="E34" s="18" t="n">
        <v>13.58493165</v>
      </c>
      <c r="F34" s="20" t="n">
        <v>1.45667387</v>
      </c>
      <c r="G34" s="18" t="n">
        <v>22.44450645</v>
      </c>
      <c r="H34" s="20" t="n">
        <v>1.62681935</v>
      </c>
      <c r="I34" s="18" t="n">
        <v>0.59213784</v>
      </c>
      <c r="J34" s="20" t="n">
        <v>0.24530731</v>
      </c>
      <c r="K34" s="18" t="n">
        <v>27.55825014</v>
      </c>
      <c r="L34" s="20" t="n">
        <v>2.01579203</v>
      </c>
      <c r="M34" s="18" t="n">
        <v>13.18984018</v>
      </c>
      <c r="N34" s="20" t="n">
        <v>1.43970035</v>
      </c>
      <c r="O34" s="18" t="n">
        <v>9.48409551</v>
      </c>
      <c r="P34" s="20" t="n">
        <v>1.10258309</v>
      </c>
      <c r="Q34" s="18" t="n">
        <v>0</v>
      </c>
      <c r="R34" s="20" t="n">
        <v>0</v>
      </c>
      <c r="S34" s="18" t="n">
        <v>0.20469074</v>
      </c>
      <c r="T34" s="20" t="n">
        <v>0.11421985</v>
      </c>
      <c r="U34" s="18" t="n">
        <v>0</v>
      </c>
      <c r="V34" s="20" t="n">
        <v>0</v>
      </c>
      <c r="W34" s="18" t="n">
        <v>0</v>
      </c>
      <c r="X34" s="20" t="n">
        <v>0</v>
      </c>
      <c r="Y34" s="18" t="n">
        <v>12.94154748</v>
      </c>
      <c r="Z34" s="20" t="n">
        <v>1.39007809</v>
      </c>
    </row>
    <row r="35" spans="1:26">
      <c r="A35" s="15" t="s">
        <v>593</v>
      </c>
      <c r="B35" s="17" t="n">
        <v>6406</v>
      </c>
      <c r="C35" s="18">
        <f>(5685.0/B35*100)</f>
        <v/>
      </c>
      <c r="D35" s="19" t="n">
        <v>721</v>
      </c>
      <c r="E35" s="18" t="n">
        <v>16.4987955</v>
      </c>
      <c r="F35" s="20" t="n">
        <v>1.88737632</v>
      </c>
      <c r="G35" s="18" t="n">
        <v>14.96379895</v>
      </c>
      <c r="H35" s="20" t="n">
        <v>1.6547585</v>
      </c>
      <c r="I35" s="18" t="n">
        <v>0.13592423</v>
      </c>
      <c r="J35" s="20" t="n">
        <v>0.09699231</v>
      </c>
      <c r="K35" s="18" t="n">
        <v>27.78614607</v>
      </c>
      <c r="L35" s="20" t="n">
        <v>2.00495801</v>
      </c>
      <c r="M35" s="18" t="n">
        <v>22.29840794</v>
      </c>
      <c r="N35" s="20" t="n">
        <v>2.0932038</v>
      </c>
      <c r="O35" s="18" t="n">
        <v>6.9398037</v>
      </c>
      <c r="P35" s="20" t="n">
        <v>1.2339071</v>
      </c>
      <c r="Q35" s="18" t="n">
        <v>0</v>
      </c>
      <c r="R35" s="20" t="n">
        <v>0</v>
      </c>
      <c r="S35" s="18" t="n">
        <v>0</v>
      </c>
      <c r="T35" s="20" t="n">
        <v>0</v>
      </c>
      <c r="U35" s="18" t="n">
        <v>0.23432443</v>
      </c>
      <c r="V35" s="20" t="n">
        <v>0.2356566</v>
      </c>
      <c r="W35" s="18" t="n">
        <v>0</v>
      </c>
      <c r="X35" s="20" t="n">
        <v>0</v>
      </c>
      <c r="Y35" s="18" t="n">
        <v>11.14279919</v>
      </c>
      <c r="Z35" s="20" t="n">
        <v>1.40940617</v>
      </c>
    </row>
    <row r="36" spans="1:26">
      <c r="A36" s="15" t="s">
        <v>594</v>
      </c>
      <c r="B36" s="17" t="n">
        <v>6736</v>
      </c>
      <c r="C36" s="18">
        <f>(5989.0/B36*100)</f>
        <v/>
      </c>
      <c r="D36" s="19" t="n">
        <v>747</v>
      </c>
      <c r="E36" s="18" t="n">
        <v>21.91804127</v>
      </c>
      <c r="F36" s="20" t="n">
        <v>1.50697402</v>
      </c>
      <c r="G36" s="18" t="n">
        <v>10.49859684</v>
      </c>
      <c r="H36" s="20" t="n">
        <v>1.13646206</v>
      </c>
      <c r="I36" s="18" t="n">
        <v>0.73809214</v>
      </c>
      <c r="J36" s="20" t="n">
        <v>0.20362834</v>
      </c>
      <c r="K36" s="18" t="n">
        <v>23.4054156</v>
      </c>
      <c r="L36" s="20" t="n">
        <v>1.55559266</v>
      </c>
      <c r="M36" s="18" t="n">
        <v>30.52389569</v>
      </c>
      <c r="N36" s="20" t="n">
        <v>1.67544017</v>
      </c>
      <c r="O36" s="18" t="n">
        <v>2.62850586</v>
      </c>
      <c r="P36" s="20" t="n">
        <v>0.56001449</v>
      </c>
      <c r="Q36" s="18" t="n">
        <v>0</v>
      </c>
      <c r="R36" s="20" t="n">
        <v>0</v>
      </c>
      <c r="S36" s="18" t="n">
        <v>0.30814044</v>
      </c>
      <c r="T36" s="20" t="n">
        <v>0.18927453</v>
      </c>
      <c r="U36" s="18" t="n">
        <v>0</v>
      </c>
      <c r="V36" s="20" t="n">
        <v>0</v>
      </c>
      <c r="W36" s="18" t="n">
        <v>0</v>
      </c>
      <c r="X36" s="20" t="n">
        <v>0</v>
      </c>
      <c r="Y36" s="18" t="n">
        <v>9.97931217</v>
      </c>
      <c r="Z36" s="20" t="n">
        <v>1.17885631</v>
      </c>
    </row>
    <row r="37" spans="1:26">
      <c r="A37" s="15" t="s">
        <v>595</v>
      </c>
      <c r="B37" s="17" t="n">
        <v>5458</v>
      </c>
      <c r="C37" s="18">
        <f>(4869.0/B37*100)</f>
        <v/>
      </c>
      <c r="D37" s="19" t="n">
        <v>589</v>
      </c>
      <c r="E37" s="18" t="n">
        <v>21.22711698</v>
      </c>
      <c r="F37" s="20" t="n">
        <v>1.49195784</v>
      </c>
      <c r="G37" s="18" t="n">
        <v>5.48200641</v>
      </c>
      <c r="H37" s="20" t="n">
        <v>0.94614221</v>
      </c>
      <c r="I37" s="18" t="n">
        <v>0</v>
      </c>
      <c r="J37" s="20" t="n">
        <v>0</v>
      </c>
      <c r="K37" s="18" t="n">
        <v>30.334794</v>
      </c>
      <c r="L37" s="20" t="n">
        <v>1.95447008</v>
      </c>
      <c r="M37" s="18" t="n">
        <v>20.14976796</v>
      </c>
      <c r="N37" s="20" t="n">
        <v>1.67923941</v>
      </c>
      <c r="O37" s="18" t="n">
        <v>9.721548220000001</v>
      </c>
      <c r="P37" s="20" t="n">
        <v>1.30751583</v>
      </c>
      <c r="Q37" s="18" t="n">
        <v>0</v>
      </c>
      <c r="R37" s="20" t="n">
        <v>0</v>
      </c>
      <c r="S37" s="18" t="n">
        <v>0.14993705</v>
      </c>
      <c r="T37" s="20" t="n">
        <v>0.15110734</v>
      </c>
      <c r="U37" s="18" t="n">
        <v>0</v>
      </c>
      <c r="V37" s="20" t="n">
        <v>0</v>
      </c>
      <c r="W37" s="18" t="n">
        <v>0</v>
      </c>
      <c r="X37" s="20" t="n">
        <v>0</v>
      </c>
      <c r="Y37" s="18" t="n">
        <v>12.93482939</v>
      </c>
      <c r="Z37" s="20" t="n">
        <v>1.58246726</v>
      </c>
    </row>
    <row r="38" spans="1:26">
      <c r="A38" s="15" t="s">
        <v>596</v>
      </c>
      <c r="B38" s="17" t="n">
        <v>5860</v>
      </c>
      <c r="C38" s="18">
        <f>(5217.0/B38*100)</f>
        <v/>
      </c>
      <c r="D38" s="19" t="n">
        <v>643</v>
      </c>
      <c r="E38" s="18" t="n">
        <v>18.52420756</v>
      </c>
      <c r="F38" s="20" t="n">
        <v>1.79994275</v>
      </c>
      <c r="G38" s="18" t="n">
        <v>18.52890315</v>
      </c>
      <c r="H38" s="20" t="n">
        <v>1.72222554</v>
      </c>
      <c r="I38" s="18" t="n">
        <v>0.45873138</v>
      </c>
      <c r="J38" s="20" t="n">
        <v>0.26256242</v>
      </c>
      <c r="K38" s="18" t="n">
        <v>16.6372026</v>
      </c>
      <c r="L38" s="20" t="n">
        <v>1.6507234</v>
      </c>
      <c r="M38" s="18" t="n">
        <v>22.85688291</v>
      </c>
      <c r="N38" s="20" t="n">
        <v>2.41418221</v>
      </c>
      <c r="O38" s="18" t="n">
        <v>6.86479492</v>
      </c>
      <c r="P38" s="20" t="n">
        <v>1.05563587</v>
      </c>
      <c r="Q38" s="18" t="n">
        <v>0</v>
      </c>
      <c r="R38" s="20" t="n">
        <v>0</v>
      </c>
      <c r="S38" s="18" t="n">
        <v>0.12895498</v>
      </c>
      <c r="T38" s="20" t="n">
        <v>0.1290946</v>
      </c>
      <c r="U38" s="18" t="n">
        <v>4.49635875</v>
      </c>
      <c r="V38" s="20" t="n">
        <v>0.90693661</v>
      </c>
      <c r="W38" s="18" t="n">
        <v>0</v>
      </c>
      <c r="X38" s="20" t="n">
        <v>0</v>
      </c>
      <c r="Y38" s="18" t="n">
        <v>11.50396376</v>
      </c>
      <c r="Z38" s="20" t="n">
        <v>1.5898911</v>
      </c>
    </row>
    <row r="39" spans="1:26">
      <c r="A39" s="15" t="s">
        <v>597</v>
      </c>
      <c r="B39" s="17" t="n">
        <v>5895</v>
      </c>
      <c r="C39" s="18">
        <f>(5252.0/B39*100)</f>
        <v/>
      </c>
      <c r="D39" s="19" t="n">
        <v>643</v>
      </c>
      <c r="E39" s="18" t="n">
        <v>26.42793769</v>
      </c>
      <c r="F39" s="20" t="n">
        <v>1.91184379</v>
      </c>
      <c r="G39" s="18" t="n">
        <v>8.77446718</v>
      </c>
      <c r="H39" s="20" t="n">
        <v>1.23541575</v>
      </c>
      <c r="I39" s="18" t="n">
        <v>0.82098422</v>
      </c>
      <c r="J39" s="20" t="n">
        <v>0.42201796</v>
      </c>
      <c r="K39" s="18" t="n">
        <v>34.57270273</v>
      </c>
      <c r="L39" s="20" t="n">
        <v>2.04940577</v>
      </c>
      <c r="M39" s="18" t="n">
        <v>10.22416814</v>
      </c>
      <c r="N39" s="20" t="n">
        <v>1.25689509</v>
      </c>
      <c r="O39" s="18" t="n">
        <v>5.56204333</v>
      </c>
      <c r="P39" s="20" t="n">
        <v>0.97564323</v>
      </c>
      <c r="Q39" s="18" t="n">
        <v>0</v>
      </c>
      <c r="R39" s="20" t="n">
        <v>0</v>
      </c>
      <c r="S39" s="18" t="n">
        <v>0</v>
      </c>
      <c r="T39" s="20" t="n">
        <v>0</v>
      </c>
      <c r="U39" s="18" t="n">
        <v>0</v>
      </c>
      <c r="V39" s="20" t="n">
        <v>0</v>
      </c>
      <c r="W39" s="18" t="n">
        <v>0</v>
      </c>
      <c r="X39" s="20" t="n">
        <v>0</v>
      </c>
      <c r="Y39" s="18" t="n">
        <v>13.61769671</v>
      </c>
      <c r="Z39" s="20" t="n">
        <v>1.27105936</v>
      </c>
    </row>
    <row r="40" spans="1:26">
      <c r="A40" s="15" t="s">
        <v>598</v>
      </c>
      <c r="B40" s="17" t="n">
        <v>14157</v>
      </c>
      <c r="C40" s="18">
        <f>(12608.0/B40*100)</f>
        <v/>
      </c>
      <c r="D40" s="19" t="n">
        <v>1549</v>
      </c>
      <c r="E40" s="18" t="n">
        <v>36.63651785</v>
      </c>
      <c r="F40" s="20" t="n">
        <v>2.20873075</v>
      </c>
      <c r="G40" s="18" t="n">
        <v>11.32247787</v>
      </c>
      <c r="H40" s="20" t="n">
        <v>1.55091478</v>
      </c>
      <c r="I40" s="18" t="n">
        <v>0.99899426</v>
      </c>
      <c r="J40" s="20" t="n">
        <v>0.37081086</v>
      </c>
      <c r="K40" s="18" t="n">
        <v>21.4330205</v>
      </c>
      <c r="L40" s="20" t="n">
        <v>1.80551396</v>
      </c>
      <c r="M40" s="18" t="n">
        <v>20.85957384</v>
      </c>
      <c r="N40" s="20" t="n">
        <v>1.59866707</v>
      </c>
      <c r="O40" s="18" t="n">
        <v>1.94208127</v>
      </c>
      <c r="P40" s="20" t="n">
        <v>0.61494561</v>
      </c>
      <c r="Q40" s="18" t="n">
        <v>0</v>
      </c>
      <c r="R40" s="20" t="n">
        <v>0</v>
      </c>
      <c r="S40" s="18" t="n">
        <v>0.30735789</v>
      </c>
      <c r="T40" s="20" t="n">
        <v>0.18591893</v>
      </c>
      <c r="U40" s="18" t="n">
        <v>0.05047857</v>
      </c>
      <c r="V40" s="20" t="n">
        <v>0.04854512</v>
      </c>
      <c r="W40" s="18" t="n">
        <v>0</v>
      </c>
      <c r="X40" s="20" t="n">
        <v>0</v>
      </c>
      <c r="Y40" s="18" t="n">
        <v>6.44949795</v>
      </c>
      <c r="Z40" s="20" t="n">
        <v>1.07673956</v>
      </c>
    </row>
    <row r="41" spans="1:26">
      <c r="A41" s="15" t="s">
        <v>599</v>
      </c>
      <c r="B41" s="17" t="n">
        <v>5712</v>
      </c>
      <c r="C41" s="18">
        <f>(5091.0/B41*100)</f>
        <v/>
      </c>
      <c r="D41" s="19" t="n">
        <v>621</v>
      </c>
      <c r="E41" s="18" t="n">
        <v>33.18400669</v>
      </c>
      <c r="F41" s="20" t="n">
        <v>1.81579911</v>
      </c>
      <c r="G41" s="18" t="n">
        <v>9.77667445</v>
      </c>
      <c r="H41" s="20" t="n">
        <v>1.21389565</v>
      </c>
      <c r="I41" s="18" t="n">
        <v>0.041365</v>
      </c>
      <c r="J41" s="20" t="n">
        <v>0.04418813</v>
      </c>
      <c r="K41" s="18" t="n">
        <v>28.2554138</v>
      </c>
      <c r="L41" s="20" t="n">
        <v>2.16395841</v>
      </c>
      <c r="M41" s="18" t="n">
        <v>20.83675128</v>
      </c>
      <c r="N41" s="20" t="n">
        <v>1.61479633</v>
      </c>
      <c r="O41" s="18" t="n">
        <v>5.4670802</v>
      </c>
      <c r="P41" s="20" t="n">
        <v>1.0414799</v>
      </c>
      <c r="Q41" s="18" t="n">
        <v>0</v>
      </c>
      <c r="R41" s="20" t="n">
        <v>0</v>
      </c>
      <c r="S41" s="18" t="n">
        <v>0.21817241</v>
      </c>
      <c r="T41" s="20" t="n">
        <v>0.17815169</v>
      </c>
      <c r="U41" s="18" t="n">
        <v>0</v>
      </c>
      <c r="V41" s="20" t="n">
        <v>0</v>
      </c>
      <c r="W41" s="18" t="n">
        <v>0</v>
      </c>
      <c r="X41" s="20" t="n">
        <v>0</v>
      </c>
      <c r="Y41" s="18" t="n">
        <v>2.22053617</v>
      </c>
      <c r="Z41" s="20" t="n">
        <v>0.55624812</v>
      </c>
    </row>
    <row r="42" spans="1:26">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c r="W44" s="18" t="s">
        <v>603</v>
      </c>
      <c r="X44" s="20" t="s">
        <v>603</v>
      </c>
      <c r="Y44" s="18" t="s">
        <v>603</v>
      </c>
      <c r="Z44" s="20" t="s">
        <v>603</v>
      </c>
    </row>
    <row r="45" spans="1:26">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c r="W45" s="18" t="s">
        <v>603</v>
      </c>
      <c r="X45" s="20" t="s">
        <v>603</v>
      </c>
      <c r="Y45" s="18" t="s">
        <v>603</v>
      </c>
      <c r="Z45" s="20" t="s">
        <v>603</v>
      </c>
    </row>
    <row r="46" spans="1:26">
      <c r="A46" s="15" t="s">
        <v>605</v>
      </c>
      <c r="B46" s="17" t="n">
        <v>23141</v>
      </c>
      <c r="C46" s="18">
        <f>(20873.0/B46*100)</f>
        <v/>
      </c>
      <c r="D46" s="19" t="n">
        <v>2268</v>
      </c>
      <c r="E46" s="18" t="n">
        <v>6.76524246</v>
      </c>
      <c r="F46" s="20" t="n">
        <v>0.69641852</v>
      </c>
      <c r="G46" s="18" t="n">
        <v>24.25132419</v>
      </c>
      <c r="H46" s="20" t="n">
        <v>1.15191496</v>
      </c>
      <c r="I46" s="18" t="n">
        <v>0.01363454</v>
      </c>
      <c r="J46" s="20" t="n">
        <v>0.01373227</v>
      </c>
      <c r="K46" s="18" t="n">
        <v>36.80256106</v>
      </c>
      <c r="L46" s="20" t="n">
        <v>1.29370725</v>
      </c>
      <c r="M46" s="18" t="n">
        <v>15.87602476</v>
      </c>
      <c r="N46" s="20" t="n">
        <v>0.99621807</v>
      </c>
      <c r="O46" s="18" t="n">
        <v>2.23357068</v>
      </c>
      <c r="P46" s="20" t="n">
        <v>0.3514208</v>
      </c>
      <c r="Q46" s="18" t="n">
        <v>0</v>
      </c>
      <c r="R46" s="20" t="n">
        <v>0</v>
      </c>
      <c r="S46" s="18" t="n">
        <v>0.62578037</v>
      </c>
      <c r="T46" s="20" t="n">
        <v>0.22120058</v>
      </c>
      <c r="U46" s="18" t="n">
        <v>0.31868524</v>
      </c>
      <c r="V46" s="20" t="n">
        <v>0.16336495</v>
      </c>
      <c r="W46" s="18" t="n">
        <v>0</v>
      </c>
      <c r="X46" s="20" t="n">
        <v>0</v>
      </c>
      <c r="Y46" s="18" t="n">
        <v>13.11317672</v>
      </c>
      <c r="Z46" s="20" t="n">
        <v>0.96268122</v>
      </c>
    </row>
    <row r="47" spans="1:26">
      <c r="A47" s="15" t="s">
        <v>606</v>
      </c>
      <c r="B47" s="17" t="n">
        <v>5928</v>
      </c>
      <c r="C47" s="18">
        <f>(5280.0/B47*100)</f>
        <v/>
      </c>
      <c r="D47" s="19" t="n">
        <v>648</v>
      </c>
      <c r="E47" s="18" t="n">
        <v>25.15143397</v>
      </c>
      <c r="F47" s="20" t="n">
        <v>1.56167694</v>
      </c>
      <c r="G47" s="18" t="n">
        <v>4.94647756</v>
      </c>
      <c r="H47" s="20" t="n">
        <v>0.87869211</v>
      </c>
      <c r="I47" s="18" t="n">
        <v>0.13071932</v>
      </c>
      <c r="J47" s="20" t="n">
        <v>0.13304943</v>
      </c>
      <c r="K47" s="18" t="n">
        <v>24.28714967</v>
      </c>
      <c r="L47" s="20" t="n">
        <v>1.65686287</v>
      </c>
      <c r="M47" s="18" t="n">
        <v>19.649925</v>
      </c>
      <c r="N47" s="20" t="n">
        <v>1.52386328</v>
      </c>
      <c r="O47" s="18" t="n">
        <v>5.63379795</v>
      </c>
      <c r="P47" s="20" t="n">
        <v>1.13211414</v>
      </c>
      <c r="Q47" s="18" t="n">
        <v>0</v>
      </c>
      <c r="R47" s="20" t="n">
        <v>0</v>
      </c>
      <c r="S47" s="18" t="n">
        <v>0.47200207</v>
      </c>
      <c r="T47" s="20" t="n">
        <v>0.31109368</v>
      </c>
      <c r="U47" s="18" t="n">
        <v>0.15951085</v>
      </c>
      <c r="V47" s="20" t="n">
        <v>0.1513179</v>
      </c>
      <c r="W47" s="18" t="n">
        <v>0</v>
      </c>
      <c r="X47" s="20" t="n">
        <v>0</v>
      </c>
      <c r="Y47" s="18" t="n">
        <v>19.56898361</v>
      </c>
      <c r="Z47" s="20" t="n">
        <v>1.61462764</v>
      </c>
    </row>
    <row r="48" spans="1:26">
      <c r="A48" s="15" t="s">
        <v>607</v>
      </c>
      <c r="B48" s="17" t="n">
        <v>9841</v>
      </c>
      <c r="C48" s="18">
        <f>(8783.0/B48*100)</f>
        <v/>
      </c>
      <c r="D48" s="19" t="n">
        <v>1058</v>
      </c>
      <c r="E48" s="18" t="n">
        <v>22.30975435</v>
      </c>
      <c r="F48" s="20" t="n">
        <v>1.65142936</v>
      </c>
      <c r="G48" s="18" t="n">
        <v>1.42457134</v>
      </c>
      <c r="H48" s="20" t="n">
        <v>0.35346292</v>
      </c>
      <c r="I48" s="18" t="n">
        <v>0.14399909</v>
      </c>
      <c r="J48" s="20" t="n">
        <v>0.10019267</v>
      </c>
      <c r="K48" s="18" t="n">
        <v>17.13286806</v>
      </c>
      <c r="L48" s="20" t="n">
        <v>1.58649329</v>
      </c>
      <c r="M48" s="18" t="n">
        <v>19.91102964</v>
      </c>
      <c r="N48" s="20" t="n">
        <v>1.75997676</v>
      </c>
      <c r="O48" s="18" t="n">
        <v>30.53604722</v>
      </c>
      <c r="P48" s="20" t="n">
        <v>2.10642365</v>
      </c>
      <c r="Q48" s="18" t="n">
        <v>0</v>
      </c>
      <c r="R48" s="20" t="n">
        <v>0</v>
      </c>
      <c r="S48" s="18" t="n">
        <v>0.21663535</v>
      </c>
      <c r="T48" s="20" t="n">
        <v>0.17661453</v>
      </c>
      <c r="U48" s="18" t="n">
        <v>0.02894763</v>
      </c>
      <c r="V48" s="20" t="n">
        <v>0.02216994</v>
      </c>
      <c r="W48" s="18" t="n">
        <v>0</v>
      </c>
      <c r="X48" s="20" t="n">
        <v>0</v>
      </c>
      <c r="Y48" s="18" t="n">
        <v>8.29614733</v>
      </c>
      <c r="Z48" s="20" t="n">
        <v>1.10189199</v>
      </c>
    </row>
    <row r="49" spans="1:26">
      <c r="A49" s="15" t="s">
        <v>608</v>
      </c>
      <c r="B49" s="17" t="n">
        <v>11795</v>
      </c>
      <c r="C49" s="18">
        <f>(10510.0/B49*100)</f>
        <v/>
      </c>
      <c r="D49" s="19" t="n">
        <v>1285</v>
      </c>
      <c r="E49" s="18" t="n">
        <v>40.74214373</v>
      </c>
      <c r="F49" s="20" t="n">
        <v>1.82996088</v>
      </c>
      <c r="G49" s="18" t="n">
        <v>4.95474269</v>
      </c>
      <c r="H49" s="20" t="n">
        <v>0.75291897</v>
      </c>
      <c r="I49" s="18" t="n">
        <v>0.73274871</v>
      </c>
      <c r="J49" s="20" t="n">
        <v>0.26969207</v>
      </c>
      <c r="K49" s="18" t="n">
        <v>39.51400854</v>
      </c>
      <c r="L49" s="20" t="n">
        <v>1.7880892</v>
      </c>
      <c r="M49" s="18" t="n">
        <v>7.297393</v>
      </c>
      <c r="N49" s="20" t="n">
        <v>0.80487931</v>
      </c>
      <c r="O49" s="18" t="n">
        <v>2.25246657</v>
      </c>
      <c r="P49" s="20" t="n">
        <v>0.44577452</v>
      </c>
      <c r="Q49" s="18" t="n">
        <v>0</v>
      </c>
      <c r="R49" s="20" t="n">
        <v>0</v>
      </c>
      <c r="S49" s="18" t="n">
        <v>0.97708989</v>
      </c>
      <c r="T49" s="20" t="n">
        <v>0.49511161</v>
      </c>
      <c r="U49" s="18" t="n">
        <v>0.11591304</v>
      </c>
      <c r="V49" s="20" t="n">
        <v>0.06217209</v>
      </c>
      <c r="W49" s="18" t="n">
        <v>0</v>
      </c>
      <c r="X49" s="20" t="n">
        <v>0</v>
      </c>
      <c r="Y49" s="18" t="n">
        <v>3.41349383</v>
      </c>
      <c r="Z49" s="20" t="n">
        <v>0.59393602</v>
      </c>
    </row>
    <row r="50" spans="1:26">
      <c r="A50" s="15" t="s">
        <v>609</v>
      </c>
      <c r="B50" s="17" t="n">
        <v>6866</v>
      </c>
      <c r="C50" s="18">
        <f>(6194.0/B50*100)</f>
        <v/>
      </c>
      <c r="D50" s="19" t="n">
        <v>672</v>
      </c>
      <c r="E50" s="18" t="n">
        <v>17.21208787</v>
      </c>
      <c r="F50" s="20" t="n">
        <v>1.52562694</v>
      </c>
      <c r="G50" s="18" t="n">
        <v>6.36513929</v>
      </c>
      <c r="H50" s="20" t="n">
        <v>1.09514826</v>
      </c>
      <c r="I50" s="18" t="n">
        <v>0.16269841</v>
      </c>
      <c r="J50" s="20" t="n">
        <v>0.13484998</v>
      </c>
      <c r="K50" s="18" t="n">
        <v>48.9216906</v>
      </c>
      <c r="L50" s="20" t="n">
        <v>2.20159735</v>
      </c>
      <c r="M50" s="18" t="n">
        <v>16.73074972</v>
      </c>
      <c r="N50" s="20" t="n">
        <v>1.80654568</v>
      </c>
      <c r="O50" s="18" t="n">
        <v>3.65369565</v>
      </c>
      <c r="P50" s="20" t="n">
        <v>0.88424262</v>
      </c>
      <c r="Q50" s="18" t="n">
        <v>0</v>
      </c>
      <c r="R50" s="20" t="n">
        <v>0</v>
      </c>
      <c r="S50" s="18" t="n">
        <v>0.16281163</v>
      </c>
      <c r="T50" s="20" t="n">
        <v>0.16374111</v>
      </c>
      <c r="U50" s="18" t="n">
        <v>0.32271073</v>
      </c>
      <c r="V50" s="20" t="n">
        <v>0.31430586</v>
      </c>
      <c r="W50" s="18" t="n">
        <v>0</v>
      </c>
      <c r="X50" s="20" t="n">
        <v>0</v>
      </c>
      <c r="Y50" s="18" t="n">
        <v>6.4684161</v>
      </c>
      <c r="Z50" s="20" t="n">
        <v>1.17720156</v>
      </c>
    </row>
    <row r="51" spans="1:26">
      <c r="A51" s="15" t="s">
        <v>610</v>
      </c>
      <c r="B51" s="17" t="n">
        <v>5809</v>
      </c>
      <c r="C51" s="18">
        <f>(5176.0/B51*100)</f>
        <v/>
      </c>
      <c r="D51" s="19" t="n">
        <v>633</v>
      </c>
      <c r="E51" s="18" t="n">
        <v>21.36778356</v>
      </c>
      <c r="F51" s="20" t="n">
        <v>1.63653285</v>
      </c>
      <c r="G51" s="18" t="n">
        <v>10.59318982</v>
      </c>
      <c r="H51" s="20" t="n">
        <v>1.08725947</v>
      </c>
      <c r="I51" s="18" t="n">
        <v>0.27208644</v>
      </c>
      <c r="J51" s="20" t="n">
        <v>0.1968438</v>
      </c>
      <c r="K51" s="18" t="n">
        <v>26.85282475</v>
      </c>
      <c r="L51" s="20" t="n">
        <v>1.82431994</v>
      </c>
      <c r="M51" s="18" t="n">
        <v>16.88292851</v>
      </c>
      <c r="N51" s="20" t="n">
        <v>1.42312821</v>
      </c>
      <c r="O51" s="18" t="n">
        <v>5.02562524</v>
      </c>
      <c r="P51" s="20" t="n">
        <v>1.04156066</v>
      </c>
      <c r="Q51" s="18" t="n">
        <v>0</v>
      </c>
      <c r="R51" s="20" t="n">
        <v>0</v>
      </c>
      <c r="S51" s="18" t="n">
        <v>0.16067145</v>
      </c>
      <c r="T51" s="20" t="n">
        <v>0.15714587</v>
      </c>
      <c r="U51" s="18" t="n">
        <v>0</v>
      </c>
      <c r="V51" s="20" t="n">
        <v>0</v>
      </c>
      <c r="W51" s="18" t="n">
        <v>0</v>
      </c>
      <c r="X51" s="20" t="n">
        <v>0</v>
      </c>
      <c r="Y51" s="18" t="n">
        <v>18.84489025</v>
      </c>
      <c r="Z51" s="20" t="n">
        <v>1.67524455</v>
      </c>
    </row>
    <row r="52" spans="1:26">
      <c r="A52" s="15" t="s">
        <v>611</v>
      </c>
      <c r="B52" s="17" t="n">
        <v>5571</v>
      </c>
      <c r="C52" s="18">
        <f>(4958.0/B52*100)</f>
        <v/>
      </c>
      <c r="D52" s="19" t="n">
        <v>613</v>
      </c>
      <c r="E52" s="18" t="n">
        <v>22.99604609</v>
      </c>
      <c r="F52" s="20" t="n">
        <v>1.97907708</v>
      </c>
      <c r="G52" s="18" t="n">
        <v>12.24612685</v>
      </c>
      <c r="H52" s="20" t="n">
        <v>1.35585382</v>
      </c>
      <c r="I52" s="18" t="n">
        <v>0.7782168699999999</v>
      </c>
      <c r="J52" s="20" t="n">
        <v>0.39869747</v>
      </c>
      <c r="K52" s="18" t="n">
        <v>25.69304304</v>
      </c>
      <c r="L52" s="20" t="n">
        <v>1.9006742</v>
      </c>
      <c r="M52" s="18" t="n">
        <v>10.82718002</v>
      </c>
      <c r="N52" s="20" t="n">
        <v>1.29629376</v>
      </c>
      <c r="O52" s="18" t="n">
        <v>9.942980029999999</v>
      </c>
      <c r="P52" s="20" t="n">
        <v>1.25889081</v>
      </c>
      <c r="Q52" s="18" t="n">
        <v>0</v>
      </c>
      <c r="R52" s="20" t="n">
        <v>0</v>
      </c>
      <c r="S52" s="18" t="n">
        <v>0.37601111</v>
      </c>
      <c r="T52" s="20" t="n">
        <v>0.22007695</v>
      </c>
      <c r="U52" s="18" t="n">
        <v>0.22477857</v>
      </c>
      <c r="V52" s="20" t="n">
        <v>0.22624048</v>
      </c>
      <c r="W52" s="18" t="n">
        <v>0</v>
      </c>
      <c r="X52" s="20" t="n">
        <v>0</v>
      </c>
      <c r="Y52" s="18" t="n">
        <v>16.91561742</v>
      </c>
      <c r="Z52" s="20" t="n">
        <v>1.55789962</v>
      </c>
    </row>
    <row r="53" spans="1:26">
      <c r="A53" s="15" t="s">
        <v>612</v>
      </c>
      <c r="B53" s="17" t="n">
        <v>4740</v>
      </c>
      <c r="C53" s="18">
        <f>(4198.0/B53*100)</f>
        <v/>
      </c>
      <c r="D53" s="19" t="n">
        <v>542</v>
      </c>
      <c r="E53" s="18" t="n">
        <v>13.30176737</v>
      </c>
      <c r="F53" s="20" t="n">
        <v>1.55449889</v>
      </c>
      <c r="G53" s="18" t="n">
        <v>3.95173724</v>
      </c>
      <c r="H53" s="20" t="n">
        <v>0.76485758</v>
      </c>
      <c r="I53" s="18" t="n">
        <v>0.44365738</v>
      </c>
      <c r="J53" s="20" t="n">
        <v>0.23805165</v>
      </c>
      <c r="K53" s="18" t="n">
        <v>48.28591671</v>
      </c>
      <c r="L53" s="20" t="n">
        <v>2.52562599</v>
      </c>
      <c r="M53" s="18" t="n">
        <v>6.22314051</v>
      </c>
      <c r="N53" s="20" t="n">
        <v>1.35714451</v>
      </c>
      <c r="O53" s="18" t="n">
        <v>1.74684656</v>
      </c>
      <c r="P53" s="20" t="n">
        <v>0.62362043</v>
      </c>
      <c r="Q53" s="18" t="n">
        <v>0</v>
      </c>
      <c r="R53" s="20" t="n">
        <v>0</v>
      </c>
      <c r="S53" s="18" t="n">
        <v>7.27938415</v>
      </c>
      <c r="T53" s="20" t="n">
        <v>1.20064999</v>
      </c>
      <c r="U53" s="18" t="n">
        <v>0.56263475</v>
      </c>
      <c r="V53" s="20" t="n">
        <v>0.43432213</v>
      </c>
      <c r="W53" s="18" t="n">
        <v>0</v>
      </c>
      <c r="X53" s="20" t="n">
        <v>0</v>
      </c>
      <c r="Y53" s="18" t="n">
        <v>18.20491534</v>
      </c>
      <c r="Z53" s="20" t="n">
        <v>2.00733325</v>
      </c>
    </row>
    <row r="54" spans="1:26">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c r="W54" s="18" t="s">
        <v>603</v>
      </c>
      <c r="X54" s="20" t="s">
        <v>603</v>
      </c>
      <c r="Y54" s="18" t="s">
        <v>603</v>
      </c>
      <c r="Z54" s="20" t="s">
        <v>603</v>
      </c>
    </row>
    <row r="55" spans="1:26">
      <c r="A55" s="15" t="s">
        <v>614</v>
      </c>
      <c r="B55" s="17" t="n">
        <v>5359</v>
      </c>
      <c r="C55" s="18">
        <f>(4781.0/B55*100)</f>
        <v/>
      </c>
      <c r="D55" s="19" t="n">
        <v>578</v>
      </c>
      <c r="E55" s="18" t="n">
        <v>17.53920078</v>
      </c>
      <c r="F55" s="20" t="n">
        <v>1.68360408</v>
      </c>
      <c r="G55" s="18" t="n">
        <v>10.82455325</v>
      </c>
      <c r="H55" s="20" t="n">
        <v>1.33217417</v>
      </c>
      <c r="I55" s="18" t="n">
        <v>0.51380807</v>
      </c>
      <c r="J55" s="20" t="n">
        <v>0.29340427</v>
      </c>
      <c r="K55" s="18" t="n">
        <v>14.96748952</v>
      </c>
      <c r="L55" s="20" t="n">
        <v>1.34336376</v>
      </c>
      <c r="M55" s="18" t="n">
        <v>25.45575083</v>
      </c>
      <c r="N55" s="20" t="n">
        <v>1.75498342</v>
      </c>
      <c r="O55" s="18" t="n">
        <v>27.39737792</v>
      </c>
      <c r="P55" s="20" t="n">
        <v>2.11256636</v>
      </c>
      <c r="Q55" s="18" t="n">
        <v>0</v>
      </c>
      <c r="R55" s="20" t="n">
        <v>0</v>
      </c>
      <c r="S55" s="18" t="n">
        <v>0</v>
      </c>
      <c r="T55" s="20" t="n">
        <v>0</v>
      </c>
      <c r="U55" s="18" t="n">
        <v>0.1570742</v>
      </c>
      <c r="V55" s="20" t="n">
        <v>0.15862464</v>
      </c>
      <c r="W55" s="18" t="n">
        <v>0</v>
      </c>
      <c r="X55" s="20" t="n">
        <v>0</v>
      </c>
      <c r="Y55" s="18" t="n">
        <v>3.14474544</v>
      </c>
      <c r="Z55" s="20" t="n">
        <v>0.79514509</v>
      </c>
    </row>
    <row r="56" spans="1:26">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c r="W56" s="18" t="s">
        <v>603</v>
      </c>
      <c r="X56" s="20" t="s">
        <v>603</v>
      </c>
      <c r="Y56" s="18" t="s">
        <v>603</v>
      </c>
      <c r="Z56" s="20" t="s">
        <v>603</v>
      </c>
    </row>
    <row r="57" spans="1:26">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c r="W57" s="18" t="s">
        <v>603</v>
      </c>
      <c r="X57" s="20" t="s">
        <v>603</v>
      </c>
      <c r="Y57" s="18" t="s">
        <v>603</v>
      </c>
      <c r="Z57" s="20" t="s">
        <v>603</v>
      </c>
    </row>
    <row r="58" spans="1:26">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c r="Y58" s="21" t="s">
        <v>618</v>
      </c>
      <c r="Z58" s="22" t="s">
        <v>618</v>
      </c>
    </row>
    <row r="59" spans="1:26">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c r="W59" s="18" t="s">
        <v>603</v>
      </c>
      <c r="X59" s="20" t="s">
        <v>603</v>
      </c>
      <c r="Y59" s="18" t="s">
        <v>603</v>
      </c>
      <c r="Z59" s="20" t="s">
        <v>603</v>
      </c>
    </row>
    <row r="60" spans="1:26">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c r="W60" s="18" t="s">
        <v>603</v>
      </c>
      <c r="X60" s="20" t="s">
        <v>603</v>
      </c>
      <c r="Y60" s="18" t="s">
        <v>603</v>
      </c>
      <c r="Z60" s="20" t="s">
        <v>603</v>
      </c>
    </row>
    <row r="61" spans="1:26">
      <c r="A61" s="15" t="s">
        <v>621</v>
      </c>
      <c r="B61" s="17" t="n">
        <v>6525</v>
      </c>
      <c r="C61" s="18">
        <f>(5820.0/B61*100)</f>
        <v/>
      </c>
      <c r="D61" s="19" t="n">
        <v>705</v>
      </c>
      <c r="E61" s="18" t="n">
        <v>17.75079763</v>
      </c>
      <c r="F61" s="20" t="n">
        <v>1.47076927</v>
      </c>
      <c r="G61" s="18" t="n">
        <v>8.40581813</v>
      </c>
      <c r="H61" s="20" t="n">
        <v>1.15001623</v>
      </c>
      <c r="I61" s="18" t="n">
        <v>0</v>
      </c>
      <c r="J61" s="20" t="n">
        <v>0</v>
      </c>
      <c r="K61" s="18" t="n">
        <v>40.06905719</v>
      </c>
      <c r="L61" s="20" t="n">
        <v>2.1200921</v>
      </c>
      <c r="M61" s="18" t="n">
        <v>20.7179608</v>
      </c>
      <c r="N61" s="20" t="n">
        <v>1.92024316</v>
      </c>
      <c r="O61" s="18" t="n">
        <v>7.01548773</v>
      </c>
      <c r="P61" s="20" t="n">
        <v>0.91415485</v>
      </c>
      <c r="Q61" s="18" t="n">
        <v>0</v>
      </c>
      <c r="R61" s="20" t="n">
        <v>0</v>
      </c>
      <c r="S61" s="18" t="n">
        <v>0</v>
      </c>
      <c r="T61" s="20" t="n">
        <v>0</v>
      </c>
      <c r="U61" s="18" t="n">
        <v>0</v>
      </c>
      <c r="V61" s="20" t="n">
        <v>0</v>
      </c>
      <c r="W61" s="18" t="n">
        <v>0</v>
      </c>
      <c r="X61" s="20" t="n">
        <v>0</v>
      </c>
      <c r="Y61" s="18" t="n">
        <v>6.04087852</v>
      </c>
      <c r="Z61" s="20" t="n">
        <v>0.9000211299999999</v>
      </c>
    </row>
    <row r="62" spans="1:26">
      <c r="A62" s="15" t="s">
        <v>622</v>
      </c>
      <c r="B62" s="17" t="n">
        <v>4476</v>
      </c>
      <c r="C62" s="18">
        <f>(3994.0/B62*100)</f>
        <v/>
      </c>
      <c r="D62" s="19" t="n">
        <v>482</v>
      </c>
      <c r="E62" s="18" t="n">
        <v>13.93553956</v>
      </c>
      <c r="F62" s="20" t="n">
        <v>1.7855726</v>
      </c>
      <c r="G62" s="18" t="n">
        <v>12.22708772</v>
      </c>
      <c r="H62" s="20" t="n">
        <v>1.37082913</v>
      </c>
      <c r="I62" s="18" t="n">
        <v>0.21943388</v>
      </c>
      <c r="J62" s="20" t="n">
        <v>0.21922883</v>
      </c>
      <c r="K62" s="18" t="n">
        <v>35.68487686</v>
      </c>
      <c r="L62" s="20" t="n">
        <v>2.24178835</v>
      </c>
      <c r="M62" s="18" t="n">
        <v>17.1684706</v>
      </c>
      <c r="N62" s="20" t="n">
        <v>1.73818241</v>
      </c>
      <c r="O62" s="18" t="n">
        <v>17.8308908</v>
      </c>
      <c r="P62" s="20" t="n">
        <v>1.78928411</v>
      </c>
      <c r="Q62" s="18" t="n">
        <v>0</v>
      </c>
      <c r="R62" s="20" t="n">
        <v>0</v>
      </c>
      <c r="S62" s="18" t="n">
        <v>0</v>
      </c>
      <c r="T62" s="20" t="n">
        <v>0</v>
      </c>
      <c r="U62" s="18" t="n">
        <v>0</v>
      </c>
      <c r="V62" s="20" t="n">
        <v>0</v>
      </c>
      <c r="W62" s="18" t="n">
        <v>0</v>
      </c>
      <c r="X62" s="20" t="n">
        <v>0</v>
      </c>
      <c r="Y62" s="18" t="n">
        <v>2.93370059</v>
      </c>
      <c r="Z62" s="20" t="n">
        <v>0.72951392</v>
      </c>
    </row>
    <row r="63" spans="1:26">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c r="W63" s="18" t="s">
        <v>603</v>
      </c>
      <c r="X63" s="20" t="s">
        <v>603</v>
      </c>
      <c r="Y63" s="18" t="s">
        <v>603</v>
      </c>
      <c r="Z63" s="20" t="s">
        <v>603</v>
      </c>
    </row>
    <row r="64" spans="1:26">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c r="Y64" s="21" t="s">
        <v>618</v>
      </c>
      <c r="Z64" s="22" t="s">
        <v>618</v>
      </c>
    </row>
    <row r="65" spans="1:26">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c r="W65" s="18" t="s">
        <v>603</v>
      </c>
      <c r="X65" s="20" t="s">
        <v>603</v>
      </c>
      <c r="Y65" s="18" t="s">
        <v>603</v>
      </c>
      <c r="Z65" s="20" t="s">
        <v>603</v>
      </c>
    </row>
    <row r="66" spans="1:26">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c r="W66" s="18" t="s">
        <v>603</v>
      </c>
      <c r="X66" s="20" t="s">
        <v>603</v>
      </c>
      <c r="Y66" s="18" t="s">
        <v>603</v>
      </c>
      <c r="Z66" s="20" t="s">
        <v>603</v>
      </c>
    </row>
    <row r="67" spans="1:26">
      <c r="A67" s="15" t="s">
        <v>627</v>
      </c>
      <c r="B67" s="17" t="n">
        <v>5665</v>
      </c>
      <c r="C67" s="18">
        <f>(5044.0/B67*100)</f>
        <v/>
      </c>
      <c r="D67" s="19" t="n">
        <v>621</v>
      </c>
      <c r="E67" s="18" t="n">
        <v>17.03622851</v>
      </c>
      <c r="F67" s="20" t="n">
        <v>1.40695621</v>
      </c>
      <c r="G67" s="18" t="n">
        <v>5.33487224</v>
      </c>
      <c r="H67" s="20" t="n">
        <v>0.82039996</v>
      </c>
      <c r="I67" s="18" t="n">
        <v>0</v>
      </c>
      <c r="J67" s="20" t="n">
        <v>0</v>
      </c>
      <c r="K67" s="18" t="n">
        <v>24.98363293</v>
      </c>
      <c r="L67" s="20" t="n">
        <v>1.81854736</v>
      </c>
      <c r="M67" s="18" t="n">
        <v>8.752820120000001</v>
      </c>
      <c r="N67" s="20" t="n">
        <v>1.18622937</v>
      </c>
      <c r="O67" s="18" t="n">
        <v>11.19649496</v>
      </c>
      <c r="P67" s="20" t="n">
        <v>1.11603969</v>
      </c>
      <c r="Q67" s="18" t="n">
        <v>0</v>
      </c>
      <c r="R67" s="20" t="n">
        <v>0</v>
      </c>
      <c r="S67" s="18" t="n">
        <v>0.13459487</v>
      </c>
      <c r="T67" s="20" t="n">
        <v>0.134462</v>
      </c>
      <c r="U67" s="18" t="n">
        <v>0.59165347</v>
      </c>
      <c r="V67" s="20" t="n">
        <v>0.29243683</v>
      </c>
      <c r="W67" s="18" t="n">
        <v>0</v>
      </c>
      <c r="X67" s="20" t="n">
        <v>0</v>
      </c>
      <c r="Y67" s="18" t="n">
        <v>31.96970291</v>
      </c>
      <c r="Z67" s="20" t="n">
        <v>1.95754811</v>
      </c>
    </row>
    <row r="68" spans="1:26">
      <c r="A68" s="15" t="s">
        <v>628</v>
      </c>
      <c r="B68" s="17" t="n">
        <v>6971</v>
      </c>
      <c r="C68" s="18">
        <f>(6223.0/B68*100)</f>
        <v/>
      </c>
      <c r="D68" s="19" t="n">
        <v>748</v>
      </c>
      <c r="E68" s="18" t="n">
        <v>33.87190123</v>
      </c>
      <c r="F68" s="20" t="n">
        <v>1.99167457</v>
      </c>
      <c r="G68" s="18" t="n">
        <v>5.23842151</v>
      </c>
      <c r="H68" s="20" t="n">
        <v>0.91638686</v>
      </c>
      <c r="I68" s="18" t="n">
        <v>0.16027211</v>
      </c>
      <c r="J68" s="20" t="n">
        <v>0.16040335</v>
      </c>
      <c r="K68" s="18" t="n">
        <v>37.72486053</v>
      </c>
      <c r="L68" s="20" t="n">
        <v>1.94056274</v>
      </c>
      <c r="M68" s="18" t="n">
        <v>11.46508172</v>
      </c>
      <c r="N68" s="20" t="n">
        <v>1.22383626</v>
      </c>
      <c r="O68" s="18" t="n">
        <v>5.30735764</v>
      </c>
      <c r="P68" s="20" t="n">
        <v>0.88145011</v>
      </c>
      <c r="Q68" s="18" t="n">
        <v>0</v>
      </c>
      <c r="R68" s="20" t="n">
        <v>0</v>
      </c>
      <c r="S68" s="18" t="n">
        <v>0.10036927</v>
      </c>
      <c r="T68" s="20" t="n">
        <v>0.10050115</v>
      </c>
      <c r="U68" s="18" t="n">
        <v>0.23819133</v>
      </c>
      <c r="V68" s="20" t="n">
        <v>0.21666607</v>
      </c>
      <c r="W68" s="18" t="n">
        <v>0</v>
      </c>
      <c r="X68" s="20" t="n">
        <v>0</v>
      </c>
      <c r="Y68" s="18" t="n">
        <v>5.89354465</v>
      </c>
      <c r="Z68" s="20" t="n">
        <v>0.80533532</v>
      </c>
    </row>
    <row r="69" spans="1:26">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c r="W69" s="18" t="s">
        <v>603</v>
      </c>
      <c r="X69" s="20" t="s">
        <v>603</v>
      </c>
      <c r="Y69" s="18" t="s">
        <v>603</v>
      </c>
      <c r="Z69" s="20" t="s">
        <v>603</v>
      </c>
    </row>
    <row r="70" spans="1:26">
      <c r="A70" s="15" t="s">
        <v>630</v>
      </c>
      <c r="B70" s="17" t="n">
        <v>12083</v>
      </c>
      <c r="C70" s="18">
        <f>(10725.0/B70*100)</f>
        <v/>
      </c>
      <c r="D70" s="19" t="n">
        <v>1358</v>
      </c>
      <c r="E70" s="18" t="n">
        <v>21.52242198</v>
      </c>
      <c r="F70" s="20" t="n">
        <v>1.09831237</v>
      </c>
      <c r="G70" s="18" t="n">
        <v>11.01092225</v>
      </c>
      <c r="H70" s="20" t="n">
        <v>0.90289118</v>
      </c>
      <c r="I70" s="18" t="n">
        <v>0.51281193</v>
      </c>
      <c r="J70" s="20" t="n">
        <v>0.19228863</v>
      </c>
      <c r="K70" s="18" t="n">
        <v>37.41839984</v>
      </c>
      <c r="L70" s="20" t="n">
        <v>1.3745536</v>
      </c>
      <c r="M70" s="18" t="n">
        <v>9.342972899999999</v>
      </c>
      <c r="N70" s="20" t="n">
        <v>0.83123011</v>
      </c>
      <c r="O70" s="18" t="n">
        <v>7.42997693</v>
      </c>
      <c r="P70" s="20" t="n">
        <v>0.70008625</v>
      </c>
      <c r="Q70" s="18" t="n">
        <v>0</v>
      </c>
      <c r="R70" s="20" t="n">
        <v>0</v>
      </c>
      <c r="S70" s="18" t="n">
        <v>1.06238559</v>
      </c>
      <c r="T70" s="20" t="n">
        <v>0.28568319</v>
      </c>
      <c r="U70" s="18" t="n">
        <v>0.06997610999999999</v>
      </c>
      <c r="V70" s="20" t="n">
        <v>0.07011551000000001</v>
      </c>
      <c r="W70" s="18" t="n">
        <v>0</v>
      </c>
      <c r="X70" s="20" t="n">
        <v>0</v>
      </c>
      <c r="Y70" s="18" t="n">
        <v>11.63013247</v>
      </c>
      <c r="Z70" s="20" t="n">
        <v>0.77935003</v>
      </c>
    </row>
    <row r="71" spans="1:26">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c r="W71" s="18" t="s">
        <v>603</v>
      </c>
      <c r="X71" s="20" t="s">
        <v>603</v>
      </c>
      <c r="Y71" s="18" t="s">
        <v>603</v>
      </c>
      <c r="Z71" s="20" t="s">
        <v>603</v>
      </c>
    </row>
    <row r="72" spans="1:26">
      <c r="A72" s="15" t="s">
        <v>632</v>
      </c>
      <c r="B72" s="17" t="n">
        <v>6036</v>
      </c>
      <c r="C72" s="18">
        <f>(5399.0/B72*100)</f>
        <v/>
      </c>
      <c r="D72" s="19" t="n">
        <v>637</v>
      </c>
      <c r="E72" s="18" t="n">
        <v>30.814192</v>
      </c>
      <c r="F72" s="20" t="n">
        <v>2.13235002</v>
      </c>
      <c r="G72" s="18" t="n">
        <v>9.454162009999999</v>
      </c>
      <c r="H72" s="20" t="n">
        <v>1.98299564</v>
      </c>
      <c r="I72" s="18" t="n">
        <v>0.17466603</v>
      </c>
      <c r="J72" s="20" t="n">
        <v>0.17413181</v>
      </c>
      <c r="K72" s="18" t="n">
        <v>12.4592873</v>
      </c>
      <c r="L72" s="20" t="n">
        <v>1.3191199</v>
      </c>
      <c r="M72" s="18" t="n">
        <v>25.28080557</v>
      </c>
      <c r="N72" s="20" t="n">
        <v>1.47137174</v>
      </c>
      <c r="O72" s="18" t="n">
        <v>13.24332464</v>
      </c>
      <c r="P72" s="20" t="n">
        <v>1.49857818</v>
      </c>
      <c r="Q72" s="18" t="n">
        <v>0</v>
      </c>
      <c r="R72" s="20" t="n">
        <v>0</v>
      </c>
      <c r="S72" s="18" t="n">
        <v>0.51887539</v>
      </c>
      <c r="T72" s="20" t="n">
        <v>0.30085516</v>
      </c>
      <c r="U72" s="18" t="n">
        <v>0</v>
      </c>
      <c r="V72" s="20" t="n">
        <v>0</v>
      </c>
      <c r="W72" s="18" t="n">
        <v>0</v>
      </c>
      <c r="X72" s="20" t="n">
        <v>0</v>
      </c>
      <c r="Y72" s="18" t="n">
        <v>8.054687059999999</v>
      </c>
      <c r="Z72" s="20" t="n">
        <v>1.52470091</v>
      </c>
    </row>
    <row r="73" spans="1:26">
      <c r="A73" s="15" t="s">
        <v>633</v>
      </c>
      <c r="B73" s="17" t="n">
        <v>6115</v>
      </c>
      <c r="C73" s="18">
        <f>(5425.0/B73*100)</f>
        <v/>
      </c>
      <c r="D73" s="19" t="n">
        <v>690</v>
      </c>
      <c r="E73" s="18" t="n">
        <v>25.79987921</v>
      </c>
      <c r="F73" s="20" t="n">
        <v>1.63786605</v>
      </c>
      <c r="G73" s="18" t="n">
        <v>16.91790824</v>
      </c>
      <c r="H73" s="20" t="n">
        <v>1.46448327</v>
      </c>
      <c r="I73" s="18" t="n">
        <v>0.83181143</v>
      </c>
      <c r="J73" s="20" t="n">
        <v>0.35745749</v>
      </c>
      <c r="K73" s="18" t="n">
        <v>17.31202484</v>
      </c>
      <c r="L73" s="20" t="n">
        <v>1.36911977</v>
      </c>
      <c r="M73" s="18" t="n">
        <v>29.54633152</v>
      </c>
      <c r="N73" s="20" t="n">
        <v>1.76562735</v>
      </c>
      <c r="O73" s="18" t="n">
        <v>6.88600358</v>
      </c>
      <c r="P73" s="20" t="n">
        <v>1.11933677</v>
      </c>
      <c r="Q73" s="18" t="n">
        <v>0</v>
      </c>
      <c r="R73" s="20" t="n">
        <v>0</v>
      </c>
      <c r="S73" s="18" t="n">
        <v>0.23311472</v>
      </c>
      <c r="T73" s="20" t="n">
        <v>0.22302065</v>
      </c>
      <c r="U73" s="18" t="n">
        <v>0</v>
      </c>
      <c r="V73" s="20" t="n">
        <v>0</v>
      </c>
      <c r="W73" s="18" t="n">
        <v>0</v>
      </c>
      <c r="X73" s="20" t="n">
        <v>0</v>
      </c>
      <c r="Y73" s="18" t="n">
        <v>2.47292647</v>
      </c>
      <c r="Z73" s="20" t="n">
        <v>0.60968112</v>
      </c>
    </row>
    <row r="74" spans="1:26">
      <c r="A74" s="15" t="s">
        <v>634</v>
      </c>
      <c r="B74" s="17" t="n">
        <v>7708</v>
      </c>
      <c r="C74" s="18">
        <f>(6865.0/B74*100)</f>
        <v/>
      </c>
      <c r="D74" s="19" t="n">
        <v>843</v>
      </c>
      <c r="E74" s="18" t="n">
        <v>31.46470678</v>
      </c>
      <c r="F74" s="20" t="n">
        <v>1.61911582</v>
      </c>
      <c r="G74" s="18" t="n">
        <v>14.72308974</v>
      </c>
      <c r="H74" s="20" t="n">
        <v>1.33040153</v>
      </c>
      <c r="I74" s="18" t="n">
        <v>1.19819788</v>
      </c>
      <c r="J74" s="20" t="n">
        <v>0.33195892</v>
      </c>
      <c r="K74" s="18" t="n">
        <v>20.13557778</v>
      </c>
      <c r="L74" s="20" t="n">
        <v>1.4893495</v>
      </c>
      <c r="M74" s="18" t="n">
        <v>19.8761817</v>
      </c>
      <c r="N74" s="20" t="n">
        <v>1.54088868</v>
      </c>
      <c r="O74" s="18" t="n">
        <v>4.79059135</v>
      </c>
      <c r="P74" s="20" t="n">
        <v>0.83231303</v>
      </c>
      <c r="Q74" s="18" t="n">
        <v>0</v>
      </c>
      <c r="R74" s="20" t="n">
        <v>0</v>
      </c>
      <c r="S74" s="18" t="n">
        <v>0.15688412</v>
      </c>
      <c r="T74" s="20" t="n">
        <v>0.15745329</v>
      </c>
      <c r="U74" s="18" t="n">
        <v>0</v>
      </c>
      <c r="V74" s="20" t="n">
        <v>0</v>
      </c>
      <c r="W74" s="18" t="n">
        <v>0</v>
      </c>
      <c r="X74" s="20" t="n">
        <v>0</v>
      </c>
      <c r="Y74" s="18" t="n">
        <v>7.65477064</v>
      </c>
      <c r="Z74" s="20" t="n">
        <v>0.88057459</v>
      </c>
    </row>
    <row r="75" spans="1:26">
      <c r="A75" s="15" t="s">
        <v>635</v>
      </c>
      <c r="B75" s="17" t="n">
        <v>8249</v>
      </c>
      <c r="C75" s="18">
        <f>(7375.0/B75*100)</f>
        <v/>
      </c>
      <c r="D75" s="19" t="n">
        <v>874</v>
      </c>
      <c r="E75" s="18" t="n">
        <v>14.5035061</v>
      </c>
      <c r="F75" s="20" t="n">
        <v>1.61097206</v>
      </c>
      <c r="G75" s="18" t="n">
        <v>10.99500242</v>
      </c>
      <c r="H75" s="20" t="n">
        <v>1.35471123</v>
      </c>
      <c r="I75" s="18" t="n">
        <v>0.46224928</v>
      </c>
      <c r="J75" s="20" t="n">
        <v>0.26855967</v>
      </c>
      <c r="K75" s="18" t="n">
        <v>63.43016868</v>
      </c>
      <c r="L75" s="20" t="n">
        <v>1.9779763</v>
      </c>
      <c r="M75" s="18" t="n">
        <v>5.03572715</v>
      </c>
      <c r="N75" s="20" t="n">
        <v>0.9429440100000001</v>
      </c>
      <c r="O75" s="18" t="n">
        <v>3.64663301</v>
      </c>
      <c r="P75" s="20" t="n">
        <v>0.6750779</v>
      </c>
      <c r="Q75" s="18" t="n">
        <v>0</v>
      </c>
      <c r="R75" s="20" t="n">
        <v>0</v>
      </c>
      <c r="S75" s="18" t="n">
        <v>0</v>
      </c>
      <c r="T75" s="20" t="n">
        <v>0</v>
      </c>
      <c r="U75" s="18" t="n">
        <v>0.16142278</v>
      </c>
      <c r="V75" s="20" t="n">
        <v>0.16138044</v>
      </c>
      <c r="W75" s="18" t="n">
        <v>0</v>
      </c>
      <c r="X75" s="20" t="n">
        <v>0</v>
      </c>
      <c r="Y75" s="18" t="n">
        <v>1.76529057</v>
      </c>
      <c r="Z75" s="20" t="n">
        <v>0.59386985</v>
      </c>
    </row>
    <row r="76" spans="1:26">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c r="W76" s="18" t="s">
        <v>603</v>
      </c>
      <c r="X76" s="20" t="s">
        <v>603</v>
      </c>
      <c r="Y76" s="18" t="s">
        <v>603</v>
      </c>
      <c r="Z76" s="20" t="s">
        <v>603</v>
      </c>
    </row>
    <row r="77" spans="1:26">
      <c r="A77" s="15" t="s">
        <v>637</v>
      </c>
      <c r="B77" s="17" t="n">
        <v>5375</v>
      </c>
      <c r="C77" s="18">
        <f>(4836.0/B77*100)</f>
        <v/>
      </c>
      <c r="D77" s="19" t="n">
        <v>539</v>
      </c>
      <c r="E77" s="18" t="n">
        <v>10.47303115</v>
      </c>
      <c r="F77" s="20" t="n">
        <v>1.14794614</v>
      </c>
      <c r="G77" s="18" t="n">
        <v>6.79992755</v>
      </c>
      <c r="H77" s="20" t="n">
        <v>1.16722694</v>
      </c>
      <c r="I77" s="18" t="n">
        <v>0</v>
      </c>
      <c r="J77" s="20" t="n">
        <v>0</v>
      </c>
      <c r="K77" s="18" t="n">
        <v>49.88192344</v>
      </c>
      <c r="L77" s="20" t="n">
        <v>2.27341163</v>
      </c>
      <c r="M77" s="18" t="n">
        <v>1.58947929</v>
      </c>
      <c r="N77" s="20" t="n">
        <v>0.51927685</v>
      </c>
      <c r="O77" s="18" t="n">
        <v>3.70664278</v>
      </c>
      <c r="P77" s="20" t="n">
        <v>0.7842250200000001</v>
      </c>
      <c r="Q77" s="18" t="n">
        <v>0</v>
      </c>
      <c r="R77" s="20" t="n">
        <v>0</v>
      </c>
      <c r="S77" s="18" t="n">
        <v>1.7587645</v>
      </c>
      <c r="T77" s="20" t="n">
        <v>0.49750947</v>
      </c>
      <c r="U77" s="18" t="n">
        <v>0.94156979</v>
      </c>
      <c r="V77" s="20" t="n">
        <v>0.41135109</v>
      </c>
      <c r="W77" s="18" t="n">
        <v>0</v>
      </c>
      <c r="X77" s="20" t="n">
        <v>0</v>
      </c>
      <c r="Y77" s="18" t="n">
        <v>24.84866151</v>
      </c>
      <c r="Z77" s="20" t="n">
        <v>2.14270964</v>
      </c>
    </row>
    <row r="78" spans="1:26">
      <c r="A78" s="15" t="s">
        <v>638</v>
      </c>
      <c r="B78" s="17" t="n">
        <v>14167</v>
      </c>
      <c r="C78" s="18">
        <f>(12616.0/B78*100)</f>
        <v/>
      </c>
      <c r="D78" s="19" t="n">
        <v>1551</v>
      </c>
      <c r="E78" s="18" t="n">
        <v>31.40442535</v>
      </c>
      <c r="F78" s="20" t="n">
        <v>1.32427373</v>
      </c>
      <c r="G78" s="18" t="n">
        <v>5.70465624</v>
      </c>
      <c r="H78" s="20" t="n">
        <v>0.67523473</v>
      </c>
      <c r="I78" s="18" t="n">
        <v>1.021877</v>
      </c>
      <c r="J78" s="20" t="n">
        <v>0.30254804</v>
      </c>
      <c r="K78" s="18" t="n">
        <v>38.12477103</v>
      </c>
      <c r="L78" s="20" t="n">
        <v>1.65246574</v>
      </c>
      <c r="M78" s="18" t="n">
        <v>9.70808785</v>
      </c>
      <c r="N78" s="20" t="n">
        <v>1.00134675</v>
      </c>
      <c r="O78" s="18" t="n">
        <v>6.09241864</v>
      </c>
      <c r="P78" s="20" t="n">
        <v>0.71164067</v>
      </c>
      <c r="Q78" s="18" t="n">
        <v>0</v>
      </c>
      <c r="R78" s="20" t="n">
        <v>0</v>
      </c>
      <c r="S78" s="18" t="n">
        <v>0.90968128</v>
      </c>
      <c r="T78" s="20" t="n">
        <v>0.32039187</v>
      </c>
      <c r="U78" s="18" t="n">
        <v>0.21017408</v>
      </c>
      <c r="V78" s="20" t="n">
        <v>0.12975358</v>
      </c>
      <c r="W78" s="18" t="n">
        <v>0</v>
      </c>
      <c r="X78" s="20" t="n">
        <v>0</v>
      </c>
      <c r="Y78" s="18" t="n">
        <v>6.82390851</v>
      </c>
      <c r="Z78" s="20" t="n">
        <v>0.83985412</v>
      </c>
    </row>
    <row r="79" spans="1:26">
      <c r="A79" s="15" t="s">
        <v>639</v>
      </c>
      <c r="B79" s="17" t="n">
        <v>6062</v>
      </c>
      <c r="C79" s="18">
        <f>(5379.0/B79*100)</f>
        <v/>
      </c>
      <c r="D79" s="19" t="n">
        <v>683</v>
      </c>
      <c r="E79" s="18" t="n">
        <v>28.60090893</v>
      </c>
      <c r="F79" s="20" t="n">
        <v>1.7753909</v>
      </c>
      <c r="G79" s="18" t="n">
        <v>8.930068390000001</v>
      </c>
      <c r="H79" s="20" t="n">
        <v>1.09247948</v>
      </c>
      <c r="I79" s="18" t="n">
        <v>0.16048067</v>
      </c>
      <c r="J79" s="20" t="n">
        <v>0.16341168</v>
      </c>
      <c r="K79" s="18" t="n">
        <v>19.38885494</v>
      </c>
      <c r="L79" s="20" t="n">
        <v>1.58522366</v>
      </c>
      <c r="M79" s="18" t="n">
        <v>20.40927062</v>
      </c>
      <c r="N79" s="20" t="n">
        <v>1.5322407</v>
      </c>
      <c r="O79" s="18" t="n">
        <v>3.63776324</v>
      </c>
      <c r="P79" s="20" t="n">
        <v>0.74129424</v>
      </c>
      <c r="Q79" s="18" t="n">
        <v>0</v>
      </c>
      <c r="R79" s="20" t="n">
        <v>0</v>
      </c>
      <c r="S79" s="18" t="n">
        <v>0.38259467</v>
      </c>
      <c r="T79" s="20" t="n">
        <v>0.22026845</v>
      </c>
      <c r="U79" s="18" t="n">
        <v>0.16754193</v>
      </c>
      <c r="V79" s="20" t="n">
        <v>0.17028324</v>
      </c>
      <c r="W79" s="18" t="n">
        <v>0</v>
      </c>
      <c r="X79" s="20" t="n">
        <v>0</v>
      </c>
      <c r="Y79" s="18" t="n">
        <v>18.3225166</v>
      </c>
      <c r="Z79" s="20" t="n">
        <v>1.46499879</v>
      </c>
    </row>
    <row r="80" spans="1:26">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c r="W80" s="18" t="s">
        <v>603</v>
      </c>
      <c r="X80" s="20" t="s">
        <v>603</v>
      </c>
      <c r="Y80" s="18" t="s">
        <v>603</v>
      </c>
      <c r="Z80" s="20" t="s">
        <v>603</v>
      </c>
    </row>
    <row r="81" spans="1:26">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c r="W81" s="18" t="s">
        <v>603</v>
      </c>
      <c r="X81" s="20" t="s">
        <v>603</v>
      </c>
      <c r="Y81" s="18" t="s">
        <v>603</v>
      </c>
      <c r="Z81" s="20" t="s">
        <v>603</v>
      </c>
    </row>
    <row r="82" spans="1:26">
      <c r="A82" s="15" t="s">
        <v>642</v>
      </c>
      <c r="B82" s="17" t="n">
        <v>32330</v>
      </c>
      <c r="C82" s="18">
        <f>(28767.0/B82*100)</f>
        <v/>
      </c>
      <c r="D82" s="19" t="n">
        <v>3563</v>
      </c>
      <c r="E82" s="18" t="n">
        <v>23.4315147</v>
      </c>
      <c r="F82" s="20" t="n">
        <v>1.17016722</v>
      </c>
      <c r="G82" s="18" t="n">
        <v>10.20345614</v>
      </c>
      <c r="H82" s="20" t="n">
        <v>0.73034873</v>
      </c>
      <c r="I82" s="18" t="n">
        <v>0.62517268</v>
      </c>
      <c r="J82" s="20" t="n">
        <v>0.18884658</v>
      </c>
      <c r="K82" s="18" t="n">
        <v>22.91631568</v>
      </c>
      <c r="L82" s="20" t="n">
        <v>0.95238594</v>
      </c>
      <c r="M82" s="18" t="n">
        <v>29.97488322</v>
      </c>
      <c r="N82" s="20" t="n">
        <v>1.12782544</v>
      </c>
      <c r="O82" s="18" t="n">
        <v>3.55501221</v>
      </c>
      <c r="P82" s="20" t="n">
        <v>0.52448435</v>
      </c>
      <c r="Q82" s="18" t="n">
        <v>0</v>
      </c>
      <c r="R82" s="20" t="n">
        <v>0</v>
      </c>
      <c r="S82" s="18" t="n">
        <v>0.18149863</v>
      </c>
      <c r="T82" s="20" t="n">
        <v>0.12229735</v>
      </c>
      <c r="U82" s="18" t="n">
        <v>0.07637528</v>
      </c>
      <c r="V82" s="20" t="n">
        <v>0.06184025</v>
      </c>
      <c r="W82" s="18" t="n">
        <v>0</v>
      </c>
      <c r="X82" s="20" t="n">
        <v>0</v>
      </c>
      <c r="Y82" s="18" t="n">
        <v>9.03577147</v>
      </c>
      <c r="Z82" s="20" t="n">
        <v>0.73293038</v>
      </c>
    </row>
    <row r="83" spans="1:26">
      <c r="A83" s="15" t="s">
        <v>643</v>
      </c>
      <c r="B83" s="17" t="n">
        <v>1652</v>
      </c>
      <c r="C83" s="18">
        <f>(1474.0/B83*100)</f>
        <v/>
      </c>
      <c r="D83" s="19" t="n">
        <v>178</v>
      </c>
      <c r="E83" s="18" t="n">
        <v>27.80559919</v>
      </c>
      <c r="F83" s="20" t="n">
        <v>3.54639726</v>
      </c>
      <c r="G83" s="18" t="n">
        <v>9.20805981</v>
      </c>
      <c r="H83" s="20" t="n">
        <v>2.43771894</v>
      </c>
      <c r="I83" s="18" t="n">
        <v>0.5693251</v>
      </c>
      <c r="J83" s="20" t="n">
        <v>0.54672231</v>
      </c>
      <c r="K83" s="18" t="n">
        <v>32.17233351</v>
      </c>
      <c r="L83" s="20" t="n">
        <v>3.71215947</v>
      </c>
      <c r="M83" s="18" t="n">
        <v>24.62720473</v>
      </c>
      <c r="N83" s="20" t="n">
        <v>3.77912077</v>
      </c>
      <c r="O83" s="18" t="n">
        <v>4.48112091</v>
      </c>
      <c r="P83" s="20" t="n">
        <v>1.24299625</v>
      </c>
      <c r="Q83" s="18" t="n">
        <v>0</v>
      </c>
      <c r="R83" s="20" t="n">
        <v>0</v>
      </c>
      <c r="S83" s="18" t="n">
        <v>0</v>
      </c>
      <c r="T83" s="20" t="n">
        <v>0</v>
      </c>
      <c r="U83" s="18" t="n">
        <v>0</v>
      </c>
      <c r="V83" s="20" t="n">
        <v>0</v>
      </c>
      <c r="W83" s="18" t="n">
        <v>0</v>
      </c>
      <c r="X83" s="20" t="n">
        <v>0</v>
      </c>
      <c r="Y83" s="18" t="n">
        <v>1.13635675</v>
      </c>
      <c r="Z83" s="20" t="n">
        <v>0.7883724600000001</v>
      </c>
    </row>
    <row r="84" spans="1:26">
      <c r="A84" s="23" t="s">
        <v>644</v>
      </c>
      <c r="B84" s="24" t="n">
        <v>1887</v>
      </c>
      <c r="C84" s="25">
        <f>(1699.0/B84*100)</f>
        <v/>
      </c>
      <c r="D84" s="19" t="n">
        <v>188</v>
      </c>
      <c r="E84" s="18" t="n">
        <v>31.31847926</v>
      </c>
      <c r="F84" s="20" t="n">
        <v>2.90146957</v>
      </c>
      <c r="G84" s="18" t="n">
        <v>7.57496808</v>
      </c>
      <c r="H84" s="20" t="n">
        <v>1.87327548</v>
      </c>
      <c r="I84" s="18" t="n">
        <v>0.52895399</v>
      </c>
      <c r="J84" s="20" t="n">
        <v>0.53832951</v>
      </c>
      <c r="K84" s="18" t="n">
        <v>31.56689125</v>
      </c>
      <c r="L84" s="20" t="n">
        <v>3.32458434</v>
      </c>
      <c r="M84" s="18" t="n">
        <v>20.07073726</v>
      </c>
      <c r="N84" s="20" t="n">
        <v>3.56217956</v>
      </c>
      <c r="O84" s="18" t="n">
        <v>7.69562782</v>
      </c>
      <c r="P84" s="20" t="n">
        <v>1.84596703</v>
      </c>
      <c r="Q84" s="18" t="n">
        <v>0</v>
      </c>
      <c r="R84" s="20" t="n">
        <v>0</v>
      </c>
      <c r="S84" s="18" t="n">
        <v>0</v>
      </c>
      <c r="T84" s="20" t="n">
        <v>0</v>
      </c>
      <c r="U84" s="18" t="n">
        <v>0</v>
      </c>
      <c r="V84" s="20" t="n">
        <v>0</v>
      </c>
      <c r="W84" s="18" t="n">
        <v>0</v>
      </c>
      <c r="X84" s="20" t="n">
        <v>0</v>
      </c>
      <c r="Y84" s="18" t="n">
        <v>1.24434235</v>
      </c>
      <c r="Z84" s="20" t="n">
        <v>0.73616107</v>
      </c>
    </row>
    <row r="86" spans="1:26">
      <c r="A86" s="3" t="s">
        <v>645</v>
      </c>
    </row>
    <row r="87" spans="1:26">
      <c r="A87" s="26" t="s">
        <v>646</v>
      </c>
    </row>
    <row r="88" spans="1:26">
      <c r="A88" s="26" t="s">
        <v>647</v>
      </c>
    </row>
    <row customHeight="1" ht="30" r="89" spans="1:26">
      <c r="A89" s="26" t="s">
        <v>648</v>
      </c>
    </row>
    <row customHeight="1" ht="30" r="90" spans="1:26">
      <c r="A90" s="26" t="s">
        <v>649</v>
      </c>
    </row>
    <row customHeight="1" ht="30" r="91" spans="1:26">
      <c r="A91" s="26" t="s">
        <v>650</v>
      </c>
    </row>
    <row customHeight="1" ht="30" r="92" spans="1:26">
      <c r="A92" s="26" t="s">
        <v>651</v>
      </c>
    </row>
    <row customHeight="1" ht="30" r="93" spans="1:26">
      <c r="A93" s="26" t="s">
        <v>652</v>
      </c>
    </row>
    <row customHeight="1" ht="30" r="94" spans="1:26">
      <c r="A94" s="26" t="s">
        <v>653</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(12938.0/B7*100)</f>
        <v/>
      </c>
      <c r="D7" s="19" t="n">
        <v>1592</v>
      </c>
      <c r="E7" s="18" t="n">
        <v>47.5237552</v>
      </c>
      <c r="F7" s="20" t="n">
        <v>1.4423515</v>
      </c>
      <c r="G7" s="18" t="n">
        <v>51.45236684</v>
      </c>
      <c r="H7" s="20" t="n">
        <v>1.49438626</v>
      </c>
      <c r="I7" s="18" t="n">
        <v>0</v>
      </c>
      <c r="J7" s="20" t="n">
        <v>0</v>
      </c>
      <c r="K7" s="18" t="n">
        <v>0.017195</v>
      </c>
      <c r="L7" s="20" t="n">
        <v>0.01668862</v>
      </c>
      <c r="M7" s="18" t="n">
        <v>0</v>
      </c>
      <c r="N7" s="20" t="n">
        <v>0</v>
      </c>
      <c r="O7" s="18" t="n">
        <v>0</v>
      </c>
      <c r="P7" s="20" t="n">
        <v>0</v>
      </c>
      <c r="Q7" s="18" t="n">
        <v>1.00668295</v>
      </c>
      <c r="R7" s="20" t="n">
        <v>0.34187679</v>
      </c>
    </row>
    <row r="8" spans="1:18">
      <c r="A8" s="15" t="s">
        <v>566</v>
      </c>
      <c r="B8" s="17" t="n">
        <v>7007</v>
      </c>
      <c r="C8" s="18">
        <f>(6204.0/B8*100)</f>
        <v/>
      </c>
      <c r="D8" s="19" t="n">
        <v>803</v>
      </c>
      <c r="E8" s="18" t="n">
        <v>42.26489089</v>
      </c>
      <c r="F8" s="20" t="n">
        <v>1.84837369</v>
      </c>
      <c r="G8" s="18" t="n">
        <v>57.39015503</v>
      </c>
      <c r="H8" s="20" t="n">
        <v>1.86607244</v>
      </c>
      <c r="I8" s="18" t="n">
        <v>0</v>
      </c>
      <c r="J8" s="20" t="n">
        <v>0</v>
      </c>
      <c r="K8" s="18" t="n">
        <v>0</v>
      </c>
      <c r="L8" s="20" t="n">
        <v>0</v>
      </c>
      <c r="M8" s="18" t="n">
        <v>0</v>
      </c>
      <c r="N8" s="20" t="n">
        <v>0</v>
      </c>
      <c r="O8" s="18" t="n">
        <v>0</v>
      </c>
      <c r="P8" s="20" t="n">
        <v>0</v>
      </c>
      <c r="Q8" s="18" t="n">
        <v>0.34495408</v>
      </c>
      <c r="R8" s="20" t="n">
        <v>0.22087128</v>
      </c>
    </row>
    <row r="9" spans="1:18">
      <c r="A9" s="15" t="s">
        <v>567</v>
      </c>
      <c r="B9" s="17" t="n">
        <v>9651</v>
      </c>
      <c r="C9" s="18">
        <f>(8384.0/B9*100)</f>
        <v/>
      </c>
      <c r="D9" s="19" t="n">
        <v>1267</v>
      </c>
      <c r="E9" s="18" t="n">
        <v>47.03368381</v>
      </c>
      <c r="F9" s="20" t="n">
        <v>1.59408599</v>
      </c>
      <c r="G9" s="18" t="n">
        <v>52.08121545</v>
      </c>
      <c r="H9" s="20" t="n">
        <v>1.71906963</v>
      </c>
      <c r="I9" s="18" t="n">
        <v>0</v>
      </c>
      <c r="J9" s="20" t="n">
        <v>0</v>
      </c>
      <c r="K9" s="18" t="n">
        <v>0.10095844</v>
      </c>
      <c r="L9" s="20" t="n">
        <v>0.09295436999999999</v>
      </c>
      <c r="M9" s="18" t="n">
        <v>0</v>
      </c>
      <c r="N9" s="20" t="n">
        <v>0</v>
      </c>
      <c r="O9" s="18" t="n">
        <v>0</v>
      </c>
      <c r="P9" s="20" t="n">
        <v>0</v>
      </c>
      <c r="Q9" s="18" t="n">
        <v>0.7841423</v>
      </c>
      <c r="R9" s="20" t="n">
        <v>0.32461776</v>
      </c>
    </row>
    <row r="10" spans="1:18">
      <c r="A10" s="15" t="s">
        <v>568</v>
      </c>
      <c r="B10" s="17" t="n">
        <v>20058</v>
      </c>
      <c r="C10" s="18">
        <f>(17878.0/B10*100)</f>
        <v/>
      </c>
      <c r="D10" s="19" t="n">
        <v>2180</v>
      </c>
      <c r="E10" s="18" t="n">
        <v>44.27023979</v>
      </c>
      <c r="F10" s="20" t="n">
        <v>1.7109679</v>
      </c>
      <c r="G10" s="18" t="n">
        <v>54.80728851</v>
      </c>
      <c r="H10" s="20" t="n">
        <v>1.70853684</v>
      </c>
      <c r="I10" s="18" t="n">
        <v>0</v>
      </c>
      <c r="J10" s="20" t="n">
        <v>0</v>
      </c>
      <c r="K10" s="18" t="n">
        <v>0.10136742</v>
      </c>
      <c r="L10" s="20" t="n">
        <v>0.05293717</v>
      </c>
      <c r="M10" s="18" t="n">
        <v>0</v>
      </c>
      <c r="N10" s="20" t="n">
        <v>0</v>
      </c>
      <c r="O10" s="18" t="n">
        <v>0</v>
      </c>
      <c r="P10" s="20" t="n">
        <v>0</v>
      </c>
      <c r="Q10" s="18" t="n">
        <v>0.82110429</v>
      </c>
      <c r="R10" s="20" t="n">
        <v>0.26434095</v>
      </c>
    </row>
    <row r="11" spans="1:18">
      <c r="A11" s="15" t="s">
        <v>569</v>
      </c>
      <c r="B11" s="17" t="n">
        <v>7053</v>
      </c>
      <c r="C11" s="18">
        <f>(6252.0/B11*100)</f>
        <v/>
      </c>
      <c r="D11" s="19" t="n">
        <v>801</v>
      </c>
      <c r="E11" s="18" t="n">
        <v>52.95937901</v>
      </c>
      <c r="F11" s="20" t="n">
        <v>2.18305332</v>
      </c>
      <c r="G11" s="18" t="n">
        <v>46.35663496</v>
      </c>
      <c r="H11" s="20" t="n">
        <v>2.11799941</v>
      </c>
      <c r="I11" s="18" t="n">
        <v>0</v>
      </c>
      <c r="J11" s="20" t="n">
        <v>0</v>
      </c>
      <c r="K11" s="18" t="n">
        <v>0.16483861</v>
      </c>
      <c r="L11" s="20" t="n">
        <v>0.16100217</v>
      </c>
      <c r="M11" s="18" t="n">
        <v>0</v>
      </c>
      <c r="N11" s="20" t="n">
        <v>0</v>
      </c>
      <c r="O11" s="18" t="n">
        <v>0</v>
      </c>
      <c r="P11" s="20" t="n">
        <v>0</v>
      </c>
      <c r="Q11" s="18" t="n">
        <v>0.51914742</v>
      </c>
      <c r="R11" s="20" t="n">
        <v>0.36254539</v>
      </c>
    </row>
    <row r="12" spans="1:18">
      <c r="A12" s="15" t="s">
        <v>570</v>
      </c>
      <c r="B12" s="17" t="n">
        <v>6894</v>
      </c>
      <c r="C12" s="18">
        <f>(6058.0/B12*100)</f>
        <v/>
      </c>
      <c r="D12" s="19" t="n">
        <v>836</v>
      </c>
      <c r="E12" s="18" t="n">
        <v>40.04654198</v>
      </c>
      <c r="F12" s="20" t="n">
        <v>3.02260633</v>
      </c>
      <c r="G12" s="18" t="n">
        <v>59.30202486</v>
      </c>
      <c r="H12" s="20" t="n">
        <v>3.11769714</v>
      </c>
      <c r="I12" s="18" t="n">
        <v>0</v>
      </c>
      <c r="J12" s="20" t="n">
        <v>0</v>
      </c>
      <c r="K12" s="18" t="n">
        <v>0.22391858</v>
      </c>
      <c r="L12" s="20" t="n">
        <v>0.24743658</v>
      </c>
      <c r="M12" s="18" t="n">
        <v>0</v>
      </c>
      <c r="N12" s="20" t="n">
        <v>0</v>
      </c>
      <c r="O12" s="18" t="n">
        <v>0</v>
      </c>
      <c r="P12" s="20" t="n">
        <v>0</v>
      </c>
      <c r="Q12" s="18" t="n">
        <v>0.42751458</v>
      </c>
      <c r="R12" s="20" t="n">
        <v>0.25451777</v>
      </c>
    </row>
    <row r="13" spans="1:18">
      <c r="A13" s="15" t="s">
        <v>571</v>
      </c>
      <c r="B13" s="17" t="n">
        <v>7161</v>
      </c>
      <c r="C13" s="18">
        <f>(6077.0/B13*100)</f>
        <v/>
      </c>
      <c r="D13" s="19" t="n">
        <v>1084</v>
      </c>
      <c r="E13" s="18" t="n">
        <v>49.9277552</v>
      </c>
      <c r="F13" s="20" t="n">
        <v>1.5356771</v>
      </c>
      <c r="G13" s="18" t="n">
        <v>49.2166521</v>
      </c>
      <c r="H13" s="20" t="n">
        <v>1.58942394</v>
      </c>
      <c r="I13" s="18" t="n">
        <v>0</v>
      </c>
      <c r="J13" s="20" t="n">
        <v>0</v>
      </c>
      <c r="K13" s="18" t="n">
        <v>0.65162254</v>
      </c>
      <c r="L13" s="20" t="n">
        <v>0.27301934</v>
      </c>
      <c r="M13" s="18" t="n">
        <v>0</v>
      </c>
      <c r="N13" s="20" t="n">
        <v>0</v>
      </c>
      <c r="O13" s="18" t="n">
        <v>0</v>
      </c>
      <c r="P13" s="20" t="n">
        <v>0</v>
      </c>
      <c r="Q13" s="18" t="n">
        <v>0.20397016</v>
      </c>
      <c r="R13" s="20" t="n">
        <v>0.17027015</v>
      </c>
    </row>
    <row r="14" spans="1:18">
      <c r="A14" s="15" t="s">
        <v>572</v>
      </c>
      <c r="B14" s="17" t="n">
        <v>5587</v>
      </c>
      <c r="C14" s="18">
        <f>(4992.0/B14*100)</f>
        <v/>
      </c>
      <c r="D14" s="19" t="n">
        <v>595</v>
      </c>
      <c r="E14" s="18" t="n">
        <v>31.2641407</v>
      </c>
      <c r="F14" s="20" t="n">
        <v>2.29270782</v>
      </c>
      <c r="G14" s="18" t="n">
        <v>67.94737927</v>
      </c>
      <c r="H14" s="20" t="n">
        <v>2.3364154</v>
      </c>
      <c r="I14" s="18" t="n">
        <v>0</v>
      </c>
      <c r="J14" s="20" t="n">
        <v>0</v>
      </c>
      <c r="K14" s="18" t="n">
        <v>0</v>
      </c>
      <c r="L14" s="20" t="n">
        <v>0</v>
      </c>
      <c r="M14" s="18" t="n">
        <v>0</v>
      </c>
      <c r="N14" s="20" t="n">
        <v>0</v>
      </c>
      <c r="O14" s="18" t="n">
        <v>0</v>
      </c>
      <c r="P14" s="20" t="n">
        <v>0</v>
      </c>
      <c r="Q14" s="18" t="n">
        <v>0.78848003</v>
      </c>
      <c r="R14" s="20" t="n">
        <v>0.39436847</v>
      </c>
    </row>
    <row r="15" spans="1:18">
      <c r="A15" s="15" t="s">
        <v>573</v>
      </c>
      <c r="B15" s="17" t="n">
        <v>5882</v>
      </c>
      <c r="C15" s="18">
        <f>(5186.0/B15*100)</f>
        <v/>
      </c>
      <c r="D15" s="19" t="n">
        <v>696</v>
      </c>
      <c r="E15" s="18" t="n">
        <v>53.32565375</v>
      </c>
      <c r="F15" s="20" t="n">
        <v>1.96824987</v>
      </c>
      <c r="G15" s="18" t="n">
        <v>46.4595987</v>
      </c>
      <c r="H15" s="20" t="n">
        <v>1.98477118</v>
      </c>
      <c r="I15" s="18" t="n">
        <v>0</v>
      </c>
      <c r="J15" s="20" t="n">
        <v>0</v>
      </c>
      <c r="K15" s="18" t="n">
        <v>0</v>
      </c>
      <c r="L15" s="20" t="n">
        <v>0</v>
      </c>
      <c r="M15" s="18" t="n">
        <v>0</v>
      </c>
      <c r="N15" s="20" t="n">
        <v>0</v>
      </c>
      <c r="O15" s="18" t="n">
        <v>0</v>
      </c>
      <c r="P15" s="20" t="n">
        <v>0</v>
      </c>
      <c r="Q15" s="18" t="n">
        <v>0.21474756</v>
      </c>
      <c r="R15" s="20" t="n">
        <v>0.15957397</v>
      </c>
    </row>
    <row r="16" spans="1:18">
      <c r="A16" s="15" t="s">
        <v>574</v>
      </c>
      <c r="B16" s="17" t="n">
        <v>6108</v>
      </c>
      <c r="C16" s="18">
        <f>(5462.0/B16*100)</f>
        <v/>
      </c>
      <c r="D16" s="19" t="n">
        <v>646</v>
      </c>
      <c r="E16" s="18" t="n">
        <v>48.03800801</v>
      </c>
      <c r="F16" s="20" t="n">
        <v>1.88413183</v>
      </c>
      <c r="G16" s="18" t="n">
        <v>50.15327202</v>
      </c>
      <c r="H16" s="20" t="n">
        <v>1.88991345</v>
      </c>
      <c r="I16" s="18" t="n">
        <v>0</v>
      </c>
      <c r="J16" s="20" t="n">
        <v>0</v>
      </c>
      <c r="K16" s="18" t="n">
        <v>0</v>
      </c>
      <c r="L16" s="20" t="n">
        <v>0</v>
      </c>
      <c r="M16" s="18" t="n">
        <v>0</v>
      </c>
      <c r="N16" s="20" t="n">
        <v>0</v>
      </c>
      <c r="O16" s="18" t="n">
        <v>0</v>
      </c>
      <c r="P16" s="20" t="n">
        <v>0</v>
      </c>
      <c r="Q16" s="18" t="n">
        <v>1.80871997</v>
      </c>
      <c r="R16" s="20" t="n">
        <v>0.69093439</v>
      </c>
    </row>
    <row r="17" spans="1:18">
      <c r="A17" s="15" t="s">
        <v>575</v>
      </c>
      <c r="B17" s="17" t="n">
        <v>6504</v>
      </c>
      <c r="C17" s="18">
        <f>(5682.0/B17*100)</f>
        <v/>
      </c>
      <c r="D17" s="19" t="n">
        <v>822</v>
      </c>
      <c r="E17" s="18" t="n">
        <v>43.47652726</v>
      </c>
      <c r="F17" s="20" t="n">
        <v>1.63270018</v>
      </c>
      <c r="G17" s="18" t="n">
        <v>54.00712179</v>
      </c>
      <c r="H17" s="20" t="n">
        <v>1.81006009</v>
      </c>
      <c r="I17" s="18" t="n">
        <v>0</v>
      </c>
      <c r="J17" s="20" t="n">
        <v>0</v>
      </c>
      <c r="K17" s="18" t="n">
        <v>0.41679136</v>
      </c>
      <c r="L17" s="20" t="n">
        <v>0.23178047</v>
      </c>
      <c r="M17" s="18" t="n">
        <v>0</v>
      </c>
      <c r="N17" s="20" t="n">
        <v>0</v>
      </c>
      <c r="O17" s="18" t="n">
        <v>0</v>
      </c>
      <c r="P17" s="20" t="n">
        <v>0</v>
      </c>
      <c r="Q17" s="18" t="n">
        <v>2.09955958</v>
      </c>
      <c r="R17" s="20" t="n">
        <v>0.9796968</v>
      </c>
    </row>
    <row r="18" spans="1:18">
      <c r="A18" s="15" t="s">
        <v>576</v>
      </c>
      <c r="B18" s="17" t="n">
        <v>5532</v>
      </c>
      <c r="C18" s="18">
        <f>(4938.0/B18*100)</f>
        <v/>
      </c>
      <c r="D18" s="19" t="n">
        <v>594</v>
      </c>
      <c r="E18" s="18" t="n">
        <v>43.64302853</v>
      </c>
      <c r="F18" s="20" t="n">
        <v>2.87536902</v>
      </c>
      <c r="G18" s="18" t="n">
        <v>55.10723536</v>
      </c>
      <c r="H18" s="20" t="n">
        <v>2.8222261</v>
      </c>
      <c r="I18" s="18" t="n">
        <v>0</v>
      </c>
      <c r="J18" s="20" t="n">
        <v>0</v>
      </c>
      <c r="K18" s="18" t="n">
        <v>0.19762072</v>
      </c>
      <c r="L18" s="20" t="n">
        <v>0.1956443</v>
      </c>
      <c r="M18" s="18" t="n">
        <v>0</v>
      </c>
      <c r="N18" s="20" t="n">
        <v>0</v>
      </c>
      <c r="O18" s="18" t="n">
        <v>0</v>
      </c>
      <c r="P18" s="20" t="n">
        <v>0</v>
      </c>
      <c r="Q18" s="18" t="n">
        <v>1.05211539</v>
      </c>
      <c r="R18" s="20" t="n">
        <v>0.38333295</v>
      </c>
    </row>
    <row r="19" spans="1:18">
      <c r="A19" s="15" t="s">
        <v>577</v>
      </c>
      <c r="B19" s="17" t="n">
        <v>5658</v>
      </c>
      <c r="C19" s="18">
        <f>(5017.0/B19*100)</f>
        <v/>
      </c>
      <c r="D19" s="19" t="n">
        <v>641</v>
      </c>
      <c r="E19" s="18" t="n">
        <v>35.67217496</v>
      </c>
      <c r="F19" s="20" t="n">
        <v>2.04231045</v>
      </c>
      <c r="G19" s="18" t="n">
        <v>63.39318729</v>
      </c>
      <c r="H19" s="20" t="n">
        <v>2.08541452</v>
      </c>
      <c r="I19" s="18" t="n">
        <v>0</v>
      </c>
      <c r="J19" s="20" t="n">
        <v>0</v>
      </c>
      <c r="K19" s="18" t="n">
        <v>0</v>
      </c>
      <c r="L19" s="20" t="n">
        <v>0</v>
      </c>
      <c r="M19" s="18" t="n">
        <v>0</v>
      </c>
      <c r="N19" s="20" t="n">
        <v>0</v>
      </c>
      <c r="O19" s="18" t="n">
        <v>0</v>
      </c>
      <c r="P19" s="20" t="n">
        <v>0</v>
      </c>
      <c r="Q19" s="18" t="n">
        <v>0.93463775</v>
      </c>
      <c r="R19" s="20" t="n">
        <v>0.43893842</v>
      </c>
    </row>
    <row r="20" spans="1:18">
      <c r="A20" s="15" t="s">
        <v>578</v>
      </c>
      <c r="B20" s="17" t="n">
        <v>3371</v>
      </c>
      <c r="C20" s="18">
        <f>(3026.0/B20*100)</f>
        <v/>
      </c>
      <c r="D20" s="19" t="n">
        <v>345</v>
      </c>
      <c r="E20" s="18" t="n">
        <v>50.54991459</v>
      </c>
      <c r="F20" s="20" t="n">
        <v>2.45055262</v>
      </c>
      <c r="G20" s="18" t="n">
        <v>48.06679147</v>
      </c>
      <c r="H20" s="20" t="n">
        <v>2.44758953</v>
      </c>
      <c r="I20" s="18" t="n">
        <v>0</v>
      </c>
      <c r="J20" s="20" t="n">
        <v>0</v>
      </c>
      <c r="K20" s="18" t="n">
        <v>0.49843857</v>
      </c>
      <c r="L20" s="20" t="n">
        <v>0.35470691</v>
      </c>
      <c r="M20" s="18" t="n">
        <v>0</v>
      </c>
      <c r="N20" s="20" t="n">
        <v>0</v>
      </c>
      <c r="O20" s="18" t="n">
        <v>0</v>
      </c>
      <c r="P20" s="20" t="n">
        <v>0</v>
      </c>
      <c r="Q20" s="18" t="n">
        <v>0.88485537</v>
      </c>
      <c r="R20" s="20" t="n">
        <v>0.5219092400000001</v>
      </c>
    </row>
    <row r="21" spans="1:18">
      <c r="A21" s="15" t="s">
        <v>579</v>
      </c>
      <c r="B21" s="17" t="n">
        <v>5741</v>
      </c>
      <c r="C21" s="18">
        <f>(5082.0/B21*100)</f>
        <v/>
      </c>
      <c r="D21" s="19" t="n">
        <v>659</v>
      </c>
      <c r="E21" s="18" t="n">
        <v>52.2186222</v>
      </c>
      <c r="F21" s="20" t="n">
        <v>2.14600505</v>
      </c>
      <c r="G21" s="18" t="n">
        <v>47.33359956</v>
      </c>
      <c r="H21" s="20" t="n">
        <v>2.17465924</v>
      </c>
      <c r="I21" s="18" t="n">
        <v>0</v>
      </c>
      <c r="J21" s="20" t="n">
        <v>0</v>
      </c>
      <c r="K21" s="18" t="n">
        <v>0</v>
      </c>
      <c r="L21" s="20" t="n">
        <v>0</v>
      </c>
      <c r="M21" s="18" t="n">
        <v>0</v>
      </c>
      <c r="N21" s="20" t="n">
        <v>0</v>
      </c>
      <c r="O21" s="18" t="n">
        <v>0</v>
      </c>
      <c r="P21" s="20" t="n">
        <v>0</v>
      </c>
      <c r="Q21" s="18" t="n">
        <v>0.44777823</v>
      </c>
      <c r="R21" s="20" t="n">
        <v>0.26767607</v>
      </c>
    </row>
    <row r="22" spans="1:18">
      <c r="A22" s="15" t="s">
        <v>580</v>
      </c>
      <c r="B22" s="17" t="n">
        <v>6598</v>
      </c>
      <c r="C22" s="18">
        <f>(5864.0/B22*100)</f>
        <v/>
      </c>
      <c r="D22" s="19" t="n">
        <v>734</v>
      </c>
      <c r="E22" s="18" t="n">
        <v>42.22530563</v>
      </c>
      <c r="F22" s="20" t="n">
        <v>2.27340214</v>
      </c>
      <c r="G22" s="18" t="n">
        <v>55.93935165</v>
      </c>
      <c r="H22" s="20" t="n">
        <v>2.24854842</v>
      </c>
      <c r="I22" s="18" t="n">
        <v>0</v>
      </c>
      <c r="J22" s="20" t="n">
        <v>0</v>
      </c>
      <c r="K22" s="18" t="n">
        <v>0.40402886</v>
      </c>
      <c r="L22" s="20" t="n">
        <v>0.20562985</v>
      </c>
      <c r="M22" s="18" t="n">
        <v>0</v>
      </c>
      <c r="N22" s="20" t="n">
        <v>0</v>
      </c>
      <c r="O22" s="18" t="n">
        <v>0</v>
      </c>
      <c r="P22" s="20" t="n">
        <v>0</v>
      </c>
      <c r="Q22" s="18" t="n">
        <v>1.43131387</v>
      </c>
      <c r="R22" s="20" t="n">
        <v>0.46985462</v>
      </c>
    </row>
    <row r="23" spans="1:18">
      <c r="A23" s="15" t="s">
        <v>581</v>
      </c>
      <c r="B23" s="17" t="n">
        <v>11583</v>
      </c>
      <c r="C23" s="18">
        <f>(10274.0/B23*100)</f>
        <v/>
      </c>
      <c r="D23" s="19" t="n">
        <v>1309</v>
      </c>
      <c r="E23" s="18" t="n">
        <v>31.50439511</v>
      </c>
      <c r="F23" s="20" t="n">
        <v>2.0697802</v>
      </c>
      <c r="G23" s="18" t="n">
        <v>67.4621128</v>
      </c>
      <c r="H23" s="20" t="n">
        <v>2.21994518</v>
      </c>
      <c r="I23" s="18" t="n">
        <v>0</v>
      </c>
      <c r="J23" s="20" t="n">
        <v>0</v>
      </c>
      <c r="K23" s="18" t="n">
        <v>0.45019152</v>
      </c>
      <c r="L23" s="20" t="n">
        <v>0.36331082</v>
      </c>
      <c r="M23" s="18" t="n">
        <v>0</v>
      </c>
      <c r="N23" s="20" t="n">
        <v>0</v>
      </c>
      <c r="O23" s="18" t="n">
        <v>0</v>
      </c>
      <c r="P23" s="20" t="n">
        <v>0</v>
      </c>
      <c r="Q23" s="18" t="n">
        <v>0.58330057</v>
      </c>
      <c r="R23" s="20" t="n">
        <v>0.28247338</v>
      </c>
    </row>
    <row r="24" spans="1:18">
      <c r="A24" s="15" t="s">
        <v>582</v>
      </c>
      <c r="B24" s="17" t="n">
        <v>6647</v>
      </c>
      <c r="C24" s="18">
        <f>(5901.0/B24*100)</f>
        <v/>
      </c>
      <c r="D24" s="19" t="n">
        <v>746</v>
      </c>
      <c r="E24" s="18" t="n">
        <v>31.42227343</v>
      </c>
      <c r="F24" s="20" t="n">
        <v>1.68123853</v>
      </c>
      <c r="G24" s="18" t="n">
        <v>68.30834693</v>
      </c>
      <c r="H24" s="20" t="n">
        <v>1.66999862</v>
      </c>
      <c r="I24" s="18" t="n">
        <v>0</v>
      </c>
      <c r="J24" s="20" t="n">
        <v>0</v>
      </c>
      <c r="K24" s="18" t="n">
        <v>0.11856991</v>
      </c>
      <c r="L24" s="20" t="n">
        <v>0.11863266</v>
      </c>
      <c r="M24" s="18" t="n">
        <v>0</v>
      </c>
      <c r="N24" s="20" t="n">
        <v>0</v>
      </c>
      <c r="O24" s="18" t="n">
        <v>0</v>
      </c>
      <c r="P24" s="20" t="n">
        <v>0</v>
      </c>
      <c r="Q24" s="18" t="n">
        <v>0.15080973</v>
      </c>
      <c r="R24" s="20" t="n">
        <v>0.15369794</v>
      </c>
    </row>
    <row r="25" spans="1:18">
      <c r="A25" s="15" t="s">
        <v>583</v>
      </c>
      <c r="B25" s="17" t="n">
        <v>5581</v>
      </c>
      <c r="C25" s="18">
        <f>(4957.0/B25*100)</f>
        <v/>
      </c>
      <c r="D25" s="19" t="n">
        <v>624</v>
      </c>
      <c r="E25" s="18" t="n">
        <v>31.63054205</v>
      </c>
      <c r="F25" s="20" t="n">
        <v>1.64065736</v>
      </c>
      <c r="G25" s="18" t="n">
        <v>66.97964438</v>
      </c>
      <c r="H25" s="20" t="n">
        <v>1.71507886</v>
      </c>
      <c r="I25" s="18" t="n">
        <v>0</v>
      </c>
      <c r="J25" s="20" t="n">
        <v>0</v>
      </c>
      <c r="K25" s="18" t="n">
        <v>1.10304407</v>
      </c>
      <c r="L25" s="20" t="n">
        <v>0.43958784</v>
      </c>
      <c r="M25" s="18" t="n">
        <v>0</v>
      </c>
      <c r="N25" s="20" t="n">
        <v>0</v>
      </c>
      <c r="O25" s="18" t="n">
        <v>0</v>
      </c>
      <c r="P25" s="20" t="n">
        <v>0</v>
      </c>
      <c r="Q25" s="18" t="n">
        <v>0.28676949</v>
      </c>
      <c r="R25" s="20" t="n">
        <v>0.19889131</v>
      </c>
    </row>
    <row r="26" spans="1:18">
      <c r="A26" s="15" t="s">
        <v>584</v>
      </c>
      <c r="B26" s="17" t="n">
        <v>4869</v>
      </c>
      <c r="C26" s="18">
        <f>(4335.0/B26*100)</f>
        <v/>
      </c>
      <c r="D26" s="19" t="n">
        <v>534</v>
      </c>
      <c r="E26" s="18" t="n">
        <v>45.48875025</v>
      </c>
      <c r="F26" s="20" t="n">
        <v>2.27049795</v>
      </c>
      <c r="G26" s="18" t="n">
        <v>53.67568438</v>
      </c>
      <c r="H26" s="20" t="n">
        <v>2.27957874</v>
      </c>
      <c r="I26" s="18" t="n">
        <v>0</v>
      </c>
      <c r="J26" s="20" t="n">
        <v>0</v>
      </c>
      <c r="K26" s="18" t="n">
        <v>0</v>
      </c>
      <c r="L26" s="20" t="n">
        <v>0</v>
      </c>
      <c r="M26" s="18" t="n">
        <v>0</v>
      </c>
      <c r="N26" s="20" t="n">
        <v>0</v>
      </c>
      <c r="O26" s="18" t="n">
        <v>0</v>
      </c>
      <c r="P26" s="20" t="n">
        <v>0</v>
      </c>
      <c r="Q26" s="18" t="n">
        <v>0.83556536</v>
      </c>
      <c r="R26" s="20" t="n">
        <v>0.16567098</v>
      </c>
    </row>
    <row r="27" spans="1:18">
      <c r="A27" s="15" t="s">
        <v>585</v>
      </c>
      <c r="B27" s="17" t="n">
        <v>5299</v>
      </c>
      <c r="C27" s="18">
        <f>(4716.0/B27*100)</f>
        <v/>
      </c>
      <c r="D27" s="19" t="n">
        <v>583</v>
      </c>
      <c r="E27" s="18" t="n">
        <v>48.83912482</v>
      </c>
      <c r="F27" s="20" t="n">
        <v>2.01350514</v>
      </c>
      <c r="G27" s="18" t="n">
        <v>50.47860605</v>
      </c>
      <c r="H27" s="20" t="n">
        <v>1.94683694</v>
      </c>
      <c r="I27" s="18" t="n">
        <v>0</v>
      </c>
      <c r="J27" s="20" t="n">
        <v>0</v>
      </c>
      <c r="K27" s="18" t="n">
        <v>0</v>
      </c>
      <c r="L27" s="20" t="n">
        <v>0</v>
      </c>
      <c r="M27" s="18" t="n">
        <v>0</v>
      </c>
      <c r="N27" s="20" t="n">
        <v>0</v>
      </c>
      <c r="O27" s="18" t="n">
        <v>0</v>
      </c>
      <c r="P27" s="20" t="n">
        <v>0</v>
      </c>
      <c r="Q27" s="18" t="n">
        <v>0.6822691400000001</v>
      </c>
      <c r="R27" s="20" t="n">
        <v>0.34235458</v>
      </c>
    </row>
    <row r="28" spans="1:18">
      <c r="A28" s="15" t="s">
        <v>586</v>
      </c>
      <c r="B28" s="17" t="n">
        <v>7568</v>
      </c>
      <c r="C28" s="18">
        <f>(6748.0/B28*100)</f>
        <v/>
      </c>
      <c r="D28" s="19" t="n">
        <v>820</v>
      </c>
      <c r="E28" s="18" t="n">
        <v>62.38368172</v>
      </c>
      <c r="F28" s="20" t="n">
        <v>1.61108561</v>
      </c>
      <c r="G28" s="18" t="n">
        <v>36.58284236</v>
      </c>
      <c r="H28" s="20" t="n">
        <v>1.66287287</v>
      </c>
      <c r="I28" s="18" t="n">
        <v>0</v>
      </c>
      <c r="J28" s="20" t="n">
        <v>0</v>
      </c>
      <c r="K28" s="18" t="n">
        <v>0.68891667</v>
      </c>
      <c r="L28" s="20" t="n">
        <v>0.30516785</v>
      </c>
      <c r="M28" s="18" t="n">
        <v>0</v>
      </c>
      <c r="N28" s="20" t="n">
        <v>0</v>
      </c>
      <c r="O28" s="18" t="n">
        <v>0</v>
      </c>
      <c r="P28" s="20" t="n">
        <v>0</v>
      </c>
      <c r="Q28" s="18" t="n">
        <v>0.34455924</v>
      </c>
      <c r="R28" s="20" t="n">
        <v>0.20112571</v>
      </c>
    </row>
    <row r="29" spans="1:18">
      <c r="A29" s="15" t="s">
        <v>587</v>
      </c>
      <c r="B29" s="17" t="n">
        <v>5385</v>
      </c>
      <c r="C29" s="18">
        <f>(4638.0/B29*100)</f>
        <v/>
      </c>
      <c r="D29" s="19" t="n">
        <v>747</v>
      </c>
      <c r="E29" s="18" t="n">
        <v>42.5740396</v>
      </c>
      <c r="F29" s="20" t="n">
        <v>1.30871535</v>
      </c>
      <c r="G29" s="18" t="n">
        <v>56.49568237</v>
      </c>
      <c r="H29" s="20" t="n">
        <v>1.29110613</v>
      </c>
      <c r="I29" s="18" t="n">
        <v>0</v>
      </c>
      <c r="J29" s="20" t="n">
        <v>0</v>
      </c>
      <c r="K29" s="18" t="n">
        <v>0.5726649700000001</v>
      </c>
      <c r="L29" s="20" t="n">
        <v>0.25354727</v>
      </c>
      <c r="M29" s="18" t="n">
        <v>0</v>
      </c>
      <c r="N29" s="20" t="n">
        <v>0</v>
      </c>
      <c r="O29" s="18" t="n">
        <v>0</v>
      </c>
      <c r="P29" s="20" t="n">
        <v>0</v>
      </c>
      <c r="Q29" s="18" t="n">
        <v>0.35761307</v>
      </c>
      <c r="R29" s="20" t="n">
        <v>0.16096689</v>
      </c>
    </row>
    <row r="30" spans="1:18">
      <c r="A30" s="15" t="s">
        <v>588</v>
      </c>
      <c r="B30" s="17" t="n">
        <v>4520</v>
      </c>
      <c r="C30" s="18">
        <f>(4023.0/B30*100)</f>
        <v/>
      </c>
      <c r="D30" s="19" t="n">
        <v>497</v>
      </c>
      <c r="E30" s="18" t="n">
        <v>46.84754352</v>
      </c>
      <c r="F30" s="20" t="n">
        <v>2.4046732</v>
      </c>
      <c r="G30" s="18" t="n">
        <v>51.65596894</v>
      </c>
      <c r="H30" s="20" t="n">
        <v>2.41924276</v>
      </c>
      <c r="I30" s="18" t="n">
        <v>0</v>
      </c>
      <c r="J30" s="20" t="n">
        <v>0</v>
      </c>
      <c r="K30" s="18" t="n">
        <v>0.48735947</v>
      </c>
      <c r="L30" s="20" t="n">
        <v>0.31772738</v>
      </c>
      <c r="M30" s="18" t="n">
        <v>0</v>
      </c>
      <c r="N30" s="20" t="n">
        <v>0</v>
      </c>
      <c r="O30" s="18" t="n">
        <v>0</v>
      </c>
      <c r="P30" s="20" t="n">
        <v>0</v>
      </c>
      <c r="Q30" s="18" t="n">
        <v>1.00912807</v>
      </c>
      <c r="R30" s="20" t="n">
        <v>0.48786768</v>
      </c>
    </row>
    <row r="31" spans="1:18">
      <c r="A31" s="15" t="s">
        <v>589</v>
      </c>
      <c r="B31" s="17" t="n">
        <v>5456</v>
      </c>
      <c r="C31" s="18">
        <f>(4863.0/B31*100)</f>
        <v/>
      </c>
      <c r="D31" s="19" t="n">
        <v>593</v>
      </c>
      <c r="E31" s="18" t="n">
        <v>46.85953383</v>
      </c>
      <c r="F31" s="20" t="n">
        <v>2.07476555</v>
      </c>
      <c r="G31" s="18" t="n">
        <v>52.28503418</v>
      </c>
      <c r="H31" s="20" t="n">
        <v>2.06699586</v>
      </c>
      <c r="I31" s="18" t="n">
        <v>0</v>
      </c>
      <c r="J31" s="20" t="n">
        <v>0</v>
      </c>
      <c r="K31" s="18" t="n">
        <v>0.50154386</v>
      </c>
      <c r="L31" s="20" t="n">
        <v>0.28444188</v>
      </c>
      <c r="M31" s="18" t="n">
        <v>0</v>
      </c>
      <c r="N31" s="20" t="n">
        <v>0</v>
      </c>
      <c r="O31" s="18" t="n">
        <v>0</v>
      </c>
      <c r="P31" s="20" t="n">
        <v>0</v>
      </c>
      <c r="Q31" s="18" t="n">
        <v>0.35388813</v>
      </c>
      <c r="R31" s="20" t="n">
        <v>0.24298578</v>
      </c>
    </row>
    <row r="32" spans="1:18">
      <c r="A32" s="15" t="s">
        <v>590</v>
      </c>
      <c r="B32" s="17" t="n">
        <v>4478</v>
      </c>
      <c r="C32" s="18">
        <f>(3990.0/B32*100)</f>
        <v/>
      </c>
      <c r="D32" s="19" t="n">
        <v>488</v>
      </c>
      <c r="E32" s="18" t="n">
        <v>26.48423375</v>
      </c>
      <c r="F32" s="20" t="n">
        <v>2.17196648</v>
      </c>
      <c r="G32" s="18" t="n">
        <v>73.51576625</v>
      </c>
      <c r="H32" s="20" t="n">
        <v>2.17196648</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(6523.0/B33*100)</f>
        <v/>
      </c>
      <c r="D33" s="19" t="n">
        <v>802</v>
      </c>
      <c r="E33" s="18" t="n">
        <v>40.02137902</v>
      </c>
      <c r="F33" s="20" t="n">
        <v>2.17216635</v>
      </c>
      <c r="G33" s="18" t="n">
        <v>59.7378029</v>
      </c>
      <c r="H33" s="20" t="n">
        <v>2.18851548</v>
      </c>
      <c r="I33" s="18" t="n">
        <v>0</v>
      </c>
      <c r="J33" s="20" t="n">
        <v>0</v>
      </c>
      <c r="K33" s="18" t="n">
        <v>0.24081808</v>
      </c>
      <c r="L33" s="20" t="n">
        <v>0.28655218</v>
      </c>
      <c r="M33" s="18" t="n">
        <v>0</v>
      </c>
      <c r="N33" s="20" t="n">
        <v>0</v>
      </c>
      <c r="O33" s="18" t="n">
        <v>0</v>
      </c>
      <c r="P33" s="20" t="n">
        <v>0</v>
      </c>
      <c r="Q33" s="18" t="n">
        <v>0</v>
      </c>
      <c r="R33" s="20" t="n">
        <v>0</v>
      </c>
    </row>
    <row r="34" spans="1:18">
      <c r="A34" s="15" t="s">
        <v>592</v>
      </c>
      <c r="B34" s="17" t="n">
        <v>6350</v>
      </c>
      <c r="C34" s="18">
        <f>(5542.0/B34*100)</f>
        <v/>
      </c>
      <c r="D34" s="19" t="n">
        <v>808</v>
      </c>
      <c r="E34" s="18" t="n">
        <v>40.68186726</v>
      </c>
      <c r="F34" s="20" t="n">
        <v>2.66170505</v>
      </c>
      <c r="G34" s="18" t="n">
        <v>57.89381961</v>
      </c>
      <c r="H34" s="20" t="n">
        <v>2.60755182</v>
      </c>
      <c r="I34" s="18" t="n">
        <v>0</v>
      </c>
      <c r="J34" s="20" t="n">
        <v>0</v>
      </c>
      <c r="K34" s="18" t="n">
        <v>0.16481011</v>
      </c>
      <c r="L34" s="20" t="n">
        <v>0.09243676000000001</v>
      </c>
      <c r="M34" s="18" t="n">
        <v>0</v>
      </c>
      <c r="N34" s="20" t="n">
        <v>0</v>
      </c>
      <c r="O34" s="18" t="n">
        <v>0</v>
      </c>
      <c r="P34" s="20" t="n">
        <v>0</v>
      </c>
      <c r="Q34" s="18" t="n">
        <v>1.25950301</v>
      </c>
      <c r="R34" s="20" t="n">
        <v>0.36640887</v>
      </c>
    </row>
    <row r="35" spans="1:18">
      <c r="A35" s="15" t="s">
        <v>593</v>
      </c>
      <c r="B35" s="17" t="n">
        <v>6406</v>
      </c>
      <c r="C35" s="18">
        <f>(5547.0/B35*100)</f>
        <v/>
      </c>
      <c r="D35" s="19" t="n">
        <v>859</v>
      </c>
      <c r="E35" s="18" t="n">
        <v>36.48214311</v>
      </c>
      <c r="F35" s="20" t="n">
        <v>1.66752162</v>
      </c>
      <c r="G35" s="18" t="n">
        <v>63.18633986</v>
      </c>
      <c r="H35" s="20" t="n">
        <v>1.68364508</v>
      </c>
      <c r="I35" s="18" t="n">
        <v>0</v>
      </c>
      <c r="J35" s="20" t="n">
        <v>0</v>
      </c>
      <c r="K35" s="18" t="n">
        <v>0</v>
      </c>
      <c r="L35" s="20" t="n">
        <v>0</v>
      </c>
      <c r="M35" s="18" t="n">
        <v>0</v>
      </c>
      <c r="N35" s="20" t="n">
        <v>0</v>
      </c>
      <c r="O35" s="18" t="n">
        <v>0</v>
      </c>
      <c r="P35" s="20" t="n">
        <v>0</v>
      </c>
      <c r="Q35" s="18" t="n">
        <v>0.33151703</v>
      </c>
      <c r="R35" s="20" t="n">
        <v>0.1485898</v>
      </c>
    </row>
    <row r="36" spans="1:18">
      <c r="A36" s="15" t="s">
        <v>594</v>
      </c>
      <c r="B36" s="17" t="n">
        <v>6736</v>
      </c>
      <c r="C36" s="18">
        <f>(5992.0/B36*100)</f>
        <v/>
      </c>
      <c r="D36" s="19" t="n">
        <v>744</v>
      </c>
      <c r="E36" s="18" t="n">
        <v>42.09441744</v>
      </c>
      <c r="F36" s="20" t="n">
        <v>1.66414231</v>
      </c>
      <c r="G36" s="18" t="n">
        <v>57.07926202</v>
      </c>
      <c r="H36" s="20" t="n">
        <v>1.70103531</v>
      </c>
      <c r="I36" s="18" t="n">
        <v>0</v>
      </c>
      <c r="J36" s="20" t="n">
        <v>0</v>
      </c>
      <c r="K36" s="18" t="n">
        <v>0.30956347</v>
      </c>
      <c r="L36" s="20" t="n">
        <v>0.19017468</v>
      </c>
      <c r="M36" s="18" t="n">
        <v>0</v>
      </c>
      <c r="N36" s="20" t="n">
        <v>0</v>
      </c>
      <c r="O36" s="18" t="n">
        <v>0</v>
      </c>
      <c r="P36" s="20" t="n">
        <v>0</v>
      </c>
      <c r="Q36" s="18" t="n">
        <v>0.51675707</v>
      </c>
      <c r="R36" s="20" t="n">
        <v>0.29169054</v>
      </c>
    </row>
    <row r="37" spans="1:18">
      <c r="A37" s="15" t="s">
        <v>595</v>
      </c>
      <c r="B37" s="17" t="n">
        <v>5458</v>
      </c>
      <c r="C37" s="18">
        <f>(4871.0/B37*100)</f>
        <v/>
      </c>
      <c r="D37" s="19" t="n">
        <v>587</v>
      </c>
      <c r="E37" s="18" t="n">
        <v>31.23235078</v>
      </c>
      <c r="F37" s="20" t="n">
        <v>2.05259707</v>
      </c>
      <c r="G37" s="18" t="n">
        <v>68.07864026999999</v>
      </c>
      <c r="H37" s="20" t="n">
        <v>2.14716113</v>
      </c>
      <c r="I37" s="18" t="n">
        <v>0</v>
      </c>
      <c r="J37" s="20" t="n">
        <v>0</v>
      </c>
      <c r="K37" s="18" t="n">
        <v>0.15070429</v>
      </c>
      <c r="L37" s="20" t="n">
        <v>0.15189385</v>
      </c>
      <c r="M37" s="18" t="n">
        <v>0</v>
      </c>
      <c r="N37" s="20" t="n">
        <v>0</v>
      </c>
      <c r="O37" s="18" t="n">
        <v>0</v>
      </c>
      <c r="P37" s="20" t="n">
        <v>0</v>
      </c>
      <c r="Q37" s="18" t="n">
        <v>0.53830467</v>
      </c>
      <c r="R37" s="20" t="n">
        <v>0.30843845</v>
      </c>
    </row>
    <row r="38" spans="1:18">
      <c r="A38" s="15" t="s">
        <v>596</v>
      </c>
      <c r="B38" s="17" t="n">
        <v>5860</v>
      </c>
      <c r="C38" s="18">
        <f>(5220.0/B38*100)</f>
        <v/>
      </c>
      <c r="D38" s="19" t="n">
        <v>640</v>
      </c>
      <c r="E38" s="18" t="n">
        <v>37.71363519</v>
      </c>
      <c r="F38" s="20" t="n">
        <v>2.0315521</v>
      </c>
      <c r="G38" s="18" t="n">
        <v>61.35326655</v>
      </c>
      <c r="H38" s="20" t="n">
        <v>2.0503758</v>
      </c>
      <c r="I38" s="18" t="n">
        <v>0</v>
      </c>
      <c r="J38" s="20" t="n">
        <v>0</v>
      </c>
      <c r="K38" s="18" t="n">
        <v>0.13006617</v>
      </c>
      <c r="L38" s="20" t="n">
        <v>0.1302244</v>
      </c>
      <c r="M38" s="18" t="n">
        <v>0</v>
      </c>
      <c r="N38" s="20" t="n">
        <v>0</v>
      </c>
      <c r="O38" s="18" t="n">
        <v>0</v>
      </c>
      <c r="P38" s="20" t="n">
        <v>0</v>
      </c>
      <c r="Q38" s="18" t="n">
        <v>0.80303209</v>
      </c>
      <c r="R38" s="20" t="n">
        <v>0.40543383</v>
      </c>
    </row>
    <row r="39" spans="1:18">
      <c r="A39" s="15" t="s">
        <v>597</v>
      </c>
      <c r="B39" s="17" t="n">
        <v>5895</v>
      </c>
      <c r="C39" s="18">
        <f>(5254.0/B39*100)</f>
        <v/>
      </c>
      <c r="D39" s="19" t="n">
        <v>641</v>
      </c>
      <c r="E39" s="18" t="n">
        <v>38.86989378</v>
      </c>
      <c r="F39" s="20" t="n">
        <v>2.38227752</v>
      </c>
      <c r="G39" s="18" t="n">
        <v>60.35596182</v>
      </c>
      <c r="H39" s="20" t="n">
        <v>2.36696133</v>
      </c>
      <c r="I39" s="18" t="n">
        <v>0</v>
      </c>
      <c r="J39" s="20" t="n">
        <v>0</v>
      </c>
      <c r="K39" s="18" t="n">
        <v>0</v>
      </c>
      <c r="L39" s="20" t="n">
        <v>0</v>
      </c>
      <c r="M39" s="18" t="n">
        <v>0</v>
      </c>
      <c r="N39" s="20" t="n">
        <v>0</v>
      </c>
      <c r="O39" s="18" t="n">
        <v>0</v>
      </c>
      <c r="P39" s="20" t="n">
        <v>0</v>
      </c>
      <c r="Q39" s="18" t="n">
        <v>0.7741444</v>
      </c>
      <c r="R39" s="20" t="n">
        <v>0.41058589</v>
      </c>
    </row>
    <row r="40" spans="1:18">
      <c r="A40" s="15" t="s">
        <v>598</v>
      </c>
      <c r="B40" s="17" t="n">
        <v>14157</v>
      </c>
      <c r="C40" s="18">
        <f>(12611.0/B40*100)</f>
        <v/>
      </c>
      <c r="D40" s="19" t="n">
        <v>1546</v>
      </c>
      <c r="E40" s="18" t="n">
        <v>50.34870136</v>
      </c>
      <c r="F40" s="20" t="n">
        <v>2.10806327</v>
      </c>
      <c r="G40" s="18" t="n">
        <v>48.59099974</v>
      </c>
      <c r="H40" s="20" t="n">
        <v>2.05749283</v>
      </c>
      <c r="I40" s="18" t="n">
        <v>0</v>
      </c>
      <c r="J40" s="20" t="n">
        <v>0</v>
      </c>
      <c r="K40" s="18" t="n">
        <v>0.35961236</v>
      </c>
      <c r="L40" s="20" t="n">
        <v>0.19310244</v>
      </c>
      <c r="M40" s="18" t="n">
        <v>0</v>
      </c>
      <c r="N40" s="20" t="n">
        <v>0</v>
      </c>
      <c r="O40" s="18" t="n">
        <v>0</v>
      </c>
      <c r="P40" s="20" t="n">
        <v>0</v>
      </c>
      <c r="Q40" s="18" t="n">
        <v>0.70068654</v>
      </c>
      <c r="R40" s="20" t="n">
        <v>0.22865927</v>
      </c>
    </row>
    <row r="41" spans="1:18">
      <c r="A41" s="15" t="s">
        <v>599</v>
      </c>
      <c r="B41" s="17" t="n">
        <v>5712</v>
      </c>
      <c r="C41" s="18">
        <f>(5059.0/B41*100)</f>
        <v/>
      </c>
      <c r="D41" s="19" t="n">
        <v>653</v>
      </c>
      <c r="E41" s="18" t="n">
        <v>55.12163185</v>
      </c>
      <c r="F41" s="20" t="n">
        <v>2.20897982</v>
      </c>
      <c r="G41" s="18" t="n">
        <v>43.99115893</v>
      </c>
      <c r="H41" s="20" t="n">
        <v>2.21169739</v>
      </c>
      <c r="I41" s="18" t="n">
        <v>0</v>
      </c>
      <c r="J41" s="20" t="n">
        <v>0</v>
      </c>
      <c r="K41" s="18" t="n">
        <v>0.20629185</v>
      </c>
      <c r="L41" s="20" t="n">
        <v>0.16864687</v>
      </c>
      <c r="M41" s="18" t="n">
        <v>0</v>
      </c>
      <c r="N41" s="20" t="n">
        <v>0</v>
      </c>
      <c r="O41" s="18" t="n">
        <v>0</v>
      </c>
      <c r="P41" s="20" t="n">
        <v>0</v>
      </c>
      <c r="Q41" s="18" t="n">
        <v>0.68091738</v>
      </c>
      <c r="R41" s="20" t="n">
        <v>0.55207474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(20916.0/B46*100)</f>
        <v/>
      </c>
      <c r="D46" s="19" t="n">
        <v>2225</v>
      </c>
      <c r="E46" s="18" t="n">
        <v>58.1281548</v>
      </c>
      <c r="F46" s="20" t="n">
        <v>1.27313198</v>
      </c>
      <c r="G46" s="18" t="n">
        <v>39.40035412</v>
      </c>
      <c r="H46" s="20" t="n">
        <v>1.31967454</v>
      </c>
      <c r="I46" s="18" t="n">
        <v>0</v>
      </c>
      <c r="J46" s="20" t="n">
        <v>0</v>
      </c>
      <c r="K46" s="18" t="n">
        <v>0.73891472</v>
      </c>
      <c r="L46" s="20" t="n">
        <v>0.23564766</v>
      </c>
      <c r="M46" s="18" t="n">
        <v>0</v>
      </c>
      <c r="N46" s="20" t="n">
        <v>0</v>
      </c>
      <c r="O46" s="18" t="n">
        <v>0</v>
      </c>
      <c r="P46" s="20" t="n">
        <v>0</v>
      </c>
      <c r="Q46" s="18" t="n">
        <v>1.73257636</v>
      </c>
      <c r="R46" s="20" t="n">
        <v>0.37524971</v>
      </c>
    </row>
    <row r="47" spans="1:18">
      <c r="A47" s="15" t="s">
        <v>606</v>
      </c>
      <c r="B47" s="17" t="n">
        <v>5928</v>
      </c>
      <c r="C47" s="18">
        <f>(5280.0/B47*100)</f>
        <v/>
      </c>
      <c r="D47" s="19" t="n">
        <v>648</v>
      </c>
      <c r="E47" s="18" t="n">
        <v>45.87853362</v>
      </c>
      <c r="F47" s="20" t="n">
        <v>2.23053089</v>
      </c>
      <c r="G47" s="18" t="n">
        <v>52.73016811</v>
      </c>
      <c r="H47" s="20" t="n">
        <v>2.24094562</v>
      </c>
      <c r="I47" s="18" t="n">
        <v>0</v>
      </c>
      <c r="J47" s="20" t="n">
        <v>0</v>
      </c>
      <c r="K47" s="18" t="n">
        <v>0.47200207</v>
      </c>
      <c r="L47" s="20" t="n">
        <v>0.31109368</v>
      </c>
      <c r="M47" s="18" t="n">
        <v>0</v>
      </c>
      <c r="N47" s="20" t="n">
        <v>0</v>
      </c>
      <c r="O47" s="18" t="n">
        <v>0</v>
      </c>
      <c r="P47" s="20" t="n">
        <v>0</v>
      </c>
      <c r="Q47" s="18" t="n">
        <v>0.9192962</v>
      </c>
      <c r="R47" s="20" t="n">
        <v>0.42924896</v>
      </c>
    </row>
    <row r="48" spans="1:18">
      <c r="A48" s="15" t="s">
        <v>607</v>
      </c>
      <c r="B48" s="17" t="n">
        <v>9841</v>
      </c>
      <c r="C48" s="18">
        <f>(8784.0/B48*100)</f>
        <v/>
      </c>
      <c r="D48" s="19" t="n">
        <v>1057</v>
      </c>
      <c r="E48" s="18" t="n">
        <v>39.50205834</v>
      </c>
      <c r="F48" s="20" t="n">
        <v>2.45935854</v>
      </c>
      <c r="G48" s="18" t="n">
        <v>59.41113377</v>
      </c>
      <c r="H48" s="20" t="n">
        <v>2.44290548</v>
      </c>
      <c r="I48" s="18" t="n">
        <v>0</v>
      </c>
      <c r="J48" s="20" t="n">
        <v>0</v>
      </c>
      <c r="K48" s="18" t="n">
        <v>0.32183237</v>
      </c>
      <c r="L48" s="20" t="n">
        <v>0.19252441</v>
      </c>
      <c r="M48" s="18" t="n">
        <v>0</v>
      </c>
      <c r="N48" s="20" t="n">
        <v>0</v>
      </c>
      <c r="O48" s="18" t="n">
        <v>0</v>
      </c>
      <c r="P48" s="20" t="n">
        <v>0</v>
      </c>
      <c r="Q48" s="18" t="n">
        <v>0.76497552</v>
      </c>
      <c r="R48" s="20" t="n">
        <v>0.37534717</v>
      </c>
    </row>
    <row r="49" spans="1:18">
      <c r="A49" s="15" t="s">
        <v>608</v>
      </c>
      <c r="B49" s="17" t="n">
        <v>11795</v>
      </c>
      <c r="C49" s="18">
        <f>(10514.0/B49*100)</f>
        <v/>
      </c>
      <c r="D49" s="19" t="n">
        <v>1281</v>
      </c>
      <c r="E49" s="18" t="n">
        <v>64.77832561</v>
      </c>
      <c r="F49" s="20" t="n">
        <v>1.60508072</v>
      </c>
      <c r="G49" s="18" t="n">
        <v>33.53531581</v>
      </c>
      <c r="H49" s="20" t="n">
        <v>1.49965576</v>
      </c>
      <c r="I49" s="18" t="n">
        <v>0</v>
      </c>
      <c r="J49" s="20" t="n">
        <v>0</v>
      </c>
      <c r="K49" s="18" t="n">
        <v>1.25279099</v>
      </c>
      <c r="L49" s="20" t="n">
        <v>0.60220536</v>
      </c>
      <c r="M49" s="18" t="n">
        <v>0</v>
      </c>
      <c r="N49" s="20" t="n">
        <v>0</v>
      </c>
      <c r="O49" s="18" t="n">
        <v>0</v>
      </c>
      <c r="P49" s="20" t="n">
        <v>0</v>
      </c>
      <c r="Q49" s="18" t="n">
        <v>0.43356759</v>
      </c>
      <c r="R49" s="20" t="n">
        <v>0.22177201</v>
      </c>
    </row>
    <row r="50" spans="1:18">
      <c r="A50" s="15" t="s">
        <v>609</v>
      </c>
      <c r="B50" s="17" t="n">
        <v>6866</v>
      </c>
      <c r="C50" s="18">
        <f>(5498.0/B50*100)</f>
        <v/>
      </c>
      <c r="D50" s="19" t="n">
        <v>1368</v>
      </c>
      <c r="E50" s="18" t="n">
        <v>63.89409072</v>
      </c>
      <c r="F50" s="20" t="n">
        <v>1.6450975</v>
      </c>
      <c r="G50" s="18" t="n">
        <v>35.08749857</v>
      </c>
      <c r="H50" s="20" t="n">
        <v>1.58206113</v>
      </c>
      <c r="I50" s="18" t="n">
        <v>0</v>
      </c>
      <c r="J50" s="20" t="n">
        <v>0</v>
      </c>
      <c r="K50" s="18" t="n">
        <v>0.07895096</v>
      </c>
      <c r="L50" s="20" t="n">
        <v>0.07930259000000001</v>
      </c>
      <c r="M50" s="18" t="n">
        <v>0</v>
      </c>
      <c r="N50" s="20" t="n">
        <v>0</v>
      </c>
      <c r="O50" s="18" t="n">
        <v>0</v>
      </c>
      <c r="P50" s="20" t="n">
        <v>0</v>
      </c>
      <c r="Q50" s="18" t="n">
        <v>0.93945975</v>
      </c>
      <c r="R50" s="20" t="n">
        <v>0.26740122</v>
      </c>
    </row>
    <row r="51" spans="1:18">
      <c r="A51" s="15" t="s">
        <v>610</v>
      </c>
      <c r="B51" s="17" t="n">
        <v>5809</v>
      </c>
      <c r="C51" s="18">
        <f>(5176.0/B51*100)</f>
        <v/>
      </c>
      <c r="D51" s="19" t="n">
        <v>633</v>
      </c>
      <c r="E51" s="18" t="n">
        <v>46.47919984</v>
      </c>
      <c r="F51" s="20" t="n">
        <v>1.87339197</v>
      </c>
      <c r="G51" s="18" t="n">
        <v>51.86009953</v>
      </c>
      <c r="H51" s="20" t="n">
        <v>1.8019283</v>
      </c>
      <c r="I51" s="18" t="n">
        <v>0</v>
      </c>
      <c r="J51" s="20" t="n">
        <v>0</v>
      </c>
      <c r="K51" s="18" t="n">
        <v>0.16067145</v>
      </c>
      <c r="L51" s="20" t="n">
        <v>0.15714587</v>
      </c>
      <c r="M51" s="18" t="n">
        <v>0</v>
      </c>
      <c r="N51" s="20" t="n">
        <v>0</v>
      </c>
      <c r="O51" s="18" t="n">
        <v>0</v>
      </c>
      <c r="P51" s="20" t="n">
        <v>0</v>
      </c>
      <c r="Q51" s="18" t="n">
        <v>1.50002919</v>
      </c>
      <c r="R51" s="20" t="n">
        <v>0.50776694</v>
      </c>
    </row>
    <row r="52" spans="1:18">
      <c r="A52" s="15" t="s">
        <v>611</v>
      </c>
      <c r="B52" s="17" t="n">
        <v>5571</v>
      </c>
      <c r="C52" s="18">
        <f>(4960.0/B52*100)</f>
        <v/>
      </c>
      <c r="D52" s="19" t="n">
        <v>611</v>
      </c>
      <c r="E52" s="18" t="n">
        <v>47.5339077</v>
      </c>
      <c r="F52" s="20" t="n">
        <v>2.33643228</v>
      </c>
      <c r="G52" s="18" t="n">
        <v>51.69496868</v>
      </c>
      <c r="H52" s="20" t="n">
        <v>2.33195647</v>
      </c>
      <c r="I52" s="18" t="n">
        <v>0</v>
      </c>
      <c r="J52" s="20" t="n">
        <v>0</v>
      </c>
      <c r="K52" s="18" t="n">
        <v>0.37698346</v>
      </c>
      <c r="L52" s="20" t="n">
        <v>0.2206026</v>
      </c>
      <c r="M52" s="18" t="n">
        <v>0</v>
      </c>
      <c r="N52" s="20" t="n">
        <v>0</v>
      </c>
      <c r="O52" s="18" t="n">
        <v>0</v>
      </c>
      <c r="P52" s="20" t="n">
        <v>0</v>
      </c>
      <c r="Q52" s="18" t="n">
        <v>0.39414016</v>
      </c>
      <c r="R52" s="20" t="n">
        <v>0.23668192</v>
      </c>
    </row>
    <row r="53" spans="1:18">
      <c r="A53" s="15" t="s">
        <v>612</v>
      </c>
      <c r="B53" s="17" t="n">
        <v>4740</v>
      </c>
      <c r="C53" s="18">
        <f>(4199.0/B53*100)</f>
        <v/>
      </c>
      <c r="D53" s="19" t="n">
        <v>541</v>
      </c>
      <c r="E53" s="18" t="n">
        <v>71.27680359</v>
      </c>
      <c r="F53" s="20" t="n">
        <v>1.96009847</v>
      </c>
      <c r="G53" s="18" t="n">
        <v>18.60796671</v>
      </c>
      <c r="H53" s="20" t="n">
        <v>1.45618604</v>
      </c>
      <c r="I53" s="18" t="n">
        <v>0</v>
      </c>
      <c r="J53" s="20" t="n">
        <v>0</v>
      </c>
      <c r="K53" s="18" t="n">
        <v>7.66839856</v>
      </c>
      <c r="L53" s="20" t="n">
        <v>1.2596494</v>
      </c>
      <c r="M53" s="18" t="n">
        <v>0</v>
      </c>
      <c r="N53" s="20" t="n">
        <v>0</v>
      </c>
      <c r="O53" s="18" t="n">
        <v>0</v>
      </c>
      <c r="P53" s="20" t="n">
        <v>0</v>
      </c>
      <c r="Q53" s="18" t="n">
        <v>2.44683114</v>
      </c>
      <c r="R53" s="20" t="n">
        <v>0.76619307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(4781.0/B55*100)</f>
        <v/>
      </c>
      <c r="D55" s="19" t="n">
        <v>578</v>
      </c>
      <c r="E55" s="18" t="n">
        <v>31.58669678</v>
      </c>
      <c r="F55" s="20" t="n">
        <v>2.13244582</v>
      </c>
      <c r="G55" s="18" t="n">
        <v>68.08686513000001</v>
      </c>
      <c r="H55" s="20" t="n">
        <v>2.14337711</v>
      </c>
      <c r="I55" s="18" t="n">
        <v>0</v>
      </c>
      <c r="J55" s="20" t="n">
        <v>0</v>
      </c>
      <c r="K55" s="18" t="n">
        <v>0</v>
      </c>
      <c r="L55" s="20" t="n">
        <v>0</v>
      </c>
      <c r="M55" s="18" t="n">
        <v>0</v>
      </c>
      <c r="N55" s="20" t="n">
        <v>0</v>
      </c>
      <c r="O55" s="18" t="n">
        <v>0</v>
      </c>
      <c r="P55" s="20" t="n">
        <v>0</v>
      </c>
      <c r="Q55" s="18" t="n">
        <v>0.32643809</v>
      </c>
      <c r="R55" s="20" t="n">
        <v>0.23521546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(5820.0/B61*100)</f>
        <v/>
      </c>
      <c r="D61" s="19" t="n">
        <v>705</v>
      </c>
      <c r="E61" s="18" t="n">
        <v>44.8112758</v>
      </c>
      <c r="F61" s="20" t="n">
        <v>2.20565059</v>
      </c>
      <c r="G61" s="18" t="n">
        <v>54.90671762</v>
      </c>
      <c r="H61" s="20" t="n">
        <v>2.20799784</v>
      </c>
      <c r="I61" s="18" t="n">
        <v>0</v>
      </c>
      <c r="J61" s="20" t="n">
        <v>0</v>
      </c>
      <c r="K61" s="18" t="n">
        <v>0</v>
      </c>
      <c r="L61" s="20" t="n">
        <v>0</v>
      </c>
      <c r="M61" s="18" t="n">
        <v>0</v>
      </c>
      <c r="N61" s="20" t="n">
        <v>0</v>
      </c>
      <c r="O61" s="18" t="n">
        <v>0</v>
      </c>
      <c r="P61" s="20" t="n">
        <v>0</v>
      </c>
      <c r="Q61" s="18" t="n">
        <v>0.28200659</v>
      </c>
      <c r="R61" s="20" t="n">
        <v>0.20302207</v>
      </c>
    </row>
    <row r="62" spans="1:18">
      <c r="A62" s="15" t="s">
        <v>622</v>
      </c>
      <c r="B62" s="17" t="n">
        <v>4476</v>
      </c>
      <c r="C62" s="18">
        <f>(3994.0/B62*100)</f>
        <v/>
      </c>
      <c r="D62" s="19" t="n">
        <v>482</v>
      </c>
      <c r="E62" s="18" t="n">
        <v>42.37741225</v>
      </c>
      <c r="F62" s="20" t="n">
        <v>2.10700781</v>
      </c>
      <c r="G62" s="18" t="n">
        <v>57.62258775</v>
      </c>
      <c r="H62" s="20" t="n">
        <v>2.10700781</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(5050.0/B67*100)</f>
        <v/>
      </c>
      <c r="D67" s="19" t="n">
        <v>615</v>
      </c>
      <c r="E67" s="18" t="n">
        <v>49.32265765</v>
      </c>
      <c r="F67" s="20" t="n">
        <v>1.91973382</v>
      </c>
      <c r="G67" s="18" t="n">
        <v>48.48060137</v>
      </c>
      <c r="H67" s="20" t="n">
        <v>1.8887023</v>
      </c>
      <c r="I67" s="18" t="n">
        <v>0</v>
      </c>
      <c r="J67" s="20" t="n">
        <v>0</v>
      </c>
      <c r="K67" s="18" t="n">
        <v>0.13597102</v>
      </c>
      <c r="L67" s="20" t="n">
        <v>0.13584087</v>
      </c>
      <c r="M67" s="18" t="n">
        <v>0</v>
      </c>
      <c r="N67" s="20" t="n">
        <v>0</v>
      </c>
      <c r="O67" s="18" t="n">
        <v>0</v>
      </c>
      <c r="P67" s="20" t="n">
        <v>0</v>
      </c>
      <c r="Q67" s="18" t="n">
        <v>2.06076996</v>
      </c>
      <c r="R67" s="20" t="n">
        <v>0.57576529</v>
      </c>
    </row>
    <row r="68" spans="1:18">
      <c r="A68" s="15" t="s">
        <v>628</v>
      </c>
      <c r="B68" s="17" t="n">
        <v>6971</v>
      </c>
      <c r="C68" s="18">
        <f>(6230.0/B68*100)</f>
        <v/>
      </c>
      <c r="D68" s="19" t="n">
        <v>741</v>
      </c>
      <c r="E68" s="18" t="n">
        <v>66.64103305</v>
      </c>
      <c r="F68" s="20" t="n">
        <v>1.94160432</v>
      </c>
      <c r="G68" s="18" t="n">
        <v>32.76848429</v>
      </c>
      <c r="H68" s="20" t="n">
        <v>1.91838236</v>
      </c>
      <c r="I68" s="18" t="n">
        <v>0</v>
      </c>
      <c r="J68" s="20" t="n">
        <v>0</v>
      </c>
      <c r="K68" s="18" t="n">
        <v>0.10132393</v>
      </c>
      <c r="L68" s="20" t="n">
        <v>0.10160602</v>
      </c>
      <c r="M68" s="18" t="n">
        <v>0</v>
      </c>
      <c r="N68" s="20" t="n">
        <v>0</v>
      </c>
      <c r="O68" s="18" t="n">
        <v>0</v>
      </c>
      <c r="P68" s="20" t="n">
        <v>0</v>
      </c>
      <c r="Q68" s="18" t="n">
        <v>0.48915873</v>
      </c>
      <c r="R68" s="20" t="n">
        <v>0.30672791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(10725.0/B70*100)</f>
        <v/>
      </c>
      <c r="D70" s="19" t="n">
        <v>1358</v>
      </c>
      <c r="E70" s="18" t="n">
        <v>65.07461383</v>
      </c>
      <c r="F70" s="20" t="n">
        <v>1.34086423</v>
      </c>
      <c r="G70" s="18" t="n">
        <v>32.21481828</v>
      </c>
      <c r="H70" s="20" t="n">
        <v>1.32625761</v>
      </c>
      <c r="I70" s="18" t="n">
        <v>0</v>
      </c>
      <c r="J70" s="20" t="n">
        <v>0</v>
      </c>
      <c r="K70" s="18" t="n">
        <v>1.20805754</v>
      </c>
      <c r="L70" s="20" t="n">
        <v>0.30240127</v>
      </c>
      <c r="M70" s="18" t="n">
        <v>0</v>
      </c>
      <c r="N70" s="20" t="n">
        <v>0</v>
      </c>
      <c r="O70" s="18" t="n">
        <v>0</v>
      </c>
      <c r="P70" s="20" t="n">
        <v>0</v>
      </c>
      <c r="Q70" s="18" t="n">
        <v>1.50251035</v>
      </c>
      <c r="R70" s="20" t="n">
        <v>0.32828134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(5401.0/B72*100)</f>
        <v/>
      </c>
      <c r="D72" s="19" t="n">
        <v>635</v>
      </c>
      <c r="E72" s="18" t="n">
        <v>34.73586158</v>
      </c>
      <c r="F72" s="20" t="n">
        <v>2.49869326</v>
      </c>
      <c r="G72" s="18" t="n">
        <v>64.51575363000001</v>
      </c>
      <c r="H72" s="20" t="n">
        <v>2.52899195</v>
      </c>
      <c r="I72" s="18" t="n">
        <v>0</v>
      </c>
      <c r="J72" s="20" t="n">
        <v>0</v>
      </c>
      <c r="K72" s="18" t="n">
        <v>0.63571016</v>
      </c>
      <c r="L72" s="20" t="n">
        <v>0.39969707</v>
      </c>
      <c r="M72" s="18" t="n">
        <v>0</v>
      </c>
      <c r="N72" s="20" t="n">
        <v>0</v>
      </c>
      <c r="O72" s="18" t="n">
        <v>0</v>
      </c>
      <c r="P72" s="20" t="n">
        <v>0</v>
      </c>
      <c r="Q72" s="18" t="n">
        <v>0.11267464</v>
      </c>
      <c r="R72" s="20" t="n">
        <v>0.11376971</v>
      </c>
    </row>
    <row r="73" spans="1:18">
      <c r="A73" s="15" t="s">
        <v>633</v>
      </c>
      <c r="B73" s="17" t="n">
        <v>6115</v>
      </c>
      <c r="C73" s="18">
        <f>(5425.0/B73*100)</f>
        <v/>
      </c>
      <c r="D73" s="19" t="n">
        <v>690</v>
      </c>
      <c r="E73" s="18" t="n">
        <v>26.67180774</v>
      </c>
      <c r="F73" s="20" t="n">
        <v>1.49711948</v>
      </c>
      <c r="G73" s="18" t="n">
        <v>72.63531005</v>
      </c>
      <c r="H73" s="20" t="n">
        <v>1.54237029</v>
      </c>
      <c r="I73" s="18" t="n">
        <v>0</v>
      </c>
      <c r="J73" s="20" t="n">
        <v>0</v>
      </c>
      <c r="K73" s="18" t="n">
        <v>0.23311472</v>
      </c>
      <c r="L73" s="20" t="n">
        <v>0.22302065</v>
      </c>
      <c r="M73" s="18" t="n">
        <v>0</v>
      </c>
      <c r="N73" s="20" t="n">
        <v>0</v>
      </c>
      <c r="O73" s="18" t="n">
        <v>0</v>
      </c>
      <c r="P73" s="20" t="n">
        <v>0</v>
      </c>
      <c r="Q73" s="18" t="n">
        <v>0.45976749</v>
      </c>
      <c r="R73" s="20" t="n">
        <v>0.23314854</v>
      </c>
    </row>
    <row r="74" spans="1:18">
      <c r="A74" s="15" t="s">
        <v>634</v>
      </c>
      <c r="B74" s="17" t="n">
        <v>7708</v>
      </c>
      <c r="C74" s="18">
        <f>(6865.0/B74*100)</f>
        <v/>
      </c>
      <c r="D74" s="19" t="n">
        <v>843</v>
      </c>
      <c r="E74" s="18" t="n">
        <v>24.92996747</v>
      </c>
      <c r="F74" s="20" t="n">
        <v>1.60386122</v>
      </c>
      <c r="G74" s="18" t="n">
        <v>74.592513</v>
      </c>
      <c r="H74" s="20" t="n">
        <v>1.63276455</v>
      </c>
      <c r="I74" s="18" t="n">
        <v>0</v>
      </c>
      <c r="J74" s="20" t="n">
        <v>0</v>
      </c>
      <c r="K74" s="18" t="n">
        <v>0.15688412</v>
      </c>
      <c r="L74" s="20" t="n">
        <v>0.15745329</v>
      </c>
      <c r="M74" s="18" t="n">
        <v>0</v>
      </c>
      <c r="N74" s="20" t="n">
        <v>0</v>
      </c>
      <c r="O74" s="18" t="n">
        <v>0</v>
      </c>
      <c r="P74" s="20" t="n">
        <v>0</v>
      </c>
      <c r="Q74" s="18" t="n">
        <v>0.32063541</v>
      </c>
      <c r="R74" s="20" t="n">
        <v>0.22787896</v>
      </c>
    </row>
    <row r="75" spans="1:18">
      <c r="A75" s="15" t="s">
        <v>635</v>
      </c>
      <c r="B75" s="17" t="n">
        <v>8249</v>
      </c>
      <c r="C75" s="18">
        <f>(7380.0/B75*100)</f>
        <v/>
      </c>
      <c r="D75" s="19" t="n">
        <v>869</v>
      </c>
      <c r="E75" s="18" t="n">
        <v>75.26788396000001</v>
      </c>
      <c r="F75" s="20" t="n">
        <v>1.77557209</v>
      </c>
      <c r="G75" s="18" t="n">
        <v>24.48300363</v>
      </c>
      <c r="H75" s="20" t="n">
        <v>1.79196714</v>
      </c>
      <c r="I75" s="18" t="n">
        <v>0</v>
      </c>
      <c r="J75" s="20" t="n">
        <v>0</v>
      </c>
      <c r="K75" s="18" t="n">
        <v>0</v>
      </c>
      <c r="L75" s="20" t="n">
        <v>0</v>
      </c>
      <c r="M75" s="18" t="n">
        <v>0</v>
      </c>
      <c r="N75" s="20" t="n">
        <v>0</v>
      </c>
      <c r="O75" s="18" t="n">
        <v>0</v>
      </c>
      <c r="P75" s="20" t="n">
        <v>0</v>
      </c>
      <c r="Q75" s="18" t="n">
        <v>0.24911241</v>
      </c>
      <c r="R75" s="20" t="n">
        <v>0.19187546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(4837.0/B77*100)</f>
        <v/>
      </c>
      <c r="D77" s="19" t="n">
        <v>538</v>
      </c>
      <c r="E77" s="18" t="n">
        <v>73.59793589</v>
      </c>
      <c r="F77" s="20" t="n">
        <v>2.02481309</v>
      </c>
      <c r="G77" s="18" t="n">
        <v>21.74258326</v>
      </c>
      <c r="H77" s="20" t="n">
        <v>1.75752239</v>
      </c>
      <c r="I77" s="18" t="n">
        <v>0</v>
      </c>
      <c r="J77" s="20" t="n">
        <v>0</v>
      </c>
      <c r="K77" s="18" t="n">
        <v>1.89244126</v>
      </c>
      <c r="L77" s="20" t="n">
        <v>0.51647241</v>
      </c>
      <c r="M77" s="18" t="n">
        <v>0</v>
      </c>
      <c r="N77" s="20" t="n">
        <v>0</v>
      </c>
      <c r="O77" s="18" t="n">
        <v>0</v>
      </c>
      <c r="P77" s="20" t="n">
        <v>0</v>
      </c>
      <c r="Q77" s="18" t="n">
        <v>2.76703959</v>
      </c>
      <c r="R77" s="20" t="n">
        <v>0.7274005099999999</v>
      </c>
    </row>
    <row r="78" spans="1:18">
      <c r="A78" s="15" t="s">
        <v>638</v>
      </c>
      <c r="B78" s="17" t="n">
        <v>14167</v>
      </c>
      <c r="C78" s="18">
        <f>(12616.0/B78*100)</f>
        <v/>
      </c>
      <c r="D78" s="19" t="n">
        <v>1551</v>
      </c>
      <c r="E78" s="18" t="n">
        <v>61.60036744</v>
      </c>
      <c r="F78" s="20" t="n">
        <v>1.46922912</v>
      </c>
      <c r="G78" s="18" t="n">
        <v>36.12454626</v>
      </c>
      <c r="H78" s="20" t="n">
        <v>1.59807705</v>
      </c>
      <c r="I78" s="18" t="n">
        <v>0</v>
      </c>
      <c r="J78" s="20" t="n">
        <v>0</v>
      </c>
      <c r="K78" s="18" t="n">
        <v>1.06390611</v>
      </c>
      <c r="L78" s="20" t="n">
        <v>0.35439227</v>
      </c>
      <c r="M78" s="18" t="n">
        <v>0</v>
      </c>
      <c r="N78" s="20" t="n">
        <v>0</v>
      </c>
      <c r="O78" s="18" t="n">
        <v>0</v>
      </c>
      <c r="P78" s="20" t="n">
        <v>0</v>
      </c>
      <c r="Q78" s="18" t="n">
        <v>1.21118019</v>
      </c>
      <c r="R78" s="20" t="n">
        <v>0.35847267</v>
      </c>
    </row>
    <row r="79" spans="1:18">
      <c r="A79" s="15" t="s">
        <v>639</v>
      </c>
      <c r="B79" s="17" t="n">
        <v>6062</v>
      </c>
      <c r="C79" s="18">
        <f>(5383.0/B79*100)</f>
        <v/>
      </c>
      <c r="D79" s="19" t="n">
        <v>679</v>
      </c>
      <c r="E79" s="18" t="n">
        <v>53.7567567</v>
      </c>
      <c r="F79" s="20" t="n">
        <v>1.59251776</v>
      </c>
      <c r="G79" s="18" t="n">
        <v>44.60633124</v>
      </c>
      <c r="H79" s="20" t="n">
        <v>1.68693554</v>
      </c>
      <c r="I79" s="18" t="n">
        <v>0</v>
      </c>
      <c r="J79" s="20" t="n">
        <v>0</v>
      </c>
      <c r="K79" s="18" t="n">
        <v>0.38499252</v>
      </c>
      <c r="L79" s="20" t="n">
        <v>0.22164103</v>
      </c>
      <c r="M79" s="18" t="n">
        <v>0</v>
      </c>
      <c r="N79" s="20" t="n">
        <v>0</v>
      </c>
      <c r="O79" s="18" t="n">
        <v>0</v>
      </c>
      <c r="P79" s="20" t="n">
        <v>0</v>
      </c>
      <c r="Q79" s="18" t="n">
        <v>1.25191954</v>
      </c>
      <c r="R79" s="20" t="n">
        <v>0.48924303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(28767.0/B82*100)</f>
        <v/>
      </c>
      <c r="D82" s="19" t="n">
        <v>3563</v>
      </c>
      <c r="E82" s="18" t="n">
        <v>41.29123752</v>
      </c>
      <c r="F82" s="20" t="n">
        <v>1.19897602</v>
      </c>
      <c r="G82" s="18" t="n">
        <v>58.00050886</v>
      </c>
      <c r="H82" s="20" t="n">
        <v>1.25124487</v>
      </c>
      <c r="I82" s="18" t="n">
        <v>0</v>
      </c>
      <c r="J82" s="20" t="n">
        <v>0</v>
      </c>
      <c r="K82" s="18" t="n">
        <v>0.18177329</v>
      </c>
      <c r="L82" s="20" t="n">
        <v>0.12253665</v>
      </c>
      <c r="M82" s="18" t="n">
        <v>0</v>
      </c>
      <c r="N82" s="20" t="n">
        <v>0</v>
      </c>
      <c r="O82" s="18" t="n">
        <v>0</v>
      </c>
      <c r="P82" s="20" t="n">
        <v>0</v>
      </c>
      <c r="Q82" s="18" t="n">
        <v>0.5264803300000001</v>
      </c>
      <c r="R82" s="20" t="n">
        <v>0.17972053</v>
      </c>
    </row>
    <row r="83" spans="1:18">
      <c r="A83" s="15" t="s">
        <v>643</v>
      </c>
      <c r="B83" s="17" t="n">
        <v>1652</v>
      </c>
      <c r="C83" s="18">
        <f>(1438.0/B83*100)</f>
        <v/>
      </c>
      <c r="D83" s="19" t="n">
        <v>214</v>
      </c>
      <c r="E83" s="18" t="n">
        <v>42.4282443</v>
      </c>
      <c r="F83" s="20" t="n">
        <v>4.90075008</v>
      </c>
      <c r="G83" s="18" t="n">
        <v>57.1782032</v>
      </c>
      <c r="H83" s="20" t="n">
        <v>4.85331287</v>
      </c>
      <c r="I83" s="18" t="n">
        <v>0</v>
      </c>
      <c r="J83" s="20" t="n">
        <v>0</v>
      </c>
      <c r="K83" s="18" t="n">
        <v>0</v>
      </c>
      <c r="L83" s="20" t="n">
        <v>0</v>
      </c>
      <c r="M83" s="18" t="n">
        <v>0</v>
      </c>
      <c r="N83" s="20" t="n">
        <v>0</v>
      </c>
      <c r="O83" s="18" t="n">
        <v>0</v>
      </c>
      <c r="P83" s="20" t="n">
        <v>0</v>
      </c>
      <c r="Q83" s="18" t="n">
        <v>0.3935525</v>
      </c>
      <c r="R83" s="20" t="n">
        <v>0.39838974</v>
      </c>
    </row>
    <row r="84" spans="1:18">
      <c r="A84" s="23" t="s">
        <v>644</v>
      </c>
      <c r="B84" s="24" t="n">
        <v>1887</v>
      </c>
      <c r="C84" s="25">
        <f>(1649.0/B84*100)</f>
        <v/>
      </c>
      <c r="D84" s="19" t="n">
        <v>238</v>
      </c>
      <c r="E84" s="18" t="n">
        <v>56.26773748</v>
      </c>
      <c r="F84" s="20" t="n">
        <v>3.25849821</v>
      </c>
      <c r="G84" s="18" t="n">
        <v>43.398217</v>
      </c>
      <c r="H84" s="20" t="n">
        <v>3.28244949</v>
      </c>
      <c r="I84" s="18" t="n">
        <v>0</v>
      </c>
      <c r="J84" s="20" t="n">
        <v>0</v>
      </c>
      <c r="K84" s="18" t="n">
        <v>0</v>
      </c>
      <c r="L84" s="20" t="n">
        <v>0</v>
      </c>
      <c r="M84" s="18" t="n">
        <v>0</v>
      </c>
      <c r="N84" s="20" t="n">
        <v>0</v>
      </c>
      <c r="O84" s="18" t="n">
        <v>0</v>
      </c>
      <c r="P84" s="20" t="n">
        <v>0</v>
      </c>
      <c r="Q84" s="18" t="n">
        <v>0.33404552</v>
      </c>
      <c r="R84" s="20" t="n">
        <v>0.3113003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(12939.0/B7*100)</f>
        <v/>
      </c>
      <c r="D7" s="19" t="n">
        <v>1591</v>
      </c>
      <c r="E7" s="18" t="n">
        <v>20.70223755</v>
      </c>
      <c r="F7" s="20" t="n">
        <v>1.32283982</v>
      </c>
      <c r="G7" s="18" t="n">
        <v>78.2294589</v>
      </c>
      <c r="H7" s="20" t="n">
        <v>1.33509535</v>
      </c>
      <c r="I7" s="18" t="n">
        <v>0</v>
      </c>
      <c r="J7" s="20" t="n">
        <v>0</v>
      </c>
      <c r="K7" s="18" t="n">
        <v>0.03231047</v>
      </c>
      <c r="L7" s="20" t="n">
        <v>0.0229516</v>
      </c>
      <c r="M7" s="18" t="n">
        <v>0</v>
      </c>
      <c r="N7" s="20" t="n">
        <v>0</v>
      </c>
      <c r="O7" s="18" t="n">
        <v>0</v>
      </c>
      <c r="P7" s="20" t="n">
        <v>0</v>
      </c>
      <c r="Q7" s="18" t="n">
        <v>1.03599308</v>
      </c>
      <c r="R7" s="20" t="n">
        <v>0.32799879</v>
      </c>
    </row>
    <row r="8" spans="1:18">
      <c r="A8" s="15" t="s">
        <v>566</v>
      </c>
      <c r="B8" s="17" t="n">
        <v>7007</v>
      </c>
      <c r="C8" s="18">
        <f>(6204.0/B8*100)</f>
        <v/>
      </c>
      <c r="D8" s="19" t="n">
        <v>803</v>
      </c>
      <c r="E8" s="18" t="n">
        <v>23.03786196</v>
      </c>
      <c r="F8" s="20" t="n">
        <v>1.77758718</v>
      </c>
      <c r="G8" s="18" t="n">
        <v>76.36294562</v>
      </c>
      <c r="H8" s="20" t="n">
        <v>1.81204318</v>
      </c>
      <c r="I8" s="18" t="n">
        <v>0</v>
      </c>
      <c r="J8" s="20" t="n">
        <v>0</v>
      </c>
      <c r="K8" s="18" t="n">
        <v>0</v>
      </c>
      <c r="L8" s="20" t="n">
        <v>0</v>
      </c>
      <c r="M8" s="18" t="n">
        <v>0</v>
      </c>
      <c r="N8" s="20" t="n">
        <v>0</v>
      </c>
      <c r="O8" s="18" t="n">
        <v>0</v>
      </c>
      <c r="P8" s="20" t="n">
        <v>0</v>
      </c>
      <c r="Q8" s="18" t="n">
        <v>0.5991924199999999</v>
      </c>
      <c r="R8" s="20" t="n">
        <v>0.25081892</v>
      </c>
    </row>
    <row r="9" spans="1:18">
      <c r="A9" s="15" t="s">
        <v>567</v>
      </c>
      <c r="B9" s="17" t="n">
        <v>9651</v>
      </c>
      <c r="C9" s="18">
        <f>(8386.0/B9*100)</f>
        <v/>
      </c>
      <c r="D9" s="19" t="n">
        <v>1265</v>
      </c>
      <c r="E9" s="18" t="n">
        <v>31.62319246</v>
      </c>
      <c r="F9" s="20" t="n">
        <v>1.28356063</v>
      </c>
      <c r="G9" s="18" t="n">
        <v>67.39056759</v>
      </c>
      <c r="H9" s="20" t="n">
        <v>1.54986368</v>
      </c>
      <c r="I9" s="18" t="n">
        <v>0</v>
      </c>
      <c r="J9" s="20" t="n">
        <v>0</v>
      </c>
      <c r="K9" s="18" t="n">
        <v>0.20223585</v>
      </c>
      <c r="L9" s="20" t="n">
        <v>0.09952155</v>
      </c>
      <c r="M9" s="18" t="n">
        <v>0</v>
      </c>
      <c r="N9" s="20" t="n">
        <v>0</v>
      </c>
      <c r="O9" s="18" t="n">
        <v>0</v>
      </c>
      <c r="P9" s="20" t="n">
        <v>0</v>
      </c>
      <c r="Q9" s="18" t="n">
        <v>0.78400411</v>
      </c>
      <c r="R9" s="20" t="n">
        <v>0.33482796</v>
      </c>
    </row>
    <row r="10" spans="1:18">
      <c r="A10" s="15" t="s">
        <v>568</v>
      </c>
      <c r="B10" s="17" t="n">
        <v>20058</v>
      </c>
      <c r="C10" s="18">
        <f>(17878.0/B10*100)</f>
        <v/>
      </c>
      <c r="D10" s="19" t="n">
        <v>2180</v>
      </c>
      <c r="E10" s="18" t="n">
        <v>21.9355662</v>
      </c>
      <c r="F10" s="20" t="n">
        <v>1.17535707</v>
      </c>
      <c r="G10" s="18" t="n">
        <v>77.10698367000001</v>
      </c>
      <c r="H10" s="20" t="n">
        <v>1.27855095</v>
      </c>
      <c r="I10" s="18" t="n">
        <v>0</v>
      </c>
      <c r="J10" s="20" t="n">
        <v>0</v>
      </c>
      <c r="K10" s="18" t="n">
        <v>0.10136742</v>
      </c>
      <c r="L10" s="20" t="n">
        <v>0.05293717</v>
      </c>
      <c r="M10" s="18" t="n">
        <v>0</v>
      </c>
      <c r="N10" s="20" t="n">
        <v>0</v>
      </c>
      <c r="O10" s="18" t="n">
        <v>0</v>
      </c>
      <c r="P10" s="20" t="n">
        <v>0</v>
      </c>
      <c r="Q10" s="18" t="n">
        <v>0.85608271</v>
      </c>
      <c r="R10" s="20" t="n">
        <v>0.30831866</v>
      </c>
    </row>
    <row r="11" spans="1:18">
      <c r="A11" s="15" t="s">
        <v>569</v>
      </c>
      <c r="B11" s="17" t="n">
        <v>7053</v>
      </c>
      <c r="C11" s="18">
        <f>(6254.0/B11*100)</f>
        <v/>
      </c>
      <c r="D11" s="19" t="n">
        <v>799</v>
      </c>
      <c r="E11" s="18" t="n">
        <v>33.89589265</v>
      </c>
      <c r="F11" s="20" t="n">
        <v>2.38589412</v>
      </c>
      <c r="G11" s="18" t="n">
        <v>63.51102767</v>
      </c>
      <c r="H11" s="20" t="n">
        <v>2.35178364</v>
      </c>
      <c r="I11" s="18" t="n">
        <v>0</v>
      </c>
      <c r="J11" s="20" t="n">
        <v>0</v>
      </c>
      <c r="K11" s="18" t="n">
        <v>0.42323413</v>
      </c>
      <c r="L11" s="20" t="n">
        <v>0.24870307</v>
      </c>
      <c r="M11" s="18" t="n">
        <v>0</v>
      </c>
      <c r="N11" s="20" t="n">
        <v>0</v>
      </c>
      <c r="O11" s="18" t="n">
        <v>0</v>
      </c>
      <c r="P11" s="20" t="n">
        <v>0</v>
      </c>
      <c r="Q11" s="18" t="n">
        <v>2.16984556</v>
      </c>
      <c r="R11" s="20" t="n">
        <v>0.84918833</v>
      </c>
    </row>
    <row r="12" spans="1:18">
      <c r="A12" s="15" t="s">
        <v>570</v>
      </c>
      <c r="B12" s="17" t="n">
        <v>6894</v>
      </c>
      <c r="C12" s="18">
        <f>(6057.0/B12*100)</f>
        <v/>
      </c>
      <c r="D12" s="19" t="n">
        <v>837</v>
      </c>
      <c r="E12" s="18" t="n">
        <v>33.59028085</v>
      </c>
      <c r="F12" s="20" t="n">
        <v>3.46590834</v>
      </c>
      <c r="G12" s="18" t="n">
        <v>65.45339328</v>
      </c>
      <c r="H12" s="20" t="n">
        <v>3.60514878</v>
      </c>
      <c r="I12" s="18" t="n">
        <v>0</v>
      </c>
      <c r="J12" s="20" t="n">
        <v>0</v>
      </c>
      <c r="K12" s="18" t="n">
        <v>0.39125965</v>
      </c>
      <c r="L12" s="20" t="n">
        <v>0.29560412</v>
      </c>
      <c r="M12" s="18" t="n">
        <v>0</v>
      </c>
      <c r="N12" s="20" t="n">
        <v>0</v>
      </c>
      <c r="O12" s="18" t="n">
        <v>0</v>
      </c>
      <c r="P12" s="20" t="n">
        <v>0</v>
      </c>
      <c r="Q12" s="18" t="n">
        <v>0.56506621</v>
      </c>
      <c r="R12" s="20" t="n">
        <v>0.33045313</v>
      </c>
    </row>
    <row r="13" spans="1:18">
      <c r="A13" s="15" t="s">
        <v>571</v>
      </c>
      <c r="B13" s="17" t="n">
        <v>7161</v>
      </c>
      <c r="C13" s="18">
        <f>(6078.0/B13*100)</f>
        <v/>
      </c>
      <c r="D13" s="19" t="n">
        <v>1083</v>
      </c>
      <c r="E13" s="18" t="n">
        <v>28.59479408</v>
      </c>
      <c r="F13" s="20" t="n">
        <v>1.58317138</v>
      </c>
      <c r="G13" s="18" t="n">
        <v>70.3567615</v>
      </c>
      <c r="H13" s="20" t="n">
        <v>1.53788358</v>
      </c>
      <c r="I13" s="18" t="n">
        <v>0</v>
      </c>
      <c r="J13" s="20" t="n">
        <v>0</v>
      </c>
      <c r="K13" s="18" t="n">
        <v>0.65253373</v>
      </c>
      <c r="L13" s="20" t="n">
        <v>0.27346216</v>
      </c>
      <c r="M13" s="18" t="n">
        <v>0</v>
      </c>
      <c r="N13" s="20" t="n">
        <v>0</v>
      </c>
      <c r="O13" s="18" t="n">
        <v>0</v>
      </c>
      <c r="P13" s="20" t="n">
        <v>0</v>
      </c>
      <c r="Q13" s="18" t="n">
        <v>0.39591069</v>
      </c>
      <c r="R13" s="20" t="n">
        <v>0.24542476</v>
      </c>
    </row>
    <row r="14" spans="1:18">
      <c r="A14" s="15" t="s">
        <v>572</v>
      </c>
      <c r="B14" s="17" t="n">
        <v>5587</v>
      </c>
      <c r="C14" s="18">
        <f>(4992.0/B14*100)</f>
        <v/>
      </c>
      <c r="D14" s="19" t="n">
        <v>595</v>
      </c>
      <c r="E14" s="18" t="n">
        <v>15.81737483</v>
      </c>
      <c r="F14" s="20" t="n">
        <v>1.61936692</v>
      </c>
      <c r="G14" s="18" t="n">
        <v>83.8433102</v>
      </c>
      <c r="H14" s="20" t="n">
        <v>1.65001501</v>
      </c>
      <c r="I14" s="18" t="n">
        <v>0</v>
      </c>
      <c r="J14" s="20" t="n">
        <v>0</v>
      </c>
      <c r="K14" s="18" t="n">
        <v>0</v>
      </c>
      <c r="L14" s="20" t="n">
        <v>0</v>
      </c>
      <c r="M14" s="18" t="n">
        <v>0</v>
      </c>
      <c r="N14" s="20" t="n">
        <v>0</v>
      </c>
      <c r="O14" s="18" t="n">
        <v>0</v>
      </c>
      <c r="P14" s="20" t="n">
        <v>0</v>
      </c>
      <c r="Q14" s="18" t="n">
        <v>0.33931497</v>
      </c>
      <c r="R14" s="20" t="n">
        <v>0.24903349</v>
      </c>
    </row>
    <row r="15" spans="1:18">
      <c r="A15" s="15" t="s">
        <v>573</v>
      </c>
      <c r="B15" s="17" t="n">
        <v>5882</v>
      </c>
      <c r="C15" s="18">
        <f>(5186.0/B15*100)</f>
        <v/>
      </c>
      <c r="D15" s="19" t="n">
        <v>696</v>
      </c>
      <c r="E15" s="18" t="n">
        <v>23.46481194</v>
      </c>
      <c r="F15" s="20" t="n">
        <v>2.58619445</v>
      </c>
      <c r="G15" s="18" t="n">
        <v>75.69267795</v>
      </c>
      <c r="H15" s="20" t="n">
        <v>2.78649952</v>
      </c>
      <c r="I15" s="18" t="n">
        <v>0</v>
      </c>
      <c r="J15" s="20" t="n">
        <v>0</v>
      </c>
      <c r="K15" s="18" t="n">
        <v>0</v>
      </c>
      <c r="L15" s="20" t="n">
        <v>0</v>
      </c>
      <c r="M15" s="18" t="n">
        <v>0</v>
      </c>
      <c r="N15" s="20" t="n">
        <v>0</v>
      </c>
      <c r="O15" s="18" t="n">
        <v>0</v>
      </c>
      <c r="P15" s="20" t="n">
        <v>0</v>
      </c>
      <c r="Q15" s="18" t="n">
        <v>0.84251011</v>
      </c>
      <c r="R15" s="20" t="n">
        <v>0.40516028</v>
      </c>
    </row>
    <row r="16" spans="1:18">
      <c r="A16" s="15" t="s">
        <v>574</v>
      </c>
      <c r="B16" s="17" t="n">
        <v>6108</v>
      </c>
      <c r="C16" s="18">
        <f>(5462.0/B16*100)</f>
        <v/>
      </c>
      <c r="D16" s="19" t="n">
        <v>646</v>
      </c>
      <c r="E16" s="18" t="n">
        <v>28.4221514</v>
      </c>
      <c r="F16" s="20" t="n">
        <v>1.63407366</v>
      </c>
      <c r="G16" s="18" t="n">
        <v>69.77911512999999</v>
      </c>
      <c r="H16" s="20" t="n">
        <v>1.70307756</v>
      </c>
      <c r="I16" s="18" t="n">
        <v>0</v>
      </c>
      <c r="J16" s="20" t="n">
        <v>0</v>
      </c>
      <c r="K16" s="18" t="n">
        <v>0</v>
      </c>
      <c r="L16" s="20" t="n">
        <v>0</v>
      </c>
      <c r="M16" s="18" t="n">
        <v>0</v>
      </c>
      <c r="N16" s="20" t="n">
        <v>0</v>
      </c>
      <c r="O16" s="18" t="n">
        <v>0</v>
      </c>
      <c r="P16" s="20" t="n">
        <v>0</v>
      </c>
      <c r="Q16" s="18" t="n">
        <v>1.79873346</v>
      </c>
      <c r="R16" s="20" t="n">
        <v>0.55713291</v>
      </c>
    </row>
    <row r="17" spans="1:18">
      <c r="A17" s="15" t="s">
        <v>575</v>
      </c>
      <c r="B17" s="17" t="n">
        <v>6504</v>
      </c>
      <c r="C17" s="18">
        <f>(5682.0/B17*100)</f>
        <v/>
      </c>
      <c r="D17" s="19" t="n">
        <v>822</v>
      </c>
      <c r="E17" s="18" t="n">
        <v>27.60930081</v>
      </c>
      <c r="F17" s="20" t="n">
        <v>2.2474722</v>
      </c>
      <c r="G17" s="18" t="n">
        <v>70.52805155</v>
      </c>
      <c r="H17" s="20" t="n">
        <v>2.57315937</v>
      </c>
      <c r="I17" s="18" t="n">
        <v>0</v>
      </c>
      <c r="J17" s="20" t="n">
        <v>0</v>
      </c>
      <c r="K17" s="18" t="n">
        <v>0.53316044</v>
      </c>
      <c r="L17" s="20" t="n">
        <v>0.2601061</v>
      </c>
      <c r="M17" s="18" t="n">
        <v>0</v>
      </c>
      <c r="N17" s="20" t="n">
        <v>0</v>
      </c>
      <c r="O17" s="18" t="n">
        <v>0</v>
      </c>
      <c r="P17" s="20" t="n">
        <v>0</v>
      </c>
      <c r="Q17" s="18" t="n">
        <v>1.3294872</v>
      </c>
      <c r="R17" s="20" t="n">
        <v>0.63360964</v>
      </c>
    </row>
    <row r="18" spans="1:18">
      <c r="A18" s="15" t="s">
        <v>576</v>
      </c>
      <c r="B18" s="17" t="n">
        <v>5532</v>
      </c>
      <c r="C18" s="18">
        <f>(4938.0/B18*100)</f>
        <v/>
      </c>
      <c r="D18" s="19" t="n">
        <v>594</v>
      </c>
      <c r="E18" s="18" t="n">
        <v>40.95908805</v>
      </c>
      <c r="F18" s="20" t="n">
        <v>2.9907154</v>
      </c>
      <c r="G18" s="18" t="n">
        <v>57.75694096</v>
      </c>
      <c r="H18" s="20" t="n">
        <v>2.94361469</v>
      </c>
      <c r="I18" s="18" t="n">
        <v>0</v>
      </c>
      <c r="J18" s="20" t="n">
        <v>0</v>
      </c>
      <c r="K18" s="18" t="n">
        <v>0.19762072</v>
      </c>
      <c r="L18" s="20" t="n">
        <v>0.1956443</v>
      </c>
      <c r="M18" s="18" t="n">
        <v>0</v>
      </c>
      <c r="N18" s="20" t="n">
        <v>0</v>
      </c>
      <c r="O18" s="18" t="n">
        <v>0</v>
      </c>
      <c r="P18" s="20" t="n">
        <v>0</v>
      </c>
      <c r="Q18" s="18" t="n">
        <v>1.08635027</v>
      </c>
      <c r="R18" s="20" t="n">
        <v>0.45881536</v>
      </c>
    </row>
    <row r="19" spans="1:18">
      <c r="A19" s="15" t="s">
        <v>577</v>
      </c>
      <c r="B19" s="17" t="n">
        <v>5658</v>
      </c>
      <c r="C19" s="18">
        <f>(5017.0/B19*100)</f>
        <v/>
      </c>
      <c r="D19" s="19" t="n">
        <v>641</v>
      </c>
      <c r="E19" s="18" t="n">
        <v>27.2509547</v>
      </c>
      <c r="F19" s="20" t="n">
        <v>1.98401156</v>
      </c>
      <c r="G19" s="18" t="n">
        <v>71.97299201</v>
      </c>
      <c r="H19" s="20" t="n">
        <v>1.98444648</v>
      </c>
      <c r="I19" s="18" t="n">
        <v>0</v>
      </c>
      <c r="J19" s="20" t="n">
        <v>0</v>
      </c>
      <c r="K19" s="18" t="n">
        <v>0</v>
      </c>
      <c r="L19" s="20" t="n">
        <v>0</v>
      </c>
      <c r="M19" s="18" t="n">
        <v>0</v>
      </c>
      <c r="N19" s="20" t="n">
        <v>0</v>
      </c>
      <c r="O19" s="18" t="n">
        <v>0</v>
      </c>
      <c r="P19" s="20" t="n">
        <v>0</v>
      </c>
      <c r="Q19" s="18" t="n">
        <v>0.77605329</v>
      </c>
      <c r="R19" s="20" t="n">
        <v>0.33692511</v>
      </c>
    </row>
    <row r="20" spans="1:18">
      <c r="A20" s="15" t="s">
        <v>578</v>
      </c>
      <c r="B20" s="17" t="n">
        <v>3371</v>
      </c>
      <c r="C20" s="18">
        <f>(3026.0/B20*100)</f>
        <v/>
      </c>
      <c r="D20" s="19" t="n">
        <v>345</v>
      </c>
      <c r="E20" s="18" t="n">
        <v>27.88593379</v>
      </c>
      <c r="F20" s="20" t="n">
        <v>2.12625415</v>
      </c>
      <c r="G20" s="18" t="n">
        <v>69.84772252</v>
      </c>
      <c r="H20" s="20" t="n">
        <v>2.22137966</v>
      </c>
      <c r="I20" s="18" t="n">
        <v>0</v>
      </c>
      <c r="J20" s="20" t="n">
        <v>0</v>
      </c>
      <c r="K20" s="18" t="n">
        <v>0.49843857</v>
      </c>
      <c r="L20" s="20" t="n">
        <v>0.35470691</v>
      </c>
      <c r="M20" s="18" t="n">
        <v>0</v>
      </c>
      <c r="N20" s="20" t="n">
        <v>0</v>
      </c>
      <c r="O20" s="18" t="n">
        <v>0</v>
      </c>
      <c r="P20" s="20" t="n">
        <v>0</v>
      </c>
      <c r="Q20" s="18" t="n">
        <v>1.76790512</v>
      </c>
      <c r="R20" s="20" t="n">
        <v>0.67492311</v>
      </c>
    </row>
    <row r="21" spans="1:18">
      <c r="A21" s="15" t="s">
        <v>579</v>
      </c>
      <c r="B21" s="17" t="n">
        <v>5741</v>
      </c>
      <c r="C21" s="18">
        <f>(5082.0/B21*100)</f>
        <v/>
      </c>
      <c r="D21" s="19" t="n">
        <v>659</v>
      </c>
      <c r="E21" s="18" t="n">
        <v>28.67291922</v>
      </c>
      <c r="F21" s="20" t="n">
        <v>1.94961321</v>
      </c>
      <c r="G21" s="18" t="n">
        <v>71.05152473</v>
      </c>
      <c r="H21" s="20" t="n">
        <v>1.95062777</v>
      </c>
      <c r="I21" s="18" t="n">
        <v>0</v>
      </c>
      <c r="J21" s="20" t="n">
        <v>0</v>
      </c>
      <c r="K21" s="18" t="n">
        <v>0</v>
      </c>
      <c r="L21" s="20" t="n">
        <v>0</v>
      </c>
      <c r="M21" s="18" t="n">
        <v>0</v>
      </c>
      <c r="N21" s="20" t="n">
        <v>0</v>
      </c>
      <c r="O21" s="18" t="n">
        <v>0</v>
      </c>
      <c r="P21" s="20" t="n">
        <v>0</v>
      </c>
      <c r="Q21" s="18" t="n">
        <v>0.27555605</v>
      </c>
      <c r="R21" s="20" t="n">
        <v>0.19437258</v>
      </c>
    </row>
    <row r="22" spans="1:18">
      <c r="A22" s="15" t="s">
        <v>580</v>
      </c>
      <c r="B22" s="17" t="n">
        <v>6598</v>
      </c>
      <c r="C22" s="18">
        <f>(5866.0/B22*100)</f>
        <v/>
      </c>
      <c r="D22" s="19" t="n">
        <v>732</v>
      </c>
      <c r="E22" s="18" t="n">
        <v>29.39705356</v>
      </c>
      <c r="F22" s="20" t="n">
        <v>2.20174657</v>
      </c>
      <c r="G22" s="18" t="n">
        <v>68.03230569999999</v>
      </c>
      <c r="H22" s="20" t="n">
        <v>2.36651225</v>
      </c>
      <c r="I22" s="18" t="n">
        <v>0</v>
      </c>
      <c r="J22" s="20" t="n">
        <v>0</v>
      </c>
      <c r="K22" s="18" t="n">
        <v>0.5234167199999999</v>
      </c>
      <c r="L22" s="20" t="n">
        <v>0.2452474</v>
      </c>
      <c r="M22" s="18" t="n">
        <v>0</v>
      </c>
      <c r="N22" s="20" t="n">
        <v>0</v>
      </c>
      <c r="O22" s="18" t="n">
        <v>0</v>
      </c>
      <c r="P22" s="20" t="n">
        <v>0</v>
      </c>
      <c r="Q22" s="18" t="n">
        <v>2.04722403</v>
      </c>
      <c r="R22" s="20" t="n">
        <v>0.55962543</v>
      </c>
    </row>
    <row r="23" spans="1:18">
      <c r="A23" s="15" t="s">
        <v>581</v>
      </c>
      <c r="B23" s="17" t="n">
        <v>11583</v>
      </c>
      <c r="C23" s="18">
        <f>(10276.0/B23*100)</f>
        <v/>
      </c>
      <c r="D23" s="19" t="n">
        <v>1307</v>
      </c>
      <c r="E23" s="18" t="n">
        <v>31.64063783</v>
      </c>
      <c r="F23" s="20" t="n">
        <v>1.66389772</v>
      </c>
      <c r="G23" s="18" t="n">
        <v>66.85230921</v>
      </c>
      <c r="H23" s="20" t="n">
        <v>1.75700853</v>
      </c>
      <c r="I23" s="18" t="n">
        <v>0</v>
      </c>
      <c r="J23" s="20" t="n">
        <v>0</v>
      </c>
      <c r="K23" s="18" t="n">
        <v>0.6106181000000001</v>
      </c>
      <c r="L23" s="20" t="n">
        <v>0.39637519</v>
      </c>
      <c r="M23" s="18" t="n">
        <v>0</v>
      </c>
      <c r="N23" s="20" t="n">
        <v>0</v>
      </c>
      <c r="O23" s="18" t="n">
        <v>0</v>
      </c>
      <c r="P23" s="20" t="n">
        <v>0</v>
      </c>
      <c r="Q23" s="18" t="n">
        <v>0.89643485</v>
      </c>
      <c r="R23" s="20" t="n">
        <v>0.36248199</v>
      </c>
    </row>
    <row r="24" spans="1:18">
      <c r="A24" s="15" t="s">
        <v>582</v>
      </c>
      <c r="B24" s="17" t="n">
        <v>6647</v>
      </c>
      <c r="C24" s="18">
        <f>(5901.0/B24*100)</f>
        <v/>
      </c>
      <c r="D24" s="19" t="n">
        <v>746</v>
      </c>
      <c r="E24" s="18" t="n">
        <v>17.55613961</v>
      </c>
      <c r="F24" s="20" t="n">
        <v>1.49687386</v>
      </c>
      <c r="G24" s="18" t="n">
        <v>82.05927253</v>
      </c>
      <c r="H24" s="20" t="n">
        <v>1.4798955</v>
      </c>
      <c r="I24" s="18" t="n">
        <v>0</v>
      </c>
      <c r="J24" s="20" t="n">
        <v>0</v>
      </c>
      <c r="K24" s="18" t="n">
        <v>0.11856991</v>
      </c>
      <c r="L24" s="20" t="n">
        <v>0.11863266</v>
      </c>
      <c r="M24" s="18" t="n">
        <v>0</v>
      </c>
      <c r="N24" s="20" t="n">
        <v>0</v>
      </c>
      <c r="O24" s="18" t="n">
        <v>0</v>
      </c>
      <c r="P24" s="20" t="n">
        <v>0</v>
      </c>
      <c r="Q24" s="18" t="n">
        <v>0.26601795</v>
      </c>
      <c r="R24" s="20" t="n">
        <v>0.19140051</v>
      </c>
    </row>
    <row r="25" spans="1:18">
      <c r="A25" s="15" t="s">
        <v>583</v>
      </c>
      <c r="B25" s="17" t="n">
        <v>5581</v>
      </c>
      <c r="C25" s="18">
        <f>(4957.0/B25*100)</f>
        <v/>
      </c>
      <c r="D25" s="19" t="n">
        <v>624</v>
      </c>
      <c r="E25" s="18" t="n">
        <v>17.6845385</v>
      </c>
      <c r="F25" s="20" t="n">
        <v>1.74300243</v>
      </c>
      <c r="G25" s="18" t="n">
        <v>80.57421004</v>
      </c>
      <c r="H25" s="20" t="n">
        <v>1.91302102</v>
      </c>
      <c r="I25" s="18" t="n">
        <v>0</v>
      </c>
      <c r="J25" s="20" t="n">
        <v>0</v>
      </c>
      <c r="K25" s="18" t="n">
        <v>1.10304407</v>
      </c>
      <c r="L25" s="20" t="n">
        <v>0.43958784</v>
      </c>
      <c r="M25" s="18" t="n">
        <v>0</v>
      </c>
      <c r="N25" s="20" t="n">
        <v>0</v>
      </c>
      <c r="O25" s="18" t="n">
        <v>0</v>
      </c>
      <c r="P25" s="20" t="n">
        <v>0</v>
      </c>
      <c r="Q25" s="18" t="n">
        <v>0.63820739</v>
      </c>
      <c r="R25" s="20" t="n">
        <v>0.30784046</v>
      </c>
    </row>
    <row r="26" spans="1:18">
      <c r="A26" s="15" t="s">
        <v>584</v>
      </c>
      <c r="B26" s="17" t="n">
        <v>4869</v>
      </c>
      <c r="C26" s="18">
        <f>(4335.0/B26*100)</f>
        <v/>
      </c>
      <c r="D26" s="19" t="n">
        <v>534</v>
      </c>
      <c r="E26" s="18" t="n">
        <v>29.35727472</v>
      </c>
      <c r="F26" s="20" t="n">
        <v>1.73830219</v>
      </c>
      <c r="G26" s="18" t="n">
        <v>70.64272527999999</v>
      </c>
      <c r="H26" s="20" t="n">
        <v>1.73830219</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(4716.0/B27*100)</f>
        <v/>
      </c>
      <c r="D27" s="19" t="n">
        <v>583</v>
      </c>
      <c r="E27" s="18" t="n">
        <v>27.3203267</v>
      </c>
      <c r="F27" s="20" t="n">
        <v>1.63479358</v>
      </c>
      <c r="G27" s="18" t="n">
        <v>71.99882864</v>
      </c>
      <c r="H27" s="20" t="n">
        <v>1.6556435</v>
      </c>
      <c r="I27" s="18" t="n">
        <v>0</v>
      </c>
      <c r="J27" s="20" t="n">
        <v>0</v>
      </c>
      <c r="K27" s="18" t="n">
        <v>0</v>
      </c>
      <c r="L27" s="20" t="n">
        <v>0</v>
      </c>
      <c r="M27" s="18" t="n">
        <v>0</v>
      </c>
      <c r="N27" s="20" t="n">
        <v>0</v>
      </c>
      <c r="O27" s="18" t="n">
        <v>0</v>
      </c>
      <c r="P27" s="20" t="n">
        <v>0</v>
      </c>
      <c r="Q27" s="18" t="n">
        <v>0.6808446500000001</v>
      </c>
      <c r="R27" s="20" t="n">
        <v>0.34076627</v>
      </c>
    </row>
    <row r="28" spans="1:18">
      <c r="A28" s="15" t="s">
        <v>586</v>
      </c>
      <c r="B28" s="17" t="n">
        <v>7568</v>
      </c>
      <c r="C28" s="18">
        <f>(6750.0/B28*100)</f>
        <v/>
      </c>
      <c r="D28" s="19" t="n">
        <v>818</v>
      </c>
      <c r="E28" s="18" t="n">
        <v>44.71728042</v>
      </c>
      <c r="F28" s="20" t="n">
        <v>1.8445375</v>
      </c>
      <c r="G28" s="18" t="n">
        <v>53.62690679</v>
      </c>
      <c r="H28" s="20" t="n">
        <v>1.88538831</v>
      </c>
      <c r="I28" s="18" t="n">
        <v>0</v>
      </c>
      <c r="J28" s="20" t="n">
        <v>0</v>
      </c>
      <c r="K28" s="18" t="n">
        <v>0.69060538</v>
      </c>
      <c r="L28" s="20" t="n">
        <v>0.30588969</v>
      </c>
      <c r="M28" s="18" t="n">
        <v>0</v>
      </c>
      <c r="N28" s="20" t="n">
        <v>0</v>
      </c>
      <c r="O28" s="18" t="n">
        <v>0</v>
      </c>
      <c r="P28" s="20" t="n">
        <v>0</v>
      </c>
      <c r="Q28" s="18" t="n">
        <v>0.96520741</v>
      </c>
      <c r="R28" s="20" t="n">
        <v>0.42591249</v>
      </c>
    </row>
    <row r="29" spans="1:18">
      <c r="A29" s="15" t="s">
        <v>587</v>
      </c>
      <c r="B29" s="17" t="n">
        <v>5385</v>
      </c>
      <c r="C29" s="18">
        <f>(4638.0/B29*100)</f>
        <v/>
      </c>
      <c r="D29" s="19" t="n">
        <v>747</v>
      </c>
      <c r="E29" s="18" t="n">
        <v>34.53963838</v>
      </c>
      <c r="F29" s="20" t="n">
        <v>1.31208944</v>
      </c>
      <c r="G29" s="18" t="n">
        <v>64.33377914</v>
      </c>
      <c r="H29" s="20" t="n">
        <v>1.33885302</v>
      </c>
      <c r="I29" s="18" t="n">
        <v>0</v>
      </c>
      <c r="J29" s="20" t="n">
        <v>0</v>
      </c>
      <c r="K29" s="18" t="n">
        <v>0.5726649700000001</v>
      </c>
      <c r="L29" s="20" t="n">
        <v>0.25354727</v>
      </c>
      <c r="M29" s="18" t="n">
        <v>0</v>
      </c>
      <c r="N29" s="20" t="n">
        <v>0</v>
      </c>
      <c r="O29" s="18" t="n">
        <v>0</v>
      </c>
      <c r="P29" s="20" t="n">
        <v>0</v>
      </c>
      <c r="Q29" s="18" t="n">
        <v>0.55391751</v>
      </c>
      <c r="R29" s="20" t="n">
        <v>0.28748913</v>
      </c>
    </row>
    <row r="30" spans="1:18">
      <c r="A30" s="15" t="s">
        <v>588</v>
      </c>
      <c r="B30" s="17" t="n">
        <v>4520</v>
      </c>
      <c r="C30" s="18">
        <f>(4024.0/B30*100)</f>
        <v/>
      </c>
      <c r="D30" s="19" t="n">
        <v>496</v>
      </c>
      <c r="E30" s="18" t="n">
        <v>20.29473103</v>
      </c>
      <c r="F30" s="20" t="n">
        <v>1.77353126</v>
      </c>
      <c r="G30" s="18" t="n">
        <v>78.54978168</v>
      </c>
      <c r="H30" s="20" t="n">
        <v>1.70458927</v>
      </c>
      <c r="I30" s="18" t="n">
        <v>0</v>
      </c>
      <c r="J30" s="20" t="n">
        <v>0</v>
      </c>
      <c r="K30" s="18" t="n">
        <v>0.4881139</v>
      </c>
      <c r="L30" s="20" t="n">
        <v>0.3182562</v>
      </c>
      <c r="M30" s="18" t="n">
        <v>0</v>
      </c>
      <c r="N30" s="20" t="n">
        <v>0</v>
      </c>
      <c r="O30" s="18" t="n">
        <v>0</v>
      </c>
      <c r="P30" s="20" t="n">
        <v>0</v>
      </c>
      <c r="Q30" s="18" t="n">
        <v>0.66737339</v>
      </c>
      <c r="R30" s="20" t="n">
        <v>0.40887657</v>
      </c>
    </row>
    <row r="31" spans="1:18">
      <c r="A31" s="15" t="s">
        <v>589</v>
      </c>
      <c r="B31" s="17" t="n">
        <v>5456</v>
      </c>
      <c r="C31" s="18">
        <f>(4864.0/B31*100)</f>
        <v/>
      </c>
      <c r="D31" s="19" t="n">
        <v>592</v>
      </c>
      <c r="E31" s="18" t="n">
        <v>28.23372306</v>
      </c>
      <c r="F31" s="20" t="n">
        <v>1.77778048</v>
      </c>
      <c r="G31" s="18" t="n">
        <v>70.11309622</v>
      </c>
      <c r="H31" s="20" t="n">
        <v>1.78593446</v>
      </c>
      <c r="I31" s="18" t="n">
        <v>0</v>
      </c>
      <c r="J31" s="20" t="n">
        <v>0</v>
      </c>
      <c r="K31" s="18" t="n">
        <v>0.6542029700000001</v>
      </c>
      <c r="L31" s="20" t="n">
        <v>0.32362934</v>
      </c>
      <c r="M31" s="18" t="n">
        <v>0</v>
      </c>
      <c r="N31" s="20" t="n">
        <v>0</v>
      </c>
      <c r="O31" s="18" t="n">
        <v>0</v>
      </c>
      <c r="P31" s="20" t="n">
        <v>0</v>
      </c>
      <c r="Q31" s="18" t="n">
        <v>0.9989777399999999</v>
      </c>
      <c r="R31" s="20" t="n">
        <v>0.41627458</v>
      </c>
    </row>
    <row r="32" spans="1:18">
      <c r="A32" s="15" t="s">
        <v>590</v>
      </c>
      <c r="B32" s="17" t="n">
        <v>4478</v>
      </c>
      <c r="C32" s="18">
        <f>(3990.0/B32*100)</f>
        <v/>
      </c>
      <c r="D32" s="19" t="n">
        <v>488</v>
      </c>
      <c r="E32" s="18" t="n">
        <v>18.98828581</v>
      </c>
      <c r="F32" s="20" t="n">
        <v>1.71559187</v>
      </c>
      <c r="G32" s="18" t="n">
        <v>81.01171419000001</v>
      </c>
      <c r="H32" s="20" t="n">
        <v>1.71559187</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(6525.0/B33*100)</f>
        <v/>
      </c>
      <c r="D33" s="19" t="n">
        <v>800</v>
      </c>
      <c r="E33" s="18" t="n">
        <v>26.29763136</v>
      </c>
      <c r="F33" s="20" t="n">
        <v>1.93698742</v>
      </c>
      <c r="G33" s="18" t="n">
        <v>72.79254761999999</v>
      </c>
      <c r="H33" s="20" t="n">
        <v>1.95208141</v>
      </c>
      <c r="I33" s="18" t="n">
        <v>0</v>
      </c>
      <c r="J33" s="20" t="n">
        <v>0</v>
      </c>
      <c r="K33" s="18" t="n">
        <v>0.2418124</v>
      </c>
      <c r="L33" s="20" t="n">
        <v>0.28773562</v>
      </c>
      <c r="M33" s="18" t="n">
        <v>0</v>
      </c>
      <c r="N33" s="20" t="n">
        <v>0</v>
      </c>
      <c r="O33" s="18" t="n">
        <v>0</v>
      </c>
      <c r="P33" s="20" t="n">
        <v>0</v>
      </c>
      <c r="Q33" s="18" t="n">
        <v>0.6680086200000001</v>
      </c>
      <c r="R33" s="20" t="n">
        <v>0.32515514</v>
      </c>
    </row>
    <row r="34" spans="1:18">
      <c r="A34" s="15" t="s">
        <v>592</v>
      </c>
      <c r="B34" s="17" t="n">
        <v>6350</v>
      </c>
      <c r="C34" s="18">
        <f>(5543.0/B34*100)</f>
        <v/>
      </c>
      <c r="D34" s="19" t="n">
        <v>807</v>
      </c>
      <c r="E34" s="18" t="n">
        <v>41.4924177</v>
      </c>
      <c r="F34" s="20" t="n">
        <v>2.49942262</v>
      </c>
      <c r="G34" s="18" t="n">
        <v>57.07751813</v>
      </c>
      <c r="H34" s="20" t="n">
        <v>2.51070186</v>
      </c>
      <c r="I34" s="18" t="n">
        <v>0</v>
      </c>
      <c r="J34" s="20" t="n">
        <v>0</v>
      </c>
      <c r="K34" s="18" t="n">
        <v>0.16514238</v>
      </c>
      <c r="L34" s="20" t="n">
        <v>0.09262134</v>
      </c>
      <c r="M34" s="18" t="n">
        <v>0</v>
      </c>
      <c r="N34" s="20" t="n">
        <v>0</v>
      </c>
      <c r="O34" s="18" t="n">
        <v>0</v>
      </c>
      <c r="P34" s="20" t="n">
        <v>0</v>
      </c>
      <c r="Q34" s="18" t="n">
        <v>1.26492179</v>
      </c>
      <c r="R34" s="20" t="n">
        <v>0.4061664</v>
      </c>
    </row>
    <row r="35" spans="1:18">
      <c r="A35" s="15" t="s">
        <v>593</v>
      </c>
      <c r="B35" s="17" t="n">
        <v>6406</v>
      </c>
      <c r="C35" s="18">
        <f>(5547.0/B35*100)</f>
        <v/>
      </c>
      <c r="D35" s="19" t="n">
        <v>859</v>
      </c>
      <c r="E35" s="18" t="n">
        <v>20.28150669</v>
      </c>
      <c r="F35" s="20" t="n">
        <v>1.67594296</v>
      </c>
      <c r="G35" s="18" t="n">
        <v>79.37574819</v>
      </c>
      <c r="H35" s="20" t="n">
        <v>1.64018583</v>
      </c>
      <c r="I35" s="18" t="n">
        <v>0</v>
      </c>
      <c r="J35" s="20" t="n">
        <v>0</v>
      </c>
      <c r="K35" s="18" t="n">
        <v>0</v>
      </c>
      <c r="L35" s="20" t="n">
        <v>0</v>
      </c>
      <c r="M35" s="18" t="n">
        <v>0</v>
      </c>
      <c r="N35" s="20" t="n">
        <v>0</v>
      </c>
      <c r="O35" s="18" t="n">
        <v>0</v>
      </c>
      <c r="P35" s="20" t="n">
        <v>0</v>
      </c>
      <c r="Q35" s="18" t="n">
        <v>0.34274512</v>
      </c>
      <c r="R35" s="20" t="n">
        <v>0.15332065</v>
      </c>
    </row>
    <row r="36" spans="1:18">
      <c r="A36" s="15" t="s">
        <v>594</v>
      </c>
      <c r="B36" s="17" t="n">
        <v>6736</v>
      </c>
      <c r="C36" s="18">
        <f>(5991.0/B36*100)</f>
        <v/>
      </c>
      <c r="D36" s="19" t="n">
        <v>745</v>
      </c>
      <c r="E36" s="18" t="n">
        <v>31.20342548</v>
      </c>
      <c r="F36" s="20" t="n">
        <v>1.85156219</v>
      </c>
      <c r="G36" s="18" t="n">
        <v>67.76690713000001</v>
      </c>
      <c r="H36" s="20" t="n">
        <v>1.80249003</v>
      </c>
      <c r="I36" s="18" t="n">
        <v>0</v>
      </c>
      <c r="J36" s="20" t="n">
        <v>0</v>
      </c>
      <c r="K36" s="18" t="n">
        <v>0.30900569</v>
      </c>
      <c r="L36" s="20" t="n">
        <v>0.18980233</v>
      </c>
      <c r="M36" s="18" t="n">
        <v>0</v>
      </c>
      <c r="N36" s="20" t="n">
        <v>0</v>
      </c>
      <c r="O36" s="18" t="n">
        <v>0</v>
      </c>
      <c r="P36" s="20" t="n">
        <v>0</v>
      </c>
      <c r="Q36" s="18" t="n">
        <v>0.7206617</v>
      </c>
      <c r="R36" s="20" t="n">
        <v>0.39786122</v>
      </c>
    </row>
    <row r="37" spans="1:18">
      <c r="A37" s="15" t="s">
        <v>595</v>
      </c>
      <c r="B37" s="17" t="n">
        <v>5458</v>
      </c>
      <c r="C37" s="18">
        <f>(4872.0/B37*100)</f>
        <v/>
      </c>
      <c r="D37" s="19" t="n">
        <v>586</v>
      </c>
      <c r="E37" s="18" t="n">
        <v>27.25070353</v>
      </c>
      <c r="F37" s="20" t="n">
        <v>2.06417073</v>
      </c>
      <c r="G37" s="18" t="n">
        <v>71.62765503999999</v>
      </c>
      <c r="H37" s="20" t="n">
        <v>2.22398642</v>
      </c>
      <c r="I37" s="18" t="n">
        <v>0</v>
      </c>
      <c r="J37" s="20" t="n">
        <v>0</v>
      </c>
      <c r="K37" s="18" t="n">
        <v>0.15095212</v>
      </c>
      <c r="L37" s="20" t="n">
        <v>0.15215464</v>
      </c>
      <c r="M37" s="18" t="n">
        <v>0</v>
      </c>
      <c r="N37" s="20" t="n">
        <v>0</v>
      </c>
      <c r="O37" s="18" t="n">
        <v>0</v>
      </c>
      <c r="P37" s="20" t="n">
        <v>0</v>
      </c>
      <c r="Q37" s="18" t="n">
        <v>0.97068931</v>
      </c>
      <c r="R37" s="20" t="n">
        <v>0.53408403</v>
      </c>
    </row>
    <row r="38" spans="1:18">
      <c r="A38" s="15" t="s">
        <v>596</v>
      </c>
      <c r="B38" s="17" t="n">
        <v>5860</v>
      </c>
      <c r="C38" s="18">
        <f>(5221.0/B38*100)</f>
        <v/>
      </c>
      <c r="D38" s="19" t="n">
        <v>639</v>
      </c>
      <c r="E38" s="18" t="n">
        <v>21.44983783</v>
      </c>
      <c r="F38" s="20" t="n">
        <v>2.13355687</v>
      </c>
      <c r="G38" s="18" t="n">
        <v>77.72976695</v>
      </c>
      <c r="H38" s="20" t="n">
        <v>2.11062531</v>
      </c>
      <c r="I38" s="18" t="n">
        <v>0</v>
      </c>
      <c r="J38" s="20" t="n">
        <v>0</v>
      </c>
      <c r="K38" s="18" t="n">
        <v>0.13045976</v>
      </c>
      <c r="L38" s="20" t="n">
        <v>0.13061082</v>
      </c>
      <c r="M38" s="18" t="n">
        <v>0</v>
      </c>
      <c r="N38" s="20" t="n">
        <v>0</v>
      </c>
      <c r="O38" s="18" t="n">
        <v>0</v>
      </c>
      <c r="P38" s="20" t="n">
        <v>0</v>
      </c>
      <c r="Q38" s="18" t="n">
        <v>0.6899354599999999</v>
      </c>
      <c r="R38" s="20" t="n">
        <v>0.36440324</v>
      </c>
    </row>
    <row r="39" spans="1:18">
      <c r="A39" s="15" t="s">
        <v>597</v>
      </c>
      <c r="B39" s="17" t="n">
        <v>5895</v>
      </c>
      <c r="C39" s="18">
        <f>(5254.0/B39*100)</f>
        <v/>
      </c>
      <c r="D39" s="19" t="n">
        <v>641</v>
      </c>
      <c r="E39" s="18" t="n">
        <v>50.03572191</v>
      </c>
      <c r="F39" s="20" t="n">
        <v>2.32705256</v>
      </c>
      <c r="G39" s="18" t="n">
        <v>48.67618432</v>
      </c>
      <c r="H39" s="20" t="n">
        <v>2.34025175</v>
      </c>
      <c r="I39" s="18" t="n">
        <v>0</v>
      </c>
      <c r="J39" s="20" t="n">
        <v>0</v>
      </c>
      <c r="K39" s="18" t="n">
        <v>0</v>
      </c>
      <c r="L39" s="20" t="n">
        <v>0</v>
      </c>
      <c r="M39" s="18" t="n">
        <v>0</v>
      </c>
      <c r="N39" s="20" t="n">
        <v>0</v>
      </c>
      <c r="O39" s="18" t="n">
        <v>0</v>
      </c>
      <c r="P39" s="20" t="n">
        <v>0</v>
      </c>
      <c r="Q39" s="18" t="n">
        <v>1.28809377</v>
      </c>
      <c r="R39" s="20" t="n">
        <v>0.51124797</v>
      </c>
    </row>
    <row r="40" spans="1:18">
      <c r="A40" s="15" t="s">
        <v>598</v>
      </c>
      <c r="B40" s="17" t="n">
        <v>14157</v>
      </c>
      <c r="C40" s="18">
        <f>(12610.0/B40*100)</f>
        <v/>
      </c>
      <c r="D40" s="19" t="n">
        <v>1547</v>
      </c>
      <c r="E40" s="18" t="n">
        <v>24.7510004</v>
      </c>
      <c r="F40" s="20" t="n">
        <v>1.82062604</v>
      </c>
      <c r="G40" s="18" t="n">
        <v>74.27721292</v>
      </c>
      <c r="H40" s="20" t="n">
        <v>1.80179583</v>
      </c>
      <c r="I40" s="18" t="n">
        <v>0</v>
      </c>
      <c r="J40" s="20" t="n">
        <v>0</v>
      </c>
      <c r="K40" s="18" t="n">
        <v>0.35960636</v>
      </c>
      <c r="L40" s="20" t="n">
        <v>0.1930989</v>
      </c>
      <c r="M40" s="18" t="n">
        <v>0</v>
      </c>
      <c r="N40" s="20" t="n">
        <v>0</v>
      </c>
      <c r="O40" s="18" t="n">
        <v>0</v>
      </c>
      <c r="P40" s="20" t="n">
        <v>0</v>
      </c>
      <c r="Q40" s="18" t="n">
        <v>0.6121803099999999</v>
      </c>
      <c r="R40" s="20" t="n">
        <v>0.32755894</v>
      </c>
    </row>
    <row r="41" spans="1:18">
      <c r="A41" s="15" t="s">
        <v>599</v>
      </c>
      <c r="B41" s="17" t="n">
        <v>5712</v>
      </c>
      <c r="C41" s="18">
        <f>(5059.0/B41*100)</f>
        <v/>
      </c>
      <c r="D41" s="19" t="n">
        <v>653</v>
      </c>
      <c r="E41" s="18" t="n">
        <v>29.09229976</v>
      </c>
      <c r="F41" s="20" t="n">
        <v>1.95738051</v>
      </c>
      <c r="G41" s="18" t="n">
        <v>69.87868722</v>
      </c>
      <c r="H41" s="20" t="n">
        <v>2.00647858</v>
      </c>
      <c r="I41" s="18" t="n">
        <v>0</v>
      </c>
      <c r="J41" s="20" t="n">
        <v>0</v>
      </c>
      <c r="K41" s="18" t="n">
        <v>0.20629185</v>
      </c>
      <c r="L41" s="20" t="n">
        <v>0.16864687</v>
      </c>
      <c r="M41" s="18" t="n">
        <v>0</v>
      </c>
      <c r="N41" s="20" t="n">
        <v>0</v>
      </c>
      <c r="O41" s="18" t="n">
        <v>0</v>
      </c>
      <c r="P41" s="20" t="n">
        <v>0</v>
      </c>
      <c r="Q41" s="18" t="n">
        <v>0.8227211800000001</v>
      </c>
      <c r="R41" s="20" t="n">
        <v>0.56282413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(20936.0/B46*100)</f>
        <v/>
      </c>
      <c r="D46" s="19" t="n">
        <v>2205</v>
      </c>
      <c r="E46" s="18" t="n">
        <v>48.51588807</v>
      </c>
      <c r="F46" s="20" t="n">
        <v>1.52794359</v>
      </c>
      <c r="G46" s="18" t="n">
        <v>49.10080863</v>
      </c>
      <c r="H46" s="20" t="n">
        <v>1.50506238</v>
      </c>
      <c r="I46" s="18" t="n">
        <v>0</v>
      </c>
      <c r="J46" s="20" t="n">
        <v>0</v>
      </c>
      <c r="K46" s="18" t="n">
        <v>0.82282112</v>
      </c>
      <c r="L46" s="20" t="n">
        <v>0.24530235</v>
      </c>
      <c r="M46" s="18" t="n">
        <v>0</v>
      </c>
      <c r="N46" s="20" t="n">
        <v>0</v>
      </c>
      <c r="O46" s="18" t="n">
        <v>0</v>
      </c>
      <c r="P46" s="20" t="n">
        <v>0</v>
      </c>
      <c r="Q46" s="18" t="n">
        <v>1.56048218</v>
      </c>
      <c r="R46" s="20" t="n">
        <v>0.32557245</v>
      </c>
    </row>
    <row r="47" spans="1:18">
      <c r="A47" s="15" t="s">
        <v>606</v>
      </c>
      <c r="B47" s="17" t="n">
        <v>5928</v>
      </c>
      <c r="C47" s="18">
        <f>(5281.0/B47*100)</f>
        <v/>
      </c>
      <c r="D47" s="19" t="n">
        <v>647</v>
      </c>
      <c r="E47" s="18" t="n">
        <v>36.34423717</v>
      </c>
      <c r="F47" s="20" t="n">
        <v>1.95654767</v>
      </c>
      <c r="G47" s="18" t="n">
        <v>62.11646169</v>
      </c>
      <c r="H47" s="20" t="n">
        <v>1.96326511</v>
      </c>
      <c r="I47" s="18" t="n">
        <v>0</v>
      </c>
      <c r="J47" s="20" t="n">
        <v>0</v>
      </c>
      <c r="K47" s="18" t="n">
        <v>0.62524486</v>
      </c>
      <c r="L47" s="20" t="n">
        <v>0.34745643</v>
      </c>
      <c r="M47" s="18" t="n">
        <v>0</v>
      </c>
      <c r="N47" s="20" t="n">
        <v>0</v>
      </c>
      <c r="O47" s="18" t="n">
        <v>0</v>
      </c>
      <c r="P47" s="20" t="n">
        <v>0</v>
      </c>
      <c r="Q47" s="18" t="n">
        <v>0.9140562800000001</v>
      </c>
      <c r="R47" s="20" t="n">
        <v>0.48124285</v>
      </c>
    </row>
    <row r="48" spans="1:18">
      <c r="A48" s="15" t="s">
        <v>607</v>
      </c>
      <c r="B48" s="17" t="n">
        <v>9841</v>
      </c>
      <c r="C48" s="18">
        <f>(8783.0/B48*100)</f>
        <v/>
      </c>
      <c r="D48" s="19" t="n">
        <v>1058</v>
      </c>
      <c r="E48" s="18" t="n">
        <v>15.72819875</v>
      </c>
      <c r="F48" s="20" t="n">
        <v>1.49756291</v>
      </c>
      <c r="G48" s="18" t="n">
        <v>83.59548153</v>
      </c>
      <c r="H48" s="20" t="n">
        <v>1.54661355</v>
      </c>
      <c r="I48" s="18" t="n">
        <v>0</v>
      </c>
      <c r="J48" s="20" t="n">
        <v>0</v>
      </c>
      <c r="K48" s="18" t="n">
        <v>0.3216244</v>
      </c>
      <c r="L48" s="20" t="n">
        <v>0.19240142</v>
      </c>
      <c r="M48" s="18" t="n">
        <v>0</v>
      </c>
      <c r="N48" s="20" t="n">
        <v>0</v>
      </c>
      <c r="O48" s="18" t="n">
        <v>0</v>
      </c>
      <c r="P48" s="20" t="n">
        <v>0</v>
      </c>
      <c r="Q48" s="18" t="n">
        <v>0.35469532</v>
      </c>
      <c r="R48" s="20" t="n">
        <v>0.28130495</v>
      </c>
    </row>
    <row r="49" spans="1:18">
      <c r="A49" s="15" t="s">
        <v>608</v>
      </c>
      <c r="B49" s="17" t="n">
        <v>11795</v>
      </c>
      <c r="C49" s="18">
        <f>(10518.0/B49*100)</f>
        <v/>
      </c>
      <c r="D49" s="19" t="n">
        <v>1277</v>
      </c>
      <c r="E49" s="18" t="n">
        <v>47.37120572</v>
      </c>
      <c r="F49" s="20" t="n">
        <v>2.01537362</v>
      </c>
      <c r="G49" s="18" t="n">
        <v>50.96564409</v>
      </c>
      <c r="H49" s="20" t="n">
        <v>2.08052963</v>
      </c>
      <c r="I49" s="18" t="n">
        <v>0</v>
      </c>
      <c r="J49" s="20" t="n">
        <v>0</v>
      </c>
      <c r="K49" s="18" t="n">
        <v>1.27533717</v>
      </c>
      <c r="L49" s="20" t="n">
        <v>0.60356857</v>
      </c>
      <c r="M49" s="18" t="n">
        <v>0</v>
      </c>
      <c r="N49" s="20" t="n">
        <v>0</v>
      </c>
      <c r="O49" s="18" t="n">
        <v>0</v>
      </c>
      <c r="P49" s="20" t="n">
        <v>0</v>
      </c>
      <c r="Q49" s="18" t="n">
        <v>0.38781302</v>
      </c>
      <c r="R49" s="20" t="n">
        <v>0.21118835</v>
      </c>
    </row>
    <row r="50" spans="1:18">
      <c r="A50" s="15" t="s">
        <v>609</v>
      </c>
      <c r="B50" s="17" t="n">
        <v>6866</v>
      </c>
      <c r="C50" s="18">
        <f>(5500.0/B50*100)</f>
        <v/>
      </c>
      <c r="D50" s="19" t="n">
        <v>1366</v>
      </c>
      <c r="E50" s="18" t="n">
        <v>51.00979976</v>
      </c>
      <c r="F50" s="20" t="n">
        <v>1.42421289</v>
      </c>
      <c r="G50" s="18" t="n">
        <v>47.90862764</v>
      </c>
      <c r="H50" s="20" t="n">
        <v>1.44362326</v>
      </c>
      <c r="I50" s="18" t="n">
        <v>0</v>
      </c>
      <c r="J50" s="20" t="n">
        <v>0</v>
      </c>
      <c r="K50" s="18" t="n">
        <v>0.07904775999999999</v>
      </c>
      <c r="L50" s="20" t="n">
        <v>0.07939944</v>
      </c>
      <c r="M50" s="18" t="n">
        <v>0</v>
      </c>
      <c r="N50" s="20" t="n">
        <v>0</v>
      </c>
      <c r="O50" s="18" t="n">
        <v>0</v>
      </c>
      <c r="P50" s="20" t="n">
        <v>0</v>
      </c>
      <c r="Q50" s="18" t="n">
        <v>1.00252485</v>
      </c>
      <c r="R50" s="20" t="n">
        <v>0.2491622</v>
      </c>
    </row>
    <row r="51" spans="1:18">
      <c r="A51" s="15" t="s">
        <v>610</v>
      </c>
      <c r="B51" s="17" t="n">
        <v>5809</v>
      </c>
      <c r="C51" s="18">
        <f>(5176.0/B51*100)</f>
        <v/>
      </c>
      <c r="D51" s="19" t="n">
        <v>633</v>
      </c>
      <c r="E51" s="18" t="n">
        <v>25.63647394</v>
      </c>
      <c r="F51" s="20" t="n">
        <v>1.84414567</v>
      </c>
      <c r="G51" s="18" t="n">
        <v>73.16815033</v>
      </c>
      <c r="H51" s="20" t="n">
        <v>1.91916052</v>
      </c>
      <c r="I51" s="18" t="n">
        <v>0</v>
      </c>
      <c r="J51" s="20" t="n">
        <v>0</v>
      </c>
      <c r="K51" s="18" t="n">
        <v>0.16067145</v>
      </c>
      <c r="L51" s="20" t="n">
        <v>0.15714587</v>
      </c>
      <c r="M51" s="18" t="n">
        <v>0</v>
      </c>
      <c r="N51" s="20" t="n">
        <v>0</v>
      </c>
      <c r="O51" s="18" t="n">
        <v>0</v>
      </c>
      <c r="P51" s="20" t="n">
        <v>0</v>
      </c>
      <c r="Q51" s="18" t="n">
        <v>1.03470429</v>
      </c>
      <c r="R51" s="20" t="n">
        <v>0.43546452</v>
      </c>
    </row>
    <row r="52" spans="1:18">
      <c r="A52" s="15" t="s">
        <v>611</v>
      </c>
      <c r="B52" s="17" t="n">
        <v>5571</v>
      </c>
      <c r="C52" s="18">
        <f>(4959.0/B52*100)</f>
        <v/>
      </c>
      <c r="D52" s="19" t="n">
        <v>612</v>
      </c>
      <c r="E52" s="18" t="n">
        <v>44.17362298</v>
      </c>
      <c r="F52" s="20" t="n">
        <v>2.4448419</v>
      </c>
      <c r="G52" s="18" t="n">
        <v>52.96238764</v>
      </c>
      <c r="H52" s="20" t="n">
        <v>2.35016375</v>
      </c>
      <c r="I52" s="18" t="n">
        <v>0</v>
      </c>
      <c r="J52" s="20" t="n">
        <v>0</v>
      </c>
      <c r="K52" s="18" t="n">
        <v>0.4945558</v>
      </c>
      <c r="L52" s="20" t="n">
        <v>0.24933522</v>
      </c>
      <c r="M52" s="18" t="n">
        <v>0</v>
      </c>
      <c r="N52" s="20" t="n">
        <v>0</v>
      </c>
      <c r="O52" s="18" t="n">
        <v>0</v>
      </c>
      <c r="P52" s="20" t="n">
        <v>0</v>
      </c>
      <c r="Q52" s="18" t="n">
        <v>2.36943359</v>
      </c>
      <c r="R52" s="20" t="n">
        <v>0.69129944</v>
      </c>
    </row>
    <row r="53" spans="1:18">
      <c r="A53" s="15" t="s">
        <v>612</v>
      </c>
      <c r="B53" s="17" t="n">
        <v>4740</v>
      </c>
      <c r="C53" s="18">
        <f>(4198.0/B53*100)</f>
        <v/>
      </c>
      <c r="D53" s="19" t="n">
        <v>542</v>
      </c>
      <c r="E53" s="18" t="n">
        <v>68.26391013999999</v>
      </c>
      <c r="F53" s="20" t="n">
        <v>2.27728175</v>
      </c>
      <c r="G53" s="18" t="n">
        <v>21.0700815</v>
      </c>
      <c r="H53" s="20" t="n">
        <v>1.79387022</v>
      </c>
      <c r="I53" s="18" t="n">
        <v>0</v>
      </c>
      <c r="J53" s="20" t="n">
        <v>0</v>
      </c>
      <c r="K53" s="18" t="n">
        <v>8.638757180000001</v>
      </c>
      <c r="L53" s="20" t="n">
        <v>1.32236786</v>
      </c>
      <c r="M53" s="18" t="n">
        <v>0</v>
      </c>
      <c r="N53" s="20" t="n">
        <v>0</v>
      </c>
      <c r="O53" s="18" t="n">
        <v>0</v>
      </c>
      <c r="P53" s="20" t="n">
        <v>0</v>
      </c>
      <c r="Q53" s="18" t="n">
        <v>2.02725118</v>
      </c>
      <c r="R53" s="20" t="n">
        <v>0.68845989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(4781.0/B55*100)</f>
        <v/>
      </c>
      <c r="D55" s="19" t="n">
        <v>578</v>
      </c>
      <c r="E55" s="18" t="n">
        <v>12.79050145</v>
      </c>
      <c r="F55" s="20" t="n">
        <v>1.61244394</v>
      </c>
      <c r="G55" s="18" t="n">
        <v>87.03981252</v>
      </c>
      <c r="H55" s="20" t="n">
        <v>1.62384556</v>
      </c>
      <c r="I55" s="18" t="n">
        <v>0</v>
      </c>
      <c r="J55" s="20" t="n">
        <v>0</v>
      </c>
      <c r="K55" s="18" t="n">
        <v>0</v>
      </c>
      <c r="L55" s="20" t="n">
        <v>0</v>
      </c>
      <c r="M55" s="18" t="n">
        <v>0</v>
      </c>
      <c r="N55" s="20" t="n">
        <v>0</v>
      </c>
      <c r="O55" s="18" t="n">
        <v>0</v>
      </c>
      <c r="P55" s="20" t="n">
        <v>0</v>
      </c>
      <c r="Q55" s="18" t="n">
        <v>0.16968603</v>
      </c>
      <c r="R55" s="20" t="n">
        <v>0.16968699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(5821.0/B61*100)</f>
        <v/>
      </c>
      <c r="D61" s="19" t="n">
        <v>704</v>
      </c>
      <c r="E61" s="18" t="n">
        <v>33.32927775</v>
      </c>
      <c r="F61" s="20" t="n">
        <v>1.99318439</v>
      </c>
      <c r="G61" s="18" t="n">
        <v>66.16087458</v>
      </c>
      <c r="H61" s="20" t="n">
        <v>2.00061498</v>
      </c>
      <c r="I61" s="18" t="n">
        <v>0</v>
      </c>
      <c r="J61" s="20" t="n">
        <v>0</v>
      </c>
      <c r="K61" s="18" t="n">
        <v>0</v>
      </c>
      <c r="L61" s="20" t="n">
        <v>0</v>
      </c>
      <c r="M61" s="18" t="n">
        <v>0</v>
      </c>
      <c r="N61" s="20" t="n">
        <v>0</v>
      </c>
      <c r="O61" s="18" t="n">
        <v>0</v>
      </c>
      <c r="P61" s="20" t="n">
        <v>0</v>
      </c>
      <c r="Q61" s="18" t="n">
        <v>0.50984768</v>
      </c>
      <c r="R61" s="20" t="n">
        <v>0.25582545</v>
      </c>
    </row>
    <row r="62" spans="1:18">
      <c r="A62" s="15" t="s">
        <v>622</v>
      </c>
      <c r="B62" s="17" t="n">
        <v>4476</v>
      </c>
      <c r="C62" s="18">
        <f>(3995.0/B62*100)</f>
        <v/>
      </c>
      <c r="D62" s="19" t="n">
        <v>481</v>
      </c>
      <c r="E62" s="18" t="n">
        <v>12.5088294</v>
      </c>
      <c r="F62" s="20" t="n">
        <v>1.46602928</v>
      </c>
      <c r="G62" s="18" t="n">
        <v>87.4911706</v>
      </c>
      <c r="H62" s="20" t="n">
        <v>1.46602928</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(5051.0/B67*100)</f>
        <v/>
      </c>
      <c r="D67" s="19" t="n">
        <v>614</v>
      </c>
      <c r="E67" s="18" t="n">
        <v>45.40063536</v>
      </c>
      <c r="F67" s="20" t="n">
        <v>1.64524054</v>
      </c>
      <c r="G67" s="18" t="n">
        <v>52.18769024</v>
      </c>
      <c r="H67" s="20" t="n">
        <v>1.74214224</v>
      </c>
      <c r="I67" s="18" t="n">
        <v>0</v>
      </c>
      <c r="J67" s="20" t="n">
        <v>0</v>
      </c>
      <c r="K67" s="18" t="n">
        <v>0.13616348</v>
      </c>
      <c r="L67" s="20" t="n">
        <v>0.13603002</v>
      </c>
      <c r="M67" s="18" t="n">
        <v>0</v>
      </c>
      <c r="N67" s="20" t="n">
        <v>0</v>
      </c>
      <c r="O67" s="18" t="n">
        <v>0</v>
      </c>
      <c r="P67" s="20" t="n">
        <v>0</v>
      </c>
      <c r="Q67" s="18" t="n">
        <v>2.27551092</v>
      </c>
      <c r="R67" s="20" t="n">
        <v>0.64277965</v>
      </c>
    </row>
    <row r="68" spans="1:18">
      <c r="A68" s="15" t="s">
        <v>628</v>
      </c>
      <c r="B68" s="17" t="n">
        <v>6971</v>
      </c>
      <c r="C68" s="18">
        <f>(6233.0/B68*100)</f>
        <v/>
      </c>
      <c r="D68" s="19" t="n">
        <v>738</v>
      </c>
      <c r="E68" s="18" t="n">
        <v>52.21538516</v>
      </c>
      <c r="F68" s="20" t="n">
        <v>1.77680321</v>
      </c>
      <c r="G68" s="18" t="n">
        <v>46.47083419</v>
      </c>
      <c r="H68" s="20" t="n">
        <v>1.75710267</v>
      </c>
      <c r="I68" s="18" t="n">
        <v>0</v>
      </c>
      <c r="J68" s="20" t="n">
        <v>0</v>
      </c>
      <c r="K68" s="18" t="n">
        <v>0.10163159</v>
      </c>
      <c r="L68" s="20" t="n">
        <v>0.10191945</v>
      </c>
      <c r="M68" s="18" t="n">
        <v>0</v>
      </c>
      <c r="N68" s="20" t="n">
        <v>0</v>
      </c>
      <c r="O68" s="18" t="n">
        <v>0</v>
      </c>
      <c r="P68" s="20" t="n">
        <v>0</v>
      </c>
      <c r="Q68" s="18" t="n">
        <v>1.21214905</v>
      </c>
      <c r="R68" s="20" t="n">
        <v>0.45881995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(10724.0/B70*100)</f>
        <v/>
      </c>
      <c r="D70" s="19" t="n">
        <v>1359</v>
      </c>
      <c r="E70" s="18" t="n">
        <v>50.25199297</v>
      </c>
      <c r="F70" s="20" t="n">
        <v>1.41545335</v>
      </c>
      <c r="G70" s="18" t="n">
        <v>46.77097768</v>
      </c>
      <c r="H70" s="20" t="n">
        <v>1.34218033</v>
      </c>
      <c r="I70" s="18" t="n">
        <v>0</v>
      </c>
      <c r="J70" s="20" t="n">
        <v>0</v>
      </c>
      <c r="K70" s="18" t="n">
        <v>1.3607942</v>
      </c>
      <c r="L70" s="20" t="n">
        <v>0.31274135</v>
      </c>
      <c r="M70" s="18" t="n">
        <v>0</v>
      </c>
      <c r="N70" s="20" t="n">
        <v>0</v>
      </c>
      <c r="O70" s="18" t="n">
        <v>0</v>
      </c>
      <c r="P70" s="20" t="n">
        <v>0</v>
      </c>
      <c r="Q70" s="18" t="n">
        <v>1.61623515</v>
      </c>
      <c r="R70" s="20" t="n">
        <v>0.3544469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(5402.0/B72*100)</f>
        <v/>
      </c>
      <c r="D72" s="19" t="n">
        <v>634</v>
      </c>
      <c r="E72" s="18" t="n">
        <v>20.33429722</v>
      </c>
      <c r="F72" s="20" t="n">
        <v>1.98481377</v>
      </c>
      <c r="G72" s="18" t="n">
        <v>78.10988892</v>
      </c>
      <c r="H72" s="20" t="n">
        <v>2.00512963</v>
      </c>
      <c r="I72" s="18" t="n">
        <v>0</v>
      </c>
      <c r="J72" s="20" t="n">
        <v>0</v>
      </c>
      <c r="K72" s="18" t="n">
        <v>0.63652533</v>
      </c>
      <c r="L72" s="20" t="n">
        <v>0.40021144</v>
      </c>
      <c r="M72" s="18" t="n">
        <v>0</v>
      </c>
      <c r="N72" s="20" t="n">
        <v>0</v>
      </c>
      <c r="O72" s="18" t="n">
        <v>0</v>
      </c>
      <c r="P72" s="20" t="n">
        <v>0</v>
      </c>
      <c r="Q72" s="18" t="n">
        <v>0.91928853</v>
      </c>
      <c r="R72" s="20" t="n">
        <v>0.42024023</v>
      </c>
    </row>
    <row r="73" spans="1:18">
      <c r="A73" s="15" t="s">
        <v>633</v>
      </c>
      <c r="B73" s="17" t="n">
        <v>6115</v>
      </c>
      <c r="C73" s="18">
        <f>(5426.0/B73*100)</f>
        <v/>
      </c>
      <c r="D73" s="19" t="n">
        <v>689</v>
      </c>
      <c r="E73" s="18" t="n">
        <v>13.68947465</v>
      </c>
      <c r="F73" s="20" t="n">
        <v>1.47018648</v>
      </c>
      <c r="G73" s="18" t="n">
        <v>85.59651229000001</v>
      </c>
      <c r="H73" s="20" t="n">
        <v>1.43700861</v>
      </c>
      <c r="I73" s="18" t="n">
        <v>0</v>
      </c>
      <c r="J73" s="20" t="n">
        <v>0</v>
      </c>
      <c r="K73" s="18" t="n">
        <v>0.23351515</v>
      </c>
      <c r="L73" s="20" t="n">
        <v>0.22340667</v>
      </c>
      <c r="M73" s="18" t="n">
        <v>0</v>
      </c>
      <c r="N73" s="20" t="n">
        <v>0</v>
      </c>
      <c r="O73" s="18" t="n">
        <v>0</v>
      </c>
      <c r="P73" s="20" t="n">
        <v>0</v>
      </c>
      <c r="Q73" s="18" t="n">
        <v>0.48049791</v>
      </c>
      <c r="R73" s="20" t="n">
        <v>0.25830004</v>
      </c>
    </row>
    <row r="74" spans="1:18">
      <c r="A74" s="15" t="s">
        <v>634</v>
      </c>
      <c r="B74" s="17" t="n">
        <v>7708</v>
      </c>
      <c r="C74" s="18">
        <f>(6865.0/B74*100)</f>
        <v/>
      </c>
      <c r="D74" s="19" t="n">
        <v>843</v>
      </c>
      <c r="E74" s="18" t="n">
        <v>13.45508111</v>
      </c>
      <c r="F74" s="20" t="n">
        <v>1.1381347</v>
      </c>
      <c r="G74" s="18" t="n">
        <v>86.15356343000001</v>
      </c>
      <c r="H74" s="20" t="n">
        <v>1.17472158</v>
      </c>
      <c r="I74" s="18" t="n">
        <v>0</v>
      </c>
      <c r="J74" s="20" t="n">
        <v>0</v>
      </c>
      <c r="K74" s="18" t="n">
        <v>0.15688412</v>
      </c>
      <c r="L74" s="20" t="n">
        <v>0.15745329</v>
      </c>
      <c r="M74" s="18" t="n">
        <v>0</v>
      </c>
      <c r="N74" s="20" t="n">
        <v>0</v>
      </c>
      <c r="O74" s="18" t="n">
        <v>0</v>
      </c>
      <c r="P74" s="20" t="n">
        <v>0</v>
      </c>
      <c r="Q74" s="18" t="n">
        <v>0.23447134</v>
      </c>
      <c r="R74" s="20" t="n">
        <v>0.16357641</v>
      </c>
    </row>
    <row r="75" spans="1:18">
      <c r="A75" s="15" t="s">
        <v>635</v>
      </c>
      <c r="B75" s="17" t="n">
        <v>8249</v>
      </c>
      <c r="C75" s="18">
        <f>(7382.0/B75*100)</f>
        <v/>
      </c>
      <c r="D75" s="19" t="n">
        <v>867</v>
      </c>
      <c r="E75" s="18" t="n">
        <v>38.32822883</v>
      </c>
      <c r="F75" s="20" t="n">
        <v>2.15070977</v>
      </c>
      <c r="G75" s="18" t="n">
        <v>60.77162667</v>
      </c>
      <c r="H75" s="20" t="n">
        <v>2.1358417</v>
      </c>
      <c r="I75" s="18" t="n">
        <v>0</v>
      </c>
      <c r="J75" s="20" t="n">
        <v>0</v>
      </c>
      <c r="K75" s="18" t="n">
        <v>0</v>
      </c>
      <c r="L75" s="20" t="n">
        <v>0</v>
      </c>
      <c r="M75" s="18" t="n">
        <v>0</v>
      </c>
      <c r="N75" s="20" t="n">
        <v>0</v>
      </c>
      <c r="O75" s="18" t="n">
        <v>0</v>
      </c>
      <c r="P75" s="20" t="n">
        <v>0</v>
      </c>
      <c r="Q75" s="18" t="n">
        <v>0.9001445</v>
      </c>
      <c r="R75" s="20" t="n">
        <v>0.26677559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(4837.0/B77*100)</f>
        <v/>
      </c>
      <c r="D77" s="19" t="n">
        <v>538</v>
      </c>
      <c r="E77" s="18" t="n">
        <v>57.83322319</v>
      </c>
      <c r="F77" s="20" t="n">
        <v>2.38818508</v>
      </c>
      <c r="G77" s="18" t="n">
        <v>38.46474404</v>
      </c>
      <c r="H77" s="20" t="n">
        <v>2.27670194</v>
      </c>
      <c r="I77" s="18" t="n">
        <v>0</v>
      </c>
      <c r="J77" s="20" t="n">
        <v>0</v>
      </c>
      <c r="K77" s="18" t="n">
        <v>1.89244126</v>
      </c>
      <c r="L77" s="20" t="n">
        <v>0.51647241</v>
      </c>
      <c r="M77" s="18" t="n">
        <v>0</v>
      </c>
      <c r="N77" s="20" t="n">
        <v>0</v>
      </c>
      <c r="O77" s="18" t="n">
        <v>0</v>
      </c>
      <c r="P77" s="20" t="n">
        <v>0</v>
      </c>
      <c r="Q77" s="18" t="n">
        <v>1.80959151</v>
      </c>
      <c r="R77" s="20" t="n">
        <v>0.54870257</v>
      </c>
    </row>
    <row r="78" spans="1:18">
      <c r="A78" s="15" t="s">
        <v>638</v>
      </c>
      <c r="B78" s="17" t="n">
        <v>14167</v>
      </c>
      <c r="C78" s="18">
        <f>(12616.0/B78*100)</f>
        <v/>
      </c>
      <c r="D78" s="19" t="n">
        <v>1551</v>
      </c>
      <c r="E78" s="18" t="n">
        <v>46.36863163</v>
      </c>
      <c r="F78" s="20" t="n">
        <v>1.55990281</v>
      </c>
      <c r="G78" s="18" t="n">
        <v>51.33681494</v>
      </c>
      <c r="H78" s="20" t="n">
        <v>1.62595714</v>
      </c>
      <c r="I78" s="18" t="n">
        <v>0</v>
      </c>
      <c r="J78" s="20" t="n">
        <v>0</v>
      </c>
      <c r="K78" s="18" t="n">
        <v>1.06390611</v>
      </c>
      <c r="L78" s="20" t="n">
        <v>0.35439227</v>
      </c>
      <c r="M78" s="18" t="n">
        <v>0</v>
      </c>
      <c r="N78" s="20" t="n">
        <v>0</v>
      </c>
      <c r="O78" s="18" t="n">
        <v>0</v>
      </c>
      <c r="P78" s="20" t="n">
        <v>0</v>
      </c>
      <c r="Q78" s="18" t="n">
        <v>1.23064732</v>
      </c>
      <c r="R78" s="20" t="n">
        <v>0.33236383</v>
      </c>
    </row>
    <row r="79" spans="1:18">
      <c r="A79" s="15" t="s">
        <v>639</v>
      </c>
      <c r="B79" s="17" t="n">
        <v>6062</v>
      </c>
      <c r="C79" s="18">
        <f>(5384.0/B79*100)</f>
        <v/>
      </c>
      <c r="D79" s="19" t="n">
        <v>678</v>
      </c>
      <c r="E79" s="18" t="n">
        <v>38.63215604</v>
      </c>
      <c r="F79" s="20" t="n">
        <v>1.65751272</v>
      </c>
      <c r="G79" s="18" t="n">
        <v>59.2884615</v>
      </c>
      <c r="H79" s="20" t="n">
        <v>1.6959308</v>
      </c>
      <c r="I79" s="18" t="n">
        <v>0</v>
      </c>
      <c r="J79" s="20" t="n">
        <v>0</v>
      </c>
      <c r="K79" s="18" t="n">
        <v>0.38549879</v>
      </c>
      <c r="L79" s="20" t="n">
        <v>0.22193851</v>
      </c>
      <c r="M79" s="18" t="n">
        <v>0</v>
      </c>
      <c r="N79" s="20" t="n">
        <v>0</v>
      </c>
      <c r="O79" s="18" t="n">
        <v>0</v>
      </c>
      <c r="P79" s="20" t="n">
        <v>0</v>
      </c>
      <c r="Q79" s="18" t="n">
        <v>1.69388368</v>
      </c>
      <c r="R79" s="20" t="n">
        <v>0.49745536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(28769.0/B82*100)</f>
        <v/>
      </c>
      <c r="D82" s="19" t="n">
        <v>3561</v>
      </c>
      <c r="E82" s="18" t="n">
        <v>31.60810734</v>
      </c>
      <c r="F82" s="20" t="n">
        <v>1.11585136</v>
      </c>
      <c r="G82" s="18" t="n">
        <v>67.32977615</v>
      </c>
      <c r="H82" s="20" t="n">
        <v>1.06753023</v>
      </c>
      <c r="I82" s="18" t="n">
        <v>0</v>
      </c>
      <c r="J82" s="20" t="n">
        <v>0</v>
      </c>
      <c r="K82" s="18" t="n">
        <v>0.18166791</v>
      </c>
      <c r="L82" s="20" t="n">
        <v>0.12237462</v>
      </c>
      <c r="M82" s="18" t="n">
        <v>0</v>
      </c>
      <c r="N82" s="20" t="n">
        <v>0</v>
      </c>
      <c r="O82" s="18" t="n">
        <v>0</v>
      </c>
      <c r="P82" s="20" t="n">
        <v>0</v>
      </c>
      <c r="Q82" s="18" t="n">
        <v>0.88044859</v>
      </c>
      <c r="R82" s="20" t="n">
        <v>0.2602323</v>
      </c>
    </row>
    <row r="83" spans="1:18">
      <c r="A83" s="15" t="s">
        <v>643</v>
      </c>
      <c r="B83" s="17" t="n">
        <v>1652</v>
      </c>
      <c r="C83" s="18">
        <f>(1438.0/B83*100)</f>
        <v/>
      </c>
      <c r="D83" s="19" t="n">
        <v>214</v>
      </c>
      <c r="E83" s="18" t="n">
        <v>22.72612576</v>
      </c>
      <c r="F83" s="20" t="n">
        <v>3.39319597</v>
      </c>
      <c r="G83" s="18" t="n">
        <v>77.27387424</v>
      </c>
      <c r="H83" s="20" t="n">
        <v>3.39319597</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(1650.0/B84*100)</f>
        <v/>
      </c>
      <c r="D84" s="19" t="n">
        <v>237</v>
      </c>
      <c r="E84" s="18" t="n">
        <v>31.12956157</v>
      </c>
      <c r="F84" s="20" t="n">
        <v>3.65505302</v>
      </c>
      <c r="G84" s="18" t="n">
        <v>68.53496278</v>
      </c>
      <c r="H84" s="20" t="n">
        <v>3.64263235</v>
      </c>
      <c r="I84" s="18" t="n">
        <v>0</v>
      </c>
      <c r="J84" s="20" t="n">
        <v>0</v>
      </c>
      <c r="K84" s="18" t="n">
        <v>0</v>
      </c>
      <c r="L84" s="20" t="n">
        <v>0</v>
      </c>
      <c r="M84" s="18" t="n">
        <v>0</v>
      </c>
      <c r="N84" s="20" t="n">
        <v>0</v>
      </c>
      <c r="O84" s="18" t="n">
        <v>0</v>
      </c>
      <c r="P84" s="20" t="n">
        <v>0</v>
      </c>
      <c r="Q84" s="18" t="n">
        <v>0.33547565</v>
      </c>
      <c r="R84" s="20" t="n">
        <v>0.31265288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(12941.0/B7*100)</f>
        <v/>
      </c>
      <c r="D7" s="19" t="n">
        <v>1589</v>
      </c>
      <c r="E7" s="18" t="n">
        <v>48.92455853</v>
      </c>
      <c r="F7" s="20" t="n">
        <v>1.37159056</v>
      </c>
      <c r="G7" s="18" t="n">
        <v>40.53184046</v>
      </c>
      <c r="H7" s="20" t="n">
        <v>1.35905558</v>
      </c>
      <c r="I7" s="18" t="n">
        <v>0</v>
      </c>
      <c r="J7" s="20" t="n">
        <v>0</v>
      </c>
      <c r="K7" s="18" t="n">
        <v>0.03237529</v>
      </c>
      <c r="L7" s="20" t="n">
        <v>0.02300055</v>
      </c>
      <c r="M7" s="18" t="n">
        <v>0.01635306</v>
      </c>
      <c r="N7" s="20" t="n">
        <v>0.01181698</v>
      </c>
      <c r="O7" s="18" t="n">
        <v>0</v>
      </c>
      <c r="P7" s="20" t="n">
        <v>0</v>
      </c>
      <c r="Q7" s="18" t="n">
        <v>10.49487266</v>
      </c>
      <c r="R7" s="20" t="n">
        <v>0.84828827</v>
      </c>
    </row>
    <row r="8" spans="1:18">
      <c r="A8" s="15" t="s">
        <v>566</v>
      </c>
      <c r="B8" s="17" t="n">
        <v>7007</v>
      </c>
      <c r="C8" s="18">
        <f>(6204.0/B8*100)</f>
        <v/>
      </c>
      <c r="D8" s="19" t="n">
        <v>803</v>
      </c>
      <c r="E8" s="18" t="n">
        <v>33.17526491</v>
      </c>
      <c r="F8" s="20" t="n">
        <v>1.62315302</v>
      </c>
      <c r="G8" s="18" t="n">
        <v>48.86013618</v>
      </c>
      <c r="H8" s="20" t="n">
        <v>1.91615997</v>
      </c>
      <c r="I8" s="18" t="n">
        <v>0</v>
      </c>
      <c r="J8" s="20" t="n">
        <v>0</v>
      </c>
      <c r="K8" s="18" t="n">
        <v>0.14409208</v>
      </c>
      <c r="L8" s="20" t="n">
        <v>0.22130905</v>
      </c>
      <c r="M8" s="18" t="n">
        <v>0</v>
      </c>
      <c r="N8" s="20" t="n">
        <v>0</v>
      </c>
      <c r="O8" s="18" t="n">
        <v>0</v>
      </c>
      <c r="P8" s="20" t="n">
        <v>0</v>
      </c>
      <c r="Q8" s="18" t="n">
        <v>17.82050683</v>
      </c>
      <c r="R8" s="20" t="n">
        <v>1.65986533</v>
      </c>
    </row>
    <row r="9" spans="1:18">
      <c r="A9" s="15" t="s">
        <v>567</v>
      </c>
      <c r="B9" s="17" t="n">
        <v>9651</v>
      </c>
      <c r="C9" s="18">
        <f>(8386.0/B9*100)</f>
        <v/>
      </c>
      <c r="D9" s="19" t="n">
        <v>1265</v>
      </c>
      <c r="E9" s="18" t="n">
        <v>42.02328483</v>
      </c>
      <c r="F9" s="20" t="n">
        <v>1.55800916</v>
      </c>
      <c r="G9" s="18" t="n">
        <v>38.96650049</v>
      </c>
      <c r="H9" s="20" t="n">
        <v>1.73974982</v>
      </c>
      <c r="I9" s="18" t="n">
        <v>0</v>
      </c>
      <c r="J9" s="20" t="n">
        <v>0</v>
      </c>
      <c r="K9" s="18" t="n">
        <v>0.37467036</v>
      </c>
      <c r="L9" s="20" t="n">
        <v>0.15388382</v>
      </c>
      <c r="M9" s="18" t="n">
        <v>0.37094302</v>
      </c>
      <c r="N9" s="20" t="n">
        <v>0.12023479</v>
      </c>
      <c r="O9" s="18" t="n">
        <v>0</v>
      </c>
      <c r="P9" s="20" t="n">
        <v>0</v>
      </c>
      <c r="Q9" s="18" t="n">
        <v>18.26460129</v>
      </c>
      <c r="R9" s="20" t="n">
        <v>1.44946832</v>
      </c>
    </row>
    <row r="10" spans="1:18">
      <c r="A10" s="15" t="s">
        <v>568</v>
      </c>
      <c r="B10" s="17" t="n">
        <v>20058</v>
      </c>
      <c r="C10" s="18">
        <f>(17878.0/B10*100)</f>
        <v/>
      </c>
      <c r="D10" s="19" t="n">
        <v>2180</v>
      </c>
      <c r="E10" s="18" t="n">
        <v>52.0526559</v>
      </c>
      <c r="F10" s="20" t="n">
        <v>1.54126656</v>
      </c>
      <c r="G10" s="18" t="n">
        <v>41.45109306</v>
      </c>
      <c r="H10" s="20" t="n">
        <v>1.53169788</v>
      </c>
      <c r="I10" s="18" t="n">
        <v>0</v>
      </c>
      <c r="J10" s="20" t="n">
        <v>0</v>
      </c>
      <c r="K10" s="18" t="n">
        <v>0.19974097</v>
      </c>
      <c r="L10" s="20" t="n">
        <v>0.10162575</v>
      </c>
      <c r="M10" s="18" t="n">
        <v>0.00373213</v>
      </c>
      <c r="N10" s="20" t="n">
        <v>0.00380454</v>
      </c>
      <c r="O10" s="18" t="n">
        <v>0</v>
      </c>
      <c r="P10" s="20" t="n">
        <v>0</v>
      </c>
      <c r="Q10" s="18" t="n">
        <v>6.29277794</v>
      </c>
      <c r="R10" s="20" t="n">
        <v>0.78056213</v>
      </c>
    </row>
    <row r="11" spans="1:18">
      <c r="A11" s="15" t="s">
        <v>569</v>
      </c>
      <c r="B11" s="17" t="n">
        <v>7053</v>
      </c>
      <c r="C11" s="18">
        <f>(6261.0/B11*100)</f>
        <v/>
      </c>
      <c r="D11" s="19" t="n">
        <v>792</v>
      </c>
      <c r="E11" s="18" t="n">
        <v>55.77922284</v>
      </c>
      <c r="F11" s="20" t="n">
        <v>2.19421472</v>
      </c>
      <c r="G11" s="18" t="n">
        <v>25.47207573</v>
      </c>
      <c r="H11" s="20" t="n">
        <v>1.97914522</v>
      </c>
      <c r="I11" s="18" t="n">
        <v>0</v>
      </c>
      <c r="J11" s="20" t="n">
        <v>0</v>
      </c>
      <c r="K11" s="18" t="n">
        <v>0.64686635</v>
      </c>
      <c r="L11" s="20" t="n">
        <v>0.31133095</v>
      </c>
      <c r="M11" s="18" t="n">
        <v>0</v>
      </c>
      <c r="N11" s="20" t="n">
        <v>0</v>
      </c>
      <c r="O11" s="18" t="n">
        <v>0</v>
      </c>
      <c r="P11" s="20" t="n">
        <v>0</v>
      </c>
      <c r="Q11" s="18" t="n">
        <v>18.10183509</v>
      </c>
      <c r="R11" s="20" t="n">
        <v>1.68983786</v>
      </c>
    </row>
    <row r="12" spans="1:18">
      <c r="A12" s="15" t="s">
        <v>570</v>
      </c>
      <c r="B12" s="17" t="n">
        <v>6894</v>
      </c>
      <c r="C12" s="18">
        <f>(6058.0/B12*100)</f>
        <v/>
      </c>
      <c r="D12" s="19" t="n">
        <v>836</v>
      </c>
      <c r="E12" s="18" t="n">
        <v>34.59952746</v>
      </c>
      <c r="F12" s="20" t="n">
        <v>2.97544149</v>
      </c>
      <c r="G12" s="18" t="n">
        <v>44.0743338</v>
      </c>
      <c r="H12" s="20" t="n">
        <v>2.91566503</v>
      </c>
      <c r="I12" s="18" t="n">
        <v>0</v>
      </c>
      <c r="J12" s="20" t="n">
        <v>0</v>
      </c>
      <c r="K12" s="18" t="n">
        <v>0.39167512</v>
      </c>
      <c r="L12" s="20" t="n">
        <v>0.29589686</v>
      </c>
      <c r="M12" s="18" t="n">
        <v>0.06419542</v>
      </c>
      <c r="N12" s="20" t="n">
        <v>0.08627458</v>
      </c>
      <c r="O12" s="18" t="n">
        <v>0</v>
      </c>
      <c r="P12" s="20" t="n">
        <v>0</v>
      </c>
      <c r="Q12" s="18" t="n">
        <v>20.87026819</v>
      </c>
      <c r="R12" s="20" t="n">
        <v>1.58767171</v>
      </c>
    </row>
    <row r="13" spans="1:18">
      <c r="A13" s="15" t="s">
        <v>571</v>
      </c>
      <c r="B13" s="17" t="n">
        <v>7161</v>
      </c>
      <c r="C13" s="18">
        <f>(6077.0/B13*100)</f>
        <v/>
      </c>
      <c r="D13" s="19" t="n">
        <v>1084</v>
      </c>
      <c r="E13" s="18" t="n">
        <v>46.72891764</v>
      </c>
      <c r="F13" s="20" t="n">
        <v>1.89492651</v>
      </c>
      <c r="G13" s="18" t="n">
        <v>34.90068836</v>
      </c>
      <c r="H13" s="20" t="n">
        <v>1.90880532</v>
      </c>
      <c r="I13" s="18" t="n">
        <v>0</v>
      </c>
      <c r="J13" s="20" t="n">
        <v>0</v>
      </c>
      <c r="K13" s="18" t="n">
        <v>0.80488202</v>
      </c>
      <c r="L13" s="20" t="n">
        <v>0.30797196</v>
      </c>
      <c r="M13" s="18" t="n">
        <v>0</v>
      </c>
      <c r="N13" s="20" t="n">
        <v>0</v>
      </c>
      <c r="O13" s="18" t="n">
        <v>0</v>
      </c>
      <c r="P13" s="20" t="n">
        <v>0</v>
      </c>
      <c r="Q13" s="18" t="n">
        <v>17.56551197</v>
      </c>
      <c r="R13" s="20" t="n">
        <v>1.54035852</v>
      </c>
    </row>
    <row r="14" spans="1:18">
      <c r="A14" s="15" t="s">
        <v>572</v>
      </c>
      <c r="B14" s="17" t="n">
        <v>5587</v>
      </c>
      <c r="C14" s="18">
        <f>(4992.0/B14*100)</f>
        <v/>
      </c>
      <c r="D14" s="19" t="n">
        <v>595</v>
      </c>
      <c r="E14" s="18" t="n">
        <v>28.44537635</v>
      </c>
      <c r="F14" s="20" t="n">
        <v>2.25906264</v>
      </c>
      <c r="G14" s="18" t="n">
        <v>63.21174458</v>
      </c>
      <c r="H14" s="20" t="n">
        <v>2.66017156</v>
      </c>
      <c r="I14" s="18" t="n">
        <v>0</v>
      </c>
      <c r="J14" s="20" t="n">
        <v>0</v>
      </c>
      <c r="K14" s="18" t="n">
        <v>0.41568885</v>
      </c>
      <c r="L14" s="20" t="n">
        <v>0.40224982</v>
      </c>
      <c r="M14" s="18" t="n">
        <v>0</v>
      </c>
      <c r="N14" s="20" t="n">
        <v>0</v>
      </c>
      <c r="O14" s="18" t="n">
        <v>0</v>
      </c>
      <c r="P14" s="20" t="n">
        <v>0</v>
      </c>
      <c r="Q14" s="18" t="n">
        <v>7.92719022</v>
      </c>
      <c r="R14" s="20" t="n">
        <v>1.18640714</v>
      </c>
    </row>
    <row r="15" spans="1:18">
      <c r="A15" s="15" t="s">
        <v>573</v>
      </c>
      <c r="B15" s="17" t="n">
        <v>5882</v>
      </c>
      <c r="C15" s="18">
        <f>(5186.0/B15*100)</f>
        <v/>
      </c>
      <c r="D15" s="19" t="n">
        <v>696</v>
      </c>
      <c r="E15" s="18" t="n">
        <v>35.32755662</v>
      </c>
      <c r="F15" s="20" t="n">
        <v>2.128875</v>
      </c>
      <c r="G15" s="18" t="n">
        <v>54.62103795</v>
      </c>
      <c r="H15" s="20" t="n">
        <v>2.85746836</v>
      </c>
      <c r="I15" s="18" t="n">
        <v>0</v>
      </c>
      <c r="J15" s="20" t="n">
        <v>0</v>
      </c>
      <c r="K15" s="18" t="n">
        <v>0</v>
      </c>
      <c r="L15" s="20" t="n">
        <v>0</v>
      </c>
      <c r="M15" s="18" t="n">
        <v>0</v>
      </c>
      <c r="N15" s="20" t="n">
        <v>0</v>
      </c>
      <c r="O15" s="18" t="n">
        <v>0</v>
      </c>
      <c r="P15" s="20" t="n">
        <v>0</v>
      </c>
      <c r="Q15" s="18" t="n">
        <v>10.05140543</v>
      </c>
      <c r="R15" s="20" t="n">
        <v>2.08887705</v>
      </c>
    </row>
    <row r="16" spans="1:18">
      <c r="A16" s="15" t="s">
        <v>574</v>
      </c>
      <c r="B16" s="17" t="n">
        <v>6108</v>
      </c>
      <c r="C16" s="18">
        <f>(5461.0/B16*100)</f>
        <v/>
      </c>
      <c r="D16" s="19" t="n">
        <v>647</v>
      </c>
      <c r="E16" s="18" t="n">
        <v>42.51325832</v>
      </c>
      <c r="F16" s="20" t="n">
        <v>1.9764757</v>
      </c>
      <c r="G16" s="18" t="n">
        <v>39.40607831</v>
      </c>
      <c r="H16" s="20" t="n">
        <v>1.86800435</v>
      </c>
      <c r="I16" s="18" t="n">
        <v>0</v>
      </c>
      <c r="J16" s="20" t="n">
        <v>0</v>
      </c>
      <c r="K16" s="18" t="n">
        <v>0</v>
      </c>
      <c r="L16" s="20" t="n">
        <v>0</v>
      </c>
      <c r="M16" s="18" t="n">
        <v>0</v>
      </c>
      <c r="N16" s="20" t="n">
        <v>0</v>
      </c>
      <c r="O16" s="18" t="n">
        <v>0</v>
      </c>
      <c r="P16" s="20" t="n">
        <v>0</v>
      </c>
      <c r="Q16" s="18" t="n">
        <v>18.08066337</v>
      </c>
      <c r="R16" s="20" t="n">
        <v>1.71851191</v>
      </c>
    </row>
    <row r="17" spans="1:18">
      <c r="A17" s="15" t="s">
        <v>575</v>
      </c>
      <c r="B17" s="17" t="n">
        <v>6504</v>
      </c>
      <c r="C17" s="18">
        <f>(5681.0/B17*100)</f>
        <v/>
      </c>
      <c r="D17" s="19" t="n">
        <v>823</v>
      </c>
      <c r="E17" s="18" t="n">
        <v>29.25505057</v>
      </c>
      <c r="F17" s="20" t="n">
        <v>1.84218341</v>
      </c>
      <c r="G17" s="18" t="n">
        <v>48.02956851</v>
      </c>
      <c r="H17" s="20" t="n">
        <v>2.19386901</v>
      </c>
      <c r="I17" s="18" t="n">
        <v>0</v>
      </c>
      <c r="J17" s="20" t="n">
        <v>0</v>
      </c>
      <c r="K17" s="18" t="n">
        <v>0.53241527</v>
      </c>
      <c r="L17" s="20" t="n">
        <v>0.2600643</v>
      </c>
      <c r="M17" s="18" t="n">
        <v>0</v>
      </c>
      <c r="N17" s="20" t="n">
        <v>0</v>
      </c>
      <c r="O17" s="18" t="n">
        <v>0</v>
      </c>
      <c r="P17" s="20" t="n">
        <v>0</v>
      </c>
      <c r="Q17" s="18" t="n">
        <v>22.18296564</v>
      </c>
      <c r="R17" s="20" t="n">
        <v>2.08027274</v>
      </c>
    </row>
    <row r="18" spans="1:18">
      <c r="A18" s="15" t="s">
        <v>576</v>
      </c>
      <c r="B18" s="17" t="n">
        <v>5532</v>
      </c>
      <c r="C18" s="18">
        <f>(4938.0/B18*100)</f>
        <v/>
      </c>
      <c r="D18" s="19" t="n">
        <v>594</v>
      </c>
      <c r="E18" s="18" t="n">
        <v>45.55917787</v>
      </c>
      <c r="F18" s="20" t="n">
        <v>2.09282485</v>
      </c>
      <c r="G18" s="18" t="n">
        <v>36.8912977</v>
      </c>
      <c r="H18" s="20" t="n">
        <v>2.32500054</v>
      </c>
      <c r="I18" s="18" t="n">
        <v>0</v>
      </c>
      <c r="J18" s="20" t="n">
        <v>0</v>
      </c>
      <c r="K18" s="18" t="n">
        <v>0.19762072</v>
      </c>
      <c r="L18" s="20" t="n">
        <v>0.1956443</v>
      </c>
      <c r="M18" s="18" t="n">
        <v>0</v>
      </c>
      <c r="N18" s="20" t="n">
        <v>0</v>
      </c>
      <c r="O18" s="18" t="n">
        <v>0</v>
      </c>
      <c r="P18" s="20" t="n">
        <v>0</v>
      </c>
      <c r="Q18" s="18" t="n">
        <v>17.35190371</v>
      </c>
      <c r="R18" s="20" t="n">
        <v>1.60397385</v>
      </c>
    </row>
    <row r="19" spans="1:18">
      <c r="A19" s="15" t="s">
        <v>577</v>
      </c>
      <c r="B19" s="17" t="n">
        <v>5658</v>
      </c>
      <c r="C19" s="18">
        <f>(5019.0/B19*100)</f>
        <v/>
      </c>
      <c r="D19" s="19" t="n">
        <v>639</v>
      </c>
      <c r="E19" s="18" t="n">
        <v>33.92357668</v>
      </c>
      <c r="F19" s="20" t="n">
        <v>1.9057514</v>
      </c>
      <c r="G19" s="18" t="n">
        <v>48.3900047</v>
      </c>
      <c r="H19" s="20" t="n">
        <v>1.78330377</v>
      </c>
      <c r="I19" s="18" t="n">
        <v>0</v>
      </c>
      <c r="J19" s="20" t="n">
        <v>0</v>
      </c>
      <c r="K19" s="18" t="n">
        <v>0</v>
      </c>
      <c r="L19" s="20" t="n">
        <v>0</v>
      </c>
      <c r="M19" s="18" t="n">
        <v>0.14637522</v>
      </c>
      <c r="N19" s="20" t="n">
        <v>0.14675671</v>
      </c>
      <c r="O19" s="18" t="n">
        <v>0</v>
      </c>
      <c r="P19" s="20" t="n">
        <v>0</v>
      </c>
      <c r="Q19" s="18" t="n">
        <v>17.54004339</v>
      </c>
      <c r="R19" s="20" t="n">
        <v>1.70680548</v>
      </c>
    </row>
    <row r="20" spans="1:18">
      <c r="A20" s="15" t="s">
        <v>578</v>
      </c>
      <c r="B20" s="17" t="n">
        <v>3371</v>
      </c>
      <c r="C20" s="18">
        <f>(3026.0/B20*100)</f>
        <v/>
      </c>
      <c r="D20" s="19" t="n">
        <v>345</v>
      </c>
      <c r="E20" s="18" t="n">
        <v>51.4269105</v>
      </c>
      <c r="F20" s="20" t="n">
        <v>3.0822041</v>
      </c>
      <c r="G20" s="18" t="n">
        <v>32.68836863</v>
      </c>
      <c r="H20" s="20" t="n">
        <v>2.77118585</v>
      </c>
      <c r="I20" s="18" t="n">
        <v>0</v>
      </c>
      <c r="J20" s="20" t="n">
        <v>0</v>
      </c>
      <c r="K20" s="18" t="n">
        <v>0.49843857</v>
      </c>
      <c r="L20" s="20" t="n">
        <v>0.35470691</v>
      </c>
      <c r="M20" s="18" t="n">
        <v>0.44328272</v>
      </c>
      <c r="N20" s="20" t="n">
        <v>0.43638191</v>
      </c>
      <c r="O20" s="18" t="n">
        <v>0</v>
      </c>
      <c r="P20" s="20" t="n">
        <v>0</v>
      </c>
      <c r="Q20" s="18" t="n">
        <v>14.94299958</v>
      </c>
      <c r="R20" s="20" t="n">
        <v>2.11273648</v>
      </c>
    </row>
    <row r="21" spans="1:18">
      <c r="A21" s="15" t="s">
        <v>579</v>
      </c>
      <c r="B21" s="17" t="n">
        <v>5741</v>
      </c>
      <c r="C21" s="18">
        <f>(5082.0/B21*100)</f>
        <v/>
      </c>
      <c r="D21" s="19" t="n">
        <v>659</v>
      </c>
      <c r="E21" s="18" t="n">
        <v>51.13425795</v>
      </c>
      <c r="F21" s="20" t="n">
        <v>2.04723837</v>
      </c>
      <c r="G21" s="18" t="n">
        <v>37.62124293</v>
      </c>
      <c r="H21" s="20" t="n">
        <v>1.78129307</v>
      </c>
      <c r="I21" s="18" t="n">
        <v>0</v>
      </c>
      <c r="J21" s="20" t="n">
        <v>0</v>
      </c>
      <c r="K21" s="18" t="n">
        <v>0</v>
      </c>
      <c r="L21" s="20" t="n">
        <v>0</v>
      </c>
      <c r="M21" s="18" t="n">
        <v>0</v>
      </c>
      <c r="N21" s="20" t="n">
        <v>0</v>
      </c>
      <c r="O21" s="18" t="n">
        <v>0</v>
      </c>
      <c r="P21" s="20" t="n">
        <v>0</v>
      </c>
      <c r="Q21" s="18" t="n">
        <v>11.24449912</v>
      </c>
      <c r="R21" s="20" t="n">
        <v>1.26543398</v>
      </c>
    </row>
    <row r="22" spans="1:18">
      <c r="A22" s="15" t="s">
        <v>580</v>
      </c>
      <c r="B22" s="17" t="n">
        <v>6598</v>
      </c>
      <c r="C22" s="18">
        <f>(5869.0/B22*100)</f>
        <v/>
      </c>
      <c r="D22" s="19" t="n">
        <v>729</v>
      </c>
      <c r="E22" s="18" t="n">
        <v>42.92943767</v>
      </c>
      <c r="F22" s="20" t="n">
        <v>1.89322411</v>
      </c>
      <c r="G22" s="18" t="n">
        <v>36.48598027</v>
      </c>
      <c r="H22" s="20" t="n">
        <v>1.8267959</v>
      </c>
      <c r="I22" s="18" t="n">
        <v>0</v>
      </c>
      <c r="J22" s="20" t="n">
        <v>0</v>
      </c>
      <c r="K22" s="18" t="n">
        <v>0.52576024</v>
      </c>
      <c r="L22" s="20" t="n">
        <v>0.24637348</v>
      </c>
      <c r="M22" s="18" t="n">
        <v>0</v>
      </c>
      <c r="N22" s="20" t="n">
        <v>0</v>
      </c>
      <c r="O22" s="18" t="n">
        <v>0</v>
      </c>
      <c r="P22" s="20" t="n">
        <v>0</v>
      </c>
      <c r="Q22" s="18" t="n">
        <v>20.05882182</v>
      </c>
      <c r="R22" s="20" t="n">
        <v>1.85228576</v>
      </c>
    </row>
    <row r="23" spans="1:18">
      <c r="A23" s="15" t="s">
        <v>581</v>
      </c>
      <c r="B23" s="17" t="n">
        <v>11583</v>
      </c>
      <c r="C23" s="18">
        <f>(10280.0/B23*100)</f>
        <v/>
      </c>
      <c r="D23" s="19" t="n">
        <v>1303</v>
      </c>
      <c r="E23" s="18" t="n">
        <v>36.69078672</v>
      </c>
      <c r="F23" s="20" t="n">
        <v>2.06778901</v>
      </c>
      <c r="G23" s="18" t="n">
        <v>39.53262526</v>
      </c>
      <c r="H23" s="20" t="n">
        <v>2.49374706</v>
      </c>
      <c r="I23" s="18" t="n">
        <v>0</v>
      </c>
      <c r="J23" s="20" t="n">
        <v>0</v>
      </c>
      <c r="K23" s="18" t="n">
        <v>0.61283396</v>
      </c>
      <c r="L23" s="20" t="n">
        <v>0.39776278</v>
      </c>
      <c r="M23" s="18" t="n">
        <v>0.00568037</v>
      </c>
      <c r="N23" s="20" t="n">
        <v>0.00567305</v>
      </c>
      <c r="O23" s="18" t="n">
        <v>0</v>
      </c>
      <c r="P23" s="20" t="n">
        <v>0</v>
      </c>
      <c r="Q23" s="18" t="n">
        <v>23.1580737</v>
      </c>
      <c r="R23" s="20" t="n">
        <v>2.00812283</v>
      </c>
    </row>
    <row r="24" spans="1:18">
      <c r="A24" s="15" t="s">
        <v>582</v>
      </c>
      <c r="B24" s="17" t="n">
        <v>6647</v>
      </c>
      <c r="C24" s="18">
        <f>(5901.0/B24*100)</f>
        <v/>
      </c>
      <c r="D24" s="19" t="n">
        <v>746</v>
      </c>
      <c r="E24" s="18" t="n">
        <v>25.67337334</v>
      </c>
      <c r="F24" s="20" t="n">
        <v>1.89321736</v>
      </c>
      <c r="G24" s="18" t="n">
        <v>59.98722889</v>
      </c>
      <c r="H24" s="20" t="n">
        <v>2.05426469</v>
      </c>
      <c r="I24" s="18" t="n">
        <v>0</v>
      </c>
      <c r="J24" s="20" t="n">
        <v>0</v>
      </c>
      <c r="K24" s="18" t="n">
        <v>0.11856991</v>
      </c>
      <c r="L24" s="20" t="n">
        <v>0.11863266</v>
      </c>
      <c r="M24" s="18" t="n">
        <v>0</v>
      </c>
      <c r="N24" s="20" t="n">
        <v>0</v>
      </c>
      <c r="O24" s="18" t="n">
        <v>0</v>
      </c>
      <c r="P24" s="20" t="n">
        <v>0</v>
      </c>
      <c r="Q24" s="18" t="n">
        <v>14.22082786</v>
      </c>
      <c r="R24" s="20" t="n">
        <v>1.53744498</v>
      </c>
    </row>
    <row r="25" spans="1:18">
      <c r="A25" s="15" t="s">
        <v>583</v>
      </c>
      <c r="B25" s="17" t="n">
        <v>5581</v>
      </c>
      <c r="C25" s="18">
        <f>(4957.0/B25*100)</f>
        <v/>
      </c>
      <c r="D25" s="19" t="n">
        <v>624</v>
      </c>
      <c r="E25" s="18" t="n">
        <v>35.66689623</v>
      </c>
      <c r="F25" s="20" t="n">
        <v>1.78506678</v>
      </c>
      <c r="G25" s="18" t="n">
        <v>53.32886678</v>
      </c>
      <c r="H25" s="20" t="n">
        <v>2.20677686</v>
      </c>
      <c r="I25" s="18" t="n">
        <v>0</v>
      </c>
      <c r="J25" s="20" t="n">
        <v>0</v>
      </c>
      <c r="K25" s="18" t="n">
        <v>1.10304407</v>
      </c>
      <c r="L25" s="20" t="n">
        <v>0.43958784</v>
      </c>
      <c r="M25" s="18" t="n">
        <v>0</v>
      </c>
      <c r="N25" s="20" t="n">
        <v>0</v>
      </c>
      <c r="O25" s="18" t="n">
        <v>0</v>
      </c>
      <c r="P25" s="20" t="n">
        <v>0</v>
      </c>
      <c r="Q25" s="18" t="n">
        <v>9.90119292</v>
      </c>
      <c r="R25" s="20" t="n">
        <v>1.20719477</v>
      </c>
    </row>
    <row r="26" spans="1:18">
      <c r="A26" s="15" t="s">
        <v>584</v>
      </c>
      <c r="B26" s="17" t="n">
        <v>4869</v>
      </c>
      <c r="C26" s="18">
        <f>(4336.0/B26*100)</f>
        <v/>
      </c>
      <c r="D26" s="19" t="n">
        <v>533</v>
      </c>
      <c r="E26" s="18" t="n">
        <v>38.33120805</v>
      </c>
      <c r="F26" s="20" t="n">
        <v>1.95264214</v>
      </c>
      <c r="G26" s="18" t="n">
        <v>56.32453522</v>
      </c>
      <c r="H26" s="20" t="n">
        <v>1.87531379</v>
      </c>
      <c r="I26" s="18" t="n">
        <v>0</v>
      </c>
      <c r="J26" s="20" t="n">
        <v>0</v>
      </c>
      <c r="K26" s="18" t="n">
        <v>0</v>
      </c>
      <c r="L26" s="20" t="n">
        <v>0</v>
      </c>
      <c r="M26" s="18" t="n">
        <v>0</v>
      </c>
      <c r="N26" s="20" t="n">
        <v>0</v>
      </c>
      <c r="O26" s="18" t="n">
        <v>0</v>
      </c>
      <c r="P26" s="20" t="n">
        <v>0</v>
      </c>
      <c r="Q26" s="18" t="n">
        <v>5.34425673</v>
      </c>
      <c r="R26" s="20" t="n">
        <v>0.95668033</v>
      </c>
    </row>
    <row r="27" spans="1:18">
      <c r="A27" s="15" t="s">
        <v>585</v>
      </c>
      <c r="B27" s="17" t="n">
        <v>5299</v>
      </c>
      <c r="C27" s="18">
        <f>(4718.0/B27*100)</f>
        <v/>
      </c>
      <c r="D27" s="19" t="n">
        <v>581</v>
      </c>
      <c r="E27" s="18" t="n">
        <v>33.88903546</v>
      </c>
      <c r="F27" s="20" t="n">
        <v>1.91392304</v>
      </c>
      <c r="G27" s="18" t="n">
        <v>45.44381143</v>
      </c>
      <c r="H27" s="20" t="n">
        <v>2.14577332</v>
      </c>
      <c r="I27" s="18" t="n">
        <v>0</v>
      </c>
      <c r="J27" s="20" t="n">
        <v>0</v>
      </c>
      <c r="K27" s="18" t="n">
        <v>0</v>
      </c>
      <c r="L27" s="20" t="n">
        <v>0</v>
      </c>
      <c r="M27" s="18" t="n">
        <v>0</v>
      </c>
      <c r="N27" s="20" t="n">
        <v>0</v>
      </c>
      <c r="O27" s="18" t="n">
        <v>0</v>
      </c>
      <c r="P27" s="20" t="n">
        <v>0</v>
      </c>
      <c r="Q27" s="18" t="n">
        <v>20.66715311</v>
      </c>
      <c r="R27" s="20" t="n">
        <v>1.8638907</v>
      </c>
    </row>
    <row r="28" spans="1:18">
      <c r="A28" s="15" t="s">
        <v>586</v>
      </c>
      <c r="B28" s="17" t="n">
        <v>7568</v>
      </c>
      <c r="C28" s="18">
        <f>(6760.0/B28*100)</f>
        <v/>
      </c>
      <c r="D28" s="19" t="n">
        <v>808</v>
      </c>
      <c r="E28" s="18" t="n">
        <v>82.27865285999999</v>
      </c>
      <c r="F28" s="20" t="n">
        <v>1.62314619</v>
      </c>
      <c r="G28" s="18" t="n">
        <v>11.0598623</v>
      </c>
      <c r="H28" s="20" t="n">
        <v>1.25179837</v>
      </c>
      <c r="I28" s="18" t="n">
        <v>0</v>
      </c>
      <c r="J28" s="20" t="n">
        <v>0</v>
      </c>
      <c r="K28" s="18" t="n">
        <v>0.77287234</v>
      </c>
      <c r="L28" s="20" t="n">
        <v>0.31916681</v>
      </c>
      <c r="M28" s="18" t="n">
        <v>0.11061001</v>
      </c>
      <c r="N28" s="20" t="n">
        <v>0.11478498</v>
      </c>
      <c r="O28" s="18" t="n">
        <v>0</v>
      </c>
      <c r="P28" s="20" t="n">
        <v>0</v>
      </c>
      <c r="Q28" s="18" t="n">
        <v>5.77800249</v>
      </c>
      <c r="R28" s="20" t="n">
        <v>1.05247205</v>
      </c>
    </row>
    <row r="29" spans="1:18">
      <c r="A29" s="15" t="s">
        <v>587</v>
      </c>
      <c r="B29" s="17" t="n">
        <v>5385</v>
      </c>
      <c r="C29" s="18">
        <f>(4637.0/B29*100)</f>
        <v/>
      </c>
      <c r="D29" s="19" t="n">
        <v>748</v>
      </c>
      <c r="E29" s="18" t="n">
        <v>42.60853702</v>
      </c>
      <c r="F29" s="20" t="n">
        <v>1.7408169</v>
      </c>
      <c r="G29" s="18" t="n">
        <v>51.07320611</v>
      </c>
      <c r="H29" s="20" t="n">
        <v>1.83431326</v>
      </c>
      <c r="I29" s="18" t="n">
        <v>0</v>
      </c>
      <c r="J29" s="20" t="n">
        <v>0</v>
      </c>
      <c r="K29" s="18" t="n">
        <v>0.57195346</v>
      </c>
      <c r="L29" s="20" t="n">
        <v>0.25295581</v>
      </c>
      <c r="M29" s="18" t="n">
        <v>0</v>
      </c>
      <c r="N29" s="20" t="n">
        <v>0</v>
      </c>
      <c r="O29" s="18" t="n">
        <v>0</v>
      </c>
      <c r="P29" s="20" t="n">
        <v>0</v>
      </c>
      <c r="Q29" s="18" t="n">
        <v>5.7463034</v>
      </c>
      <c r="R29" s="20" t="n">
        <v>1.01599837</v>
      </c>
    </row>
    <row r="30" spans="1:18">
      <c r="A30" s="15" t="s">
        <v>588</v>
      </c>
      <c r="B30" s="17" t="n">
        <v>4520</v>
      </c>
      <c r="C30" s="18">
        <f>(4025.0/B30*100)</f>
        <v/>
      </c>
      <c r="D30" s="19" t="n">
        <v>495</v>
      </c>
      <c r="E30" s="18" t="n">
        <v>36.24422696</v>
      </c>
      <c r="F30" s="20" t="n">
        <v>2.17251249</v>
      </c>
      <c r="G30" s="18" t="n">
        <v>48.84796781</v>
      </c>
      <c r="H30" s="20" t="n">
        <v>2.31068148</v>
      </c>
      <c r="I30" s="18" t="n">
        <v>0</v>
      </c>
      <c r="J30" s="20" t="n">
        <v>0</v>
      </c>
      <c r="K30" s="18" t="n">
        <v>0.48887067</v>
      </c>
      <c r="L30" s="20" t="n">
        <v>0.31878955</v>
      </c>
      <c r="M30" s="18" t="n">
        <v>0</v>
      </c>
      <c r="N30" s="20" t="n">
        <v>0</v>
      </c>
      <c r="O30" s="18" t="n">
        <v>0</v>
      </c>
      <c r="P30" s="20" t="n">
        <v>0</v>
      </c>
      <c r="Q30" s="18" t="n">
        <v>14.41893456</v>
      </c>
      <c r="R30" s="20" t="n">
        <v>1.48106015</v>
      </c>
    </row>
    <row r="31" spans="1:18">
      <c r="A31" s="15" t="s">
        <v>589</v>
      </c>
      <c r="B31" s="17" t="n">
        <v>5456</v>
      </c>
      <c r="C31" s="18">
        <f>(4865.0/B31*100)</f>
        <v/>
      </c>
      <c r="D31" s="19" t="n">
        <v>591</v>
      </c>
      <c r="E31" s="18" t="n">
        <v>41.1005085</v>
      </c>
      <c r="F31" s="20" t="n">
        <v>1.96583098</v>
      </c>
      <c r="G31" s="18" t="n">
        <v>46.40719035</v>
      </c>
      <c r="H31" s="20" t="n">
        <v>2.13222243</v>
      </c>
      <c r="I31" s="18" t="n">
        <v>0</v>
      </c>
      <c r="J31" s="20" t="n">
        <v>0</v>
      </c>
      <c r="K31" s="18" t="n">
        <v>0.65527682</v>
      </c>
      <c r="L31" s="20" t="n">
        <v>0.32410855</v>
      </c>
      <c r="M31" s="18" t="n">
        <v>0.14400497</v>
      </c>
      <c r="N31" s="20" t="n">
        <v>0.16992515</v>
      </c>
      <c r="O31" s="18" t="n">
        <v>0</v>
      </c>
      <c r="P31" s="20" t="n">
        <v>0</v>
      </c>
      <c r="Q31" s="18" t="n">
        <v>11.69301936</v>
      </c>
      <c r="R31" s="20" t="n">
        <v>1.39931848</v>
      </c>
    </row>
    <row r="32" spans="1:18">
      <c r="A32" s="15" t="s">
        <v>590</v>
      </c>
      <c r="B32" s="17" t="n">
        <v>4478</v>
      </c>
      <c r="C32" s="18">
        <f>(3990.0/B32*100)</f>
        <v/>
      </c>
      <c r="D32" s="19" t="n">
        <v>488</v>
      </c>
      <c r="E32" s="18" t="n">
        <v>45.03667997</v>
      </c>
      <c r="F32" s="20" t="n">
        <v>2.44609352</v>
      </c>
      <c r="G32" s="18" t="n">
        <v>44.1864873</v>
      </c>
      <c r="H32" s="20" t="n">
        <v>2.36859644</v>
      </c>
      <c r="I32" s="18" t="n">
        <v>0</v>
      </c>
      <c r="J32" s="20" t="n">
        <v>0</v>
      </c>
      <c r="K32" s="18" t="n">
        <v>0</v>
      </c>
      <c r="L32" s="20" t="n">
        <v>0</v>
      </c>
      <c r="M32" s="18" t="n">
        <v>0</v>
      </c>
      <c r="N32" s="20" t="n">
        <v>0</v>
      </c>
      <c r="O32" s="18" t="n">
        <v>0</v>
      </c>
      <c r="P32" s="20" t="n">
        <v>0</v>
      </c>
      <c r="Q32" s="18" t="n">
        <v>10.77683273</v>
      </c>
      <c r="R32" s="20" t="n">
        <v>1.3756878</v>
      </c>
    </row>
    <row r="33" spans="1:18">
      <c r="A33" s="15" t="s">
        <v>591</v>
      </c>
      <c r="B33" s="17" t="n">
        <v>7325</v>
      </c>
      <c r="C33" s="18">
        <f>(6532.0/B33*100)</f>
        <v/>
      </c>
      <c r="D33" s="19" t="n">
        <v>793</v>
      </c>
      <c r="E33" s="18" t="n">
        <v>45.53095524</v>
      </c>
      <c r="F33" s="20" t="n">
        <v>1.9446022</v>
      </c>
      <c r="G33" s="18" t="n">
        <v>36.65878078</v>
      </c>
      <c r="H33" s="20" t="n">
        <v>1.89485741</v>
      </c>
      <c r="I33" s="18" t="n">
        <v>0</v>
      </c>
      <c r="J33" s="20" t="n">
        <v>0</v>
      </c>
      <c r="K33" s="18" t="n">
        <v>0.2434319</v>
      </c>
      <c r="L33" s="20" t="n">
        <v>0.28962115</v>
      </c>
      <c r="M33" s="18" t="n">
        <v>0</v>
      </c>
      <c r="N33" s="20" t="n">
        <v>0</v>
      </c>
      <c r="O33" s="18" t="n">
        <v>0</v>
      </c>
      <c r="P33" s="20" t="n">
        <v>0</v>
      </c>
      <c r="Q33" s="18" t="n">
        <v>17.56683208</v>
      </c>
      <c r="R33" s="20" t="n">
        <v>1.44735252</v>
      </c>
    </row>
    <row r="34" spans="1:18">
      <c r="A34" s="15" t="s">
        <v>592</v>
      </c>
      <c r="B34" s="17" t="n">
        <v>6350</v>
      </c>
      <c r="C34" s="18">
        <f>(5543.0/B34*100)</f>
        <v/>
      </c>
      <c r="D34" s="19" t="n">
        <v>807</v>
      </c>
      <c r="E34" s="18" t="n">
        <v>37.6001445</v>
      </c>
      <c r="F34" s="20" t="n">
        <v>2.0662058</v>
      </c>
      <c r="G34" s="18" t="n">
        <v>40.32973147</v>
      </c>
      <c r="H34" s="20" t="n">
        <v>2.52753071</v>
      </c>
      <c r="I34" s="18" t="n">
        <v>0</v>
      </c>
      <c r="J34" s="20" t="n">
        <v>0</v>
      </c>
      <c r="K34" s="18" t="n">
        <v>0.16514238</v>
      </c>
      <c r="L34" s="20" t="n">
        <v>0.09262134</v>
      </c>
      <c r="M34" s="18" t="n">
        <v>0</v>
      </c>
      <c r="N34" s="20" t="n">
        <v>0</v>
      </c>
      <c r="O34" s="18" t="n">
        <v>0</v>
      </c>
      <c r="P34" s="20" t="n">
        <v>0</v>
      </c>
      <c r="Q34" s="18" t="n">
        <v>21.90498166</v>
      </c>
      <c r="R34" s="20" t="n">
        <v>2.01361717</v>
      </c>
    </row>
    <row r="35" spans="1:18">
      <c r="A35" s="15" t="s">
        <v>593</v>
      </c>
      <c r="B35" s="17" t="n">
        <v>6406</v>
      </c>
      <c r="C35" s="18">
        <f>(5547.0/B35*100)</f>
        <v/>
      </c>
      <c r="D35" s="19" t="n">
        <v>859</v>
      </c>
      <c r="E35" s="18" t="n">
        <v>38.27304137</v>
      </c>
      <c r="F35" s="20" t="n">
        <v>1.84132069</v>
      </c>
      <c r="G35" s="18" t="n">
        <v>48.13585401</v>
      </c>
      <c r="H35" s="20" t="n">
        <v>2.05408012</v>
      </c>
      <c r="I35" s="18" t="n">
        <v>0</v>
      </c>
      <c r="J35" s="20" t="n">
        <v>0</v>
      </c>
      <c r="K35" s="18" t="n">
        <v>0</v>
      </c>
      <c r="L35" s="20" t="n">
        <v>0</v>
      </c>
      <c r="M35" s="18" t="n">
        <v>0.21480315</v>
      </c>
      <c r="N35" s="20" t="n">
        <v>0.21606319</v>
      </c>
      <c r="O35" s="18" t="n">
        <v>0</v>
      </c>
      <c r="P35" s="20" t="n">
        <v>0</v>
      </c>
      <c r="Q35" s="18" t="n">
        <v>13.37630148</v>
      </c>
      <c r="R35" s="20" t="n">
        <v>1.32872284</v>
      </c>
    </row>
    <row r="36" spans="1:18">
      <c r="A36" s="15" t="s">
        <v>594</v>
      </c>
      <c r="B36" s="17" t="n">
        <v>6736</v>
      </c>
      <c r="C36" s="18">
        <f>(5992.0/B36*100)</f>
        <v/>
      </c>
      <c r="D36" s="19" t="n">
        <v>744</v>
      </c>
      <c r="E36" s="18" t="n">
        <v>41.1030425</v>
      </c>
      <c r="F36" s="20" t="n">
        <v>1.85372781</v>
      </c>
      <c r="G36" s="18" t="n">
        <v>45.67564573</v>
      </c>
      <c r="H36" s="20" t="n">
        <v>1.80277517</v>
      </c>
      <c r="I36" s="18" t="n">
        <v>0</v>
      </c>
      <c r="J36" s="20" t="n">
        <v>0</v>
      </c>
      <c r="K36" s="18" t="n">
        <v>0.30931242</v>
      </c>
      <c r="L36" s="20" t="n">
        <v>0.18998966</v>
      </c>
      <c r="M36" s="18" t="n">
        <v>0</v>
      </c>
      <c r="N36" s="20" t="n">
        <v>0</v>
      </c>
      <c r="O36" s="18" t="n">
        <v>0</v>
      </c>
      <c r="P36" s="20" t="n">
        <v>0</v>
      </c>
      <c r="Q36" s="18" t="n">
        <v>12.91199936</v>
      </c>
      <c r="R36" s="20" t="n">
        <v>1.2326567</v>
      </c>
    </row>
    <row r="37" spans="1:18">
      <c r="A37" s="15" t="s">
        <v>595</v>
      </c>
      <c r="B37" s="17" t="n">
        <v>5458</v>
      </c>
      <c r="C37" s="18">
        <f>(4873.0/B37*100)</f>
        <v/>
      </c>
      <c r="D37" s="19" t="n">
        <v>585</v>
      </c>
      <c r="E37" s="18" t="n">
        <v>38.11317918</v>
      </c>
      <c r="F37" s="20" t="n">
        <v>1.96503403</v>
      </c>
      <c r="G37" s="18" t="n">
        <v>41.39300812</v>
      </c>
      <c r="H37" s="20" t="n">
        <v>2.61115745</v>
      </c>
      <c r="I37" s="18" t="n">
        <v>0</v>
      </c>
      <c r="J37" s="20" t="n">
        <v>0</v>
      </c>
      <c r="K37" s="18" t="n">
        <v>0.15116886</v>
      </c>
      <c r="L37" s="20" t="n">
        <v>0.15237411</v>
      </c>
      <c r="M37" s="18" t="n">
        <v>0</v>
      </c>
      <c r="N37" s="20" t="n">
        <v>0</v>
      </c>
      <c r="O37" s="18" t="n">
        <v>0</v>
      </c>
      <c r="P37" s="20" t="n">
        <v>0</v>
      </c>
      <c r="Q37" s="18" t="n">
        <v>20.34264384</v>
      </c>
      <c r="R37" s="20" t="n">
        <v>2.07472823</v>
      </c>
    </row>
    <row r="38" spans="1:18">
      <c r="A38" s="15" t="s">
        <v>596</v>
      </c>
      <c r="B38" s="17" t="n">
        <v>5860</v>
      </c>
      <c r="C38" s="18">
        <f>(5224.0/B38*100)</f>
        <v/>
      </c>
      <c r="D38" s="19" t="n">
        <v>636</v>
      </c>
      <c r="E38" s="18" t="n">
        <v>37.53989039</v>
      </c>
      <c r="F38" s="20" t="n">
        <v>2.16402877</v>
      </c>
      <c r="G38" s="18" t="n">
        <v>46.32663924</v>
      </c>
      <c r="H38" s="20" t="n">
        <v>2.01640406</v>
      </c>
      <c r="I38" s="18" t="n">
        <v>0</v>
      </c>
      <c r="J38" s="20" t="n">
        <v>0</v>
      </c>
      <c r="K38" s="18" t="n">
        <v>0.13106184</v>
      </c>
      <c r="L38" s="20" t="n">
        <v>0.13121824</v>
      </c>
      <c r="M38" s="18" t="n">
        <v>3.33789625</v>
      </c>
      <c r="N38" s="20" t="n">
        <v>0.80632777</v>
      </c>
      <c r="O38" s="18" t="n">
        <v>0</v>
      </c>
      <c r="P38" s="20" t="n">
        <v>0</v>
      </c>
      <c r="Q38" s="18" t="n">
        <v>12.66451228</v>
      </c>
      <c r="R38" s="20" t="n">
        <v>1.3846885</v>
      </c>
    </row>
    <row r="39" spans="1:18">
      <c r="A39" s="15" t="s">
        <v>597</v>
      </c>
      <c r="B39" s="17" t="n">
        <v>5895</v>
      </c>
      <c r="C39" s="18">
        <f>(5252.0/B39*100)</f>
        <v/>
      </c>
      <c r="D39" s="19" t="n">
        <v>643</v>
      </c>
      <c r="E39" s="18" t="n">
        <v>63.93397616</v>
      </c>
      <c r="F39" s="20" t="n">
        <v>2.23078401</v>
      </c>
      <c r="G39" s="18" t="n">
        <v>26.9066223</v>
      </c>
      <c r="H39" s="20" t="n">
        <v>2.32606139</v>
      </c>
      <c r="I39" s="18" t="n">
        <v>0</v>
      </c>
      <c r="J39" s="20" t="n">
        <v>0</v>
      </c>
      <c r="K39" s="18" t="n">
        <v>0</v>
      </c>
      <c r="L39" s="20" t="n">
        <v>0</v>
      </c>
      <c r="M39" s="18" t="n">
        <v>0</v>
      </c>
      <c r="N39" s="20" t="n">
        <v>0</v>
      </c>
      <c r="O39" s="18" t="n">
        <v>0</v>
      </c>
      <c r="P39" s="20" t="n">
        <v>0</v>
      </c>
      <c r="Q39" s="18" t="n">
        <v>9.159401539999999</v>
      </c>
      <c r="R39" s="20" t="n">
        <v>1.24946552</v>
      </c>
    </row>
    <row r="40" spans="1:18">
      <c r="A40" s="15" t="s">
        <v>598</v>
      </c>
      <c r="B40" s="17" t="n">
        <v>14157</v>
      </c>
      <c r="C40" s="18">
        <f>(12610.0/B40*100)</f>
        <v/>
      </c>
      <c r="D40" s="19" t="n">
        <v>1547</v>
      </c>
      <c r="E40" s="18" t="n">
        <v>50.66670445</v>
      </c>
      <c r="F40" s="20" t="n">
        <v>2.32584171</v>
      </c>
      <c r="G40" s="18" t="n">
        <v>36.88720066</v>
      </c>
      <c r="H40" s="20" t="n">
        <v>2.12003919</v>
      </c>
      <c r="I40" s="18" t="n">
        <v>0</v>
      </c>
      <c r="J40" s="20" t="n">
        <v>0</v>
      </c>
      <c r="K40" s="18" t="n">
        <v>0.3723672</v>
      </c>
      <c r="L40" s="20" t="n">
        <v>0.19324275</v>
      </c>
      <c r="M40" s="18" t="n">
        <v>0.05049257</v>
      </c>
      <c r="N40" s="20" t="n">
        <v>0.04855891</v>
      </c>
      <c r="O40" s="18" t="n">
        <v>0</v>
      </c>
      <c r="P40" s="20" t="n">
        <v>0</v>
      </c>
      <c r="Q40" s="18" t="n">
        <v>12.02323512</v>
      </c>
      <c r="R40" s="20" t="n">
        <v>1.23617906</v>
      </c>
    </row>
    <row r="41" spans="1:18">
      <c r="A41" s="15" t="s">
        <v>599</v>
      </c>
      <c r="B41" s="17" t="n">
        <v>5712</v>
      </c>
      <c r="C41" s="18">
        <f>(5060.0/B41*100)</f>
        <v/>
      </c>
      <c r="D41" s="19" t="n">
        <v>652</v>
      </c>
      <c r="E41" s="18" t="n">
        <v>63.92792397</v>
      </c>
      <c r="F41" s="20" t="n">
        <v>2.24566229</v>
      </c>
      <c r="G41" s="18" t="n">
        <v>32.51986701</v>
      </c>
      <c r="H41" s="20" t="n">
        <v>2.43395914</v>
      </c>
      <c r="I41" s="18" t="n">
        <v>0</v>
      </c>
      <c r="J41" s="20" t="n">
        <v>0</v>
      </c>
      <c r="K41" s="18" t="n">
        <v>0.20659171</v>
      </c>
      <c r="L41" s="20" t="n">
        <v>0.16889006</v>
      </c>
      <c r="M41" s="18" t="n">
        <v>0</v>
      </c>
      <c r="N41" s="20" t="n">
        <v>0</v>
      </c>
      <c r="O41" s="18" t="n">
        <v>0</v>
      </c>
      <c r="P41" s="20" t="n">
        <v>0</v>
      </c>
      <c r="Q41" s="18" t="n">
        <v>3.3456173</v>
      </c>
      <c r="R41" s="20" t="n">
        <v>0.86097441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(20969.0/B46*100)</f>
        <v/>
      </c>
      <c r="D46" s="19" t="n">
        <v>2172</v>
      </c>
      <c r="E46" s="18" t="n">
        <v>55.88154843</v>
      </c>
      <c r="F46" s="20" t="n">
        <v>1.50533694</v>
      </c>
      <c r="G46" s="18" t="n">
        <v>25.78326005</v>
      </c>
      <c r="H46" s="20" t="n">
        <v>1.24502694</v>
      </c>
      <c r="I46" s="18" t="n">
        <v>0</v>
      </c>
      <c r="J46" s="20" t="n">
        <v>0</v>
      </c>
      <c r="K46" s="18" t="n">
        <v>0.87606153</v>
      </c>
      <c r="L46" s="20" t="n">
        <v>0.26234254</v>
      </c>
      <c r="M46" s="18" t="n">
        <v>0.24052988</v>
      </c>
      <c r="N46" s="20" t="n">
        <v>0.14736005</v>
      </c>
      <c r="O46" s="18" t="n">
        <v>0</v>
      </c>
      <c r="P46" s="20" t="n">
        <v>0</v>
      </c>
      <c r="Q46" s="18" t="n">
        <v>17.21860012</v>
      </c>
      <c r="R46" s="20" t="n">
        <v>1.10596194</v>
      </c>
    </row>
    <row r="47" spans="1:18">
      <c r="A47" s="15" t="s">
        <v>606</v>
      </c>
      <c r="B47" s="17" t="n">
        <v>5928</v>
      </c>
      <c r="C47" s="18">
        <f>(5282.0/B47*100)</f>
        <v/>
      </c>
      <c r="D47" s="19" t="n">
        <v>646</v>
      </c>
      <c r="E47" s="18" t="n">
        <v>38.71568038</v>
      </c>
      <c r="F47" s="20" t="n">
        <v>2.50832956</v>
      </c>
      <c r="G47" s="18" t="n">
        <v>34.86037751</v>
      </c>
      <c r="H47" s="20" t="n">
        <v>2.32531467</v>
      </c>
      <c r="I47" s="18" t="n">
        <v>0</v>
      </c>
      <c r="J47" s="20" t="n">
        <v>0</v>
      </c>
      <c r="K47" s="18" t="n">
        <v>0.91513475</v>
      </c>
      <c r="L47" s="20" t="n">
        <v>0.40487307</v>
      </c>
      <c r="M47" s="18" t="n">
        <v>0.1599578</v>
      </c>
      <c r="N47" s="20" t="n">
        <v>0.15175051</v>
      </c>
      <c r="O47" s="18" t="n">
        <v>0</v>
      </c>
      <c r="P47" s="20" t="n">
        <v>0</v>
      </c>
      <c r="Q47" s="18" t="n">
        <v>25.34884957</v>
      </c>
      <c r="R47" s="20" t="n">
        <v>1.81844118</v>
      </c>
    </row>
    <row r="48" spans="1:18">
      <c r="A48" s="15" t="s">
        <v>607</v>
      </c>
      <c r="B48" s="17" t="n">
        <v>9841</v>
      </c>
      <c r="C48" s="18">
        <f>(8782.0/B48*100)</f>
        <v/>
      </c>
      <c r="D48" s="19" t="n">
        <v>1059</v>
      </c>
      <c r="E48" s="18" t="n">
        <v>38.42443742</v>
      </c>
      <c r="F48" s="20" t="n">
        <v>2.30526278</v>
      </c>
      <c r="G48" s="18" t="n">
        <v>50.80162886</v>
      </c>
      <c r="H48" s="20" t="n">
        <v>2.41832769</v>
      </c>
      <c r="I48" s="18" t="n">
        <v>0</v>
      </c>
      <c r="J48" s="20" t="n">
        <v>0</v>
      </c>
      <c r="K48" s="18" t="n">
        <v>0.32116293</v>
      </c>
      <c r="L48" s="20" t="n">
        <v>0.19209697</v>
      </c>
      <c r="M48" s="18" t="n">
        <v>0.0289173</v>
      </c>
      <c r="N48" s="20" t="n">
        <v>0.02214672</v>
      </c>
      <c r="O48" s="18" t="n">
        <v>0</v>
      </c>
      <c r="P48" s="20" t="n">
        <v>0</v>
      </c>
      <c r="Q48" s="18" t="n">
        <v>10.42385348</v>
      </c>
      <c r="R48" s="20" t="n">
        <v>1.24793351</v>
      </c>
    </row>
    <row r="49" spans="1:18">
      <c r="A49" s="15" t="s">
        <v>608</v>
      </c>
      <c r="B49" s="17" t="n">
        <v>11795</v>
      </c>
      <c r="C49" s="18">
        <f>(10519.0/B49*100)</f>
        <v/>
      </c>
      <c r="D49" s="19" t="n">
        <v>1276</v>
      </c>
      <c r="E49" s="18" t="n">
        <v>66.25141566000001</v>
      </c>
      <c r="F49" s="20" t="n">
        <v>1.95816991</v>
      </c>
      <c r="G49" s="18" t="n">
        <v>26.77158396</v>
      </c>
      <c r="H49" s="20" t="n">
        <v>1.71843979</v>
      </c>
      <c r="I49" s="18" t="n">
        <v>0</v>
      </c>
      <c r="J49" s="20" t="n">
        <v>0</v>
      </c>
      <c r="K49" s="18" t="n">
        <v>1.28268158</v>
      </c>
      <c r="L49" s="20" t="n">
        <v>0.60504787</v>
      </c>
      <c r="M49" s="18" t="n">
        <v>0.11677215</v>
      </c>
      <c r="N49" s="20" t="n">
        <v>0.06289626</v>
      </c>
      <c r="O49" s="18" t="n">
        <v>0</v>
      </c>
      <c r="P49" s="20" t="n">
        <v>0</v>
      </c>
      <c r="Q49" s="18" t="n">
        <v>5.57754666</v>
      </c>
      <c r="R49" s="20" t="n">
        <v>0.84203765</v>
      </c>
    </row>
    <row r="50" spans="1:18">
      <c r="A50" s="15" t="s">
        <v>609</v>
      </c>
      <c r="B50" s="17" t="n">
        <v>6866</v>
      </c>
      <c r="C50" s="18">
        <f>(5502.0/B50*100)</f>
        <v/>
      </c>
      <c r="D50" s="19" t="n">
        <v>1364</v>
      </c>
      <c r="E50" s="18" t="n">
        <v>69.03317613999999</v>
      </c>
      <c r="F50" s="20" t="n">
        <v>1.32725754</v>
      </c>
      <c r="G50" s="18" t="n">
        <v>22.321658</v>
      </c>
      <c r="H50" s="20" t="n">
        <v>1.12747729</v>
      </c>
      <c r="I50" s="18" t="n">
        <v>0</v>
      </c>
      <c r="J50" s="20" t="n">
        <v>0</v>
      </c>
      <c r="K50" s="18" t="n">
        <v>0.07906827</v>
      </c>
      <c r="L50" s="20" t="n">
        <v>0.07942436999999999</v>
      </c>
      <c r="M50" s="18" t="n">
        <v>0.15672211</v>
      </c>
      <c r="N50" s="20" t="n">
        <v>0.15456607</v>
      </c>
      <c r="O50" s="18" t="n">
        <v>0</v>
      </c>
      <c r="P50" s="20" t="n">
        <v>0</v>
      </c>
      <c r="Q50" s="18" t="n">
        <v>8.40937548</v>
      </c>
      <c r="R50" s="20" t="n">
        <v>0.83103094</v>
      </c>
    </row>
    <row r="51" spans="1:18">
      <c r="A51" s="15" t="s">
        <v>610</v>
      </c>
      <c r="B51" s="17" t="n">
        <v>5809</v>
      </c>
      <c r="C51" s="18">
        <f>(5176.0/B51*100)</f>
        <v/>
      </c>
      <c r="D51" s="19" t="n">
        <v>633</v>
      </c>
      <c r="E51" s="18" t="n">
        <v>29.44900041</v>
      </c>
      <c r="F51" s="20" t="n">
        <v>1.83758766</v>
      </c>
      <c r="G51" s="18" t="n">
        <v>49.50213226</v>
      </c>
      <c r="H51" s="20" t="n">
        <v>2.15083865</v>
      </c>
      <c r="I51" s="18" t="n">
        <v>0</v>
      </c>
      <c r="J51" s="20" t="n">
        <v>0</v>
      </c>
      <c r="K51" s="18" t="n">
        <v>0.3389607</v>
      </c>
      <c r="L51" s="20" t="n">
        <v>0.23216201</v>
      </c>
      <c r="M51" s="18" t="n">
        <v>0</v>
      </c>
      <c r="N51" s="20" t="n">
        <v>0</v>
      </c>
      <c r="O51" s="18" t="n">
        <v>0</v>
      </c>
      <c r="P51" s="20" t="n">
        <v>0</v>
      </c>
      <c r="Q51" s="18" t="n">
        <v>20.70990663</v>
      </c>
      <c r="R51" s="20" t="n">
        <v>1.44536702</v>
      </c>
    </row>
    <row r="52" spans="1:18">
      <c r="A52" s="15" t="s">
        <v>611</v>
      </c>
      <c r="B52" s="17" t="n">
        <v>5571</v>
      </c>
      <c r="C52" s="18">
        <f>(4958.0/B52*100)</f>
        <v/>
      </c>
      <c r="D52" s="19" t="n">
        <v>613</v>
      </c>
      <c r="E52" s="18" t="n">
        <v>54.91835467</v>
      </c>
      <c r="F52" s="20" t="n">
        <v>2.07771311</v>
      </c>
      <c r="G52" s="18" t="n">
        <v>24.99379902</v>
      </c>
      <c r="H52" s="20" t="n">
        <v>1.66167494</v>
      </c>
      <c r="I52" s="18" t="n">
        <v>0</v>
      </c>
      <c r="J52" s="20" t="n">
        <v>0</v>
      </c>
      <c r="K52" s="18" t="n">
        <v>0.49386303</v>
      </c>
      <c r="L52" s="20" t="n">
        <v>0.24902842</v>
      </c>
      <c r="M52" s="18" t="n">
        <v>0.22477857</v>
      </c>
      <c r="N52" s="20" t="n">
        <v>0.22624048</v>
      </c>
      <c r="O52" s="18" t="n">
        <v>0</v>
      </c>
      <c r="P52" s="20" t="n">
        <v>0</v>
      </c>
      <c r="Q52" s="18" t="n">
        <v>19.36920471</v>
      </c>
      <c r="R52" s="20" t="n">
        <v>1.82060129</v>
      </c>
    </row>
    <row r="53" spans="1:18">
      <c r="A53" s="15" t="s">
        <v>612</v>
      </c>
      <c r="B53" s="17" t="n">
        <v>4740</v>
      </c>
      <c r="C53" s="18">
        <f>(4198.0/B53*100)</f>
        <v/>
      </c>
      <c r="D53" s="19" t="n">
        <v>542</v>
      </c>
      <c r="E53" s="18" t="n">
        <v>69.20243702</v>
      </c>
      <c r="F53" s="20" t="n">
        <v>2.06274144</v>
      </c>
      <c r="G53" s="18" t="n">
        <v>3.23561878</v>
      </c>
      <c r="H53" s="20" t="n">
        <v>0.76888272</v>
      </c>
      <c r="I53" s="18" t="n">
        <v>0</v>
      </c>
      <c r="J53" s="20" t="n">
        <v>0</v>
      </c>
      <c r="K53" s="18" t="n">
        <v>10.23098788</v>
      </c>
      <c r="L53" s="20" t="n">
        <v>1.40390346</v>
      </c>
      <c r="M53" s="18" t="n">
        <v>0.56263475</v>
      </c>
      <c r="N53" s="20" t="n">
        <v>0.43432213</v>
      </c>
      <c r="O53" s="18" t="n">
        <v>0</v>
      </c>
      <c r="P53" s="20" t="n">
        <v>0</v>
      </c>
      <c r="Q53" s="18" t="n">
        <v>16.76832158</v>
      </c>
      <c r="R53" s="20" t="n">
        <v>1.90948405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(4781.0/B55*100)</f>
        <v/>
      </c>
      <c r="D55" s="19" t="n">
        <v>578</v>
      </c>
      <c r="E55" s="18" t="n">
        <v>42.3374151</v>
      </c>
      <c r="F55" s="20" t="n">
        <v>2.13563929</v>
      </c>
      <c r="G55" s="18" t="n">
        <v>47.94770525</v>
      </c>
      <c r="H55" s="20" t="n">
        <v>2.29789969</v>
      </c>
      <c r="I55" s="18" t="n">
        <v>0</v>
      </c>
      <c r="J55" s="20" t="n">
        <v>0</v>
      </c>
      <c r="K55" s="18" t="n">
        <v>0</v>
      </c>
      <c r="L55" s="20" t="n">
        <v>0</v>
      </c>
      <c r="M55" s="18" t="n">
        <v>0.1570742</v>
      </c>
      <c r="N55" s="20" t="n">
        <v>0.15862464</v>
      </c>
      <c r="O55" s="18" t="n">
        <v>0</v>
      </c>
      <c r="P55" s="20" t="n">
        <v>0</v>
      </c>
      <c r="Q55" s="18" t="n">
        <v>9.557805460000001</v>
      </c>
      <c r="R55" s="20" t="n">
        <v>1.39338141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(5821.0/B61*100)</f>
        <v/>
      </c>
      <c r="D61" s="19" t="n">
        <v>704</v>
      </c>
      <c r="E61" s="18" t="n">
        <v>30.14345114</v>
      </c>
      <c r="F61" s="20" t="n">
        <v>2.21950045</v>
      </c>
      <c r="G61" s="18" t="n">
        <v>57.6357949</v>
      </c>
      <c r="H61" s="20" t="n">
        <v>2.37009967</v>
      </c>
      <c r="I61" s="18" t="n">
        <v>0</v>
      </c>
      <c r="J61" s="20" t="n">
        <v>0</v>
      </c>
      <c r="K61" s="18" t="n">
        <v>0</v>
      </c>
      <c r="L61" s="20" t="n">
        <v>0</v>
      </c>
      <c r="M61" s="18" t="n">
        <v>0</v>
      </c>
      <c r="N61" s="20" t="n">
        <v>0</v>
      </c>
      <c r="O61" s="18" t="n">
        <v>0</v>
      </c>
      <c r="P61" s="20" t="n">
        <v>0</v>
      </c>
      <c r="Q61" s="18" t="n">
        <v>12.22075396</v>
      </c>
      <c r="R61" s="20" t="n">
        <v>1.39392241</v>
      </c>
    </row>
    <row r="62" spans="1:18">
      <c r="A62" s="15" t="s">
        <v>622</v>
      </c>
      <c r="B62" s="17" t="n">
        <v>4476</v>
      </c>
      <c r="C62" s="18">
        <f>(3998.0/B62*100)</f>
        <v/>
      </c>
      <c r="D62" s="19" t="n">
        <v>478</v>
      </c>
      <c r="E62" s="18" t="n">
        <v>51.03091266</v>
      </c>
      <c r="F62" s="20" t="n">
        <v>2.32959463</v>
      </c>
      <c r="G62" s="18" t="n">
        <v>40.79214844</v>
      </c>
      <c r="H62" s="20" t="n">
        <v>2.15860415</v>
      </c>
      <c r="I62" s="18" t="n">
        <v>0</v>
      </c>
      <c r="J62" s="20" t="n">
        <v>0</v>
      </c>
      <c r="K62" s="18" t="n">
        <v>0</v>
      </c>
      <c r="L62" s="20" t="n">
        <v>0</v>
      </c>
      <c r="M62" s="18" t="n">
        <v>0</v>
      </c>
      <c r="N62" s="20" t="n">
        <v>0</v>
      </c>
      <c r="O62" s="18" t="n">
        <v>0</v>
      </c>
      <c r="P62" s="20" t="n">
        <v>0</v>
      </c>
      <c r="Q62" s="18" t="n">
        <v>8.1769389</v>
      </c>
      <c r="R62" s="20" t="n">
        <v>1.2295909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(5051.0/B67*100)</f>
        <v/>
      </c>
      <c r="D67" s="19" t="n">
        <v>614</v>
      </c>
      <c r="E67" s="18" t="n">
        <v>33.06642695</v>
      </c>
      <c r="F67" s="20" t="n">
        <v>1.85550769</v>
      </c>
      <c r="G67" s="18" t="n">
        <v>25.81953702</v>
      </c>
      <c r="H67" s="20" t="n">
        <v>1.6700045</v>
      </c>
      <c r="I67" s="18" t="n">
        <v>0</v>
      </c>
      <c r="J67" s="20" t="n">
        <v>0</v>
      </c>
      <c r="K67" s="18" t="n">
        <v>0.13627012</v>
      </c>
      <c r="L67" s="20" t="n">
        <v>0.13615185</v>
      </c>
      <c r="M67" s="18" t="n">
        <v>0.77814735</v>
      </c>
      <c r="N67" s="20" t="n">
        <v>0.3458166</v>
      </c>
      <c r="O67" s="18" t="n">
        <v>0</v>
      </c>
      <c r="P67" s="20" t="n">
        <v>0</v>
      </c>
      <c r="Q67" s="18" t="n">
        <v>40.19961856</v>
      </c>
      <c r="R67" s="20" t="n">
        <v>1.71228476</v>
      </c>
    </row>
    <row r="68" spans="1:18">
      <c r="A68" s="15" t="s">
        <v>628</v>
      </c>
      <c r="B68" s="17" t="n">
        <v>6971</v>
      </c>
      <c r="C68" s="18">
        <f>(6246.0/B68*100)</f>
        <v/>
      </c>
      <c r="D68" s="19" t="n">
        <v>725</v>
      </c>
      <c r="E68" s="18" t="n">
        <v>73.54868561000001</v>
      </c>
      <c r="F68" s="20" t="n">
        <v>1.83174864</v>
      </c>
      <c r="G68" s="18" t="n">
        <v>16.65151216</v>
      </c>
      <c r="H68" s="20" t="n">
        <v>1.42383304</v>
      </c>
      <c r="I68" s="18" t="n">
        <v>0</v>
      </c>
      <c r="J68" s="20" t="n">
        <v>0</v>
      </c>
      <c r="K68" s="18" t="n">
        <v>0.10329529</v>
      </c>
      <c r="L68" s="20" t="n">
        <v>0.10359739</v>
      </c>
      <c r="M68" s="18" t="n">
        <v>0.24513523</v>
      </c>
      <c r="N68" s="20" t="n">
        <v>0.22318437</v>
      </c>
      <c r="O68" s="18" t="n">
        <v>0</v>
      </c>
      <c r="P68" s="20" t="n">
        <v>0</v>
      </c>
      <c r="Q68" s="18" t="n">
        <v>9.45137171</v>
      </c>
      <c r="R68" s="20" t="n">
        <v>1.13186498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(10724.0/B70*100)</f>
        <v/>
      </c>
      <c r="D70" s="19" t="n">
        <v>1359</v>
      </c>
      <c r="E70" s="18" t="n">
        <v>60.70259487</v>
      </c>
      <c r="F70" s="20" t="n">
        <v>1.32162485</v>
      </c>
      <c r="G70" s="18" t="n">
        <v>21.64034531</v>
      </c>
      <c r="H70" s="20" t="n">
        <v>1.12411273</v>
      </c>
      <c r="I70" s="18" t="n">
        <v>0</v>
      </c>
      <c r="J70" s="20" t="n">
        <v>0</v>
      </c>
      <c r="K70" s="18" t="n">
        <v>1.50937941</v>
      </c>
      <c r="L70" s="20" t="n">
        <v>0.3453542</v>
      </c>
      <c r="M70" s="18" t="n">
        <v>0.15691737</v>
      </c>
      <c r="N70" s="20" t="n">
        <v>0.11177603</v>
      </c>
      <c r="O70" s="18" t="n">
        <v>0</v>
      </c>
      <c r="P70" s="20" t="n">
        <v>0</v>
      </c>
      <c r="Q70" s="18" t="n">
        <v>15.99076304</v>
      </c>
      <c r="R70" s="20" t="n">
        <v>1.00753582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(5404.0/B72*100)</f>
        <v/>
      </c>
      <c r="D72" s="19" t="n">
        <v>632</v>
      </c>
      <c r="E72" s="18" t="n">
        <v>30.46628557</v>
      </c>
      <c r="F72" s="20" t="n">
        <v>2.04644132</v>
      </c>
      <c r="G72" s="18" t="n">
        <v>57.77896336</v>
      </c>
      <c r="H72" s="20" t="n">
        <v>2.47883614</v>
      </c>
      <c r="I72" s="18" t="n">
        <v>0</v>
      </c>
      <c r="J72" s="20" t="n">
        <v>0</v>
      </c>
      <c r="K72" s="18" t="n">
        <v>0.63867019</v>
      </c>
      <c r="L72" s="20" t="n">
        <v>0.40155082</v>
      </c>
      <c r="M72" s="18" t="n">
        <v>0</v>
      </c>
      <c r="N72" s="20" t="n">
        <v>0</v>
      </c>
      <c r="O72" s="18" t="n">
        <v>0</v>
      </c>
      <c r="P72" s="20" t="n">
        <v>0</v>
      </c>
      <c r="Q72" s="18" t="n">
        <v>11.11608088</v>
      </c>
      <c r="R72" s="20" t="n">
        <v>1.57793659</v>
      </c>
    </row>
    <row r="73" spans="1:18">
      <c r="A73" s="15" t="s">
        <v>633</v>
      </c>
      <c r="B73" s="17" t="n">
        <v>6115</v>
      </c>
      <c r="C73" s="18">
        <f>(5426.0/B73*100)</f>
        <v/>
      </c>
      <c r="D73" s="19" t="n">
        <v>689</v>
      </c>
      <c r="E73" s="18" t="n">
        <v>45.3183802</v>
      </c>
      <c r="F73" s="20" t="n">
        <v>1.9013136</v>
      </c>
      <c r="G73" s="18" t="n">
        <v>49.00883485</v>
      </c>
      <c r="H73" s="20" t="n">
        <v>2.06936671</v>
      </c>
      <c r="I73" s="18" t="n">
        <v>0</v>
      </c>
      <c r="J73" s="20" t="n">
        <v>0</v>
      </c>
      <c r="K73" s="18" t="n">
        <v>0.23351515</v>
      </c>
      <c r="L73" s="20" t="n">
        <v>0.22340667</v>
      </c>
      <c r="M73" s="18" t="n">
        <v>0</v>
      </c>
      <c r="N73" s="20" t="n">
        <v>0</v>
      </c>
      <c r="O73" s="18" t="n">
        <v>0</v>
      </c>
      <c r="P73" s="20" t="n">
        <v>0</v>
      </c>
      <c r="Q73" s="18" t="n">
        <v>5.4392698</v>
      </c>
      <c r="R73" s="20" t="n">
        <v>0.79623012</v>
      </c>
    </row>
    <row r="74" spans="1:18">
      <c r="A74" s="15" t="s">
        <v>634</v>
      </c>
      <c r="B74" s="17" t="n">
        <v>7708</v>
      </c>
      <c r="C74" s="18">
        <f>(6865.0/B74*100)</f>
        <v/>
      </c>
      <c r="D74" s="19" t="n">
        <v>843</v>
      </c>
      <c r="E74" s="18" t="n">
        <v>26.90988131</v>
      </c>
      <c r="F74" s="20" t="n">
        <v>1.63114934</v>
      </c>
      <c r="G74" s="18" t="n">
        <v>65.57162046000001</v>
      </c>
      <c r="H74" s="20" t="n">
        <v>1.66613201</v>
      </c>
      <c r="I74" s="18" t="n">
        <v>0</v>
      </c>
      <c r="J74" s="20" t="n">
        <v>0</v>
      </c>
      <c r="K74" s="18" t="n">
        <v>0.15688412</v>
      </c>
      <c r="L74" s="20" t="n">
        <v>0.15745329</v>
      </c>
      <c r="M74" s="18" t="n">
        <v>0</v>
      </c>
      <c r="N74" s="20" t="n">
        <v>0</v>
      </c>
      <c r="O74" s="18" t="n">
        <v>0</v>
      </c>
      <c r="P74" s="20" t="n">
        <v>0</v>
      </c>
      <c r="Q74" s="18" t="n">
        <v>7.36161412</v>
      </c>
      <c r="R74" s="20" t="n">
        <v>0.92807923</v>
      </c>
    </row>
    <row r="75" spans="1:18">
      <c r="A75" s="15" t="s">
        <v>635</v>
      </c>
      <c r="B75" s="17" t="n">
        <v>8249</v>
      </c>
      <c r="C75" s="18">
        <f>(7382.0/B75*100)</f>
        <v/>
      </c>
      <c r="D75" s="19" t="n">
        <v>867</v>
      </c>
      <c r="E75" s="18" t="n">
        <v>80.924457</v>
      </c>
      <c r="F75" s="20" t="n">
        <v>1.50495702</v>
      </c>
      <c r="G75" s="18" t="n">
        <v>15.22001043</v>
      </c>
      <c r="H75" s="20" t="n">
        <v>1.31644425</v>
      </c>
      <c r="I75" s="18" t="n">
        <v>0</v>
      </c>
      <c r="J75" s="20" t="n">
        <v>0</v>
      </c>
      <c r="K75" s="18" t="n">
        <v>0</v>
      </c>
      <c r="L75" s="20" t="n">
        <v>0</v>
      </c>
      <c r="M75" s="18" t="n">
        <v>0.16312138</v>
      </c>
      <c r="N75" s="20" t="n">
        <v>0.16307462</v>
      </c>
      <c r="O75" s="18" t="n">
        <v>0</v>
      </c>
      <c r="P75" s="20" t="n">
        <v>0</v>
      </c>
      <c r="Q75" s="18" t="n">
        <v>3.69241119</v>
      </c>
      <c r="R75" s="20" t="n">
        <v>0.82145181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(4839.0/B77*100)</f>
        <v/>
      </c>
      <c r="D77" s="19" t="n">
        <v>536</v>
      </c>
      <c r="E77" s="18" t="n">
        <v>46.82694725</v>
      </c>
      <c r="F77" s="20" t="n">
        <v>2.14959066</v>
      </c>
      <c r="G77" s="18" t="n">
        <v>16.29645514</v>
      </c>
      <c r="H77" s="20" t="n">
        <v>1.52909868</v>
      </c>
      <c r="I77" s="18" t="n">
        <v>0</v>
      </c>
      <c r="J77" s="20" t="n">
        <v>0</v>
      </c>
      <c r="K77" s="18" t="n">
        <v>2.10757164</v>
      </c>
      <c r="L77" s="20" t="n">
        <v>0.55556067</v>
      </c>
      <c r="M77" s="18" t="n">
        <v>0.94623273</v>
      </c>
      <c r="N77" s="20" t="n">
        <v>0.41335894</v>
      </c>
      <c r="O77" s="18" t="n">
        <v>0</v>
      </c>
      <c r="P77" s="20" t="n">
        <v>0</v>
      </c>
      <c r="Q77" s="18" t="n">
        <v>33.82279323</v>
      </c>
      <c r="R77" s="20" t="n">
        <v>2.00230017</v>
      </c>
    </row>
    <row r="78" spans="1:18">
      <c r="A78" s="15" t="s">
        <v>638</v>
      </c>
      <c r="B78" s="17" t="n">
        <v>14167</v>
      </c>
      <c r="C78" s="18">
        <f>(12615.0/B78*100)</f>
        <v/>
      </c>
      <c r="D78" s="19" t="n">
        <v>1552</v>
      </c>
      <c r="E78" s="18" t="n">
        <v>62.9246939</v>
      </c>
      <c r="F78" s="20" t="n">
        <v>1.61008352</v>
      </c>
      <c r="G78" s="18" t="n">
        <v>27.26396645</v>
      </c>
      <c r="H78" s="20" t="n">
        <v>1.40746279</v>
      </c>
      <c r="I78" s="18" t="n">
        <v>0</v>
      </c>
      <c r="J78" s="20" t="n">
        <v>0</v>
      </c>
      <c r="K78" s="18" t="n">
        <v>1.23754688</v>
      </c>
      <c r="L78" s="20" t="n">
        <v>0.34680879</v>
      </c>
      <c r="M78" s="18" t="n">
        <v>0.20998834</v>
      </c>
      <c r="N78" s="20" t="n">
        <v>0.12962845</v>
      </c>
      <c r="O78" s="18" t="n">
        <v>0</v>
      </c>
      <c r="P78" s="20" t="n">
        <v>0</v>
      </c>
      <c r="Q78" s="18" t="n">
        <v>8.36380443</v>
      </c>
      <c r="R78" s="20" t="n">
        <v>0.7936578399999999</v>
      </c>
    </row>
    <row r="79" spans="1:18">
      <c r="A79" s="15" t="s">
        <v>639</v>
      </c>
      <c r="B79" s="17" t="n">
        <v>6062</v>
      </c>
      <c r="C79" s="18">
        <f>(5392.0/B79*100)</f>
        <v/>
      </c>
      <c r="D79" s="19" t="n">
        <v>670</v>
      </c>
      <c r="E79" s="18" t="n">
        <v>43.74473025</v>
      </c>
      <c r="F79" s="20" t="n">
        <v>1.94294656</v>
      </c>
      <c r="G79" s="18" t="n">
        <v>23.5290194</v>
      </c>
      <c r="H79" s="20" t="n">
        <v>1.8423458</v>
      </c>
      <c r="I79" s="18" t="n">
        <v>0</v>
      </c>
      <c r="J79" s="20" t="n">
        <v>0</v>
      </c>
      <c r="K79" s="18" t="n">
        <v>0.5852705499999999</v>
      </c>
      <c r="L79" s="20" t="n">
        <v>0.29580075</v>
      </c>
      <c r="M79" s="18" t="n">
        <v>0</v>
      </c>
      <c r="N79" s="20" t="n">
        <v>0</v>
      </c>
      <c r="O79" s="18" t="n">
        <v>0</v>
      </c>
      <c r="P79" s="20" t="n">
        <v>0</v>
      </c>
      <c r="Q79" s="18" t="n">
        <v>32.1409798</v>
      </c>
      <c r="R79" s="20" t="n">
        <v>1.86405302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(28774.0/B82*100)</f>
        <v/>
      </c>
      <c r="D82" s="19" t="n">
        <v>3556</v>
      </c>
      <c r="E82" s="18" t="n">
        <v>42.87826552</v>
      </c>
      <c r="F82" s="20" t="n">
        <v>1.27937013</v>
      </c>
      <c r="G82" s="18" t="n">
        <v>45.04342464</v>
      </c>
      <c r="H82" s="20" t="n">
        <v>1.30641231</v>
      </c>
      <c r="I82" s="18" t="n">
        <v>0</v>
      </c>
      <c r="J82" s="20" t="n">
        <v>0</v>
      </c>
      <c r="K82" s="18" t="n">
        <v>0.20423286</v>
      </c>
      <c r="L82" s="20" t="n">
        <v>0.12250592</v>
      </c>
      <c r="M82" s="18" t="n">
        <v>0.07654339</v>
      </c>
      <c r="N82" s="20" t="n">
        <v>0.06196904</v>
      </c>
      <c r="O82" s="18" t="n">
        <v>0</v>
      </c>
      <c r="P82" s="20" t="n">
        <v>0</v>
      </c>
      <c r="Q82" s="18" t="n">
        <v>11.79753358</v>
      </c>
      <c r="R82" s="20" t="n">
        <v>0.9367661900000001</v>
      </c>
    </row>
    <row r="83" spans="1:18">
      <c r="A83" s="15" t="s">
        <v>643</v>
      </c>
      <c r="B83" s="17" t="n">
        <v>1652</v>
      </c>
      <c r="C83" s="18">
        <f>(1438.0/B83*100)</f>
        <v/>
      </c>
      <c r="D83" s="19" t="n">
        <v>214</v>
      </c>
      <c r="E83" s="18" t="n">
        <v>49.22891799</v>
      </c>
      <c r="F83" s="20" t="n">
        <v>4.50690711</v>
      </c>
      <c r="G83" s="18" t="n">
        <v>47.96496356</v>
      </c>
      <c r="H83" s="20" t="n">
        <v>4.89941076</v>
      </c>
      <c r="I83" s="18" t="n">
        <v>0</v>
      </c>
      <c r="J83" s="20" t="n">
        <v>0</v>
      </c>
      <c r="K83" s="18" t="n">
        <v>0</v>
      </c>
      <c r="L83" s="20" t="n">
        <v>0</v>
      </c>
      <c r="M83" s="18" t="n">
        <v>0</v>
      </c>
      <c r="N83" s="20" t="n">
        <v>0</v>
      </c>
      <c r="O83" s="18" t="n">
        <v>0</v>
      </c>
      <c r="P83" s="20" t="n">
        <v>0</v>
      </c>
      <c r="Q83" s="18" t="n">
        <v>2.80611845</v>
      </c>
      <c r="R83" s="20" t="n">
        <v>1.28478622</v>
      </c>
    </row>
    <row r="84" spans="1:18">
      <c r="A84" s="23" t="s">
        <v>644</v>
      </c>
      <c r="B84" s="24" t="n">
        <v>1887</v>
      </c>
      <c r="C84" s="25">
        <f>(1651.0/B84*100)</f>
        <v/>
      </c>
      <c r="D84" s="19" t="n">
        <v>236</v>
      </c>
      <c r="E84" s="18" t="n">
        <v>62.92525016</v>
      </c>
      <c r="F84" s="20" t="n">
        <v>3.47191219</v>
      </c>
      <c r="G84" s="18" t="n">
        <v>36.09551909</v>
      </c>
      <c r="H84" s="20" t="n">
        <v>3.37321252</v>
      </c>
      <c r="I84" s="18" t="n">
        <v>0</v>
      </c>
      <c r="J84" s="20" t="n">
        <v>0</v>
      </c>
      <c r="K84" s="18" t="n">
        <v>0</v>
      </c>
      <c r="L84" s="20" t="n">
        <v>0</v>
      </c>
      <c r="M84" s="18" t="n">
        <v>0</v>
      </c>
      <c r="N84" s="20" t="n">
        <v>0</v>
      </c>
      <c r="O84" s="18" t="n">
        <v>0</v>
      </c>
      <c r="P84" s="20" t="n">
        <v>0</v>
      </c>
      <c r="Q84" s="18" t="n">
        <v>0.97923075</v>
      </c>
      <c r="R84" s="20" t="n">
        <v>0.57807485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(12962.0/B7*100)</f>
        <v/>
      </c>
      <c r="D7" s="19" t="n">
        <v>1568</v>
      </c>
      <c r="E7" s="18" t="n">
        <v>13.67122565</v>
      </c>
      <c r="F7" s="20" t="n">
        <v>1.06596857</v>
      </c>
      <c r="G7" s="18" t="n">
        <v>81.38895076999999</v>
      </c>
      <c r="H7" s="20" t="n">
        <v>1.21264462</v>
      </c>
      <c r="I7" s="18" t="n">
        <v>0</v>
      </c>
      <c r="J7" s="20" t="n">
        <v>0</v>
      </c>
      <c r="K7" s="18" t="n">
        <v>0.03281102</v>
      </c>
      <c r="L7" s="20" t="n">
        <v>0.02331453</v>
      </c>
      <c r="M7" s="18" t="n">
        <v>0.10465004</v>
      </c>
      <c r="N7" s="20" t="n">
        <v>0.08949165000000001</v>
      </c>
      <c r="O7" s="18" t="n">
        <v>0</v>
      </c>
      <c r="P7" s="20" t="n">
        <v>0</v>
      </c>
      <c r="Q7" s="18" t="n">
        <v>4.80236252</v>
      </c>
      <c r="R7" s="20" t="n">
        <v>0.75659499</v>
      </c>
    </row>
    <row r="8" spans="1:18">
      <c r="A8" s="15" t="s">
        <v>566</v>
      </c>
      <c r="B8" s="17" t="n">
        <v>7007</v>
      </c>
      <c r="C8" s="18">
        <f>(6225.0/B8*100)</f>
        <v/>
      </c>
      <c r="D8" s="19" t="n">
        <v>782</v>
      </c>
      <c r="E8" s="18" t="n">
        <v>13.40384135</v>
      </c>
      <c r="F8" s="20" t="n">
        <v>1.53163107</v>
      </c>
      <c r="G8" s="18" t="n">
        <v>80.03476486</v>
      </c>
      <c r="H8" s="20" t="n">
        <v>1.90148748</v>
      </c>
      <c r="I8" s="18" t="n">
        <v>0</v>
      </c>
      <c r="J8" s="20" t="n">
        <v>0</v>
      </c>
      <c r="K8" s="18" t="n">
        <v>0.15132865</v>
      </c>
      <c r="L8" s="20" t="n">
        <v>0.23216606</v>
      </c>
      <c r="M8" s="18" t="n">
        <v>0</v>
      </c>
      <c r="N8" s="20" t="n">
        <v>0</v>
      </c>
      <c r="O8" s="18" t="n">
        <v>0</v>
      </c>
      <c r="P8" s="20" t="n">
        <v>0</v>
      </c>
      <c r="Q8" s="18" t="n">
        <v>6.41006514</v>
      </c>
      <c r="R8" s="20" t="n">
        <v>1.14462509</v>
      </c>
    </row>
    <row r="9" spans="1:18">
      <c r="A9" s="15" t="s">
        <v>567</v>
      </c>
      <c r="B9" s="17" t="n">
        <v>9651</v>
      </c>
      <c r="C9" s="18">
        <f>(8644.0/B9*100)</f>
        <v/>
      </c>
      <c r="D9" s="19" t="n">
        <v>1007</v>
      </c>
      <c r="E9" s="18" t="n">
        <v>22.14490543</v>
      </c>
      <c r="F9" s="20" t="n">
        <v>1.46654859</v>
      </c>
      <c r="G9" s="18" t="n">
        <v>71.27983184999999</v>
      </c>
      <c r="H9" s="20" t="n">
        <v>1.52001956</v>
      </c>
      <c r="I9" s="18" t="n">
        <v>0</v>
      </c>
      <c r="J9" s="20" t="n">
        <v>0</v>
      </c>
      <c r="K9" s="18" t="n">
        <v>0.09273480000000001</v>
      </c>
      <c r="L9" s="20" t="n">
        <v>0.09248966</v>
      </c>
      <c r="M9" s="18" t="n">
        <v>0.48286167</v>
      </c>
      <c r="N9" s="20" t="n">
        <v>0.15448009</v>
      </c>
      <c r="O9" s="18" t="n">
        <v>0</v>
      </c>
      <c r="P9" s="20" t="n">
        <v>0</v>
      </c>
      <c r="Q9" s="18" t="n">
        <v>5.99966625</v>
      </c>
      <c r="R9" s="20" t="n">
        <v>0.74742821</v>
      </c>
    </row>
    <row r="10" spans="1:18">
      <c r="A10" s="15" t="s">
        <v>568</v>
      </c>
      <c r="B10" s="17" t="n">
        <v>20058</v>
      </c>
      <c r="C10" s="18">
        <f>(17891.0/B10*100)</f>
        <v/>
      </c>
      <c r="D10" s="19" t="n">
        <v>2167</v>
      </c>
      <c r="E10" s="18" t="n">
        <v>15.17444739</v>
      </c>
      <c r="F10" s="20" t="n">
        <v>0.93792445</v>
      </c>
      <c r="G10" s="18" t="n">
        <v>82.21013315</v>
      </c>
      <c r="H10" s="20" t="n">
        <v>1.04917891</v>
      </c>
      <c r="I10" s="18" t="n">
        <v>0</v>
      </c>
      <c r="J10" s="20" t="n">
        <v>0</v>
      </c>
      <c r="K10" s="18" t="n">
        <v>0.21044299</v>
      </c>
      <c r="L10" s="20" t="n">
        <v>0.10274398</v>
      </c>
      <c r="M10" s="18" t="n">
        <v>0</v>
      </c>
      <c r="N10" s="20" t="n">
        <v>0</v>
      </c>
      <c r="O10" s="18" t="n">
        <v>0</v>
      </c>
      <c r="P10" s="20" t="n">
        <v>0</v>
      </c>
      <c r="Q10" s="18" t="n">
        <v>2.40497647</v>
      </c>
      <c r="R10" s="20" t="n">
        <v>0.44419699</v>
      </c>
    </row>
    <row r="11" spans="1:18">
      <c r="A11" s="15" t="s">
        <v>569</v>
      </c>
      <c r="B11" s="17" t="n">
        <v>7053</v>
      </c>
      <c r="C11" s="18">
        <f>(6277.0/B11*100)</f>
        <v/>
      </c>
      <c r="D11" s="19" t="n">
        <v>776</v>
      </c>
      <c r="E11" s="18" t="n">
        <v>11.63402746</v>
      </c>
      <c r="F11" s="20" t="n">
        <v>1.55524925</v>
      </c>
      <c r="G11" s="18" t="n">
        <v>81.82332448</v>
      </c>
      <c r="H11" s="20" t="n">
        <v>1.98091492</v>
      </c>
      <c r="I11" s="18" t="n">
        <v>0</v>
      </c>
      <c r="J11" s="20" t="n">
        <v>0</v>
      </c>
      <c r="K11" s="18" t="n">
        <v>0.84712774</v>
      </c>
      <c r="L11" s="20" t="n">
        <v>0.35083871</v>
      </c>
      <c r="M11" s="18" t="n">
        <v>0</v>
      </c>
      <c r="N11" s="20" t="n">
        <v>0</v>
      </c>
      <c r="O11" s="18" t="n">
        <v>0</v>
      </c>
      <c r="P11" s="20" t="n">
        <v>0</v>
      </c>
      <c r="Q11" s="18" t="n">
        <v>5.69552032</v>
      </c>
      <c r="R11" s="20" t="n">
        <v>1.14842394</v>
      </c>
    </row>
    <row r="12" spans="1:18">
      <c r="A12" s="15" t="s">
        <v>570</v>
      </c>
      <c r="B12" s="17" t="n">
        <v>6894</v>
      </c>
      <c r="C12" s="18">
        <f>(6145.0/B12*100)</f>
        <v/>
      </c>
      <c r="D12" s="19" t="n">
        <v>749</v>
      </c>
      <c r="E12" s="18" t="n">
        <v>13.6102051</v>
      </c>
      <c r="F12" s="20" t="n">
        <v>1.58853176</v>
      </c>
      <c r="G12" s="18" t="n">
        <v>78.07384295</v>
      </c>
      <c r="H12" s="20" t="n">
        <v>1.65552065</v>
      </c>
      <c r="I12" s="18" t="n">
        <v>0</v>
      </c>
      <c r="J12" s="20" t="n">
        <v>0</v>
      </c>
      <c r="K12" s="18" t="n">
        <v>0.20581487</v>
      </c>
      <c r="L12" s="20" t="n">
        <v>0.20572775</v>
      </c>
      <c r="M12" s="18" t="n">
        <v>0.07862682</v>
      </c>
      <c r="N12" s="20" t="n">
        <v>0.10553699</v>
      </c>
      <c r="O12" s="18" t="n">
        <v>0</v>
      </c>
      <c r="P12" s="20" t="n">
        <v>0</v>
      </c>
      <c r="Q12" s="18" t="n">
        <v>8.03151025</v>
      </c>
      <c r="R12" s="20" t="n">
        <v>1.22846144</v>
      </c>
    </row>
    <row r="13" spans="1:18">
      <c r="A13" s="15" t="s">
        <v>571</v>
      </c>
      <c r="B13" s="17" t="n">
        <v>7161</v>
      </c>
      <c r="C13" s="18">
        <f>(6423.0/B13*100)</f>
        <v/>
      </c>
      <c r="D13" s="19" t="n">
        <v>738</v>
      </c>
      <c r="E13" s="18" t="n">
        <v>11.42838448</v>
      </c>
      <c r="F13" s="20" t="n">
        <v>1.20040653</v>
      </c>
      <c r="G13" s="18" t="n">
        <v>84.05017501</v>
      </c>
      <c r="H13" s="20" t="n">
        <v>1.42854482</v>
      </c>
      <c r="I13" s="18" t="n">
        <v>0</v>
      </c>
      <c r="J13" s="20" t="n">
        <v>0</v>
      </c>
      <c r="K13" s="18" t="n">
        <v>0.43845114</v>
      </c>
      <c r="L13" s="20" t="n">
        <v>0.24657422</v>
      </c>
      <c r="M13" s="18" t="n">
        <v>0</v>
      </c>
      <c r="N13" s="20" t="n">
        <v>0</v>
      </c>
      <c r="O13" s="18" t="n">
        <v>0</v>
      </c>
      <c r="P13" s="20" t="n">
        <v>0</v>
      </c>
      <c r="Q13" s="18" t="n">
        <v>4.08298936</v>
      </c>
      <c r="R13" s="20" t="n">
        <v>0.91675865</v>
      </c>
    </row>
    <row r="14" spans="1:18">
      <c r="A14" s="15" t="s">
        <v>572</v>
      </c>
      <c r="B14" s="17" t="n">
        <v>5587</v>
      </c>
      <c r="C14" s="18">
        <f>(4995.0/B14*100)</f>
        <v/>
      </c>
      <c r="D14" s="19" t="n">
        <v>592</v>
      </c>
      <c r="E14" s="18" t="n">
        <v>12.06821707</v>
      </c>
      <c r="F14" s="20" t="n">
        <v>1.49498057</v>
      </c>
      <c r="G14" s="18" t="n">
        <v>85.50734724</v>
      </c>
      <c r="H14" s="20" t="n">
        <v>1.51174666</v>
      </c>
      <c r="I14" s="18" t="n">
        <v>0</v>
      </c>
      <c r="J14" s="20" t="n">
        <v>0</v>
      </c>
      <c r="K14" s="18" t="n">
        <v>0.41773356</v>
      </c>
      <c r="L14" s="20" t="n">
        <v>0.40421579</v>
      </c>
      <c r="M14" s="18" t="n">
        <v>0</v>
      </c>
      <c r="N14" s="20" t="n">
        <v>0</v>
      </c>
      <c r="O14" s="18" t="n">
        <v>0</v>
      </c>
      <c r="P14" s="20" t="n">
        <v>0</v>
      </c>
      <c r="Q14" s="18" t="n">
        <v>2.00670213</v>
      </c>
      <c r="R14" s="20" t="n">
        <v>0.51996285</v>
      </c>
    </row>
    <row r="15" spans="1:18">
      <c r="A15" s="15" t="s">
        <v>573</v>
      </c>
      <c r="B15" s="17" t="n">
        <v>5882</v>
      </c>
      <c r="C15" s="18">
        <f>(5222.0/B15*100)</f>
        <v/>
      </c>
      <c r="D15" s="19" t="n">
        <v>660</v>
      </c>
      <c r="E15" s="18" t="n">
        <v>4.69421752</v>
      </c>
      <c r="F15" s="20" t="n">
        <v>0.9187965</v>
      </c>
      <c r="G15" s="18" t="n">
        <v>92.66081729</v>
      </c>
      <c r="H15" s="20" t="n">
        <v>1.1171638</v>
      </c>
      <c r="I15" s="18" t="n">
        <v>0</v>
      </c>
      <c r="J15" s="20" t="n">
        <v>0</v>
      </c>
      <c r="K15" s="18" t="n">
        <v>0</v>
      </c>
      <c r="L15" s="20" t="n">
        <v>0</v>
      </c>
      <c r="M15" s="18" t="n">
        <v>0</v>
      </c>
      <c r="N15" s="20" t="n">
        <v>0</v>
      </c>
      <c r="O15" s="18" t="n">
        <v>0</v>
      </c>
      <c r="P15" s="20" t="n">
        <v>0</v>
      </c>
      <c r="Q15" s="18" t="n">
        <v>2.64496519</v>
      </c>
      <c r="R15" s="20" t="n">
        <v>0.6846382</v>
      </c>
    </row>
    <row r="16" spans="1:18">
      <c r="A16" s="15" t="s">
        <v>574</v>
      </c>
      <c r="B16" s="17" t="n">
        <v>6108</v>
      </c>
      <c r="C16" s="18">
        <f>(5470.0/B16*100)</f>
        <v/>
      </c>
      <c r="D16" s="19" t="n">
        <v>638</v>
      </c>
      <c r="E16" s="18" t="n">
        <v>15.5238766</v>
      </c>
      <c r="F16" s="20" t="n">
        <v>1.37096897</v>
      </c>
      <c r="G16" s="18" t="n">
        <v>75.06469860999999</v>
      </c>
      <c r="H16" s="20" t="n">
        <v>1.76889954</v>
      </c>
      <c r="I16" s="18" t="n">
        <v>0</v>
      </c>
      <c r="J16" s="20" t="n">
        <v>0</v>
      </c>
      <c r="K16" s="18" t="n">
        <v>0</v>
      </c>
      <c r="L16" s="20" t="n">
        <v>0</v>
      </c>
      <c r="M16" s="18" t="n">
        <v>0</v>
      </c>
      <c r="N16" s="20" t="n">
        <v>0</v>
      </c>
      <c r="O16" s="18" t="n">
        <v>0</v>
      </c>
      <c r="P16" s="20" t="n">
        <v>0</v>
      </c>
      <c r="Q16" s="18" t="n">
        <v>9.41142479</v>
      </c>
      <c r="R16" s="20" t="n">
        <v>1.36871472</v>
      </c>
    </row>
    <row r="17" spans="1:18">
      <c r="A17" s="15" t="s">
        <v>575</v>
      </c>
      <c r="B17" s="17" t="n">
        <v>6504</v>
      </c>
      <c r="C17" s="18">
        <f>(5818.0/B17*100)</f>
        <v/>
      </c>
      <c r="D17" s="19" t="n">
        <v>686</v>
      </c>
      <c r="E17" s="18" t="n">
        <v>11.79096867</v>
      </c>
      <c r="F17" s="20" t="n">
        <v>1.46808463</v>
      </c>
      <c r="G17" s="18" t="n">
        <v>84.22580179000001</v>
      </c>
      <c r="H17" s="20" t="n">
        <v>1.45574895</v>
      </c>
      <c r="I17" s="18" t="n">
        <v>0</v>
      </c>
      <c r="J17" s="20" t="n">
        <v>0</v>
      </c>
      <c r="K17" s="18" t="n">
        <v>0.30440514</v>
      </c>
      <c r="L17" s="20" t="n">
        <v>0.21723762</v>
      </c>
      <c r="M17" s="18" t="n">
        <v>0</v>
      </c>
      <c r="N17" s="20" t="n">
        <v>0</v>
      </c>
      <c r="O17" s="18" t="n">
        <v>0</v>
      </c>
      <c r="P17" s="20" t="n">
        <v>0</v>
      </c>
      <c r="Q17" s="18" t="n">
        <v>3.6788244</v>
      </c>
      <c r="R17" s="20" t="n">
        <v>0.7475136</v>
      </c>
    </row>
    <row r="18" spans="1:18">
      <c r="A18" s="15" t="s">
        <v>576</v>
      </c>
      <c r="B18" s="17" t="n">
        <v>5532</v>
      </c>
      <c r="C18" s="18">
        <f>(4942.0/B18*100)</f>
        <v/>
      </c>
      <c r="D18" s="19" t="n">
        <v>590</v>
      </c>
      <c r="E18" s="18" t="n">
        <v>19.16875979</v>
      </c>
      <c r="F18" s="20" t="n">
        <v>1.77707048</v>
      </c>
      <c r="G18" s="18" t="n">
        <v>69.94445425000001</v>
      </c>
      <c r="H18" s="20" t="n">
        <v>2.61386928</v>
      </c>
      <c r="I18" s="18" t="n">
        <v>0</v>
      </c>
      <c r="J18" s="20" t="n">
        <v>0</v>
      </c>
      <c r="K18" s="18" t="n">
        <v>0.19888097</v>
      </c>
      <c r="L18" s="20" t="n">
        <v>0.19729709</v>
      </c>
      <c r="M18" s="18" t="n">
        <v>0</v>
      </c>
      <c r="N18" s="20" t="n">
        <v>0</v>
      </c>
      <c r="O18" s="18" t="n">
        <v>0</v>
      </c>
      <c r="P18" s="20" t="n">
        <v>0</v>
      </c>
      <c r="Q18" s="18" t="n">
        <v>10.68790499</v>
      </c>
      <c r="R18" s="20" t="n">
        <v>1.765238</v>
      </c>
    </row>
    <row r="19" spans="1:18">
      <c r="A19" s="15" t="s">
        <v>577</v>
      </c>
      <c r="B19" s="17" t="n">
        <v>5658</v>
      </c>
      <c r="C19" s="18">
        <f>(5025.0/B19*100)</f>
        <v/>
      </c>
      <c r="D19" s="19" t="n">
        <v>633</v>
      </c>
      <c r="E19" s="18" t="n">
        <v>13.70764506</v>
      </c>
      <c r="F19" s="20" t="n">
        <v>1.47295136</v>
      </c>
      <c r="G19" s="18" t="n">
        <v>78.67499180999999</v>
      </c>
      <c r="H19" s="20" t="n">
        <v>1.67457238</v>
      </c>
      <c r="I19" s="18" t="n">
        <v>0</v>
      </c>
      <c r="J19" s="20" t="n">
        <v>0</v>
      </c>
      <c r="K19" s="18" t="n">
        <v>0</v>
      </c>
      <c r="L19" s="20" t="n">
        <v>0</v>
      </c>
      <c r="M19" s="18" t="n">
        <v>0.14787821</v>
      </c>
      <c r="N19" s="20" t="n">
        <v>0.14825929</v>
      </c>
      <c r="O19" s="18" t="n">
        <v>0</v>
      </c>
      <c r="P19" s="20" t="n">
        <v>0</v>
      </c>
      <c r="Q19" s="18" t="n">
        <v>7.46948492</v>
      </c>
      <c r="R19" s="20" t="n">
        <v>1.0300039</v>
      </c>
    </row>
    <row r="20" spans="1:18">
      <c r="A20" s="15" t="s">
        <v>578</v>
      </c>
      <c r="B20" s="17" t="n">
        <v>3371</v>
      </c>
      <c r="C20" s="18">
        <f>(3029.0/B20*100)</f>
        <v/>
      </c>
      <c r="D20" s="19" t="n">
        <v>342</v>
      </c>
      <c r="E20" s="18" t="n">
        <v>19.43165774</v>
      </c>
      <c r="F20" s="20" t="n">
        <v>2.14286686</v>
      </c>
      <c r="G20" s="18" t="n">
        <v>72.11743364</v>
      </c>
      <c r="H20" s="20" t="n">
        <v>2.60705256</v>
      </c>
      <c r="I20" s="18" t="n">
        <v>0</v>
      </c>
      <c r="J20" s="20" t="n">
        <v>0</v>
      </c>
      <c r="K20" s="18" t="n">
        <v>0.5029805899999999</v>
      </c>
      <c r="L20" s="20" t="n">
        <v>0.35793201</v>
      </c>
      <c r="M20" s="18" t="n">
        <v>0.44732214</v>
      </c>
      <c r="N20" s="20" t="n">
        <v>0.44067493</v>
      </c>
      <c r="O20" s="18" t="n">
        <v>0</v>
      </c>
      <c r="P20" s="20" t="n">
        <v>0</v>
      </c>
      <c r="Q20" s="18" t="n">
        <v>7.50060589</v>
      </c>
      <c r="R20" s="20" t="n">
        <v>1.54119156</v>
      </c>
    </row>
    <row r="21" spans="1:18">
      <c r="A21" s="15" t="s">
        <v>579</v>
      </c>
      <c r="B21" s="17" t="n">
        <v>5741</v>
      </c>
      <c r="C21" s="18">
        <f>(5087.0/B21*100)</f>
        <v/>
      </c>
      <c r="D21" s="19" t="n">
        <v>654</v>
      </c>
      <c r="E21" s="18" t="n">
        <v>8.463904550000001</v>
      </c>
      <c r="F21" s="20" t="n">
        <v>1.14166437</v>
      </c>
      <c r="G21" s="18" t="n">
        <v>87.42392184000001</v>
      </c>
      <c r="H21" s="20" t="n">
        <v>1.3296083</v>
      </c>
      <c r="I21" s="18" t="n">
        <v>0</v>
      </c>
      <c r="J21" s="20" t="n">
        <v>0</v>
      </c>
      <c r="K21" s="18" t="n">
        <v>0</v>
      </c>
      <c r="L21" s="20" t="n">
        <v>0</v>
      </c>
      <c r="M21" s="18" t="n">
        <v>0</v>
      </c>
      <c r="N21" s="20" t="n">
        <v>0</v>
      </c>
      <c r="O21" s="18" t="n">
        <v>0</v>
      </c>
      <c r="P21" s="20" t="n">
        <v>0</v>
      </c>
      <c r="Q21" s="18" t="n">
        <v>4.11217361</v>
      </c>
      <c r="R21" s="20" t="n">
        <v>0.74580249</v>
      </c>
    </row>
    <row r="22" spans="1:18">
      <c r="A22" s="15" t="s">
        <v>580</v>
      </c>
      <c r="B22" s="17" t="n">
        <v>6598</v>
      </c>
      <c r="C22" s="18">
        <f>(5877.0/B22*100)</f>
        <v/>
      </c>
      <c r="D22" s="19" t="n">
        <v>721</v>
      </c>
      <c r="E22" s="18" t="n">
        <v>24.81714525</v>
      </c>
      <c r="F22" s="20" t="n">
        <v>2.06917677</v>
      </c>
      <c r="G22" s="18" t="n">
        <v>61.19457458</v>
      </c>
      <c r="H22" s="20" t="n">
        <v>2.4254228</v>
      </c>
      <c r="I22" s="18" t="n">
        <v>0</v>
      </c>
      <c r="J22" s="20" t="n">
        <v>0</v>
      </c>
      <c r="K22" s="18" t="n">
        <v>0.53208371</v>
      </c>
      <c r="L22" s="20" t="n">
        <v>0.24943987</v>
      </c>
      <c r="M22" s="18" t="n">
        <v>0</v>
      </c>
      <c r="N22" s="20" t="n">
        <v>0</v>
      </c>
      <c r="O22" s="18" t="n">
        <v>0</v>
      </c>
      <c r="P22" s="20" t="n">
        <v>0</v>
      </c>
      <c r="Q22" s="18" t="n">
        <v>13.45619646</v>
      </c>
      <c r="R22" s="20" t="n">
        <v>1.67452847</v>
      </c>
    </row>
    <row r="23" spans="1:18">
      <c r="A23" s="15" t="s">
        <v>581</v>
      </c>
      <c r="B23" s="17" t="n">
        <v>11583</v>
      </c>
      <c r="C23" s="18">
        <f>(10293.0/B23*100)</f>
        <v/>
      </c>
      <c r="D23" s="19" t="n">
        <v>1290</v>
      </c>
      <c r="E23" s="18" t="n">
        <v>19.46041235</v>
      </c>
      <c r="F23" s="20" t="n">
        <v>1.50217465</v>
      </c>
      <c r="G23" s="18" t="n">
        <v>69.45404075</v>
      </c>
      <c r="H23" s="20" t="n">
        <v>1.99977526</v>
      </c>
      <c r="I23" s="18" t="n">
        <v>0</v>
      </c>
      <c r="J23" s="20" t="n">
        <v>0</v>
      </c>
      <c r="K23" s="18" t="n">
        <v>0.61677634</v>
      </c>
      <c r="L23" s="20" t="n">
        <v>0.4003795</v>
      </c>
      <c r="M23" s="18" t="n">
        <v>0.00571691</v>
      </c>
      <c r="N23" s="20" t="n">
        <v>0.0057096</v>
      </c>
      <c r="O23" s="18" t="n">
        <v>0</v>
      </c>
      <c r="P23" s="20" t="n">
        <v>0</v>
      </c>
      <c r="Q23" s="18" t="n">
        <v>10.46305364</v>
      </c>
      <c r="R23" s="20" t="n">
        <v>1.16522168</v>
      </c>
    </row>
    <row r="24" spans="1:18">
      <c r="A24" s="15" t="s">
        <v>582</v>
      </c>
      <c r="B24" s="17" t="n">
        <v>6647</v>
      </c>
      <c r="C24" s="18">
        <f>(5909.0/B24*100)</f>
        <v/>
      </c>
      <c r="D24" s="19" t="n">
        <v>738</v>
      </c>
      <c r="E24" s="18" t="n">
        <v>18.63453966</v>
      </c>
      <c r="F24" s="20" t="n">
        <v>1.72189545</v>
      </c>
      <c r="G24" s="18" t="n">
        <v>75.73977124</v>
      </c>
      <c r="H24" s="20" t="n">
        <v>1.96188339</v>
      </c>
      <c r="I24" s="18" t="n">
        <v>0</v>
      </c>
      <c r="J24" s="20" t="n">
        <v>0</v>
      </c>
      <c r="K24" s="18" t="n">
        <v>0.11980393</v>
      </c>
      <c r="L24" s="20" t="n">
        <v>0.11971637</v>
      </c>
      <c r="M24" s="18" t="n">
        <v>0</v>
      </c>
      <c r="N24" s="20" t="n">
        <v>0</v>
      </c>
      <c r="O24" s="18" t="n">
        <v>0</v>
      </c>
      <c r="P24" s="20" t="n">
        <v>0</v>
      </c>
      <c r="Q24" s="18" t="n">
        <v>5.50588518</v>
      </c>
      <c r="R24" s="20" t="n">
        <v>0.79182807</v>
      </c>
    </row>
    <row r="25" spans="1:18">
      <c r="A25" s="15" t="s">
        <v>583</v>
      </c>
      <c r="B25" s="17" t="n">
        <v>5581</v>
      </c>
      <c r="C25" s="18">
        <f>(4957.0/B25*100)</f>
        <v/>
      </c>
      <c r="D25" s="19" t="n">
        <v>624</v>
      </c>
      <c r="E25" s="18" t="n">
        <v>34.09404502</v>
      </c>
      <c r="F25" s="20" t="n">
        <v>2.13374898</v>
      </c>
      <c r="G25" s="18" t="n">
        <v>59.16347091</v>
      </c>
      <c r="H25" s="20" t="n">
        <v>2.30468987</v>
      </c>
      <c r="I25" s="18" t="n">
        <v>0</v>
      </c>
      <c r="J25" s="20" t="n">
        <v>0</v>
      </c>
      <c r="K25" s="18" t="n">
        <v>1.10304407</v>
      </c>
      <c r="L25" s="20" t="n">
        <v>0.43958784</v>
      </c>
      <c r="M25" s="18" t="n">
        <v>0</v>
      </c>
      <c r="N25" s="20" t="n">
        <v>0</v>
      </c>
      <c r="O25" s="18" t="n">
        <v>0</v>
      </c>
      <c r="P25" s="20" t="n">
        <v>0</v>
      </c>
      <c r="Q25" s="18" t="n">
        <v>5.63944</v>
      </c>
      <c r="R25" s="20" t="n">
        <v>0.99262846</v>
      </c>
    </row>
    <row r="26" spans="1:18">
      <c r="A26" s="15" t="s">
        <v>584</v>
      </c>
      <c r="B26" s="17" t="n">
        <v>4869</v>
      </c>
      <c r="C26" s="18">
        <f>(4338.0/B26*100)</f>
        <v/>
      </c>
      <c r="D26" s="19" t="n">
        <v>531</v>
      </c>
      <c r="E26" s="18" t="n">
        <v>16.48327145</v>
      </c>
      <c r="F26" s="20" t="n">
        <v>1.66375435</v>
      </c>
      <c r="G26" s="18" t="n">
        <v>80.3871288</v>
      </c>
      <c r="H26" s="20" t="n">
        <v>1.74699134</v>
      </c>
      <c r="I26" s="18" t="n">
        <v>0</v>
      </c>
      <c r="J26" s="20" t="n">
        <v>0</v>
      </c>
      <c r="K26" s="18" t="n">
        <v>0</v>
      </c>
      <c r="L26" s="20" t="n">
        <v>0</v>
      </c>
      <c r="M26" s="18" t="n">
        <v>0</v>
      </c>
      <c r="N26" s="20" t="n">
        <v>0</v>
      </c>
      <c r="O26" s="18" t="n">
        <v>0</v>
      </c>
      <c r="P26" s="20" t="n">
        <v>0</v>
      </c>
      <c r="Q26" s="18" t="n">
        <v>3.12959974</v>
      </c>
      <c r="R26" s="20" t="n">
        <v>0.88858892</v>
      </c>
    </row>
    <row r="27" spans="1:18">
      <c r="A27" s="15" t="s">
        <v>585</v>
      </c>
      <c r="B27" s="17" t="n">
        <v>5299</v>
      </c>
      <c r="C27" s="18">
        <f>(4727.0/B27*100)</f>
        <v/>
      </c>
      <c r="D27" s="19" t="n">
        <v>572</v>
      </c>
      <c r="E27" s="18" t="n">
        <v>14.56288133</v>
      </c>
      <c r="F27" s="20" t="n">
        <v>1.42778989</v>
      </c>
      <c r="G27" s="18" t="n">
        <v>76.4679436</v>
      </c>
      <c r="H27" s="20" t="n">
        <v>1.77784197</v>
      </c>
      <c r="I27" s="18" t="n">
        <v>0</v>
      </c>
      <c r="J27" s="20" t="n">
        <v>0</v>
      </c>
      <c r="K27" s="18" t="n">
        <v>0</v>
      </c>
      <c r="L27" s="20" t="n">
        <v>0</v>
      </c>
      <c r="M27" s="18" t="n">
        <v>0</v>
      </c>
      <c r="N27" s="20" t="n">
        <v>0</v>
      </c>
      <c r="O27" s="18" t="n">
        <v>0</v>
      </c>
      <c r="P27" s="20" t="n">
        <v>0</v>
      </c>
      <c r="Q27" s="18" t="n">
        <v>8.96917507</v>
      </c>
      <c r="R27" s="20" t="n">
        <v>1.3364229</v>
      </c>
    </row>
    <row r="28" spans="1:18">
      <c r="A28" s="15" t="s">
        <v>586</v>
      </c>
      <c r="B28" s="17" t="n">
        <v>7568</v>
      </c>
      <c r="C28" s="18">
        <f>(6797.0/B28*100)</f>
        <v/>
      </c>
      <c r="D28" s="19" t="n">
        <v>771</v>
      </c>
      <c r="E28" s="18" t="n">
        <v>30.44922288</v>
      </c>
      <c r="F28" s="20" t="n">
        <v>2.00626446</v>
      </c>
      <c r="G28" s="18" t="n">
        <v>66.32090169</v>
      </c>
      <c r="H28" s="20" t="n">
        <v>1.95384981</v>
      </c>
      <c r="I28" s="18" t="n">
        <v>0</v>
      </c>
      <c r="J28" s="20" t="n">
        <v>0</v>
      </c>
      <c r="K28" s="18" t="n">
        <v>0.81226319</v>
      </c>
      <c r="L28" s="20" t="n">
        <v>0.33498317</v>
      </c>
      <c r="M28" s="18" t="n">
        <v>0.11624745</v>
      </c>
      <c r="N28" s="20" t="n">
        <v>0.12059347</v>
      </c>
      <c r="O28" s="18" t="n">
        <v>0</v>
      </c>
      <c r="P28" s="20" t="n">
        <v>0</v>
      </c>
      <c r="Q28" s="18" t="n">
        <v>2.3013648</v>
      </c>
      <c r="R28" s="20" t="n">
        <v>0.7482221999999999</v>
      </c>
    </row>
    <row r="29" spans="1:18">
      <c r="A29" s="15" t="s">
        <v>587</v>
      </c>
      <c r="B29" s="17" t="n">
        <v>5385</v>
      </c>
      <c r="C29" s="18">
        <f>(4782.0/B29*100)</f>
        <v/>
      </c>
      <c r="D29" s="19" t="n">
        <v>603</v>
      </c>
      <c r="E29" s="18" t="n">
        <v>17.17752289</v>
      </c>
      <c r="F29" s="20" t="n">
        <v>1.87403236</v>
      </c>
      <c r="G29" s="18" t="n">
        <v>80.60772347</v>
      </c>
      <c r="H29" s="20" t="n">
        <v>1.92129315</v>
      </c>
      <c r="I29" s="18" t="n">
        <v>0</v>
      </c>
      <c r="J29" s="20" t="n">
        <v>0</v>
      </c>
      <c r="K29" s="18" t="n">
        <v>0.40420148</v>
      </c>
      <c r="L29" s="20" t="n">
        <v>0.24121892</v>
      </c>
      <c r="M29" s="18" t="n">
        <v>0</v>
      </c>
      <c r="N29" s="20" t="n">
        <v>0</v>
      </c>
      <c r="O29" s="18" t="n">
        <v>0</v>
      </c>
      <c r="P29" s="20" t="n">
        <v>0</v>
      </c>
      <c r="Q29" s="18" t="n">
        <v>1.81055216</v>
      </c>
      <c r="R29" s="20" t="n">
        <v>0.68836824</v>
      </c>
    </row>
    <row r="30" spans="1:18">
      <c r="A30" s="15" t="s">
        <v>588</v>
      </c>
      <c r="B30" s="17" t="n">
        <v>4520</v>
      </c>
      <c r="C30" s="18">
        <f>(4036.0/B30*100)</f>
        <v/>
      </c>
      <c r="D30" s="19" t="n">
        <v>484</v>
      </c>
      <c r="E30" s="18" t="n">
        <v>13.11455838</v>
      </c>
      <c r="F30" s="20" t="n">
        <v>1.72593054</v>
      </c>
      <c r="G30" s="18" t="n">
        <v>79.55574506000001</v>
      </c>
      <c r="H30" s="20" t="n">
        <v>2.00210971</v>
      </c>
      <c r="I30" s="18" t="n">
        <v>0</v>
      </c>
      <c r="J30" s="20" t="n">
        <v>0</v>
      </c>
      <c r="K30" s="18" t="n">
        <v>0.49878609</v>
      </c>
      <c r="L30" s="20" t="n">
        <v>0.32555965</v>
      </c>
      <c r="M30" s="18" t="n">
        <v>0.27401022</v>
      </c>
      <c r="N30" s="20" t="n">
        <v>0.21312516</v>
      </c>
      <c r="O30" s="18" t="n">
        <v>0</v>
      </c>
      <c r="P30" s="20" t="n">
        <v>0</v>
      </c>
      <c r="Q30" s="18" t="n">
        <v>6.55690025</v>
      </c>
      <c r="R30" s="20" t="n">
        <v>1.33663538</v>
      </c>
    </row>
    <row r="31" spans="1:18">
      <c r="A31" s="15" t="s">
        <v>589</v>
      </c>
      <c r="B31" s="17" t="n">
        <v>5456</v>
      </c>
      <c r="C31" s="18">
        <f>(4874.0/B31*100)</f>
        <v/>
      </c>
      <c r="D31" s="19" t="n">
        <v>582</v>
      </c>
      <c r="E31" s="18" t="n">
        <v>10.26771425</v>
      </c>
      <c r="F31" s="20" t="n">
        <v>1.27211433</v>
      </c>
      <c r="G31" s="18" t="n">
        <v>81.92695347</v>
      </c>
      <c r="H31" s="20" t="n">
        <v>1.74080892</v>
      </c>
      <c r="I31" s="18" t="n">
        <v>0</v>
      </c>
      <c r="J31" s="20" t="n">
        <v>0</v>
      </c>
      <c r="K31" s="18" t="n">
        <v>0.66533541</v>
      </c>
      <c r="L31" s="20" t="n">
        <v>0.32876313</v>
      </c>
      <c r="M31" s="18" t="n">
        <v>0.14621547</v>
      </c>
      <c r="N31" s="20" t="n">
        <v>0.17249018</v>
      </c>
      <c r="O31" s="18" t="n">
        <v>0</v>
      </c>
      <c r="P31" s="20" t="n">
        <v>0</v>
      </c>
      <c r="Q31" s="18" t="n">
        <v>6.9937814</v>
      </c>
      <c r="R31" s="20" t="n">
        <v>1.10722017</v>
      </c>
    </row>
    <row r="32" spans="1:18">
      <c r="A32" s="15" t="s">
        <v>590</v>
      </c>
      <c r="B32" s="17" t="n">
        <v>4478</v>
      </c>
      <c r="C32" s="18">
        <f>(3994.0/B32*100)</f>
        <v/>
      </c>
      <c r="D32" s="19" t="n">
        <v>484</v>
      </c>
      <c r="E32" s="18" t="n">
        <v>13.07419495</v>
      </c>
      <c r="F32" s="20" t="n">
        <v>1.71485652</v>
      </c>
      <c r="G32" s="18" t="n">
        <v>82.66523004</v>
      </c>
      <c r="H32" s="20" t="n">
        <v>1.75675107</v>
      </c>
      <c r="I32" s="18" t="n">
        <v>0</v>
      </c>
      <c r="J32" s="20" t="n">
        <v>0</v>
      </c>
      <c r="K32" s="18" t="n">
        <v>0</v>
      </c>
      <c r="L32" s="20" t="n">
        <v>0</v>
      </c>
      <c r="M32" s="18" t="n">
        <v>0</v>
      </c>
      <c r="N32" s="20" t="n">
        <v>0</v>
      </c>
      <c r="O32" s="18" t="n">
        <v>0</v>
      </c>
      <c r="P32" s="20" t="n">
        <v>0</v>
      </c>
      <c r="Q32" s="18" t="n">
        <v>4.26057501</v>
      </c>
      <c r="R32" s="20" t="n">
        <v>0.91318624</v>
      </c>
    </row>
    <row r="33" spans="1:18">
      <c r="A33" s="15" t="s">
        <v>591</v>
      </c>
      <c r="B33" s="17" t="n">
        <v>7325</v>
      </c>
      <c r="C33" s="18">
        <f>(6550.0/B33*100)</f>
        <v/>
      </c>
      <c r="D33" s="19" t="n">
        <v>775</v>
      </c>
      <c r="E33" s="18" t="n">
        <v>8.310715930000001</v>
      </c>
      <c r="F33" s="20" t="n">
        <v>1.12166882</v>
      </c>
      <c r="G33" s="18" t="n">
        <v>84.96128654</v>
      </c>
      <c r="H33" s="20" t="n">
        <v>1.65812692</v>
      </c>
      <c r="I33" s="18" t="n">
        <v>0</v>
      </c>
      <c r="J33" s="20" t="n">
        <v>0</v>
      </c>
      <c r="K33" s="18" t="n">
        <v>0.2519343</v>
      </c>
      <c r="L33" s="20" t="n">
        <v>0.30046139</v>
      </c>
      <c r="M33" s="18" t="n">
        <v>0</v>
      </c>
      <c r="N33" s="20" t="n">
        <v>0</v>
      </c>
      <c r="O33" s="18" t="n">
        <v>0</v>
      </c>
      <c r="P33" s="20" t="n">
        <v>0</v>
      </c>
      <c r="Q33" s="18" t="n">
        <v>6.47606324</v>
      </c>
      <c r="R33" s="20" t="n">
        <v>1.25484409</v>
      </c>
    </row>
    <row r="34" spans="1:18">
      <c r="A34" s="15" t="s">
        <v>592</v>
      </c>
      <c r="B34" s="17" t="n">
        <v>6350</v>
      </c>
      <c r="C34" s="18">
        <f>(5683.0/B34*100)</f>
        <v/>
      </c>
      <c r="D34" s="19" t="n">
        <v>667</v>
      </c>
      <c r="E34" s="18" t="n">
        <v>15.91334568</v>
      </c>
      <c r="F34" s="20" t="n">
        <v>1.44952351</v>
      </c>
      <c r="G34" s="18" t="n">
        <v>75.31515628</v>
      </c>
      <c r="H34" s="20" t="n">
        <v>1.62563498</v>
      </c>
      <c r="I34" s="18" t="n">
        <v>0</v>
      </c>
      <c r="J34" s="20" t="n">
        <v>0</v>
      </c>
      <c r="K34" s="18" t="n">
        <v>0.20706551</v>
      </c>
      <c r="L34" s="20" t="n">
        <v>0.11552614</v>
      </c>
      <c r="M34" s="18" t="n">
        <v>0</v>
      </c>
      <c r="N34" s="20" t="n">
        <v>0</v>
      </c>
      <c r="O34" s="18" t="n">
        <v>0</v>
      </c>
      <c r="P34" s="20" t="n">
        <v>0</v>
      </c>
      <c r="Q34" s="18" t="n">
        <v>8.564432529999999</v>
      </c>
      <c r="R34" s="20" t="n">
        <v>1.02915806</v>
      </c>
    </row>
    <row r="35" spans="1:18">
      <c r="A35" s="15" t="s">
        <v>593</v>
      </c>
      <c r="B35" s="17" t="n">
        <v>6406</v>
      </c>
      <c r="C35" s="18">
        <f>(5685.0/B35*100)</f>
        <v/>
      </c>
      <c r="D35" s="19" t="n">
        <v>721</v>
      </c>
      <c r="E35" s="18" t="n">
        <v>9.206297770000001</v>
      </c>
      <c r="F35" s="20" t="n">
        <v>1.28923632</v>
      </c>
      <c r="G35" s="18" t="n">
        <v>88.31159954</v>
      </c>
      <c r="H35" s="20" t="n">
        <v>1.40633364</v>
      </c>
      <c r="I35" s="18" t="n">
        <v>0</v>
      </c>
      <c r="J35" s="20" t="n">
        <v>0</v>
      </c>
      <c r="K35" s="18" t="n">
        <v>0</v>
      </c>
      <c r="L35" s="20" t="n">
        <v>0</v>
      </c>
      <c r="M35" s="18" t="n">
        <v>0.23432443</v>
      </c>
      <c r="N35" s="20" t="n">
        <v>0.2356566</v>
      </c>
      <c r="O35" s="18" t="n">
        <v>0</v>
      </c>
      <c r="P35" s="20" t="n">
        <v>0</v>
      </c>
      <c r="Q35" s="18" t="n">
        <v>2.24777825</v>
      </c>
      <c r="R35" s="20" t="n">
        <v>0.5637748</v>
      </c>
    </row>
    <row r="36" spans="1:18">
      <c r="A36" s="15" t="s">
        <v>594</v>
      </c>
      <c r="B36" s="17" t="n">
        <v>6736</v>
      </c>
      <c r="C36" s="18">
        <f>(5996.0/B36*100)</f>
        <v/>
      </c>
      <c r="D36" s="19" t="n">
        <v>740</v>
      </c>
      <c r="E36" s="18" t="n">
        <v>9.008348829999999</v>
      </c>
      <c r="F36" s="20" t="n">
        <v>1.14084567</v>
      </c>
      <c r="G36" s="18" t="n">
        <v>85.426355</v>
      </c>
      <c r="H36" s="20" t="n">
        <v>1.37851903</v>
      </c>
      <c r="I36" s="18" t="n">
        <v>0</v>
      </c>
      <c r="J36" s="20" t="n">
        <v>0</v>
      </c>
      <c r="K36" s="18" t="n">
        <v>0.5212553599999999</v>
      </c>
      <c r="L36" s="20" t="n">
        <v>0.31029623</v>
      </c>
      <c r="M36" s="18" t="n">
        <v>0</v>
      </c>
      <c r="N36" s="20" t="n">
        <v>0</v>
      </c>
      <c r="O36" s="18" t="n">
        <v>0</v>
      </c>
      <c r="P36" s="20" t="n">
        <v>0</v>
      </c>
      <c r="Q36" s="18" t="n">
        <v>5.04404081</v>
      </c>
      <c r="R36" s="20" t="n">
        <v>0.82218802</v>
      </c>
    </row>
    <row r="37" spans="1:18">
      <c r="A37" s="15" t="s">
        <v>595</v>
      </c>
      <c r="B37" s="17" t="n">
        <v>5458</v>
      </c>
      <c r="C37" s="18">
        <f>(4884.0/B37*100)</f>
        <v/>
      </c>
      <c r="D37" s="19" t="n">
        <v>574</v>
      </c>
      <c r="E37" s="18" t="n">
        <v>12.61564734</v>
      </c>
      <c r="F37" s="20" t="n">
        <v>1.39083892</v>
      </c>
      <c r="G37" s="18" t="n">
        <v>79.37401997000001</v>
      </c>
      <c r="H37" s="20" t="n">
        <v>1.86438919</v>
      </c>
      <c r="I37" s="18" t="n">
        <v>0</v>
      </c>
      <c r="J37" s="20" t="n">
        <v>0</v>
      </c>
      <c r="K37" s="18" t="n">
        <v>0.31481006</v>
      </c>
      <c r="L37" s="20" t="n">
        <v>0.22537881</v>
      </c>
      <c r="M37" s="18" t="n">
        <v>0</v>
      </c>
      <c r="N37" s="20" t="n">
        <v>0</v>
      </c>
      <c r="O37" s="18" t="n">
        <v>0</v>
      </c>
      <c r="P37" s="20" t="n">
        <v>0</v>
      </c>
      <c r="Q37" s="18" t="n">
        <v>7.69552263</v>
      </c>
      <c r="R37" s="20" t="n">
        <v>1.23726343</v>
      </c>
    </row>
    <row r="38" spans="1:18">
      <c r="A38" s="15" t="s">
        <v>596</v>
      </c>
      <c r="B38" s="17" t="n">
        <v>5860</v>
      </c>
      <c r="C38" s="18">
        <f>(5228.0/B38*100)</f>
        <v/>
      </c>
      <c r="D38" s="19" t="n">
        <v>632</v>
      </c>
      <c r="E38" s="18" t="n">
        <v>12.72555527</v>
      </c>
      <c r="F38" s="20" t="n">
        <v>1.44870687</v>
      </c>
      <c r="G38" s="18" t="n">
        <v>79.44065512</v>
      </c>
      <c r="H38" s="20" t="n">
        <v>1.59501602</v>
      </c>
      <c r="I38" s="18" t="n">
        <v>0</v>
      </c>
      <c r="J38" s="20" t="n">
        <v>0</v>
      </c>
      <c r="K38" s="18" t="n">
        <v>0.13158768</v>
      </c>
      <c r="L38" s="20" t="n">
        <v>0.13175125</v>
      </c>
      <c r="M38" s="18" t="n">
        <v>1.59274244</v>
      </c>
      <c r="N38" s="20" t="n">
        <v>0.57235296</v>
      </c>
      <c r="O38" s="18" t="n">
        <v>0</v>
      </c>
      <c r="P38" s="20" t="n">
        <v>0</v>
      </c>
      <c r="Q38" s="18" t="n">
        <v>6.1094595</v>
      </c>
      <c r="R38" s="20" t="n">
        <v>1.15436652</v>
      </c>
    </row>
    <row r="39" spans="1:18">
      <c r="A39" s="15" t="s">
        <v>597</v>
      </c>
      <c r="B39" s="17" t="n">
        <v>5895</v>
      </c>
      <c r="C39" s="18">
        <f>(5252.0/B39*100)</f>
        <v/>
      </c>
      <c r="D39" s="19" t="n">
        <v>643</v>
      </c>
      <c r="E39" s="18" t="n">
        <v>23.11270019</v>
      </c>
      <c r="F39" s="20" t="n">
        <v>1.88301497</v>
      </c>
      <c r="G39" s="18" t="n">
        <v>65.96842065</v>
      </c>
      <c r="H39" s="20" t="n">
        <v>2.29559111</v>
      </c>
      <c r="I39" s="18" t="n">
        <v>0</v>
      </c>
      <c r="J39" s="20" t="n">
        <v>0</v>
      </c>
      <c r="K39" s="18" t="n">
        <v>0</v>
      </c>
      <c r="L39" s="20" t="n">
        <v>0</v>
      </c>
      <c r="M39" s="18" t="n">
        <v>0</v>
      </c>
      <c r="N39" s="20" t="n">
        <v>0</v>
      </c>
      <c r="O39" s="18" t="n">
        <v>0</v>
      </c>
      <c r="P39" s="20" t="n">
        <v>0</v>
      </c>
      <c r="Q39" s="18" t="n">
        <v>10.91887916</v>
      </c>
      <c r="R39" s="20" t="n">
        <v>1.2362305</v>
      </c>
    </row>
    <row r="40" spans="1:18">
      <c r="A40" s="15" t="s">
        <v>598</v>
      </c>
      <c r="B40" s="17" t="n">
        <v>14157</v>
      </c>
      <c r="C40" s="18">
        <f>(12613.0/B40*100)</f>
        <v/>
      </c>
      <c r="D40" s="19" t="n">
        <v>1544</v>
      </c>
      <c r="E40" s="18" t="n">
        <v>16.51450179</v>
      </c>
      <c r="F40" s="20" t="n">
        <v>1.42648426</v>
      </c>
      <c r="G40" s="18" t="n">
        <v>76.18145998999999</v>
      </c>
      <c r="H40" s="20" t="n">
        <v>1.57406826</v>
      </c>
      <c r="I40" s="18" t="n">
        <v>0</v>
      </c>
      <c r="J40" s="20" t="n">
        <v>0</v>
      </c>
      <c r="K40" s="18" t="n">
        <v>0.37371392</v>
      </c>
      <c r="L40" s="20" t="n">
        <v>0.19393236</v>
      </c>
      <c r="M40" s="18" t="n">
        <v>0.05067519</v>
      </c>
      <c r="N40" s="20" t="n">
        <v>0.04872529</v>
      </c>
      <c r="O40" s="18" t="n">
        <v>0</v>
      </c>
      <c r="P40" s="20" t="n">
        <v>0</v>
      </c>
      <c r="Q40" s="18" t="n">
        <v>6.87964911</v>
      </c>
      <c r="R40" s="20" t="n">
        <v>1.15648643</v>
      </c>
    </row>
    <row r="41" spans="1:18">
      <c r="A41" s="15" t="s">
        <v>599</v>
      </c>
      <c r="B41" s="17" t="n">
        <v>5712</v>
      </c>
      <c r="C41" s="18">
        <f>(5112.0/B41*100)</f>
        <v/>
      </c>
      <c r="D41" s="19" t="n">
        <v>600</v>
      </c>
      <c r="E41" s="18" t="n">
        <v>24.01729766</v>
      </c>
      <c r="F41" s="20" t="n">
        <v>1.8993392</v>
      </c>
      <c r="G41" s="18" t="n">
        <v>73.83893617</v>
      </c>
      <c r="H41" s="20" t="n">
        <v>2.08567776</v>
      </c>
      <c r="I41" s="18" t="n">
        <v>0</v>
      </c>
      <c r="J41" s="20" t="n">
        <v>0</v>
      </c>
      <c r="K41" s="18" t="n">
        <v>0.22528253</v>
      </c>
      <c r="L41" s="20" t="n">
        <v>0.18382966</v>
      </c>
      <c r="M41" s="18" t="n">
        <v>0</v>
      </c>
      <c r="N41" s="20" t="n">
        <v>0</v>
      </c>
      <c r="O41" s="18" t="n">
        <v>0</v>
      </c>
      <c r="P41" s="20" t="n">
        <v>0</v>
      </c>
      <c r="Q41" s="18" t="n">
        <v>1.91848363</v>
      </c>
      <c r="R41" s="20" t="n">
        <v>0.61668135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(21167.0/B46*100)</f>
        <v/>
      </c>
      <c r="D46" s="19" t="n">
        <v>1974</v>
      </c>
      <c r="E46" s="18" t="n">
        <v>24.8619554</v>
      </c>
      <c r="F46" s="20" t="n">
        <v>1.23122779</v>
      </c>
      <c r="G46" s="18" t="n">
        <v>60.13209554</v>
      </c>
      <c r="H46" s="20" t="n">
        <v>1.20310417</v>
      </c>
      <c r="I46" s="18" t="n">
        <v>0</v>
      </c>
      <c r="J46" s="20" t="n">
        <v>0</v>
      </c>
      <c r="K46" s="18" t="n">
        <v>0.95307416</v>
      </c>
      <c r="L46" s="20" t="n">
        <v>0.28186691</v>
      </c>
      <c r="M46" s="18" t="n">
        <v>0.24314058</v>
      </c>
      <c r="N46" s="20" t="n">
        <v>0.15834268</v>
      </c>
      <c r="O46" s="18" t="n">
        <v>0</v>
      </c>
      <c r="P46" s="20" t="n">
        <v>0</v>
      </c>
      <c r="Q46" s="18" t="n">
        <v>13.80973431</v>
      </c>
      <c r="R46" s="20" t="n">
        <v>1.23007694</v>
      </c>
    </row>
    <row r="47" spans="1:18">
      <c r="A47" s="15" t="s">
        <v>606</v>
      </c>
      <c r="B47" s="17" t="n">
        <v>5928</v>
      </c>
      <c r="C47" s="18">
        <f>(5295.0/B47*100)</f>
        <v/>
      </c>
      <c r="D47" s="19" t="n">
        <v>633</v>
      </c>
      <c r="E47" s="18" t="n">
        <v>22.68697412</v>
      </c>
      <c r="F47" s="20" t="n">
        <v>2.02911794</v>
      </c>
      <c r="G47" s="18" t="n">
        <v>54.42702559</v>
      </c>
      <c r="H47" s="20" t="n">
        <v>2.02235654</v>
      </c>
      <c r="I47" s="18" t="n">
        <v>0</v>
      </c>
      <c r="J47" s="20" t="n">
        <v>0</v>
      </c>
      <c r="K47" s="18" t="n">
        <v>0.9339328</v>
      </c>
      <c r="L47" s="20" t="n">
        <v>0.4132554</v>
      </c>
      <c r="M47" s="18" t="n">
        <v>0.16324354</v>
      </c>
      <c r="N47" s="20" t="n">
        <v>0.15486473</v>
      </c>
      <c r="O47" s="18" t="n">
        <v>0</v>
      </c>
      <c r="P47" s="20" t="n">
        <v>0</v>
      </c>
      <c r="Q47" s="18" t="n">
        <v>21.78882395</v>
      </c>
      <c r="R47" s="20" t="n">
        <v>2.12218632</v>
      </c>
    </row>
    <row r="48" spans="1:18">
      <c r="A48" s="15" t="s">
        <v>607</v>
      </c>
      <c r="B48" s="17" t="n">
        <v>9841</v>
      </c>
      <c r="C48" s="18">
        <f>(8789.0/B48*100)</f>
        <v/>
      </c>
      <c r="D48" s="19" t="n">
        <v>1052</v>
      </c>
      <c r="E48" s="18" t="n">
        <v>29.57693738</v>
      </c>
      <c r="F48" s="20" t="n">
        <v>1.96080928</v>
      </c>
      <c r="G48" s="18" t="n">
        <v>62.52691474</v>
      </c>
      <c r="H48" s="20" t="n">
        <v>2.14719467</v>
      </c>
      <c r="I48" s="18" t="n">
        <v>0</v>
      </c>
      <c r="J48" s="20" t="n">
        <v>0</v>
      </c>
      <c r="K48" s="18" t="n">
        <v>0.32400602</v>
      </c>
      <c r="L48" s="20" t="n">
        <v>0.1932914</v>
      </c>
      <c r="M48" s="18" t="n">
        <v>0.0083255</v>
      </c>
      <c r="N48" s="20" t="n">
        <v>0.008132260000000001</v>
      </c>
      <c r="O48" s="18" t="n">
        <v>0</v>
      </c>
      <c r="P48" s="20" t="n">
        <v>0</v>
      </c>
      <c r="Q48" s="18" t="n">
        <v>7.56381637</v>
      </c>
      <c r="R48" s="20" t="n">
        <v>0.98850218</v>
      </c>
    </row>
    <row r="49" spans="1:18">
      <c r="A49" s="15" t="s">
        <v>608</v>
      </c>
      <c r="B49" s="17" t="n">
        <v>11795</v>
      </c>
      <c r="C49" s="18">
        <f>(10546.0/B49*100)</f>
        <v/>
      </c>
      <c r="D49" s="19" t="n">
        <v>1249</v>
      </c>
      <c r="E49" s="18" t="n">
        <v>28.30496035</v>
      </c>
      <c r="F49" s="20" t="n">
        <v>1.71129978</v>
      </c>
      <c r="G49" s="18" t="n">
        <v>65.82687523</v>
      </c>
      <c r="H49" s="20" t="n">
        <v>1.8786488</v>
      </c>
      <c r="I49" s="18" t="n">
        <v>0</v>
      </c>
      <c r="J49" s="20" t="n">
        <v>0</v>
      </c>
      <c r="K49" s="18" t="n">
        <v>1.52950895</v>
      </c>
      <c r="L49" s="20" t="n">
        <v>0.56175178</v>
      </c>
      <c r="M49" s="18" t="n">
        <v>0.11294677</v>
      </c>
      <c r="N49" s="20" t="n">
        <v>0.06405872</v>
      </c>
      <c r="O49" s="18" t="n">
        <v>0</v>
      </c>
      <c r="P49" s="20" t="n">
        <v>0</v>
      </c>
      <c r="Q49" s="18" t="n">
        <v>4.2257087</v>
      </c>
      <c r="R49" s="20" t="n">
        <v>0.7006284</v>
      </c>
    </row>
    <row r="50" spans="1:18">
      <c r="A50" s="15" t="s">
        <v>609</v>
      </c>
      <c r="B50" s="17" t="n">
        <v>6866</v>
      </c>
      <c r="C50" s="18">
        <f>(6226.0/B50*100)</f>
        <v/>
      </c>
      <c r="D50" s="19" t="n">
        <v>640</v>
      </c>
      <c r="E50" s="18" t="n">
        <v>21.1906387</v>
      </c>
      <c r="F50" s="20" t="n">
        <v>1.84223211</v>
      </c>
      <c r="G50" s="18" t="n">
        <v>72.17719579</v>
      </c>
      <c r="H50" s="20" t="n">
        <v>2.04907364</v>
      </c>
      <c r="I50" s="18" t="n">
        <v>0</v>
      </c>
      <c r="J50" s="20" t="n">
        <v>0</v>
      </c>
      <c r="K50" s="18" t="n">
        <v>0.17271948</v>
      </c>
      <c r="L50" s="20" t="n">
        <v>0.17378425</v>
      </c>
      <c r="M50" s="18" t="n">
        <v>0.3423492</v>
      </c>
      <c r="N50" s="20" t="n">
        <v>0.3334872</v>
      </c>
      <c r="O50" s="18" t="n">
        <v>0</v>
      </c>
      <c r="P50" s="20" t="n">
        <v>0</v>
      </c>
      <c r="Q50" s="18" t="n">
        <v>6.11709684</v>
      </c>
      <c r="R50" s="20" t="n">
        <v>0.89370714</v>
      </c>
    </row>
    <row r="51" spans="1:18">
      <c r="A51" s="15" t="s">
        <v>610</v>
      </c>
      <c r="B51" s="17" t="n">
        <v>5809</v>
      </c>
      <c r="C51" s="18">
        <f>(5179.0/B51*100)</f>
        <v/>
      </c>
      <c r="D51" s="19" t="n">
        <v>630</v>
      </c>
      <c r="E51" s="18" t="n">
        <v>6.11751654</v>
      </c>
      <c r="F51" s="20" t="n">
        <v>1.08144721</v>
      </c>
      <c r="G51" s="18" t="n">
        <v>87.48385933</v>
      </c>
      <c r="H51" s="20" t="n">
        <v>1.252139</v>
      </c>
      <c r="I51" s="18" t="n">
        <v>0</v>
      </c>
      <c r="J51" s="20" t="n">
        <v>0</v>
      </c>
      <c r="K51" s="18" t="n">
        <v>0.34095719</v>
      </c>
      <c r="L51" s="20" t="n">
        <v>0.2335406</v>
      </c>
      <c r="M51" s="18" t="n">
        <v>0</v>
      </c>
      <c r="N51" s="20" t="n">
        <v>0</v>
      </c>
      <c r="O51" s="18" t="n">
        <v>0</v>
      </c>
      <c r="P51" s="20" t="n">
        <v>0</v>
      </c>
      <c r="Q51" s="18" t="n">
        <v>6.05766694</v>
      </c>
      <c r="R51" s="20" t="n">
        <v>0.84436356</v>
      </c>
    </row>
    <row r="52" spans="1:18">
      <c r="A52" s="15" t="s">
        <v>611</v>
      </c>
      <c r="B52" s="17" t="n">
        <v>5571</v>
      </c>
      <c r="C52" s="18">
        <f>(4964.0/B52*100)</f>
        <v/>
      </c>
      <c r="D52" s="19" t="n">
        <v>607</v>
      </c>
      <c r="E52" s="18" t="n">
        <v>21.32638888</v>
      </c>
      <c r="F52" s="20" t="n">
        <v>1.75806612</v>
      </c>
      <c r="G52" s="18" t="n">
        <v>64.04977335</v>
      </c>
      <c r="H52" s="20" t="n">
        <v>2.10180123</v>
      </c>
      <c r="I52" s="18" t="n">
        <v>0</v>
      </c>
      <c r="J52" s="20" t="n">
        <v>0</v>
      </c>
      <c r="K52" s="18" t="n">
        <v>0.49855067</v>
      </c>
      <c r="L52" s="20" t="n">
        <v>0.25147346</v>
      </c>
      <c r="M52" s="18" t="n">
        <v>0.22691212</v>
      </c>
      <c r="N52" s="20" t="n">
        <v>0.22840134</v>
      </c>
      <c r="O52" s="18" t="n">
        <v>0</v>
      </c>
      <c r="P52" s="20" t="n">
        <v>0</v>
      </c>
      <c r="Q52" s="18" t="n">
        <v>13.89837498</v>
      </c>
      <c r="R52" s="20" t="n">
        <v>1.23535791</v>
      </c>
    </row>
    <row r="53" spans="1:18">
      <c r="A53" s="15" t="s">
        <v>612</v>
      </c>
      <c r="B53" s="17" t="n">
        <v>4740</v>
      </c>
      <c r="C53" s="18">
        <f>(4204.0/B53*100)</f>
        <v/>
      </c>
      <c r="D53" s="19" t="n">
        <v>536</v>
      </c>
      <c r="E53" s="18" t="n">
        <v>36.56927603</v>
      </c>
      <c r="F53" s="20" t="n">
        <v>2.01462709</v>
      </c>
      <c r="G53" s="18" t="n">
        <v>38.19566035</v>
      </c>
      <c r="H53" s="20" t="n">
        <v>2.17137415</v>
      </c>
      <c r="I53" s="18" t="n">
        <v>0</v>
      </c>
      <c r="J53" s="20" t="n">
        <v>0</v>
      </c>
      <c r="K53" s="18" t="n">
        <v>12.5020724</v>
      </c>
      <c r="L53" s="20" t="n">
        <v>1.49254544</v>
      </c>
      <c r="M53" s="18" t="n">
        <v>0.56949092</v>
      </c>
      <c r="N53" s="20" t="n">
        <v>0.43971978</v>
      </c>
      <c r="O53" s="18" t="n">
        <v>0</v>
      </c>
      <c r="P53" s="20" t="n">
        <v>0</v>
      </c>
      <c r="Q53" s="18" t="n">
        <v>12.16350029</v>
      </c>
      <c r="R53" s="20" t="n">
        <v>1.44263404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(4785.0/B55*100)</f>
        <v/>
      </c>
      <c r="D55" s="19" t="n">
        <v>574</v>
      </c>
      <c r="E55" s="18" t="n">
        <v>27.15281202</v>
      </c>
      <c r="F55" s="20" t="n">
        <v>1.83341317</v>
      </c>
      <c r="G55" s="18" t="n">
        <v>68.22990699</v>
      </c>
      <c r="H55" s="20" t="n">
        <v>1.90249467</v>
      </c>
      <c r="I55" s="18" t="n">
        <v>0</v>
      </c>
      <c r="J55" s="20" t="n">
        <v>0</v>
      </c>
      <c r="K55" s="18" t="n">
        <v>0</v>
      </c>
      <c r="L55" s="20" t="n">
        <v>0</v>
      </c>
      <c r="M55" s="18" t="n">
        <v>0</v>
      </c>
      <c r="N55" s="20" t="n">
        <v>0</v>
      </c>
      <c r="O55" s="18" t="n">
        <v>0</v>
      </c>
      <c r="P55" s="20" t="n">
        <v>0</v>
      </c>
      <c r="Q55" s="18" t="n">
        <v>4.61728099</v>
      </c>
      <c r="R55" s="20" t="n">
        <v>1.03201658</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(5824.0/B61*100)</f>
        <v/>
      </c>
      <c r="D61" s="19" t="n">
        <v>701</v>
      </c>
      <c r="E61" s="18" t="n">
        <v>19.97543679</v>
      </c>
      <c r="F61" s="20" t="n">
        <v>1.77256956</v>
      </c>
      <c r="G61" s="18" t="n">
        <v>72.49833065999999</v>
      </c>
      <c r="H61" s="20" t="n">
        <v>1.85769101</v>
      </c>
      <c r="I61" s="18" t="n">
        <v>0</v>
      </c>
      <c r="J61" s="20" t="n">
        <v>0</v>
      </c>
      <c r="K61" s="18" t="n">
        <v>0</v>
      </c>
      <c r="L61" s="20" t="n">
        <v>0</v>
      </c>
      <c r="M61" s="18" t="n">
        <v>0</v>
      </c>
      <c r="N61" s="20" t="n">
        <v>0</v>
      </c>
      <c r="O61" s="18" t="n">
        <v>0</v>
      </c>
      <c r="P61" s="20" t="n">
        <v>0</v>
      </c>
      <c r="Q61" s="18" t="n">
        <v>7.52623254</v>
      </c>
      <c r="R61" s="20" t="n">
        <v>1.08378495</v>
      </c>
    </row>
    <row r="62" spans="1:18">
      <c r="A62" s="15" t="s">
        <v>622</v>
      </c>
      <c r="B62" s="17" t="n">
        <v>4476</v>
      </c>
      <c r="C62" s="18">
        <f>(4010.0/B62*100)</f>
        <v/>
      </c>
      <c r="D62" s="19" t="n">
        <v>466</v>
      </c>
      <c r="E62" s="18" t="n">
        <v>28.96957025</v>
      </c>
      <c r="F62" s="20" t="n">
        <v>2.24227721</v>
      </c>
      <c r="G62" s="18" t="n">
        <v>68.42187029</v>
      </c>
      <c r="H62" s="20" t="n">
        <v>2.24360163</v>
      </c>
      <c r="I62" s="18" t="n">
        <v>0</v>
      </c>
      <c r="J62" s="20" t="n">
        <v>0</v>
      </c>
      <c r="K62" s="18" t="n">
        <v>0</v>
      </c>
      <c r="L62" s="20" t="n">
        <v>0</v>
      </c>
      <c r="M62" s="18" t="n">
        <v>0</v>
      </c>
      <c r="N62" s="20" t="n">
        <v>0</v>
      </c>
      <c r="O62" s="18" t="n">
        <v>0</v>
      </c>
      <c r="P62" s="20" t="n">
        <v>0</v>
      </c>
      <c r="Q62" s="18" t="n">
        <v>2.60855947</v>
      </c>
      <c r="R62" s="20" t="n">
        <v>0.73127497</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(5064.0/B67*100)</f>
        <v/>
      </c>
      <c r="D67" s="19" t="n">
        <v>601</v>
      </c>
      <c r="E67" s="18" t="n">
        <v>15.55381381</v>
      </c>
      <c r="F67" s="20" t="n">
        <v>1.57538769</v>
      </c>
      <c r="G67" s="18" t="n">
        <v>64.46548328</v>
      </c>
      <c r="H67" s="20" t="n">
        <v>1.78889561</v>
      </c>
      <c r="I67" s="18" t="n">
        <v>0</v>
      </c>
      <c r="J67" s="20" t="n">
        <v>0</v>
      </c>
      <c r="K67" s="18" t="n">
        <v>0.13901804</v>
      </c>
      <c r="L67" s="20" t="n">
        <v>0.13888178</v>
      </c>
      <c r="M67" s="18" t="n">
        <v>0.46401998</v>
      </c>
      <c r="N67" s="20" t="n">
        <v>0.2642727</v>
      </c>
      <c r="O67" s="18" t="n">
        <v>0</v>
      </c>
      <c r="P67" s="20" t="n">
        <v>0</v>
      </c>
      <c r="Q67" s="18" t="n">
        <v>19.37766489</v>
      </c>
      <c r="R67" s="20" t="n">
        <v>1.54044002</v>
      </c>
    </row>
    <row r="68" spans="1:18">
      <c r="A68" s="15" t="s">
        <v>628</v>
      </c>
      <c r="B68" s="17" t="n">
        <v>6971</v>
      </c>
      <c r="C68" s="18">
        <f>(6295.0/B68*100)</f>
        <v/>
      </c>
      <c r="D68" s="19" t="n">
        <v>676</v>
      </c>
      <c r="E68" s="18" t="n">
        <v>25.70219467</v>
      </c>
      <c r="F68" s="20" t="n">
        <v>1.85479675</v>
      </c>
      <c r="G68" s="18" t="n">
        <v>69.20065837</v>
      </c>
      <c r="H68" s="20" t="n">
        <v>1.94853802</v>
      </c>
      <c r="I68" s="18" t="n">
        <v>0</v>
      </c>
      <c r="J68" s="20" t="n">
        <v>0</v>
      </c>
      <c r="K68" s="18" t="n">
        <v>0.11071148</v>
      </c>
      <c r="L68" s="20" t="n">
        <v>0.11107734</v>
      </c>
      <c r="M68" s="18" t="n">
        <v>0.26273495</v>
      </c>
      <c r="N68" s="20" t="n">
        <v>0.23928059</v>
      </c>
      <c r="O68" s="18" t="n">
        <v>0</v>
      </c>
      <c r="P68" s="20" t="n">
        <v>0</v>
      </c>
      <c r="Q68" s="18" t="n">
        <v>4.72370054</v>
      </c>
      <c r="R68" s="20" t="n">
        <v>0.80538721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(10729.0/B70*100)</f>
        <v/>
      </c>
      <c r="D70" s="19" t="n">
        <v>1354</v>
      </c>
      <c r="E70" s="18" t="n">
        <v>34.06721252</v>
      </c>
      <c r="F70" s="20" t="n">
        <v>1.3410358</v>
      </c>
      <c r="G70" s="18" t="n">
        <v>52.38732272</v>
      </c>
      <c r="H70" s="20" t="n">
        <v>1.43531571</v>
      </c>
      <c r="I70" s="18" t="n">
        <v>0</v>
      </c>
      <c r="J70" s="20" t="n">
        <v>0</v>
      </c>
      <c r="K70" s="18" t="n">
        <v>1.944129</v>
      </c>
      <c r="L70" s="20" t="n">
        <v>0.36087358</v>
      </c>
      <c r="M70" s="18" t="n">
        <v>0.07018304</v>
      </c>
      <c r="N70" s="20" t="n">
        <v>0.07032336</v>
      </c>
      <c r="O70" s="18" t="n">
        <v>0</v>
      </c>
      <c r="P70" s="20" t="n">
        <v>0</v>
      </c>
      <c r="Q70" s="18" t="n">
        <v>11.53115272</v>
      </c>
      <c r="R70" s="20" t="n">
        <v>0.91698929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(5414.0/B72*100)</f>
        <v/>
      </c>
      <c r="D72" s="19" t="n">
        <v>622</v>
      </c>
      <c r="E72" s="18" t="n">
        <v>20.04150844</v>
      </c>
      <c r="F72" s="20" t="n">
        <v>2.03636965</v>
      </c>
      <c r="G72" s="18" t="n">
        <v>70.10952689</v>
      </c>
      <c r="H72" s="20" t="n">
        <v>2.07759251</v>
      </c>
      <c r="I72" s="18" t="n">
        <v>0</v>
      </c>
      <c r="J72" s="20" t="n">
        <v>0</v>
      </c>
      <c r="K72" s="18" t="n">
        <v>0.65132591</v>
      </c>
      <c r="L72" s="20" t="n">
        <v>0.40887882</v>
      </c>
      <c r="M72" s="18" t="n">
        <v>0</v>
      </c>
      <c r="N72" s="20" t="n">
        <v>0</v>
      </c>
      <c r="O72" s="18" t="n">
        <v>0</v>
      </c>
      <c r="P72" s="20" t="n">
        <v>0</v>
      </c>
      <c r="Q72" s="18" t="n">
        <v>9.197638769999999</v>
      </c>
      <c r="R72" s="20" t="n">
        <v>1.61465349</v>
      </c>
    </row>
    <row r="73" spans="1:18">
      <c r="A73" s="15" t="s">
        <v>633</v>
      </c>
      <c r="B73" s="17" t="n">
        <v>6115</v>
      </c>
      <c r="C73" s="18">
        <f>(5428.0/B73*100)</f>
        <v/>
      </c>
      <c r="D73" s="19" t="n">
        <v>687</v>
      </c>
      <c r="E73" s="18" t="n">
        <v>22.71758175</v>
      </c>
      <c r="F73" s="20" t="n">
        <v>1.42743834</v>
      </c>
      <c r="G73" s="18" t="n">
        <v>73.63220839</v>
      </c>
      <c r="H73" s="20" t="n">
        <v>1.56654126</v>
      </c>
      <c r="I73" s="18" t="n">
        <v>0</v>
      </c>
      <c r="J73" s="20" t="n">
        <v>0</v>
      </c>
      <c r="K73" s="18" t="n">
        <v>0.23418304</v>
      </c>
      <c r="L73" s="20" t="n">
        <v>0.22404879</v>
      </c>
      <c r="M73" s="18" t="n">
        <v>0</v>
      </c>
      <c r="N73" s="20" t="n">
        <v>0</v>
      </c>
      <c r="O73" s="18" t="n">
        <v>0</v>
      </c>
      <c r="P73" s="20" t="n">
        <v>0</v>
      </c>
      <c r="Q73" s="18" t="n">
        <v>3.41602681</v>
      </c>
      <c r="R73" s="20" t="n">
        <v>0.66073136</v>
      </c>
    </row>
    <row r="74" spans="1:18">
      <c r="A74" s="15" t="s">
        <v>634</v>
      </c>
      <c r="B74" s="17" t="n">
        <v>7708</v>
      </c>
      <c r="C74" s="18">
        <f>(6866.0/B74*100)</f>
        <v/>
      </c>
      <c r="D74" s="19" t="n">
        <v>842</v>
      </c>
      <c r="E74" s="18" t="n">
        <v>20.03409187</v>
      </c>
      <c r="F74" s="20" t="n">
        <v>1.45418781</v>
      </c>
      <c r="G74" s="18" t="n">
        <v>74.42343249</v>
      </c>
      <c r="H74" s="20" t="n">
        <v>1.57327293</v>
      </c>
      <c r="I74" s="18" t="n">
        <v>0</v>
      </c>
      <c r="J74" s="20" t="n">
        <v>0</v>
      </c>
      <c r="K74" s="18" t="n">
        <v>0.15711349</v>
      </c>
      <c r="L74" s="20" t="n">
        <v>0.15768608</v>
      </c>
      <c r="M74" s="18" t="n">
        <v>0</v>
      </c>
      <c r="N74" s="20" t="n">
        <v>0</v>
      </c>
      <c r="O74" s="18" t="n">
        <v>0</v>
      </c>
      <c r="P74" s="20" t="n">
        <v>0</v>
      </c>
      <c r="Q74" s="18" t="n">
        <v>5.38536215</v>
      </c>
      <c r="R74" s="20" t="n">
        <v>0.78186262</v>
      </c>
    </row>
    <row r="75" spans="1:18">
      <c r="A75" s="15" t="s">
        <v>635</v>
      </c>
      <c r="B75" s="17" t="n">
        <v>8249</v>
      </c>
      <c r="C75" s="18">
        <f>(7406.0/B75*100)</f>
        <v/>
      </c>
      <c r="D75" s="19" t="n">
        <v>843</v>
      </c>
      <c r="E75" s="18" t="n">
        <v>37.04219096</v>
      </c>
      <c r="F75" s="20" t="n">
        <v>2.40271948</v>
      </c>
      <c r="G75" s="18" t="n">
        <v>60.58776214</v>
      </c>
      <c r="H75" s="20" t="n">
        <v>2.4289587</v>
      </c>
      <c r="I75" s="18" t="n">
        <v>0</v>
      </c>
      <c r="J75" s="20" t="n">
        <v>0</v>
      </c>
      <c r="K75" s="18" t="n">
        <v>0</v>
      </c>
      <c r="L75" s="20" t="n">
        <v>0</v>
      </c>
      <c r="M75" s="18" t="n">
        <v>0</v>
      </c>
      <c r="N75" s="20" t="n">
        <v>0</v>
      </c>
      <c r="O75" s="18" t="n">
        <v>0</v>
      </c>
      <c r="P75" s="20" t="n">
        <v>0</v>
      </c>
      <c r="Q75" s="18" t="n">
        <v>2.3700469</v>
      </c>
      <c r="R75" s="20" t="n">
        <v>0.56860434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(4854.0/B77*100)</f>
        <v/>
      </c>
      <c r="D77" s="19" t="n">
        <v>521</v>
      </c>
      <c r="E77" s="18" t="n">
        <v>31.10327752</v>
      </c>
      <c r="F77" s="20" t="n">
        <v>2.5353277</v>
      </c>
      <c r="G77" s="18" t="n">
        <v>34.87004304</v>
      </c>
      <c r="H77" s="20" t="n">
        <v>2.37290973</v>
      </c>
      <c r="I77" s="18" t="n">
        <v>0</v>
      </c>
      <c r="J77" s="20" t="n">
        <v>0</v>
      </c>
      <c r="K77" s="18" t="n">
        <v>2.34980603</v>
      </c>
      <c r="L77" s="20" t="n">
        <v>0.60056843</v>
      </c>
      <c r="M77" s="18" t="n">
        <v>0.62784827</v>
      </c>
      <c r="N77" s="20" t="n">
        <v>0.34969827</v>
      </c>
      <c r="O77" s="18" t="n">
        <v>0</v>
      </c>
      <c r="P77" s="20" t="n">
        <v>0</v>
      </c>
      <c r="Q77" s="18" t="n">
        <v>31.04902514</v>
      </c>
      <c r="R77" s="20" t="n">
        <v>2.46000119</v>
      </c>
    </row>
    <row r="78" spans="1:18">
      <c r="A78" s="15" t="s">
        <v>638</v>
      </c>
      <c r="B78" s="17" t="n">
        <v>14167</v>
      </c>
      <c r="C78" s="18">
        <f>(12618.0/B78*100)</f>
        <v/>
      </c>
      <c r="D78" s="19" t="n">
        <v>1549</v>
      </c>
      <c r="E78" s="18" t="n">
        <v>33.31110027</v>
      </c>
      <c r="F78" s="20" t="n">
        <v>1.43580088</v>
      </c>
      <c r="G78" s="18" t="n">
        <v>59.68367419</v>
      </c>
      <c r="H78" s="20" t="n">
        <v>1.56002992</v>
      </c>
      <c r="I78" s="18" t="n">
        <v>0</v>
      </c>
      <c r="J78" s="20" t="n">
        <v>0</v>
      </c>
      <c r="K78" s="18" t="n">
        <v>1.32996836</v>
      </c>
      <c r="L78" s="20" t="n">
        <v>0.36003989</v>
      </c>
      <c r="M78" s="18" t="n">
        <v>0.21015673</v>
      </c>
      <c r="N78" s="20" t="n">
        <v>0.12973305</v>
      </c>
      <c r="O78" s="18" t="n">
        <v>0</v>
      </c>
      <c r="P78" s="20" t="n">
        <v>0</v>
      </c>
      <c r="Q78" s="18" t="n">
        <v>5.46510045</v>
      </c>
      <c r="R78" s="20" t="n">
        <v>0.60178754</v>
      </c>
    </row>
    <row r="79" spans="1:18">
      <c r="A79" s="15" t="s">
        <v>639</v>
      </c>
      <c r="B79" s="17" t="n">
        <v>6062</v>
      </c>
      <c r="C79" s="18">
        <f>(5408.0/B79*100)</f>
        <v/>
      </c>
      <c r="D79" s="19" t="n">
        <v>654</v>
      </c>
      <c r="E79" s="18" t="n">
        <v>23.5323734</v>
      </c>
      <c r="F79" s="20" t="n">
        <v>1.74521482</v>
      </c>
      <c r="G79" s="18" t="n">
        <v>61.36530586</v>
      </c>
      <c r="H79" s="20" t="n">
        <v>1.98646335</v>
      </c>
      <c r="I79" s="18" t="n">
        <v>0</v>
      </c>
      <c r="J79" s="20" t="n">
        <v>0</v>
      </c>
      <c r="K79" s="18" t="n">
        <v>0.5976922</v>
      </c>
      <c r="L79" s="20" t="n">
        <v>0.30134531</v>
      </c>
      <c r="M79" s="18" t="n">
        <v>0</v>
      </c>
      <c r="N79" s="20" t="n">
        <v>0</v>
      </c>
      <c r="O79" s="18" t="n">
        <v>0</v>
      </c>
      <c r="P79" s="20" t="n">
        <v>0</v>
      </c>
      <c r="Q79" s="18" t="n">
        <v>14.50462855</v>
      </c>
      <c r="R79" s="20" t="n">
        <v>1.20524811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(28813.0/B82*100)</f>
        <v/>
      </c>
      <c r="D82" s="19" t="n">
        <v>3517</v>
      </c>
      <c r="E82" s="18" t="n">
        <v>9.660419109999999</v>
      </c>
      <c r="F82" s="20" t="n">
        <v>0.65946139</v>
      </c>
      <c r="G82" s="18" t="n">
        <v>85.29980913</v>
      </c>
      <c r="H82" s="20" t="n">
        <v>0.90829035</v>
      </c>
      <c r="I82" s="18" t="n">
        <v>0</v>
      </c>
      <c r="J82" s="20" t="n">
        <v>0</v>
      </c>
      <c r="K82" s="18" t="n">
        <v>0.23669286</v>
      </c>
      <c r="L82" s="20" t="n">
        <v>0.12871591</v>
      </c>
      <c r="M82" s="18" t="n">
        <v>0.07728591</v>
      </c>
      <c r="N82" s="20" t="n">
        <v>0.0625729</v>
      </c>
      <c r="O82" s="18" t="n">
        <v>0</v>
      </c>
      <c r="P82" s="20" t="n">
        <v>0</v>
      </c>
      <c r="Q82" s="18" t="n">
        <v>4.72579299</v>
      </c>
      <c r="R82" s="20" t="n">
        <v>0.5994434</v>
      </c>
    </row>
    <row r="83" spans="1:18">
      <c r="A83" s="15" t="s">
        <v>643</v>
      </c>
      <c r="B83" s="17" t="n">
        <v>1652</v>
      </c>
      <c r="C83" s="18">
        <f>(1476.0/B83*100)</f>
        <v/>
      </c>
      <c r="D83" s="19" t="n">
        <v>176</v>
      </c>
      <c r="E83" s="18" t="n">
        <v>20.89290936</v>
      </c>
      <c r="F83" s="20" t="n">
        <v>4.22827813</v>
      </c>
      <c r="G83" s="18" t="n">
        <v>76.396968</v>
      </c>
      <c r="H83" s="20" t="n">
        <v>4.98349154</v>
      </c>
      <c r="I83" s="18" t="n">
        <v>0</v>
      </c>
      <c r="J83" s="20" t="n">
        <v>0</v>
      </c>
      <c r="K83" s="18" t="n">
        <v>0.71702301</v>
      </c>
      <c r="L83" s="20" t="n">
        <v>0.70453666</v>
      </c>
      <c r="M83" s="18" t="n">
        <v>0</v>
      </c>
      <c r="N83" s="20" t="n">
        <v>0</v>
      </c>
      <c r="O83" s="18" t="n">
        <v>0</v>
      </c>
      <c r="P83" s="20" t="n">
        <v>0</v>
      </c>
      <c r="Q83" s="18" t="n">
        <v>1.99309964</v>
      </c>
      <c r="R83" s="20" t="n">
        <v>1.29417093</v>
      </c>
    </row>
    <row r="84" spans="1:18">
      <c r="A84" s="23" t="s">
        <v>644</v>
      </c>
      <c r="B84" s="24" t="n">
        <v>1887</v>
      </c>
      <c r="C84" s="25">
        <f>(1702.0/B84*100)</f>
        <v/>
      </c>
      <c r="D84" s="19" t="n">
        <v>185</v>
      </c>
      <c r="E84" s="18" t="n">
        <v>26.75037861</v>
      </c>
      <c r="F84" s="20" t="n">
        <v>2.04384765</v>
      </c>
      <c r="G84" s="18" t="n">
        <v>72.52953497999999</v>
      </c>
      <c r="H84" s="20" t="n">
        <v>1.87953736</v>
      </c>
      <c r="I84" s="18" t="n">
        <v>0</v>
      </c>
      <c r="J84" s="20" t="n">
        <v>0</v>
      </c>
      <c r="K84" s="18" t="n">
        <v>0</v>
      </c>
      <c r="L84" s="20" t="n">
        <v>0</v>
      </c>
      <c r="M84" s="18" t="n">
        <v>0</v>
      </c>
      <c r="N84" s="20" t="n">
        <v>0</v>
      </c>
      <c r="O84" s="18" t="n">
        <v>0</v>
      </c>
      <c r="P84" s="20" t="n">
        <v>0</v>
      </c>
      <c r="Q84" s="18" t="n">
        <v>0.72008641</v>
      </c>
      <c r="R84" s="20" t="n">
        <v>0.5060461000000001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(12961.0/B7*100)</f>
        <v/>
      </c>
      <c r="D7" s="19" t="n">
        <v>1569</v>
      </c>
      <c r="E7" s="18" t="n">
        <v>56.64312567</v>
      </c>
      <c r="F7" s="20" t="n">
        <v>1.43731377</v>
      </c>
      <c r="G7" s="18" t="n">
        <v>41.51180058</v>
      </c>
      <c r="H7" s="20" t="n">
        <v>1.42334171</v>
      </c>
      <c r="I7" s="18" t="n">
        <v>0</v>
      </c>
      <c r="J7" s="20" t="n">
        <v>0</v>
      </c>
      <c r="K7" s="18" t="n">
        <v>0.036664</v>
      </c>
      <c r="L7" s="20" t="n">
        <v>0.02344941</v>
      </c>
      <c r="M7" s="18" t="n">
        <v>0.10455589</v>
      </c>
      <c r="N7" s="20" t="n">
        <v>0.08941466000000001</v>
      </c>
      <c r="O7" s="18" t="n">
        <v>0</v>
      </c>
      <c r="P7" s="20" t="n">
        <v>0</v>
      </c>
      <c r="Q7" s="18" t="n">
        <v>1.70385386</v>
      </c>
      <c r="R7" s="20" t="n">
        <v>0.35084367</v>
      </c>
    </row>
    <row r="8" spans="1:18">
      <c r="A8" s="15" t="s">
        <v>566</v>
      </c>
      <c r="B8" s="17" t="n">
        <v>7007</v>
      </c>
      <c r="C8" s="18">
        <f>(6225.0/B8*100)</f>
        <v/>
      </c>
      <c r="D8" s="19" t="n">
        <v>782</v>
      </c>
      <c r="E8" s="18" t="n">
        <v>65.00850674</v>
      </c>
      <c r="F8" s="20" t="n">
        <v>1.81633068</v>
      </c>
      <c r="G8" s="18" t="n">
        <v>33.34215012</v>
      </c>
      <c r="H8" s="20" t="n">
        <v>1.81084833</v>
      </c>
      <c r="I8" s="18" t="n">
        <v>0</v>
      </c>
      <c r="J8" s="20" t="n">
        <v>0</v>
      </c>
      <c r="K8" s="18" t="n">
        <v>0.15132865</v>
      </c>
      <c r="L8" s="20" t="n">
        <v>0.23216606</v>
      </c>
      <c r="M8" s="18" t="n">
        <v>0</v>
      </c>
      <c r="N8" s="20" t="n">
        <v>0</v>
      </c>
      <c r="O8" s="18" t="n">
        <v>0</v>
      </c>
      <c r="P8" s="20" t="n">
        <v>0</v>
      </c>
      <c r="Q8" s="18" t="n">
        <v>1.49801449</v>
      </c>
      <c r="R8" s="20" t="n">
        <v>0.52254975</v>
      </c>
    </row>
    <row r="9" spans="1:18">
      <c r="A9" s="15" t="s">
        <v>567</v>
      </c>
      <c r="B9" s="17" t="n">
        <v>9651</v>
      </c>
      <c r="C9" s="18">
        <f>(8645.0/B9*100)</f>
        <v/>
      </c>
      <c r="D9" s="19" t="n">
        <v>1006</v>
      </c>
      <c r="E9" s="18" t="n">
        <v>54.06842924</v>
      </c>
      <c r="F9" s="20" t="n">
        <v>1.66934945</v>
      </c>
      <c r="G9" s="18" t="n">
        <v>43.09804472</v>
      </c>
      <c r="H9" s="20" t="n">
        <v>1.63848328</v>
      </c>
      <c r="I9" s="18" t="n">
        <v>0</v>
      </c>
      <c r="J9" s="20" t="n">
        <v>0</v>
      </c>
      <c r="K9" s="18" t="n">
        <v>0.24463285</v>
      </c>
      <c r="L9" s="20" t="n">
        <v>0.13952467</v>
      </c>
      <c r="M9" s="18" t="n">
        <v>0.48326496</v>
      </c>
      <c r="N9" s="20" t="n">
        <v>0.15461148</v>
      </c>
      <c r="O9" s="18" t="n">
        <v>0</v>
      </c>
      <c r="P9" s="20" t="n">
        <v>0</v>
      </c>
      <c r="Q9" s="18" t="n">
        <v>2.10562824</v>
      </c>
      <c r="R9" s="20" t="n">
        <v>0.50374508</v>
      </c>
    </row>
    <row r="10" spans="1:18">
      <c r="A10" s="15" t="s">
        <v>568</v>
      </c>
      <c r="B10" s="17" t="n">
        <v>20058</v>
      </c>
      <c r="C10" s="18">
        <f>(17891.0/B10*100)</f>
        <v/>
      </c>
      <c r="D10" s="19" t="n">
        <v>2167</v>
      </c>
      <c r="E10" s="18" t="n">
        <v>48.65331702</v>
      </c>
      <c r="F10" s="20" t="n">
        <v>1.56881065</v>
      </c>
      <c r="G10" s="18" t="n">
        <v>49.7864748</v>
      </c>
      <c r="H10" s="20" t="n">
        <v>1.54978487</v>
      </c>
      <c r="I10" s="18" t="n">
        <v>0</v>
      </c>
      <c r="J10" s="20" t="n">
        <v>0</v>
      </c>
      <c r="K10" s="18" t="n">
        <v>0.21021935</v>
      </c>
      <c r="L10" s="20" t="n">
        <v>0.10264208</v>
      </c>
      <c r="M10" s="18" t="n">
        <v>0</v>
      </c>
      <c r="N10" s="20" t="n">
        <v>0</v>
      </c>
      <c r="O10" s="18" t="n">
        <v>0</v>
      </c>
      <c r="P10" s="20" t="n">
        <v>0</v>
      </c>
      <c r="Q10" s="18" t="n">
        <v>1.34998882</v>
      </c>
      <c r="R10" s="20" t="n">
        <v>0.33586602</v>
      </c>
    </row>
    <row r="11" spans="1:18">
      <c r="A11" s="15" t="s">
        <v>569</v>
      </c>
      <c r="B11" s="17" t="n">
        <v>7053</v>
      </c>
      <c r="C11" s="18">
        <f>(6277.0/B11*100)</f>
        <v/>
      </c>
      <c r="D11" s="19" t="n">
        <v>776</v>
      </c>
      <c r="E11" s="18" t="n">
        <v>57.94575917</v>
      </c>
      <c r="F11" s="20" t="n">
        <v>2.18270355</v>
      </c>
      <c r="G11" s="18" t="n">
        <v>38.97712835</v>
      </c>
      <c r="H11" s="20" t="n">
        <v>2.09749994</v>
      </c>
      <c r="I11" s="18" t="n">
        <v>0</v>
      </c>
      <c r="J11" s="20" t="n">
        <v>0</v>
      </c>
      <c r="K11" s="18" t="n">
        <v>0.84712774</v>
      </c>
      <c r="L11" s="20" t="n">
        <v>0.35083871</v>
      </c>
      <c r="M11" s="18" t="n">
        <v>0</v>
      </c>
      <c r="N11" s="20" t="n">
        <v>0</v>
      </c>
      <c r="O11" s="18" t="n">
        <v>0</v>
      </c>
      <c r="P11" s="20" t="n">
        <v>0</v>
      </c>
      <c r="Q11" s="18" t="n">
        <v>2.22998474</v>
      </c>
      <c r="R11" s="20" t="n">
        <v>0.59693512</v>
      </c>
    </row>
    <row r="12" spans="1:18">
      <c r="A12" s="15" t="s">
        <v>570</v>
      </c>
      <c r="B12" s="17" t="n">
        <v>6894</v>
      </c>
      <c r="C12" s="18">
        <f>(6145.0/B12*100)</f>
        <v/>
      </c>
      <c r="D12" s="19" t="n">
        <v>749</v>
      </c>
      <c r="E12" s="18" t="n">
        <v>44.40386817</v>
      </c>
      <c r="F12" s="20" t="n">
        <v>1.86811901</v>
      </c>
      <c r="G12" s="18" t="n">
        <v>54.08318325</v>
      </c>
      <c r="H12" s="20" t="n">
        <v>1.84774842</v>
      </c>
      <c r="I12" s="18" t="n">
        <v>0</v>
      </c>
      <c r="J12" s="20" t="n">
        <v>0</v>
      </c>
      <c r="K12" s="18" t="n">
        <v>0.20581487</v>
      </c>
      <c r="L12" s="20" t="n">
        <v>0.20572775</v>
      </c>
      <c r="M12" s="18" t="n">
        <v>0.07862682</v>
      </c>
      <c r="N12" s="20" t="n">
        <v>0.10553699</v>
      </c>
      <c r="O12" s="18" t="n">
        <v>0</v>
      </c>
      <c r="P12" s="20" t="n">
        <v>0</v>
      </c>
      <c r="Q12" s="18" t="n">
        <v>1.22850689</v>
      </c>
      <c r="R12" s="20" t="n">
        <v>0.50951291</v>
      </c>
    </row>
    <row r="13" spans="1:18">
      <c r="A13" s="15" t="s">
        <v>571</v>
      </c>
      <c r="B13" s="17" t="n">
        <v>7161</v>
      </c>
      <c r="C13" s="18">
        <f>(6423.0/B13*100)</f>
        <v/>
      </c>
      <c r="D13" s="19" t="n">
        <v>738</v>
      </c>
      <c r="E13" s="18" t="n">
        <v>60.86452286</v>
      </c>
      <c r="F13" s="20" t="n">
        <v>2.42949799</v>
      </c>
      <c r="G13" s="18" t="n">
        <v>36.6141511</v>
      </c>
      <c r="H13" s="20" t="n">
        <v>2.42968905</v>
      </c>
      <c r="I13" s="18" t="n">
        <v>0</v>
      </c>
      <c r="J13" s="20" t="n">
        <v>0</v>
      </c>
      <c r="K13" s="18" t="n">
        <v>0.6041241899999999</v>
      </c>
      <c r="L13" s="20" t="n">
        <v>0.29817</v>
      </c>
      <c r="M13" s="18" t="n">
        <v>0</v>
      </c>
      <c r="N13" s="20" t="n">
        <v>0</v>
      </c>
      <c r="O13" s="18" t="n">
        <v>0</v>
      </c>
      <c r="P13" s="20" t="n">
        <v>0</v>
      </c>
      <c r="Q13" s="18" t="n">
        <v>1.91720185</v>
      </c>
      <c r="R13" s="20" t="n">
        <v>0.55168703</v>
      </c>
    </row>
    <row r="14" spans="1:18">
      <c r="A14" s="15" t="s">
        <v>572</v>
      </c>
      <c r="B14" s="17" t="n">
        <v>5587</v>
      </c>
      <c r="C14" s="18">
        <f>(4995.0/B14*100)</f>
        <v/>
      </c>
      <c r="D14" s="19" t="n">
        <v>592</v>
      </c>
      <c r="E14" s="18" t="n">
        <v>38.20269178</v>
      </c>
      <c r="F14" s="20" t="n">
        <v>2.24982569</v>
      </c>
      <c r="G14" s="18" t="n">
        <v>60.21328645</v>
      </c>
      <c r="H14" s="20" t="n">
        <v>2.23944108</v>
      </c>
      <c r="I14" s="18" t="n">
        <v>0</v>
      </c>
      <c r="J14" s="20" t="n">
        <v>0</v>
      </c>
      <c r="K14" s="18" t="n">
        <v>0.41773356</v>
      </c>
      <c r="L14" s="20" t="n">
        <v>0.40421579</v>
      </c>
      <c r="M14" s="18" t="n">
        <v>0</v>
      </c>
      <c r="N14" s="20" t="n">
        <v>0</v>
      </c>
      <c r="O14" s="18" t="n">
        <v>0</v>
      </c>
      <c r="P14" s="20" t="n">
        <v>0</v>
      </c>
      <c r="Q14" s="18" t="n">
        <v>1.1662882</v>
      </c>
      <c r="R14" s="20" t="n">
        <v>0.44640805</v>
      </c>
    </row>
    <row r="15" spans="1:18">
      <c r="A15" s="15" t="s">
        <v>573</v>
      </c>
      <c r="B15" s="17" t="n">
        <v>5882</v>
      </c>
      <c r="C15" s="18">
        <f>(5222.0/B15*100)</f>
        <v/>
      </c>
      <c r="D15" s="19" t="n">
        <v>660</v>
      </c>
      <c r="E15" s="18" t="n">
        <v>45.29741598</v>
      </c>
      <c r="F15" s="20" t="n">
        <v>2.05324561</v>
      </c>
      <c r="G15" s="18" t="n">
        <v>53.44823943</v>
      </c>
      <c r="H15" s="20" t="n">
        <v>2.05727348</v>
      </c>
      <c r="I15" s="18" t="n">
        <v>0</v>
      </c>
      <c r="J15" s="20" t="n">
        <v>0</v>
      </c>
      <c r="K15" s="18" t="n">
        <v>0</v>
      </c>
      <c r="L15" s="20" t="n">
        <v>0</v>
      </c>
      <c r="M15" s="18" t="n">
        <v>0</v>
      </c>
      <c r="N15" s="20" t="n">
        <v>0</v>
      </c>
      <c r="O15" s="18" t="n">
        <v>0</v>
      </c>
      <c r="P15" s="20" t="n">
        <v>0</v>
      </c>
      <c r="Q15" s="18" t="n">
        <v>1.25434459</v>
      </c>
      <c r="R15" s="20" t="n">
        <v>0.43560285</v>
      </c>
    </row>
    <row r="16" spans="1:18">
      <c r="A16" s="15" t="s">
        <v>574</v>
      </c>
      <c r="B16" s="17" t="n">
        <v>6108</v>
      </c>
      <c r="C16" s="18">
        <f>(5470.0/B16*100)</f>
        <v/>
      </c>
      <c r="D16" s="19" t="n">
        <v>638</v>
      </c>
      <c r="E16" s="18" t="n">
        <v>61.68063269</v>
      </c>
      <c r="F16" s="20" t="n">
        <v>1.96098824</v>
      </c>
      <c r="G16" s="18" t="n">
        <v>35.18098999</v>
      </c>
      <c r="H16" s="20" t="n">
        <v>2.0340621</v>
      </c>
      <c r="I16" s="18" t="n">
        <v>0</v>
      </c>
      <c r="J16" s="20" t="n">
        <v>0</v>
      </c>
      <c r="K16" s="18" t="n">
        <v>0</v>
      </c>
      <c r="L16" s="20" t="n">
        <v>0</v>
      </c>
      <c r="M16" s="18" t="n">
        <v>0</v>
      </c>
      <c r="N16" s="20" t="n">
        <v>0</v>
      </c>
      <c r="O16" s="18" t="n">
        <v>0</v>
      </c>
      <c r="P16" s="20" t="n">
        <v>0</v>
      </c>
      <c r="Q16" s="18" t="n">
        <v>3.13837732</v>
      </c>
      <c r="R16" s="20" t="n">
        <v>0.78721241</v>
      </c>
    </row>
    <row r="17" spans="1:18">
      <c r="A17" s="15" t="s">
        <v>575</v>
      </c>
      <c r="B17" s="17" t="n">
        <v>6504</v>
      </c>
      <c r="C17" s="18">
        <f>(5818.0/B17*100)</f>
        <v/>
      </c>
      <c r="D17" s="19" t="n">
        <v>686</v>
      </c>
      <c r="E17" s="18" t="n">
        <v>49.11254986</v>
      </c>
      <c r="F17" s="20" t="n">
        <v>2.32796744</v>
      </c>
      <c r="G17" s="18" t="n">
        <v>47.53058164</v>
      </c>
      <c r="H17" s="20" t="n">
        <v>2.09595069</v>
      </c>
      <c r="I17" s="18" t="n">
        <v>0</v>
      </c>
      <c r="J17" s="20" t="n">
        <v>0</v>
      </c>
      <c r="K17" s="18" t="n">
        <v>0.30440514</v>
      </c>
      <c r="L17" s="20" t="n">
        <v>0.21723762</v>
      </c>
      <c r="M17" s="18" t="n">
        <v>0</v>
      </c>
      <c r="N17" s="20" t="n">
        <v>0</v>
      </c>
      <c r="O17" s="18" t="n">
        <v>0</v>
      </c>
      <c r="P17" s="20" t="n">
        <v>0</v>
      </c>
      <c r="Q17" s="18" t="n">
        <v>3.05246336</v>
      </c>
      <c r="R17" s="20" t="n">
        <v>0.64779276</v>
      </c>
    </row>
    <row r="18" spans="1:18">
      <c r="A18" s="15" t="s">
        <v>576</v>
      </c>
      <c r="B18" s="17" t="n">
        <v>5532</v>
      </c>
      <c r="C18" s="18">
        <f>(4941.0/B18*100)</f>
        <v/>
      </c>
      <c r="D18" s="19" t="n">
        <v>591</v>
      </c>
      <c r="E18" s="18" t="n">
        <v>70.11703344999999</v>
      </c>
      <c r="F18" s="20" t="n">
        <v>1.92835423</v>
      </c>
      <c r="G18" s="18" t="n">
        <v>27.94119573</v>
      </c>
      <c r="H18" s="20" t="n">
        <v>1.96141413</v>
      </c>
      <c r="I18" s="18" t="n">
        <v>0</v>
      </c>
      <c r="J18" s="20" t="n">
        <v>0</v>
      </c>
      <c r="K18" s="18" t="n">
        <v>0.19848622</v>
      </c>
      <c r="L18" s="20" t="n">
        <v>0.1965075</v>
      </c>
      <c r="M18" s="18" t="n">
        <v>0</v>
      </c>
      <c r="N18" s="20" t="n">
        <v>0</v>
      </c>
      <c r="O18" s="18" t="n">
        <v>0</v>
      </c>
      <c r="P18" s="20" t="n">
        <v>0</v>
      </c>
      <c r="Q18" s="18" t="n">
        <v>1.7432846</v>
      </c>
      <c r="R18" s="20" t="n">
        <v>0.58481463</v>
      </c>
    </row>
    <row r="19" spans="1:18">
      <c r="A19" s="15" t="s">
        <v>577</v>
      </c>
      <c r="B19" s="17" t="n">
        <v>5658</v>
      </c>
      <c r="C19" s="18">
        <f>(5026.0/B19*100)</f>
        <v/>
      </c>
      <c r="D19" s="19" t="n">
        <v>632</v>
      </c>
      <c r="E19" s="18" t="n">
        <v>55.92967641</v>
      </c>
      <c r="F19" s="20" t="n">
        <v>1.95335796</v>
      </c>
      <c r="G19" s="18" t="n">
        <v>42.73128681</v>
      </c>
      <c r="H19" s="20" t="n">
        <v>1.92131235</v>
      </c>
      <c r="I19" s="18" t="n">
        <v>0</v>
      </c>
      <c r="J19" s="20" t="n">
        <v>0</v>
      </c>
      <c r="K19" s="18" t="n">
        <v>0</v>
      </c>
      <c r="L19" s="20" t="n">
        <v>0</v>
      </c>
      <c r="M19" s="18" t="n">
        <v>0.14809609</v>
      </c>
      <c r="N19" s="20" t="n">
        <v>0.14847916</v>
      </c>
      <c r="O19" s="18" t="n">
        <v>0</v>
      </c>
      <c r="P19" s="20" t="n">
        <v>0</v>
      </c>
      <c r="Q19" s="18" t="n">
        <v>1.19094069</v>
      </c>
      <c r="R19" s="20" t="n">
        <v>0.48129591</v>
      </c>
    </row>
    <row r="20" spans="1:18">
      <c r="A20" s="15" t="s">
        <v>578</v>
      </c>
      <c r="B20" s="17" t="n">
        <v>3371</v>
      </c>
      <c r="C20" s="18">
        <f>(3029.0/B20*100)</f>
        <v/>
      </c>
      <c r="D20" s="19" t="n">
        <v>342</v>
      </c>
      <c r="E20" s="18" t="n">
        <v>71.73001734</v>
      </c>
      <c r="F20" s="20" t="n">
        <v>2.73177316</v>
      </c>
      <c r="G20" s="18" t="n">
        <v>25.04007629</v>
      </c>
      <c r="H20" s="20" t="n">
        <v>2.62214915</v>
      </c>
      <c r="I20" s="18" t="n">
        <v>0</v>
      </c>
      <c r="J20" s="20" t="n">
        <v>0</v>
      </c>
      <c r="K20" s="18" t="n">
        <v>0.5029805899999999</v>
      </c>
      <c r="L20" s="20" t="n">
        <v>0.35793201</v>
      </c>
      <c r="M20" s="18" t="n">
        <v>0.44732214</v>
      </c>
      <c r="N20" s="20" t="n">
        <v>0.44067493</v>
      </c>
      <c r="O20" s="18" t="n">
        <v>0</v>
      </c>
      <c r="P20" s="20" t="n">
        <v>0</v>
      </c>
      <c r="Q20" s="18" t="n">
        <v>2.27960364</v>
      </c>
      <c r="R20" s="20" t="n">
        <v>0.8853517400000001</v>
      </c>
    </row>
    <row r="21" spans="1:18">
      <c r="A21" s="15" t="s">
        <v>579</v>
      </c>
      <c r="B21" s="17" t="n">
        <v>5741</v>
      </c>
      <c r="C21" s="18">
        <f>(5087.0/B21*100)</f>
        <v/>
      </c>
      <c r="D21" s="19" t="n">
        <v>654</v>
      </c>
      <c r="E21" s="18" t="n">
        <v>54.77750445</v>
      </c>
      <c r="F21" s="20" t="n">
        <v>1.90734173</v>
      </c>
      <c r="G21" s="18" t="n">
        <v>44.07812305</v>
      </c>
      <c r="H21" s="20" t="n">
        <v>1.92773465</v>
      </c>
      <c r="I21" s="18" t="n">
        <v>0</v>
      </c>
      <c r="J21" s="20" t="n">
        <v>0</v>
      </c>
      <c r="K21" s="18" t="n">
        <v>0</v>
      </c>
      <c r="L21" s="20" t="n">
        <v>0</v>
      </c>
      <c r="M21" s="18" t="n">
        <v>0</v>
      </c>
      <c r="N21" s="20" t="n">
        <v>0</v>
      </c>
      <c r="O21" s="18" t="n">
        <v>0</v>
      </c>
      <c r="P21" s="20" t="n">
        <v>0</v>
      </c>
      <c r="Q21" s="18" t="n">
        <v>1.1443725</v>
      </c>
      <c r="R21" s="20" t="n">
        <v>0.40618805</v>
      </c>
    </row>
    <row r="22" spans="1:18">
      <c r="A22" s="15" t="s">
        <v>580</v>
      </c>
      <c r="B22" s="17" t="n">
        <v>6598</v>
      </c>
      <c r="C22" s="18">
        <f>(5877.0/B22*100)</f>
        <v/>
      </c>
      <c r="D22" s="19" t="n">
        <v>721</v>
      </c>
      <c r="E22" s="18" t="n">
        <v>69.08036333</v>
      </c>
      <c r="F22" s="20" t="n">
        <v>1.77918785</v>
      </c>
      <c r="G22" s="18" t="n">
        <v>27.36854479</v>
      </c>
      <c r="H22" s="20" t="n">
        <v>1.79687779</v>
      </c>
      <c r="I22" s="18" t="n">
        <v>0</v>
      </c>
      <c r="J22" s="20" t="n">
        <v>0</v>
      </c>
      <c r="K22" s="18" t="n">
        <v>0.53208371</v>
      </c>
      <c r="L22" s="20" t="n">
        <v>0.24943987</v>
      </c>
      <c r="M22" s="18" t="n">
        <v>0</v>
      </c>
      <c r="N22" s="20" t="n">
        <v>0</v>
      </c>
      <c r="O22" s="18" t="n">
        <v>0</v>
      </c>
      <c r="P22" s="20" t="n">
        <v>0</v>
      </c>
      <c r="Q22" s="18" t="n">
        <v>3.01900817</v>
      </c>
      <c r="R22" s="20" t="n">
        <v>0.74079393</v>
      </c>
    </row>
    <row r="23" spans="1:18">
      <c r="A23" s="15" t="s">
        <v>581</v>
      </c>
      <c r="B23" s="17" t="n">
        <v>11583</v>
      </c>
      <c r="C23" s="18">
        <f>(10293.0/B23*100)</f>
        <v/>
      </c>
      <c r="D23" s="19" t="n">
        <v>1290</v>
      </c>
      <c r="E23" s="18" t="n">
        <v>66.86852371000001</v>
      </c>
      <c r="F23" s="20" t="n">
        <v>1.816369</v>
      </c>
      <c r="G23" s="18" t="n">
        <v>29.2540223</v>
      </c>
      <c r="H23" s="20" t="n">
        <v>1.90948657</v>
      </c>
      <c r="I23" s="18" t="n">
        <v>0</v>
      </c>
      <c r="J23" s="20" t="n">
        <v>0</v>
      </c>
      <c r="K23" s="18" t="n">
        <v>0.61677634</v>
      </c>
      <c r="L23" s="20" t="n">
        <v>0.4003795</v>
      </c>
      <c r="M23" s="18" t="n">
        <v>0.00571691</v>
      </c>
      <c r="N23" s="20" t="n">
        <v>0.0057096</v>
      </c>
      <c r="O23" s="18" t="n">
        <v>0</v>
      </c>
      <c r="P23" s="20" t="n">
        <v>0</v>
      </c>
      <c r="Q23" s="18" t="n">
        <v>3.25496074</v>
      </c>
      <c r="R23" s="20" t="n">
        <v>1.02119387</v>
      </c>
    </row>
    <row r="24" spans="1:18">
      <c r="A24" s="15" t="s">
        <v>582</v>
      </c>
      <c r="B24" s="17" t="n">
        <v>6647</v>
      </c>
      <c r="C24" s="18">
        <f>(5909.0/B24*100)</f>
        <v/>
      </c>
      <c r="D24" s="19" t="n">
        <v>738</v>
      </c>
      <c r="E24" s="18" t="n">
        <v>36.04893184</v>
      </c>
      <c r="F24" s="20" t="n">
        <v>2.28256016</v>
      </c>
      <c r="G24" s="18" t="n">
        <v>62.8090338</v>
      </c>
      <c r="H24" s="20" t="n">
        <v>2.29395964</v>
      </c>
      <c r="I24" s="18" t="n">
        <v>0</v>
      </c>
      <c r="J24" s="20" t="n">
        <v>0</v>
      </c>
      <c r="K24" s="18" t="n">
        <v>0.11980393</v>
      </c>
      <c r="L24" s="20" t="n">
        <v>0.11971637</v>
      </c>
      <c r="M24" s="18" t="n">
        <v>0</v>
      </c>
      <c r="N24" s="20" t="n">
        <v>0</v>
      </c>
      <c r="O24" s="18" t="n">
        <v>0</v>
      </c>
      <c r="P24" s="20" t="n">
        <v>0</v>
      </c>
      <c r="Q24" s="18" t="n">
        <v>1.02223043</v>
      </c>
      <c r="R24" s="20" t="n">
        <v>0.36772098</v>
      </c>
    </row>
    <row r="25" spans="1:18">
      <c r="A25" s="15" t="s">
        <v>583</v>
      </c>
      <c r="B25" s="17" t="n">
        <v>5581</v>
      </c>
      <c r="C25" s="18">
        <f>(4957.0/B25*100)</f>
        <v/>
      </c>
      <c r="D25" s="19" t="n">
        <v>624</v>
      </c>
      <c r="E25" s="18" t="n">
        <v>43.37270939</v>
      </c>
      <c r="F25" s="20" t="n">
        <v>1.97907382</v>
      </c>
      <c r="G25" s="18" t="n">
        <v>54.33560166</v>
      </c>
      <c r="H25" s="20" t="n">
        <v>2.11051668</v>
      </c>
      <c r="I25" s="18" t="n">
        <v>0</v>
      </c>
      <c r="J25" s="20" t="n">
        <v>0</v>
      </c>
      <c r="K25" s="18" t="n">
        <v>1.10304407</v>
      </c>
      <c r="L25" s="20" t="n">
        <v>0.43958784</v>
      </c>
      <c r="M25" s="18" t="n">
        <v>0</v>
      </c>
      <c r="N25" s="20" t="n">
        <v>0</v>
      </c>
      <c r="O25" s="18" t="n">
        <v>0</v>
      </c>
      <c r="P25" s="20" t="n">
        <v>0</v>
      </c>
      <c r="Q25" s="18" t="n">
        <v>1.18864488</v>
      </c>
      <c r="R25" s="20" t="n">
        <v>0.50230207</v>
      </c>
    </row>
    <row r="26" spans="1:18">
      <c r="A26" s="15" t="s">
        <v>584</v>
      </c>
      <c r="B26" s="17" t="n">
        <v>4869</v>
      </c>
      <c r="C26" s="18">
        <f>(4338.0/B26*100)</f>
        <v/>
      </c>
      <c r="D26" s="19" t="n">
        <v>531</v>
      </c>
      <c r="E26" s="18" t="n">
        <v>53.07805359</v>
      </c>
      <c r="F26" s="20" t="n">
        <v>2.31638589</v>
      </c>
      <c r="G26" s="18" t="n">
        <v>45.79972162</v>
      </c>
      <c r="H26" s="20" t="n">
        <v>2.29042217</v>
      </c>
      <c r="I26" s="18" t="n">
        <v>0</v>
      </c>
      <c r="J26" s="20" t="n">
        <v>0</v>
      </c>
      <c r="K26" s="18" t="n">
        <v>0</v>
      </c>
      <c r="L26" s="20" t="n">
        <v>0</v>
      </c>
      <c r="M26" s="18" t="n">
        <v>0</v>
      </c>
      <c r="N26" s="20" t="n">
        <v>0</v>
      </c>
      <c r="O26" s="18" t="n">
        <v>0</v>
      </c>
      <c r="P26" s="20" t="n">
        <v>0</v>
      </c>
      <c r="Q26" s="18" t="n">
        <v>1.12222479</v>
      </c>
      <c r="R26" s="20" t="n">
        <v>0.41542017</v>
      </c>
    </row>
    <row r="27" spans="1:18">
      <c r="A27" s="15" t="s">
        <v>585</v>
      </c>
      <c r="B27" s="17" t="n">
        <v>5299</v>
      </c>
      <c r="C27" s="18">
        <f>(4727.0/B27*100)</f>
        <v/>
      </c>
      <c r="D27" s="19" t="n">
        <v>572</v>
      </c>
      <c r="E27" s="18" t="n">
        <v>70.42805438000001</v>
      </c>
      <c r="F27" s="20" t="n">
        <v>2.13751193</v>
      </c>
      <c r="G27" s="18" t="n">
        <v>25.69481608</v>
      </c>
      <c r="H27" s="20" t="n">
        <v>2.0839863</v>
      </c>
      <c r="I27" s="18" t="n">
        <v>0</v>
      </c>
      <c r="J27" s="20" t="n">
        <v>0</v>
      </c>
      <c r="K27" s="18" t="n">
        <v>0.1716033</v>
      </c>
      <c r="L27" s="20" t="n">
        <v>0.167067</v>
      </c>
      <c r="M27" s="18" t="n">
        <v>0</v>
      </c>
      <c r="N27" s="20" t="n">
        <v>0</v>
      </c>
      <c r="O27" s="18" t="n">
        <v>0</v>
      </c>
      <c r="P27" s="20" t="n">
        <v>0</v>
      </c>
      <c r="Q27" s="18" t="n">
        <v>3.70552624</v>
      </c>
      <c r="R27" s="20" t="n">
        <v>0.84185118</v>
      </c>
    </row>
    <row r="28" spans="1:18">
      <c r="A28" s="15" t="s">
        <v>586</v>
      </c>
      <c r="B28" s="17" t="n">
        <v>7568</v>
      </c>
      <c r="C28" s="18">
        <f>(6797.0/B28*100)</f>
        <v/>
      </c>
      <c r="D28" s="19" t="n">
        <v>771</v>
      </c>
      <c r="E28" s="18" t="n">
        <v>70.1733303</v>
      </c>
      <c r="F28" s="20" t="n">
        <v>1.96574998</v>
      </c>
      <c r="G28" s="18" t="n">
        <v>28.29013629</v>
      </c>
      <c r="H28" s="20" t="n">
        <v>1.89311199</v>
      </c>
      <c r="I28" s="18" t="n">
        <v>0</v>
      </c>
      <c r="J28" s="20" t="n">
        <v>0</v>
      </c>
      <c r="K28" s="18" t="n">
        <v>0.81226319</v>
      </c>
      <c r="L28" s="20" t="n">
        <v>0.33498317</v>
      </c>
      <c r="M28" s="18" t="n">
        <v>0.11624745</v>
      </c>
      <c r="N28" s="20" t="n">
        <v>0.12059347</v>
      </c>
      <c r="O28" s="18" t="n">
        <v>0</v>
      </c>
      <c r="P28" s="20" t="n">
        <v>0</v>
      </c>
      <c r="Q28" s="18" t="n">
        <v>0.60802277</v>
      </c>
      <c r="R28" s="20" t="n">
        <v>0.31114713</v>
      </c>
    </row>
    <row r="29" spans="1:18">
      <c r="A29" s="15" t="s">
        <v>587</v>
      </c>
      <c r="B29" s="17" t="n">
        <v>5385</v>
      </c>
      <c r="C29" s="18">
        <f>(4782.0/B29*100)</f>
        <v/>
      </c>
      <c r="D29" s="19" t="n">
        <v>603</v>
      </c>
      <c r="E29" s="18" t="n">
        <v>49.74521332</v>
      </c>
      <c r="F29" s="20" t="n">
        <v>2.31639654</v>
      </c>
      <c r="G29" s="18" t="n">
        <v>49.35624619</v>
      </c>
      <c r="H29" s="20" t="n">
        <v>2.33107253</v>
      </c>
      <c r="I29" s="18" t="n">
        <v>0</v>
      </c>
      <c r="J29" s="20" t="n">
        <v>0</v>
      </c>
      <c r="K29" s="18" t="n">
        <v>0.40420148</v>
      </c>
      <c r="L29" s="20" t="n">
        <v>0.24121892</v>
      </c>
      <c r="M29" s="18" t="n">
        <v>0</v>
      </c>
      <c r="N29" s="20" t="n">
        <v>0</v>
      </c>
      <c r="O29" s="18" t="n">
        <v>0</v>
      </c>
      <c r="P29" s="20" t="n">
        <v>0</v>
      </c>
      <c r="Q29" s="18" t="n">
        <v>0.494339</v>
      </c>
      <c r="R29" s="20" t="n">
        <v>0.31859684</v>
      </c>
    </row>
    <row r="30" spans="1:18">
      <c r="A30" s="15" t="s">
        <v>588</v>
      </c>
      <c r="B30" s="17" t="n">
        <v>4520</v>
      </c>
      <c r="C30" s="18">
        <f>(4036.0/B30*100)</f>
        <v/>
      </c>
      <c r="D30" s="19" t="n">
        <v>484</v>
      </c>
      <c r="E30" s="18" t="n">
        <v>50.67380009</v>
      </c>
      <c r="F30" s="20" t="n">
        <v>2.34094885</v>
      </c>
      <c r="G30" s="18" t="n">
        <v>46.09499354</v>
      </c>
      <c r="H30" s="20" t="n">
        <v>2.23851787</v>
      </c>
      <c r="I30" s="18" t="n">
        <v>0</v>
      </c>
      <c r="J30" s="20" t="n">
        <v>0</v>
      </c>
      <c r="K30" s="18" t="n">
        <v>0.69509085</v>
      </c>
      <c r="L30" s="20" t="n">
        <v>0.36772526</v>
      </c>
      <c r="M30" s="18" t="n">
        <v>0</v>
      </c>
      <c r="N30" s="20" t="n">
        <v>0</v>
      </c>
      <c r="O30" s="18" t="n">
        <v>0</v>
      </c>
      <c r="P30" s="20" t="n">
        <v>0</v>
      </c>
      <c r="Q30" s="18" t="n">
        <v>2.53611552</v>
      </c>
      <c r="R30" s="20" t="n">
        <v>0.82584451</v>
      </c>
    </row>
    <row r="31" spans="1:18">
      <c r="A31" s="15" t="s">
        <v>589</v>
      </c>
      <c r="B31" s="17" t="n">
        <v>5456</v>
      </c>
      <c r="C31" s="18">
        <f>(4874.0/B31*100)</f>
        <v/>
      </c>
      <c r="D31" s="19" t="n">
        <v>582</v>
      </c>
      <c r="E31" s="18" t="n">
        <v>58.96921938</v>
      </c>
      <c r="F31" s="20" t="n">
        <v>2.09537417</v>
      </c>
      <c r="G31" s="18" t="n">
        <v>36.60831855</v>
      </c>
      <c r="H31" s="20" t="n">
        <v>2.00714551</v>
      </c>
      <c r="I31" s="18" t="n">
        <v>0</v>
      </c>
      <c r="J31" s="20" t="n">
        <v>0</v>
      </c>
      <c r="K31" s="18" t="n">
        <v>0.66533541</v>
      </c>
      <c r="L31" s="20" t="n">
        <v>0.32876313</v>
      </c>
      <c r="M31" s="18" t="n">
        <v>0.14621547</v>
      </c>
      <c r="N31" s="20" t="n">
        <v>0.17249018</v>
      </c>
      <c r="O31" s="18" t="n">
        <v>0</v>
      </c>
      <c r="P31" s="20" t="n">
        <v>0</v>
      </c>
      <c r="Q31" s="18" t="n">
        <v>3.61091119</v>
      </c>
      <c r="R31" s="20" t="n">
        <v>0.75462971</v>
      </c>
    </row>
    <row r="32" spans="1:18">
      <c r="A32" s="15" t="s">
        <v>590</v>
      </c>
      <c r="B32" s="17" t="n">
        <v>4478</v>
      </c>
      <c r="C32" s="18">
        <f>(3994.0/B32*100)</f>
        <v/>
      </c>
      <c r="D32" s="19" t="n">
        <v>484</v>
      </c>
      <c r="E32" s="18" t="n">
        <v>42.68499057</v>
      </c>
      <c r="F32" s="20" t="n">
        <v>2.53630066</v>
      </c>
      <c r="G32" s="18" t="n">
        <v>56.09828728</v>
      </c>
      <c r="H32" s="20" t="n">
        <v>2.49860914</v>
      </c>
      <c r="I32" s="18" t="n">
        <v>0</v>
      </c>
      <c r="J32" s="20" t="n">
        <v>0</v>
      </c>
      <c r="K32" s="18" t="n">
        <v>0.21499758</v>
      </c>
      <c r="L32" s="20" t="n">
        <v>0.21450649</v>
      </c>
      <c r="M32" s="18" t="n">
        <v>0</v>
      </c>
      <c r="N32" s="20" t="n">
        <v>0</v>
      </c>
      <c r="O32" s="18" t="n">
        <v>0</v>
      </c>
      <c r="P32" s="20" t="n">
        <v>0</v>
      </c>
      <c r="Q32" s="18" t="n">
        <v>1.00172457</v>
      </c>
      <c r="R32" s="20" t="n">
        <v>0.45983466</v>
      </c>
    </row>
    <row r="33" spans="1:18">
      <c r="A33" s="15" t="s">
        <v>591</v>
      </c>
      <c r="B33" s="17" t="n">
        <v>7325</v>
      </c>
      <c r="C33" s="18">
        <f>(6550.0/B33*100)</f>
        <v/>
      </c>
      <c r="D33" s="19" t="n">
        <v>775</v>
      </c>
      <c r="E33" s="18" t="n">
        <v>71.74623622999999</v>
      </c>
      <c r="F33" s="20" t="n">
        <v>1.96576312</v>
      </c>
      <c r="G33" s="18" t="n">
        <v>26.07947768</v>
      </c>
      <c r="H33" s="20" t="n">
        <v>1.8892983</v>
      </c>
      <c r="I33" s="18" t="n">
        <v>0</v>
      </c>
      <c r="J33" s="20" t="n">
        <v>0</v>
      </c>
      <c r="K33" s="18" t="n">
        <v>0.2519343</v>
      </c>
      <c r="L33" s="20" t="n">
        <v>0.30046139</v>
      </c>
      <c r="M33" s="18" t="n">
        <v>0</v>
      </c>
      <c r="N33" s="20" t="n">
        <v>0</v>
      </c>
      <c r="O33" s="18" t="n">
        <v>0</v>
      </c>
      <c r="P33" s="20" t="n">
        <v>0</v>
      </c>
      <c r="Q33" s="18" t="n">
        <v>1.92235179</v>
      </c>
      <c r="R33" s="20" t="n">
        <v>0.70903304</v>
      </c>
    </row>
    <row r="34" spans="1:18">
      <c r="A34" s="15" t="s">
        <v>592</v>
      </c>
      <c r="B34" s="17" t="n">
        <v>6350</v>
      </c>
      <c r="C34" s="18">
        <f>(5683.0/B34*100)</f>
        <v/>
      </c>
      <c r="D34" s="19" t="n">
        <v>667</v>
      </c>
      <c r="E34" s="18" t="n">
        <v>61.01472216</v>
      </c>
      <c r="F34" s="20" t="n">
        <v>1.97988168</v>
      </c>
      <c r="G34" s="18" t="n">
        <v>37.64238842</v>
      </c>
      <c r="H34" s="20" t="n">
        <v>1.86275208</v>
      </c>
      <c r="I34" s="18" t="n">
        <v>0</v>
      </c>
      <c r="J34" s="20" t="n">
        <v>0</v>
      </c>
      <c r="K34" s="18" t="n">
        <v>0.20706551</v>
      </c>
      <c r="L34" s="20" t="n">
        <v>0.11552614</v>
      </c>
      <c r="M34" s="18" t="n">
        <v>0</v>
      </c>
      <c r="N34" s="20" t="n">
        <v>0</v>
      </c>
      <c r="O34" s="18" t="n">
        <v>0</v>
      </c>
      <c r="P34" s="20" t="n">
        <v>0</v>
      </c>
      <c r="Q34" s="18" t="n">
        <v>1.13582391</v>
      </c>
      <c r="R34" s="20" t="n">
        <v>0.45330328</v>
      </c>
    </row>
    <row r="35" spans="1:18">
      <c r="A35" s="15" t="s">
        <v>593</v>
      </c>
      <c r="B35" s="17" t="n">
        <v>6406</v>
      </c>
      <c r="C35" s="18">
        <f>(5685.0/B35*100)</f>
        <v/>
      </c>
      <c r="D35" s="19" t="n">
        <v>721</v>
      </c>
      <c r="E35" s="18" t="n">
        <v>52.46078631</v>
      </c>
      <c r="F35" s="20" t="n">
        <v>2.16697983</v>
      </c>
      <c r="G35" s="18" t="n">
        <v>46.62578063</v>
      </c>
      <c r="H35" s="20" t="n">
        <v>2.10841175</v>
      </c>
      <c r="I35" s="18" t="n">
        <v>0</v>
      </c>
      <c r="J35" s="20" t="n">
        <v>0</v>
      </c>
      <c r="K35" s="18" t="n">
        <v>0</v>
      </c>
      <c r="L35" s="20" t="n">
        <v>0</v>
      </c>
      <c r="M35" s="18" t="n">
        <v>0.23432443</v>
      </c>
      <c r="N35" s="20" t="n">
        <v>0.2356566</v>
      </c>
      <c r="O35" s="18" t="n">
        <v>0</v>
      </c>
      <c r="P35" s="20" t="n">
        <v>0</v>
      </c>
      <c r="Q35" s="18" t="n">
        <v>0.67910863</v>
      </c>
      <c r="R35" s="20" t="n">
        <v>0.23366353</v>
      </c>
    </row>
    <row r="36" spans="1:18">
      <c r="A36" s="15" t="s">
        <v>594</v>
      </c>
      <c r="B36" s="17" t="n">
        <v>6736</v>
      </c>
      <c r="C36" s="18">
        <f>(5996.0/B36*100)</f>
        <v/>
      </c>
      <c r="D36" s="19" t="n">
        <v>740</v>
      </c>
      <c r="E36" s="18" t="n">
        <v>64.97441968</v>
      </c>
      <c r="F36" s="20" t="n">
        <v>1.92932852</v>
      </c>
      <c r="G36" s="18" t="n">
        <v>31.78874939</v>
      </c>
      <c r="H36" s="20" t="n">
        <v>1.68438274</v>
      </c>
      <c r="I36" s="18" t="n">
        <v>0</v>
      </c>
      <c r="J36" s="20" t="n">
        <v>0</v>
      </c>
      <c r="K36" s="18" t="n">
        <v>0.5212553599999999</v>
      </c>
      <c r="L36" s="20" t="n">
        <v>0.31029623</v>
      </c>
      <c r="M36" s="18" t="n">
        <v>0.12811269</v>
      </c>
      <c r="N36" s="20" t="n">
        <v>0.12844786</v>
      </c>
      <c r="O36" s="18" t="n">
        <v>0</v>
      </c>
      <c r="P36" s="20" t="n">
        <v>0</v>
      </c>
      <c r="Q36" s="18" t="n">
        <v>2.58746289</v>
      </c>
      <c r="R36" s="20" t="n">
        <v>0.65301696</v>
      </c>
    </row>
    <row r="37" spans="1:18">
      <c r="A37" s="15" t="s">
        <v>595</v>
      </c>
      <c r="B37" s="17" t="n">
        <v>5458</v>
      </c>
      <c r="C37" s="18">
        <f>(4884.0/B37*100)</f>
        <v/>
      </c>
      <c r="D37" s="19" t="n">
        <v>574</v>
      </c>
      <c r="E37" s="18" t="n">
        <v>58.78060126</v>
      </c>
      <c r="F37" s="20" t="n">
        <v>2.14012306</v>
      </c>
      <c r="G37" s="18" t="n">
        <v>36.25921792</v>
      </c>
      <c r="H37" s="20" t="n">
        <v>2.24941901</v>
      </c>
      <c r="I37" s="18" t="n">
        <v>0</v>
      </c>
      <c r="J37" s="20" t="n">
        <v>0</v>
      </c>
      <c r="K37" s="18" t="n">
        <v>0.6065796</v>
      </c>
      <c r="L37" s="20" t="n">
        <v>0.36541692</v>
      </c>
      <c r="M37" s="18" t="n">
        <v>0</v>
      </c>
      <c r="N37" s="20" t="n">
        <v>0</v>
      </c>
      <c r="O37" s="18" t="n">
        <v>0</v>
      </c>
      <c r="P37" s="20" t="n">
        <v>0</v>
      </c>
      <c r="Q37" s="18" t="n">
        <v>4.35360122</v>
      </c>
      <c r="R37" s="20" t="n">
        <v>0.86922542</v>
      </c>
    </row>
    <row r="38" spans="1:18">
      <c r="A38" s="15" t="s">
        <v>596</v>
      </c>
      <c r="B38" s="17" t="n">
        <v>5860</v>
      </c>
      <c r="C38" s="18">
        <f>(5228.0/B38*100)</f>
        <v/>
      </c>
      <c r="D38" s="19" t="n">
        <v>632</v>
      </c>
      <c r="E38" s="18" t="n">
        <v>59.77768676</v>
      </c>
      <c r="F38" s="20" t="n">
        <v>2.36888232</v>
      </c>
      <c r="G38" s="18" t="n">
        <v>35.12108369</v>
      </c>
      <c r="H38" s="20" t="n">
        <v>2.47779633</v>
      </c>
      <c r="I38" s="18" t="n">
        <v>0</v>
      </c>
      <c r="J38" s="20" t="n">
        <v>0</v>
      </c>
      <c r="K38" s="18" t="n">
        <v>0.13158768</v>
      </c>
      <c r="L38" s="20" t="n">
        <v>0.13175125</v>
      </c>
      <c r="M38" s="18" t="n">
        <v>3.56999058</v>
      </c>
      <c r="N38" s="20" t="n">
        <v>0.7990069</v>
      </c>
      <c r="O38" s="18" t="n">
        <v>0</v>
      </c>
      <c r="P38" s="20" t="n">
        <v>0</v>
      </c>
      <c r="Q38" s="18" t="n">
        <v>1.39965129</v>
      </c>
      <c r="R38" s="20" t="n">
        <v>0.46052245</v>
      </c>
    </row>
    <row r="39" spans="1:18">
      <c r="A39" s="15" t="s">
        <v>597</v>
      </c>
      <c r="B39" s="17" t="n">
        <v>5895</v>
      </c>
      <c r="C39" s="18">
        <f>(5252.0/B39*100)</f>
        <v/>
      </c>
      <c r="D39" s="19" t="n">
        <v>643</v>
      </c>
      <c r="E39" s="18" t="n">
        <v>73.47279965</v>
      </c>
      <c r="F39" s="20" t="n">
        <v>1.86269506</v>
      </c>
      <c r="G39" s="18" t="n">
        <v>25.16017391</v>
      </c>
      <c r="H39" s="20" t="n">
        <v>1.977431</v>
      </c>
      <c r="I39" s="18" t="n">
        <v>0</v>
      </c>
      <c r="J39" s="20" t="n">
        <v>0</v>
      </c>
      <c r="K39" s="18" t="n">
        <v>0</v>
      </c>
      <c r="L39" s="20" t="n">
        <v>0</v>
      </c>
      <c r="M39" s="18" t="n">
        <v>0</v>
      </c>
      <c r="N39" s="20" t="n">
        <v>0</v>
      </c>
      <c r="O39" s="18" t="n">
        <v>0</v>
      </c>
      <c r="P39" s="20" t="n">
        <v>0</v>
      </c>
      <c r="Q39" s="18" t="n">
        <v>1.36702644</v>
      </c>
      <c r="R39" s="20" t="n">
        <v>0.52271451</v>
      </c>
    </row>
    <row r="40" spans="1:18">
      <c r="A40" s="15" t="s">
        <v>598</v>
      </c>
      <c r="B40" s="17" t="n">
        <v>14157</v>
      </c>
      <c r="C40" s="18">
        <f>(12613.0/B40*100)</f>
        <v/>
      </c>
      <c r="D40" s="19" t="n">
        <v>1544</v>
      </c>
      <c r="E40" s="18" t="n">
        <v>63.14881489</v>
      </c>
      <c r="F40" s="20" t="n">
        <v>2.2058921</v>
      </c>
      <c r="G40" s="18" t="n">
        <v>33.70379966</v>
      </c>
      <c r="H40" s="20" t="n">
        <v>2.21591646</v>
      </c>
      <c r="I40" s="18" t="n">
        <v>0</v>
      </c>
      <c r="J40" s="20" t="n">
        <v>0</v>
      </c>
      <c r="K40" s="18" t="n">
        <v>0.39599078</v>
      </c>
      <c r="L40" s="20" t="n">
        <v>0.19512914</v>
      </c>
      <c r="M40" s="18" t="n">
        <v>0.05067519</v>
      </c>
      <c r="N40" s="20" t="n">
        <v>0.04872529</v>
      </c>
      <c r="O40" s="18" t="n">
        <v>0</v>
      </c>
      <c r="P40" s="20" t="n">
        <v>0</v>
      </c>
      <c r="Q40" s="18" t="n">
        <v>2.70071949</v>
      </c>
      <c r="R40" s="20" t="n">
        <v>0.6999039500000001</v>
      </c>
    </row>
    <row r="41" spans="1:18">
      <c r="A41" s="15" t="s">
        <v>599</v>
      </c>
      <c r="B41" s="17" t="n">
        <v>5712</v>
      </c>
      <c r="C41" s="18">
        <f>(5112.0/B41*100)</f>
        <v/>
      </c>
      <c r="D41" s="19" t="n">
        <v>600</v>
      </c>
      <c r="E41" s="18" t="n">
        <v>59.08286471</v>
      </c>
      <c r="F41" s="20" t="n">
        <v>2.15291747</v>
      </c>
      <c r="G41" s="18" t="n">
        <v>40.27938923</v>
      </c>
      <c r="H41" s="20" t="n">
        <v>2.12980213</v>
      </c>
      <c r="I41" s="18" t="n">
        <v>0</v>
      </c>
      <c r="J41" s="20" t="n">
        <v>0</v>
      </c>
      <c r="K41" s="18" t="n">
        <v>0.22528253</v>
      </c>
      <c r="L41" s="20" t="n">
        <v>0.18382966</v>
      </c>
      <c r="M41" s="18" t="n">
        <v>0</v>
      </c>
      <c r="N41" s="20" t="n">
        <v>0</v>
      </c>
      <c r="O41" s="18" t="n">
        <v>0</v>
      </c>
      <c r="P41" s="20" t="n">
        <v>0</v>
      </c>
      <c r="Q41" s="18" t="n">
        <v>0.41246354</v>
      </c>
      <c r="R41" s="20" t="n">
        <v>0.28884803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(21163.0/B46*100)</f>
        <v/>
      </c>
      <c r="D46" s="19" t="n">
        <v>1978</v>
      </c>
      <c r="E46" s="18" t="n">
        <v>77.55258105999999</v>
      </c>
      <c r="F46" s="20" t="n">
        <v>1.38281449</v>
      </c>
      <c r="G46" s="18" t="n">
        <v>18.79491527</v>
      </c>
      <c r="H46" s="20" t="n">
        <v>1.3466419</v>
      </c>
      <c r="I46" s="18" t="n">
        <v>0</v>
      </c>
      <c r="J46" s="20" t="n">
        <v>0</v>
      </c>
      <c r="K46" s="18" t="n">
        <v>1.11228126</v>
      </c>
      <c r="L46" s="20" t="n">
        <v>0.32553664</v>
      </c>
      <c r="M46" s="18" t="n">
        <v>0.24239593</v>
      </c>
      <c r="N46" s="20" t="n">
        <v>0.1578406</v>
      </c>
      <c r="O46" s="18" t="n">
        <v>0</v>
      </c>
      <c r="P46" s="20" t="n">
        <v>0</v>
      </c>
      <c r="Q46" s="18" t="n">
        <v>2.29782647</v>
      </c>
      <c r="R46" s="20" t="n">
        <v>0.40680456</v>
      </c>
    </row>
    <row r="47" spans="1:18">
      <c r="A47" s="15" t="s">
        <v>606</v>
      </c>
      <c r="B47" s="17" t="n">
        <v>5928</v>
      </c>
      <c r="C47" s="18">
        <f>(5295.0/B47*100)</f>
        <v/>
      </c>
      <c r="D47" s="19" t="n">
        <v>633</v>
      </c>
      <c r="E47" s="18" t="n">
        <v>68.09320175000001</v>
      </c>
      <c r="F47" s="20" t="n">
        <v>2.28966564</v>
      </c>
      <c r="G47" s="18" t="n">
        <v>12.09512881</v>
      </c>
      <c r="H47" s="20" t="n">
        <v>1.36615991</v>
      </c>
      <c r="I47" s="18" t="n">
        <v>0</v>
      </c>
      <c r="J47" s="20" t="n">
        <v>0</v>
      </c>
      <c r="K47" s="18" t="n">
        <v>1.07888031</v>
      </c>
      <c r="L47" s="20" t="n">
        <v>0.43538082</v>
      </c>
      <c r="M47" s="18" t="n">
        <v>1.87665632</v>
      </c>
      <c r="N47" s="20" t="n">
        <v>0.58687349</v>
      </c>
      <c r="O47" s="18" t="n">
        <v>0</v>
      </c>
      <c r="P47" s="20" t="n">
        <v>0</v>
      </c>
      <c r="Q47" s="18" t="n">
        <v>16.8561328</v>
      </c>
      <c r="R47" s="20" t="n">
        <v>2.1788348</v>
      </c>
    </row>
    <row r="48" spans="1:18">
      <c r="A48" s="15" t="s">
        <v>607</v>
      </c>
      <c r="B48" s="17" t="n">
        <v>9841</v>
      </c>
      <c r="C48" s="18">
        <f>(8789.0/B48*100)</f>
        <v/>
      </c>
      <c r="D48" s="19" t="n">
        <v>1052</v>
      </c>
      <c r="E48" s="18" t="n">
        <v>57.39075571</v>
      </c>
      <c r="F48" s="20" t="n">
        <v>2.33511968</v>
      </c>
      <c r="G48" s="18" t="n">
        <v>41.82531479</v>
      </c>
      <c r="H48" s="20" t="n">
        <v>2.40152632</v>
      </c>
      <c r="I48" s="18" t="n">
        <v>0</v>
      </c>
      <c r="J48" s="20" t="n">
        <v>0</v>
      </c>
      <c r="K48" s="18" t="n">
        <v>0.32400602</v>
      </c>
      <c r="L48" s="20" t="n">
        <v>0.1932914</v>
      </c>
      <c r="M48" s="18" t="n">
        <v>0.0083255</v>
      </c>
      <c r="N48" s="20" t="n">
        <v>0.008132260000000001</v>
      </c>
      <c r="O48" s="18" t="n">
        <v>0</v>
      </c>
      <c r="P48" s="20" t="n">
        <v>0</v>
      </c>
      <c r="Q48" s="18" t="n">
        <v>0.45159799</v>
      </c>
      <c r="R48" s="20" t="n">
        <v>0.26296392</v>
      </c>
    </row>
    <row r="49" spans="1:18">
      <c r="A49" s="15" t="s">
        <v>608</v>
      </c>
      <c r="B49" s="17" t="n">
        <v>11795</v>
      </c>
      <c r="C49" s="18">
        <f>(10546.0/B49*100)</f>
        <v/>
      </c>
      <c r="D49" s="19" t="n">
        <v>1249</v>
      </c>
      <c r="E49" s="18" t="n">
        <v>71.6166671</v>
      </c>
      <c r="F49" s="20" t="n">
        <v>1.60939124</v>
      </c>
      <c r="G49" s="18" t="n">
        <v>24.97365868</v>
      </c>
      <c r="H49" s="20" t="n">
        <v>1.53171018</v>
      </c>
      <c r="I49" s="18" t="n">
        <v>0</v>
      </c>
      <c r="J49" s="20" t="n">
        <v>0</v>
      </c>
      <c r="K49" s="18" t="n">
        <v>1.85599557</v>
      </c>
      <c r="L49" s="20" t="n">
        <v>0.59139136</v>
      </c>
      <c r="M49" s="18" t="n">
        <v>0.11294677</v>
      </c>
      <c r="N49" s="20" t="n">
        <v>0.06405872</v>
      </c>
      <c r="O49" s="18" t="n">
        <v>0</v>
      </c>
      <c r="P49" s="20" t="n">
        <v>0</v>
      </c>
      <c r="Q49" s="18" t="n">
        <v>1.44073187</v>
      </c>
      <c r="R49" s="20" t="n">
        <v>0.39728182</v>
      </c>
    </row>
    <row r="50" spans="1:18">
      <c r="A50" s="15" t="s">
        <v>609</v>
      </c>
      <c r="B50" s="17" t="n">
        <v>6866</v>
      </c>
      <c r="C50" s="18">
        <f>(6226.0/B50*100)</f>
        <v/>
      </c>
      <c r="D50" s="19" t="n">
        <v>640</v>
      </c>
      <c r="E50" s="18" t="n">
        <v>73.69625028999999</v>
      </c>
      <c r="F50" s="20" t="n">
        <v>1.91591231</v>
      </c>
      <c r="G50" s="18" t="n">
        <v>24.22511197</v>
      </c>
      <c r="H50" s="20" t="n">
        <v>1.91703899</v>
      </c>
      <c r="I50" s="18" t="n">
        <v>0</v>
      </c>
      <c r="J50" s="20" t="n">
        <v>0</v>
      </c>
      <c r="K50" s="18" t="n">
        <v>0.33902705</v>
      </c>
      <c r="L50" s="20" t="n">
        <v>0.24369184</v>
      </c>
      <c r="M50" s="18" t="n">
        <v>0.3423492</v>
      </c>
      <c r="N50" s="20" t="n">
        <v>0.3334872</v>
      </c>
      <c r="O50" s="18" t="n">
        <v>0</v>
      </c>
      <c r="P50" s="20" t="n">
        <v>0</v>
      </c>
      <c r="Q50" s="18" t="n">
        <v>1.39726149</v>
      </c>
      <c r="R50" s="20" t="n">
        <v>0.41364419</v>
      </c>
    </row>
    <row r="51" spans="1:18">
      <c r="A51" s="15" t="s">
        <v>610</v>
      </c>
      <c r="B51" s="17" t="n">
        <v>5809</v>
      </c>
      <c r="C51" s="18">
        <f>(5179.0/B51*100)</f>
        <v/>
      </c>
      <c r="D51" s="19" t="n">
        <v>630</v>
      </c>
      <c r="E51" s="18" t="n">
        <v>63.84366677</v>
      </c>
      <c r="F51" s="20" t="n">
        <v>1.87119236</v>
      </c>
      <c r="G51" s="18" t="n">
        <v>34.26760979</v>
      </c>
      <c r="H51" s="20" t="n">
        <v>1.83159418</v>
      </c>
      <c r="I51" s="18" t="n">
        <v>0</v>
      </c>
      <c r="J51" s="20" t="n">
        <v>0</v>
      </c>
      <c r="K51" s="18" t="n">
        <v>0.34095719</v>
      </c>
      <c r="L51" s="20" t="n">
        <v>0.2335406</v>
      </c>
      <c r="M51" s="18" t="n">
        <v>0</v>
      </c>
      <c r="N51" s="20" t="n">
        <v>0</v>
      </c>
      <c r="O51" s="18" t="n">
        <v>0</v>
      </c>
      <c r="P51" s="20" t="n">
        <v>0</v>
      </c>
      <c r="Q51" s="18" t="n">
        <v>1.54776625</v>
      </c>
      <c r="R51" s="20" t="n">
        <v>0.61751231</v>
      </c>
    </row>
    <row r="52" spans="1:18">
      <c r="A52" s="15" t="s">
        <v>611</v>
      </c>
      <c r="B52" s="17" t="n">
        <v>5571</v>
      </c>
      <c r="C52" s="18">
        <f>(4962.0/B52*100)</f>
        <v/>
      </c>
      <c r="D52" s="19" t="n">
        <v>609</v>
      </c>
      <c r="E52" s="18" t="n">
        <v>71.50291521</v>
      </c>
      <c r="F52" s="20" t="n">
        <v>1.96313879</v>
      </c>
      <c r="G52" s="18" t="n">
        <v>24.93459276</v>
      </c>
      <c r="H52" s="20" t="n">
        <v>1.8391061</v>
      </c>
      <c r="I52" s="18" t="n">
        <v>0</v>
      </c>
      <c r="J52" s="20" t="n">
        <v>0</v>
      </c>
      <c r="K52" s="18" t="n">
        <v>0.61500352</v>
      </c>
      <c r="L52" s="20" t="n">
        <v>0.27687654</v>
      </c>
      <c r="M52" s="18" t="n">
        <v>0.22611105</v>
      </c>
      <c r="N52" s="20" t="n">
        <v>0.22760091</v>
      </c>
      <c r="O52" s="18" t="n">
        <v>0</v>
      </c>
      <c r="P52" s="20" t="n">
        <v>0</v>
      </c>
      <c r="Q52" s="18" t="n">
        <v>2.72137746</v>
      </c>
      <c r="R52" s="20" t="n">
        <v>0.68387848</v>
      </c>
    </row>
    <row r="53" spans="1:18">
      <c r="A53" s="15" t="s">
        <v>612</v>
      </c>
      <c r="B53" s="17" t="n">
        <v>4740</v>
      </c>
      <c r="C53" s="18">
        <f>(4203.0/B53*100)</f>
        <v/>
      </c>
      <c r="D53" s="19" t="n">
        <v>537</v>
      </c>
      <c r="E53" s="18" t="n">
        <v>74.87957652999999</v>
      </c>
      <c r="F53" s="20" t="n">
        <v>2.04786914</v>
      </c>
      <c r="G53" s="18" t="n">
        <v>7.00491033</v>
      </c>
      <c r="H53" s="20" t="n">
        <v>1.13435034</v>
      </c>
      <c r="I53" s="18" t="n">
        <v>0</v>
      </c>
      <c r="J53" s="20" t="n">
        <v>0</v>
      </c>
      <c r="K53" s="18" t="n">
        <v>14.24056552</v>
      </c>
      <c r="L53" s="20" t="n">
        <v>1.58975159</v>
      </c>
      <c r="M53" s="18" t="n">
        <v>0.56858047</v>
      </c>
      <c r="N53" s="20" t="n">
        <v>0.43899842</v>
      </c>
      <c r="O53" s="18" t="n">
        <v>0</v>
      </c>
      <c r="P53" s="20" t="n">
        <v>0</v>
      </c>
      <c r="Q53" s="18" t="n">
        <v>3.30636714</v>
      </c>
      <c r="R53" s="20" t="n">
        <v>1.02741176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(4785.0/B55*100)</f>
        <v/>
      </c>
      <c r="D55" s="19" t="n">
        <v>574</v>
      </c>
      <c r="E55" s="18" t="n">
        <v>47.5829873</v>
      </c>
      <c r="F55" s="20" t="n">
        <v>2.19721898</v>
      </c>
      <c r="G55" s="18" t="n">
        <v>51.70651075</v>
      </c>
      <c r="H55" s="20" t="n">
        <v>2.14233647</v>
      </c>
      <c r="I55" s="18" t="n">
        <v>0</v>
      </c>
      <c r="J55" s="20" t="n">
        <v>0</v>
      </c>
      <c r="K55" s="18" t="n">
        <v>0</v>
      </c>
      <c r="L55" s="20" t="n">
        <v>0</v>
      </c>
      <c r="M55" s="18" t="n">
        <v>0</v>
      </c>
      <c r="N55" s="20" t="n">
        <v>0</v>
      </c>
      <c r="O55" s="18" t="n">
        <v>0</v>
      </c>
      <c r="P55" s="20" t="n">
        <v>0</v>
      </c>
      <c r="Q55" s="18" t="n">
        <v>0.71050195</v>
      </c>
      <c r="R55" s="20" t="n">
        <v>0.34532757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(5824.0/B61*100)</f>
        <v/>
      </c>
      <c r="D61" s="19" t="n">
        <v>701</v>
      </c>
      <c r="E61" s="18" t="n">
        <v>47.68519975</v>
      </c>
      <c r="F61" s="20" t="n">
        <v>2.22298395</v>
      </c>
      <c r="G61" s="18" t="n">
        <v>51.41406041</v>
      </c>
      <c r="H61" s="20" t="n">
        <v>2.15790739</v>
      </c>
      <c r="I61" s="18" t="n">
        <v>0</v>
      </c>
      <c r="J61" s="20" t="n">
        <v>0</v>
      </c>
      <c r="K61" s="18" t="n">
        <v>0.1910682</v>
      </c>
      <c r="L61" s="20" t="n">
        <v>0.11713755</v>
      </c>
      <c r="M61" s="18" t="n">
        <v>0</v>
      </c>
      <c r="N61" s="20" t="n">
        <v>0</v>
      </c>
      <c r="O61" s="18" t="n">
        <v>0</v>
      </c>
      <c r="P61" s="20" t="n">
        <v>0</v>
      </c>
      <c r="Q61" s="18" t="n">
        <v>0.70967164</v>
      </c>
      <c r="R61" s="20" t="n">
        <v>0.43881596</v>
      </c>
    </row>
    <row r="62" spans="1:18">
      <c r="A62" s="15" t="s">
        <v>622</v>
      </c>
      <c r="B62" s="17" t="n">
        <v>4476</v>
      </c>
      <c r="C62" s="18">
        <f>(4010.0/B62*100)</f>
        <v/>
      </c>
      <c r="D62" s="19" t="n">
        <v>466</v>
      </c>
      <c r="E62" s="18" t="n">
        <v>52.63259958</v>
      </c>
      <c r="F62" s="20" t="n">
        <v>2.62273049</v>
      </c>
      <c r="G62" s="18" t="n">
        <v>46.27877353</v>
      </c>
      <c r="H62" s="20" t="n">
        <v>2.66989676</v>
      </c>
      <c r="I62" s="18" t="n">
        <v>0</v>
      </c>
      <c r="J62" s="20" t="n">
        <v>0</v>
      </c>
      <c r="K62" s="18" t="n">
        <v>0</v>
      </c>
      <c r="L62" s="20" t="n">
        <v>0</v>
      </c>
      <c r="M62" s="18" t="n">
        <v>0</v>
      </c>
      <c r="N62" s="20" t="n">
        <v>0</v>
      </c>
      <c r="O62" s="18" t="n">
        <v>0</v>
      </c>
      <c r="P62" s="20" t="n">
        <v>0</v>
      </c>
      <c r="Q62" s="18" t="n">
        <v>1.08862688</v>
      </c>
      <c r="R62" s="20" t="n">
        <v>0.37993436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(5065.0/B67*100)</f>
        <v/>
      </c>
      <c r="D67" s="19" t="n">
        <v>600</v>
      </c>
      <c r="E67" s="18" t="n">
        <v>71.53683725</v>
      </c>
      <c r="F67" s="20" t="n">
        <v>1.7524423</v>
      </c>
      <c r="G67" s="18" t="n">
        <v>24.27633204</v>
      </c>
      <c r="H67" s="20" t="n">
        <v>1.51321626</v>
      </c>
      <c r="I67" s="18" t="n">
        <v>0</v>
      </c>
      <c r="J67" s="20" t="n">
        <v>0</v>
      </c>
      <c r="K67" s="18" t="n">
        <v>0.13922281</v>
      </c>
      <c r="L67" s="20" t="n">
        <v>0.13908831</v>
      </c>
      <c r="M67" s="18" t="n">
        <v>0.46470345</v>
      </c>
      <c r="N67" s="20" t="n">
        <v>0.26464995</v>
      </c>
      <c r="O67" s="18" t="n">
        <v>0</v>
      </c>
      <c r="P67" s="20" t="n">
        <v>0</v>
      </c>
      <c r="Q67" s="18" t="n">
        <v>3.58290446</v>
      </c>
      <c r="R67" s="20" t="n">
        <v>0.78236751</v>
      </c>
    </row>
    <row r="68" spans="1:18">
      <c r="A68" s="15" t="s">
        <v>628</v>
      </c>
      <c r="B68" s="17" t="n">
        <v>6971</v>
      </c>
      <c r="C68" s="18">
        <f>(6295.0/B68*100)</f>
        <v/>
      </c>
      <c r="D68" s="19" t="n">
        <v>676</v>
      </c>
      <c r="E68" s="18" t="n">
        <v>77.51398081000001</v>
      </c>
      <c r="F68" s="20" t="n">
        <v>1.68663931</v>
      </c>
      <c r="G68" s="18" t="n">
        <v>20.96239577</v>
      </c>
      <c r="H68" s="20" t="n">
        <v>1.66926971</v>
      </c>
      <c r="I68" s="18" t="n">
        <v>0</v>
      </c>
      <c r="J68" s="20" t="n">
        <v>0</v>
      </c>
      <c r="K68" s="18" t="n">
        <v>0.24203469</v>
      </c>
      <c r="L68" s="20" t="n">
        <v>0.17255419</v>
      </c>
      <c r="M68" s="18" t="n">
        <v>0.26273495</v>
      </c>
      <c r="N68" s="20" t="n">
        <v>0.23928059</v>
      </c>
      <c r="O68" s="18" t="n">
        <v>0</v>
      </c>
      <c r="P68" s="20" t="n">
        <v>0</v>
      </c>
      <c r="Q68" s="18" t="n">
        <v>1.01885377</v>
      </c>
      <c r="R68" s="20" t="n">
        <v>0.34637286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(10728.0/B70*100)</f>
        <v/>
      </c>
      <c r="D70" s="19" t="n">
        <v>1355</v>
      </c>
      <c r="E70" s="18" t="n">
        <v>82.8785961</v>
      </c>
      <c r="F70" s="20" t="n">
        <v>1.1693184</v>
      </c>
      <c r="G70" s="18" t="n">
        <v>11.93679675</v>
      </c>
      <c r="H70" s="20" t="n">
        <v>0.9897590000000001</v>
      </c>
      <c r="I70" s="18" t="n">
        <v>0</v>
      </c>
      <c r="J70" s="20" t="n">
        <v>0</v>
      </c>
      <c r="K70" s="18" t="n">
        <v>2.23643683</v>
      </c>
      <c r="L70" s="20" t="n">
        <v>0.38709107</v>
      </c>
      <c r="M70" s="18" t="n">
        <v>0.07013469999999999</v>
      </c>
      <c r="N70" s="20" t="n">
        <v>0.07027509</v>
      </c>
      <c r="O70" s="18" t="n">
        <v>0</v>
      </c>
      <c r="P70" s="20" t="n">
        <v>0</v>
      </c>
      <c r="Q70" s="18" t="n">
        <v>2.87803562</v>
      </c>
      <c r="R70" s="20" t="n">
        <v>0.45237937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(5414.0/B72*100)</f>
        <v/>
      </c>
      <c r="D72" s="19" t="n">
        <v>622</v>
      </c>
      <c r="E72" s="18" t="n">
        <v>53.09117698</v>
      </c>
      <c r="F72" s="20" t="n">
        <v>2.64890113</v>
      </c>
      <c r="G72" s="18" t="n">
        <v>44.80177463</v>
      </c>
      <c r="H72" s="20" t="n">
        <v>2.73049932</v>
      </c>
      <c r="I72" s="18" t="n">
        <v>0</v>
      </c>
      <c r="J72" s="20" t="n">
        <v>0</v>
      </c>
      <c r="K72" s="18" t="n">
        <v>0.65132591</v>
      </c>
      <c r="L72" s="20" t="n">
        <v>0.40887882</v>
      </c>
      <c r="M72" s="18" t="n">
        <v>0</v>
      </c>
      <c r="N72" s="20" t="n">
        <v>0</v>
      </c>
      <c r="O72" s="18" t="n">
        <v>0</v>
      </c>
      <c r="P72" s="20" t="n">
        <v>0</v>
      </c>
      <c r="Q72" s="18" t="n">
        <v>1.45572248</v>
      </c>
      <c r="R72" s="20" t="n">
        <v>0.49216153</v>
      </c>
    </row>
    <row r="73" spans="1:18">
      <c r="A73" s="15" t="s">
        <v>633</v>
      </c>
      <c r="B73" s="17" t="n">
        <v>6115</v>
      </c>
      <c r="C73" s="18">
        <f>(5428.0/B73*100)</f>
        <v/>
      </c>
      <c r="D73" s="19" t="n">
        <v>687</v>
      </c>
      <c r="E73" s="18" t="n">
        <v>54.8099114</v>
      </c>
      <c r="F73" s="20" t="n">
        <v>2.04846526</v>
      </c>
      <c r="G73" s="18" t="n">
        <v>43.61201883</v>
      </c>
      <c r="H73" s="20" t="n">
        <v>2.04424969</v>
      </c>
      <c r="I73" s="18" t="n">
        <v>0</v>
      </c>
      <c r="J73" s="20" t="n">
        <v>0</v>
      </c>
      <c r="K73" s="18" t="n">
        <v>0.23418304</v>
      </c>
      <c r="L73" s="20" t="n">
        <v>0.22404879</v>
      </c>
      <c r="M73" s="18" t="n">
        <v>0</v>
      </c>
      <c r="N73" s="20" t="n">
        <v>0</v>
      </c>
      <c r="O73" s="18" t="n">
        <v>0</v>
      </c>
      <c r="P73" s="20" t="n">
        <v>0</v>
      </c>
      <c r="Q73" s="18" t="n">
        <v>1.34388672</v>
      </c>
      <c r="R73" s="20" t="n">
        <v>0.44533398</v>
      </c>
    </row>
    <row r="74" spans="1:18">
      <c r="A74" s="15" t="s">
        <v>634</v>
      </c>
      <c r="B74" s="17" t="n">
        <v>7708</v>
      </c>
      <c r="C74" s="18">
        <f>(6865.0/B74*100)</f>
        <v/>
      </c>
      <c r="D74" s="19" t="n">
        <v>843</v>
      </c>
      <c r="E74" s="18" t="n">
        <v>46.32847723</v>
      </c>
      <c r="F74" s="20" t="n">
        <v>1.82029924</v>
      </c>
      <c r="G74" s="18" t="n">
        <v>53.16013745</v>
      </c>
      <c r="H74" s="20" t="n">
        <v>1.84358663</v>
      </c>
      <c r="I74" s="18" t="n">
        <v>0</v>
      </c>
      <c r="J74" s="20" t="n">
        <v>0</v>
      </c>
      <c r="K74" s="18" t="n">
        <v>0.15688412</v>
      </c>
      <c r="L74" s="20" t="n">
        <v>0.15745329</v>
      </c>
      <c r="M74" s="18" t="n">
        <v>0</v>
      </c>
      <c r="N74" s="20" t="n">
        <v>0</v>
      </c>
      <c r="O74" s="18" t="n">
        <v>0</v>
      </c>
      <c r="P74" s="20" t="n">
        <v>0</v>
      </c>
      <c r="Q74" s="18" t="n">
        <v>0.3545012</v>
      </c>
      <c r="R74" s="20" t="n">
        <v>0.20665333</v>
      </c>
    </row>
    <row r="75" spans="1:18">
      <c r="A75" s="15" t="s">
        <v>635</v>
      </c>
      <c r="B75" s="17" t="n">
        <v>8249</v>
      </c>
      <c r="C75" s="18">
        <f>(7406.0/B75*100)</f>
        <v/>
      </c>
      <c r="D75" s="19" t="n">
        <v>843</v>
      </c>
      <c r="E75" s="18" t="n">
        <v>69.46217897</v>
      </c>
      <c r="F75" s="20" t="n">
        <v>2.0659582</v>
      </c>
      <c r="G75" s="18" t="n">
        <v>29.67681358</v>
      </c>
      <c r="H75" s="20" t="n">
        <v>2.04264918</v>
      </c>
      <c r="I75" s="18" t="n">
        <v>0</v>
      </c>
      <c r="J75" s="20" t="n">
        <v>0</v>
      </c>
      <c r="K75" s="18" t="n">
        <v>0</v>
      </c>
      <c r="L75" s="20" t="n">
        <v>0</v>
      </c>
      <c r="M75" s="18" t="n">
        <v>0.17738865</v>
      </c>
      <c r="N75" s="20" t="n">
        <v>0.17439677</v>
      </c>
      <c r="O75" s="18" t="n">
        <v>0</v>
      </c>
      <c r="P75" s="20" t="n">
        <v>0</v>
      </c>
      <c r="Q75" s="18" t="n">
        <v>0.6836188</v>
      </c>
      <c r="R75" s="20" t="n">
        <v>0.35969722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(4855.0/B77*100)</f>
        <v/>
      </c>
      <c r="D77" s="19" t="n">
        <v>520</v>
      </c>
      <c r="E77" s="18" t="n">
        <v>89.35808609999999</v>
      </c>
      <c r="F77" s="20" t="n">
        <v>1.40028597</v>
      </c>
      <c r="G77" s="18" t="n">
        <v>4.98920375</v>
      </c>
      <c r="H77" s="20" t="n">
        <v>0.91443283</v>
      </c>
      <c r="I77" s="18" t="n">
        <v>0</v>
      </c>
      <c r="J77" s="20" t="n">
        <v>0</v>
      </c>
      <c r="K77" s="18" t="n">
        <v>2.35472502</v>
      </c>
      <c r="L77" s="20" t="n">
        <v>0.60163772</v>
      </c>
      <c r="M77" s="18" t="n">
        <v>0.62916258</v>
      </c>
      <c r="N77" s="20" t="n">
        <v>0.35041357</v>
      </c>
      <c r="O77" s="18" t="n">
        <v>0</v>
      </c>
      <c r="P77" s="20" t="n">
        <v>0</v>
      </c>
      <c r="Q77" s="18" t="n">
        <v>2.66882254</v>
      </c>
      <c r="R77" s="20" t="n">
        <v>0.68492615</v>
      </c>
    </row>
    <row r="78" spans="1:18">
      <c r="A78" s="15" t="s">
        <v>638</v>
      </c>
      <c r="B78" s="17" t="n">
        <v>14167</v>
      </c>
      <c r="C78" s="18">
        <f>(12618.0/B78*100)</f>
        <v/>
      </c>
      <c r="D78" s="19" t="n">
        <v>1549</v>
      </c>
      <c r="E78" s="18" t="n">
        <v>80.42564126000001</v>
      </c>
      <c r="F78" s="20" t="n">
        <v>1.13253266</v>
      </c>
      <c r="G78" s="18" t="n">
        <v>15.20842039</v>
      </c>
      <c r="H78" s="20" t="n">
        <v>1.20432828</v>
      </c>
      <c r="I78" s="18" t="n">
        <v>0</v>
      </c>
      <c r="J78" s="20" t="n">
        <v>0</v>
      </c>
      <c r="K78" s="18" t="n">
        <v>1.32996836</v>
      </c>
      <c r="L78" s="20" t="n">
        <v>0.36003989</v>
      </c>
      <c r="M78" s="18" t="n">
        <v>0.21015673</v>
      </c>
      <c r="N78" s="20" t="n">
        <v>0.12973305</v>
      </c>
      <c r="O78" s="18" t="n">
        <v>0</v>
      </c>
      <c r="P78" s="20" t="n">
        <v>0</v>
      </c>
      <c r="Q78" s="18" t="n">
        <v>2.82581327</v>
      </c>
      <c r="R78" s="20" t="n">
        <v>0.54476236</v>
      </c>
    </row>
    <row r="79" spans="1:18">
      <c r="A79" s="15" t="s">
        <v>639</v>
      </c>
      <c r="B79" s="17" t="n">
        <v>6062</v>
      </c>
      <c r="C79" s="18">
        <f>(5408.0/B79*100)</f>
        <v/>
      </c>
      <c r="D79" s="19" t="n">
        <v>654</v>
      </c>
      <c r="E79" s="18" t="n">
        <v>69.54429268</v>
      </c>
      <c r="F79" s="20" t="n">
        <v>1.78708592</v>
      </c>
      <c r="G79" s="18" t="n">
        <v>25.30842134</v>
      </c>
      <c r="H79" s="20" t="n">
        <v>1.63423117</v>
      </c>
      <c r="I79" s="18" t="n">
        <v>0</v>
      </c>
      <c r="J79" s="20" t="n">
        <v>0</v>
      </c>
      <c r="K79" s="18" t="n">
        <v>0.7109543</v>
      </c>
      <c r="L79" s="20" t="n">
        <v>0.32477242</v>
      </c>
      <c r="M79" s="18" t="n">
        <v>0</v>
      </c>
      <c r="N79" s="20" t="n">
        <v>0</v>
      </c>
      <c r="O79" s="18" t="n">
        <v>0</v>
      </c>
      <c r="P79" s="20" t="n">
        <v>0</v>
      </c>
      <c r="Q79" s="18" t="n">
        <v>4.43633168</v>
      </c>
      <c r="R79" s="20" t="n">
        <v>0.83544575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(28813.0/B82*100)</f>
        <v/>
      </c>
      <c r="D82" s="19" t="n">
        <v>3517</v>
      </c>
      <c r="E82" s="18" t="n">
        <v>64.93954628</v>
      </c>
      <c r="F82" s="20" t="n">
        <v>1.45505194</v>
      </c>
      <c r="G82" s="18" t="n">
        <v>31.93007444</v>
      </c>
      <c r="H82" s="20" t="n">
        <v>1.31021264</v>
      </c>
      <c r="I82" s="18" t="n">
        <v>0</v>
      </c>
      <c r="J82" s="20" t="n">
        <v>0</v>
      </c>
      <c r="K82" s="18" t="n">
        <v>0.24677655</v>
      </c>
      <c r="L82" s="20" t="n">
        <v>0.12917568</v>
      </c>
      <c r="M82" s="18" t="n">
        <v>0.15251593</v>
      </c>
      <c r="N82" s="20" t="n">
        <v>0.12395039</v>
      </c>
      <c r="O82" s="18" t="n">
        <v>0</v>
      </c>
      <c r="P82" s="20" t="n">
        <v>0</v>
      </c>
      <c r="Q82" s="18" t="n">
        <v>2.73108681</v>
      </c>
      <c r="R82" s="20" t="n">
        <v>0.43589203</v>
      </c>
    </row>
    <row r="83" spans="1:18">
      <c r="A83" s="15" t="s">
        <v>643</v>
      </c>
      <c r="B83" s="17" t="n">
        <v>1652</v>
      </c>
      <c r="C83" s="18">
        <f>(1476.0/B83*100)</f>
        <v/>
      </c>
      <c r="D83" s="19" t="n">
        <v>176</v>
      </c>
      <c r="E83" s="18" t="n">
        <v>51.53658257</v>
      </c>
      <c r="F83" s="20" t="n">
        <v>4.12197052</v>
      </c>
      <c r="G83" s="18" t="n">
        <v>47.74639442</v>
      </c>
      <c r="H83" s="20" t="n">
        <v>4.29545681</v>
      </c>
      <c r="I83" s="18" t="n">
        <v>0</v>
      </c>
      <c r="J83" s="20" t="n">
        <v>0</v>
      </c>
      <c r="K83" s="18" t="n">
        <v>0.71702301</v>
      </c>
      <c r="L83" s="20" t="n">
        <v>0.70453666</v>
      </c>
      <c r="M83" s="18" t="n">
        <v>0</v>
      </c>
      <c r="N83" s="20" t="n">
        <v>0</v>
      </c>
      <c r="O83" s="18" t="n">
        <v>0</v>
      </c>
      <c r="P83" s="20" t="n">
        <v>0</v>
      </c>
      <c r="Q83" s="18" t="n">
        <v>0</v>
      </c>
      <c r="R83" s="20" t="n">
        <v>0</v>
      </c>
    </row>
    <row r="84" spans="1:18">
      <c r="A84" s="23" t="s">
        <v>644</v>
      </c>
      <c r="B84" s="24" t="n">
        <v>1887</v>
      </c>
      <c r="C84" s="25">
        <f>(1702.0/B84*100)</f>
        <v/>
      </c>
      <c r="D84" s="19" t="n">
        <v>185</v>
      </c>
      <c r="E84" s="18" t="n">
        <v>57.91401108</v>
      </c>
      <c r="F84" s="20" t="n">
        <v>3.54874464</v>
      </c>
      <c r="G84" s="18" t="n">
        <v>41.65797332</v>
      </c>
      <c r="H84" s="20" t="n">
        <v>3.51288331</v>
      </c>
      <c r="I84" s="18" t="n">
        <v>0</v>
      </c>
      <c r="J84" s="20" t="n">
        <v>0</v>
      </c>
      <c r="K84" s="18" t="n">
        <v>0</v>
      </c>
      <c r="L84" s="20" t="n">
        <v>0</v>
      </c>
      <c r="M84" s="18" t="n">
        <v>0</v>
      </c>
      <c r="N84" s="20" t="n">
        <v>0</v>
      </c>
      <c r="O84" s="18" t="n">
        <v>0</v>
      </c>
      <c r="P84" s="20" t="n">
        <v>0</v>
      </c>
      <c r="Q84" s="18" t="n">
        <v>0.4280156</v>
      </c>
      <c r="R84" s="20" t="n">
        <v>0.4004113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709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(12961.0/B7*100)</f>
        <v/>
      </c>
      <c r="D7" s="19" t="n">
        <v>1569</v>
      </c>
      <c r="E7" s="18" t="n">
        <v>44.57680989</v>
      </c>
      <c r="F7" s="20" t="n">
        <v>1.32244182</v>
      </c>
      <c r="G7" s="18" t="n">
        <v>49.3962335</v>
      </c>
      <c r="H7" s="20" t="n">
        <v>1.33222828</v>
      </c>
      <c r="I7" s="18" t="n">
        <v>0</v>
      </c>
      <c r="J7" s="20" t="n">
        <v>0</v>
      </c>
      <c r="K7" s="18" t="n">
        <v>0.14304347</v>
      </c>
      <c r="L7" s="20" t="n">
        <v>0.08015648</v>
      </c>
      <c r="M7" s="18" t="n">
        <v>0.10455589</v>
      </c>
      <c r="N7" s="20" t="n">
        <v>0.08941466000000001</v>
      </c>
      <c r="O7" s="18" t="n">
        <v>0</v>
      </c>
      <c r="P7" s="20" t="n">
        <v>0</v>
      </c>
      <c r="Q7" s="18" t="n">
        <v>5.77935725</v>
      </c>
      <c r="R7" s="20" t="n">
        <v>0.56154309</v>
      </c>
    </row>
    <row r="8" spans="1:18">
      <c r="A8" s="15" t="s">
        <v>566</v>
      </c>
      <c r="B8" s="17" t="n">
        <v>7007</v>
      </c>
      <c r="C8" s="18">
        <f>(6225.0/B8*100)</f>
        <v/>
      </c>
      <c r="D8" s="19" t="n">
        <v>782</v>
      </c>
      <c r="E8" s="18" t="n">
        <v>34.41669799</v>
      </c>
      <c r="F8" s="20" t="n">
        <v>1.68783625</v>
      </c>
      <c r="G8" s="18" t="n">
        <v>60.9555642</v>
      </c>
      <c r="H8" s="20" t="n">
        <v>1.67376444</v>
      </c>
      <c r="I8" s="18" t="n">
        <v>0</v>
      </c>
      <c r="J8" s="20" t="n">
        <v>0</v>
      </c>
      <c r="K8" s="18" t="n">
        <v>0.15132865</v>
      </c>
      <c r="L8" s="20" t="n">
        <v>0.23216606</v>
      </c>
      <c r="M8" s="18" t="n">
        <v>0</v>
      </c>
      <c r="N8" s="20" t="n">
        <v>0</v>
      </c>
      <c r="O8" s="18" t="n">
        <v>0</v>
      </c>
      <c r="P8" s="20" t="n">
        <v>0</v>
      </c>
      <c r="Q8" s="18" t="n">
        <v>4.47640916</v>
      </c>
      <c r="R8" s="20" t="n">
        <v>0.8178808</v>
      </c>
    </row>
    <row r="9" spans="1:18">
      <c r="A9" s="15" t="s">
        <v>567</v>
      </c>
      <c r="B9" s="17" t="n">
        <v>9651</v>
      </c>
      <c r="C9" s="18">
        <f>(8644.0/B9*100)</f>
        <v/>
      </c>
      <c r="D9" s="19" t="n">
        <v>1007</v>
      </c>
      <c r="E9" s="18" t="n">
        <v>32.44262038</v>
      </c>
      <c r="F9" s="20" t="n">
        <v>1.38611736</v>
      </c>
      <c r="G9" s="18" t="n">
        <v>62.65814511</v>
      </c>
      <c r="H9" s="20" t="n">
        <v>1.56654067</v>
      </c>
      <c r="I9" s="18" t="n">
        <v>0</v>
      </c>
      <c r="J9" s="20" t="n">
        <v>0</v>
      </c>
      <c r="K9" s="18" t="n">
        <v>0.32586461</v>
      </c>
      <c r="L9" s="20" t="n">
        <v>0.1617556</v>
      </c>
      <c r="M9" s="18" t="n">
        <v>0.48286167</v>
      </c>
      <c r="N9" s="20" t="n">
        <v>0.15448009</v>
      </c>
      <c r="O9" s="18" t="n">
        <v>0</v>
      </c>
      <c r="P9" s="20" t="n">
        <v>0</v>
      </c>
      <c r="Q9" s="18" t="n">
        <v>4.09050822</v>
      </c>
      <c r="R9" s="20" t="n">
        <v>0.6733183</v>
      </c>
    </row>
    <row r="10" spans="1:18">
      <c r="A10" s="15" t="s">
        <v>568</v>
      </c>
      <c r="B10" s="17" t="n">
        <v>20058</v>
      </c>
      <c r="C10" s="18">
        <f>(17890.0/B10*100)</f>
        <v/>
      </c>
      <c r="D10" s="19" t="n">
        <v>2168</v>
      </c>
      <c r="E10" s="18" t="n">
        <v>36.22703233</v>
      </c>
      <c r="F10" s="20" t="n">
        <v>1.43808935</v>
      </c>
      <c r="G10" s="18" t="n">
        <v>59.80203722</v>
      </c>
      <c r="H10" s="20" t="n">
        <v>1.51724568</v>
      </c>
      <c r="I10" s="18" t="n">
        <v>0</v>
      </c>
      <c r="J10" s="20" t="n">
        <v>0</v>
      </c>
      <c r="K10" s="18" t="n">
        <v>0.2101544</v>
      </c>
      <c r="L10" s="20" t="n">
        <v>0.10260939</v>
      </c>
      <c r="M10" s="18" t="n">
        <v>0</v>
      </c>
      <c r="N10" s="20" t="n">
        <v>0</v>
      </c>
      <c r="O10" s="18" t="n">
        <v>0</v>
      </c>
      <c r="P10" s="20" t="n">
        <v>0</v>
      </c>
      <c r="Q10" s="18" t="n">
        <v>3.76077604</v>
      </c>
      <c r="R10" s="20" t="n">
        <v>0.52441701</v>
      </c>
    </row>
    <row r="11" spans="1:18">
      <c r="A11" s="15" t="s">
        <v>569</v>
      </c>
      <c r="B11" s="17" t="n">
        <v>7053</v>
      </c>
      <c r="C11" s="18">
        <f>(6277.0/B11*100)</f>
        <v/>
      </c>
      <c r="D11" s="19" t="n">
        <v>776</v>
      </c>
      <c r="E11" s="18" t="n">
        <v>44.51715916</v>
      </c>
      <c r="F11" s="20" t="n">
        <v>2.19969454</v>
      </c>
      <c r="G11" s="18" t="n">
        <v>47.18201444</v>
      </c>
      <c r="H11" s="20" t="n">
        <v>2.1665721</v>
      </c>
      <c r="I11" s="18" t="n">
        <v>0</v>
      </c>
      <c r="J11" s="20" t="n">
        <v>0</v>
      </c>
      <c r="K11" s="18" t="n">
        <v>0.98961057</v>
      </c>
      <c r="L11" s="20" t="n">
        <v>0.37041752</v>
      </c>
      <c r="M11" s="18" t="n">
        <v>0</v>
      </c>
      <c r="N11" s="20" t="n">
        <v>0</v>
      </c>
      <c r="O11" s="18" t="n">
        <v>0</v>
      </c>
      <c r="P11" s="20" t="n">
        <v>0</v>
      </c>
      <c r="Q11" s="18" t="n">
        <v>7.31121583</v>
      </c>
      <c r="R11" s="20" t="n">
        <v>1.20210043</v>
      </c>
    </row>
    <row r="12" spans="1:18">
      <c r="A12" s="15" t="s">
        <v>570</v>
      </c>
      <c r="B12" s="17" t="n">
        <v>6894</v>
      </c>
      <c r="C12" s="18">
        <f>(6145.0/B12*100)</f>
        <v/>
      </c>
      <c r="D12" s="19" t="n">
        <v>749</v>
      </c>
      <c r="E12" s="18" t="n">
        <v>35.83758525</v>
      </c>
      <c r="F12" s="20" t="n">
        <v>1.80825641</v>
      </c>
      <c r="G12" s="18" t="n">
        <v>59.42160577</v>
      </c>
      <c r="H12" s="20" t="n">
        <v>1.93638396</v>
      </c>
      <c r="I12" s="18" t="n">
        <v>0</v>
      </c>
      <c r="J12" s="20" t="n">
        <v>0</v>
      </c>
      <c r="K12" s="18" t="n">
        <v>0.39517912</v>
      </c>
      <c r="L12" s="20" t="n">
        <v>0.275501</v>
      </c>
      <c r="M12" s="18" t="n">
        <v>0.07862682</v>
      </c>
      <c r="N12" s="20" t="n">
        <v>0.10553699</v>
      </c>
      <c r="O12" s="18" t="n">
        <v>0</v>
      </c>
      <c r="P12" s="20" t="n">
        <v>0</v>
      </c>
      <c r="Q12" s="18" t="n">
        <v>4.26700305</v>
      </c>
      <c r="R12" s="20" t="n">
        <v>0.85504524</v>
      </c>
    </row>
    <row r="13" spans="1:18">
      <c r="A13" s="15" t="s">
        <v>571</v>
      </c>
      <c r="B13" s="17" t="n">
        <v>7161</v>
      </c>
      <c r="C13" s="18">
        <f>(6423.0/B13*100)</f>
        <v/>
      </c>
      <c r="D13" s="19" t="n">
        <v>738</v>
      </c>
      <c r="E13" s="18" t="n">
        <v>56.03319849</v>
      </c>
      <c r="F13" s="20" t="n">
        <v>2.25274096</v>
      </c>
      <c r="G13" s="18" t="n">
        <v>37.3335413</v>
      </c>
      <c r="H13" s="20" t="n">
        <v>2.3326071</v>
      </c>
      <c r="I13" s="18" t="n">
        <v>0</v>
      </c>
      <c r="J13" s="20" t="n">
        <v>0</v>
      </c>
      <c r="K13" s="18" t="n">
        <v>0.6041241899999999</v>
      </c>
      <c r="L13" s="20" t="n">
        <v>0.29817</v>
      </c>
      <c r="M13" s="18" t="n">
        <v>0</v>
      </c>
      <c r="N13" s="20" t="n">
        <v>0</v>
      </c>
      <c r="O13" s="18" t="n">
        <v>0</v>
      </c>
      <c r="P13" s="20" t="n">
        <v>0</v>
      </c>
      <c r="Q13" s="18" t="n">
        <v>6.02913603</v>
      </c>
      <c r="R13" s="20" t="n">
        <v>0.99871014</v>
      </c>
    </row>
    <row r="14" spans="1:18">
      <c r="A14" s="15" t="s">
        <v>572</v>
      </c>
      <c r="B14" s="17" t="n">
        <v>5587</v>
      </c>
      <c r="C14" s="18">
        <f>(4995.0/B14*100)</f>
        <v/>
      </c>
      <c r="D14" s="19" t="n">
        <v>592</v>
      </c>
      <c r="E14" s="18" t="n">
        <v>29.92568917</v>
      </c>
      <c r="F14" s="20" t="n">
        <v>2.29955901</v>
      </c>
      <c r="G14" s="18" t="n">
        <v>68.05345899</v>
      </c>
      <c r="H14" s="20" t="n">
        <v>2.34763302</v>
      </c>
      <c r="I14" s="18" t="n">
        <v>0</v>
      </c>
      <c r="J14" s="20" t="n">
        <v>0</v>
      </c>
      <c r="K14" s="18" t="n">
        <v>0.41773356</v>
      </c>
      <c r="L14" s="20" t="n">
        <v>0.40421579</v>
      </c>
      <c r="M14" s="18" t="n">
        <v>0</v>
      </c>
      <c r="N14" s="20" t="n">
        <v>0</v>
      </c>
      <c r="O14" s="18" t="n">
        <v>0</v>
      </c>
      <c r="P14" s="20" t="n">
        <v>0</v>
      </c>
      <c r="Q14" s="18" t="n">
        <v>1.60311827</v>
      </c>
      <c r="R14" s="20" t="n">
        <v>0.56164064</v>
      </c>
    </row>
    <row r="15" spans="1:18">
      <c r="A15" s="15" t="s">
        <v>573</v>
      </c>
      <c r="B15" s="17" t="n">
        <v>5882</v>
      </c>
      <c r="C15" s="18">
        <f>(5222.0/B15*100)</f>
        <v/>
      </c>
      <c r="D15" s="19" t="n">
        <v>660</v>
      </c>
      <c r="E15" s="18" t="n">
        <v>39.93771649</v>
      </c>
      <c r="F15" s="20" t="n">
        <v>1.94887847</v>
      </c>
      <c r="G15" s="18" t="n">
        <v>56.57167977</v>
      </c>
      <c r="H15" s="20" t="n">
        <v>2.08534702</v>
      </c>
      <c r="I15" s="18" t="n">
        <v>0</v>
      </c>
      <c r="J15" s="20" t="n">
        <v>0</v>
      </c>
      <c r="K15" s="18" t="n">
        <v>0</v>
      </c>
      <c r="L15" s="20" t="n">
        <v>0</v>
      </c>
      <c r="M15" s="18" t="n">
        <v>0.13247557</v>
      </c>
      <c r="N15" s="20" t="n">
        <v>0.12832151</v>
      </c>
      <c r="O15" s="18" t="n">
        <v>0</v>
      </c>
      <c r="P15" s="20" t="n">
        <v>0</v>
      </c>
      <c r="Q15" s="18" t="n">
        <v>3.35812816</v>
      </c>
      <c r="R15" s="20" t="n">
        <v>0.75882449</v>
      </c>
    </row>
    <row r="16" spans="1:18">
      <c r="A16" s="15" t="s">
        <v>574</v>
      </c>
      <c r="B16" s="17" t="n">
        <v>6108</v>
      </c>
      <c r="C16" s="18">
        <f>(5470.0/B16*100)</f>
        <v/>
      </c>
      <c r="D16" s="19" t="n">
        <v>638</v>
      </c>
      <c r="E16" s="18" t="n">
        <v>31.8986521</v>
      </c>
      <c r="F16" s="20" t="n">
        <v>2.069734</v>
      </c>
      <c r="G16" s="18" t="n">
        <v>59.19834881</v>
      </c>
      <c r="H16" s="20" t="n">
        <v>2.34189793</v>
      </c>
      <c r="I16" s="18" t="n">
        <v>0</v>
      </c>
      <c r="J16" s="20" t="n">
        <v>0</v>
      </c>
      <c r="K16" s="18" t="n">
        <v>0.29640944</v>
      </c>
      <c r="L16" s="20" t="n">
        <v>0.2167374</v>
      </c>
      <c r="M16" s="18" t="n">
        <v>0</v>
      </c>
      <c r="N16" s="20" t="n">
        <v>0</v>
      </c>
      <c r="O16" s="18" t="n">
        <v>0</v>
      </c>
      <c r="P16" s="20" t="n">
        <v>0</v>
      </c>
      <c r="Q16" s="18" t="n">
        <v>8.606589639999999</v>
      </c>
      <c r="R16" s="20" t="n">
        <v>1.1924158</v>
      </c>
    </row>
    <row r="17" spans="1:18">
      <c r="A17" s="15" t="s">
        <v>575</v>
      </c>
      <c r="B17" s="17" t="n">
        <v>6504</v>
      </c>
      <c r="C17" s="18">
        <f>(5818.0/B17*100)</f>
        <v/>
      </c>
      <c r="D17" s="19" t="n">
        <v>686</v>
      </c>
      <c r="E17" s="18" t="n">
        <v>33.37634965</v>
      </c>
      <c r="F17" s="20" t="n">
        <v>2.17791324</v>
      </c>
      <c r="G17" s="18" t="n">
        <v>62.55728619</v>
      </c>
      <c r="H17" s="20" t="n">
        <v>2.00951356</v>
      </c>
      <c r="I17" s="18" t="n">
        <v>0</v>
      </c>
      <c r="J17" s="20" t="n">
        <v>0</v>
      </c>
      <c r="K17" s="18" t="n">
        <v>0.46170185</v>
      </c>
      <c r="L17" s="20" t="n">
        <v>0.26422597</v>
      </c>
      <c r="M17" s="18" t="n">
        <v>0</v>
      </c>
      <c r="N17" s="20" t="n">
        <v>0</v>
      </c>
      <c r="O17" s="18" t="n">
        <v>0</v>
      </c>
      <c r="P17" s="20" t="n">
        <v>0</v>
      </c>
      <c r="Q17" s="18" t="n">
        <v>3.60466231</v>
      </c>
      <c r="R17" s="20" t="n">
        <v>0.70869508</v>
      </c>
    </row>
    <row r="18" spans="1:18">
      <c r="A18" s="15" t="s">
        <v>576</v>
      </c>
      <c r="B18" s="17" t="n">
        <v>5532</v>
      </c>
      <c r="C18" s="18">
        <f>(4941.0/B18*100)</f>
        <v/>
      </c>
      <c r="D18" s="19" t="n">
        <v>591</v>
      </c>
      <c r="E18" s="18" t="n">
        <v>58.20759929</v>
      </c>
      <c r="F18" s="20" t="n">
        <v>2.61060368</v>
      </c>
      <c r="G18" s="18" t="n">
        <v>34.58751161</v>
      </c>
      <c r="H18" s="20" t="n">
        <v>2.3312095</v>
      </c>
      <c r="I18" s="18" t="n">
        <v>0</v>
      </c>
      <c r="J18" s="20" t="n">
        <v>0</v>
      </c>
      <c r="K18" s="18" t="n">
        <v>0.19848622</v>
      </c>
      <c r="L18" s="20" t="n">
        <v>0.1965075</v>
      </c>
      <c r="M18" s="18" t="n">
        <v>0</v>
      </c>
      <c r="N18" s="20" t="n">
        <v>0</v>
      </c>
      <c r="O18" s="18" t="n">
        <v>0</v>
      </c>
      <c r="P18" s="20" t="n">
        <v>0</v>
      </c>
      <c r="Q18" s="18" t="n">
        <v>7.00640288</v>
      </c>
      <c r="R18" s="20" t="n">
        <v>1.12504683</v>
      </c>
    </row>
    <row r="19" spans="1:18">
      <c r="A19" s="15" t="s">
        <v>577</v>
      </c>
      <c r="B19" s="17" t="n">
        <v>5658</v>
      </c>
      <c r="C19" s="18">
        <f>(5025.0/B19*100)</f>
        <v/>
      </c>
      <c r="D19" s="19" t="n">
        <v>633</v>
      </c>
      <c r="E19" s="18" t="n">
        <v>48.86718607</v>
      </c>
      <c r="F19" s="20" t="n">
        <v>2.04240579</v>
      </c>
      <c r="G19" s="18" t="n">
        <v>48.16956304</v>
      </c>
      <c r="H19" s="20" t="n">
        <v>2.06394563</v>
      </c>
      <c r="I19" s="18" t="n">
        <v>0</v>
      </c>
      <c r="J19" s="20" t="n">
        <v>0</v>
      </c>
      <c r="K19" s="18" t="n">
        <v>0</v>
      </c>
      <c r="L19" s="20" t="n">
        <v>0</v>
      </c>
      <c r="M19" s="18" t="n">
        <v>0.14787821</v>
      </c>
      <c r="N19" s="20" t="n">
        <v>0.14825929</v>
      </c>
      <c r="O19" s="18" t="n">
        <v>0</v>
      </c>
      <c r="P19" s="20" t="n">
        <v>0</v>
      </c>
      <c r="Q19" s="18" t="n">
        <v>2.81537268</v>
      </c>
      <c r="R19" s="20" t="n">
        <v>0.58759489</v>
      </c>
    </row>
    <row r="20" spans="1:18">
      <c r="A20" s="15" t="s">
        <v>578</v>
      </c>
      <c r="B20" s="17" t="n">
        <v>3371</v>
      </c>
      <c r="C20" s="18">
        <f>(3029.0/B20*100)</f>
        <v/>
      </c>
      <c r="D20" s="19" t="n">
        <v>342</v>
      </c>
      <c r="E20" s="18" t="n">
        <v>46.97398387</v>
      </c>
      <c r="F20" s="20" t="n">
        <v>2.80871213</v>
      </c>
      <c r="G20" s="18" t="n">
        <v>44.12919952</v>
      </c>
      <c r="H20" s="20" t="n">
        <v>2.80527928</v>
      </c>
      <c r="I20" s="18" t="n">
        <v>0</v>
      </c>
      <c r="J20" s="20" t="n">
        <v>0</v>
      </c>
      <c r="K20" s="18" t="n">
        <v>0.5029805899999999</v>
      </c>
      <c r="L20" s="20" t="n">
        <v>0.35793201</v>
      </c>
      <c r="M20" s="18" t="n">
        <v>0.44732214</v>
      </c>
      <c r="N20" s="20" t="n">
        <v>0.44067493</v>
      </c>
      <c r="O20" s="18" t="n">
        <v>0</v>
      </c>
      <c r="P20" s="20" t="n">
        <v>0</v>
      </c>
      <c r="Q20" s="18" t="n">
        <v>7.94651388</v>
      </c>
      <c r="R20" s="20" t="n">
        <v>1.64412183</v>
      </c>
    </row>
    <row r="21" spans="1:18">
      <c r="A21" s="15" t="s">
        <v>579</v>
      </c>
      <c r="B21" s="17" t="n">
        <v>5741</v>
      </c>
      <c r="C21" s="18">
        <f>(5087.0/B21*100)</f>
        <v/>
      </c>
      <c r="D21" s="19" t="n">
        <v>654</v>
      </c>
      <c r="E21" s="18" t="n">
        <v>47.66244556</v>
      </c>
      <c r="F21" s="20" t="n">
        <v>1.98568951</v>
      </c>
      <c r="G21" s="18" t="n">
        <v>48.46038617</v>
      </c>
      <c r="H21" s="20" t="n">
        <v>2.01717595</v>
      </c>
      <c r="I21" s="18" t="n">
        <v>0</v>
      </c>
      <c r="J21" s="20" t="n">
        <v>0</v>
      </c>
      <c r="K21" s="18" t="n">
        <v>0</v>
      </c>
      <c r="L21" s="20" t="n">
        <v>0</v>
      </c>
      <c r="M21" s="18" t="n">
        <v>0</v>
      </c>
      <c r="N21" s="20" t="n">
        <v>0</v>
      </c>
      <c r="O21" s="18" t="n">
        <v>0</v>
      </c>
      <c r="P21" s="20" t="n">
        <v>0</v>
      </c>
      <c r="Q21" s="18" t="n">
        <v>3.87716827</v>
      </c>
      <c r="R21" s="20" t="n">
        <v>0.72641659</v>
      </c>
    </row>
    <row r="22" spans="1:18">
      <c r="A22" s="15" t="s">
        <v>580</v>
      </c>
      <c r="B22" s="17" t="n">
        <v>6598</v>
      </c>
      <c r="C22" s="18">
        <f>(5877.0/B22*100)</f>
        <v/>
      </c>
      <c r="D22" s="19" t="n">
        <v>721</v>
      </c>
      <c r="E22" s="18" t="n">
        <v>41.97361621</v>
      </c>
      <c r="F22" s="20" t="n">
        <v>2.30442553</v>
      </c>
      <c r="G22" s="18" t="n">
        <v>46.94661814</v>
      </c>
      <c r="H22" s="20" t="n">
        <v>2.39617541</v>
      </c>
      <c r="I22" s="18" t="n">
        <v>0</v>
      </c>
      <c r="J22" s="20" t="n">
        <v>0</v>
      </c>
      <c r="K22" s="18" t="n">
        <v>0.53208371</v>
      </c>
      <c r="L22" s="20" t="n">
        <v>0.24943987</v>
      </c>
      <c r="M22" s="18" t="n">
        <v>0</v>
      </c>
      <c r="N22" s="20" t="n">
        <v>0</v>
      </c>
      <c r="O22" s="18" t="n">
        <v>0</v>
      </c>
      <c r="P22" s="20" t="n">
        <v>0</v>
      </c>
      <c r="Q22" s="18" t="n">
        <v>10.54768194</v>
      </c>
      <c r="R22" s="20" t="n">
        <v>1.06018631</v>
      </c>
    </row>
    <row r="23" spans="1:18">
      <c r="A23" s="15" t="s">
        <v>581</v>
      </c>
      <c r="B23" s="17" t="n">
        <v>11583</v>
      </c>
      <c r="C23" s="18">
        <f>(10293.0/B23*100)</f>
        <v/>
      </c>
      <c r="D23" s="19" t="n">
        <v>1290</v>
      </c>
      <c r="E23" s="18" t="n">
        <v>39.87591233</v>
      </c>
      <c r="F23" s="20" t="n">
        <v>2.54354106</v>
      </c>
      <c r="G23" s="18" t="n">
        <v>51.82595581</v>
      </c>
      <c r="H23" s="20" t="n">
        <v>2.64896268</v>
      </c>
      <c r="I23" s="18" t="n">
        <v>0</v>
      </c>
      <c r="J23" s="20" t="n">
        <v>0</v>
      </c>
      <c r="K23" s="18" t="n">
        <v>0.74675515</v>
      </c>
      <c r="L23" s="20" t="n">
        <v>0.42201183</v>
      </c>
      <c r="M23" s="18" t="n">
        <v>0.00571691</v>
      </c>
      <c r="N23" s="20" t="n">
        <v>0.0057096</v>
      </c>
      <c r="O23" s="18" t="n">
        <v>0</v>
      </c>
      <c r="P23" s="20" t="n">
        <v>0</v>
      </c>
      <c r="Q23" s="18" t="n">
        <v>7.5456598</v>
      </c>
      <c r="R23" s="20" t="n">
        <v>1.1370501</v>
      </c>
    </row>
    <row r="24" spans="1:18">
      <c r="A24" s="15" t="s">
        <v>582</v>
      </c>
      <c r="B24" s="17" t="n">
        <v>6647</v>
      </c>
      <c r="C24" s="18">
        <f>(5909.0/B24*100)</f>
        <v/>
      </c>
      <c r="D24" s="19" t="n">
        <v>738</v>
      </c>
      <c r="E24" s="18" t="n">
        <v>21.45728265</v>
      </c>
      <c r="F24" s="20" t="n">
        <v>1.52029003</v>
      </c>
      <c r="G24" s="18" t="n">
        <v>76.09891929</v>
      </c>
      <c r="H24" s="20" t="n">
        <v>1.63327551</v>
      </c>
      <c r="I24" s="18" t="n">
        <v>0</v>
      </c>
      <c r="J24" s="20" t="n">
        <v>0</v>
      </c>
      <c r="K24" s="18" t="n">
        <v>0.11980393</v>
      </c>
      <c r="L24" s="20" t="n">
        <v>0.11971637</v>
      </c>
      <c r="M24" s="18" t="n">
        <v>0</v>
      </c>
      <c r="N24" s="20" t="n">
        <v>0</v>
      </c>
      <c r="O24" s="18" t="n">
        <v>0</v>
      </c>
      <c r="P24" s="20" t="n">
        <v>0</v>
      </c>
      <c r="Q24" s="18" t="n">
        <v>2.32399414</v>
      </c>
      <c r="R24" s="20" t="n">
        <v>0.59903102</v>
      </c>
    </row>
    <row r="25" spans="1:18">
      <c r="A25" s="15" t="s">
        <v>583</v>
      </c>
      <c r="B25" s="17" t="n">
        <v>5581</v>
      </c>
      <c r="C25" s="18">
        <f>(4957.0/B25*100)</f>
        <v/>
      </c>
      <c r="D25" s="19" t="n">
        <v>624</v>
      </c>
      <c r="E25" s="18" t="n">
        <v>23.33314934</v>
      </c>
      <c r="F25" s="20" t="n">
        <v>1.76229936</v>
      </c>
      <c r="G25" s="18" t="n">
        <v>73.42596287000001</v>
      </c>
      <c r="H25" s="20" t="n">
        <v>1.92827191</v>
      </c>
      <c r="I25" s="18" t="n">
        <v>0</v>
      </c>
      <c r="J25" s="20" t="n">
        <v>0</v>
      </c>
      <c r="K25" s="18" t="n">
        <v>1.10304407</v>
      </c>
      <c r="L25" s="20" t="n">
        <v>0.43958784</v>
      </c>
      <c r="M25" s="18" t="n">
        <v>0</v>
      </c>
      <c r="N25" s="20" t="n">
        <v>0</v>
      </c>
      <c r="O25" s="18" t="n">
        <v>0</v>
      </c>
      <c r="P25" s="20" t="n">
        <v>0</v>
      </c>
      <c r="Q25" s="18" t="n">
        <v>2.13784371</v>
      </c>
      <c r="R25" s="20" t="n">
        <v>0.58969982</v>
      </c>
    </row>
    <row r="26" spans="1:18">
      <c r="A26" s="15" t="s">
        <v>584</v>
      </c>
      <c r="B26" s="17" t="n">
        <v>4869</v>
      </c>
      <c r="C26" s="18">
        <f>(4338.0/B26*100)</f>
        <v/>
      </c>
      <c r="D26" s="19" t="n">
        <v>531</v>
      </c>
      <c r="E26" s="18" t="n">
        <v>42.5704537</v>
      </c>
      <c r="F26" s="20" t="n">
        <v>2.24296093</v>
      </c>
      <c r="G26" s="18" t="n">
        <v>56.75302424</v>
      </c>
      <c r="H26" s="20" t="n">
        <v>2.21619284</v>
      </c>
      <c r="I26" s="18" t="n">
        <v>0</v>
      </c>
      <c r="J26" s="20" t="n">
        <v>0</v>
      </c>
      <c r="K26" s="18" t="n">
        <v>0</v>
      </c>
      <c r="L26" s="20" t="n">
        <v>0</v>
      </c>
      <c r="M26" s="18" t="n">
        <v>0</v>
      </c>
      <c r="N26" s="20" t="n">
        <v>0</v>
      </c>
      <c r="O26" s="18" t="n">
        <v>0</v>
      </c>
      <c r="P26" s="20" t="n">
        <v>0</v>
      </c>
      <c r="Q26" s="18" t="n">
        <v>0.67652206</v>
      </c>
      <c r="R26" s="20" t="n">
        <v>0.34427735</v>
      </c>
    </row>
    <row r="27" spans="1:18">
      <c r="A27" s="15" t="s">
        <v>585</v>
      </c>
      <c r="B27" s="17" t="n">
        <v>5299</v>
      </c>
      <c r="C27" s="18">
        <f>(4727.0/B27*100)</f>
        <v/>
      </c>
      <c r="D27" s="19" t="n">
        <v>572</v>
      </c>
      <c r="E27" s="18" t="n">
        <v>38.86521172</v>
      </c>
      <c r="F27" s="20" t="n">
        <v>2.17649062</v>
      </c>
      <c r="G27" s="18" t="n">
        <v>51.92554862</v>
      </c>
      <c r="H27" s="20" t="n">
        <v>2.27016315</v>
      </c>
      <c r="I27" s="18" t="n">
        <v>0</v>
      </c>
      <c r="J27" s="20" t="n">
        <v>0</v>
      </c>
      <c r="K27" s="18" t="n">
        <v>0.1716033</v>
      </c>
      <c r="L27" s="20" t="n">
        <v>0.167067</v>
      </c>
      <c r="M27" s="18" t="n">
        <v>0</v>
      </c>
      <c r="N27" s="20" t="n">
        <v>0</v>
      </c>
      <c r="O27" s="18" t="n">
        <v>0</v>
      </c>
      <c r="P27" s="20" t="n">
        <v>0</v>
      </c>
      <c r="Q27" s="18" t="n">
        <v>9.03763636</v>
      </c>
      <c r="R27" s="20" t="n">
        <v>1.31494187</v>
      </c>
    </row>
    <row r="28" spans="1:18">
      <c r="A28" s="15" t="s">
        <v>586</v>
      </c>
      <c r="B28" s="17" t="n">
        <v>7568</v>
      </c>
      <c r="C28" s="18">
        <f>(6797.0/B28*100)</f>
        <v/>
      </c>
      <c r="D28" s="19" t="n">
        <v>771</v>
      </c>
      <c r="E28" s="18" t="n">
        <v>64.37586210000001</v>
      </c>
      <c r="F28" s="20" t="n">
        <v>1.8779963</v>
      </c>
      <c r="G28" s="18" t="n">
        <v>30.53654666</v>
      </c>
      <c r="H28" s="20" t="n">
        <v>1.88104725</v>
      </c>
      <c r="I28" s="18" t="n">
        <v>0</v>
      </c>
      <c r="J28" s="20" t="n">
        <v>0</v>
      </c>
      <c r="K28" s="18" t="n">
        <v>0.81226319</v>
      </c>
      <c r="L28" s="20" t="n">
        <v>0.33498317</v>
      </c>
      <c r="M28" s="18" t="n">
        <v>0.11624745</v>
      </c>
      <c r="N28" s="20" t="n">
        <v>0.12059347</v>
      </c>
      <c r="O28" s="18" t="n">
        <v>0</v>
      </c>
      <c r="P28" s="20" t="n">
        <v>0</v>
      </c>
      <c r="Q28" s="18" t="n">
        <v>4.1590806</v>
      </c>
      <c r="R28" s="20" t="n">
        <v>0.75473474</v>
      </c>
    </row>
    <row r="29" spans="1:18">
      <c r="A29" s="15" t="s">
        <v>587</v>
      </c>
      <c r="B29" s="17" t="n">
        <v>5385</v>
      </c>
      <c r="C29" s="18">
        <f>(4782.0/B29*100)</f>
        <v/>
      </c>
      <c r="D29" s="19" t="n">
        <v>603</v>
      </c>
      <c r="E29" s="18" t="n">
        <v>29.39829387</v>
      </c>
      <c r="F29" s="20" t="n">
        <v>1.75013965</v>
      </c>
      <c r="G29" s="18" t="n">
        <v>68.3683458</v>
      </c>
      <c r="H29" s="20" t="n">
        <v>1.82806835</v>
      </c>
      <c r="I29" s="18" t="n">
        <v>0</v>
      </c>
      <c r="J29" s="20" t="n">
        <v>0</v>
      </c>
      <c r="K29" s="18" t="n">
        <v>0.40420148</v>
      </c>
      <c r="L29" s="20" t="n">
        <v>0.24121892</v>
      </c>
      <c r="M29" s="18" t="n">
        <v>0</v>
      </c>
      <c r="N29" s="20" t="n">
        <v>0</v>
      </c>
      <c r="O29" s="18" t="n">
        <v>0</v>
      </c>
      <c r="P29" s="20" t="n">
        <v>0</v>
      </c>
      <c r="Q29" s="18" t="n">
        <v>1.82915885</v>
      </c>
      <c r="R29" s="20" t="n">
        <v>0.6592863799999999</v>
      </c>
    </row>
    <row r="30" spans="1:18">
      <c r="A30" s="15" t="s">
        <v>588</v>
      </c>
      <c r="B30" s="17" t="n">
        <v>4520</v>
      </c>
      <c r="C30" s="18">
        <f>(4036.0/B30*100)</f>
        <v/>
      </c>
      <c r="D30" s="19" t="n">
        <v>484</v>
      </c>
      <c r="E30" s="18" t="n">
        <v>44.53648247</v>
      </c>
      <c r="F30" s="20" t="n">
        <v>2.40186609</v>
      </c>
      <c r="G30" s="18" t="n">
        <v>46.32303662</v>
      </c>
      <c r="H30" s="20" t="n">
        <v>2.2882869</v>
      </c>
      <c r="I30" s="18" t="n">
        <v>0</v>
      </c>
      <c r="J30" s="20" t="n">
        <v>0</v>
      </c>
      <c r="K30" s="18" t="n">
        <v>0.69509085</v>
      </c>
      <c r="L30" s="20" t="n">
        <v>0.36772526</v>
      </c>
      <c r="M30" s="18" t="n">
        <v>0</v>
      </c>
      <c r="N30" s="20" t="n">
        <v>0</v>
      </c>
      <c r="O30" s="18" t="n">
        <v>0</v>
      </c>
      <c r="P30" s="20" t="n">
        <v>0</v>
      </c>
      <c r="Q30" s="18" t="n">
        <v>8.445390059999999</v>
      </c>
      <c r="R30" s="20" t="n">
        <v>1.35850409</v>
      </c>
    </row>
    <row r="31" spans="1:18">
      <c r="A31" s="15" t="s">
        <v>589</v>
      </c>
      <c r="B31" s="17" t="n">
        <v>5456</v>
      </c>
      <c r="C31" s="18">
        <f>(4874.0/B31*100)</f>
        <v/>
      </c>
      <c r="D31" s="19" t="n">
        <v>582</v>
      </c>
      <c r="E31" s="18" t="n">
        <v>48.90002453</v>
      </c>
      <c r="F31" s="20" t="n">
        <v>2.02860688</v>
      </c>
      <c r="G31" s="18" t="n">
        <v>42.97748835</v>
      </c>
      <c r="H31" s="20" t="n">
        <v>1.87787191</v>
      </c>
      <c r="I31" s="18" t="n">
        <v>0</v>
      </c>
      <c r="J31" s="20" t="n">
        <v>0</v>
      </c>
      <c r="K31" s="18" t="n">
        <v>0.66533541</v>
      </c>
      <c r="L31" s="20" t="n">
        <v>0.32876313</v>
      </c>
      <c r="M31" s="18" t="n">
        <v>0.14621547</v>
      </c>
      <c r="N31" s="20" t="n">
        <v>0.17249018</v>
      </c>
      <c r="O31" s="18" t="n">
        <v>0</v>
      </c>
      <c r="P31" s="20" t="n">
        <v>0</v>
      </c>
      <c r="Q31" s="18" t="n">
        <v>7.31093624</v>
      </c>
      <c r="R31" s="20" t="n">
        <v>1.06215307</v>
      </c>
    </row>
    <row r="32" spans="1:18">
      <c r="A32" s="15" t="s">
        <v>590</v>
      </c>
      <c r="B32" s="17" t="n">
        <v>4478</v>
      </c>
      <c r="C32" s="18">
        <f>(3994.0/B32*100)</f>
        <v/>
      </c>
      <c r="D32" s="19" t="n">
        <v>484</v>
      </c>
      <c r="E32" s="18" t="n">
        <v>34.7155592</v>
      </c>
      <c r="F32" s="20" t="n">
        <v>2.26887054</v>
      </c>
      <c r="G32" s="18" t="n">
        <v>63.81499357</v>
      </c>
      <c r="H32" s="20" t="n">
        <v>2.39981183</v>
      </c>
      <c r="I32" s="18" t="n">
        <v>0</v>
      </c>
      <c r="J32" s="20" t="n">
        <v>0</v>
      </c>
      <c r="K32" s="18" t="n">
        <v>0.21499758</v>
      </c>
      <c r="L32" s="20" t="n">
        <v>0.21450649</v>
      </c>
      <c r="M32" s="18" t="n">
        <v>0</v>
      </c>
      <c r="N32" s="20" t="n">
        <v>0</v>
      </c>
      <c r="O32" s="18" t="n">
        <v>0</v>
      </c>
      <c r="P32" s="20" t="n">
        <v>0</v>
      </c>
      <c r="Q32" s="18" t="n">
        <v>1.25444965</v>
      </c>
      <c r="R32" s="20" t="n">
        <v>0.50954951</v>
      </c>
    </row>
    <row r="33" spans="1:18">
      <c r="A33" s="15" t="s">
        <v>591</v>
      </c>
      <c r="B33" s="17" t="n">
        <v>7325</v>
      </c>
      <c r="C33" s="18">
        <f>(6550.0/B33*100)</f>
        <v/>
      </c>
      <c r="D33" s="19" t="n">
        <v>775</v>
      </c>
      <c r="E33" s="18" t="n">
        <v>40.37705889</v>
      </c>
      <c r="F33" s="20" t="n">
        <v>1.74557272</v>
      </c>
      <c r="G33" s="18" t="n">
        <v>57.3006989</v>
      </c>
      <c r="H33" s="20" t="n">
        <v>1.91417098</v>
      </c>
      <c r="I33" s="18" t="n">
        <v>0</v>
      </c>
      <c r="J33" s="20" t="n">
        <v>0</v>
      </c>
      <c r="K33" s="18" t="n">
        <v>0.2519343</v>
      </c>
      <c r="L33" s="20" t="n">
        <v>0.30046139</v>
      </c>
      <c r="M33" s="18" t="n">
        <v>0</v>
      </c>
      <c r="N33" s="20" t="n">
        <v>0</v>
      </c>
      <c r="O33" s="18" t="n">
        <v>0</v>
      </c>
      <c r="P33" s="20" t="n">
        <v>0</v>
      </c>
      <c r="Q33" s="18" t="n">
        <v>2.07030792</v>
      </c>
      <c r="R33" s="20" t="n">
        <v>0.6655714</v>
      </c>
    </row>
    <row r="34" spans="1:18">
      <c r="A34" s="15" t="s">
        <v>592</v>
      </c>
      <c r="B34" s="17" t="n">
        <v>6350</v>
      </c>
      <c r="C34" s="18">
        <f>(5683.0/B34*100)</f>
        <v/>
      </c>
      <c r="D34" s="19" t="n">
        <v>667</v>
      </c>
      <c r="E34" s="18" t="n">
        <v>46.11737409</v>
      </c>
      <c r="F34" s="20" t="n">
        <v>1.83207887</v>
      </c>
      <c r="G34" s="18" t="n">
        <v>47.65322626</v>
      </c>
      <c r="H34" s="20" t="n">
        <v>1.93579846</v>
      </c>
      <c r="I34" s="18" t="n">
        <v>0</v>
      </c>
      <c r="J34" s="20" t="n">
        <v>0</v>
      </c>
      <c r="K34" s="18" t="n">
        <v>0.20706551</v>
      </c>
      <c r="L34" s="20" t="n">
        <v>0.11552614</v>
      </c>
      <c r="M34" s="18" t="n">
        <v>0</v>
      </c>
      <c r="N34" s="20" t="n">
        <v>0</v>
      </c>
      <c r="O34" s="18" t="n">
        <v>0</v>
      </c>
      <c r="P34" s="20" t="n">
        <v>0</v>
      </c>
      <c r="Q34" s="18" t="n">
        <v>6.02233414</v>
      </c>
      <c r="R34" s="20" t="n">
        <v>1.09034787</v>
      </c>
    </row>
    <row r="35" spans="1:18">
      <c r="A35" s="15" t="s">
        <v>593</v>
      </c>
      <c r="B35" s="17" t="n">
        <v>6406</v>
      </c>
      <c r="C35" s="18">
        <f>(5685.0/B35*100)</f>
        <v/>
      </c>
      <c r="D35" s="19" t="n">
        <v>721</v>
      </c>
      <c r="E35" s="18" t="n">
        <v>35.75157961</v>
      </c>
      <c r="F35" s="20" t="n">
        <v>2.12983435</v>
      </c>
      <c r="G35" s="18" t="n">
        <v>62.29300258</v>
      </c>
      <c r="H35" s="20" t="n">
        <v>2.15179498</v>
      </c>
      <c r="I35" s="18" t="n">
        <v>0</v>
      </c>
      <c r="J35" s="20" t="n">
        <v>0</v>
      </c>
      <c r="K35" s="18" t="n">
        <v>0</v>
      </c>
      <c r="L35" s="20" t="n">
        <v>0</v>
      </c>
      <c r="M35" s="18" t="n">
        <v>0.23432443</v>
      </c>
      <c r="N35" s="20" t="n">
        <v>0.2356566</v>
      </c>
      <c r="O35" s="18" t="n">
        <v>0</v>
      </c>
      <c r="P35" s="20" t="n">
        <v>0</v>
      </c>
      <c r="Q35" s="18" t="n">
        <v>1.72109338</v>
      </c>
      <c r="R35" s="20" t="n">
        <v>0.34223038</v>
      </c>
    </row>
    <row r="36" spans="1:18">
      <c r="A36" s="15" t="s">
        <v>594</v>
      </c>
      <c r="B36" s="17" t="n">
        <v>6736</v>
      </c>
      <c r="C36" s="18">
        <f>(5996.0/B36*100)</f>
        <v/>
      </c>
      <c r="D36" s="19" t="n">
        <v>740</v>
      </c>
      <c r="E36" s="18" t="n">
        <v>39.83874836</v>
      </c>
      <c r="F36" s="20" t="n">
        <v>1.93304139</v>
      </c>
      <c r="G36" s="18" t="n">
        <v>54.03241036</v>
      </c>
      <c r="H36" s="20" t="n">
        <v>1.92481044</v>
      </c>
      <c r="I36" s="18" t="n">
        <v>0</v>
      </c>
      <c r="J36" s="20" t="n">
        <v>0</v>
      </c>
      <c r="K36" s="18" t="n">
        <v>0.5212553599999999</v>
      </c>
      <c r="L36" s="20" t="n">
        <v>0.31029623</v>
      </c>
      <c r="M36" s="18" t="n">
        <v>0</v>
      </c>
      <c r="N36" s="20" t="n">
        <v>0</v>
      </c>
      <c r="O36" s="18" t="n">
        <v>0</v>
      </c>
      <c r="P36" s="20" t="n">
        <v>0</v>
      </c>
      <c r="Q36" s="18" t="n">
        <v>5.60758593</v>
      </c>
      <c r="R36" s="20" t="n">
        <v>0.89781224</v>
      </c>
    </row>
    <row r="37" spans="1:18">
      <c r="A37" s="15" t="s">
        <v>595</v>
      </c>
      <c r="B37" s="17" t="n">
        <v>5458</v>
      </c>
      <c r="C37" s="18">
        <f>(4884.0/B37*100)</f>
        <v/>
      </c>
      <c r="D37" s="19" t="n">
        <v>574</v>
      </c>
      <c r="E37" s="18" t="n">
        <v>49.85498116</v>
      </c>
      <c r="F37" s="20" t="n">
        <v>2.09793958</v>
      </c>
      <c r="G37" s="18" t="n">
        <v>41.73929557</v>
      </c>
      <c r="H37" s="20" t="n">
        <v>2.21603527</v>
      </c>
      <c r="I37" s="18" t="n">
        <v>0</v>
      </c>
      <c r="J37" s="20" t="n">
        <v>0</v>
      </c>
      <c r="K37" s="18" t="n">
        <v>0.79328001</v>
      </c>
      <c r="L37" s="20" t="n">
        <v>0.41127599</v>
      </c>
      <c r="M37" s="18" t="n">
        <v>0</v>
      </c>
      <c r="N37" s="20" t="n">
        <v>0</v>
      </c>
      <c r="O37" s="18" t="n">
        <v>0</v>
      </c>
      <c r="P37" s="20" t="n">
        <v>0</v>
      </c>
      <c r="Q37" s="18" t="n">
        <v>7.61244326</v>
      </c>
      <c r="R37" s="20" t="n">
        <v>1.08887919</v>
      </c>
    </row>
    <row r="38" spans="1:18">
      <c r="A38" s="15" t="s">
        <v>596</v>
      </c>
      <c r="B38" s="17" t="n">
        <v>5860</v>
      </c>
      <c r="C38" s="18">
        <f>(5228.0/B38*100)</f>
        <v/>
      </c>
      <c r="D38" s="19" t="n">
        <v>632</v>
      </c>
      <c r="E38" s="18" t="n">
        <v>36.63911282</v>
      </c>
      <c r="F38" s="20" t="n">
        <v>2.31192399</v>
      </c>
      <c r="G38" s="18" t="n">
        <v>58.20499643</v>
      </c>
      <c r="H38" s="20" t="n">
        <v>2.14856437</v>
      </c>
      <c r="I38" s="18" t="n">
        <v>0</v>
      </c>
      <c r="J38" s="20" t="n">
        <v>0</v>
      </c>
      <c r="K38" s="18" t="n">
        <v>0.32328859</v>
      </c>
      <c r="L38" s="20" t="n">
        <v>0.23723535</v>
      </c>
      <c r="M38" s="18" t="n">
        <v>1.59274244</v>
      </c>
      <c r="N38" s="20" t="n">
        <v>0.57235296</v>
      </c>
      <c r="O38" s="18" t="n">
        <v>0</v>
      </c>
      <c r="P38" s="20" t="n">
        <v>0</v>
      </c>
      <c r="Q38" s="18" t="n">
        <v>3.23985972</v>
      </c>
      <c r="R38" s="20" t="n">
        <v>0.74135819</v>
      </c>
    </row>
    <row r="39" spans="1:18">
      <c r="A39" s="15" t="s">
        <v>597</v>
      </c>
      <c r="B39" s="17" t="n">
        <v>5895</v>
      </c>
      <c r="C39" s="18">
        <f>(5252.0/B39*100)</f>
        <v/>
      </c>
      <c r="D39" s="19" t="n">
        <v>643</v>
      </c>
      <c r="E39" s="18" t="n">
        <v>60.45016038</v>
      </c>
      <c r="F39" s="20" t="n">
        <v>2.31244924</v>
      </c>
      <c r="G39" s="18" t="n">
        <v>35.78338608</v>
      </c>
      <c r="H39" s="20" t="n">
        <v>2.41003435</v>
      </c>
      <c r="I39" s="18" t="n">
        <v>0</v>
      </c>
      <c r="J39" s="20" t="n">
        <v>0</v>
      </c>
      <c r="K39" s="18" t="n">
        <v>0</v>
      </c>
      <c r="L39" s="20" t="n">
        <v>0</v>
      </c>
      <c r="M39" s="18" t="n">
        <v>0</v>
      </c>
      <c r="N39" s="20" t="n">
        <v>0</v>
      </c>
      <c r="O39" s="18" t="n">
        <v>0</v>
      </c>
      <c r="P39" s="20" t="n">
        <v>0</v>
      </c>
      <c r="Q39" s="18" t="n">
        <v>3.76645354</v>
      </c>
      <c r="R39" s="20" t="n">
        <v>0.81908144</v>
      </c>
    </row>
    <row r="40" spans="1:18">
      <c r="A40" s="15" t="s">
        <v>598</v>
      </c>
      <c r="B40" s="17" t="n">
        <v>14157</v>
      </c>
      <c r="C40" s="18">
        <f>(12613.0/B40*100)</f>
        <v/>
      </c>
      <c r="D40" s="19" t="n">
        <v>1544</v>
      </c>
      <c r="E40" s="18" t="n">
        <v>49.85890838</v>
      </c>
      <c r="F40" s="20" t="n">
        <v>2.05510569</v>
      </c>
      <c r="G40" s="18" t="n">
        <v>44.42842102</v>
      </c>
      <c r="H40" s="20" t="n">
        <v>2.18509324</v>
      </c>
      <c r="I40" s="18" t="n">
        <v>0</v>
      </c>
      <c r="J40" s="20" t="n">
        <v>0</v>
      </c>
      <c r="K40" s="18" t="n">
        <v>0.4209945</v>
      </c>
      <c r="L40" s="20" t="n">
        <v>0.19670006</v>
      </c>
      <c r="M40" s="18" t="n">
        <v>0.05067519</v>
      </c>
      <c r="N40" s="20" t="n">
        <v>0.04872529</v>
      </c>
      <c r="O40" s="18" t="n">
        <v>0</v>
      </c>
      <c r="P40" s="20" t="n">
        <v>0</v>
      </c>
      <c r="Q40" s="18" t="n">
        <v>5.24100092</v>
      </c>
      <c r="R40" s="20" t="n">
        <v>0.92506839</v>
      </c>
    </row>
    <row r="41" spans="1:18">
      <c r="A41" s="15" t="s">
        <v>599</v>
      </c>
      <c r="B41" s="17" t="n">
        <v>5712</v>
      </c>
      <c r="C41" s="18">
        <f>(5112.0/B41*100)</f>
        <v/>
      </c>
      <c r="D41" s="19" t="n">
        <v>600</v>
      </c>
      <c r="E41" s="18" t="n">
        <v>49.9800021</v>
      </c>
      <c r="F41" s="20" t="n">
        <v>2.17257741</v>
      </c>
      <c r="G41" s="18" t="n">
        <v>46.52841495</v>
      </c>
      <c r="H41" s="20" t="n">
        <v>2.24871534</v>
      </c>
      <c r="I41" s="18" t="n">
        <v>0</v>
      </c>
      <c r="J41" s="20" t="n">
        <v>0</v>
      </c>
      <c r="K41" s="18" t="n">
        <v>0.44230477</v>
      </c>
      <c r="L41" s="20" t="n">
        <v>0.28275012</v>
      </c>
      <c r="M41" s="18" t="n">
        <v>0</v>
      </c>
      <c r="N41" s="20" t="n">
        <v>0</v>
      </c>
      <c r="O41" s="18" t="n">
        <v>0</v>
      </c>
      <c r="P41" s="20" t="n">
        <v>0</v>
      </c>
      <c r="Q41" s="18" t="n">
        <v>3.04927818</v>
      </c>
      <c r="R41" s="20" t="n">
        <v>0.7508172400000001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(21162.0/B46*100)</f>
        <v/>
      </c>
      <c r="D46" s="19" t="n">
        <v>1979</v>
      </c>
      <c r="E46" s="18" t="n">
        <v>61.39100822</v>
      </c>
      <c r="F46" s="20" t="n">
        <v>1.52763104</v>
      </c>
      <c r="G46" s="18" t="n">
        <v>25.65068169</v>
      </c>
      <c r="H46" s="20" t="n">
        <v>1.36691041</v>
      </c>
      <c r="I46" s="18" t="n">
        <v>0</v>
      </c>
      <c r="J46" s="20" t="n">
        <v>0</v>
      </c>
      <c r="K46" s="18" t="n">
        <v>1.29018847</v>
      </c>
      <c r="L46" s="20" t="n">
        <v>0.34316648</v>
      </c>
      <c r="M46" s="18" t="n">
        <v>0.24230063</v>
      </c>
      <c r="N46" s="20" t="n">
        <v>0.15777553</v>
      </c>
      <c r="O46" s="18" t="n">
        <v>0</v>
      </c>
      <c r="P46" s="20" t="n">
        <v>0</v>
      </c>
      <c r="Q46" s="18" t="n">
        <v>11.42582099</v>
      </c>
      <c r="R46" s="20" t="n">
        <v>0.88223725</v>
      </c>
    </row>
    <row r="47" spans="1:18">
      <c r="A47" s="15" t="s">
        <v>606</v>
      </c>
      <c r="B47" s="17" t="n">
        <v>5928</v>
      </c>
      <c r="C47" s="18">
        <f>(5295.0/B47*100)</f>
        <v/>
      </c>
      <c r="D47" s="19" t="n">
        <v>633</v>
      </c>
      <c r="E47" s="18" t="n">
        <v>48.19160715</v>
      </c>
      <c r="F47" s="20" t="n">
        <v>2.53694954</v>
      </c>
      <c r="G47" s="18" t="n">
        <v>40.30523875</v>
      </c>
      <c r="H47" s="20" t="n">
        <v>2.69974035</v>
      </c>
      <c r="I47" s="18" t="n">
        <v>0</v>
      </c>
      <c r="J47" s="20" t="n">
        <v>0</v>
      </c>
      <c r="K47" s="18" t="n">
        <v>1.23823341</v>
      </c>
      <c r="L47" s="20" t="n">
        <v>0.51487919</v>
      </c>
      <c r="M47" s="18" t="n">
        <v>0.16324354</v>
      </c>
      <c r="N47" s="20" t="n">
        <v>0.15486473</v>
      </c>
      <c r="O47" s="18" t="n">
        <v>0</v>
      </c>
      <c r="P47" s="20" t="n">
        <v>0</v>
      </c>
      <c r="Q47" s="18" t="n">
        <v>10.10167715</v>
      </c>
      <c r="R47" s="20" t="n">
        <v>1.2262998</v>
      </c>
    </row>
    <row r="48" spans="1:18">
      <c r="A48" s="15" t="s">
        <v>607</v>
      </c>
      <c r="B48" s="17" t="n">
        <v>9841</v>
      </c>
      <c r="C48" s="18">
        <f>(8789.0/B48*100)</f>
        <v/>
      </c>
      <c r="D48" s="19" t="n">
        <v>1052</v>
      </c>
      <c r="E48" s="18" t="n">
        <v>26.25109263</v>
      </c>
      <c r="F48" s="20" t="n">
        <v>1.64030273</v>
      </c>
      <c r="G48" s="18" t="n">
        <v>69.79519088000001</v>
      </c>
      <c r="H48" s="20" t="n">
        <v>1.72379132</v>
      </c>
      <c r="I48" s="18" t="n">
        <v>0</v>
      </c>
      <c r="J48" s="20" t="n">
        <v>0</v>
      </c>
      <c r="K48" s="18" t="n">
        <v>0.45188616</v>
      </c>
      <c r="L48" s="20" t="n">
        <v>0.21253917</v>
      </c>
      <c r="M48" s="18" t="n">
        <v>0.0083255</v>
      </c>
      <c r="N48" s="20" t="n">
        <v>0.008132260000000001</v>
      </c>
      <c r="O48" s="18" t="n">
        <v>0</v>
      </c>
      <c r="P48" s="20" t="n">
        <v>0</v>
      </c>
      <c r="Q48" s="18" t="n">
        <v>3.49350483</v>
      </c>
      <c r="R48" s="20" t="n">
        <v>0.80069784</v>
      </c>
    </row>
    <row r="49" spans="1:18">
      <c r="A49" s="15" t="s">
        <v>608</v>
      </c>
      <c r="B49" s="17" t="n">
        <v>11795</v>
      </c>
      <c r="C49" s="18">
        <f>(10546.0/B49*100)</f>
        <v/>
      </c>
      <c r="D49" s="19" t="n">
        <v>1249</v>
      </c>
      <c r="E49" s="18" t="n">
        <v>62.5512676</v>
      </c>
      <c r="F49" s="20" t="n">
        <v>1.81064104</v>
      </c>
      <c r="G49" s="18" t="n">
        <v>29.43555631</v>
      </c>
      <c r="H49" s="20" t="n">
        <v>1.64714954</v>
      </c>
      <c r="I49" s="18" t="n">
        <v>0</v>
      </c>
      <c r="J49" s="20" t="n">
        <v>0</v>
      </c>
      <c r="K49" s="18" t="n">
        <v>2.16276687</v>
      </c>
      <c r="L49" s="20" t="n">
        <v>0.63262601</v>
      </c>
      <c r="M49" s="18" t="n">
        <v>0.11294677</v>
      </c>
      <c r="N49" s="20" t="n">
        <v>0.06405872</v>
      </c>
      <c r="O49" s="18" t="n">
        <v>0</v>
      </c>
      <c r="P49" s="20" t="n">
        <v>0</v>
      </c>
      <c r="Q49" s="18" t="n">
        <v>5.73746244</v>
      </c>
      <c r="R49" s="20" t="n">
        <v>0.92237419</v>
      </c>
    </row>
    <row r="50" spans="1:18">
      <c r="A50" s="15" t="s">
        <v>609</v>
      </c>
      <c r="B50" s="17" t="n">
        <v>6866</v>
      </c>
      <c r="C50" s="18">
        <f>(6226.0/B50*100)</f>
        <v/>
      </c>
      <c r="D50" s="19" t="n">
        <v>640</v>
      </c>
      <c r="E50" s="18" t="n">
        <v>53.71288758</v>
      </c>
      <c r="F50" s="20" t="n">
        <v>2.21169387</v>
      </c>
      <c r="G50" s="18" t="n">
        <v>40.8797691</v>
      </c>
      <c r="H50" s="20" t="n">
        <v>2.24043956</v>
      </c>
      <c r="I50" s="18" t="n">
        <v>0</v>
      </c>
      <c r="J50" s="20" t="n">
        <v>0</v>
      </c>
      <c r="K50" s="18" t="n">
        <v>0.33902705</v>
      </c>
      <c r="L50" s="20" t="n">
        <v>0.24369184</v>
      </c>
      <c r="M50" s="18" t="n">
        <v>0.3423492</v>
      </c>
      <c r="N50" s="20" t="n">
        <v>0.3334872</v>
      </c>
      <c r="O50" s="18" t="n">
        <v>0</v>
      </c>
      <c r="P50" s="20" t="n">
        <v>0</v>
      </c>
      <c r="Q50" s="18" t="n">
        <v>4.72596708</v>
      </c>
      <c r="R50" s="20" t="n">
        <v>0.86689684</v>
      </c>
    </row>
    <row r="51" spans="1:18">
      <c r="A51" s="15" t="s">
        <v>610</v>
      </c>
      <c r="B51" s="17" t="n">
        <v>5809</v>
      </c>
      <c r="C51" s="18">
        <f>(5179.0/B51*100)</f>
        <v/>
      </c>
      <c r="D51" s="19" t="n">
        <v>630</v>
      </c>
      <c r="E51" s="18" t="n">
        <v>46.55309184</v>
      </c>
      <c r="F51" s="20" t="n">
        <v>2.18543826</v>
      </c>
      <c r="G51" s="18" t="n">
        <v>47.44902388</v>
      </c>
      <c r="H51" s="20" t="n">
        <v>2.30810658</v>
      </c>
      <c r="I51" s="18" t="n">
        <v>0</v>
      </c>
      <c r="J51" s="20" t="n">
        <v>0</v>
      </c>
      <c r="K51" s="18" t="n">
        <v>0.34095719</v>
      </c>
      <c r="L51" s="20" t="n">
        <v>0.2335406</v>
      </c>
      <c r="M51" s="18" t="n">
        <v>0</v>
      </c>
      <c r="N51" s="20" t="n">
        <v>0</v>
      </c>
      <c r="O51" s="18" t="n">
        <v>0</v>
      </c>
      <c r="P51" s="20" t="n">
        <v>0</v>
      </c>
      <c r="Q51" s="18" t="n">
        <v>5.65692709</v>
      </c>
      <c r="R51" s="20" t="n">
        <v>0.97234893</v>
      </c>
    </row>
    <row r="52" spans="1:18">
      <c r="A52" s="15" t="s">
        <v>611</v>
      </c>
      <c r="B52" s="17" t="n">
        <v>5571</v>
      </c>
      <c r="C52" s="18">
        <f>(4962.0/B52*100)</f>
        <v/>
      </c>
      <c r="D52" s="19" t="n">
        <v>609</v>
      </c>
      <c r="E52" s="18" t="n">
        <v>61.92111338</v>
      </c>
      <c r="F52" s="20" t="n">
        <v>1.87326431</v>
      </c>
      <c r="G52" s="18" t="n">
        <v>29.91009716</v>
      </c>
      <c r="H52" s="20" t="n">
        <v>1.98906576</v>
      </c>
      <c r="I52" s="18" t="n">
        <v>0</v>
      </c>
      <c r="J52" s="20" t="n">
        <v>0</v>
      </c>
      <c r="K52" s="18" t="n">
        <v>0.61500352</v>
      </c>
      <c r="L52" s="20" t="n">
        <v>0.27687654</v>
      </c>
      <c r="M52" s="18" t="n">
        <v>0.22611105</v>
      </c>
      <c r="N52" s="20" t="n">
        <v>0.22760091</v>
      </c>
      <c r="O52" s="18" t="n">
        <v>0</v>
      </c>
      <c r="P52" s="20" t="n">
        <v>0</v>
      </c>
      <c r="Q52" s="18" t="n">
        <v>7.32767489</v>
      </c>
      <c r="R52" s="20" t="n">
        <v>1.14489683</v>
      </c>
    </row>
    <row r="53" spans="1:18">
      <c r="A53" s="15" t="s">
        <v>612</v>
      </c>
      <c r="B53" s="17" t="n">
        <v>4740</v>
      </c>
      <c r="C53" s="18">
        <f>(4203.0/B53*100)</f>
        <v/>
      </c>
      <c r="D53" s="19" t="n">
        <v>537</v>
      </c>
      <c r="E53" s="18" t="n">
        <v>64.12248</v>
      </c>
      <c r="F53" s="20" t="n">
        <v>2.37822946</v>
      </c>
      <c r="G53" s="18" t="n">
        <v>5.58663685</v>
      </c>
      <c r="H53" s="20" t="n">
        <v>1.07188022</v>
      </c>
      <c r="I53" s="18" t="n">
        <v>0</v>
      </c>
      <c r="J53" s="20" t="n">
        <v>0</v>
      </c>
      <c r="K53" s="18" t="n">
        <v>17.74744571</v>
      </c>
      <c r="L53" s="20" t="n">
        <v>1.75646656</v>
      </c>
      <c r="M53" s="18" t="n">
        <v>0.56858047</v>
      </c>
      <c r="N53" s="20" t="n">
        <v>0.43899842</v>
      </c>
      <c r="O53" s="18" t="n">
        <v>0</v>
      </c>
      <c r="P53" s="20" t="n">
        <v>0</v>
      </c>
      <c r="Q53" s="18" t="n">
        <v>11.97485698</v>
      </c>
      <c r="R53" s="20" t="n">
        <v>1.68723588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(4785.0/B55*100)</f>
        <v/>
      </c>
      <c r="D55" s="19" t="n">
        <v>574</v>
      </c>
      <c r="E55" s="18" t="n">
        <v>27.7678403</v>
      </c>
      <c r="F55" s="20" t="n">
        <v>2.06964075</v>
      </c>
      <c r="G55" s="18" t="n">
        <v>69.97537332</v>
      </c>
      <c r="H55" s="20" t="n">
        <v>2.0187312</v>
      </c>
      <c r="I55" s="18" t="n">
        <v>0</v>
      </c>
      <c r="J55" s="20" t="n">
        <v>0</v>
      </c>
      <c r="K55" s="18" t="n">
        <v>0.17685473</v>
      </c>
      <c r="L55" s="20" t="n">
        <v>0.18219463</v>
      </c>
      <c r="M55" s="18" t="n">
        <v>0</v>
      </c>
      <c r="N55" s="20" t="n">
        <v>0</v>
      </c>
      <c r="O55" s="18" t="n">
        <v>0</v>
      </c>
      <c r="P55" s="20" t="n">
        <v>0</v>
      </c>
      <c r="Q55" s="18" t="n">
        <v>2.07993165</v>
      </c>
      <c r="R55" s="20" t="n">
        <v>0.65969764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(5824.0/B61*100)</f>
        <v/>
      </c>
      <c r="D61" s="19" t="n">
        <v>701</v>
      </c>
      <c r="E61" s="18" t="n">
        <v>39.9273609</v>
      </c>
      <c r="F61" s="20" t="n">
        <v>2.0228128</v>
      </c>
      <c r="G61" s="18" t="n">
        <v>57.96571434</v>
      </c>
      <c r="H61" s="20" t="n">
        <v>2.08079833</v>
      </c>
      <c r="I61" s="18" t="n">
        <v>0</v>
      </c>
      <c r="J61" s="20" t="n">
        <v>0</v>
      </c>
      <c r="K61" s="18" t="n">
        <v>0.1910682</v>
      </c>
      <c r="L61" s="20" t="n">
        <v>0.11713755</v>
      </c>
      <c r="M61" s="18" t="n">
        <v>0</v>
      </c>
      <c r="N61" s="20" t="n">
        <v>0</v>
      </c>
      <c r="O61" s="18" t="n">
        <v>0</v>
      </c>
      <c r="P61" s="20" t="n">
        <v>0</v>
      </c>
      <c r="Q61" s="18" t="n">
        <v>1.91585655</v>
      </c>
      <c r="R61" s="20" t="n">
        <v>0.59262342</v>
      </c>
    </row>
    <row r="62" spans="1:18">
      <c r="A62" s="15" t="s">
        <v>622</v>
      </c>
      <c r="B62" s="17" t="n">
        <v>4476</v>
      </c>
      <c r="C62" s="18">
        <f>(4010.0/B62*100)</f>
        <v/>
      </c>
      <c r="D62" s="19" t="n">
        <v>466</v>
      </c>
      <c r="E62" s="18" t="n">
        <v>30.16194506</v>
      </c>
      <c r="F62" s="20" t="n">
        <v>2.01544308</v>
      </c>
      <c r="G62" s="18" t="n">
        <v>68.55592113</v>
      </c>
      <c r="H62" s="20" t="n">
        <v>2.1464455</v>
      </c>
      <c r="I62" s="18" t="n">
        <v>0</v>
      </c>
      <c r="J62" s="20" t="n">
        <v>0</v>
      </c>
      <c r="K62" s="18" t="n">
        <v>0</v>
      </c>
      <c r="L62" s="20" t="n">
        <v>0</v>
      </c>
      <c r="M62" s="18" t="n">
        <v>0</v>
      </c>
      <c r="N62" s="20" t="n">
        <v>0</v>
      </c>
      <c r="O62" s="18" t="n">
        <v>0</v>
      </c>
      <c r="P62" s="20" t="n">
        <v>0</v>
      </c>
      <c r="Q62" s="18" t="n">
        <v>1.28213382</v>
      </c>
      <c r="R62" s="20" t="n">
        <v>0.5125440999999999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(5065.0/B67*100)</f>
        <v/>
      </c>
      <c r="D67" s="19" t="n">
        <v>600</v>
      </c>
      <c r="E67" s="18" t="n">
        <v>50.68706663</v>
      </c>
      <c r="F67" s="20" t="n">
        <v>2.17996146</v>
      </c>
      <c r="G67" s="18" t="n">
        <v>35.81184361</v>
      </c>
      <c r="H67" s="20" t="n">
        <v>2.15771406</v>
      </c>
      <c r="I67" s="18" t="n">
        <v>0</v>
      </c>
      <c r="J67" s="20" t="n">
        <v>0</v>
      </c>
      <c r="K67" s="18" t="n">
        <v>0.27844561</v>
      </c>
      <c r="L67" s="20" t="n">
        <v>0.19753862</v>
      </c>
      <c r="M67" s="18" t="n">
        <v>0.46470345</v>
      </c>
      <c r="N67" s="20" t="n">
        <v>0.26464995</v>
      </c>
      <c r="O67" s="18" t="n">
        <v>0</v>
      </c>
      <c r="P67" s="20" t="n">
        <v>0</v>
      </c>
      <c r="Q67" s="18" t="n">
        <v>12.7579407</v>
      </c>
      <c r="R67" s="20" t="n">
        <v>1.28361399</v>
      </c>
    </row>
    <row r="68" spans="1:18">
      <c r="A68" s="15" t="s">
        <v>628</v>
      </c>
      <c r="B68" s="17" t="n">
        <v>6971</v>
      </c>
      <c r="C68" s="18">
        <f>(6295.0/B68*100)</f>
        <v/>
      </c>
      <c r="D68" s="19" t="n">
        <v>676</v>
      </c>
      <c r="E68" s="18" t="n">
        <v>63.27732803</v>
      </c>
      <c r="F68" s="20" t="n">
        <v>1.80911833</v>
      </c>
      <c r="G68" s="18" t="n">
        <v>27.31940846</v>
      </c>
      <c r="H68" s="20" t="n">
        <v>1.80665924</v>
      </c>
      <c r="I68" s="18" t="n">
        <v>0</v>
      </c>
      <c r="J68" s="20" t="n">
        <v>0</v>
      </c>
      <c r="K68" s="18" t="n">
        <v>0.24203469</v>
      </c>
      <c r="L68" s="20" t="n">
        <v>0.17255419</v>
      </c>
      <c r="M68" s="18" t="n">
        <v>0.26273495</v>
      </c>
      <c r="N68" s="20" t="n">
        <v>0.23928059</v>
      </c>
      <c r="O68" s="18" t="n">
        <v>0</v>
      </c>
      <c r="P68" s="20" t="n">
        <v>0</v>
      </c>
      <c r="Q68" s="18" t="n">
        <v>8.898493869999999</v>
      </c>
      <c r="R68" s="20" t="n">
        <v>1.23076246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(10728.0/B70*100)</f>
        <v/>
      </c>
      <c r="D70" s="19" t="n">
        <v>1355</v>
      </c>
      <c r="E70" s="18" t="n">
        <v>63.63860456</v>
      </c>
      <c r="F70" s="20" t="n">
        <v>1.43507785</v>
      </c>
      <c r="G70" s="18" t="n">
        <v>24.81593578</v>
      </c>
      <c r="H70" s="20" t="n">
        <v>1.18899147</v>
      </c>
      <c r="I70" s="18" t="n">
        <v>0</v>
      </c>
      <c r="J70" s="20" t="n">
        <v>0</v>
      </c>
      <c r="K70" s="18" t="n">
        <v>2.96583505</v>
      </c>
      <c r="L70" s="20" t="n">
        <v>0.42195596</v>
      </c>
      <c r="M70" s="18" t="n">
        <v>0.07013469999999999</v>
      </c>
      <c r="N70" s="20" t="n">
        <v>0.07027509</v>
      </c>
      <c r="O70" s="18" t="n">
        <v>0</v>
      </c>
      <c r="P70" s="20" t="n">
        <v>0</v>
      </c>
      <c r="Q70" s="18" t="n">
        <v>8.50948992</v>
      </c>
      <c r="R70" s="20" t="n">
        <v>0.77709427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(5414.0/B72*100)</f>
        <v/>
      </c>
      <c r="D72" s="19" t="n">
        <v>622</v>
      </c>
      <c r="E72" s="18" t="n">
        <v>35.71971132</v>
      </c>
      <c r="F72" s="20" t="n">
        <v>3.17778058</v>
      </c>
      <c r="G72" s="18" t="n">
        <v>57.76700212</v>
      </c>
      <c r="H72" s="20" t="n">
        <v>3.39646635</v>
      </c>
      <c r="I72" s="18" t="n">
        <v>0</v>
      </c>
      <c r="J72" s="20" t="n">
        <v>0</v>
      </c>
      <c r="K72" s="18" t="n">
        <v>0.76523922</v>
      </c>
      <c r="L72" s="20" t="n">
        <v>0.42583016</v>
      </c>
      <c r="M72" s="18" t="n">
        <v>0</v>
      </c>
      <c r="N72" s="20" t="n">
        <v>0</v>
      </c>
      <c r="O72" s="18" t="n">
        <v>0</v>
      </c>
      <c r="P72" s="20" t="n">
        <v>0</v>
      </c>
      <c r="Q72" s="18" t="n">
        <v>5.74804734</v>
      </c>
      <c r="R72" s="20" t="n">
        <v>1.01408893</v>
      </c>
    </row>
    <row r="73" spans="1:18">
      <c r="A73" s="15" t="s">
        <v>633</v>
      </c>
      <c r="B73" s="17" t="n">
        <v>6115</v>
      </c>
      <c r="C73" s="18">
        <f>(5428.0/B73*100)</f>
        <v/>
      </c>
      <c r="D73" s="19" t="n">
        <v>687</v>
      </c>
      <c r="E73" s="18" t="n">
        <v>36.46776771</v>
      </c>
      <c r="F73" s="20" t="n">
        <v>1.53310802</v>
      </c>
      <c r="G73" s="18" t="n">
        <v>62.36139426</v>
      </c>
      <c r="H73" s="20" t="n">
        <v>1.60543767</v>
      </c>
      <c r="I73" s="18" t="n">
        <v>0</v>
      </c>
      <c r="J73" s="20" t="n">
        <v>0</v>
      </c>
      <c r="K73" s="18" t="n">
        <v>0.23418304</v>
      </c>
      <c r="L73" s="20" t="n">
        <v>0.22404879</v>
      </c>
      <c r="M73" s="18" t="n">
        <v>0</v>
      </c>
      <c r="N73" s="20" t="n">
        <v>0</v>
      </c>
      <c r="O73" s="18" t="n">
        <v>0</v>
      </c>
      <c r="P73" s="20" t="n">
        <v>0</v>
      </c>
      <c r="Q73" s="18" t="n">
        <v>0.936655</v>
      </c>
      <c r="R73" s="20" t="n">
        <v>0.36674291</v>
      </c>
    </row>
    <row r="74" spans="1:18">
      <c r="A74" s="15" t="s">
        <v>634</v>
      </c>
      <c r="B74" s="17" t="n">
        <v>7708</v>
      </c>
      <c r="C74" s="18">
        <f>(6865.0/B74*100)</f>
        <v/>
      </c>
      <c r="D74" s="19" t="n">
        <v>843</v>
      </c>
      <c r="E74" s="18" t="n">
        <v>26.44163743</v>
      </c>
      <c r="F74" s="20" t="n">
        <v>1.3880071</v>
      </c>
      <c r="G74" s="18" t="n">
        <v>72.15380672000001</v>
      </c>
      <c r="H74" s="20" t="n">
        <v>1.49232625</v>
      </c>
      <c r="I74" s="18" t="n">
        <v>0</v>
      </c>
      <c r="J74" s="20" t="n">
        <v>0</v>
      </c>
      <c r="K74" s="18" t="n">
        <v>0.15688412</v>
      </c>
      <c r="L74" s="20" t="n">
        <v>0.15745329</v>
      </c>
      <c r="M74" s="18" t="n">
        <v>0</v>
      </c>
      <c r="N74" s="20" t="n">
        <v>0</v>
      </c>
      <c r="O74" s="18" t="n">
        <v>0</v>
      </c>
      <c r="P74" s="20" t="n">
        <v>0</v>
      </c>
      <c r="Q74" s="18" t="n">
        <v>1.24767174</v>
      </c>
      <c r="R74" s="20" t="n">
        <v>0.33135959</v>
      </c>
    </row>
    <row r="75" spans="1:18">
      <c r="A75" s="15" t="s">
        <v>635</v>
      </c>
      <c r="B75" s="17" t="n">
        <v>8249</v>
      </c>
      <c r="C75" s="18">
        <f>(7409.0/B75*100)</f>
        <v/>
      </c>
      <c r="D75" s="19" t="n">
        <v>840</v>
      </c>
      <c r="E75" s="18" t="n">
        <v>73.87401168</v>
      </c>
      <c r="F75" s="20" t="n">
        <v>1.99624459</v>
      </c>
      <c r="G75" s="18" t="n">
        <v>23.93416258</v>
      </c>
      <c r="H75" s="20" t="n">
        <v>1.94641255</v>
      </c>
      <c r="I75" s="18" t="n">
        <v>0</v>
      </c>
      <c r="J75" s="20" t="n">
        <v>0</v>
      </c>
      <c r="K75" s="18" t="n">
        <v>0</v>
      </c>
      <c r="L75" s="20" t="n">
        <v>0</v>
      </c>
      <c r="M75" s="18" t="n">
        <v>0</v>
      </c>
      <c r="N75" s="20" t="n">
        <v>0</v>
      </c>
      <c r="O75" s="18" t="n">
        <v>0</v>
      </c>
      <c r="P75" s="20" t="n">
        <v>0</v>
      </c>
      <c r="Q75" s="18" t="n">
        <v>2.19182574</v>
      </c>
      <c r="R75" s="20" t="n">
        <v>0.5831618200000001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(4854.0/B77*100)</f>
        <v/>
      </c>
      <c r="D77" s="19" t="n">
        <v>521</v>
      </c>
      <c r="E77" s="18" t="n">
        <v>67.01557042</v>
      </c>
      <c r="F77" s="20" t="n">
        <v>2.42689604</v>
      </c>
      <c r="G77" s="18" t="n">
        <v>17.33157775</v>
      </c>
      <c r="H77" s="20" t="n">
        <v>1.82454781</v>
      </c>
      <c r="I77" s="18" t="n">
        <v>0</v>
      </c>
      <c r="J77" s="20" t="n">
        <v>0</v>
      </c>
      <c r="K77" s="18" t="n">
        <v>3.79586578</v>
      </c>
      <c r="L77" s="20" t="n">
        <v>0.78801927</v>
      </c>
      <c r="M77" s="18" t="n">
        <v>0.62784827</v>
      </c>
      <c r="N77" s="20" t="n">
        <v>0.34969827</v>
      </c>
      <c r="O77" s="18" t="n">
        <v>0</v>
      </c>
      <c r="P77" s="20" t="n">
        <v>0</v>
      </c>
      <c r="Q77" s="18" t="n">
        <v>11.22913777</v>
      </c>
      <c r="R77" s="20" t="n">
        <v>1.56729532</v>
      </c>
    </row>
    <row r="78" spans="1:18">
      <c r="A78" s="15" t="s">
        <v>638</v>
      </c>
      <c r="B78" s="17" t="n">
        <v>14167</v>
      </c>
      <c r="C78" s="18">
        <f>(12618.0/B78*100)</f>
        <v/>
      </c>
      <c r="D78" s="19" t="n">
        <v>1549</v>
      </c>
      <c r="E78" s="18" t="n">
        <v>63.90830177</v>
      </c>
      <c r="F78" s="20" t="n">
        <v>1.48303591</v>
      </c>
      <c r="G78" s="18" t="n">
        <v>30.33871346</v>
      </c>
      <c r="H78" s="20" t="n">
        <v>1.61778301</v>
      </c>
      <c r="I78" s="18" t="n">
        <v>0</v>
      </c>
      <c r="J78" s="20" t="n">
        <v>0</v>
      </c>
      <c r="K78" s="18" t="n">
        <v>1.51887882</v>
      </c>
      <c r="L78" s="20" t="n">
        <v>0.38449308</v>
      </c>
      <c r="M78" s="18" t="n">
        <v>0.21015673</v>
      </c>
      <c r="N78" s="20" t="n">
        <v>0.12973305</v>
      </c>
      <c r="O78" s="18" t="n">
        <v>0</v>
      </c>
      <c r="P78" s="20" t="n">
        <v>0</v>
      </c>
      <c r="Q78" s="18" t="n">
        <v>4.02394921</v>
      </c>
      <c r="R78" s="20" t="n">
        <v>0.5718399199999999</v>
      </c>
    </row>
    <row r="79" spans="1:18">
      <c r="A79" s="15" t="s">
        <v>639</v>
      </c>
      <c r="B79" s="17" t="n">
        <v>6062</v>
      </c>
      <c r="C79" s="18">
        <f>(5408.0/B79*100)</f>
        <v/>
      </c>
      <c r="D79" s="19" t="n">
        <v>654</v>
      </c>
      <c r="E79" s="18" t="n">
        <v>51.53792392</v>
      </c>
      <c r="F79" s="20" t="n">
        <v>2.12534001</v>
      </c>
      <c r="G79" s="18" t="n">
        <v>35.48987423</v>
      </c>
      <c r="H79" s="20" t="n">
        <v>2.13013166</v>
      </c>
      <c r="I79" s="18" t="n">
        <v>0</v>
      </c>
      <c r="J79" s="20" t="n">
        <v>0</v>
      </c>
      <c r="K79" s="18" t="n">
        <v>0.7109543</v>
      </c>
      <c r="L79" s="20" t="n">
        <v>0.32477242</v>
      </c>
      <c r="M79" s="18" t="n">
        <v>0</v>
      </c>
      <c r="N79" s="20" t="n">
        <v>0</v>
      </c>
      <c r="O79" s="18" t="n">
        <v>0</v>
      </c>
      <c r="P79" s="20" t="n">
        <v>0</v>
      </c>
      <c r="Q79" s="18" t="n">
        <v>12.26124755</v>
      </c>
      <c r="R79" s="20" t="n">
        <v>1.00373793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(28813.0/B82*100)</f>
        <v/>
      </c>
      <c r="D82" s="19" t="n">
        <v>3517</v>
      </c>
      <c r="E82" s="18" t="n">
        <v>40.93801772</v>
      </c>
      <c r="F82" s="20" t="n">
        <v>1.12720582</v>
      </c>
      <c r="G82" s="18" t="n">
        <v>53.30360371</v>
      </c>
      <c r="H82" s="20" t="n">
        <v>1.16750261</v>
      </c>
      <c r="I82" s="18" t="n">
        <v>0</v>
      </c>
      <c r="J82" s="20" t="n">
        <v>0</v>
      </c>
      <c r="K82" s="18" t="n">
        <v>0.25623874</v>
      </c>
      <c r="L82" s="20" t="n">
        <v>0.12964196</v>
      </c>
      <c r="M82" s="18" t="n">
        <v>0.07728591</v>
      </c>
      <c r="N82" s="20" t="n">
        <v>0.0625729</v>
      </c>
      <c r="O82" s="18" t="n">
        <v>0</v>
      </c>
      <c r="P82" s="20" t="n">
        <v>0</v>
      </c>
      <c r="Q82" s="18" t="n">
        <v>5.42485392</v>
      </c>
      <c r="R82" s="20" t="n">
        <v>0.5986923</v>
      </c>
    </row>
    <row r="83" spans="1:18">
      <c r="A83" s="15" t="s">
        <v>643</v>
      </c>
      <c r="B83" s="17" t="n">
        <v>1652</v>
      </c>
      <c r="C83" s="18">
        <f>(1476.0/B83*100)</f>
        <v/>
      </c>
      <c r="D83" s="19" t="n">
        <v>176</v>
      </c>
      <c r="E83" s="18" t="n">
        <v>38.24823642</v>
      </c>
      <c r="F83" s="20" t="n">
        <v>4.8528778</v>
      </c>
      <c r="G83" s="18" t="n">
        <v>58.71110352</v>
      </c>
      <c r="H83" s="20" t="n">
        <v>5.12501666</v>
      </c>
      <c r="I83" s="18" t="n">
        <v>0</v>
      </c>
      <c r="J83" s="20" t="n">
        <v>0</v>
      </c>
      <c r="K83" s="18" t="n">
        <v>0.71702301</v>
      </c>
      <c r="L83" s="20" t="n">
        <v>0.70453666</v>
      </c>
      <c r="M83" s="18" t="n">
        <v>0</v>
      </c>
      <c r="N83" s="20" t="n">
        <v>0</v>
      </c>
      <c r="O83" s="18" t="n">
        <v>0</v>
      </c>
      <c r="P83" s="20" t="n">
        <v>0</v>
      </c>
      <c r="Q83" s="18" t="n">
        <v>2.32363706</v>
      </c>
      <c r="R83" s="20" t="n">
        <v>1.15722822</v>
      </c>
    </row>
    <row r="84" spans="1:18">
      <c r="A84" s="23" t="s">
        <v>644</v>
      </c>
      <c r="B84" s="24" t="n">
        <v>1887</v>
      </c>
      <c r="C84" s="25">
        <f>(1702.0/B84*100)</f>
        <v/>
      </c>
      <c r="D84" s="19" t="n">
        <v>185</v>
      </c>
      <c r="E84" s="18" t="n">
        <v>49.2807739</v>
      </c>
      <c r="F84" s="20" t="n">
        <v>3.89067219</v>
      </c>
      <c r="G84" s="18" t="n">
        <v>48.42308487</v>
      </c>
      <c r="H84" s="20" t="n">
        <v>3.94570842</v>
      </c>
      <c r="I84" s="18" t="n">
        <v>0</v>
      </c>
      <c r="J84" s="20" t="n">
        <v>0</v>
      </c>
      <c r="K84" s="18" t="n">
        <v>0</v>
      </c>
      <c r="L84" s="20" t="n">
        <v>0</v>
      </c>
      <c r="M84" s="18" t="n">
        <v>0</v>
      </c>
      <c r="N84" s="20" t="n">
        <v>0</v>
      </c>
      <c r="O84" s="18" t="n">
        <v>0</v>
      </c>
      <c r="P84" s="20" t="n">
        <v>0</v>
      </c>
      <c r="Q84" s="18" t="n">
        <v>2.29614123</v>
      </c>
      <c r="R84" s="20" t="n">
        <v>1.07511035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(12966.0/B7*100)</f>
        <v/>
      </c>
      <c r="D7" s="19" t="n">
        <v>1564</v>
      </c>
      <c r="E7" s="18" t="n">
        <v>21.37358282</v>
      </c>
      <c r="F7" s="20" t="n">
        <v>1.10115521</v>
      </c>
      <c r="G7" s="18" t="n">
        <v>78.16921241999999</v>
      </c>
      <c r="H7" s="20" t="n">
        <v>1.13190506</v>
      </c>
      <c r="I7" s="18" t="n">
        <v>0</v>
      </c>
      <c r="J7" s="20" t="n">
        <v>0</v>
      </c>
      <c r="K7" s="18" t="n">
        <v>0.14374155</v>
      </c>
      <c r="L7" s="20" t="n">
        <v>0.08056921</v>
      </c>
      <c r="M7" s="18" t="n">
        <v>0</v>
      </c>
      <c r="N7" s="20" t="n">
        <v>0</v>
      </c>
      <c r="O7" s="18" t="n">
        <v>0</v>
      </c>
      <c r="P7" s="20" t="n">
        <v>0</v>
      </c>
      <c r="Q7" s="18" t="n">
        <v>0.31346322</v>
      </c>
      <c r="R7" s="20" t="n">
        <v>0.13188513</v>
      </c>
    </row>
    <row r="8" spans="1:18">
      <c r="A8" s="15" t="s">
        <v>566</v>
      </c>
      <c r="B8" s="17" t="n">
        <v>7007</v>
      </c>
      <c r="C8" s="18">
        <f>(6229.0/B8*100)</f>
        <v/>
      </c>
      <c r="D8" s="19" t="n">
        <v>778</v>
      </c>
      <c r="E8" s="18" t="n">
        <v>20.90582356</v>
      </c>
      <c r="F8" s="20" t="n">
        <v>1.64975498</v>
      </c>
      <c r="G8" s="18" t="n">
        <v>78.89488806</v>
      </c>
      <c r="H8" s="20" t="n">
        <v>1.65554982</v>
      </c>
      <c r="I8" s="18" t="n">
        <v>0</v>
      </c>
      <c r="J8" s="20" t="n">
        <v>0</v>
      </c>
      <c r="K8" s="18" t="n">
        <v>0.15198751</v>
      </c>
      <c r="L8" s="20" t="n">
        <v>0.23316912</v>
      </c>
      <c r="M8" s="18" t="n">
        <v>0</v>
      </c>
      <c r="N8" s="20" t="n">
        <v>0</v>
      </c>
      <c r="O8" s="18" t="n">
        <v>0</v>
      </c>
      <c r="P8" s="20" t="n">
        <v>0</v>
      </c>
      <c r="Q8" s="18" t="n">
        <v>0.04730087</v>
      </c>
      <c r="R8" s="20" t="n">
        <v>0.0494327</v>
      </c>
    </row>
    <row r="9" spans="1:18">
      <c r="A9" s="15" t="s">
        <v>567</v>
      </c>
      <c r="B9" s="17" t="n">
        <v>9651</v>
      </c>
      <c r="C9" s="18">
        <f>(8650.0/B9*100)</f>
        <v/>
      </c>
      <c r="D9" s="19" t="n">
        <v>1001</v>
      </c>
      <c r="E9" s="18" t="n">
        <v>19.78111652</v>
      </c>
      <c r="F9" s="20" t="n">
        <v>1.34982695</v>
      </c>
      <c r="G9" s="18" t="n">
        <v>79.69844686</v>
      </c>
      <c r="H9" s="20" t="n">
        <v>1.32128491</v>
      </c>
      <c r="I9" s="18" t="n">
        <v>0</v>
      </c>
      <c r="J9" s="20" t="n">
        <v>0</v>
      </c>
      <c r="K9" s="18" t="n">
        <v>0.44175926</v>
      </c>
      <c r="L9" s="20" t="n">
        <v>0.18236036</v>
      </c>
      <c r="M9" s="18" t="n">
        <v>0</v>
      </c>
      <c r="N9" s="20" t="n">
        <v>0</v>
      </c>
      <c r="O9" s="18" t="n">
        <v>0</v>
      </c>
      <c r="P9" s="20" t="n">
        <v>0</v>
      </c>
      <c r="Q9" s="18" t="n">
        <v>0.07867736</v>
      </c>
      <c r="R9" s="20" t="n">
        <v>0.07925429000000001</v>
      </c>
    </row>
    <row r="10" spans="1:18">
      <c r="A10" s="15" t="s">
        <v>568</v>
      </c>
      <c r="B10" s="17" t="n">
        <v>20058</v>
      </c>
      <c r="C10" s="18">
        <f>(17892.0/B10*100)</f>
        <v/>
      </c>
      <c r="D10" s="19" t="n">
        <v>2166</v>
      </c>
      <c r="E10" s="18" t="n">
        <v>23.31243715</v>
      </c>
      <c r="F10" s="20" t="n">
        <v>1.14609079</v>
      </c>
      <c r="G10" s="18" t="n">
        <v>75.96752307</v>
      </c>
      <c r="H10" s="20" t="n">
        <v>1.14793818</v>
      </c>
      <c r="I10" s="18" t="n">
        <v>0</v>
      </c>
      <c r="J10" s="20" t="n">
        <v>0</v>
      </c>
      <c r="K10" s="18" t="n">
        <v>0.21050979</v>
      </c>
      <c r="L10" s="20" t="n">
        <v>0.10277172</v>
      </c>
      <c r="M10" s="18" t="n">
        <v>0</v>
      </c>
      <c r="N10" s="20" t="n">
        <v>0</v>
      </c>
      <c r="O10" s="18" t="n">
        <v>0</v>
      </c>
      <c r="P10" s="20" t="n">
        <v>0</v>
      </c>
      <c r="Q10" s="18" t="n">
        <v>0.50953</v>
      </c>
      <c r="R10" s="20" t="n">
        <v>0.23312151</v>
      </c>
    </row>
    <row r="11" spans="1:18">
      <c r="A11" s="15" t="s">
        <v>569</v>
      </c>
      <c r="B11" s="17" t="n">
        <v>7053</v>
      </c>
      <c r="C11" s="18">
        <f>(6284.0/B11*100)</f>
        <v/>
      </c>
      <c r="D11" s="19" t="n">
        <v>769</v>
      </c>
      <c r="E11" s="18" t="n">
        <v>26.78659878</v>
      </c>
      <c r="F11" s="20" t="n">
        <v>1.85701713</v>
      </c>
      <c r="G11" s="18" t="n">
        <v>71.93950701999999</v>
      </c>
      <c r="H11" s="20" t="n">
        <v>1.78766648</v>
      </c>
      <c r="I11" s="18" t="n">
        <v>0</v>
      </c>
      <c r="J11" s="20" t="n">
        <v>0</v>
      </c>
      <c r="K11" s="18" t="n">
        <v>1.17248773</v>
      </c>
      <c r="L11" s="20" t="n">
        <v>0.41048857</v>
      </c>
      <c r="M11" s="18" t="n">
        <v>0</v>
      </c>
      <c r="N11" s="20" t="n">
        <v>0</v>
      </c>
      <c r="O11" s="18" t="n">
        <v>0</v>
      </c>
      <c r="P11" s="20" t="n">
        <v>0</v>
      </c>
      <c r="Q11" s="18" t="n">
        <v>0.10140646</v>
      </c>
      <c r="R11" s="20" t="n">
        <v>0.06676514</v>
      </c>
    </row>
    <row r="12" spans="1:18">
      <c r="A12" s="15" t="s">
        <v>570</v>
      </c>
      <c r="B12" s="17" t="n">
        <v>6894</v>
      </c>
      <c r="C12" s="18">
        <f>(6146.0/B12*100)</f>
        <v/>
      </c>
      <c r="D12" s="19" t="n">
        <v>748</v>
      </c>
      <c r="E12" s="18" t="n">
        <v>16.15657161</v>
      </c>
      <c r="F12" s="20" t="n">
        <v>1.526327</v>
      </c>
      <c r="G12" s="18" t="n">
        <v>83.44762808</v>
      </c>
      <c r="H12" s="20" t="n">
        <v>1.52060816</v>
      </c>
      <c r="I12" s="18" t="n">
        <v>0</v>
      </c>
      <c r="J12" s="20" t="n">
        <v>0</v>
      </c>
      <c r="K12" s="18" t="n">
        <v>0.3958003</v>
      </c>
      <c r="L12" s="20" t="n">
        <v>0.27646437</v>
      </c>
      <c r="M12" s="18" t="n">
        <v>0</v>
      </c>
      <c r="N12" s="20" t="n">
        <v>0</v>
      </c>
      <c r="O12" s="18" t="n">
        <v>0</v>
      </c>
      <c r="P12" s="20" t="n">
        <v>0</v>
      </c>
      <c r="Q12" s="18" t="n">
        <v>0</v>
      </c>
      <c r="R12" s="20" t="n">
        <v>0</v>
      </c>
    </row>
    <row r="13" spans="1:18">
      <c r="A13" s="15" t="s">
        <v>571</v>
      </c>
      <c r="B13" s="17" t="n">
        <v>7161</v>
      </c>
      <c r="C13" s="18">
        <f>(6423.0/B13*100)</f>
        <v/>
      </c>
      <c r="D13" s="19" t="n">
        <v>738</v>
      </c>
      <c r="E13" s="18" t="n">
        <v>16.32787252</v>
      </c>
      <c r="F13" s="20" t="n">
        <v>1.60219704</v>
      </c>
      <c r="G13" s="18" t="n">
        <v>82.99047385</v>
      </c>
      <c r="H13" s="20" t="n">
        <v>1.59928495</v>
      </c>
      <c r="I13" s="18" t="n">
        <v>0</v>
      </c>
      <c r="J13" s="20" t="n">
        <v>0</v>
      </c>
      <c r="K13" s="18" t="n">
        <v>0.6041241899999999</v>
      </c>
      <c r="L13" s="20" t="n">
        <v>0.29817</v>
      </c>
      <c r="M13" s="18" t="n">
        <v>0</v>
      </c>
      <c r="N13" s="20" t="n">
        <v>0</v>
      </c>
      <c r="O13" s="18" t="n">
        <v>0</v>
      </c>
      <c r="P13" s="20" t="n">
        <v>0</v>
      </c>
      <c r="Q13" s="18" t="n">
        <v>0.07752944000000001</v>
      </c>
      <c r="R13" s="20" t="n">
        <v>0.07881364</v>
      </c>
    </row>
    <row r="14" spans="1:18">
      <c r="A14" s="15" t="s">
        <v>572</v>
      </c>
      <c r="B14" s="17" t="n">
        <v>5587</v>
      </c>
      <c r="C14" s="18">
        <f>(4994.0/B14*100)</f>
        <v/>
      </c>
      <c r="D14" s="19" t="n">
        <v>593</v>
      </c>
      <c r="E14" s="18" t="n">
        <v>18.75837527</v>
      </c>
      <c r="F14" s="20" t="n">
        <v>1.52697255</v>
      </c>
      <c r="G14" s="18" t="n">
        <v>80.63858738</v>
      </c>
      <c r="H14" s="20" t="n">
        <v>1.57516928</v>
      </c>
      <c r="I14" s="18" t="n">
        <v>0</v>
      </c>
      <c r="J14" s="20" t="n">
        <v>0</v>
      </c>
      <c r="K14" s="18" t="n">
        <v>0.4168845</v>
      </c>
      <c r="L14" s="20" t="n">
        <v>0.40337113</v>
      </c>
      <c r="M14" s="18" t="n">
        <v>0</v>
      </c>
      <c r="N14" s="20" t="n">
        <v>0</v>
      </c>
      <c r="O14" s="18" t="n">
        <v>0</v>
      </c>
      <c r="P14" s="20" t="n">
        <v>0</v>
      </c>
      <c r="Q14" s="18" t="n">
        <v>0.18615284</v>
      </c>
      <c r="R14" s="20" t="n">
        <v>0.18828832</v>
      </c>
    </row>
    <row r="15" spans="1:18">
      <c r="A15" s="15" t="s">
        <v>573</v>
      </c>
      <c r="B15" s="17" t="n">
        <v>5882</v>
      </c>
      <c r="C15" s="18">
        <f>(5223.0/B15*100)</f>
        <v/>
      </c>
      <c r="D15" s="19" t="n">
        <v>659</v>
      </c>
      <c r="E15" s="18" t="n">
        <v>15.51496141</v>
      </c>
      <c r="F15" s="20" t="n">
        <v>1.46980031</v>
      </c>
      <c r="G15" s="18" t="n">
        <v>84.31453233000001</v>
      </c>
      <c r="H15" s="20" t="n">
        <v>1.49014427</v>
      </c>
      <c r="I15" s="18" t="n">
        <v>0</v>
      </c>
      <c r="J15" s="20" t="n">
        <v>0</v>
      </c>
      <c r="K15" s="18" t="n">
        <v>0</v>
      </c>
      <c r="L15" s="20" t="n">
        <v>0</v>
      </c>
      <c r="M15" s="18" t="n">
        <v>0</v>
      </c>
      <c r="N15" s="20" t="n">
        <v>0</v>
      </c>
      <c r="O15" s="18" t="n">
        <v>0</v>
      </c>
      <c r="P15" s="20" t="n">
        <v>0</v>
      </c>
      <c r="Q15" s="18" t="n">
        <v>0.17050626</v>
      </c>
      <c r="R15" s="20" t="n">
        <v>0.18655876</v>
      </c>
    </row>
    <row r="16" spans="1:18">
      <c r="A16" s="15" t="s">
        <v>574</v>
      </c>
      <c r="B16" s="17" t="n">
        <v>6108</v>
      </c>
      <c r="C16" s="18">
        <f>(5470.0/B16*100)</f>
        <v/>
      </c>
      <c r="D16" s="19" t="n">
        <v>638</v>
      </c>
      <c r="E16" s="18" t="n">
        <v>24.35702582</v>
      </c>
      <c r="F16" s="20" t="n">
        <v>1.38457853</v>
      </c>
      <c r="G16" s="18" t="n">
        <v>74.59816272</v>
      </c>
      <c r="H16" s="20" t="n">
        <v>1.44815956</v>
      </c>
      <c r="I16" s="18" t="n">
        <v>0</v>
      </c>
      <c r="J16" s="20" t="n">
        <v>0</v>
      </c>
      <c r="K16" s="18" t="n">
        <v>0.29659982</v>
      </c>
      <c r="L16" s="20" t="n">
        <v>0.21685043</v>
      </c>
      <c r="M16" s="18" t="n">
        <v>0</v>
      </c>
      <c r="N16" s="20" t="n">
        <v>0</v>
      </c>
      <c r="O16" s="18" t="n">
        <v>0</v>
      </c>
      <c r="P16" s="20" t="n">
        <v>0</v>
      </c>
      <c r="Q16" s="18" t="n">
        <v>0.74821164</v>
      </c>
      <c r="R16" s="20" t="n">
        <v>0.31674242</v>
      </c>
    </row>
    <row r="17" spans="1:18">
      <c r="A17" s="15" t="s">
        <v>575</v>
      </c>
      <c r="B17" s="17" t="n">
        <v>6504</v>
      </c>
      <c r="C17" s="18">
        <f>(5818.0/B17*100)</f>
        <v/>
      </c>
      <c r="D17" s="19" t="n">
        <v>686</v>
      </c>
      <c r="E17" s="18" t="n">
        <v>15.56840086</v>
      </c>
      <c r="F17" s="20" t="n">
        <v>1.42697679</v>
      </c>
      <c r="G17" s="18" t="n">
        <v>83.77415997</v>
      </c>
      <c r="H17" s="20" t="n">
        <v>1.37180356</v>
      </c>
      <c r="I17" s="18" t="n">
        <v>0</v>
      </c>
      <c r="J17" s="20" t="n">
        <v>0</v>
      </c>
      <c r="K17" s="18" t="n">
        <v>0.46170185</v>
      </c>
      <c r="L17" s="20" t="n">
        <v>0.26422597</v>
      </c>
      <c r="M17" s="18" t="n">
        <v>0</v>
      </c>
      <c r="N17" s="20" t="n">
        <v>0</v>
      </c>
      <c r="O17" s="18" t="n">
        <v>0</v>
      </c>
      <c r="P17" s="20" t="n">
        <v>0</v>
      </c>
      <c r="Q17" s="18" t="n">
        <v>0.19573731</v>
      </c>
      <c r="R17" s="20" t="n">
        <v>0.19908124</v>
      </c>
    </row>
    <row r="18" spans="1:18">
      <c r="A18" s="15" t="s">
        <v>576</v>
      </c>
      <c r="B18" s="17" t="n">
        <v>5532</v>
      </c>
      <c r="C18" s="18">
        <f>(4943.0/B18*100)</f>
        <v/>
      </c>
      <c r="D18" s="19" t="n">
        <v>589</v>
      </c>
      <c r="E18" s="18" t="n">
        <v>36.15745504</v>
      </c>
      <c r="F18" s="20" t="n">
        <v>2.23139463</v>
      </c>
      <c r="G18" s="18" t="n">
        <v>63.19456898</v>
      </c>
      <c r="H18" s="20" t="n">
        <v>2.19062075</v>
      </c>
      <c r="I18" s="18" t="n">
        <v>0</v>
      </c>
      <c r="J18" s="20" t="n">
        <v>0</v>
      </c>
      <c r="K18" s="18" t="n">
        <v>0.199552</v>
      </c>
      <c r="L18" s="20" t="n">
        <v>0.19794512</v>
      </c>
      <c r="M18" s="18" t="n">
        <v>0</v>
      </c>
      <c r="N18" s="20" t="n">
        <v>0</v>
      </c>
      <c r="O18" s="18" t="n">
        <v>0</v>
      </c>
      <c r="P18" s="20" t="n">
        <v>0</v>
      </c>
      <c r="Q18" s="18" t="n">
        <v>0.44842398</v>
      </c>
      <c r="R18" s="20" t="n">
        <v>0.25535715</v>
      </c>
    </row>
    <row r="19" spans="1:18">
      <c r="A19" s="15" t="s">
        <v>577</v>
      </c>
      <c r="B19" s="17" t="n">
        <v>5658</v>
      </c>
      <c r="C19" s="18">
        <f>(5025.0/B19*100)</f>
        <v/>
      </c>
      <c r="D19" s="19" t="n">
        <v>633</v>
      </c>
      <c r="E19" s="18" t="n">
        <v>18.5988877</v>
      </c>
      <c r="F19" s="20" t="n">
        <v>1.57026955</v>
      </c>
      <c r="G19" s="18" t="n">
        <v>81.40111229999999</v>
      </c>
      <c r="H19" s="20" t="n">
        <v>1.57026955</v>
      </c>
      <c r="I19" s="18" t="n">
        <v>0</v>
      </c>
      <c r="J19" s="20" t="n">
        <v>0</v>
      </c>
      <c r="K19" s="18" t="n">
        <v>0</v>
      </c>
      <c r="L19" s="20" t="n">
        <v>0</v>
      </c>
      <c r="M19" s="18" t="n">
        <v>0</v>
      </c>
      <c r="N19" s="20" t="n">
        <v>0</v>
      </c>
      <c r="O19" s="18" t="n">
        <v>0</v>
      </c>
      <c r="P19" s="20" t="n">
        <v>0</v>
      </c>
      <c r="Q19" s="18" t="n">
        <v>0</v>
      </c>
      <c r="R19" s="20" t="n">
        <v>0</v>
      </c>
    </row>
    <row r="20" spans="1:18">
      <c r="A20" s="15" t="s">
        <v>578</v>
      </c>
      <c r="B20" s="17" t="n">
        <v>3371</v>
      </c>
      <c r="C20" s="18">
        <f>(3030.0/B20*100)</f>
        <v/>
      </c>
      <c r="D20" s="19" t="n">
        <v>341</v>
      </c>
      <c r="E20" s="18" t="n">
        <v>19.74475372</v>
      </c>
      <c r="F20" s="20" t="n">
        <v>2.17640319</v>
      </c>
      <c r="G20" s="18" t="n">
        <v>79.115039</v>
      </c>
      <c r="H20" s="20" t="n">
        <v>2.24045492</v>
      </c>
      <c r="I20" s="18" t="n">
        <v>0</v>
      </c>
      <c r="J20" s="20" t="n">
        <v>0</v>
      </c>
      <c r="K20" s="18" t="n">
        <v>0.50444461</v>
      </c>
      <c r="L20" s="20" t="n">
        <v>0.3590116</v>
      </c>
      <c r="M20" s="18" t="n">
        <v>0</v>
      </c>
      <c r="N20" s="20" t="n">
        <v>0</v>
      </c>
      <c r="O20" s="18" t="n">
        <v>0</v>
      </c>
      <c r="P20" s="20" t="n">
        <v>0</v>
      </c>
      <c r="Q20" s="18" t="n">
        <v>0.63576267</v>
      </c>
      <c r="R20" s="20" t="n">
        <v>0.45650004</v>
      </c>
    </row>
    <row r="21" spans="1:18">
      <c r="A21" s="15" t="s">
        <v>579</v>
      </c>
      <c r="B21" s="17" t="n">
        <v>5741</v>
      </c>
      <c r="C21" s="18">
        <f>(5089.0/B21*100)</f>
        <v/>
      </c>
      <c r="D21" s="19" t="n">
        <v>652</v>
      </c>
      <c r="E21" s="18" t="n">
        <v>18.16262083</v>
      </c>
      <c r="F21" s="20" t="n">
        <v>1.5187182</v>
      </c>
      <c r="G21" s="18" t="n">
        <v>81.72058735</v>
      </c>
      <c r="H21" s="20" t="n">
        <v>1.51844356</v>
      </c>
      <c r="I21" s="18" t="n">
        <v>0</v>
      </c>
      <c r="J21" s="20" t="n">
        <v>0</v>
      </c>
      <c r="K21" s="18" t="n">
        <v>0</v>
      </c>
      <c r="L21" s="20" t="n">
        <v>0</v>
      </c>
      <c r="M21" s="18" t="n">
        <v>0</v>
      </c>
      <c r="N21" s="20" t="n">
        <v>0</v>
      </c>
      <c r="O21" s="18" t="n">
        <v>0</v>
      </c>
      <c r="P21" s="20" t="n">
        <v>0</v>
      </c>
      <c r="Q21" s="18" t="n">
        <v>0.11679182</v>
      </c>
      <c r="R21" s="20" t="n">
        <v>0.11637758</v>
      </c>
    </row>
    <row r="22" spans="1:18">
      <c r="A22" s="15" t="s">
        <v>580</v>
      </c>
      <c r="B22" s="17" t="n">
        <v>6598</v>
      </c>
      <c r="C22" s="18">
        <f>(5946.0/B22*100)</f>
        <v/>
      </c>
      <c r="D22" s="19" t="n">
        <v>652</v>
      </c>
      <c r="E22" s="18" t="n">
        <v>36.51109513</v>
      </c>
      <c r="F22" s="20" t="n">
        <v>1.91622923</v>
      </c>
      <c r="G22" s="18" t="n">
        <v>62.29378048</v>
      </c>
      <c r="H22" s="20" t="n">
        <v>2.00592549</v>
      </c>
      <c r="I22" s="18" t="n">
        <v>0</v>
      </c>
      <c r="J22" s="20" t="n">
        <v>0</v>
      </c>
      <c r="K22" s="18" t="n">
        <v>0.59769496</v>
      </c>
      <c r="L22" s="20" t="n">
        <v>0.28016188</v>
      </c>
      <c r="M22" s="18" t="n">
        <v>0</v>
      </c>
      <c r="N22" s="20" t="n">
        <v>0</v>
      </c>
      <c r="O22" s="18" t="n">
        <v>0</v>
      </c>
      <c r="P22" s="20" t="n">
        <v>0</v>
      </c>
      <c r="Q22" s="18" t="n">
        <v>0.59742943</v>
      </c>
      <c r="R22" s="20" t="n">
        <v>0.26949416</v>
      </c>
    </row>
    <row r="23" spans="1:18">
      <c r="A23" s="15" t="s">
        <v>581</v>
      </c>
      <c r="B23" s="17" t="n">
        <v>11583</v>
      </c>
      <c r="C23" s="18">
        <f>(10298.0/B23*100)</f>
        <v/>
      </c>
      <c r="D23" s="19" t="n">
        <v>1285</v>
      </c>
      <c r="E23" s="18" t="n">
        <v>21.20236228</v>
      </c>
      <c r="F23" s="20" t="n">
        <v>1.79918893</v>
      </c>
      <c r="G23" s="18" t="n">
        <v>77.67223816000001</v>
      </c>
      <c r="H23" s="20" t="n">
        <v>1.84695317</v>
      </c>
      <c r="I23" s="18" t="n">
        <v>0</v>
      </c>
      <c r="J23" s="20" t="n">
        <v>0</v>
      </c>
      <c r="K23" s="18" t="n">
        <v>0.93052096</v>
      </c>
      <c r="L23" s="20" t="n">
        <v>0.44620663</v>
      </c>
      <c r="M23" s="18" t="n">
        <v>0</v>
      </c>
      <c r="N23" s="20" t="n">
        <v>0</v>
      </c>
      <c r="O23" s="18" t="n">
        <v>0</v>
      </c>
      <c r="P23" s="20" t="n">
        <v>0</v>
      </c>
      <c r="Q23" s="18" t="n">
        <v>0.19487859</v>
      </c>
      <c r="R23" s="20" t="n">
        <v>0.12704922</v>
      </c>
    </row>
    <row r="24" spans="1:18">
      <c r="A24" s="15" t="s">
        <v>582</v>
      </c>
      <c r="B24" s="17" t="n">
        <v>6647</v>
      </c>
      <c r="C24" s="18">
        <f>(5911.0/B24*100)</f>
        <v/>
      </c>
      <c r="D24" s="19" t="n">
        <v>736</v>
      </c>
      <c r="E24" s="18" t="n">
        <v>28.22089947</v>
      </c>
      <c r="F24" s="20" t="n">
        <v>1.57694006</v>
      </c>
      <c r="G24" s="18" t="n">
        <v>71.4293389</v>
      </c>
      <c r="H24" s="20" t="n">
        <v>1.54696561</v>
      </c>
      <c r="I24" s="18" t="n">
        <v>0</v>
      </c>
      <c r="J24" s="20" t="n">
        <v>0</v>
      </c>
      <c r="K24" s="18" t="n">
        <v>0.12015837</v>
      </c>
      <c r="L24" s="20" t="n">
        <v>0.11999657</v>
      </c>
      <c r="M24" s="18" t="n">
        <v>0</v>
      </c>
      <c r="N24" s="20" t="n">
        <v>0</v>
      </c>
      <c r="O24" s="18" t="n">
        <v>0</v>
      </c>
      <c r="P24" s="20" t="n">
        <v>0</v>
      </c>
      <c r="Q24" s="18" t="n">
        <v>0.22960325</v>
      </c>
      <c r="R24" s="20" t="n">
        <v>0.18926392</v>
      </c>
    </row>
    <row r="25" spans="1:18">
      <c r="A25" s="15" t="s">
        <v>583</v>
      </c>
      <c r="B25" s="17" t="n">
        <v>5581</v>
      </c>
      <c r="C25" s="18">
        <f>(4957.0/B25*100)</f>
        <v/>
      </c>
      <c r="D25" s="19" t="n">
        <v>624</v>
      </c>
      <c r="E25" s="18" t="n">
        <v>30.97706025</v>
      </c>
      <c r="F25" s="20" t="n">
        <v>1.99104236</v>
      </c>
      <c r="G25" s="18" t="n">
        <v>67.91989568</v>
      </c>
      <c r="H25" s="20" t="n">
        <v>2.02689019</v>
      </c>
      <c r="I25" s="18" t="n">
        <v>0</v>
      </c>
      <c r="J25" s="20" t="n">
        <v>0</v>
      </c>
      <c r="K25" s="18" t="n">
        <v>1.10304407</v>
      </c>
      <c r="L25" s="20" t="n">
        <v>0.43958784</v>
      </c>
      <c r="M25" s="18" t="n">
        <v>0</v>
      </c>
      <c r="N25" s="20" t="n">
        <v>0</v>
      </c>
      <c r="O25" s="18" t="n">
        <v>0</v>
      </c>
      <c r="P25" s="20" t="n">
        <v>0</v>
      </c>
      <c r="Q25" s="18" t="n">
        <v>0</v>
      </c>
      <c r="R25" s="20" t="n">
        <v>0</v>
      </c>
    </row>
    <row r="26" spans="1:18">
      <c r="A26" s="15" t="s">
        <v>584</v>
      </c>
      <c r="B26" s="17" t="n">
        <v>4869</v>
      </c>
      <c r="C26" s="18">
        <f>(4339.0/B26*100)</f>
        <v/>
      </c>
      <c r="D26" s="19" t="n">
        <v>530</v>
      </c>
      <c r="E26" s="18" t="n">
        <v>21.72636904</v>
      </c>
      <c r="F26" s="20" t="n">
        <v>2.19064551</v>
      </c>
      <c r="G26" s="18" t="n">
        <v>78.27363096000001</v>
      </c>
      <c r="H26" s="20" t="n">
        <v>2.19064551</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(4730.0/B27*100)</f>
        <v/>
      </c>
      <c r="D27" s="19" t="n">
        <v>569</v>
      </c>
      <c r="E27" s="18" t="n">
        <v>27.14609514</v>
      </c>
      <c r="F27" s="20" t="n">
        <v>1.93419222</v>
      </c>
      <c r="G27" s="18" t="n">
        <v>72.33780401</v>
      </c>
      <c r="H27" s="20" t="n">
        <v>1.93675377</v>
      </c>
      <c r="I27" s="18" t="n">
        <v>0</v>
      </c>
      <c r="J27" s="20" t="n">
        <v>0</v>
      </c>
      <c r="K27" s="18" t="n">
        <v>0.34567394</v>
      </c>
      <c r="L27" s="20" t="n">
        <v>0.24009249</v>
      </c>
      <c r="M27" s="18" t="n">
        <v>0</v>
      </c>
      <c r="N27" s="20" t="n">
        <v>0</v>
      </c>
      <c r="O27" s="18" t="n">
        <v>0</v>
      </c>
      <c r="P27" s="20" t="n">
        <v>0</v>
      </c>
      <c r="Q27" s="18" t="n">
        <v>0.17042691</v>
      </c>
      <c r="R27" s="20" t="n">
        <v>0.17094045</v>
      </c>
    </row>
    <row r="28" spans="1:18">
      <c r="A28" s="15" t="s">
        <v>586</v>
      </c>
      <c r="B28" s="17" t="n">
        <v>7568</v>
      </c>
      <c r="C28" s="18">
        <f>(6808.0/B28*100)</f>
        <v/>
      </c>
      <c r="D28" s="19" t="n">
        <v>760</v>
      </c>
      <c r="E28" s="18" t="n">
        <v>27.27558079</v>
      </c>
      <c r="F28" s="20" t="n">
        <v>1.59516173</v>
      </c>
      <c r="G28" s="18" t="n">
        <v>71.50476845</v>
      </c>
      <c r="H28" s="20" t="n">
        <v>1.69245256</v>
      </c>
      <c r="I28" s="18" t="n">
        <v>0</v>
      </c>
      <c r="J28" s="20" t="n">
        <v>0</v>
      </c>
      <c r="K28" s="18" t="n">
        <v>1.13375508</v>
      </c>
      <c r="L28" s="20" t="n">
        <v>0.40751608</v>
      </c>
      <c r="M28" s="18" t="n">
        <v>0</v>
      </c>
      <c r="N28" s="20" t="n">
        <v>0</v>
      </c>
      <c r="O28" s="18" t="n">
        <v>0</v>
      </c>
      <c r="P28" s="20" t="n">
        <v>0</v>
      </c>
      <c r="Q28" s="18" t="n">
        <v>0.08589569</v>
      </c>
      <c r="R28" s="20" t="n">
        <v>0.0859265</v>
      </c>
    </row>
    <row r="29" spans="1:18">
      <c r="A29" s="15" t="s">
        <v>587</v>
      </c>
      <c r="B29" s="17" t="n">
        <v>5385</v>
      </c>
      <c r="C29" s="18">
        <f>(4782.0/B29*100)</f>
        <v/>
      </c>
      <c r="D29" s="19" t="n">
        <v>603</v>
      </c>
      <c r="E29" s="18" t="n">
        <v>14.38023214</v>
      </c>
      <c r="F29" s="20" t="n">
        <v>1.50797123</v>
      </c>
      <c r="G29" s="18" t="n">
        <v>85.06082302</v>
      </c>
      <c r="H29" s="20" t="n">
        <v>1.50527143</v>
      </c>
      <c r="I29" s="18" t="n">
        <v>0</v>
      </c>
      <c r="J29" s="20" t="n">
        <v>0</v>
      </c>
      <c r="K29" s="18" t="n">
        <v>0.40420148</v>
      </c>
      <c r="L29" s="20" t="n">
        <v>0.24121892</v>
      </c>
      <c r="M29" s="18" t="n">
        <v>0</v>
      </c>
      <c r="N29" s="20" t="n">
        <v>0</v>
      </c>
      <c r="O29" s="18" t="n">
        <v>0</v>
      </c>
      <c r="P29" s="20" t="n">
        <v>0</v>
      </c>
      <c r="Q29" s="18" t="n">
        <v>0.15474336</v>
      </c>
      <c r="R29" s="20" t="n">
        <v>0.20043358</v>
      </c>
    </row>
    <row r="30" spans="1:18">
      <c r="A30" s="15" t="s">
        <v>588</v>
      </c>
      <c r="B30" s="17" t="n">
        <v>4520</v>
      </c>
      <c r="C30" s="18">
        <f>(4040.0/B30*100)</f>
        <v/>
      </c>
      <c r="D30" s="19" t="n">
        <v>480</v>
      </c>
      <c r="E30" s="18" t="n">
        <v>20.4189257</v>
      </c>
      <c r="F30" s="20" t="n">
        <v>2.08475583</v>
      </c>
      <c r="G30" s="18" t="n">
        <v>78.88126642</v>
      </c>
      <c r="H30" s="20" t="n">
        <v>2.09522083</v>
      </c>
      <c r="I30" s="18" t="n">
        <v>0</v>
      </c>
      <c r="J30" s="20" t="n">
        <v>0</v>
      </c>
      <c r="K30" s="18" t="n">
        <v>0.69980788</v>
      </c>
      <c r="L30" s="20" t="n">
        <v>0.36988979</v>
      </c>
      <c r="M30" s="18" t="n">
        <v>0</v>
      </c>
      <c r="N30" s="20" t="n">
        <v>0</v>
      </c>
      <c r="O30" s="18" t="n">
        <v>0</v>
      </c>
      <c r="P30" s="20" t="n">
        <v>0</v>
      </c>
      <c r="Q30" s="18" t="n">
        <v>0</v>
      </c>
      <c r="R30" s="20" t="n">
        <v>0</v>
      </c>
    </row>
    <row r="31" spans="1:18">
      <c r="A31" s="15" t="s">
        <v>589</v>
      </c>
      <c r="B31" s="17" t="n">
        <v>5456</v>
      </c>
      <c r="C31" s="18">
        <f>(4876.0/B31*100)</f>
        <v/>
      </c>
      <c r="D31" s="19" t="n">
        <v>580</v>
      </c>
      <c r="E31" s="18" t="n">
        <v>20.9122166</v>
      </c>
      <c r="F31" s="20" t="n">
        <v>1.79296631</v>
      </c>
      <c r="G31" s="18" t="n">
        <v>78.12039904</v>
      </c>
      <c r="H31" s="20" t="n">
        <v>1.8219189</v>
      </c>
      <c r="I31" s="18" t="n">
        <v>0</v>
      </c>
      <c r="J31" s="20" t="n">
        <v>0</v>
      </c>
      <c r="K31" s="18" t="n">
        <v>0.81236011</v>
      </c>
      <c r="L31" s="20" t="n">
        <v>0.36113703</v>
      </c>
      <c r="M31" s="18" t="n">
        <v>0</v>
      </c>
      <c r="N31" s="20" t="n">
        <v>0</v>
      </c>
      <c r="O31" s="18" t="n">
        <v>0</v>
      </c>
      <c r="P31" s="20" t="n">
        <v>0</v>
      </c>
      <c r="Q31" s="18" t="n">
        <v>0.15502425</v>
      </c>
      <c r="R31" s="20" t="n">
        <v>0.15532279</v>
      </c>
    </row>
    <row r="32" spans="1:18">
      <c r="A32" s="15" t="s">
        <v>590</v>
      </c>
      <c r="B32" s="17" t="n">
        <v>4478</v>
      </c>
      <c r="C32" s="18">
        <f>(3994.0/B32*100)</f>
        <v/>
      </c>
      <c r="D32" s="19" t="n">
        <v>484</v>
      </c>
      <c r="E32" s="18" t="n">
        <v>18.16269694</v>
      </c>
      <c r="F32" s="20" t="n">
        <v>1.80841806</v>
      </c>
      <c r="G32" s="18" t="n">
        <v>81.24559637</v>
      </c>
      <c r="H32" s="20" t="n">
        <v>1.85717636</v>
      </c>
      <c r="I32" s="18" t="n">
        <v>0</v>
      </c>
      <c r="J32" s="20" t="n">
        <v>0</v>
      </c>
      <c r="K32" s="18" t="n">
        <v>0.40676253</v>
      </c>
      <c r="L32" s="20" t="n">
        <v>0.27674888</v>
      </c>
      <c r="M32" s="18" t="n">
        <v>0</v>
      </c>
      <c r="N32" s="20" t="n">
        <v>0</v>
      </c>
      <c r="O32" s="18" t="n">
        <v>0</v>
      </c>
      <c r="P32" s="20" t="n">
        <v>0</v>
      </c>
      <c r="Q32" s="18" t="n">
        <v>0.18494416</v>
      </c>
      <c r="R32" s="20" t="n">
        <v>0.19519745</v>
      </c>
    </row>
    <row r="33" spans="1:18">
      <c r="A33" s="15" t="s">
        <v>591</v>
      </c>
      <c r="B33" s="17" t="n">
        <v>7325</v>
      </c>
      <c r="C33" s="18">
        <f>(6556.0/B33*100)</f>
        <v/>
      </c>
      <c r="D33" s="19" t="n">
        <v>769</v>
      </c>
      <c r="E33" s="18" t="n">
        <v>27.15317951</v>
      </c>
      <c r="F33" s="20" t="n">
        <v>1.7100808</v>
      </c>
      <c r="G33" s="18" t="n">
        <v>72.57235593999999</v>
      </c>
      <c r="H33" s="20" t="n">
        <v>1.73265042</v>
      </c>
      <c r="I33" s="18" t="n">
        <v>0</v>
      </c>
      <c r="J33" s="20" t="n">
        <v>0</v>
      </c>
      <c r="K33" s="18" t="n">
        <v>0.25351223</v>
      </c>
      <c r="L33" s="20" t="n">
        <v>0.30235694</v>
      </c>
      <c r="M33" s="18" t="n">
        <v>0</v>
      </c>
      <c r="N33" s="20" t="n">
        <v>0</v>
      </c>
      <c r="O33" s="18" t="n">
        <v>0</v>
      </c>
      <c r="P33" s="20" t="n">
        <v>0</v>
      </c>
      <c r="Q33" s="18" t="n">
        <v>0.02095232</v>
      </c>
      <c r="R33" s="20" t="n">
        <v>0.02104613</v>
      </c>
    </row>
    <row r="34" spans="1:18">
      <c r="A34" s="15" t="s">
        <v>592</v>
      </c>
      <c r="B34" s="17" t="n">
        <v>6350</v>
      </c>
      <c r="C34" s="18">
        <f>(5689.0/B34*100)</f>
        <v/>
      </c>
      <c r="D34" s="19" t="n">
        <v>661</v>
      </c>
      <c r="E34" s="18" t="n">
        <v>25.97385071</v>
      </c>
      <c r="F34" s="20" t="n">
        <v>1.77200034</v>
      </c>
      <c r="G34" s="18" t="n">
        <v>72.86074103999999</v>
      </c>
      <c r="H34" s="20" t="n">
        <v>1.91906821</v>
      </c>
      <c r="I34" s="18" t="n">
        <v>0</v>
      </c>
      <c r="J34" s="20" t="n">
        <v>0</v>
      </c>
      <c r="K34" s="18" t="n">
        <v>0.20903286</v>
      </c>
      <c r="L34" s="20" t="n">
        <v>0.11661288</v>
      </c>
      <c r="M34" s="18" t="n">
        <v>0</v>
      </c>
      <c r="N34" s="20" t="n">
        <v>0</v>
      </c>
      <c r="O34" s="18" t="n">
        <v>0</v>
      </c>
      <c r="P34" s="20" t="n">
        <v>0</v>
      </c>
      <c r="Q34" s="18" t="n">
        <v>0.95637539</v>
      </c>
      <c r="R34" s="20" t="n">
        <v>0.40751846</v>
      </c>
    </row>
    <row r="35" spans="1:18">
      <c r="A35" s="15" t="s">
        <v>593</v>
      </c>
      <c r="B35" s="17" t="n">
        <v>6406</v>
      </c>
      <c r="C35" s="18">
        <f>(5685.0/B35*100)</f>
        <v/>
      </c>
      <c r="D35" s="19" t="n">
        <v>721</v>
      </c>
      <c r="E35" s="18" t="n">
        <v>18.16646968</v>
      </c>
      <c r="F35" s="20" t="n">
        <v>1.85011286</v>
      </c>
      <c r="G35" s="18" t="n">
        <v>81.71112927</v>
      </c>
      <c r="H35" s="20" t="n">
        <v>1.87179378</v>
      </c>
      <c r="I35" s="18" t="n">
        <v>0</v>
      </c>
      <c r="J35" s="20" t="n">
        <v>0</v>
      </c>
      <c r="K35" s="18" t="n">
        <v>0</v>
      </c>
      <c r="L35" s="20" t="n">
        <v>0</v>
      </c>
      <c r="M35" s="18" t="n">
        <v>0</v>
      </c>
      <c r="N35" s="20" t="n">
        <v>0</v>
      </c>
      <c r="O35" s="18" t="n">
        <v>0</v>
      </c>
      <c r="P35" s="20" t="n">
        <v>0</v>
      </c>
      <c r="Q35" s="18" t="n">
        <v>0.12240105</v>
      </c>
      <c r="R35" s="20" t="n">
        <v>0.08757329</v>
      </c>
    </row>
    <row r="36" spans="1:18">
      <c r="A36" s="15" t="s">
        <v>594</v>
      </c>
      <c r="B36" s="17" t="n">
        <v>6736</v>
      </c>
      <c r="C36" s="18">
        <f>(5999.0/B36*100)</f>
        <v/>
      </c>
      <c r="D36" s="19" t="n">
        <v>737</v>
      </c>
      <c r="E36" s="18" t="n">
        <v>20.06511316</v>
      </c>
      <c r="F36" s="20" t="n">
        <v>1.64721268</v>
      </c>
      <c r="G36" s="18" t="n">
        <v>78.64850045999999</v>
      </c>
      <c r="H36" s="20" t="n">
        <v>1.7144846</v>
      </c>
      <c r="I36" s="18" t="n">
        <v>0</v>
      </c>
      <c r="J36" s="20" t="n">
        <v>0</v>
      </c>
      <c r="K36" s="18" t="n">
        <v>0.83186499</v>
      </c>
      <c r="L36" s="20" t="n">
        <v>0.40260342</v>
      </c>
      <c r="M36" s="18" t="n">
        <v>0</v>
      </c>
      <c r="N36" s="20" t="n">
        <v>0</v>
      </c>
      <c r="O36" s="18" t="n">
        <v>0</v>
      </c>
      <c r="P36" s="20" t="n">
        <v>0</v>
      </c>
      <c r="Q36" s="18" t="n">
        <v>0.45452139</v>
      </c>
      <c r="R36" s="20" t="n">
        <v>0.27325905</v>
      </c>
    </row>
    <row r="37" spans="1:18">
      <c r="A37" s="15" t="s">
        <v>595</v>
      </c>
      <c r="B37" s="17" t="n">
        <v>5458</v>
      </c>
      <c r="C37" s="18">
        <f>(4885.0/B37*100)</f>
        <v/>
      </c>
      <c r="D37" s="19" t="n">
        <v>573</v>
      </c>
      <c r="E37" s="18" t="n">
        <v>23.28586077</v>
      </c>
      <c r="F37" s="20" t="n">
        <v>1.92015178</v>
      </c>
      <c r="G37" s="18" t="n">
        <v>75.16868215</v>
      </c>
      <c r="H37" s="20" t="n">
        <v>1.9916555</v>
      </c>
      <c r="I37" s="18" t="n">
        <v>0</v>
      </c>
      <c r="J37" s="20" t="n">
        <v>0</v>
      </c>
      <c r="K37" s="18" t="n">
        <v>0.79454032</v>
      </c>
      <c r="L37" s="20" t="n">
        <v>0.41203192</v>
      </c>
      <c r="M37" s="18" t="n">
        <v>0</v>
      </c>
      <c r="N37" s="20" t="n">
        <v>0</v>
      </c>
      <c r="O37" s="18" t="n">
        <v>0</v>
      </c>
      <c r="P37" s="20" t="n">
        <v>0</v>
      </c>
      <c r="Q37" s="18" t="n">
        <v>0.75091676</v>
      </c>
      <c r="R37" s="20" t="n">
        <v>0.38438872</v>
      </c>
    </row>
    <row r="38" spans="1:18">
      <c r="A38" s="15" t="s">
        <v>596</v>
      </c>
      <c r="B38" s="17" t="n">
        <v>5860</v>
      </c>
      <c r="C38" s="18">
        <f>(5233.0/B38*100)</f>
        <v/>
      </c>
      <c r="D38" s="19" t="n">
        <v>627</v>
      </c>
      <c r="E38" s="18" t="n">
        <v>16.53471078</v>
      </c>
      <c r="F38" s="20" t="n">
        <v>1.93927688</v>
      </c>
      <c r="G38" s="18" t="n">
        <v>82.95612353999999</v>
      </c>
      <c r="H38" s="20" t="n">
        <v>1.93724916</v>
      </c>
      <c r="I38" s="18" t="n">
        <v>0</v>
      </c>
      <c r="J38" s="20" t="n">
        <v>0</v>
      </c>
      <c r="K38" s="18" t="n">
        <v>0.47828615</v>
      </c>
      <c r="L38" s="20" t="n">
        <v>0.28338605</v>
      </c>
      <c r="M38" s="18" t="n">
        <v>0</v>
      </c>
      <c r="N38" s="20" t="n">
        <v>0</v>
      </c>
      <c r="O38" s="18" t="n">
        <v>0</v>
      </c>
      <c r="P38" s="20" t="n">
        <v>0</v>
      </c>
      <c r="Q38" s="18" t="n">
        <v>0.03087952</v>
      </c>
      <c r="R38" s="20" t="n">
        <v>0.02949815</v>
      </c>
    </row>
    <row r="39" spans="1:18">
      <c r="A39" s="15" t="s">
        <v>597</v>
      </c>
      <c r="B39" s="17" t="n">
        <v>5895</v>
      </c>
      <c r="C39" s="18">
        <f>(5254.0/B39*100)</f>
        <v/>
      </c>
      <c r="D39" s="19" t="n">
        <v>641</v>
      </c>
      <c r="E39" s="18" t="n">
        <v>47.54836781</v>
      </c>
      <c r="F39" s="20" t="n">
        <v>2.1365153</v>
      </c>
      <c r="G39" s="18" t="n">
        <v>51.84652726</v>
      </c>
      <c r="H39" s="20" t="n">
        <v>2.12032615</v>
      </c>
      <c r="I39" s="18" t="n">
        <v>0</v>
      </c>
      <c r="J39" s="20" t="n">
        <v>0</v>
      </c>
      <c r="K39" s="18" t="n">
        <v>0</v>
      </c>
      <c r="L39" s="20" t="n">
        <v>0</v>
      </c>
      <c r="M39" s="18" t="n">
        <v>0</v>
      </c>
      <c r="N39" s="20" t="n">
        <v>0</v>
      </c>
      <c r="O39" s="18" t="n">
        <v>0</v>
      </c>
      <c r="P39" s="20" t="n">
        <v>0</v>
      </c>
      <c r="Q39" s="18" t="n">
        <v>0.60510494</v>
      </c>
      <c r="R39" s="20" t="n">
        <v>0.42940066</v>
      </c>
    </row>
    <row r="40" spans="1:18">
      <c r="A40" s="15" t="s">
        <v>598</v>
      </c>
      <c r="B40" s="17" t="n">
        <v>14157</v>
      </c>
      <c r="C40" s="18">
        <f>(12613.0/B40*100)</f>
        <v/>
      </c>
      <c r="D40" s="19" t="n">
        <v>1544</v>
      </c>
      <c r="E40" s="18" t="n">
        <v>18.83082091</v>
      </c>
      <c r="F40" s="20" t="n">
        <v>1.52354984</v>
      </c>
      <c r="G40" s="18" t="n">
        <v>79.91230289000001</v>
      </c>
      <c r="H40" s="20" t="n">
        <v>1.57553939</v>
      </c>
      <c r="I40" s="18" t="n">
        <v>0</v>
      </c>
      <c r="J40" s="20" t="n">
        <v>0</v>
      </c>
      <c r="K40" s="18" t="n">
        <v>0.6309299900000001</v>
      </c>
      <c r="L40" s="20" t="n">
        <v>0.29690192</v>
      </c>
      <c r="M40" s="18" t="n">
        <v>0</v>
      </c>
      <c r="N40" s="20" t="n">
        <v>0</v>
      </c>
      <c r="O40" s="18" t="n">
        <v>0</v>
      </c>
      <c r="P40" s="20" t="n">
        <v>0</v>
      </c>
      <c r="Q40" s="18" t="n">
        <v>0.6259462099999999</v>
      </c>
      <c r="R40" s="20" t="n">
        <v>0.41185959</v>
      </c>
    </row>
    <row r="41" spans="1:18">
      <c r="A41" s="15" t="s">
        <v>599</v>
      </c>
      <c r="B41" s="17" t="n">
        <v>5712</v>
      </c>
      <c r="C41" s="18">
        <f>(5112.0/B41*100)</f>
        <v/>
      </c>
      <c r="D41" s="19" t="n">
        <v>600</v>
      </c>
      <c r="E41" s="18" t="n">
        <v>24.35870322</v>
      </c>
      <c r="F41" s="20" t="n">
        <v>1.68513055</v>
      </c>
      <c r="G41" s="18" t="n">
        <v>74.23700395</v>
      </c>
      <c r="H41" s="20" t="n">
        <v>1.80767434</v>
      </c>
      <c r="I41" s="18" t="n">
        <v>0</v>
      </c>
      <c r="J41" s="20" t="n">
        <v>0</v>
      </c>
      <c r="K41" s="18" t="n">
        <v>0.44230477</v>
      </c>
      <c r="L41" s="20" t="n">
        <v>0.28275012</v>
      </c>
      <c r="M41" s="18" t="n">
        <v>0</v>
      </c>
      <c r="N41" s="20" t="n">
        <v>0</v>
      </c>
      <c r="O41" s="18" t="n">
        <v>0</v>
      </c>
      <c r="P41" s="20" t="n">
        <v>0</v>
      </c>
      <c r="Q41" s="18" t="n">
        <v>0.96198806</v>
      </c>
      <c r="R41" s="20" t="n">
        <v>0.62824826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(21235.0/B46*100)</f>
        <v/>
      </c>
      <c r="D46" s="19" t="n">
        <v>1906</v>
      </c>
      <c r="E46" s="18" t="n">
        <v>46.57332749</v>
      </c>
      <c r="F46" s="20" t="n">
        <v>1.46669666</v>
      </c>
      <c r="G46" s="18" t="n">
        <v>50.44462032</v>
      </c>
      <c r="H46" s="20" t="n">
        <v>1.47669034</v>
      </c>
      <c r="I46" s="18" t="n">
        <v>0</v>
      </c>
      <c r="J46" s="20" t="n">
        <v>0</v>
      </c>
      <c r="K46" s="18" t="n">
        <v>1.59101674</v>
      </c>
      <c r="L46" s="20" t="n">
        <v>0.37900272</v>
      </c>
      <c r="M46" s="18" t="n">
        <v>0</v>
      </c>
      <c r="N46" s="20" t="n">
        <v>0</v>
      </c>
      <c r="O46" s="18" t="n">
        <v>0</v>
      </c>
      <c r="P46" s="20" t="n">
        <v>0</v>
      </c>
      <c r="Q46" s="18" t="n">
        <v>1.39103545</v>
      </c>
      <c r="R46" s="20" t="n">
        <v>0.31215502</v>
      </c>
    </row>
    <row r="47" spans="1:18">
      <c r="A47" s="15" t="s">
        <v>606</v>
      </c>
      <c r="B47" s="17" t="n">
        <v>5928</v>
      </c>
      <c r="C47" s="18">
        <f>(5298.0/B47*100)</f>
        <v/>
      </c>
      <c r="D47" s="19" t="n">
        <v>630</v>
      </c>
      <c r="E47" s="18" t="n">
        <v>33.27113926</v>
      </c>
      <c r="F47" s="20" t="n">
        <v>1.95644826</v>
      </c>
      <c r="G47" s="18" t="n">
        <v>65.16921678</v>
      </c>
      <c r="H47" s="20" t="n">
        <v>1.93369342</v>
      </c>
      <c r="I47" s="18" t="n">
        <v>0</v>
      </c>
      <c r="J47" s="20" t="n">
        <v>0</v>
      </c>
      <c r="K47" s="18" t="n">
        <v>1.24563899</v>
      </c>
      <c r="L47" s="20" t="n">
        <v>0.51832008</v>
      </c>
      <c r="M47" s="18" t="n">
        <v>0</v>
      </c>
      <c r="N47" s="20" t="n">
        <v>0</v>
      </c>
      <c r="O47" s="18" t="n">
        <v>0</v>
      </c>
      <c r="P47" s="20" t="n">
        <v>0</v>
      </c>
      <c r="Q47" s="18" t="n">
        <v>0.31400497</v>
      </c>
      <c r="R47" s="20" t="n">
        <v>0.20945055</v>
      </c>
    </row>
    <row r="48" spans="1:18">
      <c r="A48" s="15" t="s">
        <v>607</v>
      </c>
      <c r="B48" s="17" t="n">
        <v>9841</v>
      </c>
      <c r="C48" s="18">
        <f>(8791.0/B48*100)</f>
        <v/>
      </c>
      <c r="D48" s="19" t="n">
        <v>1050</v>
      </c>
      <c r="E48" s="18" t="n">
        <v>34.40096009</v>
      </c>
      <c r="F48" s="20" t="n">
        <v>2.14560861</v>
      </c>
      <c r="G48" s="18" t="n">
        <v>64.28315999</v>
      </c>
      <c r="H48" s="20" t="n">
        <v>2.27648605</v>
      </c>
      <c r="I48" s="18" t="n">
        <v>0</v>
      </c>
      <c r="J48" s="20" t="n">
        <v>0</v>
      </c>
      <c r="K48" s="18" t="n">
        <v>0.73785336</v>
      </c>
      <c r="L48" s="20" t="n">
        <v>0.35017639</v>
      </c>
      <c r="M48" s="18" t="n">
        <v>0</v>
      </c>
      <c r="N48" s="20" t="n">
        <v>0</v>
      </c>
      <c r="O48" s="18" t="n">
        <v>0</v>
      </c>
      <c r="P48" s="20" t="n">
        <v>0</v>
      </c>
      <c r="Q48" s="18" t="n">
        <v>0.57802655</v>
      </c>
      <c r="R48" s="20" t="n">
        <v>0.36621899</v>
      </c>
    </row>
    <row r="49" spans="1:18">
      <c r="A49" s="15" t="s">
        <v>608</v>
      </c>
      <c r="B49" s="17" t="n">
        <v>11795</v>
      </c>
      <c r="C49" s="18">
        <f>(10557.0/B49*100)</f>
        <v/>
      </c>
      <c r="D49" s="19" t="n">
        <v>1238</v>
      </c>
      <c r="E49" s="18" t="n">
        <v>20.20579999</v>
      </c>
      <c r="F49" s="20" t="n">
        <v>1.44552292</v>
      </c>
      <c r="G49" s="18" t="n">
        <v>76.59642916999999</v>
      </c>
      <c r="H49" s="20" t="n">
        <v>1.45933383</v>
      </c>
      <c r="I49" s="18" t="n">
        <v>0</v>
      </c>
      <c r="J49" s="20" t="n">
        <v>0</v>
      </c>
      <c r="K49" s="18" t="n">
        <v>2.72052809</v>
      </c>
      <c r="L49" s="20" t="n">
        <v>0.68411217</v>
      </c>
      <c r="M49" s="18" t="n">
        <v>0</v>
      </c>
      <c r="N49" s="20" t="n">
        <v>0</v>
      </c>
      <c r="O49" s="18" t="n">
        <v>0</v>
      </c>
      <c r="P49" s="20" t="n">
        <v>0</v>
      </c>
      <c r="Q49" s="18" t="n">
        <v>0.47724275</v>
      </c>
      <c r="R49" s="20" t="n">
        <v>0.25032688</v>
      </c>
    </row>
    <row r="50" spans="1:18">
      <c r="A50" s="15" t="s">
        <v>609</v>
      </c>
      <c r="B50" s="17" t="n">
        <v>6866</v>
      </c>
      <c r="C50" s="18">
        <f>(6227.0/B50*100)</f>
        <v/>
      </c>
      <c r="D50" s="19" t="n">
        <v>639</v>
      </c>
      <c r="E50" s="18" t="n">
        <v>33.82982377</v>
      </c>
      <c r="F50" s="20" t="n">
        <v>2.06920427</v>
      </c>
      <c r="G50" s="18" t="n">
        <v>65.83057599999999</v>
      </c>
      <c r="H50" s="20" t="n">
        <v>2.07050444</v>
      </c>
      <c r="I50" s="18" t="n">
        <v>0</v>
      </c>
      <c r="J50" s="20" t="n">
        <v>0</v>
      </c>
      <c r="K50" s="18" t="n">
        <v>0.33960023</v>
      </c>
      <c r="L50" s="20" t="n">
        <v>0.24406566</v>
      </c>
      <c r="M50" s="18" t="n">
        <v>0</v>
      </c>
      <c r="N50" s="20" t="n">
        <v>0</v>
      </c>
      <c r="O50" s="18" t="n">
        <v>0</v>
      </c>
      <c r="P50" s="20" t="n">
        <v>0</v>
      </c>
      <c r="Q50" s="18" t="n">
        <v>0</v>
      </c>
      <c r="R50" s="20" t="n">
        <v>0</v>
      </c>
    </row>
    <row r="51" spans="1:18">
      <c r="A51" s="15" t="s">
        <v>610</v>
      </c>
      <c r="B51" s="17" t="n">
        <v>5809</v>
      </c>
      <c r="C51" s="18">
        <f>(5182.0/B51*100)</f>
        <v/>
      </c>
      <c r="D51" s="19" t="n">
        <v>627</v>
      </c>
      <c r="E51" s="18" t="n">
        <v>27.80373574</v>
      </c>
      <c r="F51" s="20" t="n">
        <v>1.73995703</v>
      </c>
      <c r="G51" s="18" t="n">
        <v>71.68829176</v>
      </c>
      <c r="H51" s="20" t="n">
        <v>1.75233923</v>
      </c>
      <c r="I51" s="18" t="n">
        <v>0</v>
      </c>
      <c r="J51" s="20" t="n">
        <v>0</v>
      </c>
      <c r="K51" s="18" t="n">
        <v>0.34253128</v>
      </c>
      <c r="L51" s="20" t="n">
        <v>0.23456682</v>
      </c>
      <c r="M51" s="18" t="n">
        <v>0</v>
      </c>
      <c r="N51" s="20" t="n">
        <v>0</v>
      </c>
      <c r="O51" s="18" t="n">
        <v>0</v>
      </c>
      <c r="P51" s="20" t="n">
        <v>0</v>
      </c>
      <c r="Q51" s="18" t="n">
        <v>0.16544122</v>
      </c>
      <c r="R51" s="20" t="n">
        <v>0.16536985</v>
      </c>
    </row>
    <row r="52" spans="1:18">
      <c r="A52" s="15" t="s">
        <v>611</v>
      </c>
      <c r="B52" s="17" t="n">
        <v>5571</v>
      </c>
      <c r="C52" s="18">
        <f>(4965.0/B52*100)</f>
        <v/>
      </c>
      <c r="D52" s="19" t="n">
        <v>606</v>
      </c>
      <c r="E52" s="18" t="n">
        <v>39.3713281</v>
      </c>
      <c r="F52" s="20" t="n">
        <v>1.90958352</v>
      </c>
      <c r="G52" s="18" t="n">
        <v>59.78044068</v>
      </c>
      <c r="H52" s="20" t="n">
        <v>1.85775758</v>
      </c>
      <c r="I52" s="18" t="n">
        <v>0</v>
      </c>
      <c r="J52" s="20" t="n">
        <v>0</v>
      </c>
      <c r="K52" s="18" t="n">
        <v>0.6188944</v>
      </c>
      <c r="L52" s="20" t="n">
        <v>0.27881458</v>
      </c>
      <c r="M52" s="18" t="n">
        <v>0</v>
      </c>
      <c r="N52" s="20" t="n">
        <v>0</v>
      </c>
      <c r="O52" s="18" t="n">
        <v>0</v>
      </c>
      <c r="P52" s="20" t="n">
        <v>0</v>
      </c>
      <c r="Q52" s="18" t="n">
        <v>0.22933682</v>
      </c>
      <c r="R52" s="20" t="n">
        <v>0.16235915</v>
      </c>
    </row>
    <row r="53" spans="1:18">
      <c r="A53" s="15" t="s">
        <v>612</v>
      </c>
      <c r="B53" s="17" t="n">
        <v>4740</v>
      </c>
      <c r="C53" s="18">
        <f>(4204.0/B53*100)</f>
        <v/>
      </c>
      <c r="D53" s="19" t="n">
        <v>536</v>
      </c>
      <c r="E53" s="18" t="n">
        <v>51.15127028</v>
      </c>
      <c r="F53" s="20" t="n">
        <v>2.44821385</v>
      </c>
      <c r="G53" s="18" t="n">
        <v>28.9289252</v>
      </c>
      <c r="H53" s="20" t="n">
        <v>1.99710237</v>
      </c>
      <c r="I53" s="18" t="n">
        <v>0</v>
      </c>
      <c r="J53" s="20" t="n">
        <v>0</v>
      </c>
      <c r="K53" s="18" t="n">
        <v>18.53045389</v>
      </c>
      <c r="L53" s="20" t="n">
        <v>1.6800597</v>
      </c>
      <c r="M53" s="18" t="n">
        <v>0</v>
      </c>
      <c r="N53" s="20" t="n">
        <v>0</v>
      </c>
      <c r="O53" s="18" t="n">
        <v>0</v>
      </c>
      <c r="P53" s="20" t="n">
        <v>0</v>
      </c>
      <c r="Q53" s="18" t="n">
        <v>1.38935063</v>
      </c>
      <c r="R53" s="20" t="n">
        <v>0.6425636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(4787.0/B55*100)</f>
        <v/>
      </c>
      <c r="D55" s="19" t="n">
        <v>572</v>
      </c>
      <c r="E55" s="18" t="n">
        <v>22.91193651</v>
      </c>
      <c r="F55" s="20" t="n">
        <v>2.31143286</v>
      </c>
      <c r="G55" s="18" t="n">
        <v>76.73908172</v>
      </c>
      <c r="H55" s="20" t="n">
        <v>2.32769389</v>
      </c>
      <c r="I55" s="18" t="n">
        <v>0</v>
      </c>
      <c r="J55" s="20" t="n">
        <v>0</v>
      </c>
      <c r="K55" s="18" t="n">
        <v>0.34898177</v>
      </c>
      <c r="L55" s="20" t="n">
        <v>0.25185742</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(5824.0/B61*100)</f>
        <v/>
      </c>
      <c r="D61" s="19" t="n">
        <v>701</v>
      </c>
      <c r="E61" s="18" t="n">
        <v>20.83728874</v>
      </c>
      <c r="F61" s="20" t="n">
        <v>1.71559684</v>
      </c>
      <c r="G61" s="18" t="n">
        <v>78.97164306000001</v>
      </c>
      <c r="H61" s="20" t="n">
        <v>1.71197152</v>
      </c>
      <c r="I61" s="18" t="n">
        <v>0</v>
      </c>
      <c r="J61" s="20" t="n">
        <v>0</v>
      </c>
      <c r="K61" s="18" t="n">
        <v>0.1910682</v>
      </c>
      <c r="L61" s="20" t="n">
        <v>0.11713755</v>
      </c>
      <c r="M61" s="18" t="n">
        <v>0</v>
      </c>
      <c r="N61" s="20" t="n">
        <v>0</v>
      </c>
      <c r="O61" s="18" t="n">
        <v>0</v>
      </c>
      <c r="P61" s="20" t="n">
        <v>0</v>
      </c>
      <c r="Q61" s="18" t="n">
        <v>0</v>
      </c>
      <c r="R61" s="20" t="n">
        <v>0</v>
      </c>
    </row>
    <row r="62" spans="1:18">
      <c r="A62" s="15" t="s">
        <v>622</v>
      </c>
      <c r="B62" s="17" t="n">
        <v>4476</v>
      </c>
      <c r="C62" s="18">
        <f>(4012.0/B62*100)</f>
        <v/>
      </c>
      <c r="D62" s="19" t="n">
        <v>464</v>
      </c>
      <c r="E62" s="18" t="n">
        <v>21.99581345</v>
      </c>
      <c r="F62" s="20" t="n">
        <v>2.08471319</v>
      </c>
      <c r="G62" s="18" t="n">
        <v>78.00418655</v>
      </c>
      <c r="H62" s="20" t="n">
        <v>2.08471319</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(5068.0/B67*100)</f>
        <v/>
      </c>
      <c r="D67" s="19" t="n">
        <v>597</v>
      </c>
      <c r="E67" s="18" t="n">
        <v>39.91178347</v>
      </c>
      <c r="F67" s="20" t="n">
        <v>1.96185794</v>
      </c>
      <c r="G67" s="18" t="n">
        <v>58.69590838</v>
      </c>
      <c r="H67" s="20" t="n">
        <v>1.86468717</v>
      </c>
      <c r="I67" s="18" t="n">
        <v>0</v>
      </c>
      <c r="J67" s="20" t="n">
        <v>0</v>
      </c>
      <c r="K67" s="18" t="n">
        <v>0.27980554</v>
      </c>
      <c r="L67" s="20" t="n">
        <v>0.19858303</v>
      </c>
      <c r="M67" s="18" t="n">
        <v>0</v>
      </c>
      <c r="N67" s="20" t="n">
        <v>0</v>
      </c>
      <c r="O67" s="18" t="n">
        <v>0</v>
      </c>
      <c r="P67" s="20" t="n">
        <v>0</v>
      </c>
      <c r="Q67" s="18" t="n">
        <v>1.11250262</v>
      </c>
      <c r="R67" s="20" t="n">
        <v>0.42859966</v>
      </c>
    </row>
    <row r="68" spans="1:18">
      <c r="A68" s="15" t="s">
        <v>628</v>
      </c>
      <c r="B68" s="17" t="n">
        <v>6971</v>
      </c>
      <c r="C68" s="18">
        <f>(6310.0/B68*100)</f>
        <v/>
      </c>
      <c r="D68" s="19" t="n">
        <v>661</v>
      </c>
      <c r="E68" s="18" t="n">
        <v>40.01990629</v>
      </c>
      <c r="F68" s="20" t="n">
        <v>1.97443761</v>
      </c>
      <c r="G68" s="18" t="n">
        <v>59.23472082</v>
      </c>
      <c r="H68" s="20" t="n">
        <v>2.03463328</v>
      </c>
      <c r="I68" s="18" t="n">
        <v>0</v>
      </c>
      <c r="J68" s="20" t="n">
        <v>0</v>
      </c>
      <c r="K68" s="18" t="n">
        <v>0.24820618</v>
      </c>
      <c r="L68" s="20" t="n">
        <v>0.17682333</v>
      </c>
      <c r="M68" s="18" t="n">
        <v>0</v>
      </c>
      <c r="N68" s="20" t="n">
        <v>0</v>
      </c>
      <c r="O68" s="18" t="n">
        <v>0</v>
      </c>
      <c r="P68" s="20" t="n">
        <v>0</v>
      </c>
      <c r="Q68" s="18" t="n">
        <v>0.49716671</v>
      </c>
      <c r="R68" s="20" t="n">
        <v>0.40221795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(10728.0/B70*100)</f>
        <v/>
      </c>
      <c r="D70" s="19" t="n">
        <v>1355</v>
      </c>
      <c r="E70" s="18" t="n">
        <v>45.52874269</v>
      </c>
      <c r="F70" s="20" t="n">
        <v>1.39905777</v>
      </c>
      <c r="G70" s="18" t="n">
        <v>50.46415719</v>
      </c>
      <c r="H70" s="20" t="n">
        <v>1.33893876</v>
      </c>
      <c r="I70" s="18" t="n">
        <v>0</v>
      </c>
      <c r="J70" s="20" t="n">
        <v>0</v>
      </c>
      <c r="K70" s="18" t="n">
        <v>3.32363877</v>
      </c>
      <c r="L70" s="20" t="n">
        <v>0.42758437</v>
      </c>
      <c r="M70" s="18" t="n">
        <v>0</v>
      </c>
      <c r="N70" s="20" t="n">
        <v>0</v>
      </c>
      <c r="O70" s="18" t="n">
        <v>0</v>
      </c>
      <c r="P70" s="20" t="n">
        <v>0</v>
      </c>
      <c r="Q70" s="18" t="n">
        <v>0.68346135</v>
      </c>
      <c r="R70" s="20" t="n">
        <v>0.19745919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(5424.0/B72*100)</f>
        <v/>
      </c>
      <c r="D72" s="19" t="n">
        <v>612</v>
      </c>
      <c r="E72" s="18" t="n">
        <v>26.52064126</v>
      </c>
      <c r="F72" s="20" t="n">
        <v>1.80850451</v>
      </c>
      <c r="G72" s="18" t="n">
        <v>72.45420129</v>
      </c>
      <c r="H72" s="20" t="n">
        <v>1.86821278</v>
      </c>
      <c r="I72" s="18" t="n">
        <v>0</v>
      </c>
      <c r="J72" s="20" t="n">
        <v>0</v>
      </c>
      <c r="K72" s="18" t="n">
        <v>0.78343954</v>
      </c>
      <c r="L72" s="20" t="n">
        <v>0.4356924</v>
      </c>
      <c r="M72" s="18" t="n">
        <v>0</v>
      </c>
      <c r="N72" s="20" t="n">
        <v>0</v>
      </c>
      <c r="O72" s="18" t="n">
        <v>0</v>
      </c>
      <c r="P72" s="20" t="n">
        <v>0</v>
      </c>
      <c r="Q72" s="18" t="n">
        <v>0.24171791</v>
      </c>
      <c r="R72" s="20" t="n">
        <v>0.17739665</v>
      </c>
    </row>
    <row r="73" spans="1:18">
      <c r="A73" s="15" t="s">
        <v>633</v>
      </c>
      <c r="B73" s="17" t="n">
        <v>6115</v>
      </c>
      <c r="C73" s="18">
        <f>(5430.0/B73*100)</f>
        <v/>
      </c>
      <c r="D73" s="19" t="n">
        <v>685</v>
      </c>
      <c r="E73" s="18" t="n">
        <v>28.41548695</v>
      </c>
      <c r="F73" s="20" t="n">
        <v>1.76999479</v>
      </c>
      <c r="G73" s="18" t="n">
        <v>71.27336981000001</v>
      </c>
      <c r="H73" s="20" t="n">
        <v>1.80771681</v>
      </c>
      <c r="I73" s="18" t="n">
        <v>0</v>
      </c>
      <c r="J73" s="20" t="n">
        <v>0</v>
      </c>
      <c r="K73" s="18" t="n">
        <v>0.2348646</v>
      </c>
      <c r="L73" s="20" t="n">
        <v>0.22469429</v>
      </c>
      <c r="M73" s="18" t="n">
        <v>0</v>
      </c>
      <c r="N73" s="20" t="n">
        <v>0</v>
      </c>
      <c r="O73" s="18" t="n">
        <v>0</v>
      </c>
      <c r="P73" s="20" t="n">
        <v>0</v>
      </c>
      <c r="Q73" s="18" t="n">
        <v>0.07627863999999999</v>
      </c>
      <c r="R73" s="20" t="n">
        <v>0.07684576999999999</v>
      </c>
    </row>
    <row r="74" spans="1:18">
      <c r="A74" s="15" t="s">
        <v>634</v>
      </c>
      <c r="B74" s="17" t="n">
        <v>7708</v>
      </c>
      <c r="C74" s="18">
        <f>(6865.0/B74*100)</f>
        <v/>
      </c>
      <c r="D74" s="19" t="n">
        <v>843</v>
      </c>
      <c r="E74" s="18" t="n">
        <v>27.66836158</v>
      </c>
      <c r="F74" s="20" t="n">
        <v>1.78641622</v>
      </c>
      <c r="G74" s="18" t="n">
        <v>72.1747543</v>
      </c>
      <c r="H74" s="20" t="n">
        <v>1.82153811</v>
      </c>
      <c r="I74" s="18" t="n">
        <v>0</v>
      </c>
      <c r="J74" s="20" t="n">
        <v>0</v>
      </c>
      <c r="K74" s="18" t="n">
        <v>0.15688412</v>
      </c>
      <c r="L74" s="20" t="n">
        <v>0.15745329</v>
      </c>
      <c r="M74" s="18" t="n">
        <v>0</v>
      </c>
      <c r="N74" s="20" t="n">
        <v>0</v>
      </c>
      <c r="O74" s="18" t="n">
        <v>0</v>
      </c>
      <c r="P74" s="20" t="n">
        <v>0</v>
      </c>
      <c r="Q74" s="18" t="n">
        <v>0</v>
      </c>
      <c r="R74" s="20" t="n">
        <v>0</v>
      </c>
    </row>
    <row r="75" spans="1:18">
      <c r="A75" s="15" t="s">
        <v>635</v>
      </c>
      <c r="B75" s="17" t="n">
        <v>8249</v>
      </c>
      <c r="C75" s="18">
        <f>(7410.0/B75*100)</f>
        <v/>
      </c>
      <c r="D75" s="19" t="n">
        <v>839</v>
      </c>
      <c r="E75" s="18" t="n">
        <v>35.44604136</v>
      </c>
      <c r="F75" s="20" t="n">
        <v>1.80401007</v>
      </c>
      <c r="G75" s="18" t="n">
        <v>64.32325403</v>
      </c>
      <c r="H75" s="20" t="n">
        <v>1.76298205</v>
      </c>
      <c r="I75" s="18" t="n">
        <v>0</v>
      </c>
      <c r="J75" s="20" t="n">
        <v>0</v>
      </c>
      <c r="K75" s="18" t="n">
        <v>0</v>
      </c>
      <c r="L75" s="20" t="n">
        <v>0</v>
      </c>
      <c r="M75" s="18" t="n">
        <v>0</v>
      </c>
      <c r="N75" s="20" t="n">
        <v>0</v>
      </c>
      <c r="O75" s="18" t="n">
        <v>0</v>
      </c>
      <c r="P75" s="20" t="n">
        <v>0</v>
      </c>
      <c r="Q75" s="18" t="n">
        <v>0.23070461</v>
      </c>
      <c r="R75" s="20" t="n">
        <v>0.21954595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(4859.0/B77*100)</f>
        <v/>
      </c>
      <c r="D77" s="19" t="n">
        <v>516</v>
      </c>
      <c r="E77" s="18" t="n">
        <v>52.5213388</v>
      </c>
      <c r="F77" s="20" t="n">
        <v>2.38729081</v>
      </c>
      <c r="G77" s="18" t="n">
        <v>42.09051463</v>
      </c>
      <c r="H77" s="20" t="n">
        <v>2.41299024</v>
      </c>
      <c r="I77" s="18" t="n">
        <v>0</v>
      </c>
      <c r="J77" s="20" t="n">
        <v>0</v>
      </c>
      <c r="K77" s="18" t="n">
        <v>4.19690398</v>
      </c>
      <c r="L77" s="20" t="n">
        <v>0.88844922</v>
      </c>
      <c r="M77" s="18" t="n">
        <v>0</v>
      </c>
      <c r="N77" s="20" t="n">
        <v>0</v>
      </c>
      <c r="O77" s="18" t="n">
        <v>0</v>
      </c>
      <c r="P77" s="20" t="n">
        <v>0</v>
      </c>
      <c r="Q77" s="18" t="n">
        <v>1.19124259</v>
      </c>
      <c r="R77" s="20" t="n">
        <v>0.49575601</v>
      </c>
    </row>
    <row r="78" spans="1:18">
      <c r="A78" s="15" t="s">
        <v>638</v>
      </c>
      <c r="B78" s="17" t="n">
        <v>14167</v>
      </c>
      <c r="C78" s="18">
        <f>(12622.0/B78*100)</f>
        <v/>
      </c>
      <c r="D78" s="19" t="n">
        <v>1545</v>
      </c>
      <c r="E78" s="18" t="n">
        <v>41.64773973</v>
      </c>
      <c r="F78" s="20" t="n">
        <v>1.66337424</v>
      </c>
      <c r="G78" s="18" t="n">
        <v>56.05200911</v>
      </c>
      <c r="H78" s="20" t="n">
        <v>1.72025926</v>
      </c>
      <c r="I78" s="18" t="n">
        <v>0</v>
      </c>
      <c r="J78" s="20" t="n">
        <v>0</v>
      </c>
      <c r="K78" s="18" t="n">
        <v>1.60901994</v>
      </c>
      <c r="L78" s="20" t="n">
        <v>0.41941243</v>
      </c>
      <c r="M78" s="18" t="n">
        <v>0</v>
      </c>
      <c r="N78" s="20" t="n">
        <v>0</v>
      </c>
      <c r="O78" s="18" t="n">
        <v>0</v>
      </c>
      <c r="P78" s="20" t="n">
        <v>0</v>
      </c>
      <c r="Q78" s="18" t="n">
        <v>0.69123122</v>
      </c>
      <c r="R78" s="20" t="n">
        <v>0.25240284</v>
      </c>
    </row>
    <row r="79" spans="1:18">
      <c r="A79" s="15" t="s">
        <v>639</v>
      </c>
      <c r="B79" s="17" t="n">
        <v>6062</v>
      </c>
      <c r="C79" s="18">
        <f>(5412.0/B79*100)</f>
        <v/>
      </c>
      <c r="D79" s="19" t="n">
        <v>650</v>
      </c>
      <c r="E79" s="18" t="n">
        <v>34.86844978</v>
      </c>
      <c r="F79" s="20" t="n">
        <v>2.05168618</v>
      </c>
      <c r="G79" s="18" t="n">
        <v>63.42328146</v>
      </c>
      <c r="H79" s="20" t="n">
        <v>2.07180355</v>
      </c>
      <c r="I79" s="18" t="n">
        <v>0</v>
      </c>
      <c r="J79" s="20" t="n">
        <v>0</v>
      </c>
      <c r="K79" s="18" t="n">
        <v>1.11398235</v>
      </c>
      <c r="L79" s="20" t="n">
        <v>0.38808287</v>
      </c>
      <c r="M79" s="18" t="n">
        <v>0</v>
      </c>
      <c r="N79" s="20" t="n">
        <v>0</v>
      </c>
      <c r="O79" s="18" t="n">
        <v>0</v>
      </c>
      <c r="P79" s="20" t="n">
        <v>0</v>
      </c>
      <c r="Q79" s="18" t="n">
        <v>0.59428641</v>
      </c>
      <c r="R79" s="20" t="n">
        <v>0.29521992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(28823.0/B82*100)</f>
        <v/>
      </c>
      <c r="D82" s="19" t="n">
        <v>3507</v>
      </c>
      <c r="E82" s="18" t="n">
        <v>17.67352766</v>
      </c>
      <c r="F82" s="20" t="n">
        <v>1.00848392</v>
      </c>
      <c r="G82" s="18" t="n">
        <v>81.25537204</v>
      </c>
      <c r="H82" s="20" t="n">
        <v>1.0320463</v>
      </c>
      <c r="I82" s="18" t="n">
        <v>0</v>
      </c>
      <c r="J82" s="20" t="n">
        <v>0</v>
      </c>
      <c r="K82" s="18" t="n">
        <v>0.52215177</v>
      </c>
      <c r="L82" s="20" t="n">
        <v>0.23593849</v>
      </c>
      <c r="M82" s="18" t="n">
        <v>0</v>
      </c>
      <c r="N82" s="20" t="n">
        <v>0</v>
      </c>
      <c r="O82" s="18" t="n">
        <v>0</v>
      </c>
      <c r="P82" s="20" t="n">
        <v>0</v>
      </c>
      <c r="Q82" s="18" t="n">
        <v>0.54894853</v>
      </c>
      <c r="R82" s="20" t="n">
        <v>0.23819609</v>
      </c>
    </row>
    <row r="83" spans="1:18">
      <c r="A83" s="15" t="s">
        <v>643</v>
      </c>
      <c r="B83" s="17" t="n">
        <v>1652</v>
      </c>
      <c r="C83" s="18">
        <f>(1476.0/B83*100)</f>
        <v/>
      </c>
      <c r="D83" s="19" t="n">
        <v>176</v>
      </c>
      <c r="E83" s="18" t="n">
        <v>20.19436575</v>
      </c>
      <c r="F83" s="20" t="n">
        <v>3.88669373</v>
      </c>
      <c r="G83" s="18" t="n">
        <v>78.56117913999999</v>
      </c>
      <c r="H83" s="20" t="n">
        <v>3.95358124</v>
      </c>
      <c r="I83" s="18" t="n">
        <v>0</v>
      </c>
      <c r="J83" s="20" t="n">
        <v>0</v>
      </c>
      <c r="K83" s="18" t="n">
        <v>0.71702301</v>
      </c>
      <c r="L83" s="20" t="n">
        <v>0.70453666</v>
      </c>
      <c r="M83" s="18" t="n">
        <v>0</v>
      </c>
      <c r="N83" s="20" t="n">
        <v>0</v>
      </c>
      <c r="O83" s="18" t="n">
        <v>0</v>
      </c>
      <c r="P83" s="20" t="n">
        <v>0</v>
      </c>
      <c r="Q83" s="18" t="n">
        <v>0.5274321</v>
      </c>
      <c r="R83" s="20" t="n">
        <v>0.50658726</v>
      </c>
    </row>
    <row r="84" spans="1:18">
      <c r="A84" s="23" t="s">
        <v>644</v>
      </c>
      <c r="B84" s="24" t="n">
        <v>1887</v>
      </c>
      <c r="C84" s="25">
        <f>(1704.0/B84*100)</f>
        <v/>
      </c>
      <c r="D84" s="19" t="n">
        <v>183</v>
      </c>
      <c r="E84" s="18" t="n">
        <v>25.08111594</v>
      </c>
      <c r="F84" s="20" t="n">
        <v>2.71573567</v>
      </c>
      <c r="G84" s="18" t="n">
        <v>74.91888406</v>
      </c>
      <c r="H84" s="20" t="n">
        <v>2.71573567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(12973.0/B7*100)</f>
        <v/>
      </c>
      <c r="D7" s="19" t="n">
        <v>1557</v>
      </c>
      <c r="E7" s="18" t="n">
        <v>29.12106455</v>
      </c>
      <c r="F7" s="20" t="n">
        <v>1.5759592</v>
      </c>
      <c r="G7" s="18" t="n">
        <v>69.36020440999999</v>
      </c>
      <c r="H7" s="20" t="n">
        <v>1.65826385</v>
      </c>
      <c r="I7" s="18" t="n">
        <v>0</v>
      </c>
      <c r="J7" s="20" t="n">
        <v>0</v>
      </c>
      <c r="K7" s="18" t="n">
        <v>0.20932372</v>
      </c>
      <c r="L7" s="20" t="n">
        <v>0.10101977</v>
      </c>
      <c r="M7" s="18" t="n">
        <v>0</v>
      </c>
      <c r="N7" s="20" t="n">
        <v>0</v>
      </c>
      <c r="O7" s="18" t="n">
        <v>0</v>
      </c>
      <c r="P7" s="20" t="n">
        <v>0</v>
      </c>
      <c r="Q7" s="18" t="n">
        <v>1.30940732</v>
      </c>
      <c r="R7" s="20" t="n">
        <v>0.33919017</v>
      </c>
    </row>
    <row r="8" spans="1:18">
      <c r="A8" s="15" t="s">
        <v>566</v>
      </c>
      <c r="B8" s="17" t="n">
        <v>7007</v>
      </c>
      <c r="C8" s="18">
        <f>(6229.0/B8*100)</f>
        <v/>
      </c>
      <c r="D8" s="19" t="n">
        <v>778</v>
      </c>
      <c r="E8" s="18" t="n">
        <v>44.81332043</v>
      </c>
      <c r="F8" s="20" t="n">
        <v>1.77215264</v>
      </c>
      <c r="G8" s="18" t="n">
        <v>53.29375019</v>
      </c>
      <c r="H8" s="20" t="n">
        <v>1.76666947</v>
      </c>
      <c r="I8" s="18" t="n">
        <v>0</v>
      </c>
      <c r="J8" s="20" t="n">
        <v>0</v>
      </c>
      <c r="K8" s="18" t="n">
        <v>0.15198751</v>
      </c>
      <c r="L8" s="20" t="n">
        <v>0.23316912</v>
      </c>
      <c r="M8" s="18" t="n">
        <v>0</v>
      </c>
      <c r="N8" s="20" t="n">
        <v>0</v>
      </c>
      <c r="O8" s="18" t="n">
        <v>0</v>
      </c>
      <c r="P8" s="20" t="n">
        <v>0</v>
      </c>
      <c r="Q8" s="18" t="n">
        <v>1.74094188</v>
      </c>
      <c r="R8" s="20" t="n">
        <v>0.48474913</v>
      </c>
    </row>
    <row r="9" spans="1:18">
      <c r="A9" s="15" t="s">
        <v>567</v>
      </c>
      <c r="B9" s="17" t="n">
        <v>9651</v>
      </c>
      <c r="C9" s="18">
        <f>(8652.0/B9*100)</f>
        <v/>
      </c>
      <c r="D9" s="19" t="n">
        <v>999</v>
      </c>
      <c r="E9" s="18" t="n">
        <v>35.30213837</v>
      </c>
      <c r="F9" s="20" t="n">
        <v>1.82397747</v>
      </c>
      <c r="G9" s="18" t="n">
        <v>62.24382073</v>
      </c>
      <c r="H9" s="20" t="n">
        <v>1.96008646</v>
      </c>
      <c r="I9" s="18" t="n">
        <v>0</v>
      </c>
      <c r="J9" s="20" t="n">
        <v>0</v>
      </c>
      <c r="K9" s="18" t="n">
        <v>0.81964971</v>
      </c>
      <c r="L9" s="20" t="n">
        <v>0.29365614</v>
      </c>
      <c r="M9" s="18" t="n">
        <v>0</v>
      </c>
      <c r="N9" s="20" t="n">
        <v>0</v>
      </c>
      <c r="O9" s="18" t="n">
        <v>0</v>
      </c>
      <c r="P9" s="20" t="n">
        <v>0</v>
      </c>
      <c r="Q9" s="18" t="n">
        <v>1.6343912</v>
      </c>
      <c r="R9" s="20" t="n">
        <v>0.47737838</v>
      </c>
    </row>
    <row r="10" spans="1:18">
      <c r="A10" s="15" t="s">
        <v>568</v>
      </c>
      <c r="B10" s="17" t="n">
        <v>20058</v>
      </c>
      <c r="C10" s="18">
        <f>(17896.0/B10*100)</f>
        <v/>
      </c>
      <c r="D10" s="19" t="n">
        <v>2162</v>
      </c>
      <c r="E10" s="18" t="n">
        <v>31.70987754</v>
      </c>
      <c r="F10" s="20" t="n">
        <v>1.5070374</v>
      </c>
      <c r="G10" s="18" t="n">
        <v>66.36777363</v>
      </c>
      <c r="H10" s="20" t="n">
        <v>1.54732022</v>
      </c>
      <c r="I10" s="18" t="n">
        <v>0</v>
      </c>
      <c r="J10" s="20" t="n">
        <v>0</v>
      </c>
      <c r="K10" s="18" t="n">
        <v>0.50949194</v>
      </c>
      <c r="L10" s="20" t="n">
        <v>0.19575563</v>
      </c>
      <c r="M10" s="18" t="n">
        <v>0</v>
      </c>
      <c r="N10" s="20" t="n">
        <v>0</v>
      </c>
      <c r="O10" s="18" t="n">
        <v>0</v>
      </c>
      <c r="P10" s="20" t="n">
        <v>0</v>
      </c>
      <c r="Q10" s="18" t="n">
        <v>1.41285689</v>
      </c>
      <c r="R10" s="20" t="n">
        <v>0.28569053</v>
      </c>
    </row>
    <row r="11" spans="1:18">
      <c r="A11" s="15" t="s">
        <v>569</v>
      </c>
      <c r="B11" s="17" t="n">
        <v>7053</v>
      </c>
      <c r="C11" s="18">
        <f>(6284.0/B11*100)</f>
        <v/>
      </c>
      <c r="D11" s="19" t="n">
        <v>769</v>
      </c>
      <c r="E11" s="18" t="n">
        <v>41.87232916</v>
      </c>
      <c r="F11" s="20" t="n">
        <v>1.93551779</v>
      </c>
      <c r="G11" s="18" t="n">
        <v>54.14347685</v>
      </c>
      <c r="H11" s="20" t="n">
        <v>1.91145645</v>
      </c>
      <c r="I11" s="18" t="n">
        <v>0</v>
      </c>
      <c r="J11" s="20" t="n">
        <v>0</v>
      </c>
      <c r="K11" s="18" t="n">
        <v>1.83215668</v>
      </c>
      <c r="L11" s="20" t="n">
        <v>0.498921</v>
      </c>
      <c r="M11" s="18" t="n">
        <v>0</v>
      </c>
      <c r="N11" s="20" t="n">
        <v>0</v>
      </c>
      <c r="O11" s="18" t="n">
        <v>0</v>
      </c>
      <c r="P11" s="20" t="n">
        <v>0</v>
      </c>
      <c r="Q11" s="18" t="n">
        <v>2.15203731</v>
      </c>
      <c r="R11" s="20" t="n">
        <v>0.87641282</v>
      </c>
    </row>
    <row r="12" spans="1:18">
      <c r="A12" s="15" t="s">
        <v>570</v>
      </c>
      <c r="B12" s="17" t="n">
        <v>6894</v>
      </c>
      <c r="C12" s="18">
        <f>(6151.0/B12*100)</f>
        <v/>
      </c>
      <c r="D12" s="19" t="n">
        <v>743</v>
      </c>
      <c r="E12" s="18" t="n">
        <v>40.30651629</v>
      </c>
      <c r="F12" s="20" t="n">
        <v>2.06593264</v>
      </c>
      <c r="G12" s="18" t="n">
        <v>57.173339</v>
      </c>
      <c r="H12" s="20" t="n">
        <v>2.29219893</v>
      </c>
      <c r="I12" s="18" t="n">
        <v>0</v>
      </c>
      <c r="J12" s="20" t="n">
        <v>0</v>
      </c>
      <c r="K12" s="18" t="n">
        <v>0.39860217</v>
      </c>
      <c r="L12" s="20" t="n">
        <v>0.27832627</v>
      </c>
      <c r="M12" s="18" t="n">
        <v>0</v>
      </c>
      <c r="N12" s="20" t="n">
        <v>0</v>
      </c>
      <c r="O12" s="18" t="n">
        <v>0</v>
      </c>
      <c r="P12" s="20" t="n">
        <v>0</v>
      </c>
      <c r="Q12" s="18" t="n">
        <v>2.12154254</v>
      </c>
      <c r="R12" s="20" t="n">
        <v>0.62904141</v>
      </c>
    </row>
    <row r="13" spans="1:18">
      <c r="A13" s="15" t="s">
        <v>571</v>
      </c>
      <c r="B13" s="17" t="n">
        <v>7161</v>
      </c>
      <c r="C13" s="18">
        <f>(6424.0/B13*100)</f>
        <v/>
      </c>
      <c r="D13" s="19" t="n">
        <v>737</v>
      </c>
      <c r="E13" s="18" t="n">
        <v>41.74293528</v>
      </c>
      <c r="F13" s="20" t="n">
        <v>2.41104195</v>
      </c>
      <c r="G13" s="18" t="n">
        <v>55.85085766</v>
      </c>
      <c r="H13" s="20" t="n">
        <v>2.33823827</v>
      </c>
      <c r="I13" s="18" t="n">
        <v>0</v>
      </c>
      <c r="J13" s="20" t="n">
        <v>0</v>
      </c>
      <c r="K13" s="18" t="n">
        <v>0.75565719</v>
      </c>
      <c r="L13" s="20" t="n">
        <v>0.33377617</v>
      </c>
      <c r="M13" s="18" t="n">
        <v>0</v>
      </c>
      <c r="N13" s="20" t="n">
        <v>0</v>
      </c>
      <c r="O13" s="18" t="n">
        <v>0</v>
      </c>
      <c r="P13" s="20" t="n">
        <v>0</v>
      </c>
      <c r="Q13" s="18" t="n">
        <v>1.65054987</v>
      </c>
      <c r="R13" s="20" t="n">
        <v>0.56035128</v>
      </c>
    </row>
    <row r="14" spans="1:18">
      <c r="A14" s="15" t="s">
        <v>572</v>
      </c>
      <c r="B14" s="17" t="n">
        <v>5587</v>
      </c>
      <c r="C14" s="18">
        <f>(4995.0/B14*100)</f>
        <v/>
      </c>
      <c r="D14" s="19" t="n">
        <v>592</v>
      </c>
      <c r="E14" s="18" t="n">
        <v>21.44382103</v>
      </c>
      <c r="F14" s="20" t="n">
        <v>1.96724526</v>
      </c>
      <c r="G14" s="18" t="n">
        <v>77.28894226</v>
      </c>
      <c r="H14" s="20" t="n">
        <v>1.90317824</v>
      </c>
      <c r="I14" s="18" t="n">
        <v>0</v>
      </c>
      <c r="J14" s="20" t="n">
        <v>0</v>
      </c>
      <c r="K14" s="18" t="n">
        <v>0.41754058</v>
      </c>
      <c r="L14" s="20" t="n">
        <v>0.40398337</v>
      </c>
      <c r="M14" s="18" t="n">
        <v>0</v>
      </c>
      <c r="N14" s="20" t="n">
        <v>0</v>
      </c>
      <c r="O14" s="18" t="n">
        <v>0</v>
      </c>
      <c r="P14" s="20" t="n">
        <v>0</v>
      </c>
      <c r="Q14" s="18" t="n">
        <v>0.8496961200000001</v>
      </c>
      <c r="R14" s="20" t="n">
        <v>0.35053507</v>
      </c>
    </row>
    <row r="15" spans="1:18">
      <c r="A15" s="15" t="s">
        <v>573</v>
      </c>
      <c r="B15" s="17" t="n">
        <v>5882</v>
      </c>
      <c r="C15" s="18">
        <f>(5224.0/B15*100)</f>
        <v/>
      </c>
      <c r="D15" s="19" t="n">
        <v>658</v>
      </c>
      <c r="E15" s="18" t="n">
        <v>29.82260954</v>
      </c>
      <c r="F15" s="20" t="n">
        <v>1.75149945</v>
      </c>
      <c r="G15" s="18" t="n">
        <v>68.29226128000001</v>
      </c>
      <c r="H15" s="20" t="n">
        <v>1.76094954</v>
      </c>
      <c r="I15" s="18" t="n">
        <v>0</v>
      </c>
      <c r="J15" s="20" t="n">
        <v>0</v>
      </c>
      <c r="K15" s="18" t="n">
        <v>0</v>
      </c>
      <c r="L15" s="20" t="n">
        <v>0</v>
      </c>
      <c r="M15" s="18" t="n">
        <v>0</v>
      </c>
      <c r="N15" s="20" t="n">
        <v>0</v>
      </c>
      <c r="O15" s="18" t="n">
        <v>0</v>
      </c>
      <c r="P15" s="20" t="n">
        <v>0</v>
      </c>
      <c r="Q15" s="18" t="n">
        <v>1.88512917</v>
      </c>
      <c r="R15" s="20" t="n">
        <v>0.58318526</v>
      </c>
    </row>
    <row r="16" spans="1:18">
      <c r="A16" s="15" t="s">
        <v>574</v>
      </c>
      <c r="B16" s="17" t="n">
        <v>6108</v>
      </c>
      <c r="C16" s="18">
        <f>(5473.0/B16*100)</f>
        <v/>
      </c>
      <c r="D16" s="19" t="n">
        <v>635</v>
      </c>
      <c r="E16" s="18" t="n">
        <v>42.07503302</v>
      </c>
      <c r="F16" s="20" t="n">
        <v>1.67109761</v>
      </c>
      <c r="G16" s="18" t="n">
        <v>52.48910801</v>
      </c>
      <c r="H16" s="20" t="n">
        <v>1.88712905</v>
      </c>
      <c r="I16" s="18" t="n">
        <v>0</v>
      </c>
      <c r="J16" s="20" t="n">
        <v>0</v>
      </c>
      <c r="K16" s="18" t="n">
        <v>0.94111867</v>
      </c>
      <c r="L16" s="20" t="n">
        <v>0.46415742</v>
      </c>
      <c r="M16" s="18" t="n">
        <v>0</v>
      </c>
      <c r="N16" s="20" t="n">
        <v>0</v>
      </c>
      <c r="O16" s="18" t="n">
        <v>0</v>
      </c>
      <c r="P16" s="20" t="n">
        <v>0</v>
      </c>
      <c r="Q16" s="18" t="n">
        <v>4.4947403</v>
      </c>
      <c r="R16" s="20" t="n">
        <v>0.78066206</v>
      </c>
    </row>
    <row r="17" spans="1:18">
      <c r="A17" s="15" t="s">
        <v>575</v>
      </c>
      <c r="B17" s="17" t="n">
        <v>6504</v>
      </c>
      <c r="C17" s="18">
        <f>(5821.0/B17*100)</f>
        <v/>
      </c>
      <c r="D17" s="19" t="n">
        <v>683</v>
      </c>
      <c r="E17" s="18" t="n">
        <v>41.40295881</v>
      </c>
      <c r="F17" s="20" t="n">
        <v>2.35603175</v>
      </c>
      <c r="G17" s="18" t="n">
        <v>55.84628901</v>
      </c>
      <c r="H17" s="20" t="n">
        <v>2.24415567</v>
      </c>
      <c r="I17" s="18" t="n">
        <v>0</v>
      </c>
      <c r="J17" s="20" t="n">
        <v>0</v>
      </c>
      <c r="K17" s="18" t="n">
        <v>0.58719543</v>
      </c>
      <c r="L17" s="20" t="n">
        <v>0.29201899</v>
      </c>
      <c r="M17" s="18" t="n">
        <v>0</v>
      </c>
      <c r="N17" s="20" t="n">
        <v>0</v>
      </c>
      <c r="O17" s="18" t="n">
        <v>0</v>
      </c>
      <c r="P17" s="20" t="n">
        <v>0</v>
      </c>
      <c r="Q17" s="18" t="n">
        <v>2.16355675</v>
      </c>
      <c r="R17" s="20" t="n">
        <v>0.54956045</v>
      </c>
    </row>
    <row r="18" spans="1:18">
      <c r="A18" s="15" t="s">
        <v>576</v>
      </c>
      <c r="B18" s="17" t="n">
        <v>5532</v>
      </c>
      <c r="C18" s="18">
        <f>(4943.0/B18*100)</f>
        <v/>
      </c>
      <c r="D18" s="19" t="n">
        <v>589</v>
      </c>
      <c r="E18" s="18" t="n">
        <v>52.50104629</v>
      </c>
      <c r="F18" s="20" t="n">
        <v>2.73637529</v>
      </c>
      <c r="G18" s="18" t="n">
        <v>45.09249191</v>
      </c>
      <c r="H18" s="20" t="n">
        <v>2.66764252</v>
      </c>
      <c r="I18" s="18" t="n">
        <v>0</v>
      </c>
      <c r="J18" s="20" t="n">
        <v>0</v>
      </c>
      <c r="K18" s="18" t="n">
        <v>0.39886139</v>
      </c>
      <c r="L18" s="20" t="n">
        <v>0.39485587</v>
      </c>
      <c r="M18" s="18" t="n">
        <v>0</v>
      </c>
      <c r="N18" s="20" t="n">
        <v>0</v>
      </c>
      <c r="O18" s="18" t="n">
        <v>0</v>
      </c>
      <c r="P18" s="20" t="n">
        <v>0</v>
      </c>
      <c r="Q18" s="18" t="n">
        <v>2.00760041</v>
      </c>
      <c r="R18" s="20" t="n">
        <v>0.53672539</v>
      </c>
    </row>
    <row r="19" spans="1:18">
      <c r="A19" s="15" t="s">
        <v>577</v>
      </c>
      <c r="B19" s="17" t="n">
        <v>5658</v>
      </c>
      <c r="C19" s="18">
        <f>(5028.0/B19*100)</f>
        <v/>
      </c>
      <c r="D19" s="19" t="n">
        <v>630</v>
      </c>
      <c r="E19" s="18" t="n">
        <v>39.31729092</v>
      </c>
      <c r="F19" s="20" t="n">
        <v>1.77554351</v>
      </c>
      <c r="G19" s="18" t="n">
        <v>59.54950344</v>
      </c>
      <c r="H19" s="20" t="n">
        <v>1.87396762</v>
      </c>
      <c r="I19" s="18" t="n">
        <v>0</v>
      </c>
      <c r="J19" s="20" t="n">
        <v>0</v>
      </c>
      <c r="K19" s="18" t="n">
        <v>0</v>
      </c>
      <c r="L19" s="20" t="n">
        <v>0</v>
      </c>
      <c r="M19" s="18" t="n">
        <v>0</v>
      </c>
      <c r="N19" s="20" t="n">
        <v>0</v>
      </c>
      <c r="O19" s="18" t="n">
        <v>0</v>
      </c>
      <c r="P19" s="20" t="n">
        <v>0</v>
      </c>
      <c r="Q19" s="18" t="n">
        <v>1.13320564</v>
      </c>
      <c r="R19" s="20" t="n">
        <v>0.3488285</v>
      </c>
    </row>
    <row r="20" spans="1:18">
      <c r="A20" s="15" t="s">
        <v>578</v>
      </c>
      <c r="B20" s="17" t="n">
        <v>3371</v>
      </c>
      <c r="C20" s="18">
        <f>(3032.0/B20*100)</f>
        <v/>
      </c>
      <c r="D20" s="19" t="n">
        <v>339</v>
      </c>
      <c r="E20" s="18" t="n">
        <v>43.65999428</v>
      </c>
      <c r="F20" s="20" t="n">
        <v>2.86569003</v>
      </c>
      <c r="G20" s="18" t="n">
        <v>52.65226787</v>
      </c>
      <c r="H20" s="20" t="n">
        <v>2.85660124</v>
      </c>
      <c r="I20" s="18" t="n">
        <v>0</v>
      </c>
      <c r="J20" s="20" t="n">
        <v>0</v>
      </c>
      <c r="K20" s="18" t="n">
        <v>0.85322889</v>
      </c>
      <c r="L20" s="20" t="n">
        <v>0.50030977</v>
      </c>
      <c r="M20" s="18" t="n">
        <v>0</v>
      </c>
      <c r="N20" s="20" t="n">
        <v>0</v>
      </c>
      <c r="O20" s="18" t="n">
        <v>0</v>
      </c>
      <c r="P20" s="20" t="n">
        <v>0</v>
      </c>
      <c r="Q20" s="18" t="n">
        <v>2.83450896</v>
      </c>
      <c r="R20" s="20" t="n">
        <v>0.98017866</v>
      </c>
    </row>
    <row r="21" spans="1:18">
      <c r="A21" s="15" t="s">
        <v>579</v>
      </c>
      <c r="B21" s="17" t="n">
        <v>5741</v>
      </c>
      <c r="C21" s="18">
        <f>(5089.0/B21*100)</f>
        <v/>
      </c>
      <c r="D21" s="19" t="n">
        <v>652</v>
      </c>
      <c r="E21" s="18" t="n">
        <v>28.46052393</v>
      </c>
      <c r="F21" s="20" t="n">
        <v>1.81712125</v>
      </c>
      <c r="G21" s="18" t="n">
        <v>70.24519889</v>
      </c>
      <c r="H21" s="20" t="n">
        <v>1.86216105</v>
      </c>
      <c r="I21" s="18" t="n">
        <v>0</v>
      </c>
      <c r="J21" s="20" t="n">
        <v>0</v>
      </c>
      <c r="K21" s="18" t="n">
        <v>0</v>
      </c>
      <c r="L21" s="20" t="n">
        <v>0</v>
      </c>
      <c r="M21" s="18" t="n">
        <v>0</v>
      </c>
      <c r="N21" s="20" t="n">
        <v>0</v>
      </c>
      <c r="O21" s="18" t="n">
        <v>0</v>
      </c>
      <c r="P21" s="20" t="n">
        <v>0</v>
      </c>
      <c r="Q21" s="18" t="n">
        <v>1.29427719</v>
      </c>
      <c r="R21" s="20" t="n">
        <v>0.3589817</v>
      </c>
    </row>
    <row r="22" spans="1:18">
      <c r="A22" s="15" t="s">
        <v>580</v>
      </c>
      <c r="B22" s="17" t="n">
        <v>6598</v>
      </c>
      <c r="C22" s="18">
        <f>(5948.0/B22*100)</f>
        <v/>
      </c>
      <c r="D22" s="19" t="n">
        <v>650</v>
      </c>
      <c r="E22" s="18" t="n">
        <v>31.56578134</v>
      </c>
      <c r="F22" s="20" t="n">
        <v>1.95780832</v>
      </c>
      <c r="G22" s="18" t="n">
        <v>66.36161628000001</v>
      </c>
      <c r="H22" s="20" t="n">
        <v>1.95955752</v>
      </c>
      <c r="I22" s="18" t="n">
        <v>0</v>
      </c>
      <c r="J22" s="20" t="n">
        <v>0</v>
      </c>
      <c r="K22" s="18" t="n">
        <v>0.59924842</v>
      </c>
      <c r="L22" s="20" t="n">
        <v>0.2809294</v>
      </c>
      <c r="M22" s="18" t="n">
        <v>0</v>
      </c>
      <c r="N22" s="20" t="n">
        <v>0</v>
      </c>
      <c r="O22" s="18" t="n">
        <v>0</v>
      </c>
      <c r="P22" s="20" t="n">
        <v>0</v>
      </c>
      <c r="Q22" s="18" t="n">
        <v>1.47335395</v>
      </c>
      <c r="R22" s="20" t="n">
        <v>0.45691215</v>
      </c>
    </row>
    <row r="23" spans="1:18">
      <c r="A23" s="15" t="s">
        <v>581</v>
      </c>
      <c r="B23" s="17" t="n">
        <v>11583</v>
      </c>
      <c r="C23" s="18">
        <f>(10301.0/B23*100)</f>
        <v/>
      </c>
      <c r="D23" s="19" t="n">
        <v>1282</v>
      </c>
      <c r="E23" s="18" t="n">
        <v>47.29500138</v>
      </c>
      <c r="F23" s="20" t="n">
        <v>1.87036562</v>
      </c>
      <c r="G23" s="18" t="n">
        <v>49.22504234</v>
      </c>
      <c r="H23" s="20" t="n">
        <v>1.93854816</v>
      </c>
      <c r="I23" s="18" t="n">
        <v>0</v>
      </c>
      <c r="J23" s="20" t="n">
        <v>0</v>
      </c>
      <c r="K23" s="18" t="n">
        <v>1.14157969</v>
      </c>
      <c r="L23" s="20" t="n">
        <v>0.47890037</v>
      </c>
      <c r="M23" s="18" t="n">
        <v>0</v>
      </c>
      <c r="N23" s="20" t="n">
        <v>0</v>
      </c>
      <c r="O23" s="18" t="n">
        <v>0</v>
      </c>
      <c r="P23" s="20" t="n">
        <v>0</v>
      </c>
      <c r="Q23" s="18" t="n">
        <v>2.33837659</v>
      </c>
      <c r="R23" s="20" t="n">
        <v>0.56919646</v>
      </c>
    </row>
    <row r="24" spans="1:18">
      <c r="A24" s="15" t="s">
        <v>582</v>
      </c>
      <c r="B24" s="17" t="n">
        <v>6647</v>
      </c>
      <c r="C24" s="18">
        <f>(5911.0/B24*100)</f>
        <v/>
      </c>
      <c r="D24" s="19" t="n">
        <v>736</v>
      </c>
      <c r="E24" s="18" t="n">
        <v>29.42249322</v>
      </c>
      <c r="F24" s="20" t="n">
        <v>1.93818818</v>
      </c>
      <c r="G24" s="18" t="n">
        <v>70.03840912</v>
      </c>
      <c r="H24" s="20" t="n">
        <v>1.94192768</v>
      </c>
      <c r="I24" s="18" t="n">
        <v>0</v>
      </c>
      <c r="J24" s="20" t="n">
        <v>0</v>
      </c>
      <c r="K24" s="18" t="n">
        <v>0.12015837</v>
      </c>
      <c r="L24" s="20" t="n">
        <v>0.11999657</v>
      </c>
      <c r="M24" s="18" t="n">
        <v>0</v>
      </c>
      <c r="N24" s="20" t="n">
        <v>0</v>
      </c>
      <c r="O24" s="18" t="n">
        <v>0</v>
      </c>
      <c r="P24" s="20" t="n">
        <v>0</v>
      </c>
      <c r="Q24" s="18" t="n">
        <v>0.41893928</v>
      </c>
      <c r="R24" s="20" t="n">
        <v>0.23518974</v>
      </c>
    </row>
    <row r="25" spans="1:18">
      <c r="A25" s="15" t="s">
        <v>583</v>
      </c>
      <c r="B25" s="17" t="n">
        <v>5581</v>
      </c>
      <c r="C25" s="18">
        <f>(4957.0/B25*100)</f>
        <v/>
      </c>
      <c r="D25" s="19" t="n">
        <v>624</v>
      </c>
      <c r="E25" s="18" t="n">
        <v>38.28394722</v>
      </c>
      <c r="F25" s="20" t="n">
        <v>1.99992973</v>
      </c>
      <c r="G25" s="18" t="n">
        <v>60.28142597</v>
      </c>
      <c r="H25" s="20" t="n">
        <v>2.06049483</v>
      </c>
      <c r="I25" s="18" t="n">
        <v>0</v>
      </c>
      <c r="J25" s="20" t="n">
        <v>0</v>
      </c>
      <c r="K25" s="18" t="n">
        <v>1.10304407</v>
      </c>
      <c r="L25" s="20" t="n">
        <v>0.43958784</v>
      </c>
      <c r="M25" s="18" t="n">
        <v>0</v>
      </c>
      <c r="N25" s="20" t="n">
        <v>0</v>
      </c>
      <c r="O25" s="18" t="n">
        <v>0</v>
      </c>
      <c r="P25" s="20" t="n">
        <v>0</v>
      </c>
      <c r="Q25" s="18" t="n">
        <v>0.33158273</v>
      </c>
      <c r="R25" s="20" t="n">
        <v>0.2336926</v>
      </c>
    </row>
    <row r="26" spans="1:18">
      <c r="A26" s="15" t="s">
        <v>584</v>
      </c>
      <c r="B26" s="17" t="n">
        <v>4869</v>
      </c>
      <c r="C26" s="18">
        <f>(4341.0/B26*100)</f>
        <v/>
      </c>
      <c r="D26" s="19" t="n">
        <v>528</v>
      </c>
      <c r="E26" s="18" t="n">
        <v>27.54239087</v>
      </c>
      <c r="F26" s="20" t="n">
        <v>2.00590631</v>
      </c>
      <c r="G26" s="18" t="n">
        <v>72.07312734</v>
      </c>
      <c r="H26" s="20" t="n">
        <v>1.96427793</v>
      </c>
      <c r="I26" s="18" t="n">
        <v>0</v>
      </c>
      <c r="J26" s="20" t="n">
        <v>0</v>
      </c>
      <c r="K26" s="18" t="n">
        <v>0</v>
      </c>
      <c r="L26" s="20" t="n">
        <v>0</v>
      </c>
      <c r="M26" s="18" t="n">
        <v>0</v>
      </c>
      <c r="N26" s="20" t="n">
        <v>0</v>
      </c>
      <c r="O26" s="18" t="n">
        <v>0</v>
      </c>
      <c r="P26" s="20" t="n">
        <v>0</v>
      </c>
      <c r="Q26" s="18" t="n">
        <v>0.38448179</v>
      </c>
      <c r="R26" s="20" t="n">
        <v>0.23016138</v>
      </c>
    </row>
    <row r="27" spans="1:18">
      <c r="A27" s="15" t="s">
        <v>585</v>
      </c>
      <c r="B27" s="17" t="n">
        <v>5299</v>
      </c>
      <c r="C27" s="18">
        <f>(4732.0/B27*100)</f>
        <v/>
      </c>
      <c r="D27" s="19" t="n">
        <v>567</v>
      </c>
      <c r="E27" s="18" t="n">
        <v>48.35796422</v>
      </c>
      <c r="F27" s="20" t="n">
        <v>2.38375598</v>
      </c>
      <c r="G27" s="18" t="n">
        <v>48.75634313</v>
      </c>
      <c r="H27" s="20" t="n">
        <v>2.38133443</v>
      </c>
      <c r="I27" s="18" t="n">
        <v>0</v>
      </c>
      <c r="J27" s="20" t="n">
        <v>0</v>
      </c>
      <c r="K27" s="18" t="n">
        <v>0.52083872</v>
      </c>
      <c r="L27" s="20" t="n">
        <v>0.29722554</v>
      </c>
      <c r="M27" s="18" t="n">
        <v>0</v>
      </c>
      <c r="N27" s="20" t="n">
        <v>0</v>
      </c>
      <c r="O27" s="18" t="n">
        <v>0</v>
      </c>
      <c r="P27" s="20" t="n">
        <v>0</v>
      </c>
      <c r="Q27" s="18" t="n">
        <v>2.36485393</v>
      </c>
      <c r="R27" s="20" t="n">
        <v>0.64210959</v>
      </c>
    </row>
    <row r="28" spans="1:18">
      <c r="A28" s="15" t="s">
        <v>586</v>
      </c>
      <c r="B28" s="17" t="n">
        <v>7568</v>
      </c>
      <c r="C28" s="18">
        <f>(6817.0/B28*100)</f>
        <v/>
      </c>
      <c r="D28" s="19" t="n">
        <v>751</v>
      </c>
      <c r="E28" s="18" t="n">
        <v>51.54694444</v>
      </c>
      <c r="F28" s="20" t="n">
        <v>2.12030406</v>
      </c>
      <c r="G28" s="18" t="n">
        <v>45.83717874</v>
      </c>
      <c r="H28" s="20" t="n">
        <v>2.14706162</v>
      </c>
      <c r="I28" s="18" t="n">
        <v>0</v>
      </c>
      <c r="J28" s="20" t="n">
        <v>0</v>
      </c>
      <c r="K28" s="18" t="n">
        <v>1.15410232</v>
      </c>
      <c r="L28" s="20" t="n">
        <v>0.41518913</v>
      </c>
      <c r="M28" s="18" t="n">
        <v>0</v>
      </c>
      <c r="N28" s="20" t="n">
        <v>0</v>
      </c>
      <c r="O28" s="18" t="n">
        <v>0</v>
      </c>
      <c r="P28" s="20" t="n">
        <v>0</v>
      </c>
      <c r="Q28" s="18" t="n">
        <v>1.46177449</v>
      </c>
      <c r="R28" s="20" t="n">
        <v>0.47729095</v>
      </c>
    </row>
    <row r="29" spans="1:18">
      <c r="A29" s="15" t="s">
        <v>587</v>
      </c>
      <c r="B29" s="17" t="n">
        <v>5385</v>
      </c>
      <c r="C29" s="18">
        <f>(4782.0/B29*100)</f>
        <v/>
      </c>
      <c r="D29" s="19" t="n">
        <v>603</v>
      </c>
      <c r="E29" s="18" t="n">
        <v>33.02704309</v>
      </c>
      <c r="F29" s="20" t="n">
        <v>1.79288772</v>
      </c>
      <c r="G29" s="18" t="n">
        <v>65.92302702000001</v>
      </c>
      <c r="H29" s="20" t="n">
        <v>1.83788799</v>
      </c>
      <c r="I29" s="18" t="n">
        <v>0</v>
      </c>
      <c r="J29" s="20" t="n">
        <v>0</v>
      </c>
      <c r="K29" s="18" t="n">
        <v>0.61748497</v>
      </c>
      <c r="L29" s="20" t="n">
        <v>0.29329334</v>
      </c>
      <c r="M29" s="18" t="n">
        <v>0</v>
      </c>
      <c r="N29" s="20" t="n">
        <v>0</v>
      </c>
      <c r="O29" s="18" t="n">
        <v>0</v>
      </c>
      <c r="P29" s="20" t="n">
        <v>0</v>
      </c>
      <c r="Q29" s="18" t="n">
        <v>0.43244492</v>
      </c>
      <c r="R29" s="20" t="n">
        <v>0.28967992</v>
      </c>
    </row>
    <row r="30" spans="1:18">
      <c r="A30" s="15" t="s">
        <v>588</v>
      </c>
      <c r="B30" s="17" t="n">
        <v>4520</v>
      </c>
      <c r="C30" s="18">
        <f>(4044.0/B30*100)</f>
        <v/>
      </c>
      <c r="D30" s="19" t="n">
        <v>476</v>
      </c>
      <c r="E30" s="18" t="n">
        <v>31.42218901</v>
      </c>
      <c r="F30" s="20" t="n">
        <v>2.42157082</v>
      </c>
      <c r="G30" s="18" t="n">
        <v>65.99957139999999</v>
      </c>
      <c r="H30" s="20" t="n">
        <v>2.35894797</v>
      </c>
      <c r="I30" s="18" t="n">
        <v>0</v>
      </c>
      <c r="J30" s="20" t="n">
        <v>0</v>
      </c>
      <c r="K30" s="18" t="n">
        <v>0.8938987</v>
      </c>
      <c r="L30" s="20" t="n">
        <v>0.41891278</v>
      </c>
      <c r="M30" s="18" t="n">
        <v>0</v>
      </c>
      <c r="N30" s="20" t="n">
        <v>0</v>
      </c>
      <c r="O30" s="18" t="n">
        <v>0</v>
      </c>
      <c r="P30" s="20" t="n">
        <v>0</v>
      </c>
      <c r="Q30" s="18" t="n">
        <v>1.68434089</v>
      </c>
      <c r="R30" s="20" t="n">
        <v>0.68515484</v>
      </c>
    </row>
    <row r="31" spans="1:18">
      <c r="A31" s="15" t="s">
        <v>589</v>
      </c>
      <c r="B31" s="17" t="n">
        <v>5456</v>
      </c>
      <c r="C31" s="18">
        <f>(4879.0/B31*100)</f>
        <v/>
      </c>
      <c r="D31" s="19" t="n">
        <v>577</v>
      </c>
      <c r="E31" s="18" t="n">
        <v>37.29526284</v>
      </c>
      <c r="F31" s="20" t="n">
        <v>1.9670039</v>
      </c>
      <c r="G31" s="18" t="n">
        <v>58.03629901</v>
      </c>
      <c r="H31" s="20" t="n">
        <v>2.03248996</v>
      </c>
      <c r="I31" s="18" t="n">
        <v>0</v>
      </c>
      <c r="J31" s="20" t="n">
        <v>0</v>
      </c>
      <c r="K31" s="18" t="n">
        <v>0.99408252</v>
      </c>
      <c r="L31" s="20" t="n">
        <v>0.41220719</v>
      </c>
      <c r="M31" s="18" t="n">
        <v>0</v>
      </c>
      <c r="N31" s="20" t="n">
        <v>0</v>
      </c>
      <c r="O31" s="18" t="n">
        <v>0</v>
      </c>
      <c r="P31" s="20" t="n">
        <v>0</v>
      </c>
      <c r="Q31" s="18" t="n">
        <v>3.67435563</v>
      </c>
      <c r="R31" s="20" t="n">
        <v>0.77047694</v>
      </c>
    </row>
    <row r="32" spans="1:18">
      <c r="A32" s="15" t="s">
        <v>590</v>
      </c>
      <c r="B32" s="17" t="n">
        <v>4478</v>
      </c>
      <c r="C32" s="18">
        <f>(3994.0/B32*100)</f>
        <v/>
      </c>
      <c r="D32" s="19" t="n">
        <v>484</v>
      </c>
      <c r="E32" s="18" t="n">
        <v>33.13062409</v>
      </c>
      <c r="F32" s="20" t="n">
        <v>2.31420832</v>
      </c>
      <c r="G32" s="18" t="n">
        <v>66.07662888999999</v>
      </c>
      <c r="H32" s="20" t="n">
        <v>2.27574851</v>
      </c>
      <c r="I32" s="18" t="n">
        <v>0</v>
      </c>
      <c r="J32" s="20" t="n">
        <v>0</v>
      </c>
      <c r="K32" s="18" t="n">
        <v>0.40676253</v>
      </c>
      <c r="L32" s="20" t="n">
        <v>0.27674888</v>
      </c>
      <c r="M32" s="18" t="n">
        <v>0</v>
      </c>
      <c r="N32" s="20" t="n">
        <v>0</v>
      </c>
      <c r="O32" s="18" t="n">
        <v>0</v>
      </c>
      <c r="P32" s="20" t="n">
        <v>0</v>
      </c>
      <c r="Q32" s="18" t="n">
        <v>0.38598449</v>
      </c>
      <c r="R32" s="20" t="n">
        <v>0.26760609</v>
      </c>
    </row>
    <row r="33" spans="1:18">
      <c r="A33" s="15" t="s">
        <v>591</v>
      </c>
      <c r="B33" s="17" t="n">
        <v>7325</v>
      </c>
      <c r="C33" s="18">
        <f>(6559.0/B33*100)</f>
        <v/>
      </c>
      <c r="D33" s="19" t="n">
        <v>766</v>
      </c>
      <c r="E33" s="18" t="n">
        <v>36.72776218</v>
      </c>
      <c r="F33" s="20" t="n">
        <v>1.94848908</v>
      </c>
      <c r="G33" s="18" t="n">
        <v>61.92303765</v>
      </c>
      <c r="H33" s="20" t="n">
        <v>1.88848398</v>
      </c>
      <c r="I33" s="18" t="n">
        <v>0</v>
      </c>
      <c r="J33" s="20" t="n">
        <v>0</v>
      </c>
      <c r="K33" s="18" t="n">
        <v>0.27364635</v>
      </c>
      <c r="L33" s="20" t="n">
        <v>0.30539764</v>
      </c>
      <c r="M33" s="18" t="n">
        <v>0</v>
      </c>
      <c r="N33" s="20" t="n">
        <v>0</v>
      </c>
      <c r="O33" s="18" t="n">
        <v>0</v>
      </c>
      <c r="P33" s="20" t="n">
        <v>0</v>
      </c>
      <c r="Q33" s="18" t="n">
        <v>1.07555382</v>
      </c>
      <c r="R33" s="20" t="n">
        <v>0.45798307</v>
      </c>
    </row>
    <row r="34" spans="1:18">
      <c r="A34" s="15" t="s">
        <v>592</v>
      </c>
      <c r="B34" s="17" t="n">
        <v>6350</v>
      </c>
      <c r="C34" s="18">
        <f>(5690.0/B34*100)</f>
        <v/>
      </c>
      <c r="D34" s="19" t="n">
        <v>660</v>
      </c>
      <c r="E34" s="18" t="n">
        <v>49.19595514</v>
      </c>
      <c r="F34" s="20" t="n">
        <v>2.01300364</v>
      </c>
      <c r="G34" s="18" t="n">
        <v>49.70575308</v>
      </c>
      <c r="H34" s="20" t="n">
        <v>1.90154266</v>
      </c>
      <c r="I34" s="18" t="n">
        <v>0</v>
      </c>
      <c r="J34" s="20" t="n">
        <v>0</v>
      </c>
      <c r="K34" s="18" t="n">
        <v>0.20931658</v>
      </c>
      <c r="L34" s="20" t="n">
        <v>0.11677287</v>
      </c>
      <c r="M34" s="18" t="n">
        <v>0</v>
      </c>
      <c r="N34" s="20" t="n">
        <v>0</v>
      </c>
      <c r="O34" s="18" t="n">
        <v>0</v>
      </c>
      <c r="P34" s="20" t="n">
        <v>0</v>
      </c>
      <c r="Q34" s="18" t="n">
        <v>0.88897521</v>
      </c>
      <c r="R34" s="20" t="n">
        <v>0.34017075</v>
      </c>
    </row>
    <row r="35" spans="1:18">
      <c r="A35" s="15" t="s">
        <v>593</v>
      </c>
      <c r="B35" s="17" t="n">
        <v>6406</v>
      </c>
      <c r="C35" s="18">
        <f>(5686.0/B35*100)</f>
        <v/>
      </c>
      <c r="D35" s="19" t="n">
        <v>720</v>
      </c>
      <c r="E35" s="18" t="n">
        <v>32.69448237</v>
      </c>
      <c r="F35" s="20" t="n">
        <v>2.03512684</v>
      </c>
      <c r="G35" s="18" t="n">
        <v>66.44418511000001</v>
      </c>
      <c r="H35" s="20" t="n">
        <v>2.11841946</v>
      </c>
      <c r="I35" s="18" t="n">
        <v>0</v>
      </c>
      <c r="J35" s="20" t="n">
        <v>0</v>
      </c>
      <c r="K35" s="18" t="n">
        <v>0</v>
      </c>
      <c r="L35" s="20" t="n">
        <v>0</v>
      </c>
      <c r="M35" s="18" t="n">
        <v>0</v>
      </c>
      <c r="N35" s="20" t="n">
        <v>0</v>
      </c>
      <c r="O35" s="18" t="n">
        <v>0</v>
      </c>
      <c r="P35" s="20" t="n">
        <v>0</v>
      </c>
      <c r="Q35" s="18" t="n">
        <v>0.86133252</v>
      </c>
      <c r="R35" s="20" t="n">
        <v>0.33534914</v>
      </c>
    </row>
    <row r="36" spans="1:18">
      <c r="A36" s="15" t="s">
        <v>594</v>
      </c>
      <c r="B36" s="17" t="n">
        <v>6736</v>
      </c>
      <c r="C36" s="18">
        <f>(6000.0/B36*100)</f>
        <v/>
      </c>
      <c r="D36" s="19" t="n">
        <v>736</v>
      </c>
      <c r="E36" s="18" t="n">
        <v>34.48439186</v>
      </c>
      <c r="F36" s="20" t="n">
        <v>1.85880105</v>
      </c>
      <c r="G36" s="18" t="n">
        <v>62.46183036</v>
      </c>
      <c r="H36" s="20" t="n">
        <v>1.96262919</v>
      </c>
      <c r="I36" s="18" t="n">
        <v>0</v>
      </c>
      <c r="J36" s="20" t="n">
        <v>0</v>
      </c>
      <c r="K36" s="18" t="n">
        <v>0.83267907</v>
      </c>
      <c r="L36" s="20" t="n">
        <v>0.4030021</v>
      </c>
      <c r="M36" s="18" t="n">
        <v>0</v>
      </c>
      <c r="N36" s="20" t="n">
        <v>0</v>
      </c>
      <c r="O36" s="18" t="n">
        <v>0</v>
      </c>
      <c r="P36" s="20" t="n">
        <v>0</v>
      </c>
      <c r="Q36" s="18" t="n">
        <v>2.2210987</v>
      </c>
      <c r="R36" s="20" t="n">
        <v>0.72480788</v>
      </c>
    </row>
    <row r="37" spans="1:18">
      <c r="A37" s="15" t="s">
        <v>595</v>
      </c>
      <c r="B37" s="17" t="n">
        <v>5458</v>
      </c>
      <c r="C37" s="18">
        <f>(4890.0/B37*100)</f>
        <v/>
      </c>
      <c r="D37" s="19" t="n">
        <v>568</v>
      </c>
      <c r="E37" s="18" t="n">
        <v>33.95181627</v>
      </c>
      <c r="F37" s="20" t="n">
        <v>2.04987719</v>
      </c>
      <c r="G37" s="18" t="n">
        <v>61.87231958</v>
      </c>
      <c r="H37" s="20" t="n">
        <v>2.24595286</v>
      </c>
      <c r="I37" s="18" t="n">
        <v>0</v>
      </c>
      <c r="J37" s="20" t="n">
        <v>0</v>
      </c>
      <c r="K37" s="18" t="n">
        <v>0.8012494</v>
      </c>
      <c r="L37" s="20" t="n">
        <v>0.41413285</v>
      </c>
      <c r="M37" s="18" t="n">
        <v>0</v>
      </c>
      <c r="N37" s="20" t="n">
        <v>0</v>
      </c>
      <c r="O37" s="18" t="n">
        <v>0</v>
      </c>
      <c r="P37" s="20" t="n">
        <v>0</v>
      </c>
      <c r="Q37" s="18" t="n">
        <v>3.37461474</v>
      </c>
      <c r="R37" s="20" t="n">
        <v>0.80232302</v>
      </c>
    </row>
    <row r="38" spans="1:18">
      <c r="A38" s="15" t="s">
        <v>596</v>
      </c>
      <c r="B38" s="17" t="n">
        <v>5860</v>
      </c>
      <c r="C38" s="18">
        <f>(5233.0/B38*100)</f>
        <v/>
      </c>
      <c r="D38" s="19" t="n">
        <v>627</v>
      </c>
      <c r="E38" s="18" t="n">
        <v>41.3710347</v>
      </c>
      <c r="F38" s="20" t="n">
        <v>2.25368128</v>
      </c>
      <c r="G38" s="18" t="n">
        <v>55.47368319</v>
      </c>
      <c r="H38" s="20" t="n">
        <v>2.22529522</v>
      </c>
      <c r="I38" s="18" t="n">
        <v>0</v>
      </c>
      <c r="J38" s="20" t="n">
        <v>0</v>
      </c>
      <c r="K38" s="18" t="n">
        <v>0.50870016</v>
      </c>
      <c r="L38" s="20" t="n">
        <v>0.28501762</v>
      </c>
      <c r="M38" s="18" t="n">
        <v>0</v>
      </c>
      <c r="N38" s="20" t="n">
        <v>0</v>
      </c>
      <c r="O38" s="18" t="n">
        <v>0</v>
      </c>
      <c r="P38" s="20" t="n">
        <v>0</v>
      </c>
      <c r="Q38" s="18" t="n">
        <v>2.64658196</v>
      </c>
      <c r="R38" s="20" t="n">
        <v>0.64914957</v>
      </c>
    </row>
    <row r="39" spans="1:18">
      <c r="A39" s="15" t="s">
        <v>597</v>
      </c>
      <c r="B39" s="17" t="n">
        <v>5895</v>
      </c>
      <c r="C39" s="18">
        <f>(5254.0/B39*100)</f>
        <v/>
      </c>
      <c r="D39" s="19" t="n">
        <v>641</v>
      </c>
      <c r="E39" s="18" t="n">
        <v>50.88708356</v>
      </c>
      <c r="F39" s="20" t="n">
        <v>2.34653659</v>
      </c>
      <c r="G39" s="18" t="n">
        <v>47.55782189</v>
      </c>
      <c r="H39" s="20" t="n">
        <v>2.37257315</v>
      </c>
      <c r="I39" s="18" t="n">
        <v>0</v>
      </c>
      <c r="J39" s="20" t="n">
        <v>0</v>
      </c>
      <c r="K39" s="18" t="n">
        <v>0</v>
      </c>
      <c r="L39" s="20" t="n">
        <v>0</v>
      </c>
      <c r="M39" s="18" t="n">
        <v>0</v>
      </c>
      <c r="N39" s="20" t="n">
        <v>0</v>
      </c>
      <c r="O39" s="18" t="n">
        <v>0</v>
      </c>
      <c r="P39" s="20" t="n">
        <v>0</v>
      </c>
      <c r="Q39" s="18" t="n">
        <v>1.55509454</v>
      </c>
      <c r="R39" s="20" t="n">
        <v>0.55920641</v>
      </c>
    </row>
    <row r="40" spans="1:18">
      <c r="A40" s="15" t="s">
        <v>598</v>
      </c>
      <c r="B40" s="17" t="n">
        <v>14157</v>
      </c>
      <c r="C40" s="18">
        <f>(12614.0/B40*100)</f>
        <v/>
      </c>
      <c r="D40" s="19" t="n">
        <v>1543</v>
      </c>
      <c r="E40" s="18" t="n">
        <v>34.7592773</v>
      </c>
      <c r="F40" s="20" t="n">
        <v>2.11478118</v>
      </c>
      <c r="G40" s="18" t="n">
        <v>63.40137389</v>
      </c>
      <c r="H40" s="20" t="n">
        <v>2.00092216</v>
      </c>
      <c r="I40" s="18" t="n">
        <v>0</v>
      </c>
      <c r="J40" s="20" t="n">
        <v>0</v>
      </c>
      <c r="K40" s="18" t="n">
        <v>0.65123179</v>
      </c>
      <c r="L40" s="20" t="n">
        <v>0.29737601</v>
      </c>
      <c r="M40" s="18" t="n">
        <v>0</v>
      </c>
      <c r="N40" s="20" t="n">
        <v>0</v>
      </c>
      <c r="O40" s="18" t="n">
        <v>0</v>
      </c>
      <c r="P40" s="20" t="n">
        <v>0</v>
      </c>
      <c r="Q40" s="18" t="n">
        <v>1.18811702</v>
      </c>
      <c r="R40" s="20" t="n">
        <v>0.44879715</v>
      </c>
    </row>
    <row r="41" spans="1:18">
      <c r="A41" s="15" t="s">
        <v>599</v>
      </c>
      <c r="B41" s="17" t="n">
        <v>5712</v>
      </c>
      <c r="C41" s="18">
        <f>(5114.0/B41*100)</f>
        <v/>
      </c>
      <c r="D41" s="19" t="n">
        <v>598</v>
      </c>
      <c r="E41" s="18" t="n">
        <v>36.66763086</v>
      </c>
      <c r="F41" s="20" t="n">
        <v>2.27151217</v>
      </c>
      <c r="G41" s="18" t="n">
        <v>62.09011573</v>
      </c>
      <c r="H41" s="20" t="n">
        <v>2.3329992</v>
      </c>
      <c r="I41" s="18" t="n">
        <v>0</v>
      </c>
      <c r="J41" s="20" t="n">
        <v>0</v>
      </c>
      <c r="K41" s="18" t="n">
        <v>0.44290789</v>
      </c>
      <c r="L41" s="20" t="n">
        <v>0.28307436</v>
      </c>
      <c r="M41" s="18" t="n">
        <v>0</v>
      </c>
      <c r="N41" s="20" t="n">
        <v>0</v>
      </c>
      <c r="O41" s="18" t="n">
        <v>0</v>
      </c>
      <c r="P41" s="20" t="n">
        <v>0</v>
      </c>
      <c r="Q41" s="18" t="n">
        <v>0.79934552</v>
      </c>
      <c r="R41" s="20" t="n">
        <v>0.35751267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(21278.0/B46*100)</f>
        <v/>
      </c>
      <c r="D46" s="19" t="n">
        <v>1863</v>
      </c>
      <c r="E46" s="18" t="n">
        <v>59.5676673</v>
      </c>
      <c r="F46" s="20" t="n">
        <v>1.33564347</v>
      </c>
      <c r="G46" s="18" t="n">
        <v>35.35712137</v>
      </c>
      <c r="H46" s="20" t="n">
        <v>1.41072809</v>
      </c>
      <c r="I46" s="18" t="n">
        <v>0</v>
      </c>
      <c r="J46" s="20" t="n">
        <v>0</v>
      </c>
      <c r="K46" s="18" t="n">
        <v>2.05378619</v>
      </c>
      <c r="L46" s="20" t="n">
        <v>0.45045639</v>
      </c>
      <c r="M46" s="18" t="n">
        <v>0</v>
      </c>
      <c r="N46" s="20" t="n">
        <v>0</v>
      </c>
      <c r="O46" s="18" t="n">
        <v>0</v>
      </c>
      <c r="P46" s="20" t="n">
        <v>0</v>
      </c>
      <c r="Q46" s="18" t="n">
        <v>3.02142514</v>
      </c>
      <c r="R46" s="20" t="n">
        <v>0.55719399</v>
      </c>
    </row>
    <row r="47" spans="1:18">
      <c r="A47" s="15" t="s">
        <v>606</v>
      </c>
      <c r="B47" s="17" t="n">
        <v>5928</v>
      </c>
      <c r="C47" s="18">
        <f>(5297.0/B47*100)</f>
        <v/>
      </c>
      <c r="D47" s="19" t="n">
        <v>631</v>
      </c>
      <c r="E47" s="18" t="n">
        <v>56.8630728</v>
      </c>
      <c r="F47" s="20" t="n">
        <v>2.16294338</v>
      </c>
      <c r="G47" s="18" t="n">
        <v>39.79882157</v>
      </c>
      <c r="H47" s="20" t="n">
        <v>2.16206059</v>
      </c>
      <c r="I47" s="18" t="n">
        <v>0</v>
      </c>
      <c r="J47" s="20" t="n">
        <v>0</v>
      </c>
      <c r="K47" s="18" t="n">
        <v>1.56199004</v>
      </c>
      <c r="L47" s="20" t="n">
        <v>0.59332061</v>
      </c>
      <c r="M47" s="18" t="n">
        <v>0</v>
      </c>
      <c r="N47" s="20" t="n">
        <v>0</v>
      </c>
      <c r="O47" s="18" t="n">
        <v>0</v>
      </c>
      <c r="P47" s="20" t="n">
        <v>0</v>
      </c>
      <c r="Q47" s="18" t="n">
        <v>1.77611559</v>
      </c>
      <c r="R47" s="20" t="n">
        <v>0.46804925</v>
      </c>
    </row>
    <row r="48" spans="1:18">
      <c r="A48" s="15" t="s">
        <v>607</v>
      </c>
      <c r="B48" s="17" t="n">
        <v>9841</v>
      </c>
      <c r="C48" s="18">
        <f>(8791.0/B48*100)</f>
        <v/>
      </c>
      <c r="D48" s="19" t="n">
        <v>1050</v>
      </c>
      <c r="E48" s="18" t="n">
        <v>23.49033224</v>
      </c>
      <c r="F48" s="20" t="n">
        <v>1.47909866</v>
      </c>
      <c r="G48" s="18" t="n">
        <v>74.73605501999999</v>
      </c>
      <c r="H48" s="20" t="n">
        <v>1.57798365</v>
      </c>
      <c r="I48" s="18" t="n">
        <v>0</v>
      </c>
      <c r="J48" s="20" t="n">
        <v>0</v>
      </c>
      <c r="K48" s="18" t="n">
        <v>0.73785336</v>
      </c>
      <c r="L48" s="20" t="n">
        <v>0.35017639</v>
      </c>
      <c r="M48" s="18" t="n">
        <v>0</v>
      </c>
      <c r="N48" s="20" t="n">
        <v>0</v>
      </c>
      <c r="O48" s="18" t="n">
        <v>0</v>
      </c>
      <c r="P48" s="20" t="n">
        <v>0</v>
      </c>
      <c r="Q48" s="18" t="n">
        <v>1.03575938</v>
      </c>
      <c r="R48" s="20" t="n">
        <v>0.40460231</v>
      </c>
    </row>
    <row r="49" spans="1:18">
      <c r="A49" s="15" t="s">
        <v>608</v>
      </c>
      <c r="B49" s="17" t="n">
        <v>11795</v>
      </c>
      <c r="C49" s="18">
        <f>(10561.0/B49*100)</f>
        <v/>
      </c>
      <c r="D49" s="19" t="n">
        <v>1234</v>
      </c>
      <c r="E49" s="18" t="n">
        <v>47.1685698</v>
      </c>
      <c r="F49" s="20" t="n">
        <v>2.05524337</v>
      </c>
      <c r="G49" s="18" t="n">
        <v>48.3634604</v>
      </c>
      <c r="H49" s="20" t="n">
        <v>2.06117466</v>
      </c>
      <c r="I49" s="18" t="n">
        <v>0</v>
      </c>
      <c r="J49" s="20" t="n">
        <v>0</v>
      </c>
      <c r="K49" s="18" t="n">
        <v>3.11177574</v>
      </c>
      <c r="L49" s="20" t="n">
        <v>0.83189254</v>
      </c>
      <c r="M49" s="18" t="n">
        <v>0</v>
      </c>
      <c r="N49" s="20" t="n">
        <v>0</v>
      </c>
      <c r="O49" s="18" t="n">
        <v>0</v>
      </c>
      <c r="P49" s="20" t="n">
        <v>0</v>
      </c>
      <c r="Q49" s="18" t="n">
        <v>1.35619406</v>
      </c>
      <c r="R49" s="20" t="n">
        <v>0.47468315</v>
      </c>
    </row>
    <row r="50" spans="1:18">
      <c r="A50" s="15" t="s">
        <v>609</v>
      </c>
      <c r="B50" s="17" t="n">
        <v>6866</v>
      </c>
      <c r="C50" s="18">
        <f>(6230.0/B50*100)</f>
        <v/>
      </c>
      <c r="D50" s="19" t="n">
        <v>636</v>
      </c>
      <c r="E50" s="18" t="n">
        <v>49.96499467</v>
      </c>
      <c r="F50" s="20" t="n">
        <v>2.19836076</v>
      </c>
      <c r="G50" s="18" t="n">
        <v>46.73074052</v>
      </c>
      <c r="H50" s="20" t="n">
        <v>2.07985876</v>
      </c>
      <c r="I50" s="18" t="n">
        <v>0</v>
      </c>
      <c r="J50" s="20" t="n">
        <v>0</v>
      </c>
      <c r="K50" s="18" t="n">
        <v>0.47179166</v>
      </c>
      <c r="L50" s="20" t="n">
        <v>0.28387256</v>
      </c>
      <c r="M50" s="18" t="n">
        <v>0</v>
      </c>
      <c r="N50" s="20" t="n">
        <v>0</v>
      </c>
      <c r="O50" s="18" t="n">
        <v>0</v>
      </c>
      <c r="P50" s="20" t="n">
        <v>0</v>
      </c>
      <c r="Q50" s="18" t="n">
        <v>2.83247316</v>
      </c>
      <c r="R50" s="20" t="n">
        <v>0.75428531</v>
      </c>
    </row>
    <row r="51" spans="1:18">
      <c r="A51" s="15" t="s">
        <v>610</v>
      </c>
      <c r="B51" s="17" t="n">
        <v>5809</v>
      </c>
      <c r="C51" s="18">
        <f>(5182.0/B51*100)</f>
        <v/>
      </c>
      <c r="D51" s="19" t="n">
        <v>627</v>
      </c>
      <c r="E51" s="18" t="n">
        <v>38.46779296</v>
      </c>
      <c r="F51" s="20" t="n">
        <v>2.15834644</v>
      </c>
      <c r="G51" s="18" t="n">
        <v>59.66913024</v>
      </c>
      <c r="H51" s="20" t="n">
        <v>2.04803773</v>
      </c>
      <c r="I51" s="18" t="n">
        <v>0</v>
      </c>
      <c r="J51" s="20" t="n">
        <v>0</v>
      </c>
      <c r="K51" s="18" t="n">
        <v>0.34253128</v>
      </c>
      <c r="L51" s="20" t="n">
        <v>0.23456682</v>
      </c>
      <c r="M51" s="18" t="n">
        <v>0</v>
      </c>
      <c r="N51" s="20" t="n">
        <v>0</v>
      </c>
      <c r="O51" s="18" t="n">
        <v>0</v>
      </c>
      <c r="P51" s="20" t="n">
        <v>0</v>
      </c>
      <c r="Q51" s="18" t="n">
        <v>1.52054552</v>
      </c>
      <c r="R51" s="20" t="n">
        <v>0.5366064699999999</v>
      </c>
    </row>
    <row r="52" spans="1:18">
      <c r="A52" s="15" t="s">
        <v>611</v>
      </c>
      <c r="B52" s="17" t="n">
        <v>5571</v>
      </c>
      <c r="C52" s="18">
        <f>(4966.0/B52*100)</f>
        <v/>
      </c>
      <c r="D52" s="19" t="n">
        <v>605</v>
      </c>
      <c r="E52" s="18" t="n">
        <v>54.8897504</v>
      </c>
      <c r="F52" s="20" t="n">
        <v>2.36545575</v>
      </c>
      <c r="G52" s="18" t="n">
        <v>42.45025075</v>
      </c>
      <c r="H52" s="20" t="n">
        <v>2.34317967</v>
      </c>
      <c r="I52" s="18" t="n">
        <v>0</v>
      </c>
      <c r="J52" s="20" t="n">
        <v>0</v>
      </c>
      <c r="K52" s="18" t="n">
        <v>1.08788127</v>
      </c>
      <c r="L52" s="20" t="n">
        <v>0.36245699</v>
      </c>
      <c r="M52" s="18" t="n">
        <v>0</v>
      </c>
      <c r="N52" s="20" t="n">
        <v>0</v>
      </c>
      <c r="O52" s="18" t="n">
        <v>0</v>
      </c>
      <c r="P52" s="20" t="n">
        <v>0</v>
      </c>
      <c r="Q52" s="18" t="n">
        <v>1.57211758</v>
      </c>
      <c r="R52" s="20" t="n">
        <v>0.50754244</v>
      </c>
    </row>
    <row r="53" spans="1:18">
      <c r="A53" s="15" t="s">
        <v>612</v>
      </c>
      <c r="B53" s="17" t="n">
        <v>4740</v>
      </c>
      <c r="C53" s="18">
        <f>(4204.0/B53*100)</f>
        <v/>
      </c>
      <c r="D53" s="19" t="n">
        <v>536</v>
      </c>
      <c r="E53" s="18" t="n">
        <v>50.58947722</v>
      </c>
      <c r="F53" s="20" t="n">
        <v>2.35186329</v>
      </c>
      <c r="G53" s="18" t="n">
        <v>25.42357692</v>
      </c>
      <c r="H53" s="20" t="n">
        <v>2.10333922</v>
      </c>
      <c r="I53" s="18" t="n">
        <v>0</v>
      </c>
      <c r="J53" s="20" t="n">
        <v>0</v>
      </c>
      <c r="K53" s="18" t="n">
        <v>20.28685535</v>
      </c>
      <c r="L53" s="20" t="n">
        <v>1.81157799</v>
      </c>
      <c r="M53" s="18" t="n">
        <v>0</v>
      </c>
      <c r="N53" s="20" t="n">
        <v>0</v>
      </c>
      <c r="O53" s="18" t="n">
        <v>0</v>
      </c>
      <c r="P53" s="20" t="n">
        <v>0</v>
      </c>
      <c r="Q53" s="18" t="n">
        <v>3.70009051</v>
      </c>
      <c r="R53" s="20" t="n">
        <v>1.0103721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(4789.0/B55*100)</f>
        <v/>
      </c>
      <c r="D55" s="19" t="n">
        <v>570</v>
      </c>
      <c r="E55" s="18" t="n">
        <v>27.83212361</v>
      </c>
      <c r="F55" s="20" t="n">
        <v>2.02808202</v>
      </c>
      <c r="G55" s="18" t="n">
        <v>71.31997800000001</v>
      </c>
      <c r="H55" s="20" t="n">
        <v>1.9881852</v>
      </c>
      <c r="I55" s="18" t="n">
        <v>0</v>
      </c>
      <c r="J55" s="20" t="n">
        <v>0</v>
      </c>
      <c r="K55" s="18" t="n">
        <v>0.35025383</v>
      </c>
      <c r="L55" s="20" t="n">
        <v>0.25279048</v>
      </c>
      <c r="M55" s="18" t="n">
        <v>0</v>
      </c>
      <c r="N55" s="20" t="n">
        <v>0</v>
      </c>
      <c r="O55" s="18" t="n">
        <v>0</v>
      </c>
      <c r="P55" s="20" t="n">
        <v>0</v>
      </c>
      <c r="Q55" s="18" t="n">
        <v>0.49764457</v>
      </c>
      <c r="R55" s="20" t="n">
        <v>0.29582901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(5824.0/B61*100)</f>
        <v/>
      </c>
      <c r="D61" s="19" t="n">
        <v>701</v>
      </c>
      <c r="E61" s="18" t="n">
        <v>42.57426016</v>
      </c>
      <c r="F61" s="20" t="n">
        <v>2.21390734</v>
      </c>
      <c r="G61" s="18" t="n">
        <v>56.37011578</v>
      </c>
      <c r="H61" s="20" t="n">
        <v>2.19638171</v>
      </c>
      <c r="I61" s="18" t="n">
        <v>0</v>
      </c>
      <c r="J61" s="20" t="n">
        <v>0</v>
      </c>
      <c r="K61" s="18" t="n">
        <v>0.1910682</v>
      </c>
      <c r="L61" s="20" t="n">
        <v>0.11713755</v>
      </c>
      <c r="M61" s="18" t="n">
        <v>0</v>
      </c>
      <c r="N61" s="20" t="n">
        <v>0</v>
      </c>
      <c r="O61" s="18" t="n">
        <v>0</v>
      </c>
      <c r="P61" s="20" t="n">
        <v>0</v>
      </c>
      <c r="Q61" s="18" t="n">
        <v>0.86455587</v>
      </c>
      <c r="R61" s="20" t="n">
        <v>0.36310178</v>
      </c>
    </row>
    <row r="62" spans="1:18">
      <c r="A62" s="15" t="s">
        <v>622</v>
      </c>
      <c r="B62" s="17" t="n">
        <v>4476</v>
      </c>
      <c r="C62" s="18">
        <f>(4014.0/B62*100)</f>
        <v/>
      </c>
      <c r="D62" s="19" t="n">
        <v>462</v>
      </c>
      <c r="E62" s="18" t="n">
        <v>26.17065669</v>
      </c>
      <c r="F62" s="20" t="n">
        <v>2.00398795</v>
      </c>
      <c r="G62" s="18" t="n">
        <v>73.82934331</v>
      </c>
      <c r="H62" s="20" t="n">
        <v>2.00398795</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(5069.0/B67*100)</f>
        <v/>
      </c>
      <c r="D67" s="19" t="n">
        <v>596</v>
      </c>
      <c r="E67" s="18" t="n">
        <v>62.27165773</v>
      </c>
      <c r="F67" s="20" t="n">
        <v>1.85122923</v>
      </c>
      <c r="G67" s="18" t="n">
        <v>32.22504467</v>
      </c>
      <c r="H67" s="20" t="n">
        <v>1.6264145</v>
      </c>
      <c r="I67" s="18" t="n">
        <v>0</v>
      </c>
      <c r="J67" s="20" t="n">
        <v>0</v>
      </c>
      <c r="K67" s="18" t="n">
        <v>0.57077774</v>
      </c>
      <c r="L67" s="20" t="n">
        <v>0.28736992</v>
      </c>
      <c r="M67" s="18" t="n">
        <v>0</v>
      </c>
      <c r="N67" s="20" t="n">
        <v>0</v>
      </c>
      <c r="O67" s="18" t="n">
        <v>0</v>
      </c>
      <c r="P67" s="20" t="n">
        <v>0</v>
      </c>
      <c r="Q67" s="18" t="n">
        <v>4.93251986</v>
      </c>
      <c r="R67" s="20" t="n">
        <v>0.82385464</v>
      </c>
    </row>
    <row r="68" spans="1:18">
      <c r="A68" s="15" t="s">
        <v>628</v>
      </c>
      <c r="B68" s="17" t="n">
        <v>6971</v>
      </c>
      <c r="C68" s="18">
        <f>(6321.0/B68*100)</f>
        <v/>
      </c>
      <c r="D68" s="19" t="n">
        <v>650</v>
      </c>
      <c r="E68" s="18" t="n">
        <v>49.50586122</v>
      </c>
      <c r="F68" s="20" t="n">
        <v>1.9917706</v>
      </c>
      <c r="G68" s="18" t="n">
        <v>47.93025646</v>
      </c>
      <c r="H68" s="20" t="n">
        <v>2.00343883</v>
      </c>
      <c r="I68" s="18" t="n">
        <v>0</v>
      </c>
      <c r="J68" s="20" t="n">
        <v>0</v>
      </c>
      <c r="K68" s="18" t="n">
        <v>0.25192546</v>
      </c>
      <c r="L68" s="20" t="n">
        <v>0.17944594</v>
      </c>
      <c r="M68" s="18" t="n">
        <v>0</v>
      </c>
      <c r="N68" s="20" t="n">
        <v>0</v>
      </c>
      <c r="O68" s="18" t="n">
        <v>0</v>
      </c>
      <c r="P68" s="20" t="n">
        <v>0</v>
      </c>
      <c r="Q68" s="18" t="n">
        <v>2.31195686</v>
      </c>
      <c r="R68" s="20" t="n">
        <v>0.6399154500000001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(10728.0/B70*100)</f>
        <v/>
      </c>
      <c r="D70" s="19" t="n">
        <v>1355</v>
      </c>
      <c r="E70" s="18" t="n">
        <v>55.67812655</v>
      </c>
      <c r="F70" s="20" t="n">
        <v>1.48048268</v>
      </c>
      <c r="G70" s="18" t="n">
        <v>38.22523947</v>
      </c>
      <c r="H70" s="20" t="n">
        <v>1.30080592</v>
      </c>
      <c r="I70" s="18" t="n">
        <v>0</v>
      </c>
      <c r="J70" s="20" t="n">
        <v>0</v>
      </c>
      <c r="K70" s="18" t="n">
        <v>3.67639971</v>
      </c>
      <c r="L70" s="20" t="n">
        <v>0.42212552</v>
      </c>
      <c r="M70" s="18" t="n">
        <v>0</v>
      </c>
      <c r="N70" s="20" t="n">
        <v>0</v>
      </c>
      <c r="O70" s="18" t="n">
        <v>0</v>
      </c>
      <c r="P70" s="20" t="n">
        <v>0</v>
      </c>
      <c r="Q70" s="18" t="n">
        <v>2.42023428</v>
      </c>
      <c r="R70" s="20" t="n">
        <v>0.44176439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(5429.0/B72*100)</f>
        <v/>
      </c>
      <c r="D72" s="19" t="n">
        <v>607</v>
      </c>
      <c r="E72" s="18" t="n">
        <v>34.85869773</v>
      </c>
      <c r="F72" s="20" t="n">
        <v>2.42712044</v>
      </c>
      <c r="G72" s="18" t="n">
        <v>62.79568558</v>
      </c>
      <c r="H72" s="20" t="n">
        <v>2.5909088</v>
      </c>
      <c r="I72" s="18" t="n">
        <v>0</v>
      </c>
      <c r="J72" s="20" t="n">
        <v>0</v>
      </c>
      <c r="K72" s="18" t="n">
        <v>0.79122195</v>
      </c>
      <c r="L72" s="20" t="n">
        <v>0.44003212</v>
      </c>
      <c r="M72" s="18" t="n">
        <v>0</v>
      </c>
      <c r="N72" s="20" t="n">
        <v>0</v>
      </c>
      <c r="O72" s="18" t="n">
        <v>0</v>
      </c>
      <c r="P72" s="20" t="n">
        <v>0</v>
      </c>
      <c r="Q72" s="18" t="n">
        <v>1.55439474</v>
      </c>
      <c r="R72" s="20" t="n">
        <v>0.56766901</v>
      </c>
    </row>
    <row r="73" spans="1:18">
      <c r="A73" s="15" t="s">
        <v>633</v>
      </c>
      <c r="B73" s="17" t="n">
        <v>6115</v>
      </c>
      <c r="C73" s="18">
        <f>(5431.0/B73*100)</f>
        <v/>
      </c>
      <c r="D73" s="19" t="n">
        <v>684</v>
      </c>
      <c r="E73" s="18" t="n">
        <v>23.54778523</v>
      </c>
      <c r="F73" s="20" t="n">
        <v>1.52441897</v>
      </c>
      <c r="G73" s="18" t="n">
        <v>75.38083251</v>
      </c>
      <c r="H73" s="20" t="n">
        <v>1.49732707</v>
      </c>
      <c r="I73" s="18" t="n">
        <v>0</v>
      </c>
      <c r="J73" s="20" t="n">
        <v>0</v>
      </c>
      <c r="K73" s="18" t="n">
        <v>0.23522436</v>
      </c>
      <c r="L73" s="20" t="n">
        <v>0.22502756</v>
      </c>
      <c r="M73" s="18" t="n">
        <v>0</v>
      </c>
      <c r="N73" s="20" t="n">
        <v>0</v>
      </c>
      <c r="O73" s="18" t="n">
        <v>0</v>
      </c>
      <c r="P73" s="20" t="n">
        <v>0</v>
      </c>
      <c r="Q73" s="18" t="n">
        <v>0.8361579</v>
      </c>
      <c r="R73" s="20" t="n">
        <v>0.31302193</v>
      </c>
    </row>
    <row r="74" spans="1:18">
      <c r="A74" s="15" t="s">
        <v>634</v>
      </c>
      <c r="B74" s="17" t="n">
        <v>7708</v>
      </c>
      <c r="C74" s="18">
        <f>(6865.0/B74*100)</f>
        <v/>
      </c>
      <c r="D74" s="19" t="n">
        <v>843</v>
      </c>
      <c r="E74" s="18" t="n">
        <v>28.06680135</v>
      </c>
      <c r="F74" s="20" t="n">
        <v>1.53194206</v>
      </c>
      <c r="G74" s="18" t="n">
        <v>71.61148614</v>
      </c>
      <c r="H74" s="20" t="n">
        <v>1.57103414</v>
      </c>
      <c r="I74" s="18" t="n">
        <v>0</v>
      </c>
      <c r="J74" s="20" t="n">
        <v>0</v>
      </c>
      <c r="K74" s="18" t="n">
        <v>0.15688412</v>
      </c>
      <c r="L74" s="20" t="n">
        <v>0.15745329</v>
      </c>
      <c r="M74" s="18" t="n">
        <v>0</v>
      </c>
      <c r="N74" s="20" t="n">
        <v>0</v>
      </c>
      <c r="O74" s="18" t="n">
        <v>0</v>
      </c>
      <c r="P74" s="20" t="n">
        <v>0</v>
      </c>
      <c r="Q74" s="18" t="n">
        <v>0.1648284</v>
      </c>
      <c r="R74" s="20" t="n">
        <v>0.10148736</v>
      </c>
    </row>
    <row r="75" spans="1:18">
      <c r="A75" s="15" t="s">
        <v>635</v>
      </c>
      <c r="B75" s="17" t="n">
        <v>8249</v>
      </c>
      <c r="C75" s="18">
        <f>(7414.0/B75*100)</f>
        <v/>
      </c>
      <c r="D75" s="19" t="n">
        <v>835</v>
      </c>
      <c r="E75" s="18" t="n">
        <v>50.38521049</v>
      </c>
      <c r="F75" s="20" t="n">
        <v>2.13843301</v>
      </c>
      <c r="G75" s="18" t="n">
        <v>48.97257846</v>
      </c>
      <c r="H75" s="20" t="n">
        <v>2.12782628</v>
      </c>
      <c r="I75" s="18" t="n">
        <v>0</v>
      </c>
      <c r="J75" s="20" t="n">
        <v>0</v>
      </c>
      <c r="K75" s="18" t="n">
        <v>0</v>
      </c>
      <c r="L75" s="20" t="n">
        <v>0</v>
      </c>
      <c r="M75" s="18" t="n">
        <v>0</v>
      </c>
      <c r="N75" s="20" t="n">
        <v>0</v>
      </c>
      <c r="O75" s="18" t="n">
        <v>0</v>
      </c>
      <c r="P75" s="20" t="n">
        <v>0</v>
      </c>
      <c r="Q75" s="18" t="n">
        <v>0.64221105</v>
      </c>
      <c r="R75" s="20" t="n">
        <v>0.32483444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(4862.0/B77*100)</f>
        <v/>
      </c>
      <c r="D77" s="19" t="n">
        <v>513</v>
      </c>
      <c r="E77" s="18" t="n">
        <v>55.90325568</v>
      </c>
      <c r="F77" s="20" t="n">
        <v>1.84554221</v>
      </c>
      <c r="G77" s="18" t="n">
        <v>34.9108077</v>
      </c>
      <c r="H77" s="20" t="n">
        <v>1.81717063</v>
      </c>
      <c r="I77" s="18" t="n">
        <v>0</v>
      </c>
      <c r="J77" s="20" t="n">
        <v>0</v>
      </c>
      <c r="K77" s="18" t="n">
        <v>5.01836392</v>
      </c>
      <c r="L77" s="20" t="n">
        <v>0.9261405700000001</v>
      </c>
      <c r="M77" s="18" t="n">
        <v>0</v>
      </c>
      <c r="N77" s="20" t="n">
        <v>0</v>
      </c>
      <c r="O77" s="18" t="n">
        <v>0</v>
      </c>
      <c r="P77" s="20" t="n">
        <v>0</v>
      </c>
      <c r="Q77" s="18" t="n">
        <v>4.16757271</v>
      </c>
      <c r="R77" s="20" t="n">
        <v>0.9889605</v>
      </c>
    </row>
    <row r="78" spans="1:18">
      <c r="A78" s="15" t="s">
        <v>638</v>
      </c>
      <c r="B78" s="17" t="n">
        <v>14167</v>
      </c>
      <c r="C78" s="18">
        <f>(12624.0/B78*100)</f>
        <v/>
      </c>
      <c r="D78" s="19" t="n">
        <v>1543</v>
      </c>
      <c r="E78" s="18" t="n">
        <v>53.5122692</v>
      </c>
      <c r="F78" s="20" t="n">
        <v>1.50916191</v>
      </c>
      <c r="G78" s="18" t="n">
        <v>42.25182002</v>
      </c>
      <c r="H78" s="20" t="n">
        <v>1.63134664</v>
      </c>
      <c r="I78" s="18" t="n">
        <v>0</v>
      </c>
      <c r="J78" s="20" t="n">
        <v>0</v>
      </c>
      <c r="K78" s="18" t="n">
        <v>1.65191149</v>
      </c>
      <c r="L78" s="20" t="n">
        <v>0.42164944</v>
      </c>
      <c r="M78" s="18" t="n">
        <v>0</v>
      </c>
      <c r="N78" s="20" t="n">
        <v>0</v>
      </c>
      <c r="O78" s="18" t="n">
        <v>0</v>
      </c>
      <c r="P78" s="20" t="n">
        <v>0</v>
      </c>
      <c r="Q78" s="18" t="n">
        <v>2.58399929</v>
      </c>
      <c r="R78" s="20" t="n">
        <v>0.47399364</v>
      </c>
    </row>
    <row r="79" spans="1:18">
      <c r="A79" s="15" t="s">
        <v>639</v>
      </c>
      <c r="B79" s="17" t="n">
        <v>6062</v>
      </c>
      <c r="C79" s="18">
        <f>(5418.0/B79*100)</f>
        <v/>
      </c>
      <c r="D79" s="19" t="n">
        <v>644</v>
      </c>
      <c r="E79" s="18" t="n">
        <v>48.56038056</v>
      </c>
      <c r="F79" s="20" t="n">
        <v>2.13420278</v>
      </c>
      <c r="G79" s="18" t="n">
        <v>46.55643248</v>
      </c>
      <c r="H79" s="20" t="n">
        <v>2.11454991</v>
      </c>
      <c r="I79" s="18" t="n">
        <v>0</v>
      </c>
      <c r="J79" s="20" t="n">
        <v>0</v>
      </c>
      <c r="K79" s="18" t="n">
        <v>1.57786294</v>
      </c>
      <c r="L79" s="20" t="n">
        <v>0.43021964</v>
      </c>
      <c r="M79" s="18" t="n">
        <v>0</v>
      </c>
      <c r="N79" s="20" t="n">
        <v>0</v>
      </c>
      <c r="O79" s="18" t="n">
        <v>0</v>
      </c>
      <c r="P79" s="20" t="n">
        <v>0</v>
      </c>
      <c r="Q79" s="18" t="n">
        <v>3.30532401</v>
      </c>
      <c r="R79" s="20" t="n">
        <v>0.60764567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(28831.0/B82*100)</f>
        <v/>
      </c>
      <c r="D82" s="19" t="n">
        <v>3499</v>
      </c>
      <c r="E82" s="18" t="n">
        <v>34.34890834</v>
      </c>
      <c r="F82" s="20" t="n">
        <v>1.21623374</v>
      </c>
      <c r="G82" s="18" t="n">
        <v>63.26855679</v>
      </c>
      <c r="H82" s="20" t="n">
        <v>1.28438939</v>
      </c>
      <c r="I82" s="18" t="n">
        <v>0</v>
      </c>
      <c r="J82" s="20" t="n">
        <v>0</v>
      </c>
      <c r="K82" s="18" t="n">
        <v>0.60206562</v>
      </c>
      <c r="L82" s="20" t="n">
        <v>0.23770634</v>
      </c>
      <c r="M82" s="18" t="n">
        <v>0</v>
      </c>
      <c r="N82" s="20" t="n">
        <v>0</v>
      </c>
      <c r="O82" s="18" t="n">
        <v>0</v>
      </c>
      <c r="P82" s="20" t="n">
        <v>0</v>
      </c>
      <c r="Q82" s="18" t="n">
        <v>1.78046925</v>
      </c>
      <c r="R82" s="20" t="n">
        <v>0.35838257</v>
      </c>
    </row>
    <row r="83" spans="1:18">
      <c r="A83" s="15" t="s">
        <v>643</v>
      </c>
      <c r="B83" s="17" t="n">
        <v>1652</v>
      </c>
      <c r="C83" s="18">
        <f>(1476.0/B83*100)</f>
        <v/>
      </c>
      <c r="D83" s="19" t="n">
        <v>176</v>
      </c>
      <c r="E83" s="18" t="n">
        <v>27.97643985</v>
      </c>
      <c r="F83" s="20" t="n">
        <v>4.43081716</v>
      </c>
      <c r="G83" s="18" t="n">
        <v>71.30653715</v>
      </c>
      <c r="H83" s="20" t="n">
        <v>4.58199936</v>
      </c>
      <c r="I83" s="18" t="n">
        <v>0</v>
      </c>
      <c r="J83" s="20" t="n">
        <v>0</v>
      </c>
      <c r="K83" s="18" t="n">
        <v>0.71702301</v>
      </c>
      <c r="L83" s="20" t="n">
        <v>0.70453666</v>
      </c>
      <c r="M83" s="18" t="n">
        <v>0</v>
      </c>
      <c r="N83" s="20" t="n">
        <v>0</v>
      </c>
      <c r="O83" s="18" t="n">
        <v>0</v>
      </c>
      <c r="P83" s="20" t="n">
        <v>0</v>
      </c>
      <c r="Q83" s="18" t="n">
        <v>0</v>
      </c>
      <c r="R83" s="20" t="n">
        <v>0</v>
      </c>
    </row>
    <row r="84" spans="1:18">
      <c r="A84" s="23" t="s">
        <v>644</v>
      </c>
      <c r="B84" s="24" t="n">
        <v>1887</v>
      </c>
      <c r="C84" s="25">
        <f>(1704.0/B84*100)</f>
        <v/>
      </c>
      <c r="D84" s="19" t="n">
        <v>183</v>
      </c>
      <c r="E84" s="18" t="n">
        <v>32.47060757</v>
      </c>
      <c r="F84" s="20" t="n">
        <v>3.66534818</v>
      </c>
      <c r="G84" s="18" t="n">
        <v>66.53702997000001</v>
      </c>
      <c r="H84" s="20" t="n">
        <v>3.66732657</v>
      </c>
      <c r="I84" s="18" t="n">
        <v>0</v>
      </c>
      <c r="J84" s="20" t="n">
        <v>0</v>
      </c>
      <c r="K84" s="18" t="n">
        <v>0</v>
      </c>
      <c r="L84" s="20" t="n">
        <v>0</v>
      </c>
      <c r="M84" s="18" t="n">
        <v>0</v>
      </c>
      <c r="N84" s="20" t="n">
        <v>0</v>
      </c>
      <c r="O84" s="18" t="n">
        <v>0</v>
      </c>
      <c r="P84" s="20" t="n">
        <v>0</v>
      </c>
      <c r="Q84" s="18" t="n">
        <v>0.9923624599999999</v>
      </c>
      <c r="R84" s="20" t="n">
        <v>0.74650059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712</v>
      </c>
    </row>
    <row customHeight="1" ht="30" r="4" spans="1:20">
      <c r="A4" s="6" t="n"/>
      <c r="B4" s="7" t="s">
        <v>551</v>
      </c>
      <c r="C4" s="7" t="s">
        <v>552</v>
      </c>
      <c r="D4" s="8" t="s">
        <v>551</v>
      </c>
      <c r="E4" s="9" t="s">
        <v>655</v>
      </c>
      <c r="F4" s="10" t="n"/>
      <c r="G4" s="9" t="s">
        <v>657</v>
      </c>
      <c r="H4" s="10" t="n"/>
      <c r="I4" s="9" t="s">
        <v>658</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(12976.0/B7*100)</f>
        <v/>
      </c>
      <c r="D7" s="19" t="n">
        <v>1554</v>
      </c>
      <c r="E7" s="18" t="n">
        <v>46.81697887</v>
      </c>
      <c r="F7" s="20" t="n">
        <v>1.37997036</v>
      </c>
      <c r="G7" s="18" t="n">
        <v>25.62149515</v>
      </c>
      <c r="H7" s="20" t="n">
        <v>1.28272993</v>
      </c>
      <c r="I7" s="18" t="n">
        <v>17.08610737</v>
      </c>
      <c r="J7" s="20" t="n">
        <v>1.2564842</v>
      </c>
      <c r="K7" s="18" t="n">
        <v>0</v>
      </c>
      <c r="L7" s="20" t="n">
        <v>0</v>
      </c>
      <c r="M7" s="18" t="n">
        <v>0.22186112</v>
      </c>
      <c r="N7" s="20" t="n">
        <v>0.10268564</v>
      </c>
      <c r="O7" s="18" t="n">
        <v>0.10557699</v>
      </c>
      <c r="P7" s="20" t="n">
        <v>0.09027743000000001</v>
      </c>
      <c r="Q7" s="18" t="n">
        <v>0</v>
      </c>
      <c r="R7" s="20" t="n">
        <v>0</v>
      </c>
      <c r="S7" s="18" t="n">
        <v>10.14798051</v>
      </c>
      <c r="T7" s="20" t="n">
        <v>0.89521977</v>
      </c>
    </row>
    <row r="8" spans="1:20">
      <c r="A8" s="15" t="s">
        <v>566</v>
      </c>
      <c r="B8" s="17" t="n">
        <v>7007</v>
      </c>
      <c r="C8" s="18">
        <f>(6229.0/B8*100)</f>
        <v/>
      </c>
      <c r="D8" s="19" t="n">
        <v>778</v>
      </c>
      <c r="E8" s="18" t="n">
        <v>45.04963635</v>
      </c>
      <c r="F8" s="20" t="n">
        <v>1.9336714</v>
      </c>
      <c r="G8" s="18" t="n">
        <v>20.95492339</v>
      </c>
      <c r="H8" s="20" t="n">
        <v>1.88372881</v>
      </c>
      <c r="I8" s="18" t="n">
        <v>8.91557963</v>
      </c>
      <c r="J8" s="20" t="n">
        <v>1.1741708</v>
      </c>
      <c r="K8" s="18" t="n">
        <v>0</v>
      </c>
      <c r="L8" s="20" t="n">
        <v>0</v>
      </c>
      <c r="M8" s="18" t="n">
        <v>0.15198751</v>
      </c>
      <c r="N8" s="20" t="n">
        <v>0.23316912</v>
      </c>
      <c r="O8" s="18" t="n">
        <v>0</v>
      </c>
      <c r="P8" s="20" t="n">
        <v>0</v>
      </c>
      <c r="Q8" s="18" t="n">
        <v>0</v>
      </c>
      <c r="R8" s="20" t="n">
        <v>0</v>
      </c>
      <c r="S8" s="18" t="n">
        <v>24.92787313</v>
      </c>
      <c r="T8" s="20" t="n">
        <v>1.81277296</v>
      </c>
    </row>
    <row r="9" spans="1:20">
      <c r="A9" s="15" t="s">
        <v>567</v>
      </c>
      <c r="B9" s="17" t="n">
        <v>9651</v>
      </c>
      <c r="C9" s="18">
        <f>(8656.0/B9*100)</f>
        <v/>
      </c>
      <c r="D9" s="19" t="n">
        <v>995</v>
      </c>
      <c r="E9" s="18" t="n">
        <v>44.58539928</v>
      </c>
      <c r="F9" s="20" t="n">
        <v>1.70271634</v>
      </c>
      <c r="G9" s="18" t="n">
        <v>25.55723308</v>
      </c>
      <c r="H9" s="20" t="n">
        <v>1.52536222</v>
      </c>
      <c r="I9" s="18" t="n">
        <v>13.54162173</v>
      </c>
      <c r="J9" s="20" t="n">
        <v>1.07290201</v>
      </c>
      <c r="K9" s="18" t="n">
        <v>0</v>
      </c>
      <c r="L9" s="20" t="n">
        <v>0</v>
      </c>
      <c r="M9" s="18" t="n">
        <v>0.90919766</v>
      </c>
      <c r="N9" s="20" t="n">
        <v>0.30706476</v>
      </c>
      <c r="O9" s="18" t="n">
        <v>0.4886468</v>
      </c>
      <c r="P9" s="20" t="n">
        <v>0.15629404</v>
      </c>
      <c r="Q9" s="18" t="n">
        <v>0</v>
      </c>
      <c r="R9" s="20" t="n">
        <v>0</v>
      </c>
      <c r="S9" s="18" t="n">
        <v>14.91790145</v>
      </c>
      <c r="T9" s="20" t="n">
        <v>1.15858744</v>
      </c>
    </row>
    <row r="10" spans="1:20">
      <c r="A10" s="15" t="s">
        <v>568</v>
      </c>
      <c r="B10" s="17" t="n">
        <v>20058</v>
      </c>
      <c r="C10" s="18">
        <f>(17897.0/B10*100)</f>
        <v/>
      </c>
      <c r="D10" s="19" t="n">
        <v>2161</v>
      </c>
      <c r="E10" s="18" t="n">
        <v>53.33383138</v>
      </c>
      <c r="F10" s="20" t="n">
        <v>1.49575595</v>
      </c>
      <c r="G10" s="18" t="n">
        <v>23.28883271</v>
      </c>
      <c r="H10" s="20" t="n">
        <v>1.35350864</v>
      </c>
      <c r="I10" s="18" t="n">
        <v>15.50494415</v>
      </c>
      <c r="J10" s="20" t="n">
        <v>1.04946669</v>
      </c>
      <c r="K10" s="18" t="n">
        <v>0</v>
      </c>
      <c r="L10" s="20" t="n">
        <v>0</v>
      </c>
      <c r="M10" s="18" t="n">
        <v>0.59594459</v>
      </c>
      <c r="N10" s="20" t="n">
        <v>0.20148648</v>
      </c>
      <c r="O10" s="18" t="n">
        <v>0</v>
      </c>
      <c r="P10" s="20" t="n">
        <v>0</v>
      </c>
      <c r="Q10" s="18" t="n">
        <v>0</v>
      </c>
      <c r="R10" s="20" t="n">
        <v>0</v>
      </c>
      <c r="S10" s="18" t="n">
        <v>7.27644717</v>
      </c>
      <c r="T10" s="20" t="n">
        <v>0.7931585</v>
      </c>
    </row>
    <row r="11" spans="1:20">
      <c r="A11" s="15" t="s">
        <v>569</v>
      </c>
      <c r="B11" s="17" t="n">
        <v>7053</v>
      </c>
      <c r="C11" s="18">
        <f>(6287.0/B11*100)</f>
        <v/>
      </c>
      <c r="D11" s="19" t="n">
        <v>766</v>
      </c>
      <c r="E11" s="18" t="n">
        <v>61.61594253</v>
      </c>
      <c r="F11" s="20" t="n">
        <v>1.91352599</v>
      </c>
      <c r="G11" s="18" t="n">
        <v>10.38199058</v>
      </c>
      <c r="H11" s="20" t="n">
        <v>1.21074708</v>
      </c>
      <c r="I11" s="18" t="n">
        <v>6.26560614</v>
      </c>
      <c r="J11" s="20" t="n">
        <v>0.93736455</v>
      </c>
      <c r="K11" s="18" t="n">
        <v>0</v>
      </c>
      <c r="L11" s="20" t="n">
        <v>0</v>
      </c>
      <c r="M11" s="18" t="n">
        <v>1.96633931</v>
      </c>
      <c r="N11" s="20" t="n">
        <v>0.50762421</v>
      </c>
      <c r="O11" s="18" t="n">
        <v>0</v>
      </c>
      <c r="P11" s="20" t="n">
        <v>0</v>
      </c>
      <c r="Q11" s="18" t="n">
        <v>0</v>
      </c>
      <c r="R11" s="20" t="n">
        <v>0</v>
      </c>
      <c r="S11" s="18" t="n">
        <v>19.77012143</v>
      </c>
      <c r="T11" s="20" t="n">
        <v>1.89626792</v>
      </c>
    </row>
    <row r="12" spans="1:20">
      <c r="A12" s="15" t="s">
        <v>570</v>
      </c>
      <c r="B12" s="17" t="n">
        <v>6894</v>
      </c>
      <c r="C12" s="18">
        <f>(6154.0/B12*100)</f>
        <v/>
      </c>
      <c r="D12" s="19" t="n">
        <v>740</v>
      </c>
      <c r="E12" s="18" t="n">
        <v>42.03412863</v>
      </c>
      <c r="F12" s="20" t="n">
        <v>2.03779238</v>
      </c>
      <c r="G12" s="18" t="n">
        <v>19.32119336</v>
      </c>
      <c r="H12" s="20" t="n">
        <v>1.69630054</v>
      </c>
      <c r="I12" s="18" t="n">
        <v>12.53967005</v>
      </c>
      <c r="J12" s="20" t="n">
        <v>1.38410116</v>
      </c>
      <c r="K12" s="18" t="n">
        <v>0</v>
      </c>
      <c r="L12" s="20" t="n">
        <v>0</v>
      </c>
      <c r="M12" s="18" t="n">
        <v>0.5201324899999999</v>
      </c>
      <c r="N12" s="20" t="n">
        <v>0.29998012</v>
      </c>
      <c r="O12" s="18" t="n">
        <v>0.07972185</v>
      </c>
      <c r="P12" s="20" t="n">
        <v>0.1069848</v>
      </c>
      <c r="Q12" s="18" t="n">
        <v>0</v>
      </c>
      <c r="R12" s="20" t="n">
        <v>0</v>
      </c>
      <c r="S12" s="18" t="n">
        <v>25.50515362</v>
      </c>
      <c r="T12" s="20" t="n">
        <v>1.74005952</v>
      </c>
    </row>
    <row r="13" spans="1:20">
      <c r="A13" s="15" t="s">
        <v>571</v>
      </c>
      <c r="B13" s="17" t="n">
        <v>7161</v>
      </c>
      <c r="C13" s="18">
        <f>(6425.0/B13*100)</f>
        <v/>
      </c>
      <c r="D13" s="19" t="n">
        <v>736</v>
      </c>
      <c r="E13" s="18" t="n">
        <v>47.7635775</v>
      </c>
      <c r="F13" s="20" t="n">
        <v>2.39091612</v>
      </c>
      <c r="G13" s="18" t="n">
        <v>21.64370668</v>
      </c>
      <c r="H13" s="20" t="n">
        <v>1.76971861</v>
      </c>
      <c r="I13" s="18" t="n">
        <v>16.8739596</v>
      </c>
      <c r="J13" s="20" t="n">
        <v>1.75053522</v>
      </c>
      <c r="K13" s="18" t="n">
        <v>0</v>
      </c>
      <c r="L13" s="20" t="n">
        <v>0</v>
      </c>
      <c r="M13" s="18" t="n">
        <v>0.75660519</v>
      </c>
      <c r="N13" s="20" t="n">
        <v>0.33420907</v>
      </c>
      <c r="O13" s="18" t="n">
        <v>0</v>
      </c>
      <c r="P13" s="20" t="n">
        <v>0</v>
      </c>
      <c r="Q13" s="18" t="n">
        <v>0</v>
      </c>
      <c r="R13" s="20" t="n">
        <v>0</v>
      </c>
      <c r="S13" s="18" t="n">
        <v>12.96215103</v>
      </c>
      <c r="T13" s="20" t="n">
        <v>1.39928188</v>
      </c>
    </row>
    <row r="14" spans="1:20">
      <c r="A14" s="15" t="s">
        <v>572</v>
      </c>
      <c r="B14" s="17" t="n">
        <v>5587</v>
      </c>
      <c r="C14" s="18">
        <f>(4997.0/B14*100)</f>
        <v/>
      </c>
      <c r="D14" s="19" t="n">
        <v>590</v>
      </c>
      <c r="E14" s="18" t="n">
        <v>27.58301644</v>
      </c>
      <c r="F14" s="20" t="n">
        <v>1.91681031</v>
      </c>
      <c r="G14" s="18" t="n">
        <v>42.53295049</v>
      </c>
      <c r="H14" s="20" t="n">
        <v>2.23185034</v>
      </c>
      <c r="I14" s="18" t="n">
        <v>18.28277732</v>
      </c>
      <c r="J14" s="20" t="n">
        <v>1.90368246</v>
      </c>
      <c r="K14" s="18" t="n">
        <v>0</v>
      </c>
      <c r="L14" s="20" t="n">
        <v>0</v>
      </c>
      <c r="M14" s="18" t="n">
        <v>0.41919169</v>
      </c>
      <c r="N14" s="20" t="n">
        <v>0.4055244</v>
      </c>
      <c r="O14" s="18" t="n">
        <v>0</v>
      </c>
      <c r="P14" s="20" t="n">
        <v>0</v>
      </c>
      <c r="Q14" s="18" t="n">
        <v>0</v>
      </c>
      <c r="R14" s="20" t="n">
        <v>0</v>
      </c>
      <c r="S14" s="18" t="n">
        <v>11.18206406</v>
      </c>
      <c r="T14" s="20" t="n">
        <v>1.40189993</v>
      </c>
    </row>
    <row r="15" spans="1:20">
      <c r="A15" s="15" t="s">
        <v>573</v>
      </c>
      <c r="B15" s="17" t="n">
        <v>5882</v>
      </c>
      <c r="C15" s="18">
        <f>(5224.0/B15*100)</f>
        <v/>
      </c>
      <c r="D15" s="19" t="n">
        <v>658</v>
      </c>
      <c r="E15" s="18" t="n">
        <v>50.22241402</v>
      </c>
      <c r="F15" s="20" t="n">
        <v>1.9806152</v>
      </c>
      <c r="G15" s="18" t="n">
        <v>20.28858839</v>
      </c>
      <c r="H15" s="20" t="n">
        <v>1.58292108</v>
      </c>
      <c r="I15" s="18" t="n">
        <v>14.24189526</v>
      </c>
      <c r="J15" s="20" t="n">
        <v>1.29496869</v>
      </c>
      <c r="K15" s="18" t="n">
        <v>0</v>
      </c>
      <c r="L15" s="20" t="n">
        <v>0</v>
      </c>
      <c r="M15" s="18" t="n">
        <v>0</v>
      </c>
      <c r="N15" s="20" t="n">
        <v>0</v>
      </c>
      <c r="O15" s="18" t="n">
        <v>0</v>
      </c>
      <c r="P15" s="20" t="n">
        <v>0</v>
      </c>
      <c r="Q15" s="18" t="n">
        <v>0</v>
      </c>
      <c r="R15" s="20" t="n">
        <v>0</v>
      </c>
      <c r="S15" s="18" t="n">
        <v>15.24710233</v>
      </c>
      <c r="T15" s="20" t="n">
        <v>1.31115206</v>
      </c>
    </row>
    <row r="16" spans="1:20">
      <c r="A16" s="15" t="s">
        <v>574</v>
      </c>
      <c r="B16" s="17" t="n">
        <v>6108</v>
      </c>
      <c r="C16" s="18">
        <f>(5475.0/B16*100)</f>
        <v/>
      </c>
      <c r="D16" s="19" t="n">
        <v>633</v>
      </c>
      <c r="E16" s="18" t="n">
        <v>43.38380962</v>
      </c>
      <c r="F16" s="20" t="n">
        <v>2.12224621</v>
      </c>
      <c r="G16" s="18" t="n">
        <v>17.58108539</v>
      </c>
      <c r="H16" s="20" t="n">
        <v>1.75511564</v>
      </c>
      <c r="I16" s="18" t="n">
        <v>12.58248651</v>
      </c>
      <c r="J16" s="20" t="n">
        <v>1.24215169</v>
      </c>
      <c r="K16" s="18" t="n">
        <v>0</v>
      </c>
      <c r="L16" s="20" t="n">
        <v>0</v>
      </c>
      <c r="M16" s="18" t="n">
        <v>1.08441023</v>
      </c>
      <c r="N16" s="20" t="n">
        <v>0.48518443</v>
      </c>
      <c r="O16" s="18" t="n">
        <v>0</v>
      </c>
      <c r="P16" s="20" t="n">
        <v>0</v>
      </c>
      <c r="Q16" s="18" t="n">
        <v>0</v>
      </c>
      <c r="R16" s="20" t="n">
        <v>0</v>
      </c>
      <c r="S16" s="18" t="n">
        <v>25.36820825</v>
      </c>
      <c r="T16" s="20" t="n">
        <v>2.09218189</v>
      </c>
    </row>
    <row r="17" spans="1:20">
      <c r="A17" s="15" t="s">
        <v>575</v>
      </c>
      <c r="B17" s="17" t="n">
        <v>6504</v>
      </c>
      <c r="C17" s="18">
        <f>(5824.0/B17*100)</f>
        <v/>
      </c>
      <c r="D17" s="19" t="n">
        <v>680</v>
      </c>
      <c r="E17" s="18" t="n">
        <v>51.93102246</v>
      </c>
      <c r="F17" s="20" t="n">
        <v>2.0642063</v>
      </c>
      <c r="G17" s="18" t="n">
        <v>25.25877702</v>
      </c>
      <c r="H17" s="20" t="n">
        <v>1.70438803</v>
      </c>
      <c r="I17" s="18" t="n">
        <v>2.00212345</v>
      </c>
      <c r="J17" s="20" t="n">
        <v>0.55318388</v>
      </c>
      <c r="K17" s="18" t="n">
        <v>0</v>
      </c>
      <c r="L17" s="20" t="n">
        <v>0</v>
      </c>
      <c r="M17" s="18" t="n">
        <v>0.71917029</v>
      </c>
      <c r="N17" s="20" t="n">
        <v>0.32064343</v>
      </c>
      <c r="O17" s="18" t="n">
        <v>0</v>
      </c>
      <c r="P17" s="20" t="n">
        <v>0</v>
      </c>
      <c r="Q17" s="18" t="n">
        <v>0</v>
      </c>
      <c r="R17" s="20" t="n">
        <v>0</v>
      </c>
      <c r="S17" s="18" t="n">
        <v>20.08890679</v>
      </c>
      <c r="T17" s="20" t="n">
        <v>1.78709742</v>
      </c>
    </row>
    <row r="18" spans="1:20">
      <c r="A18" s="15" t="s">
        <v>576</v>
      </c>
      <c r="B18" s="17" t="n">
        <v>5532</v>
      </c>
      <c r="C18" s="18">
        <f>(4944.0/B18*100)</f>
        <v/>
      </c>
      <c r="D18" s="19" t="n">
        <v>588</v>
      </c>
      <c r="E18" s="18" t="n">
        <v>47.84145363</v>
      </c>
      <c r="F18" s="20" t="n">
        <v>2.122662</v>
      </c>
      <c r="G18" s="18" t="n">
        <v>22.45691725</v>
      </c>
      <c r="H18" s="20" t="n">
        <v>2.02693282</v>
      </c>
      <c r="I18" s="18" t="n">
        <v>7.81558822</v>
      </c>
      <c r="J18" s="20" t="n">
        <v>1.27032515</v>
      </c>
      <c r="K18" s="18" t="n">
        <v>0</v>
      </c>
      <c r="L18" s="20" t="n">
        <v>0</v>
      </c>
      <c r="M18" s="18" t="n">
        <v>0.39983175</v>
      </c>
      <c r="N18" s="20" t="n">
        <v>0.39586442</v>
      </c>
      <c r="O18" s="18" t="n">
        <v>0</v>
      </c>
      <c r="P18" s="20" t="n">
        <v>0</v>
      </c>
      <c r="Q18" s="18" t="n">
        <v>0</v>
      </c>
      <c r="R18" s="20" t="n">
        <v>0</v>
      </c>
      <c r="S18" s="18" t="n">
        <v>21.48620916</v>
      </c>
      <c r="T18" s="20" t="n">
        <v>1.98634951</v>
      </c>
    </row>
    <row r="19" spans="1:20">
      <c r="A19" s="15" t="s">
        <v>577</v>
      </c>
      <c r="B19" s="17" t="n">
        <v>5658</v>
      </c>
      <c r="C19" s="18">
        <f>(5030.0/B19*100)</f>
        <v/>
      </c>
      <c r="D19" s="19" t="n">
        <v>628</v>
      </c>
      <c r="E19" s="18" t="n">
        <v>51.53462059</v>
      </c>
      <c r="F19" s="20" t="n">
        <v>2.15836456</v>
      </c>
      <c r="G19" s="18" t="n">
        <v>17.07775248</v>
      </c>
      <c r="H19" s="20" t="n">
        <v>1.3279235</v>
      </c>
      <c r="I19" s="18" t="n">
        <v>6.84346986</v>
      </c>
      <c r="J19" s="20" t="n">
        <v>1.03230048</v>
      </c>
      <c r="K19" s="18" t="n">
        <v>0</v>
      </c>
      <c r="L19" s="20" t="n">
        <v>0</v>
      </c>
      <c r="M19" s="18" t="n">
        <v>0.29226123</v>
      </c>
      <c r="N19" s="20" t="n">
        <v>0.20858774</v>
      </c>
      <c r="O19" s="18" t="n">
        <v>0.14906644</v>
      </c>
      <c r="P19" s="20" t="n">
        <v>0.14944945</v>
      </c>
      <c r="Q19" s="18" t="n">
        <v>0</v>
      </c>
      <c r="R19" s="20" t="n">
        <v>0</v>
      </c>
      <c r="S19" s="18" t="n">
        <v>24.10282939</v>
      </c>
      <c r="T19" s="20" t="n">
        <v>1.86993293</v>
      </c>
    </row>
    <row r="20" spans="1:20">
      <c r="A20" s="15" t="s">
        <v>578</v>
      </c>
      <c r="B20" s="17" t="n">
        <v>3371</v>
      </c>
      <c r="C20" s="18">
        <f>(3033.0/B20*100)</f>
        <v/>
      </c>
      <c r="D20" s="19" t="n">
        <v>338</v>
      </c>
      <c r="E20" s="18" t="n">
        <v>59.552212</v>
      </c>
      <c r="F20" s="20" t="n">
        <v>2.97345404</v>
      </c>
      <c r="G20" s="18" t="n">
        <v>11.30054755</v>
      </c>
      <c r="H20" s="20" t="n">
        <v>1.87854928</v>
      </c>
      <c r="I20" s="18" t="n">
        <v>12.30177415</v>
      </c>
      <c r="J20" s="20" t="n">
        <v>1.94259617</v>
      </c>
      <c r="K20" s="18" t="n">
        <v>0</v>
      </c>
      <c r="L20" s="20" t="n">
        <v>0</v>
      </c>
      <c r="M20" s="18" t="n">
        <v>1.20392456</v>
      </c>
      <c r="N20" s="20" t="n">
        <v>0.60076677</v>
      </c>
      <c r="O20" s="18" t="n">
        <v>0.45245572</v>
      </c>
      <c r="P20" s="20" t="n">
        <v>0.44576868</v>
      </c>
      <c r="Q20" s="18" t="n">
        <v>0</v>
      </c>
      <c r="R20" s="20" t="n">
        <v>0</v>
      </c>
      <c r="S20" s="18" t="n">
        <v>15.18908603</v>
      </c>
      <c r="T20" s="20" t="n">
        <v>2.11053702</v>
      </c>
    </row>
    <row r="21" spans="1:20">
      <c r="A21" s="15" t="s">
        <v>579</v>
      </c>
      <c r="B21" s="17" t="n">
        <v>5741</v>
      </c>
      <c r="C21" s="18">
        <f>(5091.0/B21*100)</f>
        <v/>
      </c>
      <c r="D21" s="19" t="n">
        <v>650</v>
      </c>
      <c r="E21" s="18" t="n">
        <v>39.66388499</v>
      </c>
      <c r="F21" s="20" t="n">
        <v>1.9649031</v>
      </c>
      <c r="G21" s="18" t="n">
        <v>33.09415073</v>
      </c>
      <c r="H21" s="20" t="n">
        <v>1.90179734</v>
      </c>
      <c r="I21" s="18" t="n">
        <v>16.52570726</v>
      </c>
      <c r="J21" s="20" t="n">
        <v>1.5996193</v>
      </c>
      <c r="K21" s="18" t="n">
        <v>0</v>
      </c>
      <c r="L21" s="20" t="n">
        <v>0</v>
      </c>
      <c r="M21" s="18" t="n">
        <v>0.14418299</v>
      </c>
      <c r="N21" s="20" t="n">
        <v>0.16464558</v>
      </c>
      <c r="O21" s="18" t="n">
        <v>0</v>
      </c>
      <c r="P21" s="20" t="n">
        <v>0</v>
      </c>
      <c r="Q21" s="18" t="n">
        <v>0</v>
      </c>
      <c r="R21" s="20" t="n">
        <v>0</v>
      </c>
      <c r="S21" s="18" t="n">
        <v>10.57207403</v>
      </c>
      <c r="T21" s="20" t="n">
        <v>1.17700442</v>
      </c>
    </row>
    <row r="22" spans="1:20">
      <c r="A22" s="15" t="s">
        <v>580</v>
      </c>
      <c r="B22" s="17" t="n">
        <v>6598</v>
      </c>
      <c r="C22" s="18">
        <f>(5950.0/B22*100)</f>
        <v/>
      </c>
      <c r="D22" s="19" t="n">
        <v>648</v>
      </c>
      <c r="E22" s="18" t="n">
        <v>39.22711257</v>
      </c>
      <c r="F22" s="20" t="n">
        <v>1.68553395</v>
      </c>
      <c r="G22" s="18" t="n">
        <v>16.98654104</v>
      </c>
      <c r="H22" s="20" t="n">
        <v>1.57605116</v>
      </c>
      <c r="I22" s="18" t="n">
        <v>22.74944335</v>
      </c>
      <c r="J22" s="20" t="n">
        <v>1.86758066</v>
      </c>
      <c r="K22" s="18" t="n">
        <v>0</v>
      </c>
      <c r="L22" s="20" t="n">
        <v>0</v>
      </c>
      <c r="M22" s="18" t="n">
        <v>0.92147888</v>
      </c>
      <c r="N22" s="20" t="n">
        <v>0.38546248</v>
      </c>
      <c r="O22" s="18" t="n">
        <v>0</v>
      </c>
      <c r="P22" s="20" t="n">
        <v>0</v>
      </c>
      <c r="Q22" s="18" t="n">
        <v>0</v>
      </c>
      <c r="R22" s="20" t="n">
        <v>0</v>
      </c>
      <c r="S22" s="18" t="n">
        <v>20.11542417</v>
      </c>
      <c r="T22" s="20" t="n">
        <v>1.59572406</v>
      </c>
    </row>
    <row r="23" spans="1:20">
      <c r="A23" s="15" t="s">
        <v>581</v>
      </c>
      <c r="B23" s="17" t="n">
        <v>11583</v>
      </c>
      <c r="C23" s="18">
        <f>(10308.0/B23*100)</f>
        <v/>
      </c>
      <c r="D23" s="19" t="n">
        <v>1275</v>
      </c>
      <c r="E23" s="18" t="n">
        <v>48.53489677</v>
      </c>
      <c r="F23" s="20" t="n">
        <v>2.17672732</v>
      </c>
      <c r="G23" s="18" t="n">
        <v>15.95425789</v>
      </c>
      <c r="H23" s="20" t="n">
        <v>1.28744988</v>
      </c>
      <c r="I23" s="18" t="n">
        <v>8.259698719999999</v>
      </c>
      <c r="J23" s="20" t="n">
        <v>0.97289237</v>
      </c>
      <c r="K23" s="18" t="n">
        <v>0</v>
      </c>
      <c r="L23" s="20" t="n">
        <v>0</v>
      </c>
      <c r="M23" s="18" t="n">
        <v>1.14518491</v>
      </c>
      <c r="N23" s="20" t="n">
        <v>0.4804658</v>
      </c>
      <c r="O23" s="18" t="n">
        <v>0.00757864</v>
      </c>
      <c r="P23" s="20" t="n">
        <v>0.00590872</v>
      </c>
      <c r="Q23" s="18" t="n">
        <v>0</v>
      </c>
      <c r="R23" s="20" t="n">
        <v>0</v>
      </c>
      <c r="S23" s="18" t="n">
        <v>26.09838307</v>
      </c>
      <c r="T23" s="20" t="n">
        <v>2.01362493</v>
      </c>
    </row>
    <row r="24" spans="1:20">
      <c r="A24" s="15" t="s">
        <v>582</v>
      </c>
      <c r="B24" s="17" t="n">
        <v>6647</v>
      </c>
      <c r="C24" s="18">
        <f>(5915.0/B24*100)</f>
        <v/>
      </c>
      <c r="D24" s="19" t="n">
        <v>732</v>
      </c>
      <c r="E24" s="18" t="n">
        <v>34.13946218</v>
      </c>
      <c r="F24" s="20" t="n">
        <v>1.6984982</v>
      </c>
      <c r="G24" s="18" t="n">
        <v>25.2523381</v>
      </c>
      <c r="H24" s="20" t="n">
        <v>1.66767337</v>
      </c>
      <c r="I24" s="18" t="n">
        <v>22.29904706</v>
      </c>
      <c r="J24" s="20" t="n">
        <v>1.91171353</v>
      </c>
      <c r="K24" s="18" t="n">
        <v>0</v>
      </c>
      <c r="L24" s="20" t="n">
        <v>0</v>
      </c>
      <c r="M24" s="18" t="n">
        <v>0.12076715</v>
      </c>
      <c r="N24" s="20" t="n">
        <v>0.1206023</v>
      </c>
      <c r="O24" s="18" t="n">
        <v>0</v>
      </c>
      <c r="P24" s="20" t="n">
        <v>0</v>
      </c>
      <c r="Q24" s="18" t="n">
        <v>0</v>
      </c>
      <c r="R24" s="20" t="n">
        <v>0</v>
      </c>
      <c r="S24" s="18" t="n">
        <v>18.18838552</v>
      </c>
      <c r="T24" s="20" t="n">
        <v>1.63032717</v>
      </c>
    </row>
    <row r="25" spans="1:20">
      <c r="A25" s="15" t="s">
        <v>583</v>
      </c>
      <c r="B25" s="17" t="n">
        <v>5581</v>
      </c>
      <c r="C25" s="18">
        <f>(4957.0/B25*100)</f>
        <v/>
      </c>
      <c r="D25" s="19" t="n">
        <v>624</v>
      </c>
      <c r="E25" s="18" t="n">
        <v>65.85380676</v>
      </c>
      <c r="F25" s="20" t="n">
        <v>1.97830532</v>
      </c>
      <c r="G25" s="18" t="n">
        <v>10.32995148</v>
      </c>
      <c r="H25" s="20" t="n">
        <v>1.25032282</v>
      </c>
      <c r="I25" s="18" t="n">
        <v>7.8674053</v>
      </c>
      <c r="J25" s="20" t="n">
        <v>1.14338898</v>
      </c>
      <c r="K25" s="18" t="n">
        <v>0</v>
      </c>
      <c r="L25" s="20" t="n">
        <v>0</v>
      </c>
      <c r="M25" s="18" t="n">
        <v>1.10304407</v>
      </c>
      <c r="N25" s="20" t="n">
        <v>0.43958784</v>
      </c>
      <c r="O25" s="18" t="n">
        <v>0</v>
      </c>
      <c r="P25" s="20" t="n">
        <v>0</v>
      </c>
      <c r="Q25" s="18" t="n">
        <v>0</v>
      </c>
      <c r="R25" s="20" t="n">
        <v>0</v>
      </c>
      <c r="S25" s="18" t="n">
        <v>14.84579238</v>
      </c>
      <c r="T25" s="20" t="n">
        <v>1.50613861</v>
      </c>
    </row>
    <row r="26" spans="1:20">
      <c r="A26" s="15" t="s">
        <v>584</v>
      </c>
      <c r="B26" s="17" t="n">
        <v>4869</v>
      </c>
      <c r="C26" s="18">
        <f>(4342.0/B26*100)</f>
        <v/>
      </c>
      <c r="D26" s="19" t="n">
        <v>527</v>
      </c>
      <c r="E26" s="18" t="n">
        <v>53.3473411</v>
      </c>
      <c r="F26" s="20" t="n">
        <v>2.5343487</v>
      </c>
      <c r="G26" s="18" t="n">
        <v>25.27844423</v>
      </c>
      <c r="H26" s="20" t="n">
        <v>1.92317182</v>
      </c>
      <c r="I26" s="18" t="n">
        <v>9.35801687</v>
      </c>
      <c r="J26" s="20" t="n">
        <v>1.27989735</v>
      </c>
      <c r="K26" s="18" t="n">
        <v>0</v>
      </c>
      <c r="L26" s="20" t="n">
        <v>0</v>
      </c>
      <c r="M26" s="18" t="n">
        <v>0</v>
      </c>
      <c r="N26" s="20" t="n">
        <v>0</v>
      </c>
      <c r="O26" s="18" t="n">
        <v>0</v>
      </c>
      <c r="P26" s="20" t="n">
        <v>0</v>
      </c>
      <c r="Q26" s="18" t="n">
        <v>0</v>
      </c>
      <c r="R26" s="20" t="n">
        <v>0</v>
      </c>
      <c r="S26" s="18" t="n">
        <v>12.0161978</v>
      </c>
      <c r="T26" s="20" t="n">
        <v>1.5004507</v>
      </c>
    </row>
    <row r="27" spans="1:20">
      <c r="A27" s="15" t="s">
        <v>585</v>
      </c>
      <c r="B27" s="17" t="n">
        <v>5299</v>
      </c>
      <c r="C27" s="18">
        <f>(4737.0/B27*100)</f>
        <v/>
      </c>
      <c r="D27" s="19" t="n">
        <v>562</v>
      </c>
      <c r="E27" s="18" t="n">
        <v>40.31393331</v>
      </c>
      <c r="F27" s="20" t="n">
        <v>2.09489299</v>
      </c>
      <c r="G27" s="18" t="n">
        <v>18.12776015</v>
      </c>
      <c r="H27" s="20" t="n">
        <v>1.69801717</v>
      </c>
      <c r="I27" s="18" t="n">
        <v>14.19499276</v>
      </c>
      <c r="J27" s="20" t="n">
        <v>1.39129477</v>
      </c>
      <c r="K27" s="18" t="n">
        <v>0</v>
      </c>
      <c r="L27" s="20" t="n">
        <v>0</v>
      </c>
      <c r="M27" s="18" t="n">
        <v>0.74129843</v>
      </c>
      <c r="N27" s="20" t="n">
        <v>0.36096493</v>
      </c>
      <c r="O27" s="18" t="n">
        <v>0</v>
      </c>
      <c r="P27" s="20" t="n">
        <v>0</v>
      </c>
      <c r="Q27" s="18" t="n">
        <v>0</v>
      </c>
      <c r="R27" s="20" t="n">
        <v>0</v>
      </c>
      <c r="S27" s="18" t="n">
        <v>26.62201534</v>
      </c>
      <c r="T27" s="20" t="n">
        <v>2.08568331</v>
      </c>
    </row>
    <row r="28" spans="1:20">
      <c r="A28" s="15" t="s">
        <v>586</v>
      </c>
      <c r="B28" s="17" t="n">
        <v>7568</v>
      </c>
      <c r="C28" s="18">
        <f>(6825.0/B28*100)</f>
        <v/>
      </c>
      <c r="D28" s="19" t="n">
        <v>743</v>
      </c>
      <c r="E28" s="18" t="n">
        <v>79.87103024</v>
      </c>
      <c r="F28" s="20" t="n">
        <v>1.63491766</v>
      </c>
      <c r="G28" s="18" t="n">
        <v>8.91155275</v>
      </c>
      <c r="H28" s="20" t="n">
        <v>1.33359329</v>
      </c>
      <c r="I28" s="18" t="n">
        <v>2.51295144</v>
      </c>
      <c r="J28" s="20" t="n">
        <v>0.46049517</v>
      </c>
      <c r="K28" s="18" t="n">
        <v>0</v>
      </c>
      <c r="L28" s="20" t="n">
        <v>0</v>
      </c>
      <c r="M28" s="18" t="n">
        <v>1.16762064</v>
      </c>
      <c r="N28" s="20" t="n">
        <v>0.42014409</v>
      </c>
      <c r="O28" s="18" t="n">
        <v>0</v>
      </c>
      <c r="P28" s="20" t="n">
        <v>0</v>
      </c>
      <c r="Q28" s="18" t="n">
        <v>0</v>
      </c>
      <c r="R28" s="20" t="n">
        <v>0</v>
      </c>
      <c r="S28" s="18" t="n">
        <v>7.53684493</v>
      </c>
      <c r="T28" s="20" t="n">
        <v>1.07137229</v>
      </c>
    </row>
    <row r="29" spans="1:20">
      <c r="A29" s="15" t="s">
        <v>587</v>
      </c>
      <c r="B29" s="17" t="n">
        <v>5385</v>
      </c>
      <c r="C29" s="18">
        <f>(4782.0/B29*100)</f>
        <v/>
      </c>
      <c r="D29" s="19" t="n">
        <v>603</v>
      </c>
      <c r="E29" s="18" t="n">
        <v>50.75397348</v>
      </c>
      <c r="F29" s="20" t="n">
        <v>2.18219</v>
      </c>
      <c r="G29" s="18" t="n">
        <v>23.16422699</v>
      </c>
      <c r="H29" s="20" t="n">
        <v>1.92598335</v>
      </c>
      <c r="I29" s="18" t="n">
        <v>20.59804007</v>
      </c>
      <c r="J29" s="20" t="n">
        <v>1.50891719</v>
      </c>
      <c r="K29" s="18" t="n">
        <v>0</v>
      </c>
      <c r="L29" s="20" t="n">
        <v>0</v>
      </c>
      <c r="M29" s="18" t="n">
        <v>0.61748497</v>
      </c>
      <c r="N29" s="20" t="n">
        <v>0.29329334</v>
      </c>
      <c r="O29" s="18" t="n">
        <v>0</v>
      </c>
      <c r="P29" s="20" t="n">
        <v>0</v>
      </c>
      <c r="Q29" s="18" t="n">
        <v>0</v>
      </c>
      <c r="R29" s="20" t="n">
        <v>0</v>
      </c>
      <c r="S29" s="18" t="n">
        <v>4.86627448</v>
      </c>
      <c r="T29" s="20" t="n">
        <v>0.93658759</v>
      </c>
    </row>
    <row r="30" spans="1:20">
      <c r="A30" s="15" t="s">
        <v>588</v>
      </c>
      <c r="B30" s="17" t="n">
        <v>4520</v>
      </c>
      <c r="C30" s="18">
        <f>(4047.0/B30*100)</f>
        <v/>
      </c>
      <c r="D30" s="19" t="n">
        <v>473</v>
      </c>
      <c r="E30" s="18" t="n">
        <v>34.14029749</v>
      </c>
      <c r="F30" s="20" t="n">
        <v>2.27066397</v>
      </c>
      <c r="G30" s="18" t="n">
        <v>34.33204933</v>
      </c>
      <c r="H30" s="20" t="n">
        <v>2.24629265</v>
      </c>
      <c r="I30" s="18" t="n">
        <v>17.45828895</v>
      </c>
      <c r="J30" s="20" t="n">
        <v>1.92750168</v>
      </c>
      <c r="K30" s="18" t="n">
        <v>0</v>
      </c>
      <c r="L30" s="20" t="n">
        <v>0</v>
      </c>
      <c r="M30" s="18" t="n">
        <v>0.89895211</v>
      </c>
      <c r="N30" s="20" t="n">
        <v>0.42119933</v>
      </c>
      <c r="O30" s="18" t="n">
        <v>0</v>
      </c>
      <c r="P30" s="20" t="n">
        <v>0</v>
      </c>
      <c r="Q30" s="18" t="n">
        <v>0</v>
      </c>
      <c r="R30" s="20" t="n">
        <v>0</v>
      </c>
      <c r="S30" s="18" t="n">
        <v>13.17041213</v>
      </c>
      <c r="T30" s="20" t="n">
        <v>1.68824529</v>
      </c>
    </row>
    <row r="31" spans="1:20">
      <c r="A31" s="15" t="s">
        <v>589</v>
      </c>
      <c r="B31" s="17" t="n">
        <v>5456</v>
      </c>
      <c r="C31" s="18">
        <f>(4881.0/B31*100)</f>
        <v/>
      </c>
      <c r="D31" s="19" t="n">
        <v>575</v>
      </c>
      <c r="E31" s="18" t="n">
        <v>41.7944782</v>
      </c>
      <c r="F31" s="20" t="n">
        <v>1.856328</v>
      </c>
      <c r="G31" s="18" t="n">
        <v>19.39406167</v>
      </c>
      <c r="H31" s="20" t="n">
        <v>1.62704367</v>
      </c>
      <c r="I31" s="18" t="n">
        <v>21.68980953</v>
      </c>
      <c r="J31" s="20" t="n">
        <v>1.93973422</v>
      </c>
      <c r="K31" s="18" t="n">
        <v>0</v>
      </c>
      <c r="L31" s="20" t="n">
        <v>0</v>
      </c>
      <c r="M31" s="18" t="n">
        <v>1.49285915</v>
      </c>
      <c r="N31" s="20" t="n">
        <v>0.49466363</v>
      </c>
      <c r="O31" s="18" t="n">
        <v>0</v>
      </c>
      <c r="P31" s="20" t="n">
        <v>0</v>
      </c>
      <c r="Q31" s="18" t="n">
        <v>0</v>
      </c>
      <c r="R31" s="20" t="n">
        <v>0</v>
      </c>
      <c r="S31" s="18" t="n">
        <v>15.62879144</v>
      </c>
      <c r="T31" s="20" t="n">
        <v>1.46496752</v>
      </c>
    </row>
    <row r="32" spans="1:20">
      <c r="A32" s="15" t="s">
        <v>590</v>
      </c>
      <c r="B32" s="17" t="n">
        <v>4478</v>
      </c>
      <c r="C32" s="18">
        <f>(3995.0/B32*100)</f>
        <v/>
      </c>
      <c r="D32" s="19" t="n">
        <v>483</v>
      </c>
      <c r="E32" s="18" t="n">
        <v>49.35266337</v>
      </c>
      <c r="F32" s="20" t="n">
        <v>2.48378759</v>
      </c>
      <c r="G32" s="18" t="n">
        <v>16.07889853</v>
      </c>
      <c r="H32" s="20" t="n">
        <v>1.69581167</v>
      </c>
      <c r="I32" s="18" t="n">
        <v>14.06982001</v>
      </c>
      <c r="J32" s="20" t="n">
        <v>1.71345149</v>
      </c>
      <c r="K32" s="18" t="n">
        <v>0</v>
      </c>
      <c r="L32" s="20" t="n">
        <v>0</v>
      </c>
      <c r="M32" s="18" t="n">
        <v>0.40765714</v>
      </c>
      <c r="N32" s="20" t="n">
        <v>0.2773617</v>
      </c>
      <c r="O32" s="18" t="n">
        <v>0</v>
      </c>
      <c r="P32" s="20" t="n">
        <v>0</v>
      </c>
      <c r="Q32" s="18" t="n">
        <v>0</v>
      </c>
      <c r="R32" s="20" t="n">
        <v>0</v>
      </c>
      <c r="S32" s="18" t="n">
        <v>20.09096095</v>
      </c>
      <c r="T32" s="20" t="n">
        <v>1.93605976</v>
      </c>
    </row>
    <row r="33" spans="1:20">
      <c r="A33" s="15" t="s">
        <v>591</v>
      </c>
      <c r="B33" s="17" t="n">
        <v>7325</v>
      </c>
      <c r="C33" s="18">
        <f>(6568.0/B33*100)</f>
        <v/>
      </c>
      <c r="D33" s="19" t="n">
        <v>757</v>
      </c>
      <c r="E33" s="18" t="n">
        <v>49.40627443</v>
      </c>
      <c r="F33" s="20" t="n">
        <v>2.30123005</v>
      </c>
      <c r="G33" s="18" t="n">
        <v>22.70044007</v>
      </c>
      <c r="H33" s="20" t="n">
        <v>1.78085091</v>
      </c>
      <c r="I33" s="18" t="n">
        <v>9.588341590000001</v>
      </c>
      <c r="J33" s="20" t="n">
        <v>1.15521396</v>
      </c>
      <c r="K33" s="18" t="n">
        <v>0</v>
      </c>
      <c r="L33" s="20" t="n">
        <v>0</v>
      </c>
      <c r="M33" s="18" t="n">
        <v>0.27723101</v>
      </c>
      <c r="N33" s="20" t="n">
        <v>0.30936067</v>
      </c>
      <c r="O33" s="18" t="n">
        <v>0</v>
      </c>
      <c r="P33" s="20" t="n">
        <v>0</v>
      </c>
      <c r="Q33" s="18" t="n">
        <v>0</v>
      </c>
      <c r="R33" s="20" t="n">
        <v>0</v>
      </c>
      <c r="S33" s="18" t="n">
        <v>18.0277129</v>
      </c>
      <c r="T33" s="20" t="n">
        <v>1.72171626</v>
      </c>
    </row>
    <row r="34" spans="1:20">
      <c r="A34" s="15" t="s">
        <v>592</v>
      </c>
      <c r="B34" s="17" t="n">
        <v>6350</v>
      </c>
      <c r="C34" s="18">
        <f>(5692.0/B34*100)</f>
        <v/>
      </c>
      <c r="D34" s="19" t="n">
        <v>658</v>
      </c>
      <c r="E34" s="18" t="n">
        <v>52.73438364</v>
      </c>
      <c r="F34" s="20" t="n">
        <v>2.16183273</v>
      </c>
      <c r="G34" s="18" t="n">
        <v>12.16273744</v>
      </c>
      <c r="H34" s="20" t="n">
        <v>1.4919429</v>
      </c>
      <c r="I34" s="18" t="n">
        <v>8.372323209999999</v>
      </c>
      <c r="J34" s="20" t="n">
        <v>1.08252435</v>
      </c>
      <c r="K34" s="18" t="n">
        <v>0</v>
      </c>
      <c r="L34" s="20" t="n">
        <v>0</v>
      </c>
      <c r="M34" s="18" t="n">
        <v>0.20978223</v>
      </c>
      <c r="N34" s="20" t="n">
        <v>0.11702899</v>
      </c>
      <c r="O34" s="18" t="n">
        <v>0</v>
      </c>
      <c r="P34" s="20" t="n">
        <v>0</v>
      </c>
      <c r="Q34" s="18" t="n">
        <v>0</v>
      </c>
      <c r="R34" s="20" t="n">
        <v>0</v>
      </c>
      <c r="S34" s="18" t="n">
        <v>26.52077348</v>
      </c>
      <c r="T34" s="20" t="n">
        <v>1.87187479</v>
      </c>
    </row>
    <row r="35" spans="1:20">
      <c r="A35" s="15" t="s">
        <v>593</v>
      </c>
      <c r="B35" s="17" t="n">
        <v>6406</v>
      </c>
      <c r="C35" s="18">
        <f>(5686.0/B35*100)</f>
        <v/>
      </c>
      <c r="D35" s="19" t="n">
        <v>720</v>
      </c>
      <c r="E35" s="18" t="n">
        <v>48.98461433</v>
      </c>
      <c r="F35" s="20" t="n">
        <v>2.14552427</v>
      </c>
      <c r="G35" s="18" t="n">
        <v>18.93205306</v>
      </c>
      <c r="H35" s="20" t="n">
        <v>1.93747068</v>
      </c>
      <c r="I35" s="18" t="n">
        <v>13.33732995</v>
      </c>
      <c r="J35" s="20" t="n">
        <v>1.69115752</v>
      </c>
      <c r="K35" s="18" t="n">
        <v>0</v>
      </c>
      <c r="L35" s="20" t="n">
        <v>0</v>
      </c>
      <c r="M35" s="18" t="n">
        <v>0.12329691</v>
      </c>
      <c r="N35" s="20" t="n">
        <v>0.08891428</v>
      </c>
      <c r="O35" s="18" t="n">
        <v>0.23444818</v>
      </c>
      <c r="P35" s="20" t="n">
        <v>0.23578194</v>
      </c>
      <c r="Q35" s="18" t="n">
        <v>0</v>
      </c>
      <c r="R35" s="20" t="n">
        <v>0</v>
      </c>
      <c r="S35" s="18" t="n">
        <v>18.38825756</v>
      </c>
      <c r="T35" s="20" t="n">
        <v>1.42627266</v>
      </c>
    </row>
    <row r="36" spans="1:20">
      <c r="A36" s="15" t="s">
        <v>594</v>
      </c>
      <c r="B36" s="17" t="n">
        <v>6736</v>
      </c>
      <c r="C36" s="18">
        <f>(6011.0/B36*100)</f>
        <v/>
      </c>
      <c r="D36" s="19" t="n">
        <v>725</v>
      </c>
      <c r="E36" s="18" t="n">
        <v>50.42838949</v>
      </c>
      <c r="F36" s="20" t="n">
        <v>1.81302146</v>
      </c>
      <c r="G36" s="18" t="n">
        <v>17.74577055</v>
      </c>
      <c r="H36" s="20" t="n">
        <v>1.26664297</v>
      </c>
      <c r="I36" s="18" t="n">
        <v>12.59955135</v>
      </c>
      <c r="J36" s="20" t="n">
        <v>1.11251259</v>
      </c>
      <c r="K36" s="18" t="n">
        <v>0</v>
      </c>
      <c r="L36" s="20" t="n">
        <v>0</v>
      </c>
      <c r="M36" s="18" t="n">
        <v>0.84224511</v>
      </c>
      <c r="N36" s="20" t="n">
        <v>0.40815116</v>
      </c>
      <c r="O36" s="18" t="n">
        <v>0</v>
      </c>
      <c r="P36" s="20" t="n">
        <v>0</v>
      </c>
      <c r="Q36" s="18" t="n">
        <v>0</v>
      </c>
      <c r="R36" s="20" t="n">
        <v>0</v>
      </c>
      <c r="S36" s="18" t="n">
        <v>18.3840435</v>
      </c>
      <c r="T36" s="20" t="n">
        <v>1.90291858</v>
      </c>
    </row>
    <row r="37" spans="1:20">
      <c r="A37" s="15" t="s">
        <v>595</v>
      </c>
      <c r="B37" s="17" t="n">
        <v>5458</v>
      </c>
      <c r="C37" s="18">
        <f>(4897.0/B37*100)</f>
        <v/>
      </c>
      <c r="D37" s="19" t="n">
        <v>561</v>
      </c>
      <c r="E37" s="18" t="n">
        <v>44.99121538</v>
      </c>
      <c r="F37" s="20" t="n">
        <v>2.25140246</v>
      </c>
      <c r="G37" s="18" t="n">
        <v>21.5872268</v>
      </c>
      <c r="H37" s="20" t="n">
        <v>1.86715796</v>
      </c>
      <c r="I37" s="18" t="n">
        <v>10.6533081</v>
      </c>
      <c r="J37" s="20" t="n">
        <v>1.58278894</v>
      </c>
      <c r="K37" s="18" t="n">
        <v>0</v>
      </c>
      <c r="L37" s="20" t="n">
        <v>0</v>
      </c>
      <c r="M37" s="18" t="n">
        <v>0.81129042</v>
      </c>
      <c r="N37" s="20" t="n">
        <v>0.4194612</v>
      </c>
      <c r="O37" s="18" t="n">
        <v>0</v>
      </c>
      <c r="P37" s="20" t="n">
        <v>0</v>
      </c>
      <c r="Q37" s="18" t="n">
        <v>0</v>
      </c>
      <c r="R37" s="20" t="n">
        <v>0</v>
      </c>
      <c r="S37" s="18" t="n">
        <v>21.95695928</v>
      </c>
      <c r="T37" s="20" t="n">
        <v>1.92937082</v>
      </c>
    </row>
    <row r="38" spans="1:20">
      <c r="A38" s="15" t="s">
        <v>596</v>
      </c>
      <c r="B38" s="17" t="n">
        <v>5860</v>
      </c>
      <c r="C38" s="18">
        <f>(5235.0/B38*100)</f>
        <v/>
      </c>
      <c r="D38" s="19" t="n">
        <v>625</v>
      </c>
      <c r="E38" s="18" t="n">
        <v>43.15864741</v>
      </c>
      <c r="F38" s="20" t="n">
        <v>2.5218901</v>
      </c>
      <c r="G38" s="18" t="n">
        <v>18.15743031</v>
      </c>
      <c r="H38" s="20" t="n">
        <v>1.63458446</v>
      </c>
      <c r="I38" s="18" t="n">
        <v>18.62188604</v>
      </c>
      <c r="J38" s="20" t="n">
        <v>1.81809454</v>
      </c>
      <c r="K38" s="18" t="n">
        <v>0</v>
      </c>
      <c r="L38" s="20" t="n">
        <v>0</v>
      </c>
      <c r="M38" s="18" t="n">
        <v>0.66412972</v>
      </c>
      <c r="N38" s="20" t="n">
        <v>0.32734667</v>
      </c>
      <c r="O38" s="18" t="n">
        <v>3.67477125</v>
      </c>
      <c r="P38" s="20" t="n">
        <v>0.83888922</v>
      </c>
      <c r="Q38" s="18" t="n">
        <v>0</v>
      </c>
      <c r="R38" s="20" t="n">
        <v>0</v>
      </c>
      <c r="S38" s="18" t="n">
        <v>15.72313527</v>
      </c>
      <c r="T38" s="20" t="n">
        <v>1.85468812</v>
      </c>
    </row>
    <row r="39" spans="1:20">
      <c r="A39" s="15" t="s">
        <v>597</v>
      </c>
      <c r="B39" s="17" t="n">
        <v>5895</v>
      </c>
      <c r="C39" s="18">
        <f>(5252.0/B39*100)</f>
        <v/>
      </c>
      <c r="D39" s="19" t="n">
        <v>643</v>
      </c>
      <c r="E39" s="18" t="n">
        <v>62.49503061</v>
      </c>
      <c r="F39" s="20" t="n">
        <v>2.07724899</v>
      </c>
      <c r="G39" s="18" t="n">
        <v>14.51685455</v>
      </c>
      <c r="H39" s="20" t="n">
        <v>1.9939935</v>
      </c>
      <c r="I39" s="18" t="n">
        <v>1.31416155</v>
      </c>
      <c r="J39" s="20" t="n">
        <v>0.47699559</v>
      </c>
      <c r="K39" s="18" t="n">
        <v>0</v>
      </c>
      <c r="L39" s="20" t="n">
        <v>0</v>
      </c>
      <c r="M39" s="18" t="n">
        <v>0</v>
      </c>
      <c r="N39" s="20" t="n">
        <v>0</v>
      </c>
      <c r="O39" s="18" t="n">
        <v>0</v>
      </c>
      <c r="P39" s="20" t="n">
        <v>0</v>
      </c>
      <c r="Q39" s="18" t="n">
        <v>0</v>
      </c>
      <c r="R39" s="20" t="n">
        <v>0</v>
      </c>
      <c r="S39" s="18" t="n">
        <v>21.67395329</v>
      </c>
      <c r="T39" s="20" t="n">
        <v>1.58380799</v>
      </c>
    </row>
    <row r="40" spans="1:20">
      <c r="A40" s="15" t="s">
        <v>598</v>
      </c>
      <c r="B40" s="17" t="n">
        <v>14157</v>
      </c>
      <c r="C40" s="18">
        <f>(12616.0/B40*100)</f>
        <v/>
      </c>
      <c r="D40" s="19" t="n">
        <v>1541</v>
      </c>
      <c r="E40" s="18" t="n">
        <v>35.29675861</v>
      </c>
      <c r="F40" s="20" t="n">
        <v>1.95996342</v>
      </c>
      <c r="G40" s="18" t="n">
        <v>32.83026385</v>
      </c>
      <c r="H40" s="20" t="n">
        <v>2.00008045</v>
      </c>
      <c r="I40" s="18" t="n">
        <v>20.0380075</v>
      </c>
      <c r="J40" s="20" t="n">
        <v>1.84715437</v>
      </c>
      <c r="K40" s="18" t="n">
        <v>0</v>
      </c>
      <c r="L40" s="20" t="n">
        <v>0</v>
      </c>
      <c r="M40" s="18" t="n">
        <v>0.65141582</v>
      </c>
      <c r="N40" s="20" t="n">
        <v>0.29747613</v>
      </c>
      <c r="O40" s="18" t="n">
        <v>0.05069775</v>
      </c>
      <c r="P40" s="20" t="n">
        <v>0.04874388</v>
      </c>
      <c r="Q40" s="18" t="n">
        <v>0</v>
      </c>
      <c r="R40" s="20" t="n">
        <v>0</v>
      </c>
      <c r="S40" s="18" t="n">
        <v>11.13285648</v>
      </c>
      <c r="T40" s="20" t="n">
        <v>1.36159518</v>
      </c>
    </row>
    <row r="41" spans="1:20">
      <c r="A41" s="15" t="s">
        <v>599</v>
      </c>
      <c r="B41" s="17" t="n">
        <v>5712</v>
      </c>
      <c r="C41" s="18">
        <f>(5119.0/B41*100)</f>
        <v/>
      </c>
      <c r="D41" s="19" t="n">
        <v>593</v>
      </c>
      <c r="E41" s="18" t="n">
        <v>53.88298257</v>
      </c>
      <c r="F41" s="20" t="n">
        <v>2.12190563</v>
      </c>
      <c r="G41" s="18" t="n">
        <v>21.26662263</v>
      </c>
      <c r="H41" s="20" t="n">
        <v>1.92778589</v>
      </c>
      <c r="I41" s="18" t="n">
        <v>19.18596189</v>
      </c>
      <c r="J41" s="20" t="n">
        <v>1.86492186</v>
      </c>
      <c r="K41" s="18" t="n">
        <v>0</v>
      </c>
      <c r="L41" s="20" t="n">
        <v>0</v>
      </c>
      <c r="M41" s="18" t="n">
        <v>0.44633406</v>
      </c>
      <c r="N41" s="20" t="n">
        <v>0.28529104</v>
      </c>
      <c r="O41" s="18" t="n">
        <v>0</v>
      </c>
      <c r="P41" s="20" t="n">
        <v>0</v>
      </c>
      <c r="Q41" s="18" t="n">
        <v>0</v>
      </c>
      <c r="R41" s="20" t="n">
        <v>0</v>
      </c>
      <c r="S41" s="18" t="n">
        <v>5.21809885</v>
      </c>
      <c r="T41" s="20" t="n">
        <v>1.09064717</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(21340.0/B46*100)</f>
        <v/>
      </c>
      <c r="D46" s="19" t="n">
        <v>1801</v>
      </c>
      <c r="E46" s="18" t="n">
        <v>65.19524122</v>
      </c>
      <c r="F46" s="20" t="n">
        <v>1.58041769</v>
      </c>
      <c r="G46" s="18" t="n">
        <v>6.05314754</v>
      </c>
      <c r="H46" s="20" t="n">
        <v>0.84735634</v>
      </c>
      <c r="I46" s="18" t="n">
        <v>2.31277617</v>
      </c>
      <c r="J46" s="20" t="n">
        <v>0.49714308</v>
      </c>
      <c r="K46" s="18" t="n">
        <v>0</v>
      </c>
      <c r="L46" s="20" t="n">
        <v>0</v>
      </c>
      <c r="M46" s="18" t="n">
        <v>2.48895895</v>
      </c>
      <c r="N46" s="20" t="n">
        <v>0.51120888</v>
      </c>
      <c r="O46" s="18" t="n">
        <v>0.1891822</v>
      </c>
      <c r="P46" s="20" t="n">
        <v>0.13015328</v>
      </c>
      <c r="Q46" s="18" t="n">
        <v>0</v>
      </c>
      <c r="R46" s="20" t="n">
        <v>0</v>
      </c>
      <c r="S46" s="18" t="n">
        <v>23.76069391</v>
      </c>
      <c r="T46" s="20" t="n">
        <v>1.59854181</v>
      </c>
    </row>
    <row r="47" spans="1:20">
      <c r="A47" s="15" t="s">
        <v>606</v>
      </c>
      <c r="B47" s="17" t="n">
        <v>5928</v>
      </c>
      <c r="C47" s="18">
        <f>(5301.0/B47*100)</f>
        <v/>
      </c>
      <c r="D47" s="19" t="n">
        <v>627</v>
      </c>
      <c r="E47" s="18" t="n">
        <v>47.15735291</v>
      </c>
      <c r="F47" s="20" t="n">
        <v>2.08113264</v>
      </c>
      <c r="G47" s="18" t="n">
        <v>9.147398620000001</v>
      </c>
      <c r="H47" s="20" t="n">
        <v>1.24008433</v>
      </c>
      <c r="I47" s="18" t="n">
        <v>5.53016976</v>
      </c>
      <c r="J47" s="20" t="n">
        <v>0.7616741299999999</v>
      </c>
      <c r="K47" s="18" t="n">
        <v>0</v>
      </c>
      <c r="L47" s="20" t="n">
        <v>0</v>
      </c>
      <c r="M47" s="18" t="n">
        <v>1.71293685</v>
      </c>
      <c r="N47" s="20" t="n">
        <v>0.64323372</v>
      </c>
      <c r="O47" s="18" t="n">
        <v>0.16494081</v>
      </c>
      <c r="P47" s="20" t="n">
        <v>0.15649708</v>
      </c>
      <c r="Q47" s="18" t="n">
        <v>0</v>
      </c>
      <c r="R47" s="20" t="n">
        <v>0</v>
      </c>
      <c r="S47" s="18" t="n">
        <v>36.28720105</v>
      </c>
      <c r="T47" s="20" t="n">
        <v>2.20221505</v>
      </c>
    </row>
    <row r="48" spans="1:20">
      <c r="A48" s="15" t="s">
        <v>607</v>
      </c>
      <c r="B48" s="17" t="n">
        <v>9841</v>
      </c>
      <c r="C48" s="18">
        <f>(8791.0/B48*100)</f>
        <v/>
      </c>
      <c r="D48" s="19" t="n">
        <v>1050</v>
      </c>
      <c r="E48" s="18" t="n">
        <v>44.45527292</v>
      </c>
      <c r="F48" s="20" t="n">
        <v>1.85134234</v>
      </c>
      <c r="G48" s="18" t="n">
        <v>15.44253441</v>
      </c>
      <c r="H48" s="20" t="n">
        <v>1.76625921</v>
      </c>
      <c r="I48" s="18" t="n">
        <v>23.36470618</v>
      </c>
      <c r="J48" s="20" t="n">
        <v>1.67584733</v>
      </c>
      <c r="K48" s="18" t="n">
        <v>0</v>
      </c>
      <c r="L48" s="20" t="n">
        <v>0</v>
      </c>
      <c r="M48" s="18" t="n">
        <v>1.03153527</v>
      </c>
      <c r="N48" s="20" t="n">
        <v>0.61428078</v>
      </c>
      <c r="O48" s="18" t="n">
        <v>0.00833945</v>
      </c>
      <c r="P48" s="20" t="n">
        <v>0.0081455</v>
      </c>
      <c r="Q48" s="18" t="n">
        <v>0</v>
      </c>
      <c r="R48" s="20" t="n">
        <v>0</v>
      </c>
      <c r="S48" s="18" t="n">
        <v>15.69761178</v>
      </c>
      <c r="T48" s="20" t="n">
        <v>1.65935147</v>
      </c>
    </row>
    <row r="49" spans="1:20">
      <c r="A49" s="15" t="s">
        <v>608</v>
      </c>
      <c r="B49" s="17" t="n">
        <v>11795</v>
      </c>
      <c r="C49" s="18">
        <f>(10569.0/B49*100)</f>
        <v/>
      </c>
      <c r="D49" s="19" t="n">
        <v>1226</v>
      </c>
      <c r="E49" s="18" t="n">
        <v>71.66077788</v>
      </c>
      <c r="F49" s="20" t="n">
        <v>1.61754503</v>
      </c>
      <c r="G49" s="18" t="n">
        <v>11.45796334</v>
      </c>
      <c r="H49" s="20" t="n">
        <v>1.10419631</v>
      </c>
      <c r="I49" s="18" t="n">
        <v>4.36421149</v>
      </c>
      <c r="J49" s="20" t="n">
        <v>0.7339867</v>
      </c>
      <c r="K49" s="18" t="n">
        <v>0</v>
      </c>
      <c r="L49" s="20" t="n">
        <v>0</v>
      </c>
      <c r="M49" s="18" t="n">
        <v>3.37566235</v>
      </c>
      <c r="N49" s="20" t="n">
        <v>0.85833514</v>
      </c>
      <c r="O49" s="18" t="n">
        <v>0.11496765</v>
      </c>
      <c r="P49" s="20" t="n">
        <v>0.06503771999999999</v>
      </c>
      <c r="Q49" s="18" t="n">
        <v>0</v>
      </c>
      <c r="R49" s="20" t="n">
        <v>0</v>
      </c>
      <c r="S49" s="18" t="n">
        <v>9.0264173</v>
      </c>
      <c r="T49" s="20" t="n">
        <v>1.01768347</v>
      </c>
    </row>
    <row r="50" spans="1:20">
      <c r="A50" s="15" t="s">
        <v>609</v>
      </c>
      <c r="B50" s="17" t="n">
        <v>6866</v>
      </c>
      <c r="C50" s="18">
        <f>(6236.0/B50*100)</f>
        <v/>
      </c>
      <c r="D50" s="19" t="n">
        <v>630</v>
      </c>
      <c r="E50" s="18" t="n">
        <v>62.31673597</v>
      </c>
      <c r="F50" s="20" t="n">
        <v>1.9915697</v>
      </c>
      <c r="G50" s="18" t="n">
        <v>18.67379302</v>
      </c>
      <c r="H50" s="20" t="n">
        <v>1.64981055</v>
      </c>
      <c r="I50" s="18" t="n">
        <v>3.46837998</v>
      </c>
      <c r="J50" s="20" t="n">
        <v>0.83619359</v>
      </c>
      <c r="K50" s="18" t="n">
        <v>0</v>
      </c>
      <c r="L50" s="20" t="n">
        <v>0</v>
      </c>
      <c r="M50" s="18" t="n">
        <v>0.4767908</v>
      </c>
      <c r="N50" s="20" t="n">
        <v>0.28693582</v>
      </c>
      <c r="O50" s="18" t="n">
        <v>0.34812848</v>
      </c>
      <c r="P50" s="20" t="n">
        <v>0.33913202</v>
      </c>
      <c r="Q50" s="18" t="n">
        <v>0</v>
      </c>
      <c r="R50" s="20" t="n">
        <v>0</v>
      </c>
      <c r="S50" s="18" t="n">
        <v>14.71617175</v>
      </c>
      <c r="T50" s="20" t="n">
        <v>1.45899978</v>
      </c>
    </row>
    <row r="51" spans="1:20">
      <c r="A51" s="15" t="s">
        <v>610</v>
      </c>
      <c r="B51" s="17" t="n">
        <v>5809</v>
      </c>
      <c r="C51" s="18">
        <f>(5182.0/B51*100)</f>
        <v/>
      </c>
      <c r="D51" s="19" t="n">
        <v>627</v>
      </c>
      <c r="E51" s="18" t="n">
        <v>48.91785646</v>
      </c>
      <c r="F51" s="20" t="n">
        <v>1.90193241</v>
      </c>
      <c r="G51" s="18" t="n">
        <v>17.74494119</v>
      </c>
      <c r="H51" s="20" t="n">
        <v>1.58353015</v>
      </c>
      <c r="I51" s="18" t="n">
        <v>7.33811494</v>
      </c>
      <c r="J51" s="20" t="n">
        <v>1.08427422</v>
      </c>
      <c r="K51" s="18" t="n">
        <v>0</v>
      </c>
      <c r="L51" s="20" t="n">
        <v>0</v>
      </c>
      <c r="M51" s="18" t="n">
        <v>0.34253128</v>
      </c>
      <c r="N51" s="20" t="n">
        <v>0.23456682</v>
      </c>
      <c r="O51" s="18" t="n">
        <v>0</v>
      </c>
      <c r="P51" s="20" t="n">
        <v>0</v>
      </c>
      <c r="Q51" s="18" t="n">
        <v>0</v>
      </c>
      <c r="R51" s="20" t="n">
        <v>0</v>
      </c>
      <c r="S51" s="18" t="n">
        <v>25.65655613</v>
      </c>
      <c r="T51" s="20" t="n">
        <v>1.7834316</v>
      </c>
    </row>
    <row r="52" spans="1:20">
      <c r="A52" s="15" t="s">
        <v>611</v>
      </c>
      <c r="B52" s="17" t="n">
        <v>5571</v>
      </c>
      <c r="C52" s="18">
        <f>(4966.0/B52*100)</f>
        <v/>
      </c>
      <c r="D52" s="19" t="n">
        <v>605</v>
      </c>
      <c r="E52" s="18" t="n">
        <v>48.69054392</v>
      </c>
      <c r="F52" s="20" t="n">
        <v>2.28333615</v>
      </c>
      <c r="G52" s="18" t="n">
        <v>17.23236854</v>
      </c>
      <c r="H52" s="20" t="n">
        <v>1.59206895</v>
      </c>
      <c r="I52" s="18" t="n">
        <v>8.224691119999999</v>
      </c>
      <c r="J52" s="20" t="n">
        <v>1.08021855</v>
      </c>
      <c r="K52" s="18" t="n">
        <v>0</v>
      </c>
      <c r="L52" s="20" t="n">
        <v>0</v>
      </c>
      <c r="M52" s="18" t="n">
        <v>1.08788127</v>
      </c>
      <c r="N52" s="20" t="n">
        <v>0.36245699</v>
      </c>
      <c r="O52" s="18" t="n">
        <v>0.22795954</v>
      </c>
      <c r="P52" s="20" t="n">
        <v>0.22947975</v>
      </c>
      <c r="Q52" s="18" t="n">
        <v>0</v>
      </c>
      <c r="R52" s="20" t="n">
        <v>0</v>
      </c>
      <c r="S52" s="18" t="n">
        <v>24.5365556</v>
      </c>
      <c r="T52" s="20" t="n">
        <v>1.76668671</v>
      </c>
    </row>
    <row r="53" spans="1:20">
      <c r="A53" s="15" t="s">
        <v>612</v>
      </c>
      <c r="B53" s="17" t="n">
        <v>4740</v>
      </c>
      <c r="C53" s="18">
        <f>(4205.0/B53*100)</f>
        <v/>
      </c>
      <c r="D53" s="19" t="n">
        <v>535</v>
      </c>
      <c r="E53" s="18" t="n">
        <v>49.15894297</v>
      </c>
      <c r="F53" s="20" t="n">
        <v>2.28537869</v>
      </c>
      <c r="G53" s="18" t="n">
        <v>1.88183024</v>
      </c>
      <c r="H53" s="20" t="n">
        <v>0.71622052</v>
      </c>
      <c r="I53" s="18" t="n">
        <v>1.12492368</v>
      </c>
      <c r="J53" s="20" t="n">
        <v>0.46882341</v>
      </c>
      <c r="K53" s="18" t="n">
        <v>0</v>
      </c>
      <c r="L53" s="20" t="n">
        <v>0</v>
      </c>
      <c r="M53" s="18" t="n">
        <v>23.04886281</v>
      </c>
      <c r="N53" s="20" t="n">
        <v>1.86537133</v>
      </c>
      <c r="O53" s="18" t="n">
        <v>0.57016733</v>
      </c>
      <c r="P53" s="20" t="n">
        <v>0.44028015</v>
      </c>
      <c r="Q53" s="18" t="n">
        <v>0</v>
      </c>
      <c r="R53" s="20" t="n">
        <v>0</v>
      </c>
      <c r="S53" s="18" t="n">
        <v>24.21527296</v>
      </c>
      <c r="T53" s="20" t="n">
        <v>2.07340086</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(4790.0/B55*100)</f>
        <v/>
      </c>
      <c r="D55" s="19" t="n">
        <v>569</v>
      </c>
      <c r="E55" s="18" t="n">
        <v>37.91381757</v>
      </c>
      <c r="F55" s="20" t="n">
        <v>2.37582415</v>
      </c>
      <c r="G55" s="18" t="n">
        <v>31.09341143</v>
      </c>
      <c r="H55" s="20" t="n">
        <v>1.91159692</v>
      </c>
      <c r="I55" s="18" t="n">
        <v>19.30856678</v>
      </c>
      <c r="J55" s="20" t="n">
        <v>1.91525501</v>
      </c>
      <c r="K55" s="18" t="n">
        <v>0</v>
      </c>
      <c r="L55" s="20" t="n">
        <v>0</v>
      </c>
      <c r="M55" s="18" t="n">
        <v>0.35068543</v>
      </c>
      <c r="N55" s="20" t="n">
        <v>0.25309964</v>
      </c>
      <c r="O55" s="18" t="n">
        <v>0</v>
      </c>
      <c r="P55" s="20" t="n">
        <v>0</v>
      </c>
      <c r="Q55" s="18" t="n">
        <v>0</v>
      </c>
      <c r="R55" s="20" t="n">
        <v>0</v>
      </c>
      <c r="S55" s="18" t="n">
        <v>11.33351878</v>
      </c>
      <c r="T55" s="20" t="n">
        <v>1.32931956</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(5824.0/B61*100)</f>
        <v/>
      </c>
      <c r="D61" s="19" t="n">
        <v>701</v>
      </c>
      <c r="E61" s="18" t="n">
        <v>54.64162279</v>
      </c>
      <c r="F61" s="20" t="n">
        <v>2.25165554</v>
      </c>
      <c r="G61" s="18" t="n">
        <v>18.52894205</v>
      </c>
      <c r="H61" s="20" t="n">
        <v>1.85965418</v>
      </c>
      <c r="I61" s="18" t="n">
        <v>9.474341069999999</v>
      </c>
      <c r="J61" s="20" t="n">
        <v>1.18568601</v>
      </c>
      <c r="K61" s="18" t="n">
        <v>0</v>
      </c>
      <c r="L61" s="20" t="n">
        <v>0</v>
      </c>
      <c r="M61" s="18" t="n">
        <v>0.37011867</v>
      </c>
      <c r="N61" s="20" t="n">
        <v>0.21250126</v>
      </c>
      <c r="O61" s="18" t="n">
        <v>0</v>
      </c>
      <c r="P61" s="20" t="n">
        <v>0</v>
      </c>
      <c r="Q61" s="18" t="n">
        <v>0</v>
      </c>
      <c r="R61" s="20" t="n">
        <v>0</v>
      </c>
      <c r="S61" s="18" t="n">
        <v>16.98497542</v>
      </c>
      <c r="T61" s="20" t="n">
        <v>1.36540077</v>
      </c>
    </row>
    <row r="62" spans="1:20">
      <c r="A62" s="15" t="s">
        <v>622</v>
      </c>
      <c r="B62" s="17" t="n">
        <v>4476</v>
      </c>
      <c r="C62" s="18">
        <f>(4019.0/B62*100)</f>
        <v/>
      </c>
      <c r="D62" s="19" t="n">
        <v>457</v>
      </c>
      <c r="E62" s="18" t="n">
        <v>57.9715168</v>
      </c>
      <c r="F62" s="20" t="n">
        <v>2.1284527</v>
      </c>
      <c r="G62" s="18" t="n">
        <v>17.07321752</v>
      </c>
      <c r="H62" s="20" t="n">
        <v>1.92284339</v>
      </c>
      <c r="I62" s="18" t="n">
        <v>16.19022627</v>
      </c>
      <c r="J62" s="20" t="n">
        <v>1.73427507</v>
      </c>
      <c r="K62" s="18" t="n">
        <v>0</v>
      </c>
      <c r="L62" s="20" t="n">
        <v>0</v>
      </c>
      <c r="M62" s="18" t="n">
        <v>0</v>
      </c>
      <c r="N62" s="20" t="n">
        <v>0</v>
      </c>
      <c r="O62" s="18" t="n">
        <v>0</v>
      </c>
      <c r="P62" s="20" t="n">
        <v>0</v>
      </c>
      <c r="Q62" s="18" t="n">
        <v>0</v>
      </c>
      <c r="R62" s="20" t="n">
        <v>0</v>
      </c>
      <c r="S62" s="18" t="n">
        <v>8.76503941</v>
      </c>
      <c r="T62" s="20" t="n">
        <v>1.15178767</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(5073.0/B67*100)</f>
        <v/>
      </c>
      <c r="D67" s="19" t="n">
        <v>592</v>
      </c>
      <c r="E67" s="18" t="n">
        <v>27.23881608</v>
      </c>
      <c r="F67" s="20" t="n">
        <v>1.92406101</v>
      </c>
      <c r="G67" s="18" t="n">
        <v>19.54867964</v>
      </c>
      <c r="H67" s="20" t="n">
        <v>1.71827373</v>
      </c>
      <c r="I67" s="18" t="n">
        <v>7.72772775</v>
      </c>
      <c r="J67" s="20" t="n">
        <v>1.17763214</v>
      </c>
      <c r="K67" s="18" t="n">
        <v>0</v>
      </c>
      <c r="L67" s="20" t="n">
        <v>0</v>
      </c>
      <c r="M67" s="18" t="n">
        <v>0.7594199700000001</v>
      </c>
      <c r="N67" s="20" t="n">
        <v>0.34044543</v>
      </c>
      <c r="O67" s="18" t="n">
        <v>0.47147556</v>
      </c>
      <c r="P67" s="20" t="n">
        <v>0.26854614</v>
      </c>
      <c r="Q67" s="18" t="n">
        <v>0</v>
      </c>
      <c r="R67" s="20" t="n">
        <v>0</v>
      </c>
      <c r="S67" s="18" t="n">
        <v>44.253881</v>
      </c>
      <c r="T67" s="20" t="n">
        <v>1.92042955</v>
      </c>
    </row>
    <row r="68" spans="1:20">
      <c r="A68" s="15" t="s">
        <v>628</v>
      </c>
      <c r="B68" s="17" t="n">
        <v>6971</v>
      </c>
      <c r="C68" s="18">
        <f>(6337.0/B68*100)</f>
        <v/>
      </c>
      <c r="D68" s="19" t="n">
        <v>634</v>
      </c>
      <c r="E68" s="18" t="n">
        <v>78.41586963</v>
      </c>
      <c r="F68" s="20" t="n">
        <v>1.7398552</v>
      </c>
      <c r="G68" s="18" t="n">
        <v>2.78443902</v>
      </c>
      <c r="H68" s="20" t="n">
        <v>0.74240923</v>
      </c>
      <c r="I68" s="18" t="n">
        <v>2.36800128</v>
      </c>
      <c r="J68" s="20" t="n">
        <v>0.57399619</v>
      </c>
      <c r="K68" s="18" t="n">
        <v>0</v>
      </c>
      <c r="L68" s="20" t="n">
        <v>0</v>
      </c>
      <c r="M68" s="18" t="n">
        <v>0.60187922</v>
      </c>
      <c r="N68" s="20" t="n">
        <v>0.30849539</v>
      </c>
      <c r="O68" s="18" t="n">
        <v>0.28030276</v>
      </c>
      <c r="P68" s="20" t="n">
        <v>0.25538519</v>
      </c>
      <c r="Q68" s="18" t="n">
        <v>0</v>
      </c>
      <c r="R68" s="20" t="n">
        <v>0</v>
      </c>
      <c r="S68" s="18" t="n">
        <v>15.54950809</v>
      </c>
      <c r="T68" s="20" t="n">
        <v>1.29448936</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(10729.0/B70*100)</f>
        <v/>
      </c>
      <c r="D70" s="19" t="n">
        <v>1354</v>
      </c>
      <c r="E70" s="18" t="n">
        <v>49.8350156</v>
      </c>
      <c r="F70" s="20" t="n">
        <v>1.23743193</v>
      </c>
      <c r="G70" s="18" t="n">
        <v>11.90849646</v>
      </c>
      <c r="H70" s="20" t="n">
        <v>0.82037796</v>
      </c>
      <c r="I70" s="18" t="n">
        <v>10.54813538</v>
      </c>
      <c r="J70" s="20" t="n">
        <v>0.7504819700000001</v>
      </c>
      <c r="K70" s="18" t="n">
        <v>0</v>
      </c>
      <c r="L70" s="20" t="n">
        <v>0</v>
      </c>
      <c r="M70" s="18" t="n">
        <v>4.2851554</v>
      </c>
      <c r="N70" s="20" t="n">
        <v>0.48210549</v>
      </c>
      <c r="O70" s="18" t="n">
        <v>0.14060092</v>
      </c>
      <c r="P70" s="20" t="n">
        <v>0.09981292</v>
      </c>
      <c r="Q70" s="18" t="n">
        <v>0</v>
      </c>
      <c r="R70" s="20" t="n">
        <v>0</v>
      </c>
      <c r="S70" s="18" t="n">
        <v>23.28259624</v>
      </c>
      <c r="T70" s="20" t="n">
        <v>1.16812182</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(5433.0/B72*100)</f>
        <v/>
      </c>
      <c r="D72" s="19" t="n">
        <v>603</v>
      </c>
      <c r="E72" s="18" t="n">
        <v>48.77825927</v>
      </c>
      <c r="F72" s="20" t="n">
        <v>2.42481724</v>
      </c>
      <c r="G72" s="18" t="n">
        <v>12.9001839</v>
      </c>
      <c r="H72" s="20" t="n">
        <v>1.57054979</v>
      </c>
      <c r="I72" s="18" t="n">
        <v>16.37871047</v>
      </c>
      <c r="J72" s="20" t="n">
        <v>2.04103427</v>
      </c>
      <c r="K72" s="18" t="n">
        <v>0</v>
      </c>
      <c r="L72" s="20" t="n">
        <v>0</v>
      </c>
      <c r="M72" s="18" t="n">
        <v>0.795698</v>
      </c>
      <c r="N72" s="20" t="n">
        <v>0.44249098</v>
      </c>
      <c r="O72" s="18" t="n">
        <v>0</v>
      </c>
      <c r="P72" s="20" t="n">
        <v>0</v>
      </c>
      <c r="Q72" s="18" t="n">
        <v>0</v>
      </c>
      <c r="R72" s="20" t="n">
        <v>0</v>
      </c>
      <c r="S72" s="18" t="n">
        <v>21.14714836</v>
      </c>
      <c r="T72" s="20" t="n">
        <v>1.950552</v>
      </c>
    </row>
    <row r="73" spans="1:20">
      <c r="A73" s="15" t="s">
        <v>633</v>
      </c>
      <c r="B73" s="17" t="n">
        <v>6115</v>
      </c>
      <c r="C73" s="18">
        <f>(5432.0/B73*100)</f>
        <v/>
      </c>
      <c r="D73" s="19" t="n">
        <v>683</v>
      </c>
      <c r="E73" s="18" t="n">
        <v>32.44632134</v>
      </c>
      <c r="F73" s="20" t="n">
        <v>1.6994485</v>
      </c>
      <c r="G73" s="18" t="n">
        <v>29.23520278</v>
      </c>
      <c r="H73" s="20" t="n">
        <v>1.85423475</v>
      </c>
      <c r="I73" s="18" t="n">
        <v>32.2126444</v>
      </c>
      <c r="J73" s="20" t="n">
        <v>1.80503363</v>
      </c>
      <c r="K73" s="18" t="n">
        <v>0</v>
      </c>
      <c r="L73" s="20" t="n">
        <v>0</v>
      </c>
      <c r="M73" s="18" t="n">
        <v>0.23559682</v>
      </c>
      <c r="N73" s="20" t="n">
        <v>0.22538863</v>
      </c>
      <c r="O73" s="18" t="n">
        <v>0</v>
      </c>
      <c r="P73" s="20" t="n">
        <v>0</v>
      </c>
      <c r="Q73" s="18" t="n">
        <v>0</v>
      </c>
      <c r="R73" s="20" t="n">
        <v>0</v>
      </c>
      <c r="S73" s="18" t="n">
        <v>5.87023466</v>
      </c>
      <c r="T73" s="20" t="n">
        <v>0.91401473</v>
      </c>
    </row>
    <row r="74" spans="1:20">
      <c r="A74" s="15" t="s">
        <v>634</v>
      </c>
      <c r="B74" s="17" t="n">
        <v>7708</v>
      </c>
      <c r="C74" s="18">
        <f>(6867.0/B74*100)</f>
        <v/>
      </c>
      <c r="D74" s="19" t="n">
        <v>841</v>
      </c>
      <c r="E74" s="18" t="n">
        <v>45.06645125</v>
      </c>
      <c r="F74" s="20" t="n">
        <v>1.79708448</v>
      </c>
      <c r="G74" s="18" t="n">
        <v>25.06488025</v>
      </c>
      <c r="H74" s="20" t="n">
        <v>1.41755174</v>
      </c>
      <c r="I74" s="18" t="n">
        <v>18.71418122</v>
      </c>
      <c r="J74" s="20" t="n">
        <v>1.42446679</v>
      </c>
      <c r="K74" s="18" t="n">
        <v>0</v>
      </c>
      <c r="L74" s="20" t="n">
        <v>0</v>
      </c>
      <c r="M74" s="18" t="n">
        <v>0.1572312</v>
      </c>
      <c r="N74" s="20" t="n">
        <v>0.15779976</v>
      </c>
      <c r="O74" s="18" t="n">
        <v>0</v>
      </c>
      <c r="P74" s="20" t="n">
        <v>0</v>
      </c>
      <c r="Q74" s="18" t="n">
        <v>0</v>
      </c>
      <c r="R74" s="20" t="n">
        <v>0</v>
      </c>
      <c r="S74" s="18" t="n">
        <v>10.99725609</v>
      </c>
      <c r="T74" s="20" t="n">
        <v>1.11628524</v>
      </c>
    </row>
    <row r="75" spans="1:20">
      <c r="A75" s="15" t="s">
        <v>635</v>
      </c>
      <c r="B75" s="17" t="n">
        <v>8249</v>
      </c>
      <c r="C75" s="18">
        <f>(7418.0/B75*100)</f>
        <v/>
      </c>
      <c r="D75" s="19" t="n">
        <v>831</v>
      </c>
      <c r="E75" s="18" t="n">
        <v>77.77886816</v>
      </c>
      <c r="F75" s="20" t="n">
        <v>1.90243755</v>
      </c>
      <c r="G75" s="18" t="n">
        <v>10.34159424</v>
      </c>
      <c r="H75" s="20" t="n">
        <v>1.43767778</v>
      </c>
      <c r="I75" s="18" t="n">
        <v>7.97942703</v>
      </c>
      <c r="J75" s="20" t="n">
        <v>1.18775921</v>
      </c>
      <c r="K75" s="18" t="n">
        <v>0</v>
      </c>
      <c r="L75" s="20" t="n">
        <v>0</v>
      </c>
      <c r="M75" s="18" t="n">
        <v>0</v>
      </c>
      <c r="N75" s="20" t="n">
        <v>0</v>
      </c>
      <c r="O75" s="18" t="n">
        <v>0</v>
      </c>
      <c r="P75" s="20" t="n">
        <v>0</v>
      </c>
      <c r="Q75" s="18" t="n">
        <v>0</v>
      </c>
      <c r="R75" s="20" t="n">
        <v>0</v>
      </c>
      <c r="S75" s="18" t="n">
        <v>3.90011057</v>
      </c>
      <c r="T75" s="20" t="n">
        <v>0.87827881</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(4862.0/B77*100)</f>
        <v/>
      </c>
      <c r="D77" s="19" t="n">
        <v>513</v>
      </c>
      <c r="E77" s="18" t="n">
        <v>45.44128922</v>
      </c>
      <c r="F77" s="20" t="n">
        <v>2.87754796</v>
      </c>
      <c r="G77" s="18" t="n">
        <v>3.08309354</v>
      </c>
      <c r="H77" s="20" t="n">
        <v>0.9086713</v>
      </c>
      <c r="I77" s="18" t="n">
        <v>2.14868316</v>
      </c>
      <c r="J77" s="20" t="n">
        <v>0.6052602500000001</v>
      </c>
      <c r="K77" s="18" t="n">
        <v>0</v>
      </c>
      <c r="L77" s="20" t="n">
        <v>0</v>
      </c>
      <c r="M77" s="18" t="n">
        <v>6.08998921</v>
      </c>
      <c r="N77" s="20" t="n">
        <v>1.12598693</v>
      </c>
      <c r="O77" s="18" t="n">
        <v>0.63624565</v>
      </c>
      <c r="P77" s="20" t="n">
        <v>0.35435096</v>
      </c>
      <c r="Q77" s="18" t="n">
        <v>0</v>
      </c>
      <c r="R77" s="20" t="n">
        <v>0</v>
      </c>
      <c r="S77" s="18" t="n">
        <v>42.60069922</v>
      </c>
      <c r="T77" s="20" t="n">
        <v>2.72699248</v>
      </c>
    </row>
    <row r="78" spans="1:20">
      <c r="A78" s="15" t="s">
        <v>638</v>
      </c>
      <c r="B78" s="17" t="n">
        <v>14167</v>
      </c>
      <c r="C78" s="18">
        <f>(12624.0/B78*100)</f>
        <v/>
      </c>
      <c r="D78" s="19" t="n">
        <v>1543</v>
      </c>
      <c r="E78" s="18" t="n">
        <v>62.10092267</v>
      </c>
      <c r="F78" s="20" t="n">
        <v>1.47086689</v>
      </c>
      <c r="G78" s="18" t="n">
        <v>13.68951225</v>
      </c>
      <c r="H78" s="20" t="n">
        <v>1.07410806</v>
      </c>
      <c r="I78" s="18" t="n">
        <v>7.8172716</v>
      </c>
      <c r="J78" s="20" t="n">
        <v>0.80774306</v>
      </c>
      <c r="K78" s="18" t="n">
        <v>0</v>
      </c>
      <c r="L78" s="20" t="n">
        <v>0</v>
      </c>
      <c r="M78" s="18" t="n">
        <v>1.67799385</v>
      </c>
      <c r="N78" s="20" t="n">
        <v>0.42223908</v>
      </c>
      <c r="O78" s="18" t="n">
        <v>0.21066367</v>
      </c>
      <c r="P78" s="20" t="n">
        <v>0.13005204</v>
      </c>
      <c r="Q78" s="18" t="n">
        <v>0</v>
      </c>
      <c r="R78" s="20" t="n">
        <v>0</v>
      </c>
      <c r="S78" s="18" t="n">
        <v>14.50363596</v>
      </c>
      <c r="T78" s="20" t="n">
        <v>1.01294925</v>
      </c>
    </row>
    <row r="79" spans="1:20">
      <c r="A79" s="15" t="s">
        <v>639</v>
      </c>
      <c r="B79" s="17" t="n">
        <v>6062</v>
      </c>
      <c r="C79" s="18">
        <f>(5423.0/B79*100)</f>
        <v/>
      </c>
      <c r="D79" s="19" t="n">
        <v>639</v>
      </c>
      <c r="E79" s="18" t="n">
        <v>46.48019913</v>
      </c>
      <c r="F79" s="20" t="n">
        <v>1.84273857</v>
      </c>
      <c r="G79" s="18" t="n">
        <v>13.56618852</v>
      </c>
      <c r="H79" s="20" t="n">
        <v>1.39675321</v>
      </c>
      <c r="I79" s="18" t="n">
        <v>7.4375785</v>
      </c>
      <c r="J79" s="20" t="n">
        <v>1.09361659</v>
      </c>
      <c r="K79" s="18" t="n">
        <v>0</v>
      </c>
      <c r="L79" s="20" t="n">
        <v>0</v>
      </c>
      <c r="M79" s="18" t="n">
        <v>1.64931971</v>
      </c>
      <c r="N79" s="20" t="n">
        <v>0.43723695</v>
      </c>
      <c r="O79" s="18" t="n">
        <v>0</v>
      </c>
      <c r="P79" s="20" t="n">
        <v>0</v>
      </c>
      <c r="Q79" s="18" t="n">
        <v>0</v>
      </c>
      <c r="R79" s="20" t="n">
        <v>0</v>
      </c>
      <c r="S79" s="18" t="n">
        <v>30.86671414</v>
      </c>
      <c r="T79" s="20" t="n">
        <v>1.6709486</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(28846.0/B82*100)</f>
        <v/>
      </c>
      <c r="D82" s="19" t="n">
        <v>3484</v>
      </c>
      <c r="E82" s="18" t="n">
        <v>52.87561431</v>
      </c>
      <c r="F82" s="20" t="n">
        <v>1.09073987</v>
      </c>
      <c r="G82" s="18" t="n">
        <v>17.62617758</v>
      </c>
      <c r="H82" s="20" t="n">
        <v>0.75314369</v>
      </c>
      <c r="I82" s="18" t="n">
        <v>12.00043036</v>
      </c>
      <c r="J82" s="20" t="n">
        <v>0.7959077</v>
      </c>
      <c r="K82" s="18" t="n">
        <v>0</v>
      </c>
      <c r="L82" s="20" t="n">
        <v>0</v>
      </c>
      <c r="M82" s="18" t="n">
        <v>0.676745</v>
      </c>
      <c r="N82" s="20" t="n">
        <v>0.24188921</v>
      </c>
      <c r="O82" s="18" t="n">
        <v>0.0782013</v>
      </c>
      <c r="P82" s="20" t="n">
        <v>0.06331203000000001</v>
      </c>
      <c r="Q82" s="18" t="n">
        <v>0</v>
      </c>
      <c r="R82" s="20" t="n">
        <v>0</v>
      </c>
      <c r="S82" s="18" t="n">
        <v>16.74283144</v>
      </c>
      <c r="T82" s="20" t="n">
        <v>0.97730973</v>
      </c>
    </row>
    <row r="83" spans="1:20">
      <c r="A83" s="15" t="s">
        <v>643</v>
      </c>
      <c r="B83" s="17" t="n">
        <v>1652</v>
      </c>
      <c r="C83" s="18">
        <f>(1478.0/B83*100)</f>
        <v/>
      </c>
      <c r="D83" s="19" t="n">
        <v>174</v>
      </c>
      <c r="E83" s="18" t="n">
        <v>47.0884251</v>
      </c>
      <c r="F83" s="20" t="n">
        <v>4.8988912</v>
      </c>
      <c r="G83" s="18" t="n">
        <v>31.69291328</v>
      </c>
      <c r="H83" s="20" t="n">
        <v>4.4438723</v>
      </c>
      <c r="I83" s="18" t="n">
        <v>16.79823</v>
      </c>
      <c r="J83" s="20" t="n">
        <v>3.56981334</v>
      </c>
      <c r="K83" s="18" t="n">
        <v>0</v>
      </c>
      <c r="L83" s="20" t="n">
        <v>0</v>
      </c>
      <c r="M83" s="18" t="n">
        <v>0.72489398</v>
      </c>
      <c r="N83" s="20" t="n">
        <v>0.71232355</v>
      </c>
      <c r="O83" s="18" t="n">
        <v>0</v>
      </c>
      <c r="P83" s="20" t="n">
        <v>0</v>
      </c>
      <c r="Q83" s="18" t="n">
        <v>0</v>
      </c>
      <c r="R83" s="20" t="n">
        <v>0</v>
      </c>
      <c r="S83" s="18" t="n">
        <v>3.69553764</v>
      </c>
      <c r="T83" s="20" t="n">
        <v>1.98268755</v>
      </c>
    </row>
    <row r="84" spans="1:20">
      <c r="A84" s="23" t="s">
        <v>644</v>
      </c>
      <c r="B84" s="24" t="n">
        <v>1887</v>
      </c>
      <c r="C84" s="25">
        <f>(1705.0/B84*100)</f>
        <v/>
      </c>
      <c r="D84" s="19" t="n">
        <v>182</v>
      </c>
      <c r="E84" s="18" t="n">
        <v>62.31654569</v>
      </c>
      <c r="F84" s="20" t="n">
        <v>4.56218107</v>
      </c>
      <c r="G84" s="18" t="n">
        <v>26.248498</v>
      </c>
      <c r="H84" s="20" t="n">
        <v>3.84146794</v>
      </c>
      <c r="I84" s="18" t="n">
        <v>10.2214305</v>
      </c>
      <c r="J84" s="20" t="n">
        <v>2.55704905</v>
      </c>
      <c r="K84" s="18" t="n">
        <v>0</v>
      </c>
      <c r="L84" s="20" t="n">
        <v>0</v>
      </c>
      <c r="M84" s="18" t="n">
        <v>0</v>
      </c>
      <c r="N84" s="20" t="n">
        <v>0</v>
      </c>
      <c r="O84" s="18" t="n">
        <v>0</v>
      </c>
      <c r="P84" s="20" t="n">
        <v>0</v>
      </c>
      <c r="Q84" s="18" t="n">
        <v>0</v>
      </c>
      <c r="R84" s="20" t="n">
        <v>0</v>
      </c>
      <c r="S84" s="18" t="n">
        <v>1.21352582</v>
      </c>
      <c r="T84" s="20" t="n">
        <v>0.45832184</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(12990.0/B7*100)</f>
        <v/>
      </c>
      <c r="D7" s="19" t="n">
        <v>1540</v>
      </c>
      <c r="E7" s="18" t="n">
        <v>19.97495684</v>
      </c>
      <c r="F7" s="20" t="n">
        <v>1.23797362</v>
      </c>
      <c r="G7" s="18" t="n">
        <v>79.38817523</v>
      </c>
      <c r="H7" s="20" t="n">
        <v>1.2394702</v>
      </c>
      <c r="I7" s="18" t="n">
        <v>0</v>
      </c>
      <c r="J7" s="20" t="n">
        <v>0</v>
      </c>
      <c r="K7" s="18" t="n">
        <v>0.23773608</v>
      </c>
      <c r="L7" s="20" t="n">
        <v>0.10476725</v>
      </c>
      <c r="M7" s="18" t="n">
        <v>0</v>
      </c>
      <c r="N7" s="20" t="n">
        <v>0</v>
      </c>
      <c r="O7" s="18" t="n">
        <v>0</v>
      </c>
      <c r="P7" s="20" t="n">
        <v>0</v>
      </c>
      <c r="Q7" s="18" t="n">
        <v>0.39913185</v>
      </c>
      <c r="R7" s="20" t="n">
        <v>0.16519397</v>
      </c>
    </row>
    <row r="8" spans="1:18">
      <c r="A8" s="15" t="s">
        <v>566</v>
      </c>
      <c r="B8" s="17" t="n">
        <v>7007</v>
      </c>
      <c r="C8" s="18">
        <f>(6217.0/B8*100)</f>
        <v/>
      </c>
      <c r="D8" s="19" t="n">
        <v>790</v>
      </c>
      <c r="E8" s="18" t="n">
        <v>24.65712361</v>
      </c>
      <c r="F8" s="20" t="n">
        <v>1.74377308</v>
      </c>
      <c r="G8" s="18" t="n">
        <v>74.84433049</v>
      </c>
      <c r="H8" s="20" t="n">
        <v>1.77943902</v>
      </c>
      <c r="I8" s="18" t="n">
        <v>0</v>
      </c>
      <c r="J8" s="20" t="n">
        <v>0</v>
      </c>
      <c r="K8" s="18" t="n">
        <v>0.29996061</v>
      </c>
      <c r="L8" s="20" t="n">
        <v>0.27061319</v>
      </c>
      <c r="M8" s="18" t="n">
        <v>0</v>
      </c>
      <c r="N8" s="20" t="n">
        <v>0</v>
      </c>
      <c r="O8" s="18" t="n">
        <v>0</v>
      </c>
      <c r="P8" s="20" t="n">
        <v>0</v>
      </c>
      <c r="Q8" s="18" t="n">
        <v>0.19858528</v>
      </c>
      <c r="R8" s="20" t="n">
        <v>0.14010381</v>
      </c>
    </row>
    <row r="9" spans="1:18">
      <c r="A9" s="15" t="s">
        <v>567</v>
      </c>
      <c r="B9" s="17" t="n">
        <v>9651</v>
      </c>
      <c r="C9" s="18">
        <f>(8423.0/B9*100)</f>
        <v/>
      </c>
      <c r="D9" s="19" t="n">
        <v>1228</v>
      </c>
      <c r="E9" s="18" t="n">
        <v>25.55054966</v>
      </c>
      <c r="F9" s="20" t="n">
        <v>1.51784223</v>
      </c>
      <c r="G9" s="18" t="n">
        <v>73.35162452</v>
      </c>
      <c r="H9" s="20" t="n">
        <v>1.5824408</v>
      </c>
      <c r="I9" s="18" t="n">
        <v>0</v>
      </c>
      <c r="J9" s="20" t="n">
        <v>0</v>
      </c>
      <c r="K9" s="18" t="n">
        <v>0.87975516</v>
      </c>
      <c r="L9" s="20" t="n">
        <v>0.25335553</v>
      </c>
      <c r="M9" s="18" t="n">
        <v>0</v>
      </c>
      <c r="N9" s="20" t="n">
        <v>0</v>
      </c>
      <c r="O9" s="18" t="n">
        <v>0</v>
      </c>
      <c r="P9" s="20" t="n">
        <v>0</v>
      </c>
      <c r="Q9" s="18" t="n">
        <v>0.21807065</v>
      </c>
      <c r="R9" s="20" t="n">
        <v>0.10627614</v>
      </c>
    </row>
    <row r="10" spans="1:18">
      <c r="A10" s="15" t="s">
        <v>568</v>
      </c>
      <c r="B10" s="17" t="n">
        <v>20058</v>
      </c>
      <c r="C10" s="18">
        <f>(17904.0/B10*100)</f>
        <v/>
      </c>
      <c r="D10" s="19" t="n">
        <v>2154</v>
      </c>
      <c r="E10" s="18" t="n">
        <v>21.31782892</v>
      </c>
      <c r="F10" s="20" t="n">
        <v>1.11639909</v>
      </c>
      <c r="G10" s="18" t="n">
        <v>78.02936068</v>
      </c>
      <c r="H10" s="20" t="n">
        <v>1.10187971</v>
      </c>
      <c r="I10" s="18" t="n">
        <v>0</v>
      </c>
      <c r="J10" s="20" t="n">
        <v>0</v>
      </c>
      <c r="K10" s="18" t="n">
        <v>0.62920211</v>
      </c>
      <c r="L10" s="20" t="n">
        <v>0.20441305</v>
      </c>
      <c r="M10" s="18" t="n">
        <v>0</v>
      </c>
      <c r="N10" s="20" t="n">
        <v>0</v>
      </c>
      <c r="O10" s="18" t="n">
        <v>0</v>
      </c>
      <c r="P10" s="20" t="n">
        <v>0</v>
      </c>
      <c r="Q10" s="18" t="n">
        <v>0.02360829</v>
      </c>
      <c r="R10" s="20" t="n">
        <v>0.01685318</v>
      </c>
    </row>
    <row r="11" spans="1:18">
      <c r="A11" s="15" t="s">
        <v>569</v>
      </c>
      <c r="B11" s="17" t="n">
        <v>7053</v>
      </c>
      <c r="C11" s="18">
        <f>(6292.0/B11*100)</f>
        <v/>
      </c>
      <c r="D11" s="19" t="n">
        <v>761</v>
      </c>
      <c r="E11" s="18" t="n">
        <v>38.20421117</v>
      </c>
      <c r="F11" s="20" t="n">
        <v>1.95053795</v>
      </c>
      <c r="G11" s="18" t="n">
        <v>59.19748945</v>
      </c>
      <c r="H11" s="20" t="n">
        <v>2.03695212</v>
      </c>
      <c r="I11" s="18" t="n">
        <v>0</v>
      </c>
      <c r="J11" s="20" t="n">
        <v>0</v>
      </c>
      <c r="K11" s="18" t="n">
        <v>2.20160325</v>
      </c>
      <c r="L11" s="20" t="n">
        <v>0.5412462</v>
      </c>
      <c r="M11" s="18" t="n">
        <v>0</v>
      </c>
      <c r="N11" s="20" t="n">
        <v>0</v>
      </c>
      <c r="O11" s="18" t="n">
        <v>0</v>
      </c>
      <c r="P11" s="20" t="n">
        <v>0</v>
      </c>
      <c r="Q11" s="18" t="n">
        <v>0.39669613</v>
      </c>
      <c r="R11" s="20" t="n">
        <v>0.24212357</v>
      </c>
    </row>
    <row r="12" spans="1:18">
      <c r="A12" s="15" t="s">
        <v>570</v>
      </c>
      <c r="B12" s="17" t="n">
        <v>6894</v>
      </c>
      <c r="C12" s="18">
        <f>(6075.0/B12*100)</f>
        <v/>
      </c>
      <c r="D12" s="19" t="n">
        <v>819</v>
      </c>
      <c r="E12" s="18" t="n">
        <v>25.26404299</v>
      </c>
      <c r="F12" s="20" t="n">
        <v>1.91688207</v>
      </c>
      <c r="G12" s="18" t="n">
        <v>73.44448137000001</v>
      </c>
      <c r="H12" s="20" t="n">
        <v>2.16199871</v>
      </c>
      <c r="I12" s="18" t="n">
        <v>0</v>
      </c>
      <c r="J12" s="20" t="n">
        <v>0</v>
      </c>
      <c r="K12" s="18" t="n">
        <v>0.4278501</v>
      </c>
      <c r="L12" s="20" t="n">
        <v>0.24854598</v>
      </c>
      <c r="M12" s="18" t="n">
        <v>0</v>
      </c>
      <c r="N12" s="20" t="n">
        <v>0</v>
      </c>
      <c r="O12" s="18" t="n">
        <v>0</v>
      </c>
      <c r="P12" s="20" t="n">
        <v>0</v>
      </c>
      <c r="Q12" s="18" t="n">
        <v>0.86362555</v>
      </c>
      <c r="R12" s="20" t="n">
        <v>0.42012594</v>
      </c>
    </row>
    <row r="13" spans="1:18">
      <c r="A13" s="15" t="s">
        <v>571</v>
      </c>
      <c r="B13" s="17" t="n">
        <v>7161</v>
      </c>
      <c r="C13" s="18">
        <f>(6089.0/B13*100)</f>
        <v/>
      </c>
      <c r="D13" s="19" t="n">
        <v>1072</v>
      </c>
      <c r="E13" s="18" t="n">
        <v>22.53189133</v>
      </c>
      <c r="F13" s="20" t="n">
        <v>1.73725217</v>
      </c>
      <c r="G13" s="18" t="n">
        <v>76.08205426000001</v>
      </c>
      <c r="H13" s="20" t="n">
        <v>1.76248494</v>
      </c>
      <c r="I13" s="18" t="n">
        <v>0</v>
      </c>
      <c r="J13" s="20" t="n">
        <v>0</v>
      </c>
      <c r="K13" s="18" t="n">
        <v>1.03383352</v>
      </c>
      <c r="L13" s="20" t="n">
        <v>0.3499986</v>
      </c>
      <c r="M13" s="18" t="n">
        <v>0</v>
      </c>
      <c r="N13" s="20" t="n">
        <v>0</v>
      </c>
      <c r="O13" s="18" t="n">
        <v>0</v>
      </c>
      <c r="P13" s="20" t="n">
        <v>0</v>
      </c>
      <c r="Q13" s="18" t="n">
        <v>0.35222088</v>
      </c>
      <c r="R13" s="20" t="n">
        <v>0.16703457</v>
      </c>
    </row>
    <row r="14" spans="1:18">
      <c r="A14" s="15" t="s">
        <v>572</v>
      </c>
      <c r="B14" s="17" t="n">
        <v>5587</v>
      </c>
      <c r="C14" s="18">
        <f>(4999.0/B14*100)</f>
        <v/>
      </c>
      <c r="D14" s="19" t="n">
        <v>588</v>
      </c>
      <c r="E14" s="18" t="n">
        <v>25.02334699</v>
      </c>
      <c r="F14" s="20" t="n">
        <v>1.97839807</v>
      </c>
      <c r="G14" s="18" t="n">
        <v>74.16153769</v>
      </c>
      <c r="H14" s="20" t="n">
        <v>2.03068952</v>
      </c>
      <c r="I14" s="18" t="n">
        <v>0</v>
      </c>
      <c r="J14" s="20" t="n">
        <v>0</v>
      </c>
      <c r="K14" s="18" t="n">
        <v>0.69086079</v>
      </c>
      <c r="L14" s="20" t="n">
        <v>0.44176028</v>
      </c>
      <c r="M14" s="18" t="n">
        <v>0</v>
      </c>
      <c r="N14" s="20" t="n">
        <v>0</v>
      </c>
      <c r="O14" s="18" t="n">
        <v>0</v>
      </c>
      <c r="P14" s="20" t="n">
        <v>0</v>
      </c>
      <c r="Q14" s="18" t="n">
        <v>0.12425453</v>
      </c>
      <c r="R14" s="20" t="n">
        <v>0.12462097</v>
      </c>
    </row>
    <row r="15" spans="1:18">
      <c r="A15" s="15" t="s">
        <v>573</v>
      </c>
      <c r="B15" s="17" t="n">
        <v>5882</v>
      </c>
      <c r="C15" s="18">
        <f>(5196.0/B15*100)</f>
        <v/>
      </c>
      <c r="D15" s="19" t="n">
        <v>686</v>
      </c>
      <c r="E15" s="18" t="n">
        <v>25.01182157</v>
      </c>
      <c r="F15" s="20" t="n">
        <v>2.23704757</v>
      </c>
      <c r="G15" s="18" t="n">
        <v>74.55493892</v>
      </c>
      <c r="H15" s="20" t="n">
        <v>2.38518358</v>
      </c>
      <c r="I15" s="18" t="n">
        <v>0</v>
      </c>
      <c r="J15" s="20" t="n">
        <v>0</v>
      </c>
      <c r="K15" s="18" t="n">
        <v>0</v>
      </c>
      <c r="L15" s="20" t="n">
        <v>0</v>
      </c>
      <c r="M15" s="18" t="n">
        <v>0</v>
      </c>
      <c r="N15" s="20" t="n">
        <v>0</v>
      </c>
      <c r="O15" s="18" t="n">
        <v>0</v>
      </c>
      <c r="P15" s="20" t="n">
        <v>0</v>
      </c>
      <c r="Q15" s="18" t="n">
        <v>0.43323951</v>
      </c>
      <c r="R15" s="20" t="n">
        <v>0.30790637</v>
      </c>
    </row>
    <row r="16" spans="1:18">
      <c r="A16" s="15" t="s">
        <v>574</v>
      </c>
      <c r="B16" s="17" t="n">
        <v>6108</v>
      </c>
      <c r="C16" s="18">
        <f>(5480.0/B16*100)</f>
        <v/>
      </c>
      <c r="D16" s="19" t="n">
        <v>628</v>
      </c>
      <c r="E16" s="18" t="n">
        <v>23.85864579</v>
      </c>
      <c r="F16" s="20" t="n">
        <v>1.81821726</v>
      </c>
      <c r="G16" s="18" t="n">
        <v>74.42008414999999</v>
      </c>
      <c r="H16" s="20" t="n">
        <v>1.75727266</v>
      </c>
      <c r="I16" s="18" t="n">
        <v>0</v>
      </c>
      <c r="J16" s="20" t="n">
        <v>0</v>
      </c>
      <c r="K16" s="18" t="n">
        <v>1.37939355</v>
      </c>
      <c r="L16" s="20" t="n">
        <v>0.52225085</v>
      </c>
      <c r="M16" s="18" t="n">
        <v>0</v>
      </c>
      <c r="N16" s="20" t="n">
        <v>0</v>
      </c>
      <c r="O16" s="18" t="n">
        <v>0</v>
      </c>
      <c r="P16" s="20" t="n">
        <v>0</v>
      </c>
      <c r="Q16" s="18" t="n">
        <v>0.34187651</v>
      </c>
      <c r="R16" s="20" t="n">
        <v>0.2495177</v>
      </c>
    </row>
    <row r="17" spans="1:18">
      <c r="A17" s="15" t="s">
        <v>575</v>
      </c>
      <c r="B17" s="17" t="n">
        <v>6504</v>
      </c>
      <c r="C17" s="18">
        <f>(5693.0/B17*100)</f>
        <v/>
      </c>
      <c r="D17" s="19" t="n">
        <v>811</v>
      </c>
      <c r="E17" s="18" t="n">
        <v>20.92635807</v>
      </c>
      <c r="F17" s="20" t="n">
        <v>1.56344349</v>
      </c>
      <c r="G17" s="18" t="n">
        <v>77.97225922</v>
      </c>
      <c r="H17" s="20" t="n">
        <v>1.53433681</v>
      </c>
      <c r="I17" s="18" t="n">
        <v>0</v>
      </c>
      <c r="J17" s="20" t="n">
        <v>0</v>
      </c>
      <c r="K17" s="18" t="n">
        <v>0.97254149</v>
      </c>
      <c r="L17" s="20" t="n">
        <v>0.36220884</v>
      </c>
      <c r="M17" s="18" t="n">
        <v>0</v>
      </c>
      <c r="N17" s="20" t="n">
        <v>0</v>
      </c>
      <c r="O17" s="18" t="n">
        <v>0</v>
      </c>
      <c r="P17" s="20" t="n">
        <v>0</v>
      </c>
      <c r="Q17" s="18" t="n">
        <v>0.12884122</v>
      </c>
      <c r="R17" s="20" t="n">
        <v>0.12824331</v>
      </c>
    </row>
    <row r="18" spans="1:18">
      <c r="A18" s="15" t="s">
        <v>576</v>
      </c>
      <c r="B18" s="17" t="n">
        <v>5532</v>
      </c>
      <c r="C18" s="18">
        <f>(4947.0/B18*100)</f>
        <v/>
      </c>
      <c r="D18" s="19" t="n">
        <v>585</v>
      </c>
      <c r="E18" s="18" t="n">
        <v>28.68004841</v>
      </c>
      <c r="F18" s="20" t="n">
        <v>2.41841983</v>
      </c>
      <c r="G18" s="18" t="n">
        <v>70.43980049</v>
      </c>
      <c r="H18" s="20" t="n">
        <v>2.34667827</v>
      </c>
      <c r="I18" s="18" t="n">
        <v>0</v>
      </c>
      <c r="J18" s="20" t="n">
        <v>0</v>
      </c>
      <c r="K18" s="18" t="n">
        <v>0.55929942</v>
      </c>
      <c r="L18" s="20" t="n">
        <v>0.42045524</v>
      </c>
      <c r="M18" s="18" t="n">
        <v>0</v>
      </c>
      <c r="N18" s="20" t="n">
        <v>0</v>
      </c>
      <c r="O18" s="18" t="n">
        <v>0</v>
      </c>
      <c r="P18" s="20" t="n">
        <v>0</v>
      </c>
      <c r="Q18" s="18" t="n">
        <v>0.32085168</v>
      </c>
      <c r="R18" s="20" t="n">
        <v>0.23109909</v>
      </c>
    </row>
    <row r="19" spans="1:18">
      <c r="A19" s="15" t="s">
        <v>577</v>
      </c>
      <c r="B19" s="17" t="n">
        <v>5658</v>
      </c>
      <c r="C19" s="18">
        <f>(5033.0/B19*100)</f>
        <v/>
      </c>
      <c r="D19" s="19" t="n">
        <v>625</v>
      </c>
      <c r="E19" s="18" t="n">
        <v>27.06029133</v>
      </c>
      <c r="F19" s="20" t="n">
        <v>1.61031871</v>
      </c>
      <c r="G19" s="18" t="n">
        <v>72.50435917999999</v>
      </c>
      <c r="H19" s="20" t="n">
        <v>1.63476834</v>
      </c>
      <c r="I19" s="18" t="n">
        <v>0</v>
      </c>
      <c r="J19" s="20" t="n">
        <v>0</v>
      </c>
      <c r="K19" s="18" t="n">
        <v>0.43534949</v>
      </c>
      <c r="L19" s="20" t="n">
        <v>0.25283112</v>
      </c>
      <c r="M19" s="18" t="n">
        <v>0</v>
      </c>
      <c r="N19" s="20" t="n">
        <v>0</v>
      </c>
      <c r="O19" s="18" t="n">
        <v>0</v>
      </c>
      <c r="P19" s="20" t="n">
        <v>0</v>
      </c>
      <c r="Q19" s="18" t="n">
        <v>0</v>
      </c>
      <c r="R19" s="20" t="n">
        <v>0</v>
      </c>
    </row>
    <row r="20" spans="1:18">
      <c r="A20" s="15" t="s">
        <v>578</v>
      </c>
      <c r="B20" s="17" t="n">
        <v>3371</v>
      </c>
      <c r="C20" s="18">
        <f>(3035.0/B20*100)</f>
        <v/>
      </c>
      <c r="D20" s="19" t="n">
        <v>336</v>
      </c>
      <c r="E20" s="18" t="n">
        <v>45.64100897</v>
      </c>
      <c r="F20" s="20" t="n">
        <v>2.82053737</v>
      </c>
      <c r="G20" s="18" t="n">
        <v>52.86214101</v>
      </c>
      <c r="H20" s="20" t="n">
        <v>2.72691091</v>
      </c>
      <c r="I20" s="18" t="n">
        <v>0</v>
      </c>
      <c r="J20" s="20" t="n">
        <v>0</v>
      </c>
      <c r="K20" s="18" t="n">
        <v>1.2102013</v>
      </c>
      <c r="L20" s="20" t="n">
        <v>0.60377771</v>
      </c>
      <c r="M20" s="18" t="n">
        <v>0</v>
      </c>
      <c r="N20" s="20" t="n">
        <v>0</v>
      </c>
      <c r="O20" s="18" t="n">
        <v>0</v>
      </c>
      <c r="P20" s="20" t="n">
        <v>0</v>
      </c>
      <c r="Q20" s="18" t="n">
        <v>0.28664872</v>
      </c>
      <c r="R20" s="20" t="n">
        <v>0.2855527</v>
      </c>
    </row>
    <row r="21" spans="1:18">
      <c r="A21" s="15" t="s">
        <v>579</v>
      </c>
      <c r="B21" s="17" t="n">
        <v>5741</v>
      </c>
      <c r="C21" s="18">
        <f>(5095.0/B21*100)</f>
        <v/>
      </c>
      <c r="D21" s="19" t="n">
        <v>646</v>
      </c>
      <c r="E21" s="18" t="n">
        <v>16.11771147</v>
      </c>
      <c r="F21" s="20" t="n">
        <v>1.62896028</v>
      </c>
      <c r="G21" s="18" t="n">
        <v>83.52801934</v>
      </c>
      <c r="H21" s="20" t="n">
        <v>1.63414171</v>
      </c>
      <c r="I21" s="18" t="n">
        <v>0</v>
      </c>
      <c r="J21" s="20" t="n">
        <v>0</v>
      </c>
      <c r="K21" s="18" t="n">
        <v>0.35426919</v>
      </c>
      <c r="L21" s="20" t="n">
        <v>0.24573927</v>
      </c>
      <c r="M21" s="18" t="n">
        <v>0</v>
      </c>
      <c r="N21" s="20" t="n">
        <v>0</v>
      </c>
      <c r="O21" s="18" t="n">
        <v>0</v>
      </c>
      <c r="P21" s="20" t="n">
        <v>0</v>
      </c>
      <c r="Q21" s="18" t="n">
        <v>0</v>
      </c>
      <c r="R21" s="20" t="n">
        <v>0</v>
      </c>
    </row>
    <row r="22" spans="1:18">
      <c r="A22" s="15" t="s">
        <v>580</v>
      </c>
      <c r="B22" s="17" t="n">
        <v>6598</v>
      </c>
      <c r="C22" s="18">
        <f>(5951.0/B22*100)</f>
        <v/>
      </c>
      <c r="D22" s="19" t="n">
        <v>647</v>
      </c>
      <c r="E22" s="18" t="n">
        <v>33.08961996</v>
      </c>
      <c r="F22" s="20" t="n">
        <v>2.0352729</v>
      </c>
      <c r="G22" s="18" t="n">
        <v>65.50041201000001</v>
      </c>
      <c r="H22" s="20" t="n">
        <v>2.09475126</v>
      </c>
      <c r="I22" s="18" t="n">
        <v>0</v>
      </c>
      <c r="J22" s="20" t="n">
        <v>0</v>
      </c>
      <c r="K22" s="18" t="n">
        <v>0.92266367</v>
      </c>
      <c r="L22" s="20" t="n">
        <v>0.38599211</v>
      </c>
      <c r="M22" s="18" t="n">
        <v>0</v>
      </c>
      <c r="N22" s="20" t="n">
        <v>0</v>
      </c>
      <c r="O22" s="18" t="n">
        <v>0</v>
      </c>
      <c r="P22" s="20" t="n">
        <v>0</v>
      </c>
      <c r="Q22" s="18" t="n">
        <v>0.48730435</v>
      </c>
      <c r="R22" s="20" t="n">
        <v>0.26762883</v>
      </c>
    </row>
    <row r="23" spans="1:18">
      <c r="A23" s="15" t="s">
        <v>581</v>
      </c>
      <c r="B23" s="17" t="n">
        <v>11583</v>
      </c>
      <c r="C23" s="18">
        <f>(10314.0/B23*100)</f>
        <v/>
      </c>
      <c r="D23" s="19" t="n">
        <v>1269</v>
      </c>
      <c r="E23" s="18" t="n">
        <v>19.31856478</v>
      </c>
      <c r="F23" s="20" t="n">
        <v>1.44056034</v>
      </c>
      <c r="G23" s="18" t="n">
        <v>79.33312408</v>
      </c>
      <c r="H23" s="20" t="n">
        <v>1.52214447</v>
      </c>
      <c r="I23" s="18" t="n">
        <v>0</v>
      </c>
      <c r="J23" s="20" t="n">
        <v>0</v>
      </c>
      <c r="K23" s="18" t="n">
        <v>1.28868493</v>
      </c>
      <c r="L23" s="20" t="n">
        <v>0.5040191000000001</v>
      </c>
      <c r="M23" s="18" t="n">
        <v>0</v>
      </c>
      <c r="N23" s="20" t="n">
        <v>0</v>
      </c>
      <c r="O23" s="18" t="n">
        <v>0</v>
      </c>
      <c r="P23" s="20" t="n">
        <v>0</v>
      </c>
      <c r="Q23" s="18" t="n">
        <v>0.05962621</v>
      </c>
      <c r="R23" s="20" t="n">
        <v>0.05262604</v>
      </c>
    </row>
    <row r="24" spans="1:18">
      <c r="A24" s="15" t="s">
        <v>582</v>
      </c>
      <c r="B24" s="17" t="n">
        <v>6647</v>
      </c>
      <c r="C24" s="18">
        <f>(5916.0/B24*100)</f>
        <v/>
      </c>
      <c r="D24" s="19" t="n">
        <v>731</v>
      </c>
      <c r="E24" s="18" t="n">
        <v>27.98475899</v>
      </c>
      <c r="F24" s="20" t="n">
        <v>1.72883042</v>
      </c>
      <c r="G24" s="18" t="n">
        <v>71.75082546</v>
      </c>
      <c r="H24" s="20" t="n">
        <v>1.74006827</v>
      </c>
      <c r="I24" s="18" t="n">
        <v>0</v>
      </c>
      <c r="J24" s="20" t="n">
        <v>0</v>
      </c>
      <c r="K24" s="18" t="n">
        <v>0.12093449</v>
      </c>
      <c r="L24" s="20" t="n">
        <v>0.12077178</v>
      </c>
      <c r="M24" s="18" t="n">
        <v>0</v>
      </c>
      <c r="N24" s="20" t="n">
        <v>0</v>
      </c>
      <c r="O24" s="18" t="n">
        <v>0</v>
      </c>
      <c r="P24" s="20" t="n">
        <v>0</v>
      </c>
      <c r="Q24" s="18" t="n">
        <v>0.14348106</v>
      </c>
      <c r="R24" s="20" t="n">
        <v>0.14350931</v>
      </c>
    </row>
    <row r="25" spans="1:18">
      <c r="A25" s="15" t="s">
        <v>583</v>
      </c>
      <c r="B25" s="17" t="n">
        <v>5581</v>
      </c>
      <c r="C25" s="18">
        <f>(4957.0/B25*100)</f>
        <v/>
      </c>
      <c r="D25" s="19" t="n">
        <v>624</v>
      </c>
      <c r="E25" s="18" t="n">
        <v>32.82573283</v>
      </c>
      <c r="F25" s="20" t="n">
        <v>2.22335676</v>
      </c>
      <c r="G25" s="18" t="n">
        <v>66.07122309</v>
      </c>
      <c r="H25" s="20" t="n">
        <v>2.26686715</v>
      </c>
      <c r="I25" s="18" t="n">
        <v>0</v>
      </c>
      <c r="J25" s="20" t="n">
        <v>0</v>
      </c>
      <c r="K25" s="18" t="n">
        <v>1.10304407</v>
      </c>
      <c r="L25" s="20" t="n">
        <v>0.43958784</v>
      </c>
      <c r="M25" s="18" t="n">
        <v>0</v>
      </c>
      <c r="N25" s="20" t="n">
        <v>0</v>
      </c>
      <c r="O25" s="18" t="n">
        <v>0</v>
      </c>
      <c r="P25" s="20" t="n">
        <v>0</v>
      </c>
      <c r="Q25" s="18" t="n">
        <v>0</v>
      </c>
      <c r="R25" s="20" t="n">
        <v>0</v>
      </c>
    </row>
    <row r="26" spans="1:18">
      <c r="A26" s="15" t="s">
        <v>584</v>
      </c>
      <c r="B26" s="17" t="n">
        <v>4869</v>
      </c>
      <c r="C26" s="18">
        <f>(4344.0/B26*100)</f>
        <v/>
      </c>
      <c r="D26" s="19" t="n">
        <v>525</v>
      </c>
      <c r="E26" s="18" t="n">
        <v>26.56908017</v>
      </c>
      <c r="F26" s="20" t="n">
        <v>1.9656819</v>
      </c>
      <c r="G26" s="18" t="n">
        <v>73.43091982999999</v>
      </c>
      <c r="H26" s="20" t="n">
        <v>1.9656819</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(4742.0/B27*100)</f>
        <v/>
      </c>
      <c r="D27" s="19" t="n">
        <v>557</v>
      </c>
      <c r="E27" s="18" t="n">
        <v>24.47428319</v>
      </c>
      <c r="F27" s="20" t="n">
        <v>1.67542123</v>
      </c>
      <c r="G27" s="18" t="n">
        <v>74.58132686</v>
      </c>
      <c r="H27" s="20" t="n">
        <v>1.71850751</v>
      </c>
      <c r="I27" s="18" t="n">
        <v>0</v>
      </c>
      <c r="J27" s="20" t="n">
        <v>0</v>
      </c>
      <c r="K27" s="18" t="n">
        <v>0.74795473</v>
      </c>
      <c r="L27" s="20" t="n">
        <v>0.3633004</v>
      </c>
      <c r="M27" s="18" t="n">
        <v>0</v>
      </c>
      <c r="N27" s="20" t="n">
        <v>0</v>
      </c>
      <c r="O27" s="18" t="n">
        <v>0</v>
      </c>
      <c r="P27" s="20" t="n">
        <v>0</v>
      </c>
      <c r="Q27" s="18" t="n">
        <v>0.19643523</v>
      </c>
      <c r="R27" s="20" t="n">
        <v>0.19596831</v>
      </c>
    </row>
    <row r="28" spans="1:18">
      <c r="A28" s="15" t="s">
        <v>586</v>
      </c>
      <c r="B28" s="17" t="n">
        <v>7568</v>
      </c>
      <c r="C28" s="18">
        <f>(6830.0/B28*100)</f>
        <v/>
      </c>
      <c r="D28" s="19" t="n">
        <v>738</v>
      </c>
      <c r="E28" s="18" t="n">
        <v>30.27898857</v>
      </c>
      <c r="F28" s="20" t="n">
        <v>1.82146069</v>
      </c>
      <c r="G28" s="18" t="n">
        <v>68.2265737</v>
      </c>
      <c r="H28" s="20" t="n">
        <v>1.85804642</v>
      </c>
      <c r="I28" s="18" t="n">
        <v>0</v>
      </c>
      <c r="J28" s="20" t="n">
        <v>0</v>
      </c>
      <c r="K28" s="18" t="n">
        <v>1.17455767</v>
      </c>
      <c r="L28" s="20" t="n">
        <v>0.42183241</v>
      </c>
      <c r="M28" s="18" t="n">
        <v>0</v>
      </c>
      <c r="N28" s="20" t="n">
        <v>0</v>
      </c>
      <c r="O28" s="18" t="n">
        <v>0</v>
      </c>
      <c r="P28" s="20" t="n">
        <v>0</v>
      </c>
      <c r="Q28" s="18" t="n">
        <v>0.31988006</v>
      </c>
      <c r="R28" s="20" t="n">
        <v>0.2332811</v>
      </c>
    </row>
    <row r="29" spans="1:18">
      <c r="A29" s="15" t="s">
        <v>587</v>
      </c>
      <c r="B29" s="17" t="n">
        <v>5385</v>
      </c>
      <c r="C29" s="18">
        <f>(4638.0/B29*100)</f>
        <v/>
      </c>
      <c r="D29" s="19" t="n">
        <v>747</v>
      </c>
      <c r="E29" s="18" t="n">
        <v>21.50747533</v>
      </c>
      <c r="F29" s="20" t="n">
        <v>1.67563715</v>
      </c>
      <c r="G29" s="18" t="n">
        <v>77.62362167000001</v>
      </c>
      <c r="H29" s="20" t="n">
        <v>1.62272266</v>
      </c>
      <c r="I29" s="18" t="n">
        <v>0</v>
      </c>
      <c r="J29" s="20" t="n">
        <v>0</v>
      </c>
      <c r="K29" s="18" t="n">
        <v>0.74434451</v>
      </c>
      <c r="L29" s="20" t="n">
        <v>0.28882792</v>
      </c>
      <c r="M29" s="18" t="n">
        <v>0</v>
      </c>
      <c r="N29" s="20" t="n">
        <v>0</v>
      </c>
      <c r="O29" s="18" t="n">
        <v>0</v>
      </c>
      <c r="P29" s="20" t="n">
        <v>0</v>
      </c>
      <c r="Q29" s="18" t="n">
        <v>0.12455849</v>
      </c>
      <c r="R29" s="20" t="n">
        <v>0.16134133</v>
      </c>
    </row>
    <row r="30" spans="1:18">
      <c r="A30" s="15" t="s">
        <v>588</v>
      </c>
      <c r="B30" s="17" t="n">
        <v>4520</v>
      </c>
      <c r="C30" s="18">
        <f>(4049.0/B30*100)</f>
        <v/>
      </c>
      <c r="D30" s="19" t="n">
        <v>471</v>
      </c>
      <c r="E30" s="18" t="n">
        <v>17.19113827</v>
      </c>
      <c r="F30" s="20" t="n">
        <v>2.01771499</v>
      </c>
      <c r="G30" s="18" t="n">
        <v>81.90707582</v>
      </c>
      <c r="H30" s="20" t="n">
        <v>2.03996873</v>
      </c>
      <c r="I30" s="18" t="n">
        <v>0</v>
      </c>
      <c r="J30" s="20" t="n">
        <v>0</v>
      </c>
      <c r="K30" s="18" t="n">
        <v>0.90178591</v>
      </c>
      <c r="L30" s="20" t="n">
        <v>0.42313813</v>
      </c>
      <c r="M30" s="18" t="n">
        <v>0</v>
      </c>
      <c r="N30" s="20" t="n">
        <v>0</v>
      </c>
      <c r="O30" s="18" t="n">
        <v>0</v>
      </c>
      <c r="P30" s="20" t="n">
        <v>0</v>
      </c>
      <c r="Q30" s="18" t="n">
        <v>0</v>
      </c>
      <c r="R30" s="20" t="n">
        <v>0</v>
      </c>
    </row>
    <row r="31" spans="1:18">
      <c r="A31" s="15" t="s">
        <v>589</v>
      </c>
      <c r="B31" s="17" t="n">
        <v>5456</v>
      </c>
      <c r="C31" s="18">
        <f>(4885.0/B31*100)</f>
        <v/>
      </c>
      <c r="D31" s="19" t="n">
        <v>571</v>
      </c>
      <c r="E31" s="18" t="n">
        <v>35.44618056</v>
      </c>
      <c r="F31" s="20" t="n">
        <v>1.76788907</v>
      </c>
      <c r="G31" s="18" t="n">
        <v>62.36262082</v>
      </c>
      <c r="H31" s="20" t="n">
        <v>1.91222002</v>
      </c>
      <c r="I31" s="18" t="n">
        <v>0</v>
      </c>
      <c r="J31" s="20" t="n">
        <v>0</v>
      </c>
      <c r="K31" s="18" t="n">
        <v>1.50285791</v>
      </c>
      <c r="L31" s="20" t="n">
        <v>0.49738442</v>
      </c>
      <c r="M31" s="18" t="n">
        <v>0</v>
      </c>
      <c r="N31" s="20" t="n">
        <v>0</v>
      </c>
      <c r="O31" s="18" t="n">
        <v>0</v>
      </c>
      <c r="P31" s="20" t="n">
        <v>0</v>
      </c>
      <c r="Q31" s="18" t="n">
        <v>0.68834071</v>
      </c>
      <c r="R31" s="20" t="n">
        <v>0.41408808</v>
      </c>
    </row>
    <row r="32" spans="1:18">
      <c r="A32" s="15" t="s">
        <v>590</v>
      </c>
      <c r="B32" s="17" t="n">
        <v>4478</v>
      </c>
      <c r="C32" s="18">
        <f>(3996.0/B32*100)</f>
        <v/>
      </c>
      <c r="D32" s="19" t="n">
        <v>482</v>
      </c>
      <c r="E32" s="18" t="n">
        <v>19.58057828</v>
      </c>
      <c r="F32" s="20" t="n">
        <v>1.99308914</v>
      </c>
      <c r="G32" s="18" t="n">
        <v>79.78600306</v>
      </c>
      <c r="H32" s="20" t="n">
        <v>2.03968408</v>
      </c>
      <c r="I32" s="18" t="n">
        <v>0</v>
      </c>
      <c r="J32" s="20" t="n">
        <v>0</v>
      </c>
      <c r="K32" s="18" t="n">
        <v>0.40857418</v>
      </c>
      <c r="L32" s="20" t="n">
        <v>0.27798551</v>
      </c>
      <c r="M32" s="18" t="n">
        <v>0</v>
      </c>
      <c r="N32" s="20" t="n">
        <v>0</v>
      </c>
      <c r="O32" s="18" t="n">
        <v>0</v>
      </c>
      <c r="P32" s="20" t="n">
        <v>0</v>
      </c>
      <c r="Q32" s="18" t="n">
        <v>0.22484448</v>
      </c>
      <c r="R32" s="20" t="n">
        <v>0.19484944</v>
      </c>
    </row>
    <row r="33" spans="1:18">
      <c r="A33" s="15" t="s">
        <v>591</v>
      </c>
      <c r="B33" s="17" t="n">
        <v>7325</v>
      </c>
      <c r="C33" s="18">
        <f>(6578.0/B33*100)</f>
        <v/>
      </c>
      <c r="D33" s="19" t="n">
        <v>747</v>
      </c>
      <c r="E33" s="18" t="n">
        <v>26.12223293</v>
      </c>
      <c r="F33" s="20" t="n">
        <v>1.86529324</v>
      </c>
      <c r="G33" s="18" t="n">
        <v>73.4206588</v>
      </c>
      <c r="H33" s="20" t="n">
        <v>1.89362058</v>
      </c>
      <c r="I33" s="18" t="n">
        <v>0</v>
      </c>
      <c r="J33" s="20" t="n">
        <v>0</v>
      </c>
      <c r="K33" s="18" t="n">
        <v>0.28037699</v>
      </c>
      <c r="L33" s="20" t="n">
        <v>0.31283847</v>
      </c>
      <c r="M33" s="18" t="n">
        <v>0</v>
      </c>
      <c r="N33" s="20" t="n">
        <v>0</v>
      </c>
      <c r="O33" s="18" t="n">
        <v>0</v>
      </c>
      <c r="P33" s="20" t="n">
        <v>0</v>
      </c>
      <c r="Q33" s="18" t="n">
        <v>0.17673129</v>
      </c>
      <c r="R33" s="20" t="n">
        <v>0.16017654</v>
      </c>
    </row>
    <row r="34" spans="1:18">
      <c r="A34" s="15" t="s">
        <v>592</v>
      </c>
      <c r="B34" s="17" t="n">
        <v>6350</v>
      </c>
      <c r="C34" s="18">
        <f>(5563.0/B34*100)</f>
        <v/>
      </c>
      <c r="D34" s="19" t="n">
        <v>787</v>
      </c>
      <c r="E34" s="18" t="n">
        <v>35.79533204</v>
      </c>
      <c r="F34" s="20" t="n">
        <v>2.78944907</v>
      </c>
      <c r="G34" s="18" t="n">
        <v>63.34931756</v>
      </c>
      <c r="H34" s="20" t="n">
        <v>2.74160495</v>
      </c>
      <c r="I34" s="18" t="n">
        <v>0</v>
      </c>
      <c r="J34" s="20" t="n">
        <v>0</v>
      </c>
      <c r="K34" s="18" t="n">
        <v>0.26093579</v>
      </c>
      <c r="L34" s="20" t="n">
        <v>0.13110151</v>
      </c>
      <c r="M34" s="18" t="n">
        <v>0</v>
      </c>
      <c r="N34" s="20" t="n">
        <v>0</v>
      </c>
      <c r="O34" s="18" t="n">
        <v>0</v>
      </c>
      <c r="P34" s="20" t="n">
        <v>0</v>
      </c>
      <c r="Q34" s="18" t="n">
        <v>0.59441461</v>
      </c>
      <c r="R34" s="20" t="n">
        <v>0.24402883</v>
      </c>
    </row>
    <row r="35" spans="1:18">
      <c r="A35" s="15" t="s">
        <v>593</v>
      </c>
      <c r="B35" s="17" t="n">
        <v>6406</v>
      </c>
      <c r="C35" s="18">
        <f>(5548.0/B35*100)</f>
        <v/>
      </c>
      <c r="D35" s="19" t="n">
        <v>858</v>
      </c>
      <c r="E35" s="18" t="n">
        <v>16.21209535</v>
      </c>
      <c r="F35" s="20" t="n">
        <v>1.45537621</v>
      </c>
      <c r="G35" s="18" t="n">
        <v>83.67488443000001</v>
      </c>
      <c r="H35" s="20" t="n">
        <v>1.45411456</v>
      </c>
      <c r="I35" s="18" t="n">
        <v>0</v>
      </c>
      <c r="J35" s="20" t="n">
        <v>0</v>
      </c>
      <c r="K35" s="18" t="n">
        <v>0.11302022</v>
      </c>
      <c r="L35" s="20" t="n">
        <v>0.08148277</v>
      </c>
      <c r="M35" s="18" t="n">
        <v>0</v>
      </c>
      <c r="N35" s="20" t="n">
        <v>0</v>
      </c>
      <c r="O35" s="18" t="n">
        <v>0</v>
      </c>
      <c r="P35" s="20" t="n">
        <v>0</v>
      </c>
      <c r="Q35" s="18" t="n">
        <v>0</v>
      </c>
      <c r="R35" s="20" t="n">
        <v>0</v>
      </c>
    </row>
    <row r="36" spans="1:18">
      <c r="A36" s="15" t="s">
        <v>594</v>
      </c>
      <c r="B36" s="17" t="n">
        <v>6736</v>
      </c>
      <c r="C36" s="18">
        <f>(6019.0/B36*100)</f>
        <v/>
      </c>
      <c r="D36" s="19" t="n">
        <v>717</v>
      </c>
      <c r="E36" s="18" t="n">
        <v>21.61365413</v>
      </c>
      <c r="F36" s="20" t="n">
        <v>1.66757098</v>
      </c>
      <c r="G36" s="18" t="n">
        <v>77.51990571</v>
      </c>
      <c r="H36" s="20" t="n">
        <v>1.67784062</v>
      </c>
      <c r="I36" s="18" t="n">
        <v>0</v>
      </c>
      <c r="J36" s="20" t="n">
        <v>0</v>
      </c>
      <c r="K36" s="18" t="n">
        <v>0.85484923</v>
      </c>
      <c r="L36" s="20" t="n">
        <v>0.41466452</v>
      </c>
      <c r="M36" s="18" t="n">
        <v>0</v>
      </c>
      <c r="N36" s="20" t="n">
        <v>0</v>
      </c>
      <c r="O36" s="18" t="n">
        <v>0</v>
      </c>
      <c r="P36" s="20" t="n">
        <v>0</v>
      </c>
      <c r="Q36" s="18" t="n">
        <v>0.01159094</v>
      </c>
      <c r="R36" s="20" t="n">
        <v>0.01155683</v>
      </c>
    </row>
    <row r="37" spans="1:18">
      <c r="A37" s="15" t="s">
        <v>595</v>
      </c>
      <c r="B37" s="17" t="n">
        <v>5458</v>
      </c>
      <c r="C37" s="18">
        <f>(4902.0/B37*100)</f>
        <v/>
      </c>
      <c r="D37" s="19" t="n">
        <v>556</v>
      </c>
      <c r="E37" s="18" t="n">
        <v>29.97426327</v>
      </c>
      <c r="F37" s="20" t="n">
        <v>2.25787313</v>
      </c>
      <c r="G37" s="18" t="n">
        <v>69.05625911</v>
      </c>
      <c r="H37" s="20" t="n">
        <v>2.36853872</v>
      </c>
      <c r="I37" s="18" t="n">
        <v>0</v>
      </c>
      <c r="J37" s="20" t="n">
        <v>0</v>
      </c>
      <c r="K37" s="18" t="n">
        <v>0.96947761</v>
      </c>
      <c r="L37" s="20" t="n">
        <v>0.45103192</v>
      </c>
      <c r="M37" s="18" t="n">
        <v>0</v>
      </c>
      <c r="N37" s="20" t="n">
        <v>0</v>
      </c>
      <c r="O37" s="18" t="n">
        <v>0</v>
      </c>
      <c r="P37" s="20" t="n">
        <v>0</v>
      </c>
      <c r="Q37" s="18" t="n">
        <v>0</v>
      </c>
      <c r="R37" s="20" t="n">
        <v>0</v>
      </c>
    </row>
    <row r="38" spans="1:18">
      <c r="A38" s="15" t="s">
        <v>596</v>
      </c>
      <c r="B38" s="17" t="n">
        <v>5860</v>
      </c>
      <c r="C38" s="18">
        <f>(5237.0/B38*100)</f>
        <v/>
      </c>
      <c r="D38" s="19" t="n">
        <v>623</v>
      </c>
      <c r="E38" s="18" t="n">
        <v>17.36432869</v>
      </c>
      <c r="F38" s="20" t="n">
        <v>1.65055187</v>
      </c>
      <c r="G38" s="18" t="n">
        <v>81.25638012</v>
      </c>
      <c r="H38" s="20" t="n">
        <v>1.70370437</v>
      </c>
      <c r="I38" s="18" t="n">
        <v>0</v>
      </c>
      <c r="J38" s="20" t="n">
        <v>0</v>
      </c>
      <c r="K38" s="18" t="n">
        <v>1.37929119</v>
      </c>
      <c r="L38" s="20" t="n">
        <v>0.43831749</v>
      </c>
      <c r="M38" s="18" t="n">
        <v>0</v>
      </c>
      <c r="N38" s="20" t="n">
        <v>0</v>
      </c>
      <c r="O38" s="18" t="n">
        <v>0</v>
      </c>
      <c r="P38" s="20" t="n">
        <v>0</v>
      </c>
      <c r="Q38" s="18" t="n">
        <v>0</v>
      </c>
      <c r="R38" s="20" t="n">
        <v>0</v>
      </c>
    </row>
    <row r="39" spans="1:18">
      <c r="A39" s="15" t="s">
        <v>597</v>
      </c>
      <c r="B39" s="17" t="n">
        <v>5895</v>
      </c>
      <c r="C39" s="18">
        <f>(5257.0/B39*100)</f>
        <v/>
      </c>
      <c r="D39" s="19" t="n">
        <v>638</v>
      </c>
      <c r="E39" s="18" t="n">
        <v>42.67927067</v>
      </c>
      <c r="F39" s="20" t="n">
        <v>2.46740895</v>
      </c>
      <c r="G39" s="18" t="n">
        <v>57.11942308</v>
      </c>
      <c r="H39" s="20" t="n">
        <v>2.45187501</v>
      </c>
      <c r="I39" s="18" t="n">
        <v>0</v>
      </c>
      <c r="J39" s="20" t="n">
        <v>0</v>
      </c>
      <c r="K39" s="18" t="n">
        <v>0</v>
      </c>
      <c r="L39" s="20" t="n">
        <v>0</v>
      </c>
      <c r="M39" s="18" t="n">
        <v>0</v>
      </c>
      <c r="N39" s="20" t="n">
        <v>0</v>
      </c>
      <c r="O39" s="18" t="n">
        <v>0</v>
      </c>
      <c r="P39" s="20" t="n">
        <v>0</v>
      </c>
      <c r="Q39" s="18" t="n">
        <v>0.20130626</v>
      </c>
      <c r="R39" s="20" t="n">
        <v>0.14173494</v>
      </c>
    </row>
    <row r="40" spans="1:18">
      <c r="A40" s="15" t="s">
        <v>598</v>
      </c>
      <c r="B40" s="17" t="n">
        <v>14157</v>
      </c>
      <c r="C40" s="18">
        <f>(12621.0/B40*100)</f>
        <v/>
      </c>
      <c r="D40" s="19" t="n">
        <v>1536</v>
      </c>
      <c r="E40" s="18" t="n">
        <v>17.76212868</v>
      </c>
      <c r="F40" s="20" t="n">
        <v>1.23921967</v>
      </c>
      <c r="G40" s="18" t="n">
        <v>81.17368324</v>
      </c>
      <c r="H40" s="20" t="n">
        <v>1.40461606</v>
      </c>
      <c r="I40" s="18" t="n">
        <v>0</v>
      </c>
      <c r="J40" s="20" t="n">
        <v>0</v>
      </c>
      <c r="K40" s="18" t="n">
        <v>0.6648682299999999</v>
      </c>
      <c r="L40" s="20" t="n">
        <v>0.3031937</v>
      </c>
      <c r="M40" s="18" t="n">
        <v>0</v>
      </c>
      <c r="N40" s="20" t="n">
        <v>0</v>
      </c>
      <c r="O40" s="18" t="n">
        <v>0</v>
      </c>
      <c r="P40" s="20" t="n">
        <v>0</v>
      </c>
      <c r="Q40" s="18" t="n">
        <v>0.39931986</v>
      </c>
      <c r="R40" s="20" t="n">
        <v>0.28405517</v>
      </c>
    </row>
    <row r="41" spans="1:18">
      <c r="A41" s="15" t="s">
        <v>599</v>
      </c>
      <c r="B41" s="17" t="n">
        <v>5712</v>
      </c>
      <c r="C41" s="18">
        <f>(5092.0/B41*100)</f>
        <v/>
      </c>
      <c r="D41" s="19" t="n">
        <v>620</v>
      </c>
      <c r="E41" s="18" t="n">
        <v>23.52851329</v>
      </c>
      <c r="F41" s="20" t="n">
        <v>2.01366561</v>
      </c>
      <c r="G41" s="18" t="n">
        <v>75.58921094999999</v>
      </c>
      <c r="H41" s="20" t="n">
        <v>2.05188893</v>
      </c>
      <c r="I41" s="18" t="n">
        <v>0</v>
      </c>
      <c r="J41" s="20" t="n">
        <v>0</v>
      </c>
      <c r="K41" s="18" t="n">
        <v>0.76442002</v>
      </c>
      <c r="L41" s="20" t="n">
        <v>0.36442699</v>
      </c>
      <c r="M41" s="18" t="n">
        <v>0</v>
      </c>
      <c r="N41" s="20" t="n">
        <v>0</v>
      </c>
      <c r="O41" s="18" t="n">
        <v>0</v>
      </c>
      <c r="P41" s="20" t="n">
        <v>0</v>
      </c>
      <c r="Q41" s="18" t="n">
        <v>0.11785574</v>
      </c>
      <c r="R41" s="20" t="n">
        <v>0.09707164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(21414.0/B46*100)</f>
        <v/>
      </c>
      <c r="D46" s="19" t="n">
        <v>1727</v>
      </c>
      <c r="E46" s="18" t="n">
        <v>36.28157245</v>
      </c>
      <c r="F46" s="20" t="n">
        <v>1.60337358</v>
      </c>
      <c r="G46" s="18" t="n">
        <v>59.78855427</v>
      </c>
      <c r="H46" s="20" t="n">
        <v>1.68860225</v>
      </c>
      <c r="I46" s="18" t="n">
        <v>0</v>
      </c>
      <c r="J46" s="20" t="n">
        <v>0</v>
      </c>
      <c r="K46" s="18" t="n">
        <v>3.06323349</v>
      </c>
      <c r="L46" s="20" t="n">
        <v>0.62480218</v>
      </c>
      <c r="M46" s="18" t="n">
        <v>0</v>
      </c>
      <c r="N46" s="20" t="n">
        <v>0</v>
      </c>
      <c r="O46" s="18" t="n">
        <v>0</v>
      </c>
      <c r="P46" s="20" t="n">
        <v>0</v>
      </c>
      <c r="Q46" s="18" t="n">
        <v>0.8666398</v>
      </c>
      <c r="R46" s="20" t="n">
        <v>0.27598015</v>
      </c>
    </row>
    <row r="47" spans="1:18">
      <c r="A47" s="15" t="s">
        <v>606</v>
      </c>
      <c r="B47" s="17" t="n">
        <v>5928</v>
      </c>
      <c r="C47" s="18">
        <f>(5303.0/B47*100)</f>
        <v/>
      </c>
      <c r="D47" s="19" t="n">
        <v>625</v>
      </c>
      <c r="E47" s="18" t="n">
        <v>41.976148</v>
      </c>
      <c r="F47" s="20" t="n">
        <v>2.02301841</v>
      </c>
      <c r="G47" s="18" t="n">
        <v>55.49794175</v>
      </c>
      <c r="H47" s="20" t="n">
        <v>2.00723596</v>
      </c>
      <c r="I47" s="18" t="n">
        <v>0</v>
      </c>
      <c r="J47" s="20" t="n">
        <v>0</v>
      </c>
      <c r="K47" s="18" t="n">
        <v>1.71815297</v>
      </c>
      <c r="L47" s="20" t="n">
        <v>0.64483761</v>
      </c>
      <c r="M47" s="18" t="n">
        <v>0</v>
      </c>
      <c r="N47" s="20" t="n">
        <v>0</v>
      </c>
      <c r="O47" s="18" t="n">
        <v>0</v>
      </c>
      <c r="P47" s="20" t="n">
        <v>0</v>
      </c>
      <c r="Q47" s="18" t="n">
        <v>0.80775728</v>
      </c>
      <c r="R47" s="20" t="n">
        <v>0.40157705</v>
      </c>
    </row>
    <row r="48" spans="1:18">
      <c r="A48" s="15" t="s">
        <v>607</v>
      </c>
      <c r="B48" s="17" t="n">
        <v>9841</v>
      </c>
      <c r="C48" s="18">
        <f>(8793.0/B48*100)</f>
        <v/>
      </c>
      <c r="D48" s="19" t="n">
        <v>1048</v>
      </c>
      <c r="E48" s="18" t="n">
        <v>30.83832414</v>
      </c>
      <c r="F48" s="20" t="n">
        <v>2.2229202</v>
      </c>
      <c r="G48" s="18" t="n">
        <v>68.12815804</v>
      </c>
      <c r="H48" s="20" t="n">
        <v>2.2272334</v>
      </c>
      <c r="I48" s="18" t="n">
        <v>0</v>
      </c>
      <c r="J48" s="20" t="n">
        <v>0</v>
      </c>
      <c r="K48" s="18" t="n">
        <v>1.03351782</v>
      </c>
      <c r="L48" s="20" t="n">
        <v>0.6155002899999999</v>
      </c>
      <c r="M48" s="18" t="n">
        <v>0</v>
      </c>
      <c r="N48" s="20" t="n">
        <v>0</v>
      </c>
      <c r="O48" s="18" t="n">
        <v>0</v>
      </c>
      <c r="P48" s="20" t="n">
        <v>0</v>
      </c>
      <c r="Q48" s="18" t="n">
        <v>0</v>
      </c>
      <c r="R48" s="20" t="n">
        <v>0</v>
      </c>
    </row>
    <row r="49" spans="1:18">
      <c r="A49" s="15" t="s">
        <v>608</v>
      </c>
      <c r="B49" s="17" t="n">
        <v>11795</v>
      </c>
      <c r="C49" s="18">
        <f>(10573.0/B49*100)</f>
        <v/>
      </c>
      <c r="D49" s="19" t="n">
        <v>1222</v>
      </c>
      <c r="E49" s="18" t="n">
        <v>31.06331657</v>
      </c>
      <c r="F49" s="20" t="n">
        <v>1.6963177</v>
      </c>
      <c r="G49" s="18" t="n">
        <v>64.95416576</v>
      </c>
      <c r="H49" s="20" t="n">
        <v>1.71701965</v>
      </c>
      <c r="I49" s="18" t="n">
        <v>0</v>
      </c>
      <c r="J49" s="20" t="n">
        <v>0</v>
      </c>
      <c r="K49" s="18" t="n">
        <v>3.53544457</v>
      </c>
      <c r="L49" s="20" t="n">
        <v>0.87172991</v>
      </c>
      <c r="M49" s="18" t="n">
        <v>0</v>
      </c>
      <c r="N49" s="20" t="n">
        <v>0</v>
      </c>
      <c r="O49" s="18" t="n">
        <v>0</v>
      </c>
      <c r="P49" s="20" t="n">
        <v>0</v>
      </c>
      <c r="Q49" s="18" t="n">
        <v>0.4470731</v>
      </c>
      <c r="R49" s="20" t="n">
        <v>0.47348873</v>
      </c>
    </row>
    <row r="50" spans="1:18">
      <c r="A50" s="15" t="s">
        <v>609</v>
      </c>
      <c r="B50" s="17" t="n">
        <v>6866</v>
      </c>
      <c r="C50" s="18">
        <f>(5547.0/B50*100)</f>
        <v/>
      </c>
      <c r="D50" s="19" t="n">
        <v>1319</v>
      </c>
      <c r="E50" s="18" t="n">
        <v>36.45635253</v>
      </c>
      <c r="F50" s="20" t="n">
        <v>1.57130403</v>
      </c>
      <c r="G50" s="18" t="n">
        <v>63.32030935</v>
      </c>
      <c r="H50" s="20" t="n">
        <v>1.57196083</v>
      </c>
      <c r="I50" s="18" t="n">
        <v>0</v>
      </c>
      <c r="J50" s="20" t="n">
        <v>0</v>
      </c>
      <c r="K50" s="18" t="n">
        <v>0.22333813</v>
      </c>
      <c r="L50" s="20" t="n">
        <v>0.13381012</v>
      </c>
      <c r="M50" s="18" t="n">
        <v>0</v>
      </c>
      <c r="N50" s="20" t="n">
        <v>0</v>
      </c>
      <c r="O50" s="18" t="n">
        <v>0</v>
      </c>
      <c r="P50" s="20" t="n">
        <v>0</v>
      </c>
      <c r="Q50" s="18" t="n">
        <v>0</v>
      </c>
      <c r="R50" s="20" t="n">
        <v>0</v>
      </c>
    </row>
    <row r="51" spans="1:18">
      <c r="A51" s="15" t="s">
        <v>610</v>
      </c>
      <c r="B51" s="17" t="n">
        <v>5809</v>
      </c>
      <c r="C51" s="18">
        <f>(5185.0/B51*100)</f>
        <v/>
      </c>
      <c r="D51" s="19" t="n">
        <v>624</v>
      </c>
      <c r="E51" s="18" t="n">
        <v>21.14191436</v>
      </c>
      <c r="F51" s="20" t="n">
        <v>1.79245207</v>
      </c>
      <c r="G51" s="18" t="n">
        <v>78.23027765</v>
      </c>
      <c r="H51" s="20" t="n">
        <v>1.83847919</v>
      </c>
      <c r="I51" s="18" t="n">
        <v>0</v>
      </c>
      <c r="J51" s="20" t="n">
        <v>0</v>
      </c>
      <c r="K51" s="18" t="n">
        <v>0.46604795</v>
      </c>
      <c r="L51" s="20" t="n">
        <v>0.26355544</v>
      </c>
      <c r="M51" s="18" t="n">
        <v>0</v>
      </c>
      <c r="N51" s="20" t="n">
        <v>0</v>
      </c>
      <c r="O51" s="18" t="n">
        <v>0</v>
      </c>
      <c r="P51" s="20" t="n">
        <v>0</v>
      </c>
      <c r="Q51" s="18" t="n">
        <v>0.16176004</v>
      </c>
      <c r="R51" s="20" t="n">
        <v>0.16215595</v>
      </c>
    </row>
    <row r="52" spans="1:18">
      <c r="A52" s="15" t="s">
        <v>611</v>
      </c>
      <c r="B52" s="17" t="n">
        <v>5571</v>
      </c>
      <c r="C52" s="18">
        <f>(4971.0/B52*100)</f>
        <v/>
      </c>
      <c r="D52" s="19" t="n">
        <v>600</v>
      </c>
      <c r="E52" s="18" t="n">
        <v>33.42125106</v>
      </c>
      <c r="F52" s="20" t="n">
        <v>1.52000189</v>
      </c>
      <c r="G52" s="18" t="n">
        <v>65.37061949</v>
      </c>
      <c r="H52" s="20" t="n">
        <v>1.4997325</v>
      </c>
      <c r="I52" s="18" t="n">
        <v>0</v>
      </c>
      <c r="J52" s="20" t="n">
        <v>0</v>
      </c>
      <c r="K52" s="18" t="n">
        <v>1.09750244</v>
      </c>
      <c r="L52" s="20" t="n">
        <v>0.36521243</v>
      </c>
      <c r="M52" s="18" t="n">
        <v>0</v>
      </c>
      <c r="N52" s="20" t="n">
        <v>0</v>
      </c>
      <c r="O52" s="18" t="n">
        <v>0</v>
      </c>
      <c r="P52" s="20" t="n">
        <v>0</v>
      </c>
      <c r="Q52" s="18" t="n">
        <v>0.11062701</v>
      </c>
      <c r="R52" s="20" t="n">
        <v>0.11068465</v>
      </c>
    </row>
    <row r="53" spans="1:18">
      <c r="A53" s="15" t="s">
        <v>612</v>
      </c>
      <c r="B53" s="17" t="n">
        <v>4740</v>
      </c>
      <c r="C53" s="18">
        <f>(4205.0/B53*100)</f>
        <v/>
      </c>
      <c r="D53" s="19" t="n">
        <v>535</v>
      </c>
      <c r="E53" s="18" t="n">
        <v>38.5226863</v>
      </c>
      <c r="F53" s="20" t="n">
        <v>2.20384178</v>
      </c>
      <c r="G53" s="18" t="n">
        <v>36.42072564</v>
      </c>
      <c r="H53" s="20" t="n">
        <v>2.14891381</v>
      </c>
      <c r="I53" s="18" t="n">
        <v>0</v>
      </c>
      <c r="J53" s="20" t="n">
        <v>0</v>
      </c>
      <c r="K53" s="18" t="n">
        <v>24.01346671</v>
      </c>
      <c r="L53" s="20" t="n">
        <v>1.87745091</v>
      </c>
      <c r="M53" s="18" t="n">
        <v>0</v>
      </c>
      <c r="N53" s="20" t="n">
        <v>0</v>
      </c>
      <c r="O53" s="18" t="n">
        <v>0</v>
      </c>
      <c r="P53" s="20" t="n">
        <v>0</v>
      </c>
      <c r="Q53" s="18" t="n">
        <v>1.04312135</v>
      </c>
      <c r="R53" s="20" t="n">
        <v>0.59365632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(4791.0/B55*100)</f>
        <v/>
      </c>
      <c r="D55" s="19" t="n">
        <v>568</v>
      </c>
      <c r="E55" s="18" t="n">
        <v>28.55893886</v>
      </c>
      <c r="F55" s="20" t="n">
        <v>1.81448103</v>
      </c>
      <c r="G55" s="18" t="n">
        <v>71.0897767</v>
      </c>
      <c r="H55" s="20" t="n">
        <v>1.83127463</v>
      </c>
      <c r="I55" s="18" t="n">
        <v>0</v>
      </c>
      <c r="J55" s="20" t="n">
        <v>0</v>
      </c>
      <c r="K55" s="18" t="n">
        <v>0.35128444</v>
      </c>
      <c r="L55" s="20" t="n">
        <v>0.25353907</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(5825.0/B61*100)</f>
        <v/>
      </c>
      <c r="D61" s="19" t="n">
        <v>700</v>
      </c>
      <c r="E61" s="18" t="n">
        <v>26.26326385</v>
      </c>
      <c r="F61" s="20" t="n">
        <v>1.90546226</v>
      </c>
      <c r="G61" s="18" t="n">
        <v>73.36601813</v>
      </c>
      <c r="H61" s="20" t="n">
        <v>1.94486381</v>
      </c>
      <c r="I61" s="18" t="n">
        <v>0</v>
      </c>
      <c r="J61" s="20" t="n">
        <v>0</v>
      </c>
      <c r="K61" s="18" t="n">
        <v>0.37071801</v>
      </c>
      <c r="L61" s="20" t="n">
        <v>0.21284376</v>
      </c>
      <c r="M61" s="18" t="n">
        <v>0</v>
      </c>
      <c r="N61" s="20" t="n">
        <v>0</v>
      </c>
      <c r="O61" s="18" t="n">
        <v>0</v>
      </c>
      <c r="P61" s="20" t="n">
        <v>0</v>
      </c>
      <c r="Q61" s="18" t="n">
        <v>0</v>
      </c>
      <c r="R61" s="20" t="n">
        <v>0</v>
      </c>
    </row>
    <row r="62" spans="1:18">
      <c r="A62" s="15" t="s">
        <v>622</v>
      </c>
      <c r="B62" s="17" t="n">
        <v>4476</v>
      </c>
      <c r="C62" s="18">
        <f>(4022.0/B62*100)</f>
        <v/>
      </c>
      <c r="D62" s="19" t="n">
        <v>454</v>
      </c>
      <c r="E62" s="18" t="n">
        <v>30.84664377</v>
      </c>
      <c r="F62" s="20" t="n">
        <v>2.51179002</v>
      </c>
      <c r="G62" s="18" t="n">
        <v>69.15335623</v>
      </c>
      <c r="H62" s="20" t="n">
        <v>2.51179002</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(5080.0/B67*100)</f>
        <v/>
      </c>
      <c r="D67" s="19" t="n">
        <v>585</v>
      </c>
      <c r="E67" s="18" t="n">
        <v>41.47740785</v>
      </c>
      <c r="F67" s="20" t="n">
        <v>2.07248009</v>
      </c>
      <c r="G67" s="18" t="n">
        <v>55.98538344</v>
      </c>
      <c r="H67" s="20" t="n">
        <v>2.03412168</v>
      </c>
      <c r="I67" s="18" t="n">
        <v>0</v>
      </c>
      <c r="J67" s="20" t="n">
        <v>0</v>
      </c>
      <c r="K67" s="18" t="n">
        <v>1.31852787</v>
      </c>
      <c r="L67" s="20" t="n">
        <v>0.53368643</v>
      </c>
      <c r="M67" s="18" t="n">
        <v>0</v>
      </c>
      <c r="N67" s="20" t="n">
        <v>0</v>
      </c>
      <c r="O67" s="18" t="n">
        <v>0</v>
      </c>
      <c r="P67" s="20" t="n">
        <v>0</v>
      </c>
      <c r="Q67" s="18" t="n">
        <v>1.21868084</v>
      </c>
      <c r="R67" s="20" t="n">
        <v>0.46465152</v>
      </c>
    </row>
    <row r="68" spans="1:18">
      <c r="A68" s="15" t="s">
        <v>628</v>
      </c>
      <c r="B68" s="17" t="n">
        <v>6971</v>
      </c>
      <c r="C68" s="18">
        <f>(6352.0/B68*100)</f>
        <v/>
      </c>
      <c r="D68" s="19" t="n">
        <v>619</v>
      </c>
      <c r="E68" s="18" t="n">
        <v>51.31673356</v>
      </c>
      <c r="F68" s="20" t="n">
        <v>2.01918164</v>
      </c>
      <c r="G68" s="18" t="n">
        <v>48.06576379</v>
      </c>
      <c r="H68" s="20" t="n">
        <v>2.01245037</v>
      </c>
      <c r="I68" s="18" t="n">
        <v>0</v>
      </c>
      <c r="J68" s="20" t="n">
        <v>0</v>
      </c>
      <c r="K68" s="18" t="n">
        <v>0.61750265</v>
      </c>
      <c r="L68" s="20" t="n">
        <v>0.31710195</v>
      </c>
      <c r="M68" s="18" t="n">
        <v>0</v>
      </c>
      <c r="N68" s="20" t="n">
        <v>0</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(10729.0/B70*100)</f>
        <v/>
      </c>
      <c r="D70" s="19" t="n">
        <v>1354</v>
      </c>
      <c r="E70" s="18" t="n">
        <v>52.25799715</v>
      </c>
      <c r="F70" s="20" t="n">
        <v>1.60172078</v>
      </c>
      <c r="G70" s="18" t="n">
        <v>42.75571183</v>
      </c>
      <c r="H70" s="20" t="n">
        <v>1.43036261</v>
      </c>
      <c r="I70" s="18" t="n">
        <v>0</v>
      </c>
      <c r="J70" s="20" t="n">
        <v>0</v>
      </c>
      <c r="K70" s="18" t="n">
        <v>4.45496631</v>
      </c>
      <c r="L70" s="20" t="n">
        <v>0.49431159</v>
      </c>
      <c r="M70" s="18" t="n">
        <v>0</v>
      </c>
      <c r="N70" s="20" t="n">
        <v>0</v>
      </c>
      <c r="O70" s="18" t="n">
        <v>0</v>
      </c>
      <c r="P70" s="20" t="n">
        <v>0</v>
      </c>
      <c r="Q70" s="18" t="n">
        <v>0.53132471</v>
      </c>
      <c r="R70" s="20" t="n">
        <v>0.20116923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(5437.0/B72*100)</f>
        <v/>
      </c>
      <c r="D72" s="19" t="n">
        <v>599</v>
      </c>
      <c r="E72" s="18" t="n">
        <v>44.02863624</v>
      </c>
      <c r="F72" s="20" t="n">
        <v>2.36506768</v>
      </c>
      <c r="G72" s="18" t="n">
        <v>54.42423933</v>
      </c>
      <c r="H72" s="20" t="n">
        <v>2.40605618</v>
      </c>
      <c r="I72" s="18" t="n">
        <v>0</v>
      </c>
      <c r="J72" s="20" t="n">
        <v>0</v>
      </c>
      <c r="K72" s="18" t="n">
        <v>0.80144167</v>
      </c>
      <c r="L72" s="20" t="n">
        <v>0.44504477</v>
      </c>
      <c r="M72" s="18" t="n">
        <v>0</v>
      </c>
      <c r="N72" s="20" t="n">
        <v>0</v>
      </c>
      <c r="O72" s="18" t="n">
        <v>0</v>
      </c>
      <c r="P72" s="20" t="n">
        <v>0</v>
      </c>
      <c r="Q72" s="18" t="n">
        <v>0.74568276</v>
      </c>
      <c r="R72" s="20" t="n">
        <v>0.46990386</v>
      </c>
    </row>
    <row r="73" spans="1:18">
      <c r="A73" s="15" t="s">
        <v>633</v>
      </c>
      <c r="B73" s="17" t="n">
        <v>6115</v>
      </c>
      <c r="C73" s="18">
        <f>(5434.0/B73*100)</f>
        <v/>
      </c>
      <c r="D73" s="19" t="n">
        <v>681</v>
      </c>
      <c r="E73" s="18" t="n">
        <v>31.96121882</v>
      </c>
      <c r="F73" s="20" t="n">
        <v>1.88149216</v>
      </c>
      <c r="G73" s="18" t="n">
        <v>67.52434052</v>
      </c>
      <c r="H73" s="20" t="n">
        <v>1.91294725</v>
      </c>
      <c r="I73" s="18" t="n">
        <v>0</v>
      </c>
      <c r="J73" s="20" t="n">
        <v>0</v>
      </c>
      <c r="K73" s="18" t="n">
        <v>0.51444066</v>
      </c>
      <c r="L73" s="20" t="n">
        <v>0.29963074</v>
      </c>
      <c r="M73" s="18" t="n">
        <v>0</v>
      </c>
      <c r="N73" s="20" t="n">
        <v>0</v>
      </c>
      <c r="O73" s="18" t="n">
        <v>0</v>
      </c>
      <c r="P73" s="20" t="n">
        <v>0</v>
      </c>
      <c r="Q73" s="18" t="n">
        <v>0</v>
      </c>
      <c r="R73" s="20" t="n">
        <v>0</v>
      </c>
    </row>
    <row r="74" spans="1:18">
      <c r="A74" s="15" t="s">
        <v>634</v>
      </c>
      <c r="B74" s="17" t="n">
        <v>7708</v>
      </c>
      <c r="C74" s="18">
        <f>(6867.0/B74*100)</f>
        <v/>
      </c>
      <c r="D74" s="19" t="n">
        <v>841</v>
      </c>
      <c r="E74" s="18" t="n">
        <v>33.03351121</v>
      </c>
      <c r="F74" s="20" t="n">
        <v>1.53126969</v>
      </c>
      <c r="G74" s="18" t="n">
        <v>66.8092576</v>
      </c>
      <c r="H74" s="20" t="n">
        <v>1.53933964</v>
      </c>
      <c r="I74" s="18" t="n">
        <v>0</v>
      </c>
      <c r="J74" s="20" t="n">
        <v>0</v>
      </c>
      <c r="K74" s="18" t="n">
        <v>0.1572312</v>
      </c>
      <c r="L74" s="20" t="n">
        <v>0.15779976</v>
      </c>
      <c r="M74" s="18" t="n">
        <v>0</v>
      </c>
      <c r="N74" s="20" t="n">
        <v>0</v>
      </c>
      <c r="O74" s="18" t="n">
        <v>0</v>
      </c>
      <c r="P74" s="20" t="n">
        <v>0</v>
      </c>
      <c r="Q74" s="18" t="n">
        <v>0</v>
      </c>
      <c r="R74" s="20" t="n">
        <v>0</v>
      </c>
    </row>
    <row r="75" spans="1:18">
      <c r="A75" s="15" t="s">
        <v>635</v>
      </c>
      <c r="B75" s="17" t="n">
        <v>8249</v>
      </c>
      <c r="C75" s="18">
        <f>(7424.0/B75*100)</f>
        <v/>
      </c>
      <c r="D75" s="19" t="n">
        <v>825</v>
      </c>
      <c r="E75" s="18" t="n">
        <v>41.97305864</v>
      </c>
      <c r="F75" s="20" t="n">
        <v>2.19874294</v>
      </c>
      <c r="G75" s="18" t="n">
        <v>58.02694136</v>
      </c>
      <c r="H75" s="20" t="n">
        <v>2.19874294</v>
      </c>
      <c r="I75" s="18" t="n">
        <v>0</v>
      </c>
      <c r="J75" s="20" t="n">
        <v>0</v>
      </c>
      <c r="K75" s="18" t="n">
        <v>0</v>
      </c>
      <c r="L75" s="20" t="n">
        <v>0</v>
      </c>
      <c r="M75" s="18" t="n">
        <v>0</v>
      </c>
      <c r="N75" s="20" t="n">
        <v>0</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(4871.0/B77*100)</f>
        <v/>
      </c>
      <c r="D77" s="19" t="n">
        <v>504</v>
      </c>
      <c r="E77" s="18" t="n">
        <v>37.76965537</v>
      </c>
      <c r="F77" s="20" t="n">
        <v>2.21258156</v>
      </c>
      <c r="G77" s="18" t="n">
        <v>53.85244004</v>
      </c>
      <c r="H77" s="20" t="n">
        <v>2.25379356</v>
      </c>
      <c r="I77" s="18" t="n">
        <v>0</v>
      </c>
      <c r="J77" s="20" t="n">
        <v>0</v>
      </c>
      <c r="K77" s="18" t="n">
        <v>6.9664433</v>
      </c>
      <c r="L77" s="20" t="n">
        <v>1.38648374</v>
      </c>
      <c r="M77" s="18" t="n">
        <v>0</v>
      </c>
      <c r="N77" s="20" t="n">
        <v>0</v>
      </c>
      <c r="O77" s="18" t="n">
        <v>0</v>
      </c>
      <c r="P77" s="20" t="n">
        <v>0</v>
      </c>
      <c r="Q77" s="18" t="n">
        <v>1.41146129</v>
      </c>
      <c r="R77" s="20" t="n">
        <v>0.62555646</v>
      </c>
    </row>
    <row r="78" spans="1:18">
      <c r="A78" s="15" t="s">
        <v>638</v>
      </c>
      <c r="B78" s="17" t="n">
        <v>14167</v>
      </c>
      <c r="C78" s="18">
        <f>(12630.0/B78*100)</f>
        <v/>
      </c>
      <c r="D78" s="19" t="n">
        <v>1537</v>
      </c>
      <c r="E78" s="18" t="n">
        <v>43.72414738</v>
      </c>
      <c r="F78" s="20" t="n">
        <v>1.79195645</v>
      </c>
      <c r="G78" s="18" t="n">
        <v>54.02263204</v>
      </c>
      <c r="H78" s="20" t="n">
        <v>1.8092994</v>
      </c>
      <c r="I78" s="18" t="n">
        <v>0</v>
      </c>
      <c r="J78" s="20" t="n">
        <v>0</v>
      </c>
      <c r="K78" s="18" t="n">
        <v>2.03998693</v>
      </c>
      <c r="L78" s="20" t="n">
        <v>0.45404961</v>
      </c>
      <c r="M78" s="18" t="n">
        <v>0</v>
      </c>
      <c r="N78" s="20" t="n">
        <v>0</v>
      </c>
      <c r="O78" s="18" t="n">
        <v>0</v>
      </c>
      <c r="P78" s="20" t="n">
        <v>0</v>
      </c>
      <c r="Q78" s="18" t="n">
        <v>0.21323365</v>
      </c>
      <c r="R78" s="20" t="n">
        <v>0.10990447</v>
      </c>
    </row>
    <row r="79" spans="1:18">
      <c r="A79" s="15" t="s">
        <v>639</v>
      </c>
      <c r="B79" s="17" t="n">
        <v>6062</v>
      </c>
      <c r="C79" s="18">
        <f>(5434.0/B79*100)</f>
        <v/>
      </c>
      <c r="D79" s="19" t="n">
        <v>628</v>
      </c>
      <c r="E79" s="18" t="n">
        <v>30.13525392</v>
      </c>
      <c r="F79" s="20" t="n">
        <v>1.99127151</v>
      </c>
      <c r="G79" s="18" t="n">
        <v>66.8414657</v>
      </c>
      <c r="H79" s="20" t="n">
        <v>2.0369772</v>
      </c>
      <c r="I79" s="18" t="n">
        <v>0</v>
      </c>
      <c r="J79" s="20" t="n">
        <v>0</v>
      </c>
      <c r="K79" s="18" t="n">
        <v>1.67775648</v>
      </c>
      <c r="L79" s="20" t="n">
        <v>0.44465864</v>
      </c>
      <c r="M79" s="18" t="n">
        <v>0</v>
      </c>
      <c r="N79" s="20" t="n">
        <v>0</v>
      </c>
      <c r="O79" s="18" t="n">
        <v>0</v>
      </c>
      <c r="P79" s="20" t="n">
        <v>0</v>
      </c>
      <c r="Q79" s="18" t="n">
        <v>1.3455239</v>
      </c>
      <c r="R79" s="20" t="n">
        <v>0.53697041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(28871.0/B82*100)</f>
        <v/>
      </c>
      <c r="D82" s="19" t="n">
        <v>3459</v>
      </c>
      <c r="E82" s="18" t="n">
        <v>20.75662371</v>
      </c>
      <c r="F82" s="20" t="n">
        <v>0.93622345</v>
      </c>
      <c r="G82" s="18" t="n">
        <v>78.48312077</v>
      </c>
      <c r="H82" s="20" t="n">
        <v>0.94932489</v>
      </c>
      <c r="I82" s="18" t="n">
        <v>0</v>
      </c>
      <c r="J82" s="20" t="n">
        <v>0</v>
      </c>
      <c r="K82" s="18" t="n">
        <v>0.7175096</v>
      </c>
      <c r="L82" s="20" t="n">
        <v>0.24618234</v>
      </c>
      <c r="M82" s="18" t="n">
        <v>0</v>
      </c>
      <c r="N82" s="20" t="n">
        <v>0</v>
      </c>
      <c r="O82" s="18" t="n">
        <v>0</v>
      </c>
      <c r="P82" s="20" t="n">
        <v>0</v>
      </c>
      <c r="Q82" s="18" t="n">
        <v>0.04274592</v>
      </c>
      <c r="R82" s="20" t="n">
        <v>0.02764567</v>
      </c>
    </row>
    <row r="83" spans="1:18">
      <c r="A83" s="15" t="s">
        <v>643</v>
      </c>
      <c r="B83" s="17" t="n">
        <v>1652</v>
      </c>
      <c r="C83" s="18">
        <f>(1442.0/B83*100)</f>
        <v/>
      </c>
      <c r="D83" s="19" t="n">
        <v>210</v>
      </c>
      <c r="E83" s="18" t="n">
        <v>22.37083677</v>
      </c>
      <c r="F83" s="20" t="n">
        <v>3.87212747</v>
      </c>
      <c r="G83" s="18" t="n">
        <v>77.01717800999999</v>
      </c>
      <c r="H83" s="20" t="n">
        <v>3.79633881</v>
      </c>
      <c r="I83" s="18" t="n">
        <v>0</v>
      </c>
      <c r="J83" s="20" t="n">
        <v>0</v>
      </c>
      <c r="K83" s="18" t="n">
        <v>0.61198523</v>
      </c>
      <c r="L83" s="20" t="n">
        <v>0.60120866</v>
      </c>
      <c r="M83" s="18" t="n">
        <v>0</v>
      </c>
      <c r="N83" s="20" t="n">
        <v>0</v>
      </c>
      <c r="O83" s="18" t="n">
        <v>0</v>
      </c>
      <c r="P83" s="20" t="n">
        <v>0</v>
      </c>
      <c r="Q83" s="18" t="n">
        <v>0</v>
      </c>
      <c r="R83" s="20" t="n">
        <v>0</v>
      </c>
    </row>
    <row r="84" spans="1:18">
      <c r="A84" s="23" t="s">
        <v>644</v>
      </c>
      <c r="B84" s="24" t="n">
        <v>1887</v>
      </c>
      <c r="C84" s="25">
        <f>(1655.0/B84*100)</f>
        <v/>
      </c>
      <c r="D84" s="19" t="n">
        <v>232</v>
      </c>
      <c r="E84" s="18" t="n">
        <v>25.53596044</v>
      </c>
      <c r="F84" s="20" t="n">
        <v>2.95149565</v>
      </c>
      <c r="G84" s="18" t="n">
        <v>74.46403956</v>
      </c>
      <c r="H84" s="20" t="n">
        <v>2.95149565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(12996.0/B7*100)</f>
        <v/>
      </c>
      <c r="D7" s="19" t="n">
        <v>1534</v>
      </c>
      <c r="E7" s="18" t="n">
        <v>19.1146118</v>
      </c>
      <c r="F7" s="20" t="n">
        <v>1.29512675</v>
      </c>
      <c r="G7" s="18" t="n">
        <v>79.78961068</v>
      </c>
      <c r="H7" s="20" t="n">
        <v>1.29787285</v>
      </c>
      <c r="I7" s="18" t="n">
        <v>0</v>
      </c>
      <c r="J7" s="20" t="n">
        <v>0</v>
      </c>
      <c r="K7" s="18" t="n">
        <v>0.49444473</v>
      </c>
      <c r="L7" s="20" t="n">
        <v>0.17460627</v>
      </c>
      <c r="M7" s="18" t="n">
        <v>0</v>
      </c>
      <c r="N7" s="20" t="n">
        <v>0</v>
      </c>
      <c r="O7" s="18" t="n">
        <v>0</v>
      </c>
      <c r="P7" s="20" t="n">
        <v>0</v>
      </c>
      <c r="Q7" s="18" t="n">
        <v>0.60133279</v>
      </c>
      <c r="R7" s="20" t="n">
        <v>0.21208011</v>
      </c>
    </row>
    <row r="8" spans="1:18">
      <c r="A8" s="15" t="s">
        <v>566</v>
      </c>
      <c r="B8" s="17" t="n">
        <v>7007</v>
      </c>
      <c r="C8" s="18">
        <f>(6217.0/B8*100)</f>
        <v/>
      </c>
      <c r="D8" s="19" t="n">
        <v>790</v>
      </c>
      <c r="E8" s="18" t="n">
        <v>12.94407755</v>
      </c>
      <c r="F8" s="20" t="n">
        <v>1.35305528</v>
      </c>
      <c r="G8" s="18" t="n">
        <v>85.91172982000001</v>
      </c>
      <c r="H8" s="20" t="n">
        <v>1.41267373</v>
      </c>
      <c r="I8" s="18" t="n">
        <v>0</v>
      </c>
      <c r="J8" s="20" t="n">
        <v>0</v>
      </c>
      <c r="K8" s="18" t="n">
        <v>0.73068785</v>
      </c>
      <c r="L8" s="20" t="n">
        <v>0.3941927</v>
      </c>
      <c r="M8" s="18" t="n">
        <v>0</v>
      </c>
      <c r="N8" s="20" t="n">
        <v>0</v>
      </c>
      <c r="O8" s="18" t="n">
        <v>0</v>
      </c>
      <c r="P8" s="20" t="n">
        <v>0</v>
      </c>
      <c r="Q8" s="18" t="n">
        <v>0.41350478</v>
      </c>
      <c r="R8" s="20" t="n">
        <v>0.2491436</v>
      </c>
    </row>
    <row r="9" spans="1:18">
      <c r="A9" s="15" t="s">
        <v>567</v>
      </c>
      <c r="B9" s="17" t="n">
        <v>9651</v>
      </c>
      <c r="C9" s="18">
        <f>(8427.0/B9*100)</f>
        <v/>
      </c>
      <c r="D9" s="19" t="n">
        <v>1224</v>
      </c>
      <c r="E9" s="18" t="n">
        <v>26.25856322</v>
      </c>
      <c r="F9" s="20" t="n">
        <v>1.80513336</v>
      </c>
      <c r="G9" s="18" t="n">
        <v>72.00764889</v>
      </c>
      <c r="H9" s="20" t="n">
        <v>1.89394406</v>
      </c>
      <c r="I9" s="18" t="n">
        <v>0</v>
      </c>
      <c r="J9" s="20" t="n">
        <v>0</v>
      </c>
      <c r="K9" s="18" t="n">
        <v>1.15066324</v>
      </c>
      <c r="L9" s="20" t="n">
        <v>0.29243166</v>
      </c>
      <c r="M9" s="18" t="n">
        <v>0</v>
      </c>
      <c r="N9" s="20" t="n">
        <v>0</v>
      </c>
      <c r="O9" s="18" t="n">
        <v>0</v>
      </c>
      <c r="P9" s="20" t="n">
        <v>0</v>
      </c>
      <c r="Q9" s="18" t="n">
        <v>0.58312464</v>
      </c>
      <c r="R9" s="20" t="n">
        <v>0.2107167</v>
      </c>
    </row>
    <row r="10" spans="1:18">
      <c r="A10" s="15" t="s">
        <v>568</v>
      </c>
      <c r="B10" s="17" t="n">
        <v>20058</v>
      </c>
      <c r="C10" s="18">
        <f>(17902.0/B10*100)</f>
        <v/>
      </c>
      <c r="D10" s="19" t="n">
        <v>2156</v>
      </c>
      <c r="E10" s="18" t="n">
        <v>15.63642257</v>
      </c>
      <c r="F10" s="20" t="n">
        <v>1.17269978</v>
      </c>
      <c r="G10" s="18" t="n">
        <v>82.66306505</v>
      </c>
      <c r="H10" s="20" t="n">
        <v>1.16165176</v>
      </c>
      <c r="I10" s="18" t="n">
        <v>0</v>
      </c>
      <c r="J10" s="20" t="n">
        <v>0</v>
      </c>
      <c r="K10" s="18" t="n">
        <v>0.9781521</v>
      </c>
      <c r="L10" s="20" t="n">
        <v>0.2921531</v>
      </c>
      <c r="M10" s="18" t="n">
        <v>0</v>
      </c>
      <c r="N10" s="20" t="n">
        <v>0</v>
      </c>
      <c r="O10" s="18" t="n">
        <v>0</v>
      </c>
      <c r="P10" s="20" t="n">
        <v>0</v>
      </c>
      <c r="Q10" s="18" t="n">
        <v>0.72236028</v>
      </c>
      <c r="R10" s="20" t="n">
        <v>0.29165693</v>
      </c>
    </row>
    <row r="11" spans="1:18">
      <c r="A11" s="15" t="s">
        <v>569</v>
      </c>
      <c r="B11" s="17" t="n">
        <v>7053</v>
      </c>
      <c r="C11" s="18">
        <f>(6298.0/B11*100)</f>
        <v/>
      </c>
      <c r="D11" s="19" t="n">
        <v>755</v>
      </c>
      <c r="E11" s="18" t="n">
        <v>28.24276059</v>
      </c>
      <c r="F11" s="20" t="n">
        <v>2.09948345</v>
      </c>
      <c r="G11" s="18" t="n">
        <v>68.99884145</v>
      </c>
      <c r="H11" s="20" t="n">
        <v>1.99464733</v>
      </c>
      <c r="I11" s="18" t="n">
        <v>0</v>
      </c>
      <c r="J11" s="20" t="n">
        <v>0</v>
      </c>
      <c r="K11" s="18" t="n">
        <v>2.22492468</v>
      </c>
      <c r="L11" s="20" t="n">
        <v>0.54561168</v>
      </c>
      <c r="M11" s="18" t="n">
        <v>0</v>
      </c>
      <c r="N11" s="20" t="n">
        <v>0</v>
      </c>
      <c r="O11" s="18" t="n">
        <v>0</v>
      </c>
      <c r="P11" s="20" t="n">
        <v>0</v>
      </c>
      <c r="Q11" s="18" t="n">
        <v>0.53347328</v>
      </c>
      <c r="R11" s="20" t="n">
        <v>0.35642481</v>
      </c>
    </row>
    <row r="12" spans="1:18">
      <c r="A12" s="15" t="s">
        <v>570</v>
      </c>
      <c r="B12" s="17" t="n">
        <v>6894</v>
      </c>
      <c r="C12" s="18">
        <f>(6078.0/B12*100)</f>
        <v/>
      </c>
      <c r="D12" s="19" t="n">
        <v>816</v>
      </c>
      <c r="E12" s="18" t="n">
        <v>26.71206189</v>
      </c>
      <c r="F12" s="20" t="n">
        <v>2.56891981</v>
      </c>
      <c r="G12" s="18" t="n">
        <v>72.18975555</v>
      </c>
      <c r="H12" s="20" t="n">
        <v>2.67823156</v>
      </c>
      <c r="I12" s="18" t="n">
        <v>0</v>
      </c>
      <c r="J12" s="20" t="n">
        <v>0</v>
      </c>
      <c r="K12" s="18" t="n">
        <v>0.53790866</v>
      </c>
      <c r="L12" s="20" t="n">
        <v>0.26351744</v>
      </c>
      <c r="M12" s="18" t="n">
        <v>0</v>
      </c>
      <c r="N12" s="20" t="n">
        <v>0</v>
      </c>
      <c r="O12" s="18" t="n">
        <v>0</v>
      </c>
      <c r="P12" s="20" t="n">
        <v>0</v>
      </c>
      <c r="Q12" s="18" t="n">
        <v>0.56027391</v>
      </c>
      <c r="R12" s="20" t="n">
        <v>0.34587961</v>
      </c>
    </row>
    <row r="13" spans="1:18">
      <c r="A13" s="15" t="s">
        <v>571</v>
      </c>
      <c r="B13" s="17" t="n">
        <v>7161</v>
      </c>
      <c r="C13" s="18">
        <f>(6091.0/B13*100)</f>
        <v/>
      </c>
      <c r="D13" s="19" t="n">
        <v>1070</v>
      </c>
      <c r="E13" s="18" t="n">
        <v>21.33717419</v>
      </c>
      <c r="F13" s="20" t="n">
        <v>1.56555797</v>
      </c>
      <c r="G13" s="18" t="n">
        <v>76.58662687</v>
      </c>
      <c r="H13" s="20" t="n">
        <v>1.49585217</v>
      </c>
      <c r="I13" s="18" t="n">
        <v>0</v>
      </c>
      <c r="J13" s="20" t="n">
        <v>0</v>
      </c>
      <c r="K13" s="18" t="n">
        <v>1.53051368</v>
      </c>
      <c r="L13" s="20" t="n">
        <v>0.44107828</v>
      </c>
      <c r="M13" s="18" t="n">
        <v>0</v>
      </c>
      <c r="N13" s="20" t="n">
        <v>0</v>
      </c>
      <c r="O13" s="18" t="n">
        <v>0</v>
      </c>
      <c r="P13" s="20" t="n">
        <v>0</v>
      </c>
      <c r="Q13" s="18" t="n">
        <v>0.5456852599999999</v>
      </c>
      <c r="R13" s="20" t="n">
        <v>0.28473191</v>
      </c>
    </row>
    <row r="14" spans="1:18">
      <c r="A14" s="15" t="s">
        <v>572</v>
      </c>
      <c r="B14" s="17" t="n">
        <v>5587</v>
      </c>
      <c r="C14" s="18">
        <f>(4999.0/B14*100)</f>
        <v/>
      </c>
      <c r="D14" s="19" t="n">
        <v>588</v>
      </c>
      <c r="E14" s="18" t="n">
        <v>12.72465635</v>
      </c>
      <c r="F14" s="20" t="n">
        <v>1.56570981</v>
      </c>
      <c r="G14" s="18" t="n">
        <v>85.37585375</v>
      </c>
      <c r="H14" s="20" t="n">
        <v>1.6815344</v>
      </c>
      <c r="I14" s="18" t="n">
        <v>0</v>
      </c>
      <c r="J14" s="20" t="n">
        <v>0</v>
      </c>
      <c r="K14" s="18" t="n">
        <v>0.81511533</v>
      </c>
      <c r="L14" s="20" t="n">
        <v>0.45854034</v>
      </c>
      <c r="M14" s="18" t="n">
        <v>0</v>
      </c>
      <c r="N14" s="20" t="n">
        <v>0</v>
      </c>
      <c r="O14" s="18" t="n">
        <v>0</v>
      </c>
      <c r="P14" s="20" t="n">
        <v>0</v>
      </c>
      <c r="Q14" s="18" t="n">
        <v>1.08437458</v>
      </c>
      <c r="R14" s="20" t="n">
        <v>0.52720721</v>
      </c>
    </row>
    <row r="15" spans="1:18">
      <c r="A15" s="15" t="s">
        <v>573</v>
      </c>
      <c r="B15" s="17" t="n">
        <v>5882</v>
      </c>
      <c r="C15" s="18">
        <f>(5196.0/B15*100)</f>
        <v/>
      </c>
      <c r="D15" s="19" t="n">
        <v>686</v>
      </c>
      <c r="E15" s="18" t="n">
        <v>14.53569351</v>
      </c>
      <c r="F15" s="20" t="n">
        <v>1.79087239</v>
      </c>
      <c r="G15" s="18" t="n">
        <v>84.34381458999999</v>
      </c>
      <c r="H15" s="20" t="n">
        <v>2.43868535</v>
      </c>
      <c r="I15" s="18" t="n">
        <v>0</v>
      </c>
      <c r="J15" s="20" t="n">
        <v>0</v>
      </c>
      <c r="K15" s="18" t="n">
        <v>0.5680702399999999</v>
      </c>
      <c r="L15" s="20" t="n">
        <v>0.35548338</v>
      </c>
      <c r="M15" s="18" t="n">
        <v>0</v>
      </c>
      <c r="N15" s="20" t="n">
        <v>0</v>
      </c>
      <c r="O15" s="18" t="n">
        <v>0</v>
      </c>
      <c r="P15" s="20" t="n">
        <v>0</v>
      </c>
      <c r="Q15" s="18" t="n">
        <v>0.55242166</v>
      </c>
      <c r="R15" s="20" t="n">
        <v>0.51991054</v>
      </c>
    </row>
    <row r="16" spans="1:18">
      <c r="A16" s="15" t="s">
        <v>574</v>
      </c>
      <c r="B16" s="17" t="n">
        <v>6108</v>
      </c>
      <c r="C16" s="18">
        <f>(5482.0/B16*100)</f>
        <v/>
      </c>
      <c r="D16" s="19" t="n">
        <v>626</v>
      </c>
      <c r="E16" s="18" t="n">
        <v>24.89108025</v>
      </c>
      <c r="F16" s="20" t="n">
        <v>1.66082125</v>
      </c>
      <c r="G16" s="18" t="n">
        <v>72.47634377999999</v>
      </c>
      <c r="H16" s="20" t="n">
        <v>1.82494889</v>
      </c>
      <c r="I16" s="18" t="n">
        <v>0</v>
      </c>
      <c r="J16" s="20" t="n">
        <v>0</v>
      </c>
      <c r="K16" s="18" t="n">
        <v>1.77985953</v>
      </c>
      <c r="L16" s="20" t="n">
        <v>0.55402672</v>
      </c>
      <c r="M16" s="18" t="n">
        <v>0</v>
      </c>
      <c r="N16" s="20" t="n">
        <v>0</v>
      </c>
      <c r="O16" s="18" t="n">
        <v>0</v>
      </c>
      <c r="P16" s="20" t="n">
        <v>0</v>
      </c>
      <c r="Q16" s="18" t="n">
        <v>0.85271644</v>
      </c>
      <c r="R16" s="20" t="n">
        <v>0.36940465</v>
      </c>
    </row>
    <row r="17" spans="1:18">
      <c r="A17" s="15" t="s">
        <v>575</v>
      </c>
      <c r="B17" s="17" t="n">
        <v>6504</v>
      </c>
      <c r="C17" s="18">
        <f>(5694.0/B17*100)</f>
        <v/>
      </c>
      <c r="D17" s="19" t="n">
        <v>810</v>
      </c>
      <c r="E17" s="18" t="n">
        <v>16.45476656</v>
      </c>
      <c r="F17" s="20" t="n">
        <v>2.23892893</v>
      </c>
      <c r="G17" s="18" t="n">
        <v>81.29775643000001</v>
      </c>
      <c r="H17" s="20" t="n">
        <v>2.42761497</v>
      </c>
      <c r="I17" s="18" t="n">
        <v>0</v>
      </c>
      <c r="J17" s="20" t="n">
        <v>0</v>
      </c>
      <c r="K17" s="18" t="n">
        <v>1.25868225</v>
      </c>
      <c r="L17" s="20" t="n">
        <v>0.46473508</v>
      </c>
      <c r="M17" s="18" t="n">
        <v>0</v>
      </c>
      <c r="N17" s="20" t="n">
        <v>0</v>
      </c>
      <c r="O17" s="18" t="n">
        <v>0</v>
      </c>
      <c r="P17" s="20" t="n">
        <v>0</v>
      </c>
      <c r="Q17" s="18" t="n">
        <v>0.98879476</v>
      </c>
      <c r="R17" s="20" t="n">
        <v>0.2681518</v>
      </c>
    </row>
    <row r="18" spans="1:18">
      <c r="A18" s="15" t="s">
        <v>576</v>
      </c>
      <c r="B18" s="17" t="n">
        <v>5532</v>
      </c>
      <c r="C18" s="18">
        <f>(4946.0/B18*100)</f>
        <v/>
      </c>
      <c r="D18" s="19" t="n">
        <v>586</v>
      </c>
      <c r="E18" s="18" t="n">
        <v>30.58410912</v>
      </c>
      <c r="F18" s="20" t="n">
        <v>2.10551808</v>
      </c>
      <c r="G18" s="18" t="n">
        <v>67.29408346</v>
      </c>
      <c r="H18" s="20" t="n">
        <v>2.22064595</v>
      </c>
      <c r="I18" s="18" t="n">
        <v>0</v>
      </c>
      <c r="J18" s="20" t="n">
        <v>0</v>
      </c>
      <c r="K18" s="18" t="n">
        <v>0.71357965</v>
      </c>
      <c r="L18" s="20" t="n">
        <v>0.42663508</v>
      </c>
      <c r="M18" s="18" t="n">
        <v>0</v>
      </c>
      <c r="N18" s="20" t="n">
        <v>0</v>
      </c>
      <c r="O18" s="18" t="n">
        <v>0</v>
      </c>
      <c r="P18" s="20" t="n">
        <v>0</v>
      </c>
      <c r="Q18" s="18" t="n">
        <v>1.40822778</v>
      </c>
      <c r="R18" s="20" t="n">
        <v>0.63613728</v>
      </c>
    </row>
    <row r="19" spans="1:18">
      <c r="A19" s="15" t="s">
        <v>577</v>
      </c>
      <c r="B19" s="17" t="n">
        <v>5658</v>
      </c>
      <c r="C19" s="18">
        <f>(5033.0/B19*100)</f>
        <v/>
      </c>
      <c r="D19" s="19" t="n">
        <v>625</v>
      </c>
      <c r="E19" s="18" t="n">
        <v>23.28309403</v>
      </c>
      <c r="F19" s="20" t="n">
        <v>1.63175046</v>
      </c>
      <c r="G19" s="18" t="n">
        <v>75.66880102</v>
      </c>
      <c r="H19" s="20" t="n">
        <v>1.68543934</v>
      </c>
      <c r="I19" s="18" t="n">
        <v>0</v>
      </c>
      <c r="J19" s="20" t="n">
        <v>0</v>
      </c>
      <c r="K19" s="18" t="n">
        <v>0.43525112</v>
      </c>
      <c r="L19" s="20" t="n">
        <v>0.25272089</v>
      </c>
      <c r="M19" s="18" t="n">
        <v>0</v>
      </c>
      <c r="N19" s="20" t="n">
        <v>0</v>
      </c>
      <c r="O19" s="18" t="n">
        <v>0</v>
      </c>
      <c r="P19" s="20" t="n">
        <v>0</v>
      </c>
      <c r="Q19" s="18" t="n">
        <v>0.61285384</v>
      </c>
      <c r="R19" s="20" t="n">
        <v>0.31073981</v>
      </c>
    </row>
    <row r="20" spans="1:18">
      <c r="A20" s="15" t="s">
        <v>578</v>
      </c>
      <c r="B20" s="17" t="n">
        <v>3371</v>
      </c>
      <c r="C20" s="18">
        <f>(3036.0/B20*100)</f>
        <v/>
      </c>
      <c r="D20" s="19" t="n">
        <v>335</v>
      </c>
      <c r="E20" s="18" t="n">
        <v>25.24336951</v>
      </c>
      <c r="F20" s="20" t="n">
        <v>2.25107555</v>
      </c>
      <c r="G20" s="18" t="n">
        <v>71.92237983</v>
      </c>
      <c r="H20" s="20" t="n">
        <v>2.29348333</v>
      </c>
      <c r="I20" s="18" t="n">
        <v>0</v>
      </c>
      <c r="J20" s="20" t="n">
        <v>0</v>
      </c>
      <c r="K20" s="18" t="n">
        <v>2.44780867</v>
      </c>
      <c r="L20" s="20" t="n">
        <v>0.81933964</v>
      </c>
      <c r="M20" s="18" t="n">
        <v>0</v>
      </c>
      <c r="N20" s="20" t="n">
        <v>0</v>
      </c>
      <c r="O20" s="18" t="n">
        <v>0</v>
      </c>
      <c r="P20" s="20" t="n">
        <v>0</v>
      </c>
      <c r="Q20" s="18" t="n">
        <v>0.38644199</v>
      </c>
      <c r="R20" s="20" t="n">
        <v>0.37813615</v>
      </c>
    </row>
    <row r="21" spans="1:18">
      <c r="A21" s="15" t="s">
        <v>579</v>
      </c>
      <c r="B21" s="17" t="n">
        <v>5741</v>
      </c>
      <c r="C21" s="18">
        <f>(5095.0/B21*100)</f>
        <v/>
      </c>
      <c r="D21" s="19" t="n">
        <v>646</v>
      </c>
      <c r="E21" s="18" t="n">
        <v>21.81655903</v>
      </c>
      <c r="F21" s="20" t="n">
        <v>1.8375342</v>
      </c>
      <c r="G21" s="18" t="n">
        <v>76.62604435999999</v>
      </c>
      <c r="H21" s="20" t="n">
        <v>1.85481683</v>
      </c>
      <c r="I21" s="18" t="n">
        <v>0</v>
      </c>
      <c r="J21" s="20" t="n">
        <v>0</v>
      </c>
      <c r="K21" s="18" t="n">
        <v>0.47213796</v>
      </c>
      <c r="L21" s="20" t="n">
        <v>0.27156322</v>
      </c>
      <c r="M21" s="18" t="n">
        <v>0</v>
      </c>
      <c r="N21" s="20" t="n">
        <v>0</v>
      </c>
      <c r="O21" s="18" t="n">
        <v>0</v>
      </c>
      <c r="P21" s="20" t="n">
        <v>0</v>
      </c>
      <c r="Q21" s="18" t="n">
        <v>1.08525865</v>
      </c>
      <c r="R21" s="20" t="n">
        <v>0.40740079</v>
      </c>
    </row>
    <row r="22" spans="1:18">
      <c r="A22" s="15" t="s">
        <v>580</v>
      </c>
      <c r="B22" s="17" t="n">
        <v>6598</v>
      </c>
      <c r="C22" s="18">
        <f>(5954.0/B22*100)</f>
        <v/>
      </c>
      <c r="D22" s="19" t="n">
        <v>644</v>
      </c>
      <c r="E22" s="18" t="n">
        <v>33.5725459</v>
      </c>
      <c r="F22" s="20" t="n">
        <v>1.75847385</v>
      </c>
      <c r="G22" s="18" t="n">
        <v>64.58840694</v>
      </c>
      <c r="H22" s="20" t="n">
        <v>1.81466963</v>
      </c>
      <c r="I22" s="18" t="n">
        <v>0</v>
      </c>
      <c r="J22" s="20" t="n">
        <v>0</v>
      </c>
      <c r="K22" s="18" t="n">
        <v>1.05927338</v>
      </c>
      <c r="L22" s="20" t="n">
        <v>0.41030762</v>
      </c>
      <c r="M22" s="18" t="n">
        <v>0</v>
      </c>
      <c r="N22" s="20" t="n">
        <v>0</v>
      </c>
      <c r="O22" s="18" t="n">
        <v>0</v>
      </c>
      <c r="P22" s="20" t="n">
        <v>0</v>
      </c>
      <c r="Q22" s="18" t="n">
        <v>0.77977378</v>
      </c>
      <c r="R22" s="20" t="n">
        <v>0.36436509</v>
      </c>
    </row>
    <row r="23" spans="1:18">
      <c r="A23" s="15" t="s">
        <v>581</v>
      </c>
      <c r="B23" s="17" t="n">
        <v>11583</v>
      </c>
      <c r="C23" s="18">
        <f>(10319.0/B23*100)</f>
        <v/>
      </c>
      <c r="D23" s="19" t="n">
        <v>1264</v>
      </c>
      <c r="E23" s="18" t="n">
        <v>24.04394982</v>
      </c>
      <c r="F23" s="20" t="n">
        <v>1.91969221</v>
      </c>
      <c r="G23" s="18" t="n">
        <v>74.12999752</v>
      </c>
      <c r="H23" s="20" t="n">
        <v>2.0076402</v>
      </c>
      <c r="I23" s="18" t="n">
        <v>0</v>
      </c>
      <c r="J23" s="20" t="n">
        <v>0</v>
      </c>
      <c r="K23" s="18" t="n">
        <v>1.55073531</v>
      </c>
      <c r="L23" s="20" t="n">
        <v>0.58746071</v>
      </c>
      <c r="M23" s="18" t="n">
        <v>0</v>
      </c>
      <c r="N23" s="20" t="n">
        <v>0</v>
      </c>
      <c r="O23" s="18" t="n">
        <v>0</v>
      </c>
      <c r="P23" s="20" t="n">
        <v>0</v>
      </c>
      <c r="Q23" s="18" t="n">
        <v>0.27531735</v>
      </c>
      <c r="R23" s="20" t="n">
        <v>0.15599285</v>
      </c>
    </row>
    <row r="24" spans="1:18">
      <c r="A24" s="15" t="s">
        <v>582</v>
      </c>
      <c r="B24" s="17" t="n">
        <v>6647</v>
      </c>
      <c r="C24" s="18">
        <f>(5919.0/B24*100)</f>
        <v/>
      </c>
      <c r="D24" s="19" t="n">
        <v>728</v>
      </c>
      <c r="E24" s="18" t="n">
        <v>18.54283735</v>
      </c>
      <c r="F24" s="20" t="n">
        <v>1.46169613</v>
      </c>
      <c r="G24" s="18" t="n">
        <v>80.80514089</v>
      </c>
      <c r="H24" s="20" t="n">
        <v>1.42127756</v>
      </c>
      <c r="I24" s="18" t="n">
        <v>0</v>
      </c>
      <c r="J24" s="20" t="n">
        <v>0</v>
      </c>
      <c r="K24" s="18" t="n">
        <v>0.246168</v>
      </c>
      <c r="L24" s="20" t="n">
        <v>0.17438465</v>
      </c>
      <c r="M24" s="18" t="n">
        <v>0</v>
      </c>
      <c r="N24" s="20" t="n">
        <v>0</v>
      </c>
      <c r="O24" s="18" t="n">
        <v>0</v>
      </c>
      <c r="P24" s="20" t="n">
        <v>0</v>
      </c>
      <c r="Q24" s="18" t="n">
        <v>0.40585376</v>
      </c>
      <c r="R24" s="20" t="n">
        <v>0.23705551</v>
      </c>
    </row>
    <row r="25" spans="1:18">
      <c r="A25" s="15" t="s">
        <v>583</v>
      </c>
      <c r="B25" s="17" t="n">
        <v>5581</v>
      </c>
      <c r="C25" s="18">
        <f>(4957.0/B25*100)</f>
        <v/>
      </c>
      <c r="D25" s="19" t="n">
        <v>624</v>
      </c>
      <c r="E25" s="18" t="n">
        <v>24.75691077</v>
      </c>
      <c r="F25" s="20" t="n">
        <v>1.56776659</v>
      </c>
      <c r="G25" s="18" t="n">
        <v>73.83178473</v>
      </c>
      <c r="H25" s="20" t="n">
        <v>1.66690376</v>
      </c>
      <c r="I25" s="18" t="n">
        <v>0</v>
      </c>
      <c r="J25" s="20" t="n">
        <v>0</v>
      </c>
      <c r="K25" s="18" t="n">
        <v>1.10304407</v>
      </c>
      <c r="L25" s="20" t="n">
        <v>0.43958784</v>
      </c>
      <c r="M25" s="18" t="n">
        <v>0</v>
      </c>
      <c r="N25" s="20" t="n">
        <v>0</v>
      </c>
      <c r="O25" s="18" t="n">
        <v>0</v>
      </c>
      <c r="P25" s="20" t="n">
        <v>0</v>
      </c>
      <c r="Q25" s="18" t="n">
        <v>0.30826043</v>
      </c>
      <c r="R25" s="20" t="n">
        <v>0.21775735</v>
      </c>
    </row>
    <row r="26" spans="1:18">
      <c r="A26" s="15" t="s">
        <v>584</v>
      </c>
      <c r="B26" s="17" t="n">
        <v>4869</v>
      </c>
      <c r="C26" s="18">
        <f>(4344.0/B26*100)</f>
        <v/>
      </c>
      <c r="D26" s="19" t="n">
        <v>525</v>
      </c>
      <c r="E26" s="18" t="n">
        <v>24.13272592</v>
      </c>
      <c r="F26" s="20" t="n">
        <v>2.18862298</v>
      </c>
      <c r="G26" s="18" t="n">
        <v>75.51918239</v>
      </c>
      <c r="H26" s="20" t="n">
        <v>2.17387328</v>
      </c>
      <c r="I26" s="18" t="n">
        <v>0</v>
      </c>
      <c r="J26" s="20" t="n">
        <v>0</v>
      </c>
      <c r="K26" s="18" t="n">
        <v>0</v>
      </c>
      <c r="L26" s="20" t="n">
        <v>0</v>
      </c>
      <c r="M26" s="18" t="n">
        <v>0</v>
      </c>
      <c r="N26" s="20" t="n">
        <v>0</v>
      </c>
      <c r="O26" s="18" t="n">
        <v>0</v>
      </c>
      <c r="P26" s="20" t="n">
        <v>0</v>
      </c>
      <c r="Q26" s="18" t="n">
        <v>0.34809169</v>
      </c>
      <c r="R26" s="20" t="n">
        <v>0.36422246</v>
      </c>
    </row>
    <row r="27" spans="1:18">
      <c r="A27" s="15" t="s">
        <v>585</v>
      </c>
      <c r="B27" s="17" t="n">
        <v>5299</v>
      </c>
      <c r="C27" s="18">
        <f>(4744.0/B27*100)</f>
        <v/>
      </c>
      <c r="D27" s="19" t="n">
        <v>555</v>
      </c>
      <c r="E27" s="18" t="n">
        <v>19.49382565</v>
      </c>
      <c r="F27" s="20" t="n">
        <v>1.8153045</v>
      </c>
      <c r="G27" s="18" t="n">
        <v>79.22299142</v>
      </c>
      <c r="H27" s="20" t="n">
        <v>1.89762729</v>
      </c>
      <c r="I27" s="18" t="n">
        <v>0</v>
      </c>
      <c r="J27" s="20" t="n">
        <v>0</v>
      </c>
      <c r="K27" s="18" t="n">
        <v>1.09917069</v>
      </c>
      <c r="L27" s="20" t="n">
        <v>0.43811133</v>
      </c>
      <c r="M27" s="18" t="n">
        <v>0</v>
      </c>
      <c r="N27" s="20" t="n">
        <v>0</v>
      </c>
      <c r="O27" s="18" t="n">
        <v>0</v>
      </c>
      <c r="P27" s="20" t="n">
        <v>0</v>
      </c>
      <c r="Q27" s="18" t="n">
        <v>0.18401224</v>
      </c>
      <c r="R27" s="20" t="n">
        <v>0.18512607</v>
      </c>
    </row>
    <row r="28" spans="1:18">
      <c r="A28" s="15" t="s">
        <v>586</v>
      </c>
      <c r="B28" s="17" t="n">
        <v>7568</v>
      </c>
      <c r="C28" s="18">
        <f>(6840.0/B28*100)</f>
        <v/>
      </c>
      <c r="D28" s="19" t="n">
        <v>728</v>
      </c>
      <c r="E28" s="18" t="n">
        <v>34.6707319</v>
      </c>
      <c r="F28" s="20" t="n">
        <v>1.98435174</v>
      </c>
      <c r="G28" s="18" t="n">
        <v>62.92642663</v>
      </c>
      <c r="H28" s="20" t="n">
        <v>1.99915148</v>
      </c>
      <c r="I28" s="18" t="n">
        <v>0</v>
      </c>
      <c r="J28" s="20" t="n">
        <v>0</v>
      </c>
      <c r="K28" s="18" t="n">
        <v>1.5724723</v>
      </c>
      <c r="L28" s="20" t="n">
        <v>0.50391944</v>
      </c>
      <c r="M28" s="18" t="n">
        <v>0</v>
      </c>
      <c r="N28" s="20" t="n">
        <v>0</v>
      </c>
      <c r="O28" s="18" t="n">
        <v>0</v>
      </c>
      <c r="P28" s="20" t="n">
        <v>0</v>
      </c>
      <c r="Q28" s="18" t="n">
        <v>0.83036917</v>
      </c>
      <c r="R28" s="20" t="n">
        <v>0.39189156</v>
      </c>
    </row>
    <row r="29" spans="1:18">
      <c r="A29" s="15" t="s">
        <v>587</v>
      </c>
      <c r="B29" s="17" t="n">
        <v>5385</v>
      </c>
      <c r="C29" s="18">
        <f>(4638.0/B29*100)</f>
        <v/>
      </c>
      <c r="D29" s="19" t="n">
        <v>747</v>
      </c>
      <c r="E29" s="18" t="n">
        <v>24.36548754</v>
      </c>
      <c r="F29" s="20" t="n">
        <v>1.40973968</v>
      </c>
      <c r="G29" s="18" t="n">
        <v>74.51018008</v>
      </c>
      <c r="H29" s="20" t="n">
        <v>1.50771356</v>
      </c>
      <c r="I29" s="18" t="n">
        <v>0</v>
      </c>
      <c r="J29" s="20" t="n">
        <v>0</v>
      </c>
      <c r="K29" s="18" t="n">
        <v>0.87537469</v>
      </c>
      <c r="L29" s="20" t="n">
        <v>0.31775849</v>
      </c>
      <c r="M29" s="18" t="n">
        <v>0</v>
      </c>
      <c r="N29" s="20" t="n">
        <v>0</v>
      </c>
      <c r="O29" s="18" t="n">
        <v>0</v>
      </c>
      <c r="P29" s="20" t="n">
        <v>0</v>
      </c>
      <c r="Q29" s="18" t="n">
        <v>0.24895769</v>
      </c>
      <c r="R29" s="20" t="n">
        <v>0.19490523</v>
      </c>
    </row>
    <row r="30" spans="1:18">
      <c r="A30" s="15" t="s">
        <v>588</v>
      </c>
      <c r="B30" s="17" t="n">
        <v>4520</v>
      </c>
      <c r="C30" s="18">
        <f>(4051.0/B30*100)</f>
        <v/>
      </c>
      <c r="D30" s="19" t="n">
        <v>469</v>
      </c>
      <c r="E30" s="18" t="n">
        <v>20.24102056</v>
      </c>
      <c r="F30" s="20" t="n">
        <v>2.0296356</v>
      </c>
      <c r="G30" s="18" t="n">
        <v>77.99753109</v>
      </c>
      <c r="H30" s="20" t="n">
        <v>2.18691104</v>
      </c>
      <c r="I30" s="18" t="n">
        <v>0</v>
      </c>
      <c r="J30" s="20" t="n">
        <v>0</v>
      </c>
      <c r="K30" s="18" t="n">
        <v>1.16602232</v>
      </c>
      <c r="L30" s="20" t="n">
        <v>0.49383067</v>
      </c>
      <c r="M30" s="18" t="n">
        <v>0</v>
      </c>
      <c r="N30" s="20" t="n">
        <v>0</v>
      </c>
      <c r="O30" s="18" t="n">
        <v>0</v>
      </c>
      <c r="P30" s="20" t="n">
        <v>0</v>
      </c>
      <c r="Q30" s="18" t="n">
        <v>0.5954260300000001</v>
      </c>
      <c r="R30" s="20" t="n">
        <v>0.35823704</v>
      </c>
    </row>
    <row r="31" spans="1:18">
      <c r="A31" s="15" t="s">
        <v>589</v>
      </c>
      <c r="B31" s="17" t="n">
        <v>5456</v>
      </c>
      <c r="C31" s="18">
        <f>(4888.0/B31*100)</f>
        <v/>
      </c>
      <c r="D31" s="19" t="n">
        <v>568</v>
      </c>
      <c r="E31" s="18" t="n">
        <v>24.71646315</v>
      </c>
      <c r="F31" s="20" t="n">
        <v>2.05715326</v>
      </c>
      <c r="G31" s="18" t="n">
        <v>73.25516577</v>
      </c>
      <c r="H31" s="20" t="n">
        <v>2.04385206</v>
      </c>
      <c r="I31" s="18" t="n">
        <v>0</v>
      </c>
      <c r="J31" s="20" t="n">
        <v>0</v>
      </c>
      <c r="K31" s="18" t="n">
        <v>1.5109375</v>
      </c>
      <c r="L31" s="20" t="n">
        <v>0.49983234</v>
      </c>
      <c r="M31" s="18" t="n">
        <v>0</v>
      </c>
      <c r="N31" s="20" t="n">
        <v>0</v>
      </c>
      <c r="O31" s="18" t="n">
        <v>0</v>
      </c>
      <c r="P31" s="20" t="n">
        <v>0</v>
      </c>
      <c r="Q31" s="18" t="n">
        <v>0.5174335799999999</v>
      </c>
      <c r="R31" s="20" t="n">
        <v>0.3065839</v>
      </c>
    </row>
    <row r="32" spans="1:18">
      <c r="A32" s="15" t="s">
        <v>590</v>
      </c>
      <c r="B32" s="17" t="n">
        <v>4478</v>
      </c>
      <c r="C32" s="18">
        <f>(3997.0/B32*100)</f>
        <v/>
      </c>
      <c r="D32" s="19" t="n">
        <v>481</v>
      </c>
      <c r="E32" s="18" t="n">
        <v>15.12113422</v>
      </c>
      <c r="F32" s="20" t="n">
        <v>1.88022536</v>
      </c>
      <c r="G32" s="18" t="n">
        <v>84.18269927</v>
      </c>
      <c r="H32" s="20" t="n">
        <v>1.93969769</v>
      </c>
      <c r="I32" s="18" t="n">
        <v>0</v>
      </c>
      <c r="J32" s="20" t="n">
        <v>0</v>
      </c>
      <c r="K32" s="18" t="n">
        <v>0.40955948</v>
      </c>
      <c r="L32" s="20" t="n">
        <v>0.27862171</v>
      </c>
      <c r="M32" s="18" t="n">
        <v>0</v>
      </c>
      <c r="N32" s="20" t="n">
        <v>0</v>
      </c>
      <c r="O32" s="18" t="n">
        <v>0</v>
      </c>
      <c r="P32" s="20" t="n">
        <v>0</v>
      </c>
      <c r="Q32" s="18" t="n">
        <v>0.28660703</v>
      </c>
      <c r="R32" s="20" t="n">
        <v>0.28354959</v>
      </c>
    </row>
    <row r="33" spans="1:18">
      <c r="A33" s="15" t="s">
        <v>591</v>
      </c>
      <c r="B33" s="17" t="n">
        <v>7325</v>
      </c>
      <c r="C33" s="18">
        <f>(6585.0/B33*100)</f>
        <v/>
      </c>
      <c r="D33" s="19" t="n">
        <v>740</v>
      </c>
      <c r="E33" s="18" t="n">
        <v>14.92706386</v>
      </c>
      <c r="F33" s="20" t="n">
        <v>1.15038597</v>
      </c>
      <c r="G33" s="18" t="n">
        <v>84.28977037</v>
      </c>
      <c r="H33" s="20" t="n">
        <v>1.2421336</v>
      </c>
      <c r="I33" s="18" t="n">
        <v>0</v>
      </c>
      <c r="J33" s="20" t="n">
        <v>0</v>
      </c>
      <c r="K33" s="18" t="n">
        <v>0.28326451</v>
      </c>
      <c r="L33" s="20" t="n">
        <v>0.31607592</v>
      </c>
      <c r="M33" s="18" t="n">
        <v>0</v>
      </c>
      <c r="N33" s="20" t="n">
        <v>0</v>
      </c>
      <c r="O33" s="18" t="n">
        <v>0</v>
      </c>
      <c r="P33" s="20" t="n">
        <v>0</v>
      </c>
      <c r="Q33" s="18" t="n">
        <v>0.49990126</v>
      </c>
      <c r="R33" s="20" t="n">
        <v>0.29173222</v>
      </c>
    </row>
    <row r="34" spans="1:18">
      <c r="A34" s="15" t="s">
        <v>592</v>
      </c>
      <c r="B34" s="17" t="n">
        <v>6350</v>
      </c>
      <c r="C34" s="18">
        <f>(5564.0/B34*100)</f>
        <v/>
      </c>
      <c r="D34" s="19" t="n">
        <v>786</v>
      </c>
      <c r="E34" s="18" t="n">
        <v>33.14808021</v>
      </c>
      <c r="F34" s="20" t="n">
        <v>2.26510949</v>
      </c>
      <c r="G34" s="18" t="n">
        <v>65.52127397</v>
      </c>
      <c r="H34" s="20" t="n">
        <v>2.32658009</v>
      </c>
      <c r="I34" s="18" t="n">
        <v>0</v>
      </c>
      <c r="J34" s="20" t="n">
        <v>0</v>
      </c>
      <c r="K34" s="18" t="n">
        <v>0.44078907</v>
      </c>
      <c r="L34" s="20" t="n">
        <v>0.18268704</v>
      </c>
      <c r="M34" s="18" t="n">
        <v>0</v>
      </c>
      <c r="N34" s="20" t="n">
        <v>0</v>
      </c>
      <c r="O34" s="18" t="n">
        <v>0</v>
      </c>
      <c r="P34" s="20" t="n">
        <v>0</v>
      </c>
      <c r="Q34" s="18" t="n">
        <v>0.88985675</v>
      </c>
      <c r="R34" s="20" t="n">
        <v>0.45743657</v>
      </c>
    </row>
    <row r="35" spans="1:18">
      <c r="A35" s="15" t="s">
        <v>593</v>
      </c>
      <c r="B35" s="17" t="n">
        <v>6406</v>
      </c>
      <c r="C35" s="18">
        <f>(5550.0/B35*100)</f>
        <v/>
      </c>
      <c r="D35" s="19" t="n">
        <v>856</v>
      </c>
      <c r="E35" s="18" t="n">
        <v>17.70340073</v>
      </c>
      <c r="F35" s="20" t="n">
        <v>1.3224272</v>
      </c>
      <c r="G35" s="18" t="n">
        <v>81.80074621</v>
      </c>
      <c r="H35" s="20" t="n">
        <v>1.34100596</v>
      </c>
      <c r="I35" s="18" t="n">
        <v>0</v>
      </c>
      <c r="J35" s="20" t="n">
        <v>0</v>
      </c>
      <c r="K35" s="18" t="n">
        <v>0.11329061</v>
      </c>
      <c r="L35" s="20" t="n">
        <v>0.0816853</v>
      </c>
      <c r="M35" s="18" t="n">
        <v>0</v>
      </c>
      <c r="N35" s="20" t="n">
        <v>0</v>
      </c>
      <c r="O35" s="18" t="n">
        <v>0</v>
      </c>
      <c r="P35" s="20" t="n">
        <v>0</v>
      </c>
      <c r="Q35" s="18" t="n">
        <v>0.38256246</v>
      </c>
      <c r="R35" s="20" t="n">
        <v>0.28694785</v>
      </c>
    </row>
    <row r="36" spans="1:18">
      <c r="A36" s="15" t="s">
        <v>594</v>
      </c>
      <c r="B36" s="17" t="n">
        <v>6736</v>
      </c>
      <c r="C36" s="18">
        <f>(6024.0/B36*100)</f>
        <v/>
      </c>
      <c r="D36" s="19" t="n">
        <v>712</v>
      </c>
      <c r="E36" s="18" t="n">
        <v>18.50454064</v>
      </c>
      <c r="F36" s="20" t="n">
        <v>1.84247032</v>
      </c>
      <c r="G36" s="18" t="n">
        <v>79.29402184</v>
      </c>
      <c r="H36" s="20" t="n">
        <v>1.93372771</v>
      </c>
      <c r="I36" s="18" t="n">
        <v>0</v>
      </c>
      <c r="J36" s="20" t="n">
        <v>0</v>
      </c>
      <c r="K36" s="18" t="n">
        <v>1.18705895</v>
      </c>
      <c r="L36" s="20" t="n">
        <v>0.49632819</v>
      </c>
      <c r="M36" s="18" t="n">
        <v>0</v>
      </c>
      <c r="N36" s="20" t="n">
        <v>0</v>
      </c>
      <c r="O36" s="18" t="n">
        <v>0</v>
      </c>
      <c r="P36" s="20" t="n">
        <v>0</v>
      </c>
      <c r="Q36" s="18" t="n">
        <v>1.01437858</v>
      </c>
      <c r="R36" s="20" t="n">
        <v>0.47858933</v>
      </c>
    </row>
    <row r="37" spans="1:18">
      <c r="A37" s="15" t="s">
        <v>595</v>
      </c>
      <c r="B37" s="17" t="n">
        <v>5458</v>
      </c>
      <c r="C37" s="18">
        <f>(4907.0/B37*100)</f>
        <v/>
      </c>
      <c r="D37" s="19" t="n">
        <v>551</v>
      </c>
      <c r="E37" s="18" t="n">
        <v>26.37030493</v>
      </c>
      <c r="F37" s="20" t="n">
        <v>2.16915332</v>
      </c>
      <c r="G37" s="18" t="n">
        <v>71.34810557</v>
      </c>
      <c r="H37" s="20" t="n">
        <v>2.29392597</v>
      </c>
      <c r="I37" s="18" t="n">
        <v>0</v>
      </c>
      <c r="J37" s="20" t="n">
        <v>0</v>
      </c>
      <c r="K37" s="18" t="n">
        <v>1.60123869</v>
      </c>
      <c r="L37" s="20" t="n">
        <v>0.5523606</v>
      </c>
      <c r="M37" s="18" t="n">
        <v>0</v>
      </c>
      <c r="N37" s="20" t="n">
        <v>0</v>
      </c>
      <c r="O37" s="18" t="n">
        <v>0</v>
      </c>
      <c r="P37" s="20" t="n">
        <v>0</v>
      </c>
      <c r="Q37" s="18" t="n">
        <v>0.68035081</v>
      </c>
      <c r="R37" s="20" t="n">
        <v>0.41801687</v>
      </c>
    </row>
    <row r="38" spans="1:18">
      <c r="A38" s="15" t="s">
        <v>596</v>
      </c>
      <c r="B38" s="17" t="n">
        <v>5860</v>
      </c>
      <c r="C38" s="18">
        <f>(5239.0/B38*100)</f>
        <v/>
      </c>
      <c r="D38" s="19" t="n">
        <v>621</v>
      </c>
      <c r="E38" s="18" t="n">
        <v>16.54541915</v>
      </c>
      <c r="F38" s="20" t="n">
        <v>2.62888493</v>
      </c>
      <c r="G38" s="18" t="n">
        <v>81.16211991999999</v>
      </c>
      <c r="H38" s="20" t="n">
        <v>2.64900569</v>
      </c>
      <c r="I38" s="18" t="n">
        <v>0</v>
      </c>
      <c r="J38" s="20" t="n">
        <v>0</v>
      </c>
      <c r="K38" s="18" t="n">
        <v>1.9882745</v>
      </c>
      <c r="L38" s="20" t="n">
        <v>0.59494446</v>
      </c>
      <c r="M38" s="18" t="n">
        <v>0</v>
      </c>
      <c r="N38" s="20" t="n">
        <v>0</v>
      </c>
      <c r="O38" s="18" t="n">
        <v>0</v>
      </c>
      <c r="P38" s="20" t="n">
        <v>0</v>
      </c>
      <c r="Q38" s="18" t="n">
        <v>0.30418642</v>
      </c>
      <c r="R38" s="20" t="n">
        <v>0.24282623</v>
      </c>
    </row>
    <row r="39" spans="1:18">
      <c r="A39" s="15" t="s">
        <v>597</v>
      </c>
      <c r="B39" s="17" t="n">
        <v>5895</v>
      </c>
      <c r="C39" s="18">
        <f>(5254.0/B39*100)</f>
        <v/>
      </c>
      <c r="D39" s="19" t="n">
        <v>641</v>
      </c>
      <c r="E39" s="18" t="n">
        <v>52.69565799</v>
      </c>
      <c r="F39" s="20" t="n">
        <v>2.5833933</v>
      </c>
      <c r="G39" s="18" t="n">
        <v>46.39227713</v>
      </c>
      <c r="H39" s="20" t="n">
        <v>2.68555584</v>
      </c>
      <c r="I39" s="18" t="n">
        <v>0</v>
      </c>
      <c r="J39" s="20" t="n">
        <v>0</v>
      </c>
      <c r="K39" s="18" t="n">
        <v>0.21506174</v>
      </c>
      <c r="L39" s="20" t="n">
        <v>0.18403703</v>
      </c>
      <c r="M39" s="18" t="n">
        <v>0</v>
      </c>
      <c r="N39" s="20" t="n">
        <v>0</v>
      </c>
      <c r="O39" s="18" t="n">
        <v>0</v>
      </c>
      <c r="P39" s="20" t="n">
        <v>0</v>
      </c>
      <c r="Q39" s="18" t="n">
        <v>0.69700314</v>
      </c>
      <c r="R39" s="20" t="n">
        <v>0.39994669</v>
      </c>
    </row>
    <row r="40" spans="1:18">
      <c r="A40" s="15" t="s">
        <v>598</v>
      </c>
      <c r="B40" s="17" t="n">
        <v>14157</v>
      </c>
      <c r="C40" s="18">
        <f>(12622.0/B40*100)</f>
        <v/>
      </c>
      <c r="D40" s="19" t="n">
        <v>1535</v>
      </c>
      <c r="E40" s="18" t="n">
        <v>23.97917007</v>
      </c>
      <c r="F40" s="20" t="n">
        <v>1.78509824</v>
      </c>
      <c r="G40" s="18" t="n">
        <v>74.17877688999999</v>
      </c>
      <c r="H40" s="20" t="n">
        <v>1.71765199</v>
      </c>
      <c r="I40" s="18" t="n">
        <v>0</v>
      </c>
      <c r="J40" s="20" t="n">
        <v>0</v>
      </c>
      <c r="K40" s="18" t="n">
        <v>0.84256593</v>
      </c>
      <c r="L40" s="20" t="n">
        <v>0.34257919</v>
      </c>
      <c r="M40" s="18" t="n">
        <v>0</v>
      </c>
      <c r="N40" s="20" t="n">
        <v>0</v>
      </c>
      <c r="O40" s="18" t="n">
        <v>0</v>
      </c>
      <c r="P40" s="20" t="n">
        <v>0</v>
      </c>
      <c r="Q40" s="18" t="n">
        <v>0.99948711</v>
      </c>
      <c r="R40" s="20" t="n">
        <v>0.4627271</v>
      </c>
    </row>
    <row r="41" spans="1:18">
      <c r="A41" s="15" t="s">
        <v>599</v>
      </c>
      <c r="B41" s="17" t="n">
        <v>5712</v>
      </c>
      <c r="C41" s="18">
        <f>(5093.0/B41*100)</f>
        <v/>
      </c>
      <c r="D41" s="19" t="n">
        <v>619</v>
      </c>
      <c r="E41" s="18" t="n">
        <v>24.24858548</v>
      </c>
      <c r="F41" s="20" t="n">
        <v>1.97525021</v>
      </c>
      <c r="G41" s="18" t="n">
        <v>74.48862171</v>
      </c>
      <c r="H41" s="20" t="n">
        <v>2.02037839</v>
      </c>
      <c r="I41" s="18" t="n">
        <v>0</v>
      </c>
      <c r="J41" s="20" t="n">
        <v>0</v>
      </c>
      <c r="K41" s="18" t="n">
        <v>0.76554965</v>
      </c>
      <c r="L41" s="20" t="n">
        <v>0.36488025</v>
      </c>
      <c r="M41" s="18" t="n">
        <v>0</v>
      </c>
      <c r="N41" s="20" t="n">
        <v>0</v>
      </c>
      <c r="O41" s="18" t="n">
        <v>0</v>
      </c>
      <c r="P41" s="20" t="n">
        <v>0</v>
      </c>
      <c r="Q41" s="18" t="n">
        <v>0.49724316</v>
      </c>
      <c r="R41" s="20" t="n">
        <v>0.27786808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(21434.0/B46*100)</f>
        <v/>
      </c>
      <c r="D46" s="19" t="n">
        <v>1707</v>
      </c>
      <c r="E46" s="18" t="n">
        <v>42.93667643</v>
      </c>
      <c r="F46" s="20" t="n">
        <v>1.61633148</v>
      </c>
      <c r="G46" s="18" t="n">
        <v>52.12218149</v>
      </c>
      <c r="H46" s="20" t="n">
        <v>1.65782454</v>
      </c>
      <c r="I46" s="18" t="n">
        <v>0</v>
      </c>
      <c r="J46" s="20" t="n">
        <v>0</v>
      </c>
      <c r="K46" s="18" t="n">
        <v>3.56536246</v>
      </c>
      <c r="L46" s="20" t="n">
        <v>0.6769514599999999</v>
      </c>
      <c r="M46" s="18" t="n">
        <v>0</v>
      </c>
      <c r="N46" s="20" t="n">
        <v>0</v>
      </c>
      <c r="O46" s="18" t="n">
        <v>0</v>
      </c>
      <c r="P46" s="20" t="n">
        <v>0</v>
      </c>
      <c r="Q46" s="18" t="n">
        <v>1.37577963</v>
      </c>
      <c r="R46" s="20" t="n">
        <v>0.34662387</v>
      </c>
    </row>
    <row r="47" spans="1:18">
      <c r="A47" s="15" t="s">
        <v>606</v>
      </c>
      <c r="B47" s="17" t="n">
        <v>5928</v>
      </c>
      <c r="C47" s="18">
        <f>(5303.0/B47*100)</f>
        <v/>
      </c>
      <c r="D47" s="19" t="n">
        <v>625</v>
      </c>
      <c r="E47" s="18" t="n">
        <v>38.23862211</v>
      </c>
      <c r="F47" s="20" t="n">
        <v>2.31341278</v>
      </c>
      <c r="G47" s="18" t="n">
        <v>59.27413976</v>
      </c>
      <c r="H47" s="20" t="n">
        <v>2.40692894</v>
      </c>
      <c r="I47" s="18" t="n">
        <v>0</v>
      </c>
      <c r="J47" s="20" t="n">
        <v>0</v>
      </c>
      <c r="K47" s="18" t="n">
        <v>2.165095</v>
      </c>
      <c r="L47" s="20" t="n">
        <v>0.68941723</v>
      </c>
      <c r="M47" s="18" t="n">
        <v>0</v>
      </c>
      <c r="N47" s="20" t="n">
        <v>0</v>
      </c>
      <c r="O47" s="18" t="n">
        <v>0</v>
      </c>
      <c r="P47" s="20" t="n">
        <v>0</v>
      </c>
      <c r="Q47" s="18" t="n">
        <v>0.32214313</v>
      </c>
      <c r="R47" s="20" t="n">
        <v>0.19950178</v>
      </c>
    </row>
    <row r="48" spans="1:18">
      <c r="A48" s="15" t="s">
        <v>607</v>
      </c>
      <c r="B48" s="17" t="n">
        <v>9841</v>
      </c>
      <c r="C48" s="18">
        <f>(8793.0/B48*100)</f>
        <v/>
      </c>
      <c r="D48" s="19" t="n">
        <v>1048</v>
      </c>
      <c r="E48" s="18" t="n">
        <v>35.37417883</v>
      </c>
      <c r="F48" s="20" t="n">
        <v>1.95806961</v>
      </c>
      <c r="G48" s="18" t="n">
        <v>63.43643263</v>
      </c>
      <c r="H48" s="20" t="n">
        <v>2.10586176</v>
      </c>
      <c r="I48" s="18" t="n">
        <v>0</v>
      </c>
      <c r="J48" s="20" t="n">
        <v>0</v>
      </c>
      <c r="K48" s="18" t="n">
        <v>1.03351782</v>
      </c>
      <c r="L48" s="20" t="n">
        <v>0.6155002899999999</v>
      </c>
      <c r="M48" s="18" t="n">
        <v>0</v>
      </c>
      <c r="N48" s="20" t="n">
        <v>0</v>
      </c>
      <c r="O48" s="18" t="n">
        <v>0</v>
      </c>
      <c r="P48" s="20" t="n">
        <v>0</v>
      </c>
      <c r="Q48" s="18" t="n">
        <v>0.15587072</v>
      </c>
      <c r="R48" s="20" t="n">
        <v>0.15642627</v>
      </c>
    </row>
    <row r="49" spans="1:18">
      <c r="A49" s="15" t="s">
        <v>608</v>
      </c>
      <c r="B49" s="17" t="n">
        <v>11795</v>
      </c>
      <c r="C49" s="18">
        <f>(10578.0/B49*100)</f>
        <v/>
      </c>
      <c r="D49" s="19" t="n">
        <v>1217</v>
      </c>
      <c r="E49" s="18" t="n">
        <v>36.35541284</v>
      </c>
      <c r="F49" s="20" t="n">
        <v>2.05075034</v>
      </c>
      <c r="G49" s="18" t="n">
        <v>59.18792247</v>
      </c>
      <c r="H49" s="20" t="n">
        <v>2.0073158</v>
      </c>
      <c r="I49" s="18" t="n">
        <v>0</v>
      </c>
      <c r="J49" s="20" t="n">
        <v>0</v>
      </c>
      <c r="K49" s="18" t="n">
        <v>3.73063328</v>
      </c>
      <c r="L49" s="20" t="n">
        <v>0.8842082</v>
      </c>
      <c r="M49" s="18" t="n">
        <v>0</v>
      </c>
      <c r="N49" s="20" t="n">
        <v>0</v>
      </c>
      <c r="O49" s="18" t="n">
        <v>0</v>
      </c>
      <c r="P49" s="20" t="n">
        <v>0</v>
      </c>
      <c r="Q49" s="18" t="n">
        <v>0.72603142</v>
      </c>
      <c r="R49" s="20" t="n">
        <v>0.30110603</v>
      </c>
    </row>
    <row r="50" spans="1:18">
      <c r="A50" s="15" t="s">
        <v>609</v>
      </c>
      <c r="B50" s="17" t="n">
        <v>6866</v>
      </c>
      <c r="C50" s="18">
        <f>(5553.0/B50*100)</f>
        <v/>
      </c>
      <c r="D50" s="19" t="n">
        <v>1313</v>
      </c>
      <c r="E50" s="18" t="n">
        <v>30.56331722</v>
      </c>
      <c r="F50" s="20" t="n">
        <v>1.44069661</v>
      </c>
      <c r="G50" s="18" t="n">
        <v>68.33365363999999</v>
      </c>
      <c r="H50" s="20" t="n">
        <v>1.46406898</v>
      </c>
      <c r="I50" s="18" t="n">
        <v>0</v>
      </c>
      <c r="J50" s="20" t="n">
        <v>0</v>
      </c>
      <c r="K50" s="18" t="n">
        <v>0.52343252</v>
      </c>
      <c r="L50" s="20" t="n">
        <v>0.19992807</v>
      </c>
      <c r="M50" s="18" t="n">
        <v>0</v>
      </c>
      <c r="N50" s="20" t="n">
        <v>0</v>
      </c>
      <c r="O50" s="18" t="n">
        <v>0</v>
      </c>
      <c r="P50" s="20" t="n">
        <v>0</v>
      </c>
      <c r="Q50" s="18" t="n">
        <v>0.57959662</v>
      </c>
      <c r="R50" s="20" t="n">
        <v>0.19917811</v>
      </c>
    </row>
    <row r="51" spans="1:18">
      <c r="A51" s="15" t="s">
        <v>610</v>
      </c>
      <c r="B51" s="17" t="n">
        <v>5809</v>
      </c>
      <c r="C51" s="18">
        <f>(5188.0/B51*100)</f>
        <v/>
      </c>
      <c r="D51" s="19" t="n">
        <v>621</v>
      </c>
      <c r="E51" s="18" t="n">
        <v>26.09843383</v>
      </c>
      <c r="F51" s="20" t="n">
        <v>1.48397297</v>
      </c>
      <c r="G51" s="18" t="n">
        <v>72.29467243000001</v>
      </c>
      <c r="H51" s="20" t="n">
        <v>1.4628954</v>
      </c>
      <c r="I51" s="18" t="n">
        <v>0</v>
      </c>
      <c r="J51" s="20" t="n">
        <v>0</v>
      </c>
      <c r="K51" s="18" t="n">
        <v>0.6279363100000001</v>
      </c>
      <c r="L51" s="20" t="n">
        <v>0.30970131</v>
      </c>
      <c r="M51" s="18" t="n">
        <v>0</v>
      </c>
      <c r="N51" s="20" t="n">
        <v>0</v>
      </c>
      <c r="O51" s="18" t="n">
        <v>0</v>
      </c>
      <c r="P51" s="20" t="n">
        <v>0</v>
      </c>
      <c r="Q51" s="18" t="n">
        <v>0.97895743</v>
      </c>
      <c r="R51" s="20" t="n">
        <v>0.38878794</v>
      </c>
    </row>
    <row r="52" spans="1:18">
      <c r="A52" s="15" t="s">
        <v>611</v>
      </c>
      <c r="B52" s="17" t="n">
        <v>5571</v>
      </c>
      <c r="C52" s="18">
        <f>(4972.0/B52*100)</f>
        <v/>
      </c>
      <c r="D52" s="19" t="n">
        <v>599</v>
      </c>
      <c r="E52" s="18" t="n">
        <v>35.95047862</v>
      </c>
      <c r="F52" s="20" t="n">
        <v>1.85694406</v>
      </c>
      <c r="G52" s="18" t="n">
        <v>61.8556119</v>
      </c>
      <c r="H52" s="20" t="n">
        <v>1.81207854</v>
      </c>
      <c r="I52" s="18" t="n">
        <v>0</v>
      </c>
      <c r="J52" s="20" t="n">
        <v>0</v>
      </c>
      <c r="K52" s="18" t="n">
        <v>1.54652149</v>
      </c>
      <c r="L52" s="20" t="n">
        <v>0.44448594</v>
      </c>
      <c r="M52" s="18" t="n">
        <v>0</v>
      </c>
      <c r="N52" s="20" t="n">
        <v>0</v>
      </c>
      <c r="O52" s="18" t="n">
        <v>0</v>
      </c>
      <c r="P52" s="20" t="n">
        <v>0</v>
      </c>
      <c r="Q52" s="18" t="n">
        <v>0.64738799</v>
      </c>
      <c r="R52" s="20" t="n">
        <v>0.42592339</v>
      </c>
    </row>
    <row r="53" spans="1:18">
      <c r="A53" s="15" t="s">
        <v>612</v>
      </c>
      <c r="B53" s="17" t="n">
        <v>4740</v>
      </c>
      <c r="C53" s="18">
        <f>(4206.0/B53*100)</f>
        <v/>
      </c>
      <c r="D53" s="19" t="n">
        <v>534</v>
      </c>
      <c r="E53" s="18" t="n">
        <v>39.2360087</v>
      </c>
      <c r="F53" s="20" t="n">
        <v>2.33021201</v>
      </c>
      <c r="G53" s="18" t="n">
        <v>31.98642534</v>
      </c>
      <c r="H53" s="20" t="n">
        <v>2.28342222</v>
      </c>
      <c r="I53" s="18" t="n">
        <v>0</v>
      </c>
      <c r="J53" s="20" t="n">
        <v>0</v>
      </c>
      <c r="K53" s="18" t="n">
        <v>25.67533893</v>
      </c>
      <c r="L53" s="20" t="n">
        <v>2.05239027</v>
      </c>
      <c r="M53" s="18" t="n">
        <v>0</v>
      </c>
      <c r="N53" s="20" t="n">
        <v>0</v>
      </c>
      <c r="O53" s="18" t="n">
        <v>0</v>
      </c>
      <c r="P53" s="20" t="n">
        <v>0</v>
      </c>
      <c r="Q53" s="18" t="n">
        <v>3.10222703</v>
      </c>
      <c r="R53" s="20" t="n">
        <v>0.8966304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(4792.0/B55*100)</f>
        <v/>
      </c>
      <c r="D55" s="19" t="n">
        <v>567</v>
      </c>
      <c r="E55" s="18" t="n">
        <v>18.32781162</v>
      </c>
      <c r="F55" s="20" t="n">
        <v>1.89970707</v>
      </c>
      <c r="G55" s="18" t="n">
        <v>80.85135538</v>
      </c>
      <c r="H55" s="20" t="n">
        <v>1.89911595</v>
      </c>
      <c r="I55" s="18" t="n">
        <v>0</v>
      </c>
      <c r="J55" s="20" t="n">
        <v>0</v>
      </c>
      <c r="K55" s="18" t="n">
        <v>0.5197802500000001</v>
      </c>
      <c r="L55" s="20" t="n">
        <v>0.31742725</v>
      </c>
      <c r="M55" s="18" t="n">
        <v>0</v>
      </c>
      <c r="N55" s="20" t="n">
        <v>0</v>
      </c>
      <c r="O55" s="18" t="n">
        <v>0</v>
      </c>
      <c r="P55" s="20" t="n">
        <v>0</v>
      </c>
      <c r="Q55" s="18" t="n">
        <v>0.30105276</v>
      </c>
      <c r="R55" s="20" t="n">
        <v>0.33099731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(5825.0/B61*100)</f>
        <v/>
      </c>
      <c r="D61" s="19" t="n">
        <v>700</v>
      </c>
      <c r="E61" s="18" t="n">
        <v>35.18967463</v>
      </c>
      <c r="F61" s="20" t="n">
        <v>1.90088615</v>
      </c>
      <c r="G61" s="18" t="n">
        <v>63.90154466</v>
      </c>
      <c r="H61" s="20" t="n">
        <v>1.97636594</v>
      </c>
      <c r="I61" s="18" t="n">
        <v>0</v>
      </c>
      <c r="J61" s="20" t="n">
        <v>0</v>
      </c>
      <c r="K61" s="18" t="n">
        <v>0.37071801</v>
      </c>
      <c r="L61" s="20" t="n">
        <v>0.21284376</v>
      </c>
      <c r="M61" s="18" t="n">
        <v>0</v>
      </c>
      <c r="N61" s="20" t="n">
        <v>0</v>
      </c>
      <c r="O61" s="18" t="n">
        <v>0</v>
      </c>
      <c r="P61" s="20" t="n">
        <v>0</v>
      </c>
      <c r="Q61" s="18" t="n">
        <v>0.53806269</v>
      </c>
      <c r="R61" s="20" t="n">
        <v>0.26587414</v>
      </c>
    </row>
    <row r="62" spans="1:18">
      <c r="A62" s="15" t="s">
        <v>622</v>
      </c>
      <c r="B62" s="17" t="n">
        <v>4476</v>
      </c>
      <c r="C62" s="18">
        <f>(4022.0/B62*100)</f>
        <v/>
      </c>
      <c r="D62" s="19" t="n">
        <v>454</v>
      </c>
      <c r="E62" s="18" t="n">
        <v>17.39463932</v>
      </c>
      <c r="F62" s="20" t="n">
        <v>1.77816055</v>
      </c>
      <c r="G62" s="18" t="n">
        <v>82.16732518000001</v>
      </c>
      <c r="H62" s="20" t="n">
        <v>1.81093752</v>
      </c>
      <c r="I62" s="18" t="n">
        <v>0</v>
      </c>
      <c r="J62" s="20" t="n">
        <v>0</v>
      </c>
      <c r="K62" s="18" t="n">
        <v>0</v>
      </c>
      <c r="L62" s="20" t="n">
        <v>0</v>
      </c>
      <c r="M62" s="18" t="n">
        <v>0</v>
      </c>
      <c r="N62" s="20" t="n">
        <v>0</v>
      </c>
      <c r="O62" s="18" t="n">
        <v>0</v>
      </c>
      <c r="P62" s="20" t="n">
        <v>0</v>
      </c>
      <c r="Q62" s="18" t="n">
        <v>0.4380355</v>
      </c>
      <c r="R62" s="20" t="n">
        <v>0.30741041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(5084.0/B67*100)</f>
        <v/>
      </c>
      <c r="D67" s="19" t="n">
        <v>581</v>
      </c>
      <c r="E67" s="18" t="n">
        <v>37.04910339</v>
      </c>
      <c r="F67" s="20" t="n">
        <v>1.95735918</v>
      </c>
      <c r="G67" s="18" t="n">
        <v>59.36095304</v>
      </c>
      <c r="H67" s="20" t="n">
        <v>1.87411326</v>
      </c>
      <c r="I67" s="18" t="n">
        <v>0</v>
      </c>
      <c r="J67" s="20" t="n">
        <v>0</v>
      </c>
      <c r="K67" s="18" t="n">
        <v>1.50529324</v>
      </c>
      <c r="L67" s="20" t="n">
        <v>0.56384364</v>
      </c>
      <c r="M67" s="18" t="n">
        <v>0</v>
      </c>
      <c r="N67" s="20" t="n">
        <v>0</v>
      </c>
      <c r="O67" s="18" t="n">
        <v>0</v>
      </c>
      <c r="P67" s="20" t="n">
        <v>0</v>
      </c>
      <c r="Q67" s="18" t="n">
        <v>2.08465033</v>
      </c>
      <c r="R67" s="20" t="n">
        <v>0.48247439</v>
      </c>
    </row>
    <row r="68" spans="1:18">
      <c r="A68" s="15" t="s">
        <v>628</v>
      </c>
      <c r="B68" s="17" t="n">
        <v>6971</v>
      </c>
      <c r="C68" s="18">
        <f>(6359.0/B68*100)</f>
        <v/>
      </c>
      <c r="D68" s="19" t="n">
        <v>612</v>
      </c>
      <c r="E68" s="18" t="n">
        <v>37.5914036</v>
      </c>
      <c r="F68" s="20" t="n">
        <v>1.92760311</v>
      </c>
      <c r="G68" s="18" t="n">
        <v>60.71773517</v>
      </c>
      <c r="H68" s="20" t="n">
        <v>2.01207485</v>
      </c>
      <c r="I68" s="18" t="n">
        <v>0</v>
      </c>
      <c r="J68" s="20" t="n">
        <v>0</v>
      </c>
      <c r="K68" s="18" t="n">
        <v>0.7422800000000001</v>
      </c>
      <c r="L68" s="20" t="n">
        <v>0.3406466</v>
      </c>
      <c r="M68" s="18" t="n">
        <v>0</v>
      </c>
      <c r="N68" s="20" t="n">
        <v>0</v>
      </c>
      <c r="O68" s="18" t="n">
        <v>0</v>
      </c>
      <c r="P68" s="20" t="n">
        <v>0</v>
      </c>
      <c r="Q68" s="18" t="n">
        <v>0.94858122</v>
      </c>
      <c r="R68" s="20" t="n">
        <v>0.41241464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(10729.0/B70*100)</f>
        <v/>
      </c>
      <c r="D70" s="19" t="n">
        <v>1354</v>
      </c>
      <c r="E70" s="18" t="n">
        <v>37.96807702</v>
      </c>
      <c r="F70" s="20" t="n">
        <v>1.3786824</v>
      </c>
      <c r="G70" s="18" t="n">
        <v>55.95388974</v>
      </c>
      <c r="H70" s="20" t="n">
        <v>1.25327013</v>
      </c>
      <c r="I70" s="18" t="n">
        <v>0</v>
      </c>
      <c r="J70" s="20" t="n">
        <v>0</v>
      </c>
      <c r="K70" s="18" t="n">
        <v>4.95590698</v>
      </c>
      <c r="L70" s="20" t="n">
        <v>0.50646548</v>
      </c>
      <c r="M70" s="18" t="n">
        <v>0</v>
      </c>
      <c r="N70" s="20" t="n">
        <v>0</v>
      </c>
      <c r="O70" s="18" t="n">
        <v>0</v>
      </c>
      <c r="P70" s="20" t="n">
        <v>0</v>
      </c>
      <c r="Q70" s="18" t="n">
        <v>1.12212626</v>
      </c>
      <c r="R70" s="20" t="n">
        <v>0.24656643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(5439.0/B72*100)</f>
        <v/>
      </c>
      <c r="D72" s="19" t="n">
        <v>597</v>
      </c>
      <c r="E72" s="18" t="n">
        <v>25.5130442</v>
      </c>
      <c r="F72" s="20" t="n">
        <v>2.23710005</v>
      </c>
      <c r="G72" s="18" t="n">
        <v>73.02907202999999</v>
      </c>
      <c r="H72" s="20" t="n">
        <v>2.21417376</v>
      </c>
      <c r="I72" s="18" t="n">
        <v>0</v>
      </c>
      <c r="J72" s="20" t="n">
        <v>0</v>
      </c>
      <c r="K72" s="18" t="n">
        <v>0.80327347</v>
      </c>
      <c r="L72" s="20" t="n">
        <v>0.44604422</v>
      </c>
      <c r="M72" s="18" t="n">
        <v>0</v>
      </c>
      <c r="N72" s="20" t="n">
        <v>0</v>
      </c>
      <c r="O72" s="18" t="n">
        <v>0</v>
      </c>
      <c r="P72" s="20" t="n">
        <v>0</v>
      </c>
      <c r="Q72" s="18" t="n">
        <v>0.6546103</v>
      </c>
      <c r="R72" s="20" t="n">
        <v>0.3318311</v>
      </c>
    </row>
    <row r="73" spans="1:18">
      <c r="A73" s="15" t="s">
        <v>633</v>
      </c>
      <c r="B73" s="17" t="n">
        <v>6115</v>
      </c>
      <c r="C73" s="18">
        <f>(5433.0/B73*100)</f>
        <v/>
      </c>
      <c r="D73" s="19" t="n">
        <v>682</v>
      </c>
      <c r="E73" s="18" t="n">
        <v>19.13386346</v>
      </c>
      <c r="F73" s="20" t="n">
        <v>1.29315659</v>
      </c>
      <c r="G73" s="18" t="n">
        <v>80.27544511000001</v>
      </c>
      <c r="H73" s="20" t="n">
        <v>1.31391789</v>
      </c>
      <c r="I73" s="18" t="n">
        <v>0</v>
      </c>
      <c r="J73" s="20" t="n">
        <v>0</v>
      </c>
      <c r="K73" s="18" t="n">
        <v>0.59069143</v>
      </c>
      <c r="L73" s="20" t="n">
        <v>0.30815847</v>
      </c>
      <c r="M73" s="18" t="n">
        <v>0</v>
      </c>
      <c r="N73" s="20" t="n">
        <v>0</v>
      </c>
      <c r="O73" s="18" t="n">
        <v>0</v>
      </c>
      <c r="P73" s="20" t="n">
        <v>0</v>
      </c>
      <c r="Q73" s="18" t="n">
        <v>0</v>
      </c>
      <c r="R73" s="20" t="n">
        <v>0</v>
      </c>
    </row>
    <row r="74" spans="1:18">
      <c r="A74" s="15" t="s">
        <v>634</v>
      </c>
      <c r="B74" s="17" t="n">
        <v>7708</v>
      </c>
      <c r="C74" s="18">
        <f>(6867.0/B74*100)</f>
        <v/>
      </c>
      <c r="D74" s="19" t="n">
        <v>841</v>
      </c>
      <c r="E74" s="18" t="n">
        <v>23.30951108</v>
      </c>
      <c r="F74" s="20" t="n">
        <v>1.48460519</v>
      </c>
      <c r="G74" s="18" t="n">
        <v>76.32880874</v>
      </c>
      <c r="H74" s="20" t="n">
        <v>1.53727584</v>
      </c>
      <c r="I74" s="18" t="n">
        <v>0</v>
      </c>
      <c r="J74" s="20" t="n">
        <v>0</v>
      </c>
      <c r="K74" s="18" t="n">
        <v>0.1572312</v>
      </c>
      <c r="L74" s="20" t="n">
        <v>0.15779976</v>
      </c>
      <c r="M74" s="18" t="n">
        <v>0</v>
      </c>
      <c r="N74" s="20" t="n">
        <v>0</v>
      </c>
      <c r="O74" s="18" t="n">
        <v>0</v>
      </c>
      <c r="P74" s="20" t="n">
        <v>0</v>
      </c>
      <c r="Q74" s="18" t="n">
        <v>0.20444898</v>
      </c>
      <c r="R74" s="20" t="n">
        <v>0.14705405</v>
      </c>
    </row>
    <row r="75" spans="1:18">
      <c r="A75" s="15" t="s">
        <v>635</v>
      </c>
      <c r="B75" s="17" t="n">
        <v>8249</v>
      </c>
      <c r="C75" s="18">
        <f>(7425.0/B75*100)</f>
        <v/>
      </c>
      <c r="D75" s="19" t="n">
        <v>824</v>
      </c>
      <c r="E75" s="18" t="n">
        <v>41.47515392</v>
      </c>
      <c r="F75" s="20" t="n">
        <v>1.99464393</v>
      </c>
      <c r="G75" s="18" t="n">
        <v>58.18104871</v>
      </c>
      <c r="H75" s="20" t="n">
        <v>2.0523092</v>
      </c>
      <c r="I75" s="18" t="n">
        <v>0</v>
      </c>
      <c r="J75" s="20" t="n">
        <v>0</v>
      </c>
      <c r="K75" s="18" t="n">
        <v>0</v>
      </c>
      <c r="L75" s="20" t="n">
        <v>0</v>
      </c>
      <c r="M75" s="18" t="n">
        <v>0</v>
      </c>
      <c r="N75" s="20" t="n">
        <v>0</v>
      </c>
      <c r="O75" s="18" t="n">
        <v>0</v>
      </c>
      <c r="P75" s="20" t="n">
        <v>0</v>
      </c>
      <c r="Q75" s="18" t="n">
        <v>0.34379737</v>
      </c>
      <c r="R75" s="20" t="n">
        <v>0.24109213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(4871.0/B77*100)</f>
        <v/>
      </c>
      <c r="D77" s="19" t="n">
        <v>504</v>
      </c>
      <c r="E77" s="18" t="n">
        <v>49.04635033</v>
      </c>
      <c r="F77" s="20" t="n">
        <v>2.05774791</v>
      </c>
      <c r="G77" s="18" t="n">
        <v>40.42225083</v>
      </c>
      <c r="H77" s="20" t="n">
        <v>2.10391258</v>
      </c>
      <c r="I77" s="18" t="n">
        <v>0</v>
      </c>
      <c r="J77" s="20" t="n">
        <v>0</v>
      </c>
      <c r="K77" s="18" t="n">
        <v>7.79241729</v>
      </c>
      <c r="L77" s="20" t="n">
        <v>1.41826338</v>
      </c>
      <c r="M77" s="18" t="n">
        <v>0</v>
      </c>
      <c r="N77" s="20" t="n">
        <v>0</v>
      </c>
      <c r="O77" s="18" t="n">
        <v>0</v>
      </c>
      <c r="P77" s="20" t="n">
        <v>0</v>
      </c>
      <c r="Q77" s="18" t="n">
        <v>2.73898155</v>
      </c>
      <c r="R77" s="20" t="n">
        <v>0.90280151</v>
      </c>
    </row>
    <row r="78" spans="1:18">
      <c r="A78" s="15" t="s">
        <v>638</v>
      </c>
      <c r="B78" s="17" t="n">
        <v>14167</v>
      </c>
      <c r="C78" s="18">
        <f>(12630.0/B78*100)</f>
        <v/>
      </c>
      <c r="D78" s="19" t="n">
        <v>1537</v>
      </c>
      <c r="E78" s="18" t="n">
        <v>33.52611007</v>
      </c>
      <c r="F78" s="20" t="n">
        <v>1.6482107</v>
      </c>
      <c r="G78" s="18" t="n">
        <v>63.58782258</v>
      </c>
      <c r="H78" s="20" t="n">
        <v>1.81563182</v>
      </c>
      <c r="I78" s="18" t="n">
        <v>0</v>
      </c>
      <c r="J78" s="20" t="n">
        <v>0</v>
      </c>
      <c r="K78" s="18" t="n">
        <v>2.36505179</v>
      </c>
      <c r="L78" s="20" t="n">
        <v>0.47217347</v>
      </c>
      <c r="M78" s="18" t="n">
        <v>0</v>
      </c>
      <c r="N78" s="20" t="n">
        <v>0</v>
      </c>
      <c r="O78" s="18" t="n">
        <v>0</v>
      </c>
      <c r="P78" s="20" t="n">
        <v>0</v>
      </c>
      <c r="Q78" s="18" t="n">
        <v>0.52101556</v>
      </c>
      <c r="R78" s="20" t="n">
        <v>0.16864144</v>
      </c>
    </row>
    <row r="79" spans="1:18">
      <c r="A79" s="15" t="s">
        <v>639</v>
      </c>
      <c r="B79" s="17" t="n">
        <v>6062</v>
      </c>
      <c r="C79" s="18">
        <f>(5436.0/B79*100)</f>
        <v/>
      </c>
      <c r="D79" s="19" t="n">
        <v>626</v>
      </c>
      <c r="E79" s="18" t="n">
        <v>35.72794946</v>
      </c>
      <c r="F79" s="20" t="n">
        <v>2.18671349</v>
      </c>
      <c r="G79" s="18" t="n">
        <v>60.28732469</v>
      </c>
      <c r="H79" s="20" t="n">
        <v>2.28620383</v>
      </c>
      <c r="I79" s="18" t="n">
        <v>0</v>
      </c>
      <c r="J79" s="20" t="n">
        <v>0</v>
      </c>
      <c r="K79" s="18" t="n">
        <v>2.14893917</v>
      </c>
      <c r="L79" s="20" t="n">
        <v>0.5418991</v>
      </c>
      <c r="M79" s="18" t="n">
        <v>0</v>
      </c>
      <c r="N79" s="20" t="n">
        <v>0</v>
      </c>
      <c r="O79" s="18" t="n">
        <v>0</v>
      </c>
      <c r="P79" s="20" t="n">
        <v>0</v>
      </c>
      <c r="Q79" s="18" t="n">
        <v>1.83578668</v>
      </c>
      <c r="R79" s="20" t="n">
        <v>0.53193547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(28878.0/B82*100)</f>
        <v/>
      </c>
      <c r="D82" s="19" t="n">
        <v>3452</v>
      </c>
      <c r="E82" s="18" t="n">
        <v>18.45543972</v>
      </c>
      <c r="F82" s="20" t="n">
        <v>0.8910450600000001</v>
      </c>
      <c r="G82" s="18" t="n">
        <v>79.85083281999999</v>
      </c>
      <c r="H82" s="20" t="n">
        <v>0.96579681</v>
      </c>
      <c r="I82" s="18" t="n">
        <v>0</v>
      </c>
      <c r="J82" s="20" t="n">
        <v>0</v>
      </c>
      <c r="K82" s="18" t="n">
        <v>0.9766776700000001</v>
      </c>
      <c r="L82" s="20" t="n">
        <v>0.28207684</v>
      </c>
      <c r="M82" s="18" t="n">
        <v>0</v>
      </c>
      <c r="N82" s="20" t="n">
        <v>0</v>
      </c>
      <c r="O82" s="18" t="n">
        <v>0</v>
      </c>
      <c r="P82" s="20" t="n">
        <v>0</v>
      </c>
      <c r="Q82" s="18" t="n">
        <v>0.71704979</v>
      </c>
      <c r="R82" s="20" t="n">
        <v>0.24809965</v>
      </c>
    </row>
    <row r="83" spans="1:18">
      <c r="A83" s="15" t="s">
        <v>643</v>
      </c>
      <c r="B83" s="17" t="n">
        <v>1652</v>
      </c>
      <c r="C83" s="18">
        <f>(1442.0/B83*100)</f>
        <v/>
      </c>
      <c r="D83" s="19" t="n">
        <v>210</v>
      </c>
      <c r="E83" s="18" t="n">
        <v>14.79903523</v>
      </c>
      <c r="F83" s="20" t="n">
        <v>2.94538175</v>
      </c>
      <c r="G83" s="18" t="n">
        <v>84.58897954</v>
      </c>
      <c r="H83" s="20" t="n">
        <v>3.05420033</v>
      </c>
      <c r="I83" s="18" t="n">
        <v>0</v>
      </c>
      <c r="J83" s="20" t="n">
        <v>0</v>
      </c>
      <c r="K83" s="18" t="n">
        <v>0.61198523</v>
      </c>
      <c r="L83" s="20" t="n">
        <v>0.60120866</v>
      </c>
      <c r="M83" s="18" t="n">
        <v>0</v>
      </c>
      <c r="N83" s="20" t="n">
        <v>0</v>
      </c>
      <c r="O83" s="18" t="n">
        <v>0</v>
      </c>
      <c r="P83" s="20" t="n">
        <v>0</v>
      </c>
      <c r="Q83" s="18" t="n">
        <v>0</v>
      </c>
      <c r="R83" s="20" t="n">
        <v>0</v>
      </c>
    </row>
    <row r="84" spans="1:18">
      <c r="A84" s="23" t="s">
        <v>644</v>
      </c>
      <c r="B84" s="24" t="n">
        <v>1887</v>
      </c>
      <c r="C84" s="25">
        <f>(1656.0/B84*100)</f>
        <v/>
      </c>
      <c r="D84" s="19" t="n">
        <v>231</v>
      </c>
      <c r="E84" s="18" t="n">
        <v>29.17043445</v>
      </c>
      <c r="F84" s="20" t="n">
        <v>3.45288207</v>
      </c>
      <c r="G84" s="18" t="n">
        <v>70.24142114999999</v>
      </c>
      <c r="H84" s="20" t="n">
        <v>3.53840431</v>
      </c>
      <c r="I84" s="18" t="n">
        <v>0</v>
      </c>
      <c r="J84" s="20" t="n">
        <v>0</v>
      </c>
      <c r="K84" s="18" t="n">
        <v>0</v>
      </c>
      <c r="L84" s="20" t="n">
        <v>0</v>
      </c>
      <c r="M84" s="18" t="n">
        <v>0</v>
      </c>
      <c r="N84" s="20" t="n">
        <v>0</v>
      </c>
      <c r="O84" s="18" t="n">
        <v>0</v>
      </c>
      <c r="P84" s="20" t="n">
        <v>0</v>
      </c>
      <c r="Q84" s="18" t="n">
        <v>0.5881444</v>
      </c>
      <c r="R84" s="20" t="n">
        <v>0.60880801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(12995.0/B7*100)</f>
        <v/>
      </c>
      <c r="D7" s="19" t="n">
        <v>1535</v>
      </c>
      <c r="E7" s="18" t="n">
        <v>41.47067369</v>
      </c>
      <c r="F7" s="20" t="n">
        <v>1.58538416</v>
      </c>
      <c r="G7" s="18" t="n">
        <v>57.661731</v>
      </c>
      <c r="H7" s="20" t="n">
        <v>1.58283681</v>
      </c>
      <c r="I7" s="18" t="n">
        <v>0</v>
      </c>
      <c r="J7" s="20" t="n">
        <v>0</v>
      </c>
      <c r="K7" s="18" t="n">
        <v>0.86759531</v>
      </c>
      <c r="L7" s="20" t="n">
        <v>0.21088417</v>
      </c>
      <c r="M7" s="18" t="n">
        <v>0</v>
      </c>
      <c r="N7" s="20" t="n">
        <v>0</v>
      </c>
      <c r="O7" s="18" t="n">
        <v>0</v>
      </c>
      <c r="P7" s="20" t="n">
        <v>0</v>
      </c>
      <c r="Q7" s="18" t="n">
        <v>0</v>
      </c>
      <c r="R7" s="20" t="n">
        <v>0</v>
      </c>
    </row>
    <row r="8" spans="1:18">
      <c r="A8" s="15" t="s">
        <v>566</v>
      </c>
      <c r="B8" s="17" t="n">
        <v>7007</v>
      </c>
      <c r="C8" s="18">
        <f>(6219.0/B8*100)</f>
        <v/>
      </c>
      <c r="D8" s="19" t="n">
        <v>788</v>
      </c>
      <c r="E8" s="18" t="n">
        <v>49.37382527</v>
      </c>
      <c r="F8" s="20" t="n">
        <v>1.91734966</v>
      </c>
      <c r="G8" s="18" t="n">
        <v>49.42623179</v>
      </c>
      <c r="H8" s="20" t="n">
        <v>1.92807881</v>
      </c>
      <c r="I8" s="18" t="n">
        <v>0</v>
      </c>
      <c r="J8" s="20" t="n">
        <v>0</v>
      </c>
      <c r="K8" s="18" t="n">
        <v>0.97073133</v>
      </c>
      <c r="L8" s="20" t="n">
        <v>0.42734479</v>
      </c>
      <c r="M8" s="18" t="n">
        <v>0</v>
      </c>
      <c r="N8" s="20" t="n">
        <v>0</v>
      </c>
      <c r="O8" s="18" t="n">
        <v>0</v>
      </c>
      <c r="P8" s="20" t="n">
        <v>0</v>
      </c>
      <c r="Q8" s="18" t="n">
        <v>0.22921162</v>
      </c>
      <c r="R8" s="20" t="n">
        <v>0.22843252</v>
      </c>
    </row>
    <row r="9" spans="1:18">
      <c r="A9" s="15" t="s">
        <v>567</v>
      </c>
      <c r="B9" s="17" t="n">
        <v>9651</v>
      </c>
      <c r="C9" s="18">
        <f>(8430.0/B9*100)</f>
        <v/>
      </c>
      <c r="D9" s="19" t="n">
        <v>1221</v>
      </c>
      <c r="E9" s="18" t="n">
        <v>42.29957492</v>
      </c>
      <c r="F9" s="20" t="n">
        <v>2.10079826</v>
      </c>
      <c r="G9" s="18" t="n">
        <v>56.15845688</v>
      </c>
      <c r="H9" s="20" t="n">
        <v>2.1004588</v>
      </c>
      <c r="I9" s="18" t="n">
        <v>0</v>
      </c>
      <c r="J9" s="20" t="n">
        <v>0</v>
      </c>
      <c r="K9" s="18" t="n">
        <v>1.48214697</v>
      </c>
      <c r="L9" s="20" t="n">
        <v>0.3570084</v>
      </c>
      <c r="M9" s="18" t="n">
        <v>0</v>
      </c>
      <c r="N9" s="20" t="n">
        <v>0</v>
      </c>
      <c r="O9" s="18" t="n">
        <v>0</v>
      </c>
      <c r="P9" s="20" t="n">
        <v>0</v>
      </c>
      <c r="Q9" s="18" t="n">
        <v>0.05982123</v>
      </c>
      <c r="R9" s="20" t="n">
        <v>0.04982811</v>
      </c>
    </row>
    <row r="10" spans="1:18">
      <c r="A10" s="15" t="s">
        <v>568</v>
      </c>
      <c r="B10" s="17" t="n">
        <v>20058</v>
      </c>
      <c r="C10" s="18">
        <f>(17904.0/B10*100)</f>
        <v/>
      </c>
      <c r="D10" s="19" t="n">
        <v>2154</v>
      </c>
      <c r="E10" s="18" t="n">
        <v>39.43115432</v>
      </c>
      <c r="F10" s="20" t="n">
        <v>1.58349498</v>
      </c>
      <c r="G10" s="18" t="n">
        <v>59.5769154</v>
      </c>
      <c r="H10" s="20" t="n">
        <v>1.58414087</v>
      </c>
      <c r="I10" s="18" t="n">
        <v>0</v>
      </c>
      <c r="J10" s="20" t="n">
        <v>0</v>
      </c>
      <c r="K10" s="18" t="n">
        <v>0.9919302800000001</v>
      </c>
      <c r="L10" s="20" t="n">
        <v>0.29098889</v>
      </c>
      <c r="M10" s="18" t="n">
        <v>0</v>
      </c>
      <c r="N10" s="20" t="n">
        <v>0</v>
      </c>
      <c r="O10" s="18" t="n">
        <v>0</v>
      </c>
      <c r="P10" s="20" t="n">
        <v>0</v>
      </c>
      <c r="Q10" s="18" t="n">
        <v>0</v>
      </c>
      <c r="R10" s="20" t="n">
        <v>0</v>
      </c>
    </row>
    <row r="11" spans="1:18">
      <c r="A11" s="15" t="s">
        <v>569</v>
      </c>
      <c r="B11" s="17" t="n">
        <v>7053</v>
      </c>
      <c r="C11" s="18">
        <f>(6301.0/B11*100)</f>
        <v/>
      </c>
      <c r="D11" s="19" t="n">
        <v>752</v>
      </c>
      <c r="E11" s="18" t="n">
        <v>43.84653032</v>
      </c>
      <c r="F11" s="20" t="n">
        <v>2.12183608</v>
      </c>
      <c r="G11" s="18" t="n">
        <v>53.40439675</v>
      </c>
      <c r="H11" s="20" t="n">
        <v>2.0485872</v>
      </c>
      <c r="I11" s="18" t="n">
        <v>0</v>
      </c>
      <c r="J11" s="20" t="n">
        <v>0</v>
      </c>
      <c r="K11" s="18" t="n">
        <v>2.74907294</v>
      </c>
      <c r="L11" s="20" t="n">
        <v>0.69523655</v>
      </c>
      <c r="M11" s="18" t="n">
        <v>0</v>
      </c>
      <c r="N11" s="20" t="n">
        <v>0</v>
      </c>
      <c r="O11" s="18" t="n">
        <v>0</v>
      </c>
      <c r="P11" s="20" t="n">
        <v>0</v>
      </c>
      <c r="Q11" s="18" t="n">
        <v>0</v>
      </c>
      <c r="R11" s="20" t="n">
        <v>0</v>
      </c>
    </row>
    <row r="12" spans="1:18">
      <c r="A12" s="15" t="s">
        <v>570</v>
      </c>
      <c r="B12" s="17" t="n">
        <v>6894</v>
      </c>
      <c r="C12" s="18">
        <f>(6080.0/B12*100)</f>
        <v/>
      </c>
      <c r="D12" s="19" t="n">
        <v>814</v>
      </c>
      <c r="E12" s="18" t="n">
        <v>52.90244344</v>
      </c>
      <c r="F12" s="20" t="n">
        <v>2.47206062</v>
      </c>
      <c r="G12" s="18" t="n">
        <v>45.94520777</v>
      </c>
      <c r="H12" s="20" t="n">
        <v>2.58586927</v>
      </c>
      <c r="I12" s="18" t="n">
        <v>0</v>
      </c>
      <c r="J12" s="20" t="n">
        <v>0</v>
      </c>
      <c r="K12" s="18" t="n">
        <v>0.9226277000000001</v>
      </c>
      <c r="L12" s="20" t="n">
        <v>0.32087729</v>
      </c>
      <c r="M12" s="18" t="n">
        <v>0</v>
      </c>
      <c r="N12" s="20" t="n">
        <v>0</v>
      </c>
      <c r="O12" s="18" t="n">
        <v>0</v>
      </c>
      <c r="P12" s="20" t="n">
        <v>0</v>
      </c>
      <c r="Q12" s="18" t="n">
        <v>0.22972109</v>
      </c>
      <c r="R12" s="20" t="n">
        <v>0.25343969</v>
      </c>
    </row>
    <row r="13" spans="1:18">
      <c r="A13" s="15" t="s">
        <v>571</v>
      </c>
      <c r="B13" s="17" t="n">
        <v>7161</v>
      </c>
      <c r="C13" s="18">
        <f>(6096.0/B13*100)</f>
        <v/>
      </c>
      <c r="D13" s="19" t="n">
        <v>1065</v>
      </c>
      <c r="E13" s="18" t="n">
        <v>38.58998878</v>
      </c>
      <c r="F13" s="20" t="n">
        <v>1.85505539</v>
      </c>
      <c r="G13" s="18" t="n">
        <v>59.17959978</v>
      </c>
      <c r="H13" s="20" t="n">
        <v>1.87662034</v>
      </c>
      <c r="I13" s="18" t="n">
        <v>0</v>
      </c>
      <c r="J13" s="20" t="n">
        <v>0</v>
      </c>
      <c r="K13" s="18" t="n">
        <v>1.76732463</v>
      </c>
      <c r="L13" s="20" t="n">
        <v>0.46211865</v>
      </c>
      <c r="M13" s="18" t="n">
        <v>0</v>
      </c>
      <c r="N13" s="20" t="n">
        <v>0</v>
      </c>
      <c r="O13" s="18" t="n">
        <v>0</v>
      </c>
      <c r="P13" s="20" t="n">
        <v>0</v>
      </c>
      <c r="Q13" s="18" t="n">
        <v>0.4630868</v>
      </c>
      <c r="R13" s="20" t="n">
        <v>0.24284879</v>
      </c>
    </row>
    <row r="14" spans="1:18">
      <c r="A14" s="15" t="s">
        <v>572</v>
      </c>
      <c r="B14" s="17" t="n">
        <v>5587</v>
      </c>
      <c r="C14" s="18">
        <f>(5042.0/B14*100)</f>
        <v/>
      </c>
      <c r="D14" s="19" t="n">
        <v>545</v>
      </c>
      <c r="E14" s="18" t="n">
        <v>29.44192471</v>
      </c>
      <c r="F14" s="20" t="n">
        <v>1.88508619</v>
      </c>
      <c r="G14" s="18" t="n">
        <v>68.32177852</v>
      </c>
      <c r="H14" s="20" t="n">
        <v>2.11999601</v>
      </c>
      <c r="I14" s="18" t="n">
        <v>0</v>
      </c>
      <c r="J14" s="20" t="n">
        <v>0</v>
      </c>
      <c r="K14" s="18" t="n">
        <v>2.23629677</v>
      </c>
      <c r="L14" s="20" t="n">
        <v>0.87509413</v>
      </c>
      <c r="M14" s="18" t="n">
        <v>0</v>
      </c>
      <c r="N14" s="20" t="n">
        <v>0</v>
      </c>
      <c r="O14" s="18" t="n">
        <v>0</v>
      </c>
      <c r="P14" s="20" t="n">
        <v>0</v>
      </c>
      <c r="Q14" s="18" t="n">
        <v>0</v>
      </c>
      <c r="R14" s="20" t="n">
        <v>0</v>
      </c>
    </row>
    <row r="15" spans="1:18">
      <c r="A15" s="15" t="s">
        <v>573</v>
      </c>
      <c r="B15" s="17" t="n">
        <v>5882</v>
      </c>
      <c r="C15" s="18">
        <f>(5197.0/B15*100)</f>
        <v/>
      </c>
      <c r="D15" s="19" t="n">
        <v>685</v>
      </c>
      <c r="E15" s="18" t="n">
        <v>32.29530123</v>
      </c>
      <c r="F15" s="20" t="n">
        <v>2.18689895</v>
      </c>
      <c r="G15" s="18" t="n">
        <v>66.58281905</v>
      </c>
      <c r="H15" s="20" t="n">
        <v>2.56830022</v>
      </c>
      <c r="I15" s="18" t="n">
        <v>0</v>
      </c>
      <c r="J15" s="20" t="n">
        <v>0</v>
      </c>
      <c r="K15" s="18" t="n">
        <v>0.56877384</v>
      </c>
      <c r="L15" s="20" t="n">
        <v>0.35591264</v>
      </c>
      <c r="M15" s="18" t="n">
        <v>0</v>
      </c>
      <c r="N15" s="20" t="n">
        <v>0</v>
      </c>
      <c r="O15" s="18" t="n">
        <v>0</v>
      </c>
      <c r="P15" s="20" t="n">
        <v>0</v>
      </c>
      <c r="Q15" s="18" t="n">
        <v>0.55310588</v>
      </c>
      <c r="R15" s="20" t="n">
        <v>0.52054173</v>
      </c>
    </row>
    <row r="16" spans="1:18">
      <c r="A16" s="15" t="s">
        <v>574</v>
      </c>
      <c r="B16" s="17" t="n">
        <v>6108</v>
      </c>
      <c r="C16" s="18">
        <f>(5482.0/B16*100)</f>
        <v/>
      </c>
      <c r="D16" s="19" t="n">
        <v>626</v>
      </c>
      <c r="E16" s="18" t="n">
        <v>35.01989272</v>
      </c>
      <c r="F16" s="20" t="n">
        <v>1.74653358</v>
      </c>
      <c r="G16" s="18" t="n">
        <v>62.73670011</v>
      </c>
      <c r="H16" s="20" t="n">
        <v>1.69938026</v>
      </c>
      <c r="I16" s="18" t="n">
        <v>0</v>
      </c>
      <c r="J16" s="20" t="n">
        <v>0</v>
      </c>
      <c r="K16" s="18" t="n">
        <v>2.24340716</v>
      </c>
      <c r="L16" s="20" t="n">
        <v>0.63228847</v>
      </c>
      <c r="M16" s="18" t="n">
        <v>0</v>
      </c>
      <c r="N16" s="20" t="n">
        <v>0</v>
      </c>
      <c r="O16" s="18" t="n">
        <v>0</v>
      </c>
      <c r="P16" s="20" t="n">
        <v>0</v>
      </c>
      <c r="Q16" s="18" t="n">
        <v>0</v>
      </c>
      <c r="R16" s="20" t="n">
        <v>0</v>
      </c>
    </row>
    <row r="17" spans="1:18">
      <c r="A17" s="15" t="s">
        <v>575</v>
      </c>
      <c r="B17" s="17" t="n">
        <v>6504</v>
      </c>
      <c r="C17" s="18">
        <f>(5697.0/B17*100)</f>
        <v/>
      </c>
      <c r="D17" s="19" t="n">
        <v>807</v>
      </c>
      <c r="E17" s="18" t="n">
        <v>52.28718559</v>
      </c>
      <c r="F17" s="20" t="n">
        <v>2.11583533</v>
      </c>
      <c r="G17" s="18" t="n">
        <v>44.69678485</v>
      </c>
      <c r="H17" s="20" t="n">
        <v>2.11727317</v>
      </c>
      <c r="I17" s="18" t="n">
        <v>0</v>
      </c>
      <c r="J17" s="20" t="n">
        <v>0</v>
      </c>
      <c r="K17" s="18" t="n">
        <v>1.78939786</v>
      </c>
      <c r="L17" s="20" t="n">
        <v>0.53639856</v>
      </c>
      <c r="M17" s="18" t="n">
        <v>0</v>
      </c>
      <c r="N17" s="20" t="n">
        <v>0</v>
      </c>
      <c r="O17" s="18" t="n">
        <v>0</v>
      </c>
      <c r="P17" s="20" t="n">
        <v>0</v>
      </c>
      <c r="Q17" s="18" t="n">
        <v>1.2266317</v>
      </c>
      <c r="R17" s="20" t="n">
        <v>0.30686969</v>
      </c>
    </row>
    <row r="18" spans="1:18">
      <c r="A18" s="15" t="s">
        <v>576</v>
      </c>
      <c r="B18" s="17" t="n">
        <v>5532</v>
      </c>
      <c r="C18" s="18">
        <f>(4948.0/B18*100)</f>
        <v/>
      </c>
      <c r="D18" s="19" t="n">
        <v>584</v>
      </c>
      <c r="E18" s="18" t="n">
        <v>50.1393785</v>
      </c>
      <c r="F18" s="20" t="n">
        <v>2.72361504</v>
      </c>
      <c r="G18" s="18" t="n">
        <v>48.83210301</v>
      </c>
      <c r="H18" s="20" t="n">
        <v>2.65631599</v>
      </c>
      <c r="I18" s="18" t="n">
        <v>0</v>
      </c>
      <c r="J18" s="20" t="n">
        <v>0</v>
      </c>
      <c r="K18" s="18" t="n">
        <v>1.02851849</v>
      </c>
      <c r="L18" s="20" t="n">
        <v>0.48193642</v>
      </c>
      <c r="M18" s="18" t="n">
        <v>0</v>
      </c>
      <c r="N18" s="20" t="n">
        <v>0</v>
      </c>
      <c r="O18" s="18" t="n">
        <v>0</v>
      </c>
      <c r="P18" s="20" t="n">
        <v>0</v>
      </c>
      <c r="Q18" s="18" t="n">
        <v>0</v>
      </c>
      <c r="R18" s="20" t="n">
        <v>0</v>
      </c>
    </row>
    <row r="19" spans="1:18">
      <c r="A19" s="15" t="s">
        <v>577</v>
      </c>
      <c r="B19" s="17" t="n">
        <v>5658</v>
      </c>
      <c r="C19" s="18">
        <f>(5036.0/B19*100)</f>
        <v/>
      </c>
      <c r="D19" s="19" t="n">
        <v>622</v>
      </c>
      <c r="E19" s="18" t="n">
        <v>45.54665146</v>
      </c>
      <c r="F19" s="20" t="n">
        <v>2.11769097</v>
      </c>
      <c r="G19" s="18" t="n">
        <v>54.01420213</v>
      </c>
      <c r="H19" s="20" t="n">
        <v>2.13816628</v>
      </c>
      <c r="I19" s="18" t="n">
        <v>0</v>
      </c>
      <c r="J19" s="20" t="n">
        <v>0</v>
      </c>
      <c r="K19" s="18" t="n">
        <v>0.43914641</v>
      </c>
      <c r="L19" s="20" t="n">
        <v>0.25477958</v>
      </c>
      <c r="M19" s="18" t="n">
        <v>0</v>
      </c>
      <c r="N19" s="20" t="n">
        <v>0</v>
      </c>
      <c r="O19" s="18" t="n">
        <v>0</v>
      </c>
      <c r="P19" s="20" t="n">
        <v>0</v>
      </c>
      <c r="Q19" s="18" t="n">
        <v>0</v>
      </c>
      <c r="R19" s="20" t="n">
        <v>0</v>
      </c>
    </row>
    <row r="20" spans="1:18">
      <c r="A20" s="15" t="s">
        <v>578</v>
      </c>
      <c r="B20" s="17" t="n">
        <v>3371</v>
      </c>
      <c r="C20" s="18">
        <f>(3036.0/B20*100)</f>
        <v/>
      </c>
      <c r="D20" s="19" t="n">
        <v>335</v>
      </c>
      <c r="E20" s="18" t="n">
        <v>48.30568175</v>
      </c>
      <c r="F20" s="20" t="n">
        <v>2.82198791</v>
      </c>
      <c r="G20" s="18" t="n">
        <v>48.67613005</v>
      </c>
      <c r="H20" s="20" t="n">
        <v>2.72833782</v>
      </c>
      <c r="I20" s="18" t="n">
        <v>0</v>
      </c>
      <c r="J20" s="20" t="n">
        <v>0</v>
      </c>
      <c r="K20" s="18" t="n">
        <v>3.0181882</v>
      </c>
      <c r="L20" s="20" t="n">
        <v>0.99307359</v>
      </c>
      <c r="M20" s="18" t="n">
        <v>0</v>
      </c>
      <c r="N20" s="20" t="n">
        <v>0</v>
      </c>
      <c r="O20" s="18" t="n">
        <v>0</v>
      </c>
      <c r="P20" s="20" t="n">
        <v>0</v>
      </c>
      <c r="Q20" s="18" t="n">
        <v>0</v>
      </c>
      <c r="R20" s="20" t="n">
        <v>0</v>
      </c>
    </row>
    <row r="21" spans="1:18">
      <c r="A21" s="15" t="s">
        <v>579</v>
      </c>
      <c r="B21" s="17" t="n">
        <v>5741</v>
      </c>
      <c r="C21" s="18">
        <f>(5095.0/B21*100)</f>
        <v/>
      </c>
      <c r="D21" s="19" t="n">
        <v>646</v>
      </c>
      <c r="E21" s="18" t="n">
        <v>45.01108681</v>
      </c>
      <c r="F21" s="20" t="n">
        <v>1.88164857</v>
      </c>
      <c r="G21" s="18" t="n">
        <v>54.51677523</v>
      </c>
      <c r="H21" s="20" t="n">
        <v>1.93786382</v>
      </c>
      <c r="I21" s="18" t="n">
        <v>0</v>
      </c>
      <c r="J21" s="20" t="n">
        <v>0</v>
      </c>
      <c r="K21" s="18" t="n">
        <v>0.47213796</v>
      </c>
      <c r="L21" s="20" t="n">
        <v>0.27156322</v>
      </c>
      <c r="M21" s="18" t="n">
        <v>0</v>
      </c>
      <c r="N21" s="20" t="n">
        <v>0</v>
      </c>
      <c r="O21" s="18" t="n">
        <v>0</v>
      </c>
      <c r="P21" s="20" t="n">
        <v>0</v>
      </c>
      <c r="Q21" s="18" t="n">
        <v>0</v>
      </c>
      <c r="R21" s="20" t="n">
        <v>0</v>
      </c>
    </row>
    <row r="22" spans="1:18">
      <c r="A22" s="15" t="s">
        <v>580</v>
      </c>
      <c r="B22" s="17" t="n">
        <v>6598</v>
      </c>
      <c r="C22" s="18">
        <f>(5955.0/B22*100)</f>
        <v/>
      </c>
      <c r="D22" s="19" t="n">
        <v>643</v>
      </c>
      <c r="E22" s="18" t="n">
        <v>48.24262734</v>
      </c>
      <c r="F22" s="20" t="n">
        <v>1.99435317</v>
      </c>
      <c r="G22" s="18" t="n">
        <v>50.39933579</v>
      </c>
      <c r="H22" s="20" t="n">
        <v>2.02190922</v>
      </c>
      <c r="I22" s="18" t="n">
        <v>0</v>
      </c>
      <c r="J22" s="20" t="n">
        <v>0</v>
      </c>
      <c r="K22" s="18" t="n">
        <v>1.35803687</v>
      </c>
      <c r="L22" s="20" t="n">
        <v>0.46119152</v>
      </c>
      <c r="M22" s="18" t="n">
        <v>0</v>
      </c>
      <c r="N22" s="20" t="n">
        <v>0</v>
      </c>
      <c r="O22" s="18" t="n">
        <v>0</v>
      </c>
      <c r="P22" s="20" t="n">
        <v>0</v>
      </c>
      <c r="Q22" s="18" t="n">
        <v>0</v>
      </c>
      <c r="R22" s="20" t="n">
        <v>0</v>
      </c>
    </row>
    <row r="23" spans="1:18">
      <c r="A23" s="15" t="s">
        <v>581</v>
      </c>
      <c r="B23" s="17" t="n">
        <v>11583</v>
      </c>
      <c r="C23" s="18">
        <f>(10321.0/B23*100)</f>
        <v/>
      </c>
      <c r="D23" s="19" t="n">
        <v>1262</v>
      </c>
      <c r="E23" s="18" t="n">
        <v>36.60322786</v>
      </c>
      <c r="F23" s="20" t="n">
        <v>2.16903101</v>
      </c>
      <c r="G23" s="18" t="n">
        <v>61.5520569</v>
      </c>
      <c r="H23" s="20" t="n">
        <v>2.30432948</v>
      </c>
      <c r="I23" s="18" t="n">
        <v>0</v>
      </c>
      <c r="J23" s="20" t="n">
        <v>0</v>
      </c>
      <c r="K23" s="18" t="n">
        <v>1.84471524</v>
      </c>
      <c r="L23" s="20" t="n">
        <v>0.62653138</v>
      </c>
      <c r="M23" s="18" t="n">
        <v>0</v>
      </c>
      <c r="N23" s="20" t="n">
        <v>0</v>
      </c>
      <c r="O23" s="18" t="n">
        <v>0</v>
      </c>
      <c r="P23" s="20" t="n">
        <v>0</v>
      </c>
      <c r="Q23" s="18" t="n">
        <v>0</v>
      </c>
      <c r="R23" s="20" t="n">
        <v>0</v>
      </c>
    </row>
    <row r="24" spans="1:18">
      <c r="A24" s="15" t="s">
        <v>582</v>
      </c>
      <c r="B24" s="17" t="n">
        <v>6647</v>
      </c>
      <c r="C24" s="18">
        <f>(5920.0/B24*100)</f>
        <v/>
      </c>
      <c r="D24" s="19" t="n">
        <v>727</v>
      </c>
      <c r="E24" s="18" t="n">
        <v>22.48451816</v>
      </c>
      <c r="F24" s="20" t="n">
        <v>1.6157079</v>
      </c>
      <c r="G24" s="18" t="n">
        <v>77.13592912999999</v>
      </c>
      <c r="H24" s="20" t="n">
        <v>1.57067169</v>
      </c>
      <c r="I24" s="18" t="n">
        <v>0</v>
      </c>
      <c r="J24" s="20" t="n">
        <v>0</v>
      </c>
      <c r="K24" s="18" t="n">
        <v>0.3795527</v>
      </c>
      <c r="L24" s="20" t="n">
        <v>0.2204665</v>
      </c>
      <c r="M24" s="18" t="n">
        <v>0</v>
      </c>
      <c r="N24" s="20" t="n">
        <v>0</v>
      </c>
      <c r="O24" s="18" t="n">
        <v>0</v>
      </c>
      <c r="P24" s="20" t="n">
        <v>0</v>
      </c>
      <c r="Q24" s="18" t="n">
        <v>0</v>
      </c>
      <c r="R24" s="20" t="n">
        <v>0</v>
      </c>
    </row>
    <row r="25" spans="1:18">
      <c r="A25" s="15" t="s">
        <v>583</v>
      </c>
      <c r="B25" s="17" t="n">
        <v>5581</v>
      </c>
      <c r="C25" s="18">
        <f>(4957.0/B25*100)</f>
        <v/>
      </c>
      <c r="D25" s="19" t="n">
        <v>624</v>
      </c>
      <c r="E25" s="18" t="n">
        <v>25.05816425</v>
      </c>
      <c r="F25" s="20" t="n">
        <v>1.69544253</v>
      </c>
      <c r="G25" s="18" t="n">
        <v>73.83879168</v>
      </c>
      <c r="H25" s="20" t="n">
        <v>1.80032331</v>
      </c>
      <c r="I25" s="18" t="n">
        <v>0</v>
      </c>
      <c r="J25" s="20" t="n">
        <v>0</v>
      </c>
      <c r="K25" s="18" t="n">
        <v>1.10304407</v>
      </c>
      <c r="L25" s="20" t="n">
        <v>0.43958784</v>
      </c>
      <c r="M25" s="18" t="n">
        <v>0</v>
      </c>
      <c r="N25" s="20" t="n">
        <v>0</v>
      </c>
      <c r="O25" s="18" t="n">
        <v>0</v>
      </c>
      <c r="P25" s="20" t="n">
        <v>0</v>
      </c>
      <c r="Q25" s="18" t="n">
        <v>0</v>
      </c>
      <c r="R25" s="20" t="n">
        <v>0</v>
      </c>
    </row>
    <row r="26" spans="1:18">
      <c r="A26" s="15" t="s">
        <v>584</v>
      </c>
      <c r="B26" s="17" t="n">
        <v>4869</v>
      </c>
      <c r="C26" s="18">
        <f>(4345.0/B26*100)</f>
        <v/>
      </c>
      <c r="D26" s="19" t="n">
        <v>524</v>
      </c>
      <c r="E26" s="18" t="n">
        <v>40.44758531</v>
      </c>
      <c r="F26" s="20" t="n">
        <v>2.61840262</v>
      </c>
      <c r="G26" s="18" t="n">
        <v>59.55241469</v>
      </c>
      <c r="H26" s="20" t="n">
        <v>2.61840262</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(4750.0/B27*100)</f>
        <v/>
      </c>
      <c r="D27" s="19" t="n">
        <v>549</v>
      </c>
      <c r="E27" s="18" t="n">
        <v>50.63589511</v>
      </c>
      <c r="F27" s="20" t="n">
        <v>2.12468977</v>
      </c>
      <c r="G27" s="18" t="n">
        <v>47.16133592</v>
      </c>
      <c r="H27" s="20" t="n">
        <v>2.19503608</v>
      </c>
      <c r="I27" s="18" t="n">
        <v>0</v>
      </c>
      <c r="J27" s="20" t="n">
        <v>0</v>
      </c>
      <c r="K27" s="18" t="n">
        <v>2.20276896</v>
      </c>
      <c r="L27" s="20" t="n">
        <v>0.61891597</v>
      </c>
      <c r="M27" s="18" t="n">
        <v>0</v>
      </c>
      <c r="N27" s="20" t="n">
        <v>0</v>
      </c>
      <c r="O27" s="18" t="n">
        <v>0</v>
      </c>
      <c r="P27" s="20" t="n">
        <v>0</v>
      </c>
      <c r="Q27" s="18" t="n">
        <v>0</v>
      </c>
      <c r="R27" s="20" t="n">
        <v>0</v>
      </c>
    </row>
    <row r="28" spans="1:18">
      <c r="A28" s="15" t="s">
        <v>586</v>
      </c>
      <c r="B28" s="17" t="n">
        <v>7568</v>
      </c>
      <c r="C28" s="18">
        <f>(6848.0/B28*100)</f>
        <v/>
      </c>
      <c r="D28" s="19" t="n">
        <v>720</v>
      </c>
      <c r="E28" s="18" t="n">
        <v>48.49989765</v>
      </c>
      <c r="F28" s="20" t="n">
        <v>2.2170108</v>
      </c>
      <c r="G28" s="18" t="n">
        <v>49.80478187</v>
      </c>
      <c r="H28" s="20" t="n">
        <v>2.09920309</v>
      </c>
      <c r="I28" s="18" t="n">
        <v>0</v>
      </c>
      <c r="J28" s="20" t="n">
        <v>0</v>
      </c>
      <c r="K28" s="18" t="n">
        <v>1.69532048</v>
      </c>
      <c r="L28" s="20" t="n">
        <v>0.52204769</v>
      </c>
      <c r="M28" s="18" t="n">
        <v>0</v>
      </c>
      <c r="N28" s="20" t="n">
        <v>0</v>
      </c>
      <c r="O28" s="18" t="n">
        <v>0</v>
      </c>
      <c r="P28" s="20" t="n">
        <v>0</v>
      </c>
      <c r="Q28" s="18" t="n">
        <v>0</v>
      </c>
      <c r="R28" s="20" t="n">
        <v>0</v>
      </c>
    </row>
    <row r="29" spans="1:18">
      <c r="A29" s="15" t="s">
        <v>587</v>
      </c>
      <c r="B29" s="17" t="n">
        <v>5385</v>
      </c>
      <c r="C29" s="18">
        <f>(4638.0/B29*100)</f>
        <v/>
      </c>
      <c r="D29" s="19" t="n">
        <v>747</v>
      </c>
      <c r="E29" s="18" t="n">
        <v>34.20377096</v>
      </c>
      <c r="F29" s="20" t="n">
        <v>2.01488598</v>
      </c>
      <c r="G29" s="18" t="n">
        <v>64.67228573</v>
      </c>
      <c r="H29" s="20" t="n">
        <v>2.10068326</v>
      </c>
      <c r="I29" s="18" t="n">
        <v>0</v>
      </c>
      <c r="J29" s="20" t="n">
        <v>0</v>
      </c>
      <c r="K29" s="18" t="n">
        <v>0.87537469</v>
      </c>
      <c r="L29" s="20" t="n">
        <v>0.31775849</v>
      </c>
      <c r="M29" s="18" t="n">
        <v>0</v>
      </c>
      <c r="N29" s="20" t="n">
        <v>0</v>
      </c>
      <c r="O29" s="18" t="n">
        <v>0</v>
      </c>
      <c r="P29" s="20" t="n">
        <v>0</v>
      </c>
      <c r="Q29" s="18" t="n">
        <v>0.24856863</v>
      </c>
      <c r="R29" s="20" t="n">
        <v>0.03232986</v>
      </c>
    </row>
    <row r="30" spans="1:18">
      <c r="A30" s="15" t="s">
        <v>588</v>
      </c>
      <c r="B30" s="17" t="n">
        <v>4520</v>
      </c>
      <c r="C30" s="18">
        <f>(4053.0/B30*100)</f>
        <v/>
      </c>
      <c r="D30" s="19" t="n">
        <v>467</v>
      </c>
      <c r="E30" s="18" t="n">
        <v>37.08339222</v>
      </c>
      <c r="F30" s="20" t="n">
        <v>2.75702534</v>
      </c>
      <c r="G30" s="18" t="n">
        <v>61.74574726</v>
      </c>
      <c r="H30" s="20" t="n">
        <v>2.74235928</v>
      </c>
      <c r="I30" s="18" t="n">
        <v>0</v>
      </c>
      <c r="J30" s="20" t="n">
        <v>0</v>
      </c>
      <c r="K30" s="18" t="n">
        <v>1.17086052</v>
      </c>
      <c r="L30" s="20" t="n">
        <v>0.49591286</v>
      </c>
      <c r="M30" s="18" t="n">
        <v>0</v>
      </c>
      <c r="N30" s="20" t="n">
        <v>0</v>
      </c>
      <c r="O30" s="18" t="n">
        <v>0</v>
      </c>
      <c r="P30" s="20" t="n">
        <v>0</v>
      </c>
      <c r="Q30" s="18" t="n">
        <v>0</v>
      </c>
      <c r="R30" s="20" t="n">
        <v>0</v>
      </c>
    </row>
    <row r="31" spans="1:18">
      <c r="A31" s="15" t="s">
        <v>589</v>
      </c>
      <c r="B31" s="17" t="n">
        <v>5456</v>
      </c>
      <c r="C31" s="18">
        <f>(4889.0/B31*100)</f>
        <v/>
      </c>
      <c r="D31" s="19" t="n">
        <v>567</v>
      </c>
      <c r="E31" s="18" t="n">
        <v>46.20551192</v>
      </c>
      <c r="F31" s="20" t="n">
        <v>2.15080244</v>
      </c>
      <c r="G31" s="18" t="n">
        <v>51.38634533</v>
      </c>
      <c r="H31" s="20" t="n">
        <v>2.26957438</v>
      </c>
      <c r="I31" s="18" t="n">
        <v>0</v>
      </c>
      <c r="J31" s="20" t="n">
        <v>0</v>
      </c>
      <c r="K31" s="18" t="n">
        <v>2.40814275</v>
      </c>
      <c r="L31" s="20" t="n">
        <v>0.59021454</v>
      </c>
      <c r="M31" s="18" t="n">
        <v>0</v>
      </c>
      <c r="N31" s="20" t="n">
        <v>0</v>
      </c>
      <c r="O31" s="18" t="n">
        <v>0</v>
      </c>
      <c r="P31" s="20" t="n">
        <v>0</v>
      </c>
      <c r="Q31" s="18" t="n">
        <v>0</v>
      </c>
      <c r="R31" s="20" t="n">
        <v>0</v>
      </c>
    </row>
    <row r="32" spans="1:18">
      <c r="A32" s="15" t="s">
        <v>590</v>
      </c>
      <c r="B32" s="17" t="n">
        <v>4478</v>
      </c>
      <c r="C32" s="18">
        <f>(3997.0/B32*100)</f>
        <v/>
      </c>
      <c r="D32" s="19" t="n">
        <v>481</v>
      </c>
      <c r="E32" s="18" t="n">
        <v>34.89366798</v>
      </c>
      <c r="F32" s="20" t="n">
        <v>2.15696045</v>
      </c>
      <c r="G32" s="18" t="n">
        <v>64.47229185</v>
      </c>
      <c r="H32" s="20" t="n">
        <v>2.19736278</v>
      </c>
      <c r="I32" s="18" t="n">
        <v>0</v>
      </c>
      <c r="J32" s="20" t="n">
        <v>0</v>
      </c>
      <c r="K32" s="18" t="n">
        <v>0.63404017</v>
      </c>
      <c r="L32" s="20" t="n">
        <v>0.35507207</v>
      </c>
      <c r="M32" s="18" t="n">
        <v>0</v>
      </c>
      <c r="N32" s="20" t="n">
        <v>0</v>
      </c>
      <c r="O32" s="18" t="n">
        <v>0</v>
      </c>
      <c r="P32" s="20" t="n">
        <v>0</v>
      </c>
      <c r="Q32" s="18" t="n">
        <v>0</v>
      </c>
      <c r="R32" s="20" t="n">
        <v>0</v>
      </c>
    </row>
    <row r="33" spans="1:18">
      <c r="A33" s="15" t="s">
        <v>591</v>
      </c>
      <c r="B33" s="17" t="n">
        <v>7325</v>
      </c>
      <c r="C33" s="18">
        <f>(6588.0/B33*100)</f>
        <v/>
      </c>
      <c r="D33" s="19" t="n">
        <v>737</v>
      </c>
      <c r="E33" s="18" t="n">
        <v>41.48303565</v>
      </c>
      <c r="F33" s="20" t="n">
        <v>2.00706703</v>
      </c>
      <c r="G33" s="18" t="n">
        <v>58.01115902</v>
      </c>
      <c r="H33" s="20" t="n">
        <v>1.98492521</v>
      </c>
      <c r="I33" s="18" t="n">
        <v>0</v>
      </c>
      <c r="J33" s="20" t="n">
        <v>0</v>
      </c>
      <c r="K33" s="18" t="n">
        <v>0.50580532</v>
      </c>
      <c r="L33" s="20" t="n">
        <v>0.36347733</v>
      </c>
      <c r="M33" s="18" t="n">
        <v>0</v>
      </c>
      <c r="N33" s="20" t="n">
        <v>0</v>
      </c>
      <c r="O33" s="18" t="n">
        <v>0</v>
      </c>
      <c r="P33" s="20" t="n">
        <v>0</v>
      </c>
      <c r="Q33" s="18" t="n">
        <v>0</v>
      </c>
      <c r="R33" s="20" t="n">
        <v>0</v>
      </c>
    </row>
    <row r="34" spans="1:18">
      <c r="A34" s="15" t="s">
        <v>592</v>
      </c>
      <c r="B34" s="17" t="n">
        <v>6350</v>
      </c>
      <c r="C34" s="18">
        <f>(5566.0/B34*100)</f>
        <v/>
      </c>
      <c r="D34" s="19" t="n">
        <v>784</v>
      </c>
      <c r="E34" s="18" t="n">
        <v>55.86341088</v>
      </c>
      <c r="F34" s="20" t="n">
        <v>2.12715612</v>
      </c>
      <c r="G34" s="18" t="n">
        <v>43.37081423</v>
      </c>
      <c r="H34" s="20" t="n">
        <v>2.18116082</v>
      </c>
      <c r="I34" s="18" t="n">
        <v>0</v>
      </c>
      <c r="J34" s="20" t="n">
        <v>0</v>
      </c>
      <c r="K34" s="18" t="n">
        <v>0.44195691</v>
      </c>
      <c r="L34" s="20" t="n">
        <v>0.18318366</v>
      </c>
      <c r="M34" s="18" t="n">
        <v>0</v>
      </c>
      <c r="N34" s="20" t="n">
        <v>0</v>
      </c>
      <c r="O34" s="18" t="n">
        <v>0</v>
      </c>
      <c r="P34" s="20" t="n">
        <v>0</v>
      </c>
      <c r="Q34" s="18" t="n">
        <v>0.32381799</v>
      </c>
      <c r="R34" s="20" t="n">
        <v>0.22439605</v>
      </c>
    </row>
    <row r="35" spans="1:18">
      <c r="A35" s="15" t="s">
        <v>593</v>
      </c>
      <c r="B35" s="17" t="n">
        <v>6406</v>
      </c>
      <c r="C35" s="18">
        <f>(5550.0/B35*100)</f>
        <v/>
      </c>
      <c r="D35" s="19" t="n">
        <v>856</v>
      </c>
      <c r="E35" s="18" t="n">
        <v>35.80243521</v>
      </c>
      <c r="F35" s="20" t="n">
        <v>2.0511042</v>
      </c>
      <c r="G35" s="18" t="n">
        <v>63.87042557</v>
      </c>
      <c r="H35" s="20" t="n">
        <v>2.05928156</v>
      </c>
      <c r="I35" s="18" t="n">
        <v>0</v>
      </c>
      <c r="J35" s="20" t="n">
        <v>0</v>
      </c>
      <c r="K35" s="18" t="n">
        <v>0.32713922</v>
      </c>
      <c r="L35" s="20" t="n">
        <v>0.15845981</v>
      </c>
      <c r="M35" s="18" t="n">
        <v>0</v>
      </c>
      <c r="N35" s="20" t="n">
        <v>0</v>
      </c>
      <c r="O35" s="18" t="n">
        <v>0</v>
      </c>
      <c r="P35" s="20" t="n">
        <v>0</v>
      </c>
      <c r="Q35" s="18" t="n">
        <v>0</v>
      </c>
      <c r="R35" s="20" t="n">
        <v>0</v>
      </c>
    </row>
    <row r="36" spans="1:18">
      <c r="A36" s="15" t="s">
        <v>594</v>
      </c>
      <c r="B36" s="17" t="n">
        <v>6736</v>
      </c>
      <c r="C36" s="18">
        <f>(6031.0/B36*100)</f>
        <v/>
      </c>
      <c r="D36" s="19" t="n">
        <v>705</v>
      </c>
      <c r="E36" s="18" t="n">
        <v>37.64181807</v>
      </c>
      <c r="F36" s="20" t="n">
        <v>2.15812145</v>
      </c>
      <c r="G36" s="18" t="n">
        <v>60.83353002</v>
      </c>
      <c r="H36" s="20" t="n">
        <v>2.2290857</v>
      </c>
      <c r="I36" s="18" t="n">
        <v>0</v>
      </c>
      <c r="J36" s="20" t="n">
        <v>0</v>
      </c>
      <c r="K36" s="18" t="n">
        <v>1.52465191</v>
      </c>
      <c r="L36" s="20" t="n">
        <v>0.5614746</v>
      </c>
      <c r="M36" s="18" t="n">
        <v>0</v>
      </c>
      <c r="N36" s="20" t="n">
        <v>0</v>
      </c>
      <c r="O36" s="18" t="n">
        <v>0</v>
      </c>
      <c r="P36" s="20" t="n">
        <v>0</v>
      </c>
      <c r="Q36" s="18" t="n">
        <v>0</v>
      </c>
      <c r="R36" s="20" t="n">
        <v>0</v>
      </c>
    </row>
    <row r="37" spans="1:18">
      <c r="A37" s="15" t="s">
        <v>595</v>
      </c>
      <c r="B37" s="17" t="n">
        <v>5458</v>
      </c>
      <c r="C37" s="18">
        <f>(4907.0/B37*100)</f>
        <v/>
      </c>
      <c r="D37" s="19" t="n">
        <v>551</v>
      </c>
      <c r="E37" s="18" t="n">
        <v>38.27297105</v>
      </c>
      <c r="F37" s="20" t="n">
        <v>2.04748323</v>
      </c>
      <c r="G37" s="18" t="n">
        <v>59.63455435</v>
      </c>
      <c r="H37" s="20" t="n">
        <v>2.11062749</v>
      </c>
      <c r="I37" s="18" t="n">
        <v>0</v>
      </c>
      <c r="J37" s="20" t="n">
        <v>0</v>
      </c>
      <c r="K37" s="18" t="n">
        <v>2.0924746</v>
      </c>
      <c r="L37" s="20" t="n">
        <v>0.62542078</v>
      </c>
      <c r="M37" s="18" t="n">
        <v>0</v>
      </c>
      <c r="N37" s="20" t="n">
        <v>0</v>
      </c>
      <c r="O37" s="18" t="n">
        <v>0</v>
      </c>
      <c r="P37" s="20" t="n">
        <v>0</v>
      </c>
      <c r="Q37" s="18" t="n">
        <v>0</v>
      </c>
      <c r="R37" s="20" t="n">
        <v>0</v>
      </c>
    </row>
    <row r="38" spans="1:18">
      <c r="A38" s="15" t="s">
        <v>596</v>
      </c>
      <c r="B38" s="17" t="n">
        <v>5860</v>
      </c>
      <c r="C38" s="18">
        <f>(5240.0/B38*100)</f>
        <v/>
      </c>
      <c r="D38" s="19" t="n">
        <v>620</v>
      </c>
      <c r="E38" s="18" t="n">
        <v>45.22984644</v>
      </c>
      <c r="F38" s="20" t="n">
        <v>2.40018558</v>
      </c>
      <c r="G38" s="18" t="n">
        <v>52.47294699</v>
      </c>
      <c r="H38" s="20" t="n">
        <v>2.34741019</v>
      </c>
      <c r="I38" s="18" t="n">
        <v>0</v>
      </c>
      <c r="J38" s="20" t="n">
        <v>0</v>
      </c>
      <c r="K38" s="18" t="n">
        <v>2.29720657</v>
      </c>
      <c r="L38" s="20" t="n">
        <v>0.6299545600000001</v>
      </c>
      <c r="M38" s="18" t="n">
        <v>0</v>
      </c>
      <c r="N38" s="20" t="n">
        <v>0</v>
      </c>
      <c r="O38" s="18" t="n">
        <v>0</v>
      </c>
      <c r="P38" s="20" t="n">
        <v>0</v>
      </c>
      <c r="Q38" s="18" t="n">
        <v>0</v>
      </c>
      <c r="R38" s="20" t="n">
        <v>0</v>
      </c>
    </row>
    <row r="39" spans="1:18">
      <c r="A39" s="15" t="s">
        <v>597</v>
      </c>
      <c r="B39" s="17" t="n">
        <v>5895</v>
      </c>
      <c r="C39" s="18">
        <f>(5254.0/B39*100)</f>
        <v/>
      </c>
      <c r="D39" s="19" t="n">
        <v>641</v>
      </c>
      <c r="E39" s="18" t="n">
        <v>44.27262301</v>
      </c>
      <c r="F39" s="20" t="n">
        <v>2.12469359</v>
      </c>
      <c r="G39" s="18" t="n">
        <v>55.32510371</v>
      </c>
      <c r="H39" s="20" t="n">
        <v>2.14958969</v>
      </c>
      <c r="I39" s="18" t="n">
        <v>0</v>
      </c>
      <c r="J39" s="20" t="n">
        <v>0</v>
      </c>
      <c r="K39" s="18" t="n">
        <v>0.40227328</v>
      </c>
      <c r="L39" s="20" t="n">
        <v>0.23077126</v>
      </c>
      <c r="M39" s="18" t="n">
        <v>0</v>
      </c>
      <c r="N39" s="20" t="n">
        <v>0</v>
      </c>
      <c r="O39" s="18" t="n">
        <v>0</v>
      </c>
      <c r="P39" s="20" t="n">
        <v>0</v>
      </c>
      <c r="Q39" s="18" t="n">
        <v>0</v>
      </c>
      <c r="R39" s="20" t="n">
        <v>0</v>
      </c>
    </row>
    <row r="40" spans="1:18">
      <c r="A40" s="15" t="s">
        <v>598</v>
      </c>
      <c r="B40" s="17" t="n">
        <v>14157</v>
      </c>
      <c r="C40" s="18">
        <f>(12624.0/B40*100)</f>
        <v/>
      </c>
      <c r="D40" s="19" t="n">
        <v>1533</v>
      </c>
      <c r="E40" s="18" t="n">
        <v>42.9605054</v>
      </c>
      <c r="F40" s="20" t="n">
        <v>2.14501909</v>
      </c>
      <c r="G40" s="18" t="n">
        <v>55.86002824</v>
      </c>
      <c r="H40" s="20" t="n">
        <v>2.16123856</v>
      </c>
      <c r="I40" s="18" t="n">
        <v>0</v>
      </c>
      <c r="J40" s="20" t="n">
        <v>0</v>
      </c>
      <c r="K40" s="18" t="n">
        <v>1.17946636</v>
      </c>
      <c r="L40" s="20" t="n">
        <v>0.45262694</v>
      </c>
      <c r="M40" s="18" t="n">
        <v>0</v>
      </c>
      <c r="N40" s="20" t="n">
        <v>0</v>
      </c>
      <c r="O40" s="18" t="n">
        <v>0</v>
      </c>
      <c r="P40" s="20" t="n">
        <v>0</v>
      </c>
      <c r="Q40" s="18" t="n">
        <v>0</v>
      </c>
      <c r="R40" s="20" t="n">
        <v>0</v>
      </c>
    </row>
    <row r="41" spans="1:18">
      <c r="A41" s="15" t="s">
        <v>599</v>
      </c>
      <c r="B41" s="17" t="n">
        <v>5712</v>
      </c>
      <c r="C41" s="18">
        <f>(5094.0/B41*100)</f>
        <v/>
      </c>
      <c r="D41" s="19" t="n">
        <v>618</v>
      </c>
      <c r="E41" s="18" t="n">
        <v>47.29401043</v>
      </c>
      <c r="F41" s="20" t="n">
        <v>2.4198493</v>
      </c>
      <c r="G41" s="18" t="n">
        <v>49.23498522</v>
      </c>
      <c r="H41" s="20" t="n">
        <v>2.4408185</v>
      </c>
      <c r="I41" s="18" t="n">
        <v>0</v>
      </c>
      <c r="J41" s="20" t="n">
        <v>0</v>
      </c>
      <c r="K41" s="18" t="n">
        <v>3.47100435</v>
      </c>
      <c r="L41" s="20" t="n">
        <v>0.78688938</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(21467.0/B46*100)</f>
        <v/>
      </c>
      <c r="D46" s="19" t="n">
        <v>1674</v>
      </c>
      <c r="E46" s="18" t="n">
        <v>48.0688646</v>
      </c>
      <c r="F46" s="20" t="n">
        <v>1.65762586</v>
      </c>
      <c r="G46" s="18" t="n">
        <v>46.80186119</v>
      </c>
      <c r="H46" s="20" t="n">
        <v>1.62952127</v>
      </c>
      <c r="I46" s="18" t="n">
        <v>0</v>
      </c>
      <c r="J46" s="20" t="n">
        <v>0</v>
      </c>
      <c r="K46" s="18" t="n">
        <v>5.12927421</v>
      </c>
      <c r="L46" s="20" t="n">
        <v>0.81824114</v>
      </c>
      <c r="M46" s="18" t="n">
        <v>0</v>
      </c>
      <c r="N46" s="20" t="n">
        <v>0</v>
      </c>
      <c r="O46" s="18" t="n">
        <v>0</v>
      </c>
      <c r="P46" s="20" t="n">
        <v>0</v>
      </c>
      <c r="Q46" s="18" t="n">
        <v>0</v>
      </c>
      <c r="R46" s="20" t="n">
        <v>0</v>
      </c>
    </row>
    <row r="47" spans="1:18">
      <c r="A47" s="15" t="s">
        <v>606</v>
      </c>
      <c r="B47" s="17" t="n">
        <v>5928</v>
      </c>
      <c r="C47" s="18">
        <f>(5306.0/B47*100)</f>
        <v/>
      </c>
      <c r="D47" s="19" t="n">
        <v>622</v>
      </c>
      <c r="E47" s="18" t="n">
        <v>63.54041981</v>
      </c>
      <c r="F47" s="20" t="n">
        <v>2.01404095</v>
      </c>
      <c r="G47" s="18" t="n">
        <v>33.49691202</v>
      </c>
      <c r="H47" s="20" t="n">
        <v>1.84642597</v>
      </c>
      <c r="I47" s="18" t="n">
        <v>0</v>
      </c>
      <c r="J47" s="20" t="n">
        <v>0</v>
      </c>
      <c r="K47" s="18" t="n">
        <v>2.96266817</v>
      </c>
      <c r="L47" s="20" t="n">
        <v>0.91284273</v>
      </c>
      <c r="M47" s="18" t="n">
        <v>0</v>
      </c>
      <c r="N47" s="20" t="n">
        <v>0</v>
      </c>
      <c r="O47" s="18" t="n">
        <v>0</v>
      </c>
      <c r="P47" s="20" t="n">
        <v>0</v>
      </c>
      <c r="Q47" s="18" t="n">
        <v>0</v>
      </c>
      <c r="R47" s="20" t="n">
        <v>0</v>
      </c>
    </row>
    <row r="48" spans="1:18">
      <c r="A48" s="15" t="s">
        <v>607</v>
      </c>
      <c r="B48" s="17" t="n">
        <v>9841</v>
      </c>
      <c r="C48" s="18">
        <f>(8799.0/B48*100)</f>
        <v/>
      </c>
      <c r="D48" s="19" t="n">
        <v>1042</v>
      </c>
      <c r="E48" s="18" t="n">
        <v>32.98785019</v>
      </c>
      <c r="F48" s="20" t="n">
        <v>1.93301408</v>
      </c>
      <c r="G48" s="18" t="n">
        <v>65.74843968</v>
      </c>
      <c r="H48" s="20" t="n">
        <v>2.04913956</v>
      </c>
      <c r="I48" s="18" t="n">
        <v>0</v>
      </c>
      <c r="J48" s="20" t="n">
        <v>0</v>
      </c>
      <c r="K48" s="18" t="n">
        <v>1.26371013</v>
      </c>
      <c r="L48" s="20" t="n">
        <v>0.64071437</v>
      </c>
      <c r="M48" s="18" t="n">
        <v>0</v>
      </c>
      <c r="N48" s="20" t="n">
        <v>0</v>
      </c>
      <c r="O48" s="18" t="n">
        <v>0</v>
      </c>
      <c r="P48" s="20" t="n">
        <v>0</v>
      </c>
      <c r="Q48" s="18" t="n">
        <v>0</v>
      </c>
      <c r="R48" s="20" t="n">
        <v>0</v>
      </c>
    </row>
    <row r="49" spans="1:18">
      <c r="A49" s="15" t="s">
        <v>608</v>
      </c>
      <c r="B49" s="17" t="n">
        <v>11795</v>
      </c>
      <c r="C49" s="18">
        <f>(10587.0/B49*100)</f>
        <v/>
      </c>
      <c r="D49" s="19" t="n">
        <v>1208</v>
      </c>
      <c r="E49" s="18" t="n">
        <v>41.39997535</v>
      </c>
      <c r="F49" s="20" t="n">
        <v>1.8960256</v>
      </c>
      <c r="G49" s="18" t="n">
        <v>54.51973878</v>
      </c>
      <c r="H49" s="20" t="n">
        <v>1.89697508</v>
      </c>
      <c r="I49" s="18" t="n">
        <v>0</v>
      </c>
      <c r="J49" s="20" t="n">
        <v>0</v>
      </c>
      <c r="K49" s="18" t="n">
        <v>4.08028587</v>
      </c>
      <c r="L49" s="20" t="n">
        <v>0.90434204</v>
      </c>
      <c r="M49" s="18" t="n">
        <v>0</v>
      </c>
      <c r="N49" s="20" t="n">
        <v>0</v>
      </c>
      <c r="O49" s="18" t="n">
        <v>0</v>
      </c>
      <c r="P49" s="20" t="n">
        <v>0</v>
      </c>
      <c r="Q49" s="18" t="n">
        <v>0</v>
      </c>
      <c r="R49" s="20" t="n">
        <v>0</v>
      </c>
    </row>
    <row r="50" spans="1:18">
      <c r="A50" s="15" t="s">
        <v>609</v>
      </c>
      <c r="B50" s="17" t="n">
        <v>6866</v>
      </c>
      <c r="C50" s="18">
        <f>(5553.0/B50*100)</f>
        <v/>
      </c>
      <c r="D50" s="19" t="n">
        <v>1313</v>
      </c>
      <c r="E50" s="18" t="n">
        <v>51.7573234</v>
      </c>
      <c r="F50" s="20" t="n">
        <v>1.66921979</v>
      </c>
      <c r="G50" s="18" t="n">
        <v>47.28812607</v>
      </c>
      <c r="H50" s="20" t="n">
        <v>1.63742046</v>
      </c>
      <c r="I50" s="18" t="n">
        <v>0</v>
      </c>
      <c r="J50" s="20" t="n">
        <v>0</v>
      </c>
      <c r="K50" s="18" t="n">
        <v>0.8738142</v>
      </c>
      <c r="L50" s="20" t="n">
        <v>0.26157177</v>
      </c>
      <c r="M50" s="18" t="n">
        <v>0</v>
      </c>
      <c r="N50" s="20" t="n">
        <v>0</v>
      </c>
      <c r="O50" s="18" t="n">
        <v>0</v>
      </c>
      <c r="P50" s="20" t="n">
        <v>0</v>
      </c>
      <c r="Q50" s="18" t="n">
        <v>0.08073632</v>
      </c>
      <c r="R50" s="20" t="n">
        <v>0.08069553</v>
      </c>
    </row>
    <row r="51" spans="1:18">
      <c r="A51" s="15" t="s">
        <v>610</v>
      </c>
      <c r="B51" s="17" t="n">
        <v>5809</v>
      </c>
      <c r="C51" s="18">
        <f>(5190.0/B51*100)</f>
        <v/>
      </c>
      <c r="D51" s="19" t="n">
        <v>619</v>
      </c>
      <c r="E51" s="18" t="n">
        <v>52.00544572</v>
      </c>
      <c r="F51" s="20" t="n">
        <v>2.15643978</v>
      </c>
      <c r="G51" s="18" t="n">
        <v>47.36460256</v>
      </c>
      <c r="H51" s="20" t="n">
        <v>2.19516189</v>
      </c>
      <c r="I51" s="18" t="n">
        <v>0</v>
      </c>
      <c r="J51" s="20" t="n">
        <v>0</v>
      </c>
      <c r="K51" s="18" t="n">
        <v>0.62995172</v>
      </c>
      <c r="L51" s="20" t="n">
        <v>0.3107221</v>
      </c>
      <c r="M51" s="18" t="n">
        <v>0</v>
      </c>
      <c r="N51" s="20" t="n">
        <v>0</v>
      </c>
      <c r="O51" s="18" t="n">
        <v>0</v>
      </c>
      <c r="P51" s="20" t="n">
        <v>0</v>
      </c>
      <c r="Q51" s="18" t="n">
        <v>0</v>
      </c>
      <c r="R51" s="20" t="n">
        <v>0</v>
      </c>
    </row>
    <row r="52" spans="1:18">
      <c r="A52" s="15" t="s">
        <v>611</v>
      </c>
      <c r="B52" s="17" t="n">
        <v>5571</v>
      </c>
      <c r="C52" s="18">
        <f>(4974.0/B52*100)</f>
        <v/>
      </c>
      <c r="D52" s="19" t="n">
        <v>597</v>
      </c>
      <c r="E52" s="18" t="n">
        <v>54.25495669</v>
      </c>
      <c r="F52" s="20" t="n">
        <v>2.05734567</v>
      </c>
      <c r="G52" s="18" t="n">
        <v>44.19416925</v>
      </c>
      <c r="H52" s="20" t="n">
        <v>2.12044186</v>
      </c>
      <c r="I52" s="18" t="n">
        <v>0</v>
      </c>
      <c r="J52" s="20" t="n">
        <v>0</v>
      </c>
      <c r="K52" s="18" t="n">
        <v>1.55087406</v>
      </c>
      <c r="L52" s="20" t="n">
        <v>0.44572834</v>
      </c>
      <c r="M52" s="18" t="n">
        <v>0</v>
      </c>
      <c r="N52" s="20" t="n">
        <v>0</v>
      </c>
      <c r="O52" s="18" t="n">
        <v>0</v>
      </c>
      <c r="P52" s="20" t="n">
        <v>0</v>
      </c>
      <c r="Q52" s="18" t="n">
        <v>0</v>
      </c>
      <c r="R52" s="20" t="n">
        <v>0</v>
      </c>
    </row>
    <row r="53" spans="1:18">
      <c r="A53" s="15" t="s">
        <v>612</v>
      </c>
      <c r="B53" s="17" t="n">
        <v>4740</v>
      </c>
      <c r="C53" s="18">
        <f>(4205.0/B53*100)</f>
        <v/>
      </c>
      <c r="D53" s="19" t="n">
        <v>535</v>
      </c>
      <c r="E53" s="18" t="n">
        <v>53.91664028</v>
      </c>
      <c r="F53" s="20" t="n">
        <v>2.39629173</v>
      </c>
      <c r="G53" s="18" t="n">
        <v>18.85155178</v>
      </c>
      <c r="H53" s="20" t="n">
        <v>1.56912078</v>
      </c>
      <c r="I53" s="18" t="n">
        <v>0</v>
      </c>
      <c r="J53" s="20" t="n">
        <v>0</v>
      </c>
      <c r="K53" s="18" t="n">
        <v>27.23180794</v>
      </c>
      <c r="L53" s="20" t="n">
        <v>2.06565325</v>
      </c>
      <c r="M53" s="18" t="n">
        <v>0</v>
      </c>
      <c r="N53" s="20" t="n">
        <v>0</v>
      </c>
      <c r="O53" s="18" t="n">
        <v>0</v>
      </c>
      <c r="P53" s="20" t="n">
        <v>0</v>
      </c>
      <c r="Q53" s="18" t="n">
        <v>0</v>
      </c>
      <c r="R53" s="20" t="n">
        <v>0</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(4794.0/B55*100)</f>
        <v/>
      </c>
      <c r="D55" s="19" t="n">
        <v>565</v>
      </c>
      <c r="E55" s="18" t="n">
        <v>19.83581736</v>
      </c>
      <c r="F55" s="20" t="n">
        <v>1.65540478</v>
      </c>
      <c r="G55" s="18" t="n">
        <v>79.47218282</v>
      </c>
      <c r="H55" s="20" t="n">
        <v>1.69126084</v>
      </c>
      <c r="I55" s="18" t="n">
        <v>0</v>
      </c>
      <c r="J55" s="20" t="n">
        <v>0</v>
      </c>
      <c r="K55" s="18" t="n">
        <v>0.69199982</v>
      </c>
      <c r="L55" s="20" t="n">
        <v>0.3536032</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(5825.0/B61*100)</f>
        <v/>
      </c>
      <c r="D61" s="19" t="n">
        <v>700</v>
      </c>
      <c r="E61" s="18" t="n">
        <v>42.90519377</v>
      </c>
      <c r="F61" s="20" t="n">
        <v>2.29654069</v>
      </c>
      <c r="G61" s="18" t="n">
        <v>56.72408822</v>
      </c>
      <c r="H61" s="20" t="n">
        <v>2.29864995</v>
      </c>
      <c r="I61" s="18" t="n">
        <v>0</v>
      </c>
      <c r="J61" s="20" t="n">
        <v>0</v>
      </c>
      <c r="K61" s="18" t="n">
        <v>0.37071801</v>
      </c>
      <c r="L61" s="20" t="n">
        <v>0.21284376</v>
      </c>
      <c r="M61" s="18" t="n">
        <v>0</v>
      </c>
      <c r="N61" s="20" t="n">
        <v>0</v>
      </c>
      <c r="O61" s="18" t="n">
        <v>0</v>
      </c>
      <c r="P61" s="20" t="n">
        <v>0</v>
      </c>
      <c r="Q61" s="18" t="n">
        <v>0</v>
      </c>
      <c r="R61" s="20" t="n">
        <v>0</v>
      </c>
    </row>
    <row r="62" spans="1:18">
      <c r="A62" s="15" t="s">
        <v>622</v>
      </c>
      <c r="B62" s="17" t="n">
        <v>4476</v>
      </c>
      <c r="C62" s="18">
        <f>(4024.0/B62*100)</f>
        <v/>
      </c>
      <c r="D62" s="19" t="n">
        <v>452</v>
      </c>
      <c r="E62" s="18" t="n">
        <v>23.67668462</v>
      </c>
      <c r="F62" s="20" t="n">
        <v>2.06821268</v>
      </c>
      <c r="G62" s="18" t="n">
        <v>76.32331538</v>
      </c>
      <c r="H62" s="20" t="n">
        <v>2.06821268</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(5084.0/B67*100)</f>
        <v/>
      </c>
      <c r="D67" s="19" t="n">
        <v>581</v>
      </c>
      <c r="E67" s="18" t="n">
        <v>67.28597039</v>
      </c>
      <c r="F67" s="20" t="n">
        <v>1.92944121</v>
      </c>
      <c r="G67" s="18" t="n">
        <v>30.56981338</v>
      </c>
      <c r="H67" s="20" t="n">
        <v>1.77321046</v>
      </c>
      <c r="I67" s="18" t="n">
        <v>0</v>
      </c>
      <c r="J67" s="20" t="n">
        <v>0</v>
      </c>
      <c r="K67" s="18" t="n">
        <v>2.14421623</v>
      </c>
      <c r="L67" s="20" t="n">
        <v>0.65348137</v>
      </c>
      <c r="M67" s="18" t="n">
        <v>0</v>
      </c>
      <c r="N67" s="20" t="n">
        <v>0</v>
      </c>
      <c r="O67" s="18" t="n">
        <v>0</v>
      </c>
      <c r="P67" s="20" t="n">
        <v>0</v>
      </c>
      <c r="Q67" s="18" t="n">
        <v>0</v>
      </c>
      <c r="R67" s="20" t="n">
        <v>0</v>
      </c>
    </row>
    <row r="68" spans="1:18">
      <c r="A68" s="15" t="s">
        <v>628</v>
      </c>
      <c r="B68" s="17" t="n">
        <v>6971</v>
      </c>
      <c r="C68" s="18">
        <f>(6367.0/B68*100)</f>
        <v/>
      </c>
      <c r="D68" s="19" t="n">
        <v>604</v>
      </c>
      <c r="E68" s="18" t="n">
        <v>54.82478441</v>
      </c>
      <c r="F68" s="20" t="n">
        <v>2.35848578</v>
      </c>
      <c r="G68" s="18" t="n">
        <v>43.89500345</v>
      </c>
      <c r="H68" s="20" t="n">
        <v>2.31188475</v>
      </c>
      <c r="I68" s="18" t="n">
        <v>0</v>
      </c>
      <c r="J68" s="20" t="n">
        <v>0</v>
      </c>
      <c r="K68" s="18" t="n">
        <v>1.28021214</v>
      </c>
      <c r="L68" s="20" t="n">
        <v>0.45918194</v>
      </c>
      <c r="M68" s="18" t="n">
        <v>0</v>
      </c>
      <c r="N68" s="20" t="n">
        <v>0</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(10729.0/B70*100)</f>
        <v/>
      </c>
      <c r="D70" s="19" t="n">
        <v>1354</v>
      </c>
      <c r="E70" s="18" t="n">
        <v>60.92650784</v>
      </c>
      <c r="F70" s="20" t="n">
        <v>1.51334636</v>
      </c>
      <c r="G70" s="18" t="n">
        <v>33.60233458</v>
      </c>
      <c r="H70" s="20" t="n">
        <v>1.41644255</v>
      </c>
      <c r="I70" s="18" t="n">
        <v>0</v>
      </c>
      <c r="J70" s="20" t="n">
        <v>0</v>
      </c>
      <c r="K70" s="18" t="n">
        <v>5.47115758</v>
      </c>
      <c r="L70" s="20" t="n">
        <v>0.53106546</v>
      </c>
      <c r="M70" s="18" t="n">
        <v>0</v>
      </c>
      <c r="N70" s="20" t="n">
        <v>0</v>
      </c>
      <c r="O70" s="18" t="n">
        <v>0</v>
      </c>
      <c r="P70" s="20" t="n">
        <v>0</v>
      </c>
      <c r="Q70" s="18" t="n">
        <v>0</v>
      </c>
      <c r="R70" s="20" t="n">
        <v>0</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(5440.0/B72*100)</f>
        <v/>
      </c>
      <c r="D72" s="19" t="n">
        <v>596</v>
      </c>
      <c r="E72" s="18" t="n">
        <v>48.42388514</v>
      </c>
      <c r="F72" s="20" t="n">
        <v>2.29892719</v>
      </c>
      <c r="G72" s="18" t="n">
        <v>50.42469582</v>
      </c>
      <c r="H72" s="20" t="n">
        <v>2.26593942</v>
      </c>
      <c r="I72" s="18" t="n">
        <v>0</v>
      </c>
      <c r="J72" s="20" t="n">
        <v>0</v>
      </c>
      <c r="K72" s="18" t="n">
        <v>1.15141904</v>
      </c>
      <c r="L72" s="20" t="n">
        <v>0.49433912</v>
      </c>
      <c r="M72" s="18" t="n">
        <v>0</v>
      </c>
      <c r="N72" s="20" t="n">
        <v>0</v>
      </c>
      <c r="O72" s="18" t="n">
        <v>0</v>
      </c>
      <c r="P72" s="20" t="n">
        <v>0</v>
      </c>
      <c r="Q72" s="18" t="n">
        <v>0</v>
      </c>
      <c r="R72" s="20" t="n">
        <v>0</v>
      </c>
    </row>
    <row r="73" spans="1:18">
      <c r="A73" s="15" t="s">
        <v>633</v>
      </c>
      <c r="B73" s="17" t="n">
        <v>6115</v>
      </c>
      <c r="C73" s="18">
        <f>(5433.0/B73*100)</f>
        <v/>
      </c>
      <c r="D73" s="19" t="n">
        <v>682</v>
      </c>
      <c r="E73" s="18" t="n">
        <v>36.45044062</v>
      </c>
      <c r="F73" s="20" t="n">
        <v>2.08275243</v>
      </c>
      <c r="G73" s="18" t="n">
        <v>62.95886795</v>
      </c>
      <c r="H73" s="20" t="n">
        <v>2.10731476</v>
      </c>
      <c r="I73" s="18" t="n">
        <v>0</v>
      </c>
      <c r="J73" s="20" t="n">
        <v>0</v>
      </c>
      <c r="K73" s="18" t="n">
        <v>0.59069143</v>
      </c>
      <c r="L73" s="20" t="n">
        <v>0.30815847</v>
      </c>
      <c r="M73" s="18" t="n">
        <v>0</v>
      </c>
      <c r="N73" s="20" t="n">
        <v>0</v>
      </c>
      <c r="O73" s="18" t="n">
        <v>0</v>
      </c>
      <c r="P73" s="20" t="n">
        <v>0</v>
      </c>
      <c r="Q73" s="18" t="n">
        <v>0</v>
      </c>
      <c r="R73" s="20" t="n">
        <v>0</v>
      </c>
    </row>
    <row r="74" spans="1:18">
      <c r="A74" s="15" t="s">
        <v>634</v>
      </c>
      <c r="B74" s="17" t="n">
        <v>7708</v>
      </c>
      <c r="C74" s="18">
        <f>(6867.0/B74*100)</f>
        <v/>
      </c>
      <c r="D74" s="19" t="n">
        <v>841</v>
      </c>
      <c r="E74" s="18" t="n">
        <v>32.30613986</v>
      </c>
      <c r="F74" s="20" t="n">
        <v>1.39066675</v>
      </c>
      <c r="G74" s="18" t="n">
        <v>67.44697376000001</v>
      </c>
      <c r="H74" s="20" t="n">
        <v>1.43166613</v>
      </c>
      <c r="I74" s="18" t="n">
        <v>0</v>
      </c>
      <c r="J74" s="20" t="n">
        <v>0</v>
      </c>
      <c r="K74" s="18" t="n">
        <v>0.24688637</v>
      </c>
      <c r="L74" s="20" t="n">
        <v>0.18138604</v>
      </c>
      <c r="M74" s="18" t="n">
        <v>0</v>
      </c>
      <c r="N74" s="20" t="n">
        <v>0</v>
      </c>
      <c r="O74" s="18" t="n">
        <v>0</v>
      </c>
      <c r="P74" s="20" t="n">
        <v>0</v>
      </c>
      <c r="Q74" s="18" t="n">
        <v>0</v>
      </c>
      <c r="R74" s="20" t="n">
        <v>0</v>
      </c>
    </row>
    <row r="75" spans="1:18">
      <c r="A75" s="15" t="s">
        <v>635</v>
      </c>
      <c r="B75" s="17" t="n">
        <v>8249</v>
      </c>
      <c r="C75" s="18">
        <f>(7428.0/B75*100)</f>
        <v/>
      </c>
      <c r="D75" s="19" t="n">
        <v>821</v>
      </c>
      <c r="E75" s="18" t="n">
        <v>44.7868975</v>
      </c>
      <c r="F75" s="20" t="n">
        <v>2.42930163</v>
      </c>
      <c r="G75" s="18" t="n">
        <v>54.98649766</v>
      </c>
      <c r="H75" s="20" t="n">
        <v>2.44776599</v>
      </c>
      <c r="I75" s="18" t="n">
        <v>0</v>
      </c>
      <c r="J75" s="20" t="n">
        <v>0</v>
      </c>
      <c r="K75" s="18" t="n">
        <v>0.22660484</v>
      </c>
      <c r="L75" s="20" t="n">
        <v>0.1870395</v>
      </c>
      <c r="M75" s="18" t="n">
        <v>0</v>
      </c>
      <c r="N75" s="20" t="n">
        <v>0</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(4871.0/B77*100)</f>
        <v/>
      </c>
      <c r="D77" s="19" t="n">
        <v>504</v>
      </c>
      <c r="E77" s="18" t="n">
        <v>59.11239436</v>
      </c>
      <c r="F77" s="20" t="n">
        <v>2.18182506</v>
      </c>
      <c r="G77" s="18" t="n">
        <v>32.17302638</v>
      </c>
      <c r="H77" s="20" t="n">
        <v>2.13246937</v>
      </c>
      <c r="I77" s="18" t="n">
        <v>0</v>
      </c>
      <c r="J77" s="20" t="n">
        <v>0</v>
      </c>
      <c r="K77" s="18" t="n">
        <v>8.714579260000001</v>
      </c>
      <c r="L77" s="20" t="n">
        <v>1.50881348</v>
      </c>
      <c r="M77" s="18" t="n">
        <v>0</v>
      </c>
      <c r="N77" s="20" t="n">
        <v>0</v>
      </c>
      <c r="O77" s="18" t="n">
        <v>0</v>
      </c>
      <c r="P77" s="20" t="n">
        <v>0</v>
      </c>
      <c r="Q77" s="18" t="n">
        <v>0</v>
      </c>
      <c r="R77" s="20" t="n">
        <v>0</v>
      </c>
    </row>
    <row r="78" spans="1:18">
      <c r="A78" s="15" t="s">
        <v>638</v>
      </c>
      <c r="B78" s="17" t="n">
        <v>14167</v>
      </c>
      <c r="C78" s="18">
        <f>(12630.0/B78*100)</f>
        <v/>
      </c>
      <c r="D78" s="19" t="n">
        <v>1537</v>
      </c>
      <c r="E78" s="18" t="n">
        <v>54.29326717</v>
      </c>
      <c r="F78" s="20" t="n">
        <v>1.40581887</v>
      </c>
      <c r="G78" s="18" t="n">
        <v>43.13059249</v>
      </c>
      <c r="H78" s="20" t="n">
        <v>1.48154495</v>
      </c>
      <c r="I78" s="18" t="n">
        <v>0</v>
      </c>
      <c r="J78" s="20" t="n">
        <v>0</v>
      </c>
      <c r="K78" s="18" t="n">
        <v>2.57614034</v>
      </c>
      <c r="L78" s="20" t="n">
        <v>0.47395313</v>
      </c>
      <c r="M78" s="18" t="n">
        <v>0</v>
      </c>
      <c r="N78" s="20" t="n">
        <v>0</v>
      </c>
      <c r="O78" s="18" t="n">
        <v>0</v>
      </c>
      <c r="P78" s="20" t="n">
        <v>0</v>
      </c>
      <c r="Q78" s="18" t="n">
        <v>0</v>
      </c>
      <c r="R78" s="20" t="n">
        <v>0</v>
      </c>
    </row>
    <row r="79" spans="1:18">
      <c r="A79" s="15" t="s">
        <v>639</v>
      </c>
      <c r="B79" s="17" t="n">
        <v>6062</v>
      </c>
      <c r="C79" s="18">
        <f>(5438.0/B79*100)</f>
        <v/>
      </c>
      <c r="D79" s="19" t="n">
        <v>624</v>
      </c>
      <c r="E79" s="18" t="n">
        <v>52.77310293</v>
      </c>
      <c r="F79" s="20" t="n">
        <v>2.06022313</v>
      </c>
      <c r="G79" s="18" t="n">
        <v>43.57309678</v>
      </c>
      <c r="H79" s="20" t="n">
        <v>2.15583211</v>
      </c>
      <c r="I79" s="18" t="n">
        <v>0</v>
      </c>
      <c r="J79" s="20" t="n">
        <v>0</v>
      </c>
      <c r="K79" s="18" t="n">
        <v>3.65380029</v>
      </c>
      <c r="L79" s="20" t="n">
        <v>0.71507301</v>
      </c>
      <c r="M79" s="18" t="n">
        <v>0</v>
      </c>
      <c r="N79" s="20" t="n">
        <v>0</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(28896.0/B82*100)</f>
        <v/>
      </c>
      <c r="D82" s="19" t="n">
        <v>3434</v>
      </c>
      <c r="E82" s="18" t="n">
        <v>37.6175888</v>
      </c>
      <c r="F82" s="20" t="n">
        <v>1.31754653</v>
      </c>
      <c r="G82" s="18" t="n">
        <v>61.13773789</v>
      </c>
      <c r="H82" s="20" t="n">
        <v>1.30479545</v>
      </c>
      <c r="I82" s="18" t="n">
        <v>0</v>
      </c>
      <c r="J82" s="20" t="n">
        <v>0</v>
      </c>
      <c r="K82" s="18" t="n">
        <v>1.24467331</v>
      </c>
      <c r="L82" s="20" t="n">
        <v>0.33232803</v>
      </c>
      <c r="M82" s="18" t="n">
        <v>0</v>
      </c>
      <c r="N82" s="20" t="n">
        <v>0</v>
      </c>
      <c r="O82" s="18" t="n">
        <v>0</v>
      </c>
      <c r="P82" s="20" t="n">
        <v>0</v>
      </c>
      <c r="Q82" s="18" t="n">
        <v>0</v>
      </c>
      <c r="R82" s="20" t="n">
        <v>0</v>
      </c>
    </row>
    <row r="83" spans="1:18">
      <c r="A83" s="15" t="s">
        <v>643</v>
      </c>
      <c r="B83" s="17" t="n">
        <v>1652</v>
      </c>
      <c r="C83" s="18">
        <f>(1442.0/B83*100)</f>
        <v/>
      </c>
      <c r="D83" s="19" t="n">
        <v>210</v>
      </c>
      <c r="E83" s="18" t="n">
        <v>35.18869339</v>
      </c>
      <c r="F83" s="20" t="n">
        <v>3.41788222</v>
      </c>
      <c r="G83" s="18" t="n">
        <v>63.7491536</v>
      </c>
      <c r="H83" s="20" t="n">
        <v>3.79400308</v>
      </c>
      <c r="I83" s="18" t="n">
        <v>0</v>
      </c>
      <c r="J83" s="20" t="n">
        <v>0</v>
      </c>
      <c r="K83" s="18" t="n">
        <v>1.06215301</v>
      </c>
      <c r="L83" s="20" t="n">
        <v>0.74498914</v>
      </c>
      <c r="M83" s="18" t="n">
        <v>0</v>
      </c>
      <c r="N83" s="20" t="n">
        <v>0</v>
      </c>
      <c r="O83" s="18" t="n">
        <v>0</v>
      </c>
      <c r="P83" s="20" t="n">
        <v>0</v>
      </c>
      <c r="Q83" s="18" t="n">
        <v>0</v>
      </c>
      <c r="R83" s="20" t="n">
        <v>0</v>
      </c>
    </row>
    <row r="84" spans="1:18">
      <c r="A84" s="23" t="s">
        <v>644</v>
      </c>
      <c r="B84" s="24" t="n">
        <v>1887</v>
      </c>
      <c r="C84" s="25">
        <f>(1656.0/B84*100)</f>
        <v/>
      </c>
      <c r="D84" s="19" t="n">
        <v>231</v>
      </c>
      <c r="E84" s="18" t="n">
        <v>48.9368644</v>
      </c>
      <c r="F84" s="20" t="n">
        <v>3.87885229</v>
      </c>
      <c r="G84" s="18" t="n">
        <v>50.82810268</v>
      </c>
      <c r="H84" s="20" t="n">
        <v>3.93012606</v>
      </c>
      <c r="I84" s="18" t="n">
        <v>0</v>
      </c>
      <c r="J84" s="20" t="n">
        <v>0</v>
      </c>
      <c r="K84" s="18" t="n">
        <v>0.23503291</v>
      </c>
      <c r="L84" s="20" t="n">
        <v>0.23702435</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(12903.0/B7*100)</f>
        <v/>
      </c>
      <c r="D7" s="19" t="n">
        <v>1627</v>
      </c>
      <c r="E7" s="18" t="n">
        <v>25.43795312</v>
      </c>
      <c r="F7" s="20" t="n">
        <v>1.22378577</v>
      </c>
      <c r="G7" s="18" t="n">
        <v>72.79800321</v>
      </c>
      <c r="H7" s="20" t="n">
        <v>1.22831232</v>
      </c>
      <c r="I7" s="18" t="n">
        <v>0</v>
      </c>
      <c r="J7" s="20" t="n">
        <v>0</v>
      </c>
      <c r="K7" s="18" t="n">
        <v>0.03307964</v>
      </c>
      <c r="L7" s="20" t="n">
        <v>0.01936124</v>
      </c>
      <c r="M7" s="18" t="n">
        <v>0</v>
      </c>
      <c r="N7" s="20" t="n">
        <v>0</v>
      </c>
      <c r="O7" s="18" t="n">
        <v>0</v>
      </c>
      <c r="P7" s="20" t="n">
        <v>0</v>
      </c>
      <c r="Q7" s="18" t="n">
        <v>1.73096403</v>
      </c>
      <c r="R7" s="20" t="n">
        <v>0.37739557</v>
      </c>
    </row>
    <row r="8" spans="1:18">
      <c r="A8" s="15" t="s">
        <v>566</v>
      </c>
      <c r="B8" s="17" t="n">
        <v>7007</v>
      </c>
      <c r="C8" s="18">
        <f>(6183.0/B8*100)</f>
        <v/>
      </c>
      <c r="D8" s="19" t="n">
        <v>824</v>
      </c>
      <c r="E8" s="18" t="n">
        <v>24.79445166</v>
      </c>
      <c r="F8" s="20" t="n">
        <v>1.74036178</v>
      </c>
      <c r="G8" s="18" t="n">
        <v>74.41676022</v>
      </c>
      <c r="H8" s="20" t="n">
        <v>1.72546831</v>
      </c>
      <c r="I8" s="18" t="n">
        <v>0</v>
      </c>
      <c r="J8" s="20" t="n">
        <v>0</v>
      </c>
      <c r="K8" s="18" t="n">
        <v>0.10436553</v>
      </c>
      <c r="L8" s="20" t="n">
        <v>0.10505506</v>
      </c>
      <c r="M8" s="18" t="n">
        <v>0</v>
      </c>
      <c r="N8" s="20" t="n">
        <v>0</v>
      </c>
      <c r="O8" s="18" t="n">
        <v>0</v>
      </c>
      <c r="P8" s="20" t="n">
        <v>0</v>
      </c>
      <c r="Q8" s="18" t="n">
        <v>0.68442258</v>
      </c>
      <c r="R8" s="20" t="n">
        <v>0.27724174</v>
      </c>
    </row>
    <row r="9" spans="1:18">
      <c r="A9" s="15" t="s">
        <v>567</v>
      </c>
      <c r="B9" s="17" t="n">
        <v>9651</v>
      </c>
      <c r="C9" s="18">
        <f>(8364.0/B9*100)</f>
        <v/>
      </c>
      <c r="D9" s="19" t="n">
        <v>1287</v>
      </c>
      <c r="E9" s="18" t="n">
        <v>34.8651915</v>
      </c>
      <c r="F9" s="20" t="n">
        <v>1.78556874</v>
      </c>
      <c r="G9" s="18" t="n">
        <v>62.21698456</v>
      </c>
      <c r="H9" s="20" t="n">
        <v>1.93427958</v>
      </c>
      <c r="I9" s="18" t="n">
        <v>0</v>
      </c>
      <c r="J9" s="20" t="n">
        <v>0</v>
      </c>
      <c r="K9" s="18" t="n">
        <v>0.29252512</v>
      </c>
      <c r="L9" s="20" t="n">
        <v>0.18143596</v>
      </c>
      <c r="M9" s="18" t="n">
        <v>0</v>
      </c>
      <c r="N9" s="20" t="n">
        <v>0</v>
      </c>
      <c r="O9" s="18" t="n">
        <v>0</v>
      </c>
      <c r="P9" s="20" t="n">
        <v>0</v>
      </c>
      <c r="Q9" s="18" t="n">
        <v>2.62529882</v>
      </c>
      <c r="R9" s="20" t="n">
        <v>0.43790035</v>
      </c>
    </row>
    <row r="10" spans="1:18">
      <c r="A10" s="15" t="s">
        <v>568</v>
      </c>
      <c r="B10" s="17" t="n">
        <v>20058</v>
      </c>
      <c r="C10" s="18">
        <f>(17907.0/B10*100)</f>
        <v/>
      </c>
      <c r="D10" s="19" t="n">
        <v>2151</v>
      </c>
      <c r="E10" s="18" t="n">
        <v>21.27834714</v>
      </c>
      <c r="F10" s="20" t="n">
        <v>1.23638767</v>
      </c>
      <c r="G10" s="18" t="n">
        <v>77.83000169</v>
      </c>
      <c r="H10" s="20" t="n">
        <v>1.26946905</v>
      </c>
      <c r="I10" s="18" t="n">
        <v>0</v>
      </c>
      <c r="J10" s="20" t="n">
        <v>0</v>
      </c>
      <c r="K10" s="18" t="n">
        <v>0.2188033</v>
      </c>
      <c r="L10" s="20" t="n">
        <v>0.14766056</v>
      </c>
      <c r="M10" s="18" t="n">
        <v>0</v>
      </c>
      <c r="N10" s="20" t="n">
        <v>0</v>
      </c>
      <c r="O10" s="18" t="n">
        <v>0</v>
      </c>
      <c r="P10" s="20" t="n">
        <v>0</v>
      </c>
      <c r="Q10" s="18" t="n">
        <v>0.67284787</v>
      </c>
      <c r="R10" s="20" t="n">
        <v>0.26861367</v>
      </c>
    </row>
    <row r="11" spans="1:18">
      <c r="A11" s="15" t="s">
        <v>569</v>
      </c>
      <c r="B11" s="17" t="n">
        <v>7053</v>
      </c>
      <c r="C11" s="18">
        <f>(6279.0/B11*100)</f>
        <v/>
      </c>
      <c r="D11" s="19" t="n">
        <v>774</v>
      </c>
      <c r="E11" s="18" t="n">
        <v>37.44522968</v>
      </c>
      <c r="F11" s="20" t="n">
        <v>2.07704858</v>
      </c>
      <c r="G11" s="18" t="n">
        <v>59.55145802</v>
      </c>
      <c r="H11" s="20" t="n">
        <v>2.16835967</v>
      </c>
      <c r="I11" s="18" t="n">
        <v>0</v>
      </c>
      <c r="J11" s="20" t="n">
        <v>0</v>
      </c>
      <c r="K11" s="18" t="n">
        <v>0.5565709</v>
      </c>
      <c r="L11" s="20" t="n">
        <v>0.30591529</v>
      </c>
      <c r="M11" s="18" t="n">
        <v>0</v>
      </c>
      <c r="N11" s="20" t="n">
        <v>0</v>
      </c>
      <c r="O11" s="18" t="n">
        <v>0</v>
      </c>
      <c r="P11" s="20" t="n">
        <v>0</v>
      </c>
      <c r="Q11" s="18" t="n">
        <v>2.44674139</v>
      </c>
      <c r="R11" s="20" t="n">
        <v>0.67725743</v>
      </c>
    </row>
    <row r="12" spans="1:18">
      <c r="A12" s="15" t="s">
        <v>570</v>
      </c>
      <c r="B12" s="17" t="n">
        <v>6894</v>
      </c>
      <c r="C12" s="18">
        <f>(6044.0/B12*100)</f>
        <v/>
      </c>
      <c r="D12" s="19" t="n">
        <v>850</v>
      </c>
      <c r="E12" s="18" t="n">
        <v>27.43427269</v>
      </c>
      <c r="F12" s="20" t="n">
        <v>2.07632911</v>
      </c>
      <c r="G12" s="18" t="n">
        <v>71.5363413</v>
      </c>
      <c r="H12" s="20" t="n">
        <v>2.13215284</v>
      </c>
      <c r="I12" s="18" t="n">
        <v>0</v>
      </c>
      <c r="J12" s="20" t="n">
        <v>0</v>
      </c>
      <c r="K12" s="18" t="n">
        <v>0</v>
      </c>
      <c r="L12" s="20" t="n">
        <v>0</v>
      </c>
      <c r="M12" s="18" t="n">
        <v>0</v>
      </c>
      <c r="N12" s="20" t="n">
        <v>0</v>
      </c>
      <c r="O12" s="18" t="n">
        <v>0</v>
      </c>
      <c r="P12" s="20" t="n">
        <v>0</v>
      </c>
      <c r="Q12" s="18" t="n">
        <v>1.02938601</v>
      </c>
      <c r="R12" s="20" t="n">
        <v>0.31727979</v>
      </c>
    </row>
    <row r="13" spans="1:18">
      <c r="A13" s="15" t="s">
        <v>571</v>
      </c>
      <c r="B13" s="17" t="n">
        <v>7161</v>
      </c>
      <c r="C13" s="18">
        <f>(6051.0/B13*100)</f>
        <v/>
      </c>
      <c r="D13" s="19" t="n">
        <v>1110</v>
      </c>
      <c r="E13" s="18" t="n">
        <v>43.47135703</v>
      </c>
      <c r="F13" s="20" t="n">
        <v>2.03120942</v>
      </c>
      <c r="G13" s="18" t="n">
        <v>54.81252409</v>
      </c>
      <c r="H13" s="20" t="n">
        <v>2.12729691</v>
      </c>
      <c r="I13" s="18" t="n">
        <v>0</v>
      </c>
      <c r="J13" s="20" t="n">
        <v>0</v>
      </c>
      <c r="K13" s="18" t="n">
        <v>0.50385337</v>
      </c>
      <c r="L13" s="20" t="n">
        <v>0.22073224</v>
      </c>
      <c r="M13" s="18" t="n">
        <v>0</v>
      </c>
      <c r="N13" s="20" t="n">
        <v>0</v>
      </c>
      <c r="O13" s="18" t="n">
        <v>0</v>
      </c>
      <c r="P13" s="20" t="n">
        <v>0</v>
      </c>
      <c r="Q13" s="18" t="n">
        <v>1.21226552</v>
      </c>
      <c r="R13" s="20" t="n">
        <v>0.36653037</v>
      </c>
    </row>
    <row r="14" spans="1:18">
      <c r="A14" s="15" t="s">
        <v>572</v>
      </c>
      <c r="B14" s="17" t="n">
        <v>5587</v>
      </c>
      <c r="C14" s="18">
        <f>(4995.0/B14*100)</f>
        <v/>
      </c>
      <c r="D14" s="19" t="n">
        <v>592</v>
      </c>
      <c r="E14" s="18" t="n">
        <v>25.18077342</v>
      </c>
      <c r="F14" s="20" t="n">
        <v>1.98157</v>
      </c>
      <c r="G14" s="18" t="n">
        <v>74.56149937000001</v>
      </c>
      <c r="H14" s="20" t="n">
        <v>1.97392802</v>
      </c>
      <c r="I14" s="18" t="n">
        <v>0</v>
      </c>
      <c r="J14" s="20" t="n">
        <v>0</v>
      </c>
      <c r="K14" s="18" t="n">
        <v>0</v>
      </c>
      <c r="L14" s="20" t="n">
        <v>0</v>
      </c>
      <c r="M14" s="18" t="n">
        <v>0</v>
      </c>
      <c r="N14" s="20" t="n">
        <v>0</v>
      </c>
      <c r="O14" s="18" t="n">
        <v>0</v>
      </c>
      <c r="P14" s="20" t="n">
        <v>0</v>
      </c>
      <c r="Q14" s="18" t="n">
        <v>0.25772721</v>
      </c>
      <c r="R14" s="20" t="n">
        <v>0.18455201</v>
      </c>
    </row>
    <row r="15" spans="1:18">
      <c r="A15" s="15" t="s">
        <v>573</v>
      </c>
      <c r="B15" s="17" t="n">
        <v>5882</v>
      </c>
      <c r="C15" s="18">
        <f>(5221.0/B15*100)</f>
        <v/>
      </c>
      <c r="D15" s="19" t="n">
        <v>661</v>
      </c>
      <c r="E15" s="18" t="n">
        <v>26.86013322</v>
      </c>
      <c r="F15" s="20" t="n">
        <v>2.4210633</v>
      </c>
      <c r="G15" s="18" t="n">
        <v>71.66383347999999</v>
      </c>
      <c r="H15" s="20" t="n">
        <v>2.53213742</v>
      </c>
      <c r="I15" s="18" t="n">
        <v>0</v>
      </c>
      <c r="J15" s="20" t="n">
        <v>0</v>
      </c>
      <c r="K15" s="18" t="n">
        <v>0.58379373</v>
      </c>
      <c r="L15" s="20" t="n">
        <v>0.36650909</v>
      </c>
      <c r="M15" s="18" t="n">
        <v>0</v>
      </c>
      <c r="N15" s="20" t="n">
        <v>0</v>
      </c>
      <c r="O15" s="18" t="n">
        <v>0</v>
      </c>
      <c r="P15" s="20" t="n">
        <v>0</v>
      </c>
      <c r="Q15" s="18" t="n">
        <v>0.89223957</v>
      </c>
      <c r="R15" s="20" t="n">
        <v>0.36972427</v>
      </c>
    </row>
    <row r="16" spans="1:18">
      <c r="A16" s="15" t="s">
        <v>574</v>
      </c>
      <c r="B16" s="17" t="n">
        <v>6108</v>
      </c>
      <c r="C16" s="18">
        <f>(5470.0/B16*100)</f>
        <v/>
      </c>
      <c r="D16" s="19" t="n">
        <v>638</v>
      </c>
      <c r="E16" s="18" t="n">
        <v>32.71058462</v>
      </c>
      <c r="F16" s="20" t="n">
        <v>1.72394248</v>
      </c>
      <c r="G16" s="18" t="n">
        <v>63.74017307</v>
      </c>
      <c r="H16" s="20" t="n">
        <v>1.61997021</v>
      </c>
      <c r="I16" s="18" t="n">
        <v>0</v>
      </c>
      <c r="J16" s="20" t="n">
        <v>0</v>
      </c>
      <c r="K16" s="18" t="n">
        <v>0.3947658</v>
      </c>
      <c r="L16" s="20" t="n">
        <v>0.23107442</v>
      </c>
      <c r="M16" s="18" t="n">
        <v>0</v>
      </c>
      <c r="N16" s="20" t="n">
        <v>0</v>
      </c>
      <c r="O16" s="18" t="n">
        <v>0</v>
      </c>
      <c r="P16" s="20" t="n">
        <v>0</v>
      </c>
      <c r="Q16" s="18" t="n">
        <v>3.15447651</v>
      </c>
      <c r="R16" s="20" t="n">
        <v>0.73294489</v>
      </c>
    </row>
    <row r="17" spans="1:18">
      <c r="A17" s="15" t="s">
        <v>575</v>
      </c>
      <c r="B17" s="17" t="n">
        <v>6504</v>
      </c>
      <c r="C17" s="18">
        <f>(5648.0/B17*100)</f>
        <v/>
      </c>
      <c r="D17" s="19" t="n">
        <v>856</v>
      </c>
      <c r="E17" s="18" t="n">
        <v>28.217008</v>
      </c>
      <c r="F17" s="20" t="n">
        <v>1.71634028</v>
      </c>
      <c r="G17" s="18" t="n">
        <v>68.59576593</v>
      </c>
      <c r="H17" s="20" t="n">
        <v>1.9563801</v>
      </c>
      <c r="I17" s="18" t="n">
        <v>0</v>
      </c>
      <c r="J17" s="20" t="n">
        <v>0</v>
      </c>
      <c r="K17" s="18" t="n">
        <v>0.43871098</v>
      </c>
      <c r="L17" s="20" t="n">
        <v>0.28569593</v>
      </c>
      <c r="M17" s="18" t="n">
        <v>0</v>
      </c>
      <c r="N17" s="20" t="n">
        <v>0</v>
      </c>
      <c r="O17" s="18" t="n">
        <v>0</v>
      </c>
      <c r="P17" s="20" t="n">
        <v>0</v>
      </c>
      <c r="Q17" s="18" t="n">
        <v>2.74851509</v>
      </c>
      <c r="R17" s="20" t="n">
        <v>0.54153789</v>
      </c>
    </row>
    <row r="18" spans="1:18">
      <c r="A18" s="15" t="s">
        <v>576</v>
      </c>
      <c r="B18" s="17" t="n">
        <v>5532</v>
      </c>
      <c r="C18" s="18">
        <f>(4929.0/B18*100)</f>
        <v/>
      </c>
      <c r="D18" s="19" t="n">
        <v>603</v>
      </c>
      <c r="E18" s="18" t="n">
        <v>29.84855733</v>
      </c>
      <c r="F18" s="20" t="n">
        <v>2.01376747</v>
      </c>
      <c r="G18" s="18" t="n">
        <v>68.49325703</v>
      </c>
      <c r="H18" s="20" t="n">
        <v>2.15343091</v>
      </c>
      <c r="I18" s="18" t="n">
        <v>0</v>
      </c>
      <c r="J18" s="20" t="n">
        <v>0</v>
      </c>
      <c r="K18" s="18" t="n">
        <v>0.13516732</v>
      </c>
      <c r="L18" s="20" t="n">
        <v>0.13484396</v>
      </c>
      <c r="M18" s="18" t="n">
        <v>0</v>
      </c>
      <c r="N18" s="20" t="n">
        <v>0</v>
      </c>
      <c r="O18" s="18" t="n">
        <v>0</v>
      </c>
      <c r="P18" s="20" t="n">
        <v>0</v>
      </c>
      <c r="Q18" s="18" t="n">
        <v>1.52301832</v>
      </c>
      <c r="R18" s="20" t="n">
        <v>0.58078781</v>
      </c>
    </row>
    <row r="19" spans="1:18">
      <c r="A19" s="15" t="s">
        <v>577</v>
      </c>
      <c r="B19" s="17" t="n">
        <v>5658</v>
      </c>
      <c r="C19" s="18">
        <f>(5011.0/B19*100)</f>
        <v/>
      </c>
      <c r="D19" s="19" t="n">
        <v>647</v>
      </c>
      <c r="E19" s="18" t="n">
        <v>36.54500221</v>
      </c>
      <c r="F19" s="20" t="n">
        <v>2.01663411</v>
      </c>
      <c r="G19" s="18" t="n">
        <v>62.63299364</v>
      </c>
      <c r="H19" s="20" t="n">
        <v>2.01186455</v>
      </c>
      <c r="I19" s="18" t="n">
        <v>0</v>
      </c>
      <c r="J19" s="20" t="n">
        <v>0</v>
      </c>
      <c r="K19" s="18" t="n">
        <v>0.18251093</v>
      </c>
      <c r="L19" s="20" t="n">
        <v>0.193915</v>
      </c>
      <c r="M19" s="18" t="n">
        <v>0</v>
      </c>
      <c r="N19" s="20" t="n">
        <v>0</v>
      </c>
      <c r="O19" s="18" t="n">
        <v>0</v>
      </c>
      <c r="P19" s="20" t="n">
        <v>0</v>
      </c>
      <c r="Q19" s="18" t="n">
        <v>0.63949322</v>
      </c>
      <c r="R19" s="20" t="n">
        <v>0.3909122</v>
      </c>
    </row>
    <row r="20" spans="1:18">
      <c r="A20" s="15" t="s">
        <v>578</v>
      </c>
      <c r="B20" s="17" t="n">
        <v>3371</v>
      </c>
      <c r="C20" s="18">
        <f>(2999.0/B20*100)</f>
        <v/>
      </c>
      <c r="D20" s="19" t="n">
        <v>372</v>
      </c>
      <c r="E20" s="18" t="n">
        <v>40.9637333</v>
      </c>
      <c r="F20" s="20" t="n">
        <v>2.51099245</v>
      </c>
      <c r="G20" s="18" t="n">
        <v>56.74672756</v>
      </c>
      <c r="H20" s="20" t="n">
        <v>2.6200797</v>
      </c>
      <c r="I20" s="18" t="n">
        <v>0</v>
      </c>
      <c r="J20" s="20" t="n">
        <v>0</v>
      </c>
      <c r="K20" s="18" t="n">
        <v>0</v>
      </c>
      <c r="L20" s="20" t="n">
        <v>0</v>
      </c>
      <c r="M20" s="18" t="n">
        <v>0</v>
      </c>
      <c r="N20" s="20" t="n">
        <v>0</v>
      </c>
      <c r="O20" s="18" t="n">
        <v>0</v>
      </c>
      <c r="P20" s="20" t="n">
        <v>0</v>
      </c>
      <c r="Q20" s="18" t="n">
        <v>2.28953914</v>
      </c>
      <c r="R20" s="20" t="n">
        <v>0.82108399</v>
      </c>
    </row>
    <row r="21" spans="1:18">
      <c r="A21" s="15" t="s">
        <v>579</v>
      </c>
      <c r="B21" s="17" t="n">
        <v>5741</v>
      </c>
      <c r="C21" s="18">
        <f>(5113.0/B21*100)</f>
        <v/>
      </c>
      <c r="D21" s="19" t="n">
        <v>628</v>
      </c>
      <c r="E21" s="18" t="n">
        <v>18.66113409</v>
      </c>
      <c r="F21" s="20" t="n">
        <v>1.61614582</v>
      </c>
      <c r="G21" s="18" t="n">
        <v>81.07462182</v>
      </c>
      <c r="H21" s="20" t="n">
        <v>1.62836705</v>
      </c>
      <c r="I21" s="18" t="n">
        <v>0</v>
      </c>
      <c r="J21" s="20" t="n">
        <v>0</v>
      </c>
      <c r="K21" s="18" t="n">
        <v>0</v>
      </c>
      <c r="L21" s="20" t="n">
        <v>0</v>
      </c>
      <c r="M21" s="18" t="n">
        <v>0</v>
      </c>
      <c r="N21" s="20" t="n">
        <v>0</v>
      </c>
      <c r="O21" s="18" t="n">
        <v>0</v>
      </c>
      <c r="P21" s="20" t="n">
        <v>0</v>
      </c>
      <c r="Q21" s="18" t="n">
        <v>0.26424409</v>
      </c>
      <c r="R21" s="20" t="n">
        <v>0.18761872</v>
      </c>
    </row>
    <row r="22" spans="1:18">
      <c r="A22" s="15" t="s">
        <v>580</v>
      </c>
      <c r="B22" s="17" t="n">
        <v>6598</v>
      </c>
      <c r="C22" s="18">
        <f>(5836.0/B22*100)</f>
        <v/>
      </c>
      <c r="D22" s="19" t="n">
        <v>762</v>
      </c>
      <c r="E22" s="18" t="n">
        <v>32.53480128</v>
      </c>
      <c r="F22" s="20" t="n">
        <v>2.31282346</v>
      </c>
      <c r="G22" s="18" t="n">
        <v>64.37178718</v>
      </c>
      <c r="H22" s="20" t="n">
        <v>2.41782051</v>
      </c>
      <c r="I22" s="18" t="n">
        <v>0</v>
      </c>
      <c r="J22" s="20" t="n">
        <v>0</v>
      </c>
      <c r="K22" s="18" t="n">
        <v>0.93605569</v>
      </c>
      <c r="L22" s="20" t="n">
        <v>0.36787892</v>
      </c>
      <c r="M22" s="18" t="n">
        <v>0</v>
      </c>
      <c r="N22" s="20" t="n">
        <v>0</v>
      </c>
      <c r="O22" s="18" t="n">
        <v>0</v>
      </c>
      <c r="P22" s="20" t="n">
        <v>0</v>
      </c>
      <c r="Q22" s="18" t="n">
        <v>2.15735585</v>
      </c>
      <c r="R22" s="20" t="n">
        <v>0.5054665699999999</v>
      </c>
    </row>
    <row r="23" spans="1:18">
      <c r="A23" s="15" t="s">
        <v>581</v>
      </c>
      <c r="B23" s="17" t="n">
        <v>11583</v>
      </c>
      <c r="C23" s="18">
        <f>(10301.0/B23*100)</f>
        <v/>
      </c>
      <c r="D23" s="19" t="n">
        <v>1282</v>
      </c>
      <c r="E23" s="18" t="n">
        <v>24.77274053</v>
      </c>
      <c r="F23" s="20" t="n">
        <v>1.58682652</v>
      </c>
      <c r="G23" s="18" t="n">
        <v>73.15541439</v>
      </c>
      <c r="H23" s="20" t="n">
        <v>1.67175151</v>
      </c>
      <c r="I23" s="18" t="n">
        <v>0</v>
      </c>
      <c r="J23" s="20" t="n">
        <v>0</v>
      </c>
      <c r="K23" s="18" t="n">
        <v>0.5078622699999999</v>
      </c>
      <c r="L23" s="20" t="n">
        <v>0.22253954</v>
      </c>
      <c r="M23" s="18" t="n">
        <v>0</v>
      </c>
      <c r="N23" s="20" t="n">
        <v>0</v>
      </c>
      <c r="O23" s="18" t="n">
        <v>0</v>
      </c>
      <c r="P23" s="20" t="n">
        <v>0</v>
      </c>
      <c r="Q23" s="18" t="n">
        <v>1.56398281</v>
      </c>
      <c r="R23" s="20" t="n">
        <v>0.5196179399999999</v>
      </c>
    </row>
    <row r="24" spans="1:18">
      <c r="A24" s="15" t="s">
        <v>582</v>
      </c>
      <c r="B24" s="17" t="n">
        <v>6647</v>
      </c>
      <c r="C24" s="18">
        <f>(5894.0/B24*100)</f>
        <v/>
      </c>
      <c r="D24" s="19" t="n">
        <v>753</v>
      </c>
      <c r="E24" s="18" t="n">
        <v>20.32306886</v>
      </c>
      <c r="F24" s="20" t="n">
        <v>1.5574867</v>
      </c>
      <c r="G24" s="18" t="n">
        <v>78.60528668000001</v>
      </c>
      <c r="H24" s="20" t="n">
        <v>1.55876473</v>
      </c>
      <c r="I24" s="18" t="n">
        <v>0</v>
      </c>
      <c r="J24" s="20" t="n">
        <v>0</v>
      </c>
      <c r="K24" s="18" t="n">
        <v>0.11951595</v>
      </c>
      <c r="L24" s="20" t="n">
        <v>0.11935481</v>
      </c>
      <c r="M24" s="18" t="n">
        <v>0</v>
      </c>
      <c r="N24" s="20" t="n">
        <v>0</v>
      </c>
      <c r="O24" s="18" t="n">
        <v>0</v>
      </c>
      <c r="P24" s="20" t="n">
        <v>0</v>
      </c>
      <c r="Q24" s="18" t="n">
        <v>0.95212851</v>
      </c>
      <c r="R24" s="20" t="n">
        <v>0.35952144</v>
      </c>
    </row>
    <row r="25" spans="1:18">
      <c r="A25" s="15" t="s">
        <v>583</v>
      </c>
      <c r="B25" s="17" t="n">
        <v>5581</v>
      </c>
      <c r="C25" s="18">
        <f>(4970.0/B25*100)</f>
        <v/>
      </c>
      <c r="D25" s="19" t="n">
        <v>611</v>
      </c>
      <c r="E25" s="18" t="n">
        <v>34.14283565</v>
      </c>
      <c r="F25" s="20" t="n">
        <v>2.02074397</v>
      </c>
      <c r="G25" s="18" t="n">
        <v>64.91151022</v>
      </c>
      <c r="H25" s="20" t="n">
        <v>2.07506634</v>
      </c>
      <c r="I25" s="18" t="n">
        <v>0</v>
      </c>
      <c r="J25" s="20" t="n">
        <v>0</v>
      </c>
      <c r="K25" s="18" t="n">
        <v>0.14209221</v>
      </c>
      <c r="L25" s="20" t="n">
        <v>0.14104984</v>
      </c>
      <c r="M25" s="18" t="n">
        <v>0</v>
      </c>
      <c r="N25" s="20" t="n">
        <v>0</v>
      </c>
      <c r="O25" s="18" t="n">
        <v>0</v>
      </c>
      <c r="P25" s="20" t="n">
        <v>0</v>
      </c>
      <c r="Q25" s="18" t="n">
        <v>0.80356192</v>
      </c>
      <c r="R25" s="20" t="n">
        <v>0.36303932</v>
      </c>
    </row>
    <row r="26" spans="1:18">
      <c r="A26" s="15" t="s">
        <v>584</v>
      </c>
      <c r="B26" s="17" t="n">
        <v>4869</v>
      </c>
      <c r="C26" s="18">
        <f>(4354.0/B26*100)</f>
        <v/>
      </c>
      <c r="D26" s="19" t="n">
        <v>515</v>
      </c>
      <c r="E26" s="18" t="n">
        <v>30.80187227</v>
      </c>
      <c r="F26" s="20" t="n">
        <v>2.12990668</v>
      </c>
      <c r="G26" s="18" t="n">
        <v>68.2509014</v>
      </c>
      <c r="H26" s="20" t="n">
        <v>2.11005335</v>
      </c>
      <c r="I26" s="18" t="n">
        <v>0</v>
      </c>
      <c r="J26" s="20" t="n">
        <v>0</v>
      </c>
      <c r="K26" s="18" t="n">
        <v>0.16225725</v>
      </c>
      <c r="L26" s="20" t="n">
        <v>0.16267741</v>
      </c>
      <c r="M26" s="18" t="n">
        <v>0</v>
      </c>
      <c r="N26" s="20" t="n">
        <v>0</v>
      </c>
      <c r="O26" s="18" t="n">
        <v>0</v>
      </c>
      <c r="P26" s="20" t="n">
        <v>0</v>
      </c>
      <c r="Q26" s="18" t="n">
        <v>0.78496909</v>
      </c>
      <c r="R26" s="20" t="n">
        <v>0.29947045</v>
      </c>
    </row>
    <row r="27" spans="1:18">
      <c r="A27" s="15" t="s">
        <v>585</v>
      </c>
      <c r="B27" s="17" t="n">
        <v>5299</v>
      </c>
      <c r="C27" s="18">
        <f>(4733.0/B27*100)</f>
        <v/>
      </c>
      <c r="D27" s="19" t="n">
        <v>566</v>
      </c>
      <c r="E27" s="18" t="n">
        <v>28.29022296</v>
      </c>
      <c r="F27" s="20" t="n">
        <v>2.18401661</v>
      </c>
      <c r="G27" s="18" t="n">
        <v>70.10942086999999</v>
      </c>
      <c r="H27" s="20" t="n">
        <v>2.22111471</v>
      </c>
      <c r="I27" s="18" t="n">
        <v>0</v>
      </c>
      <c r="J27" s="20" t="n">
        <v>0</v>
      </c>
      <c r="K27" s="18" t="n">
        <v>0.1770172</v>
      </c>
      <c r="L27" s="20" t="n">
        <v>0.17716341</v>
      </c>
      <c r="M27" s="18" t="n">
        <v>0</v>
      </c>
      <c r="N27" s="20" t="n">
        <v>0</v>
      </c>
      <c r="O27" s="18" t="n">
        <v>0</v>
      </c>
      <c r="P27" s="20" t="n">
        <v>0</v>
      </c>
      <c r="Q27" s="18" t="n">
        <v>1.42333897</v>
      </c>
      <c r="R27" s="20" t="n">
        <v>0.4452097</v>
      </c>
    </row>
    <row r="28" spans="1:18">
      <c r="A28" s="15" t="s">
        <v>586</v>
      </c>
      <c r="B28" s="17" t="n">
        <v>7568</v>
      </c>
      <c r="C28" s="18">
        <f>(6765.0/B28*100)</f>
        <v/>
      </c>
      <c r="D28" s="19" t="n">
        <v>803</v>
      </c>
      <c r="E28" s="18" t="n">
        <v>45.17848128</v>
      </c>
      <c r="F28" s="20" t="n">
        <v>2.00963358</v>
      </c>
      <c r="G28" s="18" t="n">
        <v>53.32364207</v>
      </c>
      <c r="H28" s="20" t="n">
        <v>2.00089567</v>
      </c>
      <c r="I28" s="18" t="n">
        <v>0</v>
      </c>
      <c r="J28" s="20" t="n">
        <v>0</v>
      </c>
      <c r="K28" s="18" t="n">
        <v>0.31147269</v>
      </c>
      <c r="L28" s="20" t="n">
        <v>0.23845953</v>
      </c>
      <c r="M28" s="18" t="n">
        <v>0</v>
      </c>
      <c r="N28" s="20" t="n">
        <v>0</v>
      </c>
      <c r="O28" s="18" t="n">
        <v>0</v>
      </c>
      <c r="P28" s="20" t="n">
        <v>0</v>
      </c>
      <c r="Q28" s="18" t="n">
        <v>1.18640396</v>
      </c>
      <c r="R28" s="20" t="n">
        <v>0.3848081</v>
      </c>
    </row>
    <row r="29" spans="1:18">
      <c r="A29" s="15" t="s">
        <v>587</v>
      </c>
      <c r="B29" s="17" t="n">
        <v>5385</v>
      </c>
      <c r="C29" s="18">
        <f>(4630.0/B29*100)</f>
        <v/>
      </c>
      <c r="D29" s="19" t="n">
        <v>755</v>
      </c>
      <c r="E29" s="18" t="n">
        <v>33.24506069</v>
      </c>
      <c r="F29" s="20" t="n">
        <v>2.17273667</v>
      </c>
      <c r="G29" s="18" t="n">
        <v>65.17153958</v>
      </c>
      <c r="H29" s="20" t="n">
        <v>2.28438361</v>
      </c>
      <c r="I29" s="18" t="n">
        <v>0</v>
      </c>
      <c r="J29" s="20" t="n">
        <v>0</v>
      </c>
      <c r="K29" s="18" t="n">
        <v>0.38315085</v>
      </c>
      <c r="L29" s="20" t="n">
        <v>0.27557563</v>
      </c>
      <c r="M29" s="18" t="n">
        <v>0</v>
      </c>
      <c r="N29" s="20" t="n">
        <v>0</v>
      </c>
      <c r="O29" s="18" t="n">
        <v>0</v>
      </c>
      <c r="P29" s="20" t="n">
        <v>0</v>
      </c>
      <c r="Q29" s="18" t="n">
        <v>1.20024888</v>
      </c>
      <c r="R29" s="20" t="n">
        <v>0.5220757</v>
      </c>
    </row>
    <row r="30" spans="1:18">
      <c r="A30" s="15" t="s">
        <v>588</v>
      </c>
      <c r="B30" s="17" t="n">
        <v>4520</v>
      </c>
      <c r="C30" s="18">
        <f>(4040.0/B30*100)</f>
        <v/>
      </c>
      <c r="D30" s="19" t="n">
        <v>480</v>
      </c>
      <c r="E30" s="18" t="n">
        <v>26.62816307</v>
      </c>
      <c r="F30" s="20" t="n">
        <v>2.16818277</v>
      </c>
      <c r="G30" s="18" t="n">
        <v>70.84216911999999</v>
      </c>
      <c r="H30" s="20" t="n">
        <v>2.14436908</v>
      </c>
      <c r="I30" s="18" t="n">
        <v>0</v>
      </c>
      <c r="J30" s="20" t="n">
        <v>0</v>
      </c>
      <c r="K30" s="18" t="n">
        <v>0.47845721</v>
      </c>
      <c r="L30" s="20" t="n">
        <v>0.32221261</v>
      </c>
      <c r="M30" s="18" t="n">
        <v>0</v>
      </c>
      <c r="N30" s="20" t="n">
        <v>0</v>
      </c>
      <c r="O30" s="18" t="n">
        <v>0</v>
      </c>
      <c r="P30" s="20" t="n">
        <v>0</v>
      </c>
      <c r="Q30" s="18" t="n">
        <v>2.0512106</v>
      </c>
      <c r="R30" s="20" t="n">
        <v>0.578112</v>
      </c>
    </row>
    <row r="31" spans="1:18">
      <c r="A31" s="15" t="s">
        <v>589</v>
      </c>
      <c r="B31" s="17" t="n">
        <v>5456</v>
      </c>
      <c r="C31" s="18">
        <f>(4846.0/B31*100)</f>
        <v/>
      </c>
      <c r="D31" s="19" t="n">
        <v>610</v>
      </c>
      <c r="E31" s="18" t="n">
        <v>28.57567642</v>
      </c>
      <c r="F31" s="20" t="n">
        <v>1.69384256</v>
      </c>
      <c r="G31" s="18" t="n">
        <v>69.00096062999999</v>
      </c>
      <c r="H31" s="20" t="n">
        <v>1.71950617</v>
      </c>
      <c r="I31" s="18" t="n">
        <v>0</v>
      </c>
      <c r="J31" s="20" t="n">
        <v>0</v>
      </c>
      <c r="K31" s="18" t="n">
        <v>0.47477155</v>
      </c>
      <c r="L31" s="20" t="n">
        <v>0.26168445</v>
      </c>
      <c r="M31" s="18" t="n">
        <v>0</v>
      </c>
      <c r="N31" s="20" t="n">
        <v>0</v>
      </c>
      <c r="O31" s="18" t="n">
        <v>0</v>
      </c>
      <c r="P31" s="20" t="n">
        <v>0</v>
      </c>
      <c r="Q31" s="18" t="n">
        <v>1.9485914</v>
      </c>
      <c r="R31" s="20" t="n">
        <v>0.52023011</v>
      </c>
    </row>
    <row r="32" spans="1:18">
      <c r="A32" s="15" t="s">
        <v>590</v>
      </c>
      <c r="B32" s="17" t="n">
        <v>4478</v>
      </c>
      <c r="C32" s="18">
        <f>(3980.0/B32*100)</f>
        <v/>
      </c>
      <c r="D32" s="19" t="n">
        <v>498</v>
      </c>
      <c r="E32" s="18" t="n">
        <v>24.14681547</v>
      </c>
      <c r="F32" s="20" t="n">
        <v>1.74533744</v>
      </c>
      <c r="G32" s="18" t="n">
        <v>74.48946784</v>
      </c>
      <c r="H32" s="20" t="n">
        <v>1.91215885</v>
      </c>
      <c r="I32" s="18" t="n">
        <v>0</v>
      </c>
      <c r="J32" s="20" t="n">
        <v>0</v>
      </c>
      <c r="K32" s="18" t="n">
        <v>0.40898396</v>
      </c>
      <c r="L32" s="20" t="n">
        <v>0.30335414</v>
      </c>
      <c r="M32" s="18" t="n">
        <v>0</v>
      </c>
      <c r="N32" s="20" t="n">
        <v>0</v>
      </c>
      <c r="O32" s="18" t="n">
        <v>0</v>
      </c>
      <c r="P32" s="20" t="n">
        <v>0</v>
      </c>
      <c r="Q32" s="18" t="n">
        <v>0.95473273</v>
      </c>
      <c r="R32" s="20" t="n">
        <v>0.42097471</v>
      </c>
    </row>
    <row r="33" spans="1:18">
      <c r="A33" s="15" t="s">
        <v>591</v>
      </c>
      <c r="B33" s="17" t="n">
        <v>7325</v>
      </c>
      <c r="C33" s="18">
        <f>(6535.0/B33*100)</f>
        <v/>
      </c>
      <c r="D33" s="19" t="n">
        <v>790</v>
      </c>
      <c r="E33" s="18" t="n">
        <v>22.87802501</v>
      </c>
      <c r="F33" s="20" t="n">
        <v>1.7389188</v>
      </c>
      <c r="G33" s="18" t="n">
        <v>75.91237513</v>
      </c>
      <c r="H33" s="20" t="n">
        <v>1.7091601</v>
      </c>
      <c r="I33" s="18" t="n">
        <v>0</v>
      </c>
      <c r="J33" s="20" t="n">
        <v>0</v>
      </c>
      <c r="K33" s="18" t="n">
        <v>0.1688509</v>
      </c>
      <c r="L33" s="20" t="n">
        <v>0.17594261</v>
      </c>
      <c r="M33" s="18" t="n">
        <v>0</v>
      </c>
      <c r="N33" s="20" t="n">
        <v>0</v>
      </c>
      <c r="O33" s="18" t="n">
        <v>0</v>
      </c>
      <c r="P33" s="20" t="n">
        <v>0</v>
      </c>
      <c r="Q33" s="18" t="n">
        <v>1.04074897</v>
      </c>
      <c r="R33" s="20" t="n">
        <v>0.46038407</v>
      </c>
    </row>
    <row r="34" spans="1:18">
      <c r="A34" s="15" t="s">
        <v>592</v>
      </c>
      <c r="B34" s="17" t="n">
        <v>6350</v>
      </c>
      <c r="C34" s="18">
        <f>(5509.0/B34*100)</f>
        <v/>
      </c>
      <c r="D34" s="19" t="n">
        <v>841</v>
      </c>
      <c r="E34" s="18" t="n">
        <v>34.80734101</v>
      </c>
      <c r="F34" s="20" t="n">
        <v>2.66642495</v>
      </c>
      <c r="G34" s="18" t="n">
        <v>63.71020051</v>
      </c>
      <c r="H34" s="20" t="n">
        <v>2.74788235</v>
      </c>
      <c r="I34" s="18" t="n">
        <v>0</v>
      </c>
      <c r="J34" s="20" t="n">
        <v>0</v>
      </c>
      <c r="K34" s="18" t="n">
        <v>0.09252636</v>
      </c>
      <c r="L34" s="20" t="n">
        <v>0.092311</v>
      </c>
      <c r="M34" s="18" t="n">
        <v>0</v>
      </c>
      <c r="N34" s="20" t="n">
        <v>0</v>
      </c>
      <c r="O34" s="18" t="n">
        <v>0</v>
      </c>
      <c r="P34" s="20" t="n">
        <v>0</v>
      </c>
      <c r="Q34" s="18" t="n">
        <v>1.38993211</v>
      </c>
      <c r="R34" s="20" t="n">
        <v>0.41526204</v>
      </c>
    </row>
    <row r="35" spans="1:18">
      <c r="A35" s="15" t="s">
        <v>593</v>
      </c>
      <c r="B35" s="17" t="n">
        <v>6406</v>
      </c>
      <c r="C35" s="18">
        <f>(5565.0/B35*100)</f>
        <v/>
      </c>
      <c r="D35" s="19" t="n">
        <v>841</v>
      </c>
      <c r="E35" s="18" t="n">
        <v>36.04124769</v>
      </c>
      <c r="F35" s="20" t="n">
        <v>1.99422499</v>
      </c>
      <c r="G35" s="18" t="n">
        <v>63.0703488</v>
      </c>
      <c r="H35" s="20" t="n">
        <v>1.9997846</v>
      </c>
      <c r="I35" s="18" t="n">
        <v>0</v>
      </c>
      <c r="J35" s="20" t="n">
        <v>0</v>
      </c>
      <c r="K35" s="18" t="n">
        <v>0</v>
      </c>
      <c r="L35" s="20" t="n">
        <v>0</v>
      </c>
      <c r="M35" s="18" t="n">
        <v>0</v>
      </c>
      <c r="N35" s="20" t="n">
        <v>0</v>
      </c>
      <c r="O35" s="18" t="n">
        <v>0</v>
      </c>
      <c r="P35" s="20" t="n">
        <v>0</v>
      </c>
      <c r="Q35" s="18" t="n">
        <v>0.88840351</v>
      </c>
      <c r="R35" s="20" t="n">
        <v>0.26480844</v>
      </c>
    </row>
    <row r="36" spans="1:18">
      <c r="A36" s="15" t="s">
        <v>594</v>
      </c>
      <c r="B36" s="17" t="n">
        <v>6736</v>
      </c>
      <c r="C36" s="18">
        <f>(6029.0/B36*100)</f>
        <v/>
      </c>
      <c r="D36" s="19" t="n">
        <v>707</v>
      </c>
      <c r="E36" s="18" t="n">
        <v>19.69334497</v>
      </c>
      <c r="F36" s="20" t="n">
        <v>1.5090733</v>
      </c>
      <c r="G36" s="18" t="n">
        <v>79.39540051</v>
      </c>
      <c r="H36" s="20" t="n">
        <v>1.58462739</v>
      </c>
      <c r="I36" s="18" t="n">
        <v>0</v>
      </c>
      <c r="J36" s="20" t="n">
        <v>0</v>
      </c>
      <c r="K36" s="18" t="n">
        <v>0.08127473</v>
      </c>
      <c r="L36" s="20" t="n">
        <v>0.07426742</v>
      </c>
      <c r="M36" s="18" t="n">
        <v>0</v>
      </c>
      <c r="N36" s="20" t="n">
        <v>0</v>
      </c>
      <c r="O36" s="18" t="n">
        <v>0</v>
      </c>
      <c r="P36" s="20" t="n">
        <v>0</v>
      </c>
      <c r="Q36" s="18" t="n">
        <v>0.8299797799999999</v>
      </c>
      <c r="R36" s="20" t="n">
        <v>0.36631556</v>
      </c>
    </row>
    <row r="37" spans="1:18">
      <c r="A37" s="15" t="s">
        <v>595</v>
      </c>
      <c r="B37" s="17" t="n">
        <v>5458</v>
      </c>
      <c r="C37" s="18">
        <f>(4867.0/B37*100)</f>
        <v/>
      </c>
      <c r="D37" s="19" t="n">
        <v>591</v>
      </c>
      <c r="E37" s="18" t="n">
        <v>32.71031579</v>
      </c>
      <c r="F37" s="20" t="n">
        <v>1.77871278</v>
      </c>
      <c r="G37" s="18" t="n">
        <v>64.90929549000001</v>
      </c>
      <c r="H37" s="20" t="n">
        <v>1.75217691</v>
      </c>
      <c r="I37" s="18" t="n">
        <v>0</v>
      </c>
      <c r="J37" s="20" t="n">
        <v>0</v>
      </c>
      <c r="K37" s="18" t="n">
        <v>0.86318299</v>
      </c>
      <c r="L37" s="20" t="n">
        <v>0.42192081</v>
      </c>
      <c r="M37" s="18" t="n">
        <v>0</v>
      </c>
      <c r="N37" s="20" t="n">
        <v>0</v>
      </c>
      <c r="O37" s="18" t="n">
        <v>0</v>
      </c>
      <c r="P37" s="20" t="n">
        <v>0</v>
      </c>
      <c r="Q37" s="18" t="n">
        <v>1.51720573</v>
      </c>
      <c r="R37" s="20" t="n">
        <v>0.47333935</v>
      </c>
    </row>
    <row r="38" spans="1:18">
      <c r="A38" s="15" t="s">
        <v>596</v>
      </c>
      <c r="B38" s="17" t="n">
        <v>5860</v>
      </c>
      <c r="C38" s="18">
        <f>(5223.0/B38*100)</f>
        <v/>
      </c>
      <c r="D38" s="19" t="n">
        <v>637</v>
      </c>
      <c r="E38" s="18" t="n">
        <v>27.63967453</v>
      </c>
      <c r="F38" s="20" t="n">
        <v>2.2741768</v>
      </c>
      <c r="G38" s="18" t="n">
        <v>71.41940244</v>
      </c>
      <c r="H38" s="20" t="n">
        <v>2.31572611</v>
      </c>
      <c r="I38" s="18" t="n">
        <v>0</v>
      </c>
      <c r="J38" s="20" t="n">
        <v>0</v>
      </c>
      <c r="K38" s="18" t="n">
        <v>0.13338867</v>
      </c>
      <c r="L38" s="20" t="n">
        <v>0.13317726</v>
      </c>
      <c r="M38" s="18" t="n">
        <v>0</v>
      </c>
      <c r="N38" s="20" t="n">
        <v>0</v>
      </c>
      <c r="O38" s="18" t="n">
        <v>0</v>
      </c>
      <c r="P38" s="20" t="n">
        <v>0</v>
      </c>
      <c r="Q38" s="18" t="n">
        <v>0.80753436</v>
      </c>
      <c r="R38" s="20" t="n">
        <v>0.37096429</v>
      </c>
    </row>
    <row r="39" spans="1:18">
      <c r="A39" s="15" t="s">
        <v>597</v>
      </c>
      <c r="B39" s="17" t="n">
        <v>5895</v>
      </c>
      <c r="C39" s="18">
        <f>(5224.0/B39*100)</f>
        <v/>
      </c>
      <c r="D39" s="19" t="n">
        <v>671</v>
      </c>
      <c r="E39" s="18" t="n">
        <v>33.62567916</v>
      </c>
      <c r="F39" s="20" t="n">
        <v>2.47081234</v>
      </c>
      <c r="G39" s="18" t="n">
        <v>65.55296219</v>
      </c>
      <c r="H39" s="20" t="n">
        <v>2.41540145</v>
      </c>
      <c r="I39" s="18" t="n">
        <v>0</v>
      </c>
      <c r="J39" s="20" t="n">
        <v>0</v>
      </c>
      <c r="K39" s="18" t="n">
        <v>0.52451476</v>
      </c>
      <c r="L39" s="20" t="n">
        <v>0.29646721</v>
      </c>
      <c r="M39" s="18" t="n">
        <v>0</v>
      </c>
      <c r="N39" s="20" t="n">
        <v>0</v>
      </c>
      <c r="O39" s="18" t="n">
        <v>0</v>
      </c>
      <c r="P39" s="20" t="n">
        <v>0</v>
      </c>
      <c r="Q39" s="18" t="n">
        <v>0.29684389</v>
      </c>
      <c r="R39" s="20" t="n">
        <v>0.21462154</v>
      </c>
    </row>
    <row r="40" spans="1:18">
      <c r="A40" s="15" t="s">
        <v>598</v>
      </c>
      <c r="B40" s="17" t="n">
        <v>14157</v>
      </c>
      <c r="C40" s="18">
        <f>(12622.0/B40*100)</f>
        <v/>
      </c>
      <c r="D40" s="19" t="n">
        <v>1535</v>
      </c>
      <c r="E40" s="18" t="n">
        <v>24.11015728</v>
      </c>
      <c r="F40" s="20" t="n">
        <v>1.85597494</v>
      </c>
      <c r="G40" s="18" t="n">
        <v>74.5506252</v>
      </c>
      <c r="H40" s="20" t="n">
        <v>1.8231302</v>
      </c>
      <c r="I40" s="18" t="n">
        <v>0</v>
      </c>
      <c r="J40" s="20" t="n">
        <v>0</v>
      </c>
      <c r="K40" s="18" t="n">
        <v>0.01260552</v>
      </c>
      <c r="L40" s="20" t="n">
        <v>0.01290194</v>
      </c>
      <c r="M40" s="18" t="n">
        <v>0</v>
      </c>
      <c r="N40" s="20" t="n">
        <v>0</v>
      </c>
      <c r="O40" s="18" t="n">
        <v>0</v>
      </c>
      <c r="P40" s="20" t="n">
        <v>0</v>
      </c>
      <c r="Q40" s="18" t="n">
        <v>1.32661201</v>
      </c>
      <c r="R40" s="20" t="n">
        <v>0.45615126</v>
      </c>
    </row>
    <row r="41" spans="1:18">
      <c r="A41" s="15" t="s">
        <v>599</v>
      </c>
      <c r="B41" s="17" t="n">
        <v>5712</v>
      </c>
      <c r="C41" s="18">
        <f>(5058.0/B41*100)</f>
        <v/>
      </c>
      <c r="D41" s="19" t="n">
        <v>654</v>
      </c>
      <c r="E41" s="18" t="n">
        <v>32.85338927</v>
      </c>
      <c r="F41" s="20" t="n">
        <v>2.25525941</v>
      </c>
      <c r="G41" s="18" t="n">
        <v>66.56071425</v>
      </c>
      <c r="H41" s="20" t="n">
        <v>2.2452389</v>
      </c>
      <c r="I41" s="18" t="n">
        <v>0</v>
      </c>
      <c r="J41" s="20" t="n">
        <v>0</v>
      </c>
      <c r="K41" s="18" t="n">
        <v>0.37704156</v>
      </c>
      <c r="L41" s="20" t="n">
        <v>0.26293411</v>
      </c>
      <c r="M41" s="18" t="n">
        <v>0</v>
      </c>
      <c r="N41" s="20" t="n">
        <v>0</v>
      </c>
      <c r="O41" s="18" t="n">
        <v>0</v>
      </c>
      <c r="P41" s="20" t="n">
        <v>0</v>
      </c>
      <c r="Q41" s="18" t="n">
        <v>0.20885492</v>
      </c>
      <c r="R41" s="20" t="n">
        <v>0.15582921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(20758.0/B46*100)</f>
        <v/>
      </c>
      <c r="D46" s="19" t="n">
        <v>2383</v>
      </c>
      <c r="E46" s="18" t="n">
        <v>48.2094778</v>
      </c>
      <c r="F46" s="20" t="n">
        <v>1.6489874</v>
      </c>
      <c r="G46" s="18" t="n">
        <v>48.49932922</v>
      </c>
      <c r="H46" s="20" t="n">
        <v>1.55929337</v>
      </c>
      <c r="I46" s="18" t="n">
        <v>0</v>
      </c>
      <c r="J46" s="20" t="n">
        <v>0</v>
      </c>
      <c r="K46" s="18" t="n">
        <v>0.29094997</v>
      </c>
      <c r="L46" s="20" t="n">
        <v>0.11197197</v>
      </c>
      <c r="M46" s="18" t="n">
        <v>0</v>
      </c>
      <c r="N46" s="20" t="n">
        <v>0</v>
      </c>
      <c r="O46" s="18" t="n">
        <v>0</v>
      </c>
      <c r="P46" s="20" t="n">
        <v>0</v>
      </c>
      <c r="Q46" s="18" t="n">
        <v>3.00024301</v>
      </c>
      <c r="R46" s="20" t="n">
        <v>0.43245615</v>
      </c>
    </row>
    <row r="47" spans="1:18">
      <c r="A47" s="15" t="s">
        <v>606</v>
      </c>
      <c r="B47" s="17" t="n">
        <v>5928</v>
      </c>
      <c r="C47" s="18">
        <f>(5284.0/B47*100)</f>
        <v/>
      </c>
      <c r="D47" s="19" t="n">
        <v>644</v>
      </c>
      <c r="E47" s="18" t="n">
        <v>30.12665963</v>
      </c>
      <c r="F47" s="20" t="n">
        <v>2.040519</v>
      </c>
      <c r="G47" s="18" t="n">
        <v>67.85692948000001</v>
      </c>
      <c r="H47" s="20" t="n">
        <v>2.17893949</v>
      </c>
      <c r="I47" s="18" t="n">
        <v>0</v>
      </c>
      <c r="J47" s="20" t="n">
        <v>0</v>
      </c>
      <c r="K47" s="18" t="n">
        <v>0.15114619</v>
      </c>
      <c r="L47" s="20" t="n">
        <v>0.15134468</v>
      </c>
      <c r="M47" s="18" t="n">
        <v>0</v>
      </c>
      <c r="N47" s="20" t="n">
        <v>0</v>
      </c>
      <c r="O47" s="18" t="n">
        <v>0</v>
      </c>
      <c r="P47" s="20" t="n">
        <v>0</v>
      </c>
      <c r="Q47" s="18" t="n">
        <v>1.8652647</v>
      </c>
      <c r="R47" s="20" t="n">
        <v>0.47776844</v>
      </c>
    </row>
    <row r="48" spans="1:18">
      <c r="A48" s="15" t="s">
        <v>607</v>
      </c>
      <c r="B48" s="17" t="n">
        <v>9841</v>
      </c>
      <c r="C48" s="18">
        <f>(8730.0/B48*100)</f>
        <v/>
      </c>
      <c r="D48" s="19" t="n">
        <v>1111</v>
      </c>
      <c r="E48" s="18" t="n">
        <v>25.19507813</v>
      </c>
      <c r="F48" s="20" t="n">
        <v>1.60759237</v>
      </c>
      <c r="G48" s="18" t="n">
        <v>73.59950833000001</v>
      </c>
      <c r="H48" s="20" t="n">
        <v>1.82341303</v>
      </c>
      <c r="I48" s="18" t="n">
        <v>0</v>
      </c>
      <c r="J48" s="20" t="n">
        <v>0</v>
      </c>
      <c r="K48" s="18" t="n">
        <v>0.78380724</v>
      </c>
      <c r="L48" s="20" t="n">
        <v>0.42188051</v>
      </c>
      <c r="M48" s="18" t="n">
        <v>0</v>
      </c>
      <c r="N48" s="20" t="n">
        <v>0</v>
      </c>
      <c r="O48" s="18" t="n">
        <v>0</v>
      </c>
      <c r="P48" s="20" t="n">
        <v>0</v>
      </c>
      <c r="Q48" s="18" t="n">
        <v>0.4216063</v>
      </c>
      <c r="R48" s="20" t="n">
        <v>0.22628666</v>
      </c>
    </row>
    <row r="49" spans="1:18">
      <c r="A49" s="15" t="s">
        <v>608</v>
      </c>
      <c r="B49" s="17" t="n">
        <v>11795</v>
      </c>
      <c r="C49" s="18">
        <f>(10479.0/B49*100)</f>
        <v/>
      </c>
      <c r="D49" s="19" t="n">
        <v>1316</v>
      </c>
      <c r="E49" s="18" t="n">
        <v>42.91307465</v>
      </c>
      <c r="F49" s="20" t="n">
        <v>1.76259274</v>
      </c>
      <c r="G49" s="18" t="n">
        <v>55.27456261</v>
      </c>
      <c r="H49" s="20" t="n">
        <v>1.89592713</v>
      </c>
      <c r="I49" s="18" t="n">
        <v>0</v>
      </c>
      <c r="J49" s="20" t="n">
        <v>0</v>
      </c>
      <c r="K49" s="18" t="n">
        <v>1.05370769</v>
      </c>
      <c r="L49" s="20" t="n">
        <v>0.45449342</v>
      </c>
      <c r="M49" s="18" t="n">
        <v>0</v>
      </c>
      <c r="N49" s="20" t="n">
        <v>0</v>
      </c>
      <c r="O49" s="18" t="n">
        <v>0</v>
      </c>
      <c r="P49" s="20" t="n">
        <v>0</v>
      </c>
      <c r="Q49" s="18" t="n">
        <v>0.75865505</v>
      </c>
      <c r="R49" s="20" t="n">
        <v>0.30481363</v>
      </c>
    </row>
    <row r="50" spans="1:18">
      <c r="A50" s="15" t="s">
        <v>609</v>
      </c>
      <c r="B50" s="17" t="n">
        <v>6866</v>
      </c>
      <c r="C50" s="18">
        <f>(5483.0/B50*100)</f>
        <v/>
      </c>
      <c r="D50" s="19" t="n">
        <v>1383</v>
      </c>
      <c r="E50" s="18" t="n">
        <v>43.6137147</v>
      </c>
      <c r="F50" s="20" t="n">
        <v>1.49853882</v>
      </c>
      <c r="G50" s="18" t="n">
        <v>54.80043469</v>
      </c>
      <c r="H50" s="20" t="n">
        <v>1.53680675</v>
      </c>
      <c r="I50" s="18" t="n">
        <v>0</v>
      </c>
      <c r="J50" s="20" t="n">
        <v>0</v>
      </c>
      <c r="K50" s="18" t="n">
        <v>0.20889561</v>
      </c>
      <c r="L50" s="20" t="n">
        <v>0.13943504</v>
      </c>
      <c r="M50" s="18" t="n">
        <v>0</v>
      </c>
      <c r="N50" s="20" t="n">
        <v>0</v>
      </c>
      <c r="O50" s="18" t="n">
        <v>0</v>
      </c>
      <c r="P50" s="20" t="n">
        <v>0</v>
      </c>
      <c r="Q50" s="18" t="n">
        <v>1.37695501</v>
      </c>
      <c r="R50" s="20" t="n">
        <v>0.31615847</v>
      </c>
    </row>
    <row r="51" spans="1:18">
      <c r="A51" s="15" t="s">
        <v>610</v>
      </c>
      <c r="B51" s="17" t="n">
        <v>5809</v>
      </c>
      <c r="C51" s="18">
        <f>(5115.0/B51*100)</f>
        <v/>
      </c>
      <c r="D51" s="19" t="n">
        <v>694</v>
      </c>
      <c r="E51" s="18" t="n">
        <v>23.41103446</v>
      </c>
      <c r="F51" s="20" t="n">
        <v>1.77646586</v>
      </c>
      <c r="G51" s="18" t="n">
        <v>73.90565424</v>
      </c>
      <c r="H51" s="20" t="n">
        <v>1.79053405</v>
      </c>
      <c r="I51" s="18" t="n">
        <v>0</v>
      </c>
      <c r="J51" s="20" t="n">
        <v>0</v>
      </c>
      <c r="K51" s="18" t="n">
        <v>0</v>
      </c>
      <c r="L51" s="20" t="n">
        <v>0</v>
      </c>
      <c r="M51" s="18" t="n">
        <v>0</v>
      </c>
      <c r="N51" s="20" t="n">
        <v>0</v>
      </c>
      <c r="O51" s="18" t="n">
        <v>0</v>
      </c>
      <c r="P51" s="20" t="n">
        <v>0</v>
      </c>
      <c r="Q51" s="18" t="n">
        <v>2.68331131</v>
      </c>
      <c r="R51" s="20" t="n">
        <v>0.60500958</v>
      </c>
    </row>
    <row r="52" spans="1:18">
      <c r="A52" s="15" t="s">
        <v>611</v>
      </c>
      <c r="B52" s="17" t="n">
        <v>5571</v>
      </c>
      <c r="C52" s="18">
        <f>(4979.0/B52*100)</f>
        <v/>
      </c>
      <c r="D52" s="19" t="n">
        <v>592</v>
      </c>
      <c r="E52" s="18" t="n">
        <v>30.90231036</v>
      </c>
      <c r="F52" s="20" t="n">
        <v>2.28583682</v>
      </c>
      <c r="G52" s="18" t="n">
        <v>65.93611541</v>
      </c>
      <c r="H52" s="20" t="n">
        <v>2.187761</v>
      </c>
      <c r="I52" s="18" t="n">
        <v>0</v>
      </c>
      <c r="J52" s="20" t="n">
        <v>0</v>
      </c>
      <c r="K52" s="18" t="n">
        <v>0.35709902</v>
      </c>
      <c r="L52" s="20" t="n">
        <v>0.20623317</v>
      </c>
      <c r="M52" s="18" t="n">
        <v>0</v>
      </c>
      <c r="N52" s="20" t="n">
        <v>0</v>
      </c>
      <c r="O52" s="18" t="n">
        <v>0</v>
      </c>
      <c r="P52" s="20" t="n">
        <v>0</v>
      </c>
      <c r="Q52" s="18" t="n">
        <v>2.80447522</v>
      </c>
      <c r="R52" s="20" t="n">
        <v>0.75429342</v>
      </c>
    </row>
    <row r="53" spans="1:18">
      <c r="A53" s="15" t="s">
        <v>612</v>
      </c>
      <c r="B53" s="17" t="n">
        <v>4740</v>
      </c>
      <c r="C53" s="18">
        <f>(4226.0/B53*100)</f>
        <v/>
      </c>
      <c r="D53" s="19" t="n">
        <v>514</v>
      </c>
      <c r="E53" s="18" t="n">
        <v>54.22175154</v>
      </c>
      <c r="F53" s="20" t="n">
        <v>2.36036229</v>
      </c>
      <c r="G53" s="18" t="n">
        <v>34.89335971</v>
      </c>
      <c r="H53" s="20" t="n">
        <v>2.66796416</v>
      </c>
      <c r="I53" s="18" t="n">
        <v>0</v>
      </c>
      <c r="J53" s="20" t="n">
        <v>0</v>
      </c>
      <c r="K53" s="18" t="n">
        <v>6.40679733</v>
      </c>
      <c r="L53" s="20" t="n">
        <v>1.20663951</v>
      </c>
      <c r="M53" s="18" t="n">
        <v>0</v>
      </c>
      <c r="N53" s="20" t="n">
        <v>0</v>
      </c>
      <c r="O53" s="18" t="n">
        <v>0</v>
      </c>
      <c r="P53" s="20" t="n">
        <v>0</v>
      </c>
      <c r="Q53" s="18" t="n">
        <v>4.47809142</v>
      </c>
      <c r="R53" s="20" t="n">
        <v>0.9591432600000001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(4736.0/B55*100)</f>
        <v/>
      </c>
      <c r="D55" s="19" t="n">
        <v>623</v>
      </c>
      <c r="E55" s="18" t="n">
        <v>23.3216692</v>
      </c>
      <c r="F55" s="20" t="n">
        <v>1.60463197</v>
      </c>
      <c r="G55" s="18" t="n">
        <v>74.75252166999999</v>
      </c>
      <c r="H55" s="20" t="n">
        <v>1.66326312</v>
      </c>
      <c r="I55" s="18" t="n">
        <v>0</v>
      </c>
      <c r="J55" s="20" t="n">
        <v>0</v>
      </c>
      <c r="K55" s="18" t="n">
        <v>0.30723426</v>
      </c>
      <c r="L55" s="20" t="n">
        <v>0.22088746</v>
      </c>
      <c r="M55" s="18" t="n">
        <v>0</v>
      </c>
      <c r="N55" s="20" t="n">
        <v>0</v>
      </c>
      <c r="O55" s="18" t="n">
        <v>0</v>
      </c>
      <c r="P55" s="20" t="n">
        <v>0</v>
      </c>
      <c r="Q55" s="18" t="n">
        <v>1.61857487</v>
      </c>
      <c r="R55" s="20" t="n">
        <v>0.48455267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(5759.0/B61*100)</f>
        <v/>
      </c>
      <c r="D61" s="19" t="n">
        <v>766</v>
      </c>
      <c r="E61" s="18" t="n">
        <v>37.39033431</v>
      </c>
      <c r="F61" s="20" t="n">
        <v>1.91922524</v>
      </c>
      <c r="G61" s="18" t="n">
        <v>62.14484839</v>
      </c>
      <c r="H61" s="20" t="n">
        <v>1.90868699</v>
      </c>
      <c r="I61" s="18" t="n">
        <v>0</v>
      </c>
      <c r="J61" s="20" t="n">
        <v>0</v>
      </c>
      <c r="K61" s="18" t="n">
        <v>0.03119944</v>
      </c>
      <c r="L61" s="20" t="n">
        <v>0.03127363</v>
      </c>
      <c r="M61" s="18" t="n">
        <v>0</v>
      </c>
      <c r="N61" s="20" t="n">
        <v>0</v>
      </c>
      <c r="O61" s="18" t="n">
        <v>0</v>
      </c>
      <c r="P61" s="20" t="n">
        <v>0</v>
      </c>
      <c r="Q61" s="18" t="n">
        <v>0.43361786</v>
      </c>
      <c r="R61" s="20" t="n">
        <v>0.23183205</v>
      </c>
    </row>
    <row r="62" spans="1:18">
      <c r="A62" s="15" t="s">
        <v>622</v>
      </c>
      <c r="B62" s="17" t="n">
        <v>4476</v>
      </c>
      <c r="C62" s="18">
        <f>(4001.0/B62*100)</f>
        <v/>
      </c>
      <c r="D62" s="19" t="n">
        <v>475</v>
      </c>
      <c r="E62" s="18" t="n">
        <v>22.77905294</v>
      </c>
      <c r="F62" s="20" t="n">
        <v>2.09359063</v>
      </c>
      <c r="G62" s="18" t="n">
        <v>76.79994714999999</v>
      </c>
      <c r="H62" s="20" t="n">
        <v>2.12621329</v>
      </c>
      <c r="I62" s="18" t="n">
        <v>0</v>
      </c>
      <c r="J62" s="20" t="n">
        <v>0</v>
      </c>
      <c r="K62" s="18" t="n">
        <v>0</v>
      </c>
      <c r="L62" s="20" t="n">
        <v>0</v>
      </c>
      <c r="M62" s="18" t="n">
        <v>0</v>
      </c>
      <c r="N62" s="20" t="n">
        <v>0</v>
      </c>
      <c r="O62" s="18" t="n">
        <v>0</v>
      </c>
      <c r="P62" s="20" t="n">
        <v>0</v>
      </c>
      <c r="Q62" s="18" t="n">
        <v>0.42099991</v>
      </c>
      <c r="R62" s="20" t="n">
        <v>0.29990098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(5019.0/B67*100)</f>
        <v/>
      </c>
      <c r="D67" s="19" t="n">
        <v>646</v>
      </c>
      <c r="E67" s="18" t="n">
        <v>42.65991086</v>
      </c>
      <c r="F67" s="20" t="n">
        <v>1.79908032</v>
      </c>
      <c r="G67" s="18" t="n">
        <v>52.53142493</v>
      </c>
      <c r="H67" s="20" t="n">
        <v>1.84939232</v>
      </c>
      <c r="I67" s="18" t="n">
        <v>0</v>
      </c>
      <c r="J67" s="20" t="n">
        <v>0</v>
      </c>
      <c r="K67" s="18" t="n">
        <v>0.41713865</v>
      </c>
      <c r="L67" s="20" t="n">
        <v>0.23825028</v>
      </c>
      <c r="M67" s="18" t="n">
        <v>0</v>
      </c>
      <c r="N67" s="20" t="n">
        <v>0</v>
      </c>
      <c r="O67" s="18" t="n">
        <v>0</v>
      </c>
      <c r="P67" s="20" t="n">
        <v>0</v>
      </c>
      <c r="Q67" s="18" t="n">
        <v>4.39152556</v>
      </c>
      <c r="R67" s="20" t="n">
        <v>0.81194303</v>
      </c>
    </row>
    <row r="68" spans="1:18">
      <c r="A68" s="15" t="s">
        <v>628</v>
      </c>
      <c r="B68" s="17" t="n">
        <v>6971</v>
      </c>
      <c r="C68" s="18">
        <f>(6218.0/B68*100)</f>
        <v/>
      </c>
      <c r="D68" s="19" t="n">
        <v>753</v>
      </c>
      <c r="E68" s="18" t="n">
        <v>43.37239238</v>
      </c>
      <c r="F68" s="20" t="n">
        <v>2.14658086</v>
      </c>
      <c r="G68" s="18" t="n">
        <v>54.87427146</v>
      </c>
      <c r="H68" s="20" t="n">
        <v>2.15041514</v>
      </c>
      <c r="I68" s="18" t="n">
        <v>0</v>
      </c>
      <c r="J68" s="20" t="n">
        <v>0</v>
      </c>
      <c r="K68" s="18" t="n">
        <v>0</v>
      </c>
      <c r="L68" s="20" t="n">
        <v>0</v>
      </c>
      <c r="M68" s="18" t="n">
        <v>0</v>
      </c>
      <c r="N68" s="20" t="n">
        <v>0</v>
      </c>
      <c r="O68" s="18" t="n">
        <v>0</v>
      </c>
      <c r="P68" s="20" t="n">
        <v>0</v>
      </c>
      <c r="Q68" s="18" t="n">
        <v>1.75333616</v>
      </c>
      <c r="R68" s="20" t="n">
        <v>0.47494334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(10768.0/B70*100)</f>
        <v/>
      </c>
      <c r="D70" s="19" t="n">
        <v>1315</v>
      </c>
      <c r="E70" s="18" t="n">
        <v>31.03775701</v>
      </c>
      <c r="F70" s="20" t="n">
        <v>1.20356224</v>
      </c>
      <c r="G70" s="18" t="n">
        <v>66.36818553000001</v>
      </c>
      <c r="H70" s="20" t="n">
        <v>1.18110653</v>
      </c>
      <c r="I70" s="18" t="n">
        <v>0</v>
      </c>
      <c r="J70" s="20" t="n">
        <v>0</v>
      </c>
      <c r="K70" s="18" t="n">
        <v>1.23219581</v>
      </c>
      <c r="L70" s="20" t="n">
        <v>0.3044732</v>
      </c>
      <c r="M70" s="18" t="n">
        <v>0</v>
      </c>
      <c r="N70" s="20" t="n">
        <v>0</v>
      </c>
      <c r="O70" s="18" t="n">
        <v>0</v>
      </c>
      <c r="P70" s="20" t="n">
        <v>0</v>
      </c>
      <c r="Q70" s="18" t="n">
        <v>1.36186166</v>
      </c>
      <c r="R70" s="20" t="n">
        <v>0.30151147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(5364.0/B72*100)</f>
        <v/>
      </c>
      <c r="D72" s="19" t="n">
        <v>672</v>
      </c>
      <c r="E72" s="18" t="n">
        <v>28.49107414</v>
      </c>
      <c r="F72" s="20" t="n">
        <v>2.06168681</v>
      </c>
      <c r="G72" s="18" t="n">
        <v>70.11331092</v>
      </c>
      <c r="H72" s="20" t="n">
        <v>2.05215061</v>
      </c>
      <c r="I72" s="18" t="n">
        <v>0</v>
      </c>
      <c r="J72" s="20" t="n">
        <v>0</v>
      </c>
      <c r="K72" s="18" t="n">
        <v>0</v>
      </c>
      <c r="L72" s="20" t="n">
        <v>0</v>
      </c>
      <c r="M72" s="18" t="n">
        <v>0</v>
      </c>
      <c r="N72" s="20" t="n">
        <v>0</v>
      </c>
      <c r="O72" s="18" t="n">
        <v>0</v>
      </c>
      <c r="P72" s="20" t="n">
        <v>0</v>
      </c>
      <c r="Q72" s="18" t="n">
        <v>1.39561494</v>
      </c>
      <c r="R72" s="20" t="n">
        <v>0.34649482</v>
      </c>
    </row>
    <row r="73" spans="1:18">
      <c r="A73" s="15" t="s">
        <v>633</v>
      </c>
      <c r="B73" s="17" t="n">
        <v>6115</v>
      </c>
      <c r="C73" s="18">
        <f>(5459.0/B73*100)</f>
        <v/>
      </c>
      <c r="D73" s="19" t="n">
        <v>656</v>
      </c>
      <c r="E73" s="18" t="n">
        <v>15.22532749</v>
      </c>
      <c r="F73" s="20" t="n">
        <v>1.4016669</v>
      </c>
      <c r="G73" s="18" t="n">
        <v>84.65453571</v>
      </c>
      <c r="H73" s="20" t="n">
        <v>1.43072077</v>
      </c>
      <c r="I73" s="18" t="n">
        <v>0</v>
      </c>
      <c r="J73" s="20" t="n">
        <v>0</v>
      </c>
      <c r="K73" s="18" t="n">
        <v>0</v>
      </c>
      <c r="L73" s="20" t="n">
        <v>0</v>
      </c>
      <c r="M73" s="18" t="n">
        <v>0</v>
      </c>
      <c r="N73" s="20" t="n">
        <v>0</v>
      </c>
      <c r="O73" s="18" t="n">
        <v>0</v>
      </c>
      <c r="P73" s="20" t="n">
        <v>0</v>
      </c>
      <c r="Q73" s="18" t="n">
        <v>0.12013681</v>
      </c>
      <c r="R73" s="20" t="n">
        <v>0.11992198</v>
      </c>
    </row>
    <row r="74" spans="1:18">
      <c r="A74" s="15" t="s">
        <v>634</v>
      </c>
      <c r="B74" s="17" t="n">
        <v>7708</v>
      </c>
      <c r="C74" s="18">
        <f>(6844.0/B74*100)</f>
        <v/>
      </c>
      <c r="D74" s="19" t="n">
        <v>864</v>
      </c>
      <c r="E74" s="18" t="n">
        <v>22.46980954</v>
      </c>
      <c r="F74" s="20" t="n">
        <v>1.87855348</v>
      </c>
      <c r="G74" s="18" t="n">
        <v>76.98376637</v>
      </c>
      <c r="H74" s="20" t="n">
        <v>1.85408432</v>
      </c>
      <c r="I74" s="18" t="n">
        <v>0</v>
      </c>
      <c r="J74" s="20" t="n">
        <v>0</v>
      </c>
      <c r="K74" s="18" t="n">
        <v>0.24428879</v>
      </c>
      <c r="L74" s="20" t="n">
        <v>0.1838958</v>
      </c>
      <c r="M74" s="18" t="n">
        <v>0</v>
      </c>
      <c r="N74" s="20" t="n">
        <v>0</v>
      </c>
      <c r="O74" s="18" t="n">
        <v>0</v>
      </c>
      <c r="P74" s="20" t="n">
        <v>0</v>
      </c>
      <c r="Q74" s="18" t="n">
        <v>0.30213529</v>
      </c>
      <c r="R74" s="20" t="n">
        <v>0.17275684</v>
      </c>
    </row>
    <row r="75" spans="1:18">
      <c r="A75" s="15" t="s">
        <v>635</v>
      </c>
      <c r="B75" s="17" t="n">
        <v>8249</v>
      </c>
      <c r="C75" s="18">
        <f>(7342.0/B75*100)</f>
        <v/>
      </c>
      <c r="D75" s="19" t="n">
        <v>907</v>
      </c>
      <c r="E75" s="18" t="n">
        <v>39.91588438</v>
      </c>
      <c r="F75" s="20" t="n">
        <v>2.06105755</v>
      </c>
      <c r="G75" s="18" t="n">
        <v>59.43479107</v>
      </c>
      <c r="H75" s="20" t="n">
        <v>2.08220798</v>
      </c>
      <c r="I75" s="18" t="n">
        <v>0</v>
      </c>
      <c r="J75" s="20" t="n">
        <v>0</v>
      </c>
      <c r="K75" s="18" t="n">
        <v>0.19053602</v>
      </c>
      <c r="L75" s="20" t="n">
        <v>0.15742445</v>
      </c>
      <c r="M75" s="18" t="n">
        <v>0</v>
      </c>
      <c r="N75" s="20" t="n">
        <v>0</v>
      </c>
      <c r="O75" s="18" t="n">
        <v>0</v>
      </c>
      <c r="P75" s="20" t="n">
        <v>0</v>
      </c>
      <c r="Q75" s="18" t="n">
        <v>0.45878853</v>
      </c>
      <c r="R75" s="20" t="n">
        <v>0.24166367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(4820.0/B77*100)</f>
        <v/>
      </c>
      <c r="D77" s="19" t="n">
        <v>555</v>
      </c>
      <c r="E77" s="18" t="n">
        <v>35.03836372</v>
      </c>
      <c r="F77" s="20" t="n">
        <v>1.95008312</v>
      </c>
      <c r="G77" s="18" t="n">
        <v>60.72559564</v>
      </c>
      <c r="H77" s="20" t="n">
        <v>1.93989271</v>
      </c>
      <c r="I77" s="18" t="n">
        <v>0</v>
      </c>
      <c r="J77" s="20" t="n">
        <v>0</v>
      </c>
      <c r="K77" s="18" t="n">
        <v>1.40791887</v>
      </c>
      <c r="L77" s="20" t="n">
        <v>0.46898146</v>
      </c>
      <c r="M77" s="18" t="n">
        <v>0</v>
      </c>
      <c r="N77" s="20" t="n">
        <v>0</v>
      </c>
      <c r="O77" s="18" t="n">
        <v>0</v>
      </c>
      <c r="P77" s="20" t="n">
        <v>0</v>
      </c>
      <c r="Q77" s="18" t="n">
        <v>2.82812176</v>
      </c>
      <c r="R77" s="20" t="n">
        <v>0.6023787900000001</v>
      </c>
    </row>
    <row r="78" spans="1:18">
      <c r="A78" s="15" t="s">
        <v>638</v>
      </c>
      <c r="B78" s="17" t="n">
        <v>14167</v>
      </c>
      <c r="C78" s="18">
        <f>(12562.0/B78*100)</f>
        <v/>
      </c>
      <c r="D78" s="19" t="n">
        <v>1605</v>
      </c>
      <c r="E78" s="18" t="n">
        <v>30.93049885</v>
      </c>
      <c r="F78" s="20" t="n">
        <v>1.41588049</v>
      </c>
      <c r="G78" s="18" t="n">
        <v>67.46062594999999</v>
      </c>
      <c r="H78" s="20" t="n">
        <v>1.36207126</v>
      </c>
      <c r="I78" s="18" t="n">
        <v>0</v>
      </c>
      <c r="J78" s="20" t="n">
        <v>0</v>
      </c>
      <c r="K78" s="18" t="n">
        <v>0.47440708</v>
      </c>
      <c r="L78" s="20" t="n">
        <v>0.21565939</v>
      </c>
      <c r="M78" s="18" t="n">
        <v>0</v>
      </c>
      <c r="N78" s="20" t="n">
        <v>0</v>
      </c>
      <c r="O78" s="18" t="n">
        <v>0</v>
      </c>
      <c r="P78" s="20" t="n">
        <v>0</v>
      </c>
      <c r="Q78" s="18" t="n">
        <v>1.13446811</v>
      </c>
      <c r="R78" s="20" t="n">
        <v>0.29074631</v>
      </c>
    </row>
    <row r="79" spans="1:18">
      <c r="A79" s="15" t="s">
        <v>639</v>
      </c>
      <c r="B79" s="17" t="n">
        <v>6062</v>
      </c>
      <c r="C79" s="18">
        <f>(5383.0/B79*100)</f>
        <v/>
      </c>
      <c r="D79" s="19" t="n">
        <v>679</v>
      </c>
      <c r="E79" s="18" t="n">
        <v>34.62868337</v>
      </c>
      <c r="F79" s="20" t="n">
        <v>2.06354425</v>
      </c>
      <c r="G79" s="18" t="n">
        <v>62.46123682</v>
      </c>
      <c r="H79" s="20" t="n">
        <v>2.02789049</v>
      </c>
      <c r="I79" s="18" t="n">
        <v>0</v>
      </c>
      <c r="J79" s="20" t="n">
        <v>0</v>
      </c>
      <c r="K79" s="18" t="n">
        <v>0.61250369</v>
      </c>
      <c r="L79" s="20" t="n">
        <v>0.29774189</v>
      </c>
      <c r="M79" s="18" t="n">
        <v>0</v>
      </c>
      <c r="N79" s="20" t="n">
        <v>0</v>
      </c>
      <c r="O79" s="18" t="n">
        <v>0</v>
      </c>
      <c r="P79" s="20" t="n">
        <v>0</v>
      </c>
      <c r="Q79" s="18" t="n">
        <v>2.29757612</v>
      </c>
      <c r="R79" s="20" t="n">
        <v>0.7042849799999999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(28830.0/B82*100)</f>
        <v/>
      </c>
      <c r="D82" s="19" t="n">
        <v>3500</v>
      </c>
      <c r="E82" s="18" t="n">
        <v>20.26585207</v>
      </c>
      <c r="F82" s="20" t="n">
        <v>1.04707352</v>
      </c>
      <c r="G82" s="18" t="n">
        <v>78.7761959</v>
      </c>
      <c r="H82" s="20" t="n">
        <v>1.09357953</v>
      </c>
      <c r="I82" s="18" t="n">
        <v>0</v>
      </c>
      <c r="J82" s="20" t="n">
        <v>0</v>
      </c>
      <c r="K82" s="18" t="n">
        <v>0.05362964</v>
      </c>
      <c r="L82" s="20" t="n">
        <v>0.03390076</v>
      </c>
      <c r="M82" s="18" t="n">
        <v>0</v>
      </c>
      <c r="N82" s="20" t="n">
        <v>0</v>
      </c>
      <c r="O82" s="18" t="n">
        <v>0</v>
      </c>
      <c r="P82" s="20" t="n">
        <v>0</v>
      </c>
      <c r="Q82" s="18" t="n">
        <v>0.90432239</v>
      </c>
      <c r="R82" s="20" t="n">
        <v>0.21230316</v>
      </c>
    </row>
    <row r="83" spans="1:18">
      <c r="A83" s="15" t="s">
        <v>643</v>
      </c>
      <c r="B83" s="17" t="n">
        <v>1652</v>
      </c>
      <c r="C83" s="18">
        <f>(1428.0/B83*100)</f>
        <v/>
      </c>
      <c r="D83" s="19" t="n">
        <v>224</v>
      </c>
      <c r="E83" s="18" t="n">
        <v>24.63150315</v>
      </c>
      <c r="F83" s="20" t="n">
        <v>3.43830928</v>
      </c>
      <c r="G83" s="18" t="n">
        <v>74.51866316</v>
      </c>
      <c r="H83" s="20" t="n">
        <v>3.48831806</v>
      </c>
      <c r="I83" s="18" t="n">
        <v>0</v>
      </c>
      <c r="J83" s="20" t="n">
        <v>0</v>
      </c>
      <c r="K83" s="18" t="n">
        <v>0</v>
      </c>
      <c r="L83" s="20" t="n">
        <v>0</v>
      </c>
      <c r="M83" s="18" t="n">
        <v>0</v>
      </c>
      <c r="N83" s="20" t="n">
        <v>0</v>
      </c>
      <c r="O83" s="18" t="n">
        <v>0</v>
      </c>
      <c r="P83" s="20" t="n">
        <v>0</v>
      </c>
      <c r="Q83" s="18" t="n">
        <v>0.84983369</v>
      </c>
      <c r="R83" s="20" t="n">
        <v>0.5834797900000001</v>
      </c>
    </row>
    <row r="84" spans="1:18">
      <c r="A84" s="23" t="s">
        <v>644</v>
      </c>
      <c r="B84" s="24" t="n">
        <v>1887</v>
      </c>
      <c r="C84" s="25">
        <f>(1641.0/B84*100)</f>
        <v/>
      </c>
      <c r="D84" s="19" t="n">
        <v>246</v>
      </c>
      <c r="E84" s="18" t="n">
        <v>35.79188024</v>
      </c>
      <c r="F84" s="20" t="n">
        <v>3.30714829</v>
      </c>
      <c r="G84" s="18" t="n">
        <v>62.92963565</v>
      </c>
      <c r="H84" s="20" t="n">
        <v>3.25660156</v>
      </c>
      <c r="I84" s="18" t="n">
        <v>0</v>
      </c>
      <c r="J84" s="20" t="n">
        <v>0</v>
      </c>
      <c r="K84" s="18" t="n">
        <v>0</v>
      </c>
      <c r="L84" s="20" t="n">
        <v>0</v>
      </c>
      <c r="M84" s="18" t="n">
        <v>0</v>
      </c>
      <c r="N84" s="20" t="n">
        <v>0</v>
      </c>
      <c r="O84" s="18" t="n">
        <v>0</v>
      </c>
      <c r="P84" s="20" t="n">
        <v>0</v>
      </c>
      <c r="Q84" s="18" t="n">
        <v>1.27848411</v>
      </c>
      <c r="R84" s="20" t="n">
        <v>0.77218577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(12901.0/B7*100)</f>
        <v/>
      </c>
      <c r="D7" s="19" t="n">
        <v>1629</v>
      </c>
      <c r="E7" s="18" t="n">
        <v>26.43549572</v>
      </c>
      <c r="F7" s="20" t="n">
        <v>1.37819186</v>
      </c>
      <c r="G7" s="18" t="n">
        <v>72.24442664999999</v>
      </c>
      <c r="H7" s="20" t="n">
        <v>1.34271956</v>
      </c>
      <c r="I7" s="18" t="n">
        <v>0</v>
      </c>
      <c r="J7" s="20" t="n">
        <v>0</v>
      </c>
      <c r="K7" s="18" t="n">
        <v>0.04090753</v>
      </c>
      <c r="L7" s="20" t="n">
        <v>0.0211252</v>
      </c>
      <c r="M7" s="18" t="n">
        <v>0</v>
      </c>
      <c r="N7" s="20" t="n">
        <v>0</v>
      </c>
      <c r="O7" s="18" t="n">
        <v>0</v>
      </c>
      <c r="P7" s="20" t="n">
        <v>0</v>
      </c>
      <c r="Q7" s="18" t="n">
        <v>1.2791701</v>
      </c>
      <c r="R7" s="20" t="n">
        <v>0.29371365</v>
      </c>
    </row>
    <row r="8" spans="1:18">
      <c r="A8" s="15" t="s">
        <v>566</v>
      </c>
      <c r="B8" s="17" t="n">
        <v>7007</v>
      </c>
      <c r="C8" s="18">
        <f>(6183.0/B8*100)</f>
        <v/>
      </c>
      <c r="D8" s="19" t="n">
        <v>824</v>
      </c>
      <c r="E8" s="18" t="n">
        <v>19.91509739</v>
      </c>
      <c r="F8" s="20" t="n">
        <v>1.59007029</v>
      </c>
      <c r="G8" s="18" t="n">
        <v>79.07729901</v>
      </c>
      <c r="H8" s="20" t="n">
        <v>1.61509406</v>
      </c>
      <c r="I8" s="18" t="n">
        <v>0</v>
      </c>
      <c r="J8" s="20" t="n">
        <v>0</v>
      </c>
      <c r="K8" s="18" t="n">
        <v>0.10436553</v>
      </c>
      <c r="L8" s="20" t="n">
        <v>0.10505506</v>
      </c>
      <c r="M8" s="18" t="n">
        <v>0</v>
      </c>
      <c r="N8" s="20" t="n">
        <v>0</v>
      </c>
      <c r="O8" s="18" t="n">
        <v>0</v>
      </c>
      <c r="P8" s="20" t="n">
        <v>0</v>
      </c>
      <c r="Q8" s="18" t="n">
        <v>0.9032380800000001</v>
      </c>
      <c r="R8" s="20" t="n">
        <v>0.30299983</v>
      </c>
    </row>
    <row r="9" spans="1:18">
      <c r="A9" s="15" t="s">
        <v>567</v>
      </c>
      <c r="B9" s="17" t="n">
        <v>9651</v>
      </c>
      <c r="C9" s="18">
        <f>(8364.0/B9*100)</f>
        <v/>
      </c>
      <c r="D9" s="19" t="n">
        <v>1287</v>
      </c>
      <c r="E9" s="18" t="n">
        <v>37.06700434</v>
      </c>
      <c r="F9" s="20" t="n">
        <v>1.33876145</v>
      </c>
      <c r="G9" s="18" t="n">
        <v>61.25626359</v>
      </c>
      <c r="H9" s="20" t="n">
        <v>1.47042852</v>
      </c>
      <c r="I9" s="18" t="n">
        <v>0</v>
      </c>
      <c r="J9" s="20" t="n">
        <v>0</v>
      </c>
      <c r="K9" s="18" t="n">
        <v>0.57350981</v>
      </c>
      <c r="L9" s="20" t="n">
        <v>0.31565752</v>
      </c>
      <c r="M9" s="18" t="n">
        <v>0</v>
      </c>
      <c r="N9" s="20" t="n">
        <v>0</v>
      </c>
      <c r="O9" s="18" t="n">
        <v>0</v>
      </c>
      <c r="P9" s="20" t="n">
        <v>0</v>
      </c>
      <c r="Q9" s="18" t="n">
        <v>1.10322226</v>
      </c>
      <c r="R9" s="20" t="n">
        <v>0.23174274</v>
      </c>
    </row>
    <row r="10" spans="1:18">
      <c r="A10" s="15" t="s">
        <v>568</v>
      </c>
      <c r="B10" s="17" t="n">
        <v>20058</v>
      </c>
      <c r="C10" s="18">
        <f>(17909.0/B10*100)</f>
        <v/>
      </c>
      <c r="D10" s="19" t="n">
        <v>2149</v>
      </c>
      <c r="E10" s="18" t="n">
        <v>18.76595361</v>
      </c>
      <c r="F10" s="20" t="n">
        <v>1.16282787</v>
      </c>
      <c r="G10" s="18" t="n">
        <v>80.52214653999999</v>
      </c>
      <c r="H10" s="20" t="n">
        <v>1.20718922</v>
      </c>
      <c r="I10" s="18" t="n">
        <v>0</v>
      </c>
      <c r="J10" s="20" t="n">
        <v>0</v>
      </c>
      <c r="K10" s="18" t="n">
        <v>0.23048946</v>
      </c>
      <c r="L10" s="20" t="n">
        <v>0.14820886</v>
      </c>
      <c r="M10" s="18" t="n">
        <v>0</v>
      </c>
      <c r="N10" s="20" t="n">
        <v>0</v>
      </c>
      <c r="O10" s="18" t="n">
        <v>0</v>
      </c>
      <c r="P10" s="20" t="n">
        <v>0</v>
      </c>
      <c r="Q10" s="18" t="n">
        <v>0.48141039</v>
      </c>
      <c r="R10" s="20" t="n">
        <v>0.22012543</v>
      </c>
    </row>
    <row r="11" spans="1:18">
      <c r="A11" s="15" t="s">
        <v>569</v>
      </c>
      <c r="B11" s="17" t="n">
        <v>7053</v>
      </c>
      <c r="C11" s="18">
        <f>(6279.0/B11*100)</f>
        <v/>
      </c>
      <c r="D11" s="19" t="n">
        <v>774</v>
      </c>
      <c r="E11" s="18" t="n">
        <v>36.876662</v>
      </c>
      <c r="F11" s="20" t="n">
        <v>2.01953229</v>
      </c>
      <c r="G11" s="18" t="n">
        <v>61.24001598</v>
      </c>
      <c r="H11" s="20" t="n">
        <v>2.06987824</v>
      </c>
      <c r="I11" s="18" t="n">
        <v>0</v>
      </c>
      <c r="J11" s="20" t="n">
        <v>0</v>
      </c>
      <c r="K11" s="18" t="n">
        <v>0.5565709</v>
      </c>
      <c r="L11" s="20" t="n">
        <v>0.30591529</v>
      </c>
      <c r="M11" s="18" t="n">
        <v>0</v>
      </c>
      <c r="N11" s="20" t="n">
        <v>0</v>
      </c>
      <c r="O11" s="18" t="n">
        <v>0</v>
      </c>
      <c r="P11" s="20" t="n">
        <v>0</v>
      </c>
      <c r="Q11" s="18" t="n">
        <v>1.32675112</v>
      </c>
      <c r="R11" s="20" t="n">
        <v>0.58506118</v>
      </c>
    </row>
    <row r="12" spans="1:18">
      <c r="A12" s="15" t="s">
        <v>570</v>
      </c>
      <c r="B12" s="17" t="n">
        <v>6894</v>
      </c>
      <c r="C12" s="18">
        <f>(6044.0/B12*100)</f>
        <v/>
      </c>
      <c r="D12" s="19" t="n">
        <v>850</v>
      </c>
      <c r="E12" s="18" t="n">
        <v>23.57101481</v>
      </c>
      <c r="F12" s="20" t="n">
        <v>1.71885674</v>
      </c>
      <c r="G12" s="18" t="n">
        <v>75.81364037</v>
      </c>
      <c r="H12" s="20" t="n">
        <v>1.6995853</v>
      </c>
      <c r="I12" s="18" t="n">
        <v>0</v>
      </c>
      <c r="J12" s="20" t="n">
        <v>0</v>
      </c>
      <c r="K12" s="18" t="n">
        <v>0</v>
      </c>
      <c r="L12" s="20" t="n">
        <v>0</v>
      </c>
      <c r="M12" s="18" t="n">
        <v>0</v>
      </c>
      <c r="N12" s="20" t="n">
        <v>0</v>
      </c>
      <c r="O12" s="18" t="n">
        <v>0</v>
      </c>
      <c r="P12" s="20" t="n">
        <v>0</v>
      </c>
      <c r="Q12" s="18" t="n">
        <v>0.61534481</v>
      </c>
      <c r="R12" s="20" t="n">
        <v>0.31492674</v>
      </c>
    </row>
    <row r="13" spans="1:18">
      <c r="A13" s="15" t="s">
        <v>571</v>
      </c>
      <c r="B13" s="17" t="n">
        <v>7161</v>
      </c>
      <c r="C13" s="18">
        <f>(6053.0/B13*100)</f>
        <v/>
      </c>
      <c r="D13" s="19" t="n">
        <v>1108</v>
      </c>
      <c r="E13" s="18" t="n">
        <v>27.15810919</v>
      </c>
      <c r="F13" s="20" t="n">
        <v>1.51320173</v>
      </c>
      <c r="G13" s="18" t="n">
        <v>70.89040208</v>
      </c>
      <c r="H13" s="20" t="n">
        <v>1.60329297</v>
      </c>
      <c r="I13" s="18" t="n">
        <v>0</v>
      </c>
      <c r="J13" s="20" t="n">
        <v>0</v>
      </c>
      <c r="K13" s="18" t="n">
        <v>0.50419329</v>
      </c>
      <c r="L13" s="20" t="n">
        <v>0.22083855</v>
      </c>
      <c r="M13" s="18" t="n">
        <v>0</v>
      </c>
      <c r="N13" s="20" t="n">
        <v>0</v>
      </c>
      <c r="O13" s="18" t="n">
        <v>0</v>
      </c>
      <c r="P13" s="20" t="n">
        <v>0</v>
      </c>
      <c r="Q13" s="18" t="n">
        <v>1.44729544</v>
      </c>
      <c r="R13" s="20" t="n">
        <v>0.50352712</v>
      </c>
    </row>
    <row r="14" spans="1:18">
      <c r="A14" s="15" t="s">
        <v>572</v>
      </c>
      <c r="B14" s="17" t="n">
        <v>5587</v>
      </c>
      <c r="C14" s="18">
        <f>(4995.0/B14*100)</f>
        <v/>
      </c>
      <c r="D14" s="19" t="n">
        <v>592</v>
      </c>
      <c r="E14" s="18" t="n">
        <v>21.9400189</v>
      </c>
      <c r="F14" s="20" t="n">
        <v>1.75242645</v>
      </c>
      <c r="G14" s="18" t="n">
        <v>78.0599811</v>
      </c>
      <c r="H14" s="20" t="n">
        <v>1.75242645</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(5221.0/B15*100)</f>
        <v/>
      </c>
      <c r="D15" s="19" t="n">
        <v>661</v>
      </c>
      <c r="E15" s="18" t="n">
        <v>16.03457037</v>
      </c>
      <c r="F15" s="20" t="n">
        <v>1.60982525</v>
      </c>
      <c r="G15" s="18" t="n">
        <v>82.35479091000001</v>
      </c>
      <c r="H15" s="20" t="n">
        <v>1.71784299</v>
      </c>
      <c r="I15" s="18" t="n">
        <v>0</v>
      </c>
      <c r="J15" s="20" t="n">
        <v>0</v>
      </c>
      <c r="K15" s="18" t="n">
        <v>0.58379373</v>
      </c>
      <c r="L15" s="20" t="n">
        <v>0.36650909</v>
      </c>
      <c r="M15" s="18" t="n">
        <v>0</v>
      </c>
      <c r="N15" s="20" t="n">
        <v>0</v>
      </c>
      <c r="O15" s="18" t="n">
        <v>0</v>
      </c>
      <c r="P15" s="20" t="n">
        <v>0</v>
      </c>
      <c r="Q15" s="18" t="n">
        <v>1.02684499</v>
      </c>
      <c r="R15" s="20" t="n">
        <v>0.45421097</v>
      </c>
    </row>
    <row r="16" spans="1:18">
      <c r="A16" s="15" t="s">
        <v>574</v>
      </c>
      <c r="B16" s="17" t="n">
        <v>6108</v>
      </c>
      <c r="C16" s="18">
        <f>(5470.0/B16*100)</f>
        <v/>
      </c>
      <c r="D16" s="19" t="n">
        <v>638</v>
      </c>
      <c r="E16" s="18" t="n">
        <v>29.91119273</v>
      </c>
      <c r="F16" s="20" t="n">
        <v>1.9617893</v>
      </c>
      <c r="G16" s="18" t="n">
        <v>69.11329019</v>
      </c>
      <c r="H16" s="20" t="n">
        <v>1.859559</v>
      </c>
      <c r="I16" s="18" t="n">
        <v>0</v>
      </c>
      <c r="J16" s="20" t="n">
        <v>0</v>
      </c>
      <c r="K16" s="18" t="n">
        <v>0.3947658</v>
      </c>
      <c r="L16" s="20" t="n">
        <v>0.23107442</v>
      </c>
      <c r="M16" s="18" t="n">
        <v>0</v>
      </c>
      <c r="N16" s="20" t="n">
        <v>0</v>
      </c>
      <c r="O16" s="18" t="n">
        <v>0</v>
      </c>
      <c r="P16" s="20" t="n">
        <v>0</v>
      </c>
      <c r="Q16" s="18" t="n">
        <v>0.58075129</v>
      </c>
      <c r="R16" s="20" t="n">
        <v>0.39162903</v>
      </c>
    </row>
    <row r="17" spans="1:18">
      <c r="A17" s="15" t="s">
        <v>575</v>
      </c>
      <c r="B17" s="17" t="n">
        <v>6504</v>
      </c>
      <c r="C17" s="18">
        <f>(5648.0/B17*100)</f>
        <v/>
      </c>
      <c r="D17" s="19" t="n">
        <v>856</v>
      </c>
      <c r="E17" s="18" t="n">
        <v>22.7188129</v>
      </c>
      <c r="F17" s="20" t="n">
        <v>1.5493284</v>
      </c>
      <c r="G17" s="18" t="n">
        <v>75.59475657999999</v>
      </c>
      <c r="H17" s="20" t="n">
        <v>1.58477038</v>
      </c>
      <c r="I17" s="18" t="n">
        <v>0</v>
      </c>
      <c r="J17" s="20" t="n">
        <v>0</v>
      </c>
      <c r="K17" s="18" t="n">
        <v>0.56192897</v>
      </c>
      <c r="L17" s="20" t="n">
        <v>0.25650209</v>
      </c>
      <c r="M17" s="18" t="n">
        <v>0</v>
      </c>
      <c r="N17" s="20" t="n">
        <v>0</v>
      </c>
      <c r="O17" s="18" t="n">
        <v>0</v>
      </c>
      <c r="P17" s="20" t="n">
        <v>0</v>
      </c>
      <c r="Q17" s="18" t="n">
        <v>1.12450155</v>
      </c>
      <c r="R17" s="20" t="n">
        <v>0.35186334</v>
      </c>
    </row>
    <row r="18" spans="1:18">
      <c r="A18" s="15" t="s">
        <v>576</v>
      </c>
      <c r="B18" s="17" t="n">
        <v>5532</v>
      </c>
      <c r="C18" s="18">
        <f>(4929.0/B18*100)</f>
        <v/>
      </c>
      <c r="D18" s="19" t="n">
        <v>603</v>
      </c>
      <c r="E18" s="18" t="n">
        <v>56.45082907</v>
      </c>
      <c r="F18" s="20" t="n">
        <v>1.88767627</v>
      </c>
      <c r="G18" s="18" t="n">
        <v>41.50103013</v>
      </c>
      <c r="H18" s="20" t="n">
        <v>1.91717507</v>
      </c>
      <c r="I18" s="18" t="n">
        <v>0</v>
      </c>
      <c r="J18" s="20" t="n">
        <v>0</v>
      </c>
      <c r="K18" s="18" t="n">
        <v>0.13516732</v>
      </c>
      <c r="L18" s="20" t="n">
        <v>0.13484396</v>
      </c>
      <c r="M18" s="18" t="n">
        <v>0</v>
      </c>
      <c r="N18" s="20" t="n">
        <v>0</v>
      </c>
      <c r="O18" s="18" t="n">
        <v>0</v>
      </c>
      <c r="P18" s="20" t="n">
        <v>0</v>
      </c>
      <c r="Q18" s="18" t="n">
        <v>1.91297347</v>
      </c>
      <c r="R18" s="20" t="n">
        <v>0.6574541699999999</v>
      </c>
    </row>
    <row r="19" spans="1:18">
      <c r="A19" s="15" t="s">
        <v>577</v>
      </c>
      <c r="B19" s="17" t="n">
        <v>5658</v>
      </c>
      <c r="C19" s="18">
        <f>(5011.0/B19*100)</f>
        <v/>
      </c>
      <c r="D19" s="19" t="n">
        <v>647</v>
      </c>
      <c r="E19" s="18" t="n">
        <v>56.16566513</v>
      </c>
      <c r="F19" s="20" t="n">
        <v>1.88396304</v>
      </c>
      <c r="G19" s="18" t="n">
        <v>43.40771963</v>
      </c>
      <c r="H19" s="20" t="n">
        <v>1.93072829</v>
      </c>
      <c r="I19" s="18" t="n">
        <v>0</v>
      </c>
      <c r="J19" s="20" t="n">
        <v>0</v>
      </c>
      <c r="K19" s="18" t="n">
        <v>0.18251093</v>
      </c>
      <c r="L19" s="20" t="n">
        <v>0.193915</v>
      </c>
      <c r="M19" s="18" t="n">
        <v>0</v>
      </c>
      <c r="N19" s="20" t="n">
        <v>0</v>
      </c>
      <c r="O19" s="18" t="n">
        <v>0</v>
      </c>
      <c r="P19" s="20" t="n">
        <v>0</v>
      </c>
      <c r="Q19" s="18" t="n">
        <v>0.24410431</v>
      </c>
      <c r="R19" s="20" t="n">
        <v>0.14731526</v>
      </c>
    </row>
    <row r="20" spans="1:18">
      <c r="A20" s="15" t="s">
        <v>578</v>
      </c>
      <c r="B20" s="17" t="n">
        <v>3371</v>
      </c>
      <c r="C20" s="18">
        <f>(2999.0/B20*100)</f>
        <v/>
      </c>
      <c r="D20" s="19" t="n">
        <v>372</v>
      </c>
      <c r="E20" s="18" t="n">
        <v>33.73389906</v>
      </c>
      <c r="F20" s="20" t="n">
        <v>2.69414655</v>
      </c>
      <c r="G20" s="18" t="n">
        <v>64.68581141999999</v>
      </c>
      <c r="H20" s="20" t="n">
        <v>2.66707128</v>
      </c>
      <c r="I20" s="18" t="n">
        <v>0</v>
      </c>
      <c r="J20" s="20" t="n">
        <v>0</v>
      </c>
      <c r="K20" s="18" t="n">
        <v>0.31187009</v>
      </c>
      <c r="L20" s="20" t="n">
        <v>0.30508613</v>
      </c>
      <c r="M20" s="18" t="n">
        <v>0</v>
      </c>
      <c r="N20" s="20" t="n">
        <v>0</v>
      </c>
      <c r="O20" s="18" t="n">
        <v>0</v>
      </c>
      <c r="P20" s="20" t="n">
        <v>0</v>
      </c>
      <c r="Q20" s="18" t="n">
        <v>1.26841943</v>
      </c>
      <c r="R20" s="20" t="n">
        <v>0.70654579</v>
      </c>
    </row>
    <row r="21" spans="1:18">
      <c r="A21" s="15" t="s">
        <v>579</v>
      </c>
      <c r="B21" s="17" t="n">
        <v>5741</v>
      </c>
      <c r="C21" s="18">
        <f>(5113.0/B21*100)</f>
        <v/>
      </c>
      <c r="D21" s="19" t="n">
        <v>628</v>
      </c>
      <c r="E21" s="18" t="n">
        <v>19.7335737</v>
      </c>
      <c r="F21" s="20" t="n">
        <v>1.52287983</v>
      </c>
      <c r="G21" s="18" t="n">
        <v>80.26642630000001</v>
      </c>
      <c r="H21" s="20" t="n">
        <v>1.52287983</v>
      </c>
      <c r="I21" s="18" t="n">
        <v>0</v>
      </c>
      <c r="J21" s="20" t="n">
        <v>0</v>
      </c>
      <c r="K21" s="18" t="n">
        <v>0</v>
      </c>
      <c r="L21" s="20" t="n">
        <v>0</v>
      </c>
      <c r="M21" s="18" t="n">
        <v>0</v>
      </c>
      <c r="N21" s="20" t="n">
        <v>0</v>
      </c>
      <c r="O21" s="18" t="n">
        <v>0</v>
      </c>
      <c r="P21" s="20" t="n">
        <v>0</v>
      </c>
      <c r="Q21" s="18" t="n">
        <v>0</v>
      </c>
      <c r="R21" s="20" t="n">
        <v>0</v>
      </c>
    </row>
    <row r="22" spans="1:18">
      <c r="A22" s="15" t="s">
        <v>580</v>
      </c>
      <c r="B22" s="17" t="n">
        <v>6598</v>
      </c>
      <c r="C22" s="18">
        <f>(5836.0/B22*100)</f>
        <v/>
      </c>
      <c r="D22" s="19" t="n">
        <v>762</v>
      </c>
      <c r="E22" s="18" t="n">
        <v>49.5497131</v>
      </c>
      <c r="F22" s="20" t="n">
        <v>1.84226324</v>
      </c>
      <c r="G22" s="18" t="n">
        <v>47.15491777</v>
      </c>
      <c r="H22" s="20" t="n">
        <v>2.07080173</v>
      </c>
      <c r="I22" s="18" t="n">
        <v>0</v>
      </c>
      <c r="J22" s="20" t="n">
        <v>0</v>
      </c>
      <c r="K22" s="18" t="n">
        <v>0.93605569</v>
      </c>
      <c r="L22" s="20" t="n">
        <v>0.36787892</v>
      </c>
      <c r="M22" s="18" t="n">
        <v>0</v>
      </c>
      <c r="N22" s="20" t="n">
        <v>0</v>
      </c>
      <c r="O22" s="18" t="n">
        <v>0</v>
      </c>
      <c r="P22" s="20" t="n">
        <v>0</v>
      </c>
      <c r="Q22" s="18" t="n">
        <v>2.35931345</v>
      </c>
      <c r="R22" s="20" t="n">
        <v>0.56311747</v>
      </c>
    </row>
    <row r="23" spans="1:18">
      <c r="A23" s="15" t="s">
        <v>581</v>
      </c>
      <c r="B23" s="17" t="n">
        <v>11583</v>
      </c>
      <c r="C23" s="18">
        <f>(10301.0/B23*100)</f>
        <v/>
      </c>
      <c r="D23" s="19" t="n">
        <v>1282</v>
      </c>
      <c r="E23" s="18" t="n">
        <v>23.63692781</v>
      </c>
      <c r="F23" s="20" t="n">
        <v>1.5013058</v>
      </c>
      <c r="G23" s="18" t="n">
        <v>74.97146782999999</v>
      </c>
      <c r="H23" s="20" t="n">
        <v>1.47987083</v>
      </c>
      <c r="I23" s="18" t="n">
        <v>0</v>
      </c>
      <c r="J23" s="20" t="n">
        <v>0</v>
      </c>
      <c r="K23" s="18" t="n">
        <v>0.5078622699999999</v>
      </c>
      <c r="L23" s="20" t="n">
        <v>0.22253954</v>
      </c>
      <c r="M23" s="18" t="n">
        <v>0</v>
      </c>
      <c r="N23" s="20" t="n">
        <v>0</v>
      </c>
      <c r="O23" s="18" t="n">
        <v>0</v>
      </c>
      <c r="P23" s="20" t="n">
        <v>0</v>
      </c>
      <c r="Q23" s="18" t="n">
        <v>0.88374209</v>
      </c>
      <c r="R23" s="20" t="n">
        <v>0.36448603</v>
      </c>
    </row>
    <row r="24" spans="1:18">
      <c r="A24" s="15" t="s">
        <v>582</v>
      </c>
      <c r="B24" s="17" t="n">
        <v>6647</v>
      </c>
      <c r="C24" s="18">
        <f>(5894.0/B24*100)</f>
        <v/>
      </c>
      <c r="D24" s="19" t="n">
        <v>753</v>
      </c>
      <c r="E24" s="18" t="n">
        <v>28.31242741</v>
      </c>
      <c r="F24" s="20" t="n">
        <v>1.53532482</v>
      </c>
      <c r="G24" s="18" t="n">
        <v>70.50963254</v>
      </c>
      <c r="H24" s="20" t="n">
        <v>1.56334617</v>
      </c>
      <c r="I24" s="18" t="n">
        <v>0</v>
      </c>
      <c r="J24" s="20" t="n">
        <v>0</v>
      </c>
      <c r="K24" s="18" t="n">
        <v>0.11951595</v>
      </c>
      <c r="L24" s="20" t="n">
        <v>0.11935481</v>
      </c>
      <c r="M24" s="18" t="n">
        <v>0</v>
      </c>
      <c r="N24" s="20" t="n">
        <v>0</v>
      </c>
      <c r="O24" s="18" t="n">
        <v>0</v>
      </c>
      <c r="P24" s="20" t="n">
        <v>0</v>
      </c>
      <c r="Q24" s="18" t="n">
        <v>1.0584241</v>
      </c>
      <c r="R24" s="20" t="n">
        <v>0.32518352</v>
      </c>
    </row>
    <row r="25" spans="1:18">
      <c r="A25" s="15" t="s">
        <v>583</v>
      </c>
      <c r="B25" s="17" t="n">
        <v>5581</v>
      </c>
      <c r="C25" s="18">
        <f>(4970.0/B25*100)</f>
        <v/>
      </c>
      <c r="D25" s="19" t="n">
        <v>611</v>
      </c>
      <c r="E25" s="18" t="n">
        <v>26.03346297</v>
      </c>
      <c r="F25" s="20" t="n">
        <v>1.86685959</v>
      </c>
      <c r="G25" s="18" t="n">
        <v>73.21981562000001</v>
      </c>
      <c r="H25" s="20" t="n">
        <v>1.87294921</v>
      </c>
      <c r="I25" s="18" t="n">
        <v>0</v>
      </c>
      <c r="J25" s="20" t="n">
        <v>0</v>
      </c>
      <c r="K25" s="18" t="n">
        <v>0.14209221</v>
      </c>
      <c r="L25" s="20" t="n">
        <v>0.14104984</v>
      </c>
      <c r="M25" s="18" t="n">
        <v>0</v>
      </c>
      <c r="N25" s="20" t="n">
        <v>0</v>
      </c>
      <c r="O25" s="18" t="n">
        <v>0</v>
      </c>
      <c r="P25" s="20" t="n">
        <v>0</v>
      </c>
      <c r="Q25" s="18" t="n">
        <v>0.60462921</v>
      </c>
      <c r="R25" s="20" t="n">
        <v>0.29211805</v>
      </c>
    </row>
    <row r="26" spans="1:18">
      <c r="A26" s="15" t="s">
        <v>584</v>
      </c>
      <c r="B26" s="17" t="n">
        <v>4869</v>
      </c>
      <c r="C26" s="18">
        <f>(4354.0/B26*100)</f>
        <v/>
      </c>
      <c r="D26" s="19" t="n">
        <v>515</v>
      </c>
      <c r="E26" s="18" t="n">
        <v>50.85451809</v>
      </c>
      <c r="F26" s="20" t="n">
        <v>2.13053173</v>
      </c>
      <c r="G26" s="18" t="n">
        <v>47.8618484</v>
      </c>
      <c r="H26" s="20" t="n">
        <v>2.19923885</v>
      </c>
      <c r="I26" s="18" t="n">
        <v>0</v>
      </c>
      <c r="J26" s="20" t="n">
        <v>0</v>
      </c>
      <c r="K26" s="18" t="n">
        <v>0.16225725</v>
      </c>
      <c r="L26" s="20" t="n">
        <v>0.16267741</v>
      </c>
      <c r="M26" s="18" t="n">
        <v>0</v>
      </c>
      <c r="N26" s="20" t="n">
        <v>0</v>
      </c>
      <c r="O26" s="18" t="n">
        <v>0</v>
      </c>
      <c r="P26" s="20" t="n">
        <v>0</v>
      </c>
      <c r="Q26" s="18" t="n">
        <v>1.12137626</v>
      </c>
      <c r="R26" s="20" t="n">
        <v>0.37865203</v>
      </c>
    </row>
    <row r="27" spans="1:18">
      <c r="A27" s="15" t="s">
        <v>585</v>
      </c>
      <c r="B27" s="17" t="n">
        <v>5299</v>
      </c>
      <c r="C27" s="18">
        <f>(4734.0/B27*100)</f>
        <v/>
      </c>
      <c r="D27" s="19" t="n">
        <v>565</v>
      </c>
      <c r="E27" s="18" t="n">
        <v>21.22046742</v>
      </c>
      <c r="F27" s="20" t="n">
        <v>1.74152319</v>
      </c>
      <c r="G27" s="18" t="n">
        <v>78.246056</v>
      </c>
      <c r="H27" s="20" t="n">
        <v>1.76229662</v>
      </c>
      <c r="I27" s="18" t="n">
        <v>0</v>
      </c>
      <c r="J27" s="20" t="n">
        <v>0</v>
      </c>
      <c r="K27" s="18" t="n">
        <v>0.17731758</v>
      </c>
      <c r="L27" s="20" t="n">
        <v>0.17745965</v>
      </c>
      <c r="M27" s="18" t="n">
        <v>0</v>
      </c>
      <c r="N27" s="20" t="n">
        <v>0</v>
      </c>
      <c r="O27" s="18" t="n">
        <v>0</v>
      </c>
      <c r="P27" s="20" t="n">
        <v>0</v>
      </c>
      <c r="Q27" s="18" t="n">
        <v>0.356159</v>
      </c>
      <c r="R27" s="20" t="n">
        <v>0.0183328</v>
      </c>
    </row>
    <row r="28" spans="1:18">
      <c r="A28" s="15" t="s">
        <v>586</v>
      </c>
      <c r="B28" s="17" t="n">
        <v>7568</v>
      </c>
      <c r="C28" s="18">
        <f>(6767.0/B28*100)</f>
        <v/>
      </c>
      <c r="D28" s="19" t="n">
        <v>801</v>
      </c>
      <c r="E28" s="18" t="n">
        <v>54.36987606</v>
      </c>
      <c r="F28" s="20" t="n">
        <v>1.6176983</v>
      </c>
      <c r="G28" s="18" t="n">
        <v>44.53684042</v>
      </c>
      <c r="H28" s="20" t="n">
        <v>1.61805282</v>
      </c>
      <c r="I28" s="18" t="n">
        <v>0</v>
      </c>
      <c r="J28" s="20" t="n">
        <v>0</v>
      </c>
      <c r="K28" s="18" t="n">
        <v>0.44077104</v>
      </c>
      <c r="L28" s="20" t="n">
        <v>0.27027322</v>
      </c>
      <c r="M28" s="18" t="n">
        <v>0</v>
      </c>
      <c r="N28" s="20" t="n">
        <v>0</v>
      </c>
      <c r="O28" s="18" t="n">
        <v>0</v>
      </c>
      <c r="P28" s="20" t="n">
        <v>0</v>
      </c>
      <c r="Q28" s="18" t="n">
        <v>0.65251248</v>
      </c>
      <c r="R28" s="20" t="n">
        <v>0.3152056</v>
      </c>
    </row>
    <row r="29" spans="1:18">
      <c r="A29" s="15" t="s">
        <v>587</v>
      </c>
      <c r="B29" s="17" t="n">
        <v>5385</v>
      </c>
      <c r="C29" s="18">
        <f>(4630.0/B29*100)</f>
        <v/>
      </c>
      <c r="D29" s="19" t="n">
        <v>755</v>
      </c>
      <c r="E29" s="18" t="n">
        <v>18.46957539</v>
      </c>
      <c r="F29" s="20" t="n">
        <v>1.86632933</v>
      </c>
      <c r="G29" s="18" t="n">
        <v>80.42050462</v>
      </c>
      <c r="H29" s="20" t="n">
        <v>1.89444833</v>
      </c>
      <c r="I29" s="18" t="n">
        <v>0</v>
      </c>
      <c r="J29" s="20" t="n">
        <v>0</v>
      </c>
      <c r="K29" s="18" t="n">
        <v>0.38315085</v>
      </c>
      <c r="L29" s="20" t="n">
        <v>0.27557563</v>
      </c>
      <c r="M29" s="18" t="n">
        <v>0</v>
      </c>
      <c r="N29" s="20" t="n">
        <v>0</v>
      </c>
      <c r="O29" s="18" t="n">
        <v>0</v>
      </c>
      <c r="P29" s="20" t="n">
        <v>0</v>
      </c>
      <c r="Q29" s="18" t="n">
        <v>0.72676914</v>
      </c>
      <c r="R29" s="20" t="n">
        <v>0.40119945</v>
      </c>
    </row>
    <row r="30" spans="1:18">
      <c r="A30" s="15" t="s">
        <v>588</v>
      </c>
      <c r="B30" s="17" t="n">
        <v>4520</v>
      </c>
      <c r="C30" s="18">
        <f>(4040.0/B30*100)</f>
        <v/>
      </c>
      <c r="D30" s="19" t="n">
        <v>480</v>
      </c>
      <c r="E30" s="18" t="n">
        <v>28.5180833</v>
      </c>
      <c r="F30" s="20" t="n">
        <v>1.77999679</v>
      </c>
      <c r="G30" s="18" t="n">
        <v>69.64149994</v>
      </c>
      <c r="H30" s="20" t="n">
        <v>1.80757946</v>
      </c>
      <c r="I30" s="18" t="n">
        <v>0</v>
      </c>
      <c r="J30" s="20" t="n">
        <v>0</v>
      </c>
      <c r="K30" s="18" t="n">
        <v>0.47845721</v>
      </c>
      <c r="L30" s="20" t="n">
        <v>0.32221261</v>
      </c>
      <c r="M30" s="18" t="n">
        <v>0</v>
      </c>
      <c r="N30" s="20" t="n">
        <v>0</v>
      </c>
      <c r="O30" s="18" t="n">
        <v>0</v>
      </c>
      <c r="P30" s="20" t="n">
        <v>0</v>
      </c>
      <c r="Q30" s="18" t="n">
        <v>1.36195955</v>
      </c>
      <c r="R30" s="20" t="n">
        <v>0.51237683</v>
      </c>
    </row>
    <row r="31" spans="1:18">
      <c r="A31" s="15" t="s">
        <v>589</v>
      </c>
      <c r="B31" s="17" t="n">
        <v>5456</v>
      </c>
      <c r="C31" s="18">
        <f>(4846.0/B31*100)</f>
        <v/>
      </c>
      <c r="D31" s="19" t="n">
        <v>610</v>
      </c>
      <c r="E31" s="18" t="n">
        <v>26.62256697</v>
      </c>
      <c r="F31" s="20" t="n">
        <v>2.10071745</v>
      </c>
      <c r="G31" s="18" t="n">
        <v>71.25334506</v>
      </c>
      <c r="H31" s="20" t="n">
        <v>2.11330997</v>
      </c>
      <c r="I31" s="18" t="n">
        <v>0</v>
      </c>
      <c r="J31" s="20" t="n">
        <v>0</v>
      </c>
      <c r="K31" s="18" t="n">
        <v>0.63470209</v>
      </c>
      <c r="L31" s="20" t="n">
        <v>0.3097653</v>
      </c>
      <c r="M31" s="18" t="n">
        <v>0</v>
      </c>
      <c r="N31" s="20" t="n">
        <v>0</v>
      </c>
      <c r="O31" s="18" t="n">
        <v>0</v>
      </c>
      <c r="P31" s="20" t="n">
        <v>0</v>
      </c>
      <c r="Q31" s="18" t="n">
        <v>1.48938589</v>
      </c>
      <c r="R31" s="20" t="n">
        <v>0.47763464</v>
      </c>
    </row>
    <row r="32" spans="1:18">
      <c r="A32" s="15" t="s">
        <v>590</v>
      </c>
      <c r="B32" s="17" t="n">
        <v>4478</v>
      </c>
      <c r="C32" s="18">
        <f>(3980.0/B32*100)</f>
        <v/>
      </c>
      <c r="D32" s="19" t="n">
        <v>498</v>
      </c>
      <c r="E32" s="18" t="n">
        <v>19.08464011</v>
      </c>
      <c r="F32" s="20" t="n">
        <v>2.00279495</v>
      </c>
      <c r="G32" s="18" t="n">
        <v>79.47074932</v>
      </c>
      <c r="H32" s="20" t="n">
        <v>2.11101356</v>
      </c>
      <c r="I32" s="18" t="n">
        <v>0</v>
      </c>
      <c r="J32" s="20" t="n">
        <v>0</v>
      </c>
      <c r="K32" s="18" t="n">
        <v>0.40898396</v>
      </c>
      <c r="L32" s="20" t="n">
        <v>0.30335414</v>
      </c>
      <c r="M32" s="18" t="n">
        <v>0</v>
      </c>
      <c r="N32" s="20" t="n">
        <v>0</v>
      </c>
      <c r="O32" s="18" t="n">
        <v>0</v>
      </c>
      <c r="P32" s="20" t="n">
        <v>0</v>
      </c>
      <c r="Q32" s="18" t="n">
        <v>1.03562662</v>
      </c>
      <c r="R32" s="20" t="n">
        <v>0.46182128</v>
      </c>
    </row>
    <row r="33" spans="1:18">
      <c r="A33" s="15" t="s">
        <v>591</v>
      </c>
      <c r="B33" s="17" t="n">
        <v>7325</v>
      </c>
      <c r="C33" s="18">
        <f>(6537.0/B33*100)</f>
        <v/>
      </c>
      <c r="D33" s="19" t="n">
        <v>788</v>
      </c>
      <c r="E33" s="18" t="n">
        <v>20.4637756</v>
      </c>
      <c r="F33" s="20" t="n">
        <v>1.64689439</v>
      </c>
      <c r="G33" s="18" t="n">
        <v>78.9819273</v>
      </c>
      <c r="H33" s="20" t="n">
        <v>1.60407428</v>
      </c>
      <c r="I33" s="18" t="n">
        <v>0</v>
      </c>
      <c r="J33" s="20" t="n">
        <v>0</v>
      </c>
      <c r="K33" s="18" t="n">
        <v>0.16944869</v>
      </c>
      <c r="L33" s="20" t="n">
        <v>0.17655753</v>
      </c>
      <c r="M33" s="18" t="n">
        <v>0</v>
      </c>
      <c r="N33" s="20" t="n">
        <v>0</v>
      </c>
      <c r="O33" s="18" t="n">
        <v>0</v>
      </c>
      <c r="P33" s="20" t="n">
        <v>0</v>
      </c>
      <c r="Q33" s="18" t="n">
        <v>0.38484842</v>
      </c>
      <c r="R33" s="20" t="n">
        <v>0.34349304</v>
      </c>
    </row>
    <row r="34" spans="1:18">
      <c r="A34" s="15" t="s">
        <v>592</v>
      </c>
      <c r="B34" s="17" t="n">
        <v>6350</v>
      </c>
      <c r="C34" s="18">
        <f>(5510.0/B34*100)</f>
        <v/>
      </c>
      <c r="D34" s="19" t="n">
        <v>840</v>
      </c>
      <c r="E34" s="18" t="n">
        <v>40.81674289</v>
      </c>
      <c r="F34" s="20" t="n">
        <v>1.91452544</v>
      </c>
      <c r="G34" s="18" t="n">
        <v>58.42119124</v>
      </c>
      <c r="H34" s="20" t="n">
        <v>2.0089647</v>
      </c>
      <c r="I34" s="18" t="n">
        <v>0</v>
      </c>
      <c r="J34" s="20" t="n">
        <v>0</v>
      </c>
      <c r="K34" s="18" t="n">
        <v>0.092627</v>
      </c>
      <c r="L34" s="20" t="n">
        <v>0.09240874</v>
      </c>
      <c r="M34" s="18" t="n">
        <v>0</v>
      </c>
      <c r="N34" s="20" t="n">
        <v>0</v>
      </c>
      <c r="O34" s="18" t="n">
        <v>0</v>
      </c>
      <c r="P34" s="20" t="n">
        <v>0</v>
      </c>
      <c r="Q34" s="18" t="n">
        <v>0.66943887</v>
      </c>
      <c r="R34" s="20" t="n">
        <v>0.31322091</v>
      </c>
    </row>
    <row r="35" spans="1:18">
      <c r="A35" s="15" t="s">
        <v>593</v>
      </c>
      <c r="B35" s="17" t="n">
        <v>6406</v>
      </c>
      <c r="C35" s="18">
        <f>(5566.0/B35*100)</f>
        <v/>
      </c>
      <c r="D35" s="19" t="n">
        <v>840</v>
      </c>
      <c r="E35" s="18" t="n">
        <v>28.55704365</v>
      </c>
      <c r="F35" s="20" t="n">
        <v>2.11915608</v>
      </c>
      <c r="G35" s="18" t="n">
        <v>70.78788135000001</v>
      </c>
      <c r="H35" s="20" t="n">
        <v>2.06966509</v>
      </c>
      <c r="I35" s="18" t="n">
        <v>0</v>
      </c>
      <c r="J35" s="20" t="n">
        <v>0</v>
      </c>
      <c r="K35" s="18" t="n">
        <v>0</v>
      </c>
      <c r="L35" s="20" t="n">
        <v>0</v>
      </c>
      <c r="M35" s="18" t="n">
        <v>0</v>
      </c>
      <c r="N35" s="20" t="n">
        <v>0</v>
      </c>
      <c r="O35" s="18" t="n">
        <v>0</v>
      </c>
      <c r="P35" s="20" t="n">
        <v>0</v>
      </c>
      <c r="Q35" s="18" t="n">
        <v>0.655075</v>
      </c>
      <c r="R35" s="20" t="n">
        <v>0.23470494</v>
      </c>
    </row>
    <row r="36" spans="1:18">
      <c r="A36" s="15" t="s">
        <v>594</v>
      </c>
      <c r="B36" s="17" t="n">
        <v>6736</v>
      </c>
      <c r="C36" s="18">
        <f>(6030.0/B36*100)</f>
        <v/>
      </c>
      <c r="D36" s="19" t="n">
        <v>706</v>
      </c>
      <c r="E36" s="18" t="n">
        <v>23.3395768</v>
      </c>
      <c r="F36" s="20" t="n">
        <v>1.54408431</v>
      </c>
      <c r="G36" s="18" t="n">
        <v>76.30836164</v>
      </c>
      <c r="H36" s="20" t="n">
        <v>1.54870138</v>
      </c>
      <c r="I36" s="18" t="n">
        <v>0</v>
      </c>
      <c r="J36" s="20" t="n">
        <v>0</v>
      </c>
      <c r="K36" s="18" t="n">
        <v>0.08138293000000001</v>
      </c>
      <c r="L36" s="20" t="n">
        <v>0.07436457</v>
      </c>
      <c r="M36" s="18" t="n">
        <v>0</v>
      </c>
      <c r="N36" s="20" t="n">
        <v>0</v>
      </c>
      <c r="O36" s="18" t="n">
        <v>0</v>
      </c>
      <c r="P36" s="20" t="n">
        <v>0</v>
      </c>
      <c r="Q36" s="18" t="n">
        <v>0.27067863</v>
      </c>
      <c r="R36" s="20" t="n">
        <v>0.19405793</v>
      </c>
    </row>
    <row r="37" spans="1:18">
      <c r="A37" s="15" t="s">
        <v>595</v>
      </c>
      <c r="B37" s="17" t="n">
        <v>5458</v>
      </c>
      <c r="C37" s="18">
        <f>(4867.0/B37*100)</f>
        <v/>
      </c>
      <c r="D37" s="19" t="n">
        <v>591</v>
      </c>
      <c r="E37" s="18" t="n">
        <v>23.22681533</v>
      </c>
      <c r="F37" s="20" t="n">
        <v>1.93036298</v>
      </c>
      <c r="G37" s="18" t="n">
        <v>74.08947951</v>
      </c>
      <c r="H37" s="20" t="n">
        <v>1.94661827</v>
      </c>
      <c r="I37" s="18" t="n">
        <v>0</v>
      </c>
      <c r="J37" s="20" t="n">
        <v>0</v>
      </c>
      <c r="K37" s="18" t="n">
        <v>1.02187609</v>
      </c>
      <c r="L37" s="20" t="n">
        <v>0.44794865</v>
      </c>
      <c r="M37" s="18" t="n">
        <v>0</v>
      </c>
      <c r="N37" s="20" t="n">
        <v>0</v>
      </c>
      <c r="O37" s="18" t="n">
        <v>0</v>
      </c>
      <c r="P37" s="20" t="n">
        <v>0</v>
      </c>
      <c r="Q37" s="18" t="n">
        <v>1.66182907</v>
      </c>
      <c r="R37" s="20" t="n">
        <v>0.4574772</v>
      </c>
    </row>
    <row r="38" spans="1:18">
      <c r="A38" s="15" t="s">
        <v>596</v>
      </c>
      <c r="B38" s="17" t="n">
        <v>5860</v>
      </c>
      <c r="C38" s="18">
        <f>(5223.0/B38*100)</f>
        <v/>
      </c>
      <c r="D38" s="19" t="n">
        <v>637</v>
      </c>
      <c r="E38" s="18" t="n">
        <v>21.57379184</v>
      </c>
      <c r="F38" s="20" t="n">
        <v>1.70988166</v>
      </c>
      <c r="G38" s="18" t="n">
        <v>77.81037153</v>
      </c>
      <c r="H38" s="20" t="n">
        <v>1.72277441</v>
      </c>
      <c r="I38" s="18" t="n">
        <v>0</v>
      </c>
      <c r="J38" s="20" t="n">
        <v>0</v>
      </c>
      <c r="K38" s="18" t="n">
        <v>0.13338867</v>
      </c>
      <c r="L38" s="20" t="n">
        <v>0.13317726</v>
      </c>
      <c r="M38" s="18" t="n">
        <v>0</v>
      </c>
      <c r="N38" s="20" t="n">
        <v>0</v>
      </c>
      <c r="O38" s="18" t="n">
        <v>0</v>
      </c>
      <c r="P38" s="20" t="n">
        <v>0</v>
      </c>
      <c r="Q38" s="18" t="n">
        <v>0.48244796</v>
      </c>
      <c r="R38" s="20" t="n">
        <v>0.28189468</v>
      </c>
    </row>
    <row r="39" spans="1:18">
      <c r="A39" s="15" t="s">
        <v>597</v>
      </c>
      <c r="B39" s="17" t="n">
        <v>5895</v>
      </c>
      <c r="C39" s="18">
        <f>(5224.0/B39*100)</f>
        <v/>
      </c>
      <c r="D39" s="19" t="n">
        <v>671</v>
      </c>
      <c r="E39" s="18" t="n">
        <v>25.49039808</v>
      </c>
      <c r="F39" s="20" t="n">
        <v>1.56480609</v>
      </c>
      <c r="G39" s="18" t="n">
        <v>73.63352865</v>
      </c>
      <c r="H39" s="20" t="n">
        <v>1.63881006</v>
      </c>
      <c r="I39" s="18" t="n">
        <v>0</v>
      </c>
      <c r="J39" s="20" t="n">
        <v>0</v>
      </c>
      <c r="K39" s="18" t="n">
        <v>0.52451476</v>
      </c>
      <c r="L39" s="20" t="n">
        <v>0.29646721</v>
      </c>
      <c r="M39" s="18" t="n">
        <v>0</v>
      </c>
      <c r="N39" s="20" t="n">
        <v>0</v>
      </c>
      <c r="O39" s="18" t="n">
        <v>0</v>
      </c>
      <c r="P39" s="20" t="n">
        <v>0</v>
      </c>
      <c r="Q39" s="18" t="n">
        <v>0.35155851</v>
      </c>
      <c r="R39" s="20" t="n">
        <v>0.31012152</v>
      </c>
    </row>
    <row r="40" spans="1:18">
      <c r="A40" s="15" t="s">
        <v>598</v>
      </c>
      <c r="B40" s="17" t="n">
        <v>14157</v>
      </c>
      <c r="C40" s="18">
        <f>(12622.0/B40*100)</f>
        <v/>
      </c>
      <c r="D40" s="19" t="n">
        <v>1535</v>
      </c>
      <c r="E40" s="18" t="n">
        <v>20.12262626</v>
      </c>
      <c r="F40" s="20" t="n">
        <v>1.46327364</v>
      </c>
      <c r="G40" s="18" t="n">
        <v>78.75622389</v>
      </c>
      <c r="H40" s="20" t="n">
        <v>1.54189429</v>
      </c>
      <c r="I40" s="18" t="n">
        <v>0</v>
      </c>
      <c r="J40" s="20" t="n">
        <v>0</v>
      </c>
      <c r="K40" s="18" t="n">
        <v>0.0369915</v>
      </c>
      <c r="L40" s="20" t="n">
        <v>0.02687938</v>
      </c>
      <c r="M40" s="18" t="n">
        <v>0</v>
      </c>
      <c r="N40" s="20" t="n">
        <v>0</v>
      </c>
      <c r="O40" s="18" t="n">
        <v>0</v>
      </c>
      <c r="P40" s="20" t="n">
        <v>0</v>
      </c>
      <c r="Q40" s="18" t="n">
        <v>1.08415834</v>
      </c>
      <c r="R40" s="20" t="n">
        <v>0.41517236</v>
      </c>
    </row>
    <row r="41" spans="1:18">
      <c r="A41" s="15" t="s">
        <v>599</v>
      </c>
      <c r="B41" s="17" t="n">
        <v>5712</v>
      </c>
      <c r="C41" s="18">
        <f>(5058.0/B41*100)</f>
        <v/>
      </c>
      <c r="D41" s="19" t="n">
        <v>654</v>
      </c>
      <c r="E41" s="18" t="n">
        <v>29.41065303</v>
      </c>
      <c r="F41" s="20" t="n">
        <v>1.78864378</v>
      </c>
      <c r="G41" s="18" t="n">
        <v>70.06305393</v>
      </c>
      <c r="H41" s="20" t="n">
        <v>1.75463594</v>
      </c>
      <c r="I41" s="18" t="n">
        <v>0</v>
      </c>
      <c r="J41" s="20" t="n">
        <v>0</v>
      </c>
      <c r="K41" s="18" t="n">
        <v>0.37704156</v>
      </c>
      <c r="L41" s="20" t="n">
        <v>0.26293411</v>
      </c>
      <c r="M41" s="18" t="n">
        <v>0</v>
      </c>
      <c r="N41" s="20" t="n">
        <v>0</v>
      </c>
      <c r="O41" s="18" t="n">
        <v>0</v>
      </c>
      <c r="P41" s="20" t="n">
        <v>0</v>
      </c>
      <c r="Q41" s="18" t="n">
        <v>0.14925148</v>
      </c>
      <c r="R41" s="20" t="n">
        <v>0.15819803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(20769.0/B46*100)</f>
        <v/>
      </c>
      <c r="D46" s="19" t="n">
        <v>2372</v>
      </c>
      <c r="E46" s="18" t="n">
        <v>40.82947198</v>
      </c>
      <c r="F46" s="20" t="n">
        <v>1.30780135</v>
      </c>
      <c r="G46" s="18" t="n">
        <v>56.92839182</v>
      </c>
      <c r="H46" s="20" t="n">
        <v>1.39104618</v>
      </c>
      <c r="I46" s="18" t="n">
        <v>0</v>
      </c>
      <c r="J46" s="20" t="n">
        <v>0</v>
      </c>
      <c r="K46" s="18" t="n">
        <v>0.3564844</v>
      </c>
      <c r="L46" s="20" t="n">
        <v>0.12713596</v>
      </c>
      <c r="M46" s="18" t="n">
        <v>0</v>
      </c>
      <c r="N46" s="20" t="n">
        <v>0</v>
      </c>
      <c r="O46" s="18" t="n">
        <v>0</v>
      </c>
      <c r="P46" s="20" t="n">
        <v>0</v>
      </c>
      <c r="Q46" s="18" t="n">
        <v>1.8856518</v>
      </c>
      <c r="R46" s="20" t="n">
        <v>0.38214434</v>
      </c>
    </row>
    <row r="47" spans="1:18">
      <c r="A47" s="15" t="s">
        <v>606</v>
      </c>
      <c r="B47" s="17" t="n">
        <v>5928</v>
      </c>
      <c r="C47" s="18">
        <f>(5284.0/B47*100)</f>
        <v/>
      </c>
      <c r="D47" s="19" t="n">
        <v>644</v>
      </c>
      <c r="E47" s="18" t="n">
        <v>28.04649257</v>
      </c>
      <c r="F47" s="20" t="n">
        <v>1.83163131</v>
      </c>
      <c r="G47" s="18" t="n">
        <v>69.82202132</v>
      </c>
      <c r="H47" s="20" t="n">
        <v>1.95307945</v>
      </c>
      <c r="I47" s="18" t="n">
        <v>0</v>
      </c>
      <c r="J47" s="20" t="n">
        <v>0</v>
      </c>
      <c r="K47" s="18" t="n">
        <v>0.29453349</v>
      </c>
      <c r="L47" s="20" t="n">
        <v>0.2088256</v>
      </c>
      <c r="M47" s="18" t="n">
        <v>0</v>
      </c>
      <c r="N47" s="20" t="n">
        <v>0</v>
      </c>
      <c r="O47" s="18" t="n">
        <v>0</v>
      </c>
      <c r="P47" s="20" t="n">
        <v>0</v>
      </c>
      <c r="Q47" s="18" t="n">
        <v>1.83695262</v>
      </c>
      <c r="R47" s="20" t="n">
        <v>0.57752626</v>
      </c>
    </row>
    <row r="48" spans="1:18">
      <c r="A48" s="15" t="s">
        <v>607</v>
      </c>
      <c r="B48" s="17" t="n">
        <v>9841</v>
      </c>
      <c r="C48" s="18">
        <f>(8730.0/B48*100)</f>
        <v/>
      </c>
      <c r="D48" s="19" t="n">
        <v>1111</v>
      </c>
      <c r="E48" s="18" t="n">
        <v>52.94047329</v>
      </c>
      <c r="F48" s="20" t="n">
        <v>2.18734112</v>
      </c>
      <c r="G48" s="18" t="n">
        <v>46.12349798</v>
      </c>
      <c r="H48" s="20" t="n">
        <v>2.26179748</v>
      </c>
      <c r="I48" s="18" t="n">
        <v>0</v>
      </c>
      <c r="J48" s="20" t="n">
        <v>0</v>
      </c>
      <c r="K48" s="18" t="n">
        <v>0.78380724</v>
      </c>
      <c r="L48" s="20" t="n">
        <v>0.42188051</v>
      </c>
      <c r="M48" s="18" t="n">
        <v>0</v>
      </c>
      <c r="N48" s="20" t="n">
        <v>0</v>
      </c>
      <c r="O48" s="18" t="n">
        <v>0</v>
      </c>
      <c r="P48" s="20" t="n">
        <v>0</v>
      </c>
      <c r="Q48" s="18" t="n">
        <v>0.15222149</v>
      </c>
      <c r="R48" s="20" t="n">
        <v>0.15269839</v>
      </c>
    </row>
    <row r="49" spans="1:18">
      <c r="A49" s="15" t="s">
        <v>608</v>
      </c>
      <c r="B49" s="17" t="n">
        <v>11795</v>
      </c>
      <c r="C49" s="18">
        <f>(10479.0/B49*100)</f>
        <v/>
      </c>
      <c r="D49" s="19" t="n">
        <v>1316</v>
      </c>
      <c r="E49" s="18" t="n">
        <v>48.16256922</v>
      </c>
      <c r="F49" s="20" t="n">
        <v>1.84615322</v>
      </c>
      <c r="G49" s="18" t="n">
        <v>49.62158076</v>
      </c>
      <c r="H49" s="20" t="n">
        <v>1.85805768</v>
      </c>
      <c r="I49" s="18" t="n">
        <v>0</v>
      </c>
      <c r="J49" s="20" t="n">
        <v>0</v>
      </c>
      <c r="K49" s="18" t="n">
        <v>1.12909917</v>
      </c>
      <c r="L49" s="20" t="n">
        <v>0.46671362</v>
      </c>
      <c r="M49" s="18" t="n">
        <v>0</v>
      </c>
      <c r="N49" s="20" t="n">
        <v>0</v>
      </c>
      <c r="O49" s="18" t="n">
        <v>0</v>
      </c>
      <c r="P49" s="20" t="n">
        <v>0</v>
      </c>
      <c r="Q49" s="18" t="n">
        <v>1.08675085</v>
      </c>
      <c r="R49" s="20" t="n">
        <v>0.33975721</v>
      </c>
    </row>
    <row r="50" spans="1:18">
      <c r="A50" s="15" t="s">
        <v>609</v>
      </c>
      <c r="B50" s="17" t="n">
        <v>6866</v>
      </c>
      <c r="C50" s="18">
        <f>(5486.0/B50*100)</f>
        <v/>
      </c>
      <c r="D50" s="19" t="n">
        <v>1380</v>
      </c>
      <c r="E50" s="18" t="n">
        <v>44.98451383</v>
      </c>
      <c r="F50" s="20" t="n">
        <v>1.6446294</v>
      </c>
      <c r="G50" s="18" t="n">
        <v>53.49108383</v>
      </c>
      <c r="H50" s="20" t="n">
        <v>1.68426763</v>
      </c>
      <c r="I50" s="18" t="n">
        <v>0</v>
      </c>
      <c r="J50" s="20" t="n">
        <v>0</v>
      </c>
      <c r="K50" s="18" t="n">
        <v>0.29798121</v>
      </c>
      <c r="L50" s="20" t="n">
        <v>0.16523473</v>
      </c>
      <c r="M50" s="18" t="n">
        <v>0</v>
      </c>
      <c r="N50" s="20" t="n">
        <v>0</v>
      </c>
      <c r="O50" s="18" t="n">
        <v>0</v>
      </c>
      <c r="P50" s="20" t="n">
        <v>0</v>
      </c>
      <c r="Q50" s="18" t="n">
        <v>1.22642113</v>
      </c>
      <c r="R50" s="20" t="n">
        <v>0.32907239</v>
      </c>
    </row>
    <row r="51" spans="1:18">
      <c r="A51" s="15" t="s">
        <v>610</v>
      </c>
      <c r="B51" s="17" t="n">
        <v>5809</v>
      </c>
      <c r="C51" s="18">
        <f>(5115.0/B51*100)</f>
        <v/>
      </c>
      <c r="D51" s="19" t="n">
        <v>694</v>
      </c>
      <c r="E51" s="18" t="n">
        <v>28.58483363</v>
      </c>
      <c r="F51" s="20" t="n">
        <v>1.76083019</v>
      </c>
      <c r="G51" s="18" t="n">
        <v>70.33231600000001</v>
      </c>
      <c r="H51" s="20" t="n">
        <v>1.843299</v>
      </c>
      <c r="I51" s="18" t="n">
        <v>0</v>
      </c>
      <c r="J51" s="20" t="n">
        <v>0</v>
      </c>
      <c r="K51" s="18" t="n">
        <v>0</v>
      </c>
      <c r="L51" s="20" t="n">
        <v>0</v>
      </c>
      <c r="M51" s="18" t="n">
        <v>0</v>
      </c>
      <c r="N51" s="20" t="n">
        <v>0</v>
      </c>
      <c r="O51" s="18" t="n">
        <v>0</v>
      </c>
      <c r="P51" s="20" t="n">
        <v>0</v>
      </c>
      <c r="Q51" s="18" t="n">
        <v>1.08285037</v>
      </c>
      <c r="R51" s="20" t="n">
        <v>0.46239763</v>
      </c>
    </row>
    <row r="52" spans="1:18">
      <c r="A52" s="15" t="s">
        <v>611</v>
      </c>
      <c r="B52" s="17" t="n">
        <v>5571</v>
      </c>
      <c r="C52" s="18">
        <f>(4978.0/B52*100)</f>
        <v/>
      </c>
      <c r="D52" s="19" t="n">
        <v>593</v>
      </c>
      <c r="E52" s="18" t="n">
        <v>39.06992374</v>
      </c>
      <c r="F52" s="20" t="n">
        <v>2.12403812</v>
      </c>
      <c r="G52" s="18" t="n">
        <v>58.10536681</v>
      </c>
      <c r="H52" s="20" t="n">
        <v>2.0686853</v>
      </c>
      <c r="I52" s="18" t="n">
        <v>0</v>
      </c>
      <c r="J52" s="20" t="n">
        <v>0</v>
      </c>
      <c r="K52" s="18" t="n">
        <v>0.35642007</v>
      </c>
      <c r="L52" s="20" t="n">
        <v>0.20585748</v>
      </c>
      <c r="M52" s="18" t="n">
        <v>0</v>
      </c>
      <c r="N52" s="20" t="n">
        <v>0</v>
      </c>
      <c r="O52" s="18" t="n">
        <v>0</v>
      </c>
      <c r="P52" s="20" t="n">
        <v>0</v>
      </c>
      <c r="Q52" s="18" t="n">
        <v>2.46828937</v>
      </c>
      <c r="R52" s="20" t="n">
        <v>0.6599595700000001</v>
      </c>
    </row>
    <row r="53" spans="1:18">
      <c r="A53" s="15" t="s">
        <v>612</v>
      </c>
      <c r="B53" s="17" t="n">
        <v>4740</v>
      </c>
      <c r="C53" s="18">
        <f>(4226.0/B53*100)</f>
        <v/>
      </c>
      <c r="D53" s="19" t="n">
        <v>514</v>
      </c>
      <c r="E53" s="18" t="n">
        <v>54.80875662</v>
      </c>
      <c r="F53" s="20" t="n">
        <v>2.64783797</v>
      </c>
      <c r="G53" s="18" t="n">
        <v>34.02396791</v>
      </c>
      <c r="H53" s="20" t="n">
        <v>2.52582061</v>
      </c>
      <c r="I53" s="18" t="n">
        <v>0</v>
      </c>
      <c r="J53" s="20" t="n">
        <v>0</v>
      </c>
      <c r="K53" s="18" t="n">
        <v>7.54367711</v>
      </c>
      <c r="L53" s="20" t="n">
        <v>1.37066086</v>
      </c>
      <c r="M53" s="18" t="n">
        <v>0</v>
      </c>
      <c r="N53" s="20" t="n">
        <v>0</v>
      </c>
      <c r="O53" s="18" t="n">
        <v>0</v>
      </c>
      <c r="P53" s="20" t="n">
        <v>0</v>
      </c>
      <c r="Q53" s="18" t="n">
        <v>3.62359836</v>
      </c>
      <c r="R53" s="20" t="n">
        <v>0.83584021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(4734.0/B55*100)</f>
        <v/>
      </c>
      <c r="D55" s="19" t="n">
        <v>625</v>
      </c>
      <c r="E55" s="18" t="n">
        <v>30.81061697</v>
      </c>
      <c r="F55" s="20" t="n">
        <v>2.21095593</v>
      </c>
      <c r="G55" s="18" t="n">
        <v>67.54420225</v>
      </c>
      <c r="H55" s="20" t="n">
        <v>2.20999874</v>
      </c>
      <c r="I55" s="18" t="n">
        <v>0</v>
      </c>
      <c r="J55" s="20" t="n">
        <v>0</v>
      </c>
      <c r="K55" s="18" t="n">
        <v>0.30628866</v>
      </c>
      <c r="L55" s="20" t="n">
        <v>0.22021058</v>
      </c>
      <c r="M55" s="18" t="n">
        <v>0</v>
      </c>
      <c r="N55" s="20" t="n">
        <v>0</v>
      </c>
      <c r="O55" s="18" t="n">
        <v>0</v>
      </c>
      <c r="P55" s="20" t="n">
        <v>0</v>
      </c>
      <c r="Q55" s="18" t="n">
        <v>1.33889211</v>
      </c>
      <c r="R55" s="20" t="n">
        <v>0.36387387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(5759.0/B61*100)</f>
        <v/>
      </c>
      <c r="D61" s="19" t="n">
        <v>766</v>
      </c>
      <c r="E61" s="18" t="n">
        <v>54.38170089</v>
      </c>
      <c r="F61" s="20" t="n">
        <v>2.0549173</v>
      </c>
      <c r="G61" s="18" t="n">
        <v>45.3275782</v>
      </c>
      <c r="H61" s="20" t="n">
        <v>2.06425279</v>
      </c>
      <c r="I61" s="18" t="n">
        <v>0</v>
      </c>
      <c r="J61" s="20" t="n">
        <v>0</v>
      </c>
      <c r="K61" s="18" t="n">
        <v>0.03119944</v>
      </c>
      <c r="L61" s="20" t="n">
        <v>0.03127363</v>
      </c>
      <c r="M61" s="18" t="n">
        <v>0</v>
      </c>
      <c r="N61" s="20" t="n">
        <v>0</v>
      </c>
      <c r="O61" s="18" t="n">
        <v>0</v>
      </c>
      <c r="P61" s="20" t="n">
        <v>0</v>
      </c>
      <c r="Q61" s="18" t="n">
        <v>0.25952148</v>
      </c>
      <c r="R61" s="20" t="n">
        <v>0.16772441</v>
      </c>
    </row>
    <row r="62" spans="1:18">
      <c r="A62" s="15" t="s">
        <v>622</v>
      </c>
      <c r="B62" s="17" t="n">
        <v>4476</v>
      </c>
      <c r="C62" s="18">
        <f>(4001.0/B62*100)</f>
        <v/>
      </c>
      <c r="D62" s="19" t="n">
        <v>475</v>
      </c>
      <c r="E62" s="18" t="n">
        <v>38.11504422</v>
      </c>
      <c r="F62" s="20" t="n">
        <v>2.28064993</v>
      </c>
      <c r="G62" s="18" t="n">
        <v>61.67334189</v>
      </c>
      <c r="H62" s="20" t="n">
        <v>2.27817498</v>
      </c>
      <c r="I62" s="18" t="n">
        <v>0</v>
      </c>
      <c r="J62" s="20" t="n">
        <v>0</v>
      </c>
      <c r="K62" s="18" t="n">
        <v>0</v>
      </c>
      <c r="L62" s="20" t="n">
        <v>0</v>
      </c>
      <c r="M62" s="18" t="n">
        <v>0</v>
      </c>
      <c r="N62" s="20" t="n">
        <v>0</v>
      </c>
      <c r="O62" s="18" t="n">
        <v>0</v>
      </c>
      <c r="P62" s="20" t="n">
        <v>0</v>
      </c>
      <c r="Q62" s="18" t="n">
        <v>0.21161389</v>
      </c>
      <c r="R62" s="20" t="n">
        <v>0.21284314</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(5019.0/B67*100)</f>
        <v/>
      </c>
      <c r="D67" s="19" t="n">
        <v>646</v>
      </c>
      <c r="E67" s="18" t="n">
        <v>35.38003295</v>
      </c>
      <c r="F67" s="20" t="n">
        <v>1.87248352</v>
      </c>
      <c r="G67" s="18" t="n">
        <v>61.27828718</v>
      </c>
      <c r="H67" s="20" t="n">
        <v>1.97044526</v>
      </c>
      <c r="I67" s="18" t="n">
        <v>0</v>
      </c>
      <c r="J67" s="20" t="n">
        <v>0</v>
      </c>
      <c r="K67" s="18" t="n">
        <v>0.56085134</v>
      </c>
      <c r="L67" s="20" t="n">
        <v>0.27663954</v>
      </c>
      <c r="M67" s="18" t="n">
        <v>0</v>
      </c>
      <c r="N67" s="20" t="n">
        <v>0</v>
      </c>
      <c r="O67" s="18" t="n">
        <v>0</v>
      </c>
      <c r="P67" s="20" t="n">
        <v>0</v>
      </c>
      <c r="Q67" s="18" t="n">
        <v>2.78082853</v>
      </c>
      <c r="R67" s="20" t="n">
        <v>0.69782699</v>
      </c>
    </row>
    <row r="68" spans="1:18">
      <c r="A68" s="15" t="s">
        <v>628</v>
      </c>
      <c r="B68" s="17" t="n">
        <v>6971</v>
      </c>
      <c r="C68" s="18">
        <f>(6224.0/B68*100)</f>
        <v/>
      </c>
      <c r="D68" s="19" t="n">
        <v>747</v>
      </c>
      <c r="E68" s="18" t="n">
        <v>49.4945838</v>
      </c>
      <c r="F68" s="20" t="n">
        <v>1.83191791</v>
      </c>
      <c r="G68" s="18" t="n">
        <v>49.39778085</v>
      </c>
      <c r="H68" s="20" t="n">
        <v>1.84085647</v>
      </c>
      <c r="I68" s="18" t="n">
        <v>0</v>
      </c>
      <c r="J68" s="20" t="n">
        <v>0</v>
      </c>
      <c r="K68" s="18" t="n">
        <v>0</v>
      </c>
      <c r="L68" s="20" t="n">
        <v>0</v>
      </c>
      <c r="M68" s="18" t="n">
        <v>0</v>
      </c>
      <c r="N68" s="20" t="n">
        <v>0</v>
      </c>
      <c r="O68" s="18" t="n">
        <v>0</v>
      </c>
      <c r="P68" s="20" t="n">
        <v>0</v>
      </c>
      <c r="Q68" s="18" t="n">
        <v>1.10763535</v>
      </c>
      <c r="R68" s="20" t="n">
        <v>0.37390213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(10768.0/B70*100)</f>
        <v/>
      </c>
      <c r="D70" s="19" t="n">
        <v>1315</v>
      </c>
      <c r="E70" s="18" t="n">
        <v>38.61015603</v>
      </c>
      <c r="F70" s="20" t="n">
        <v>1.35672204</v>
      </c>
      <c r="G70" s="18" t="n">
        <v>58.94612604</v>
      </c>
      <c r="H70" s="20" t="n">
        <v>1.38509864</v>
      </c>
      <c r="I70" s="18" t="n">
        <v>0</v>
      </c>
      <c r="J70" s="20" t="n">
        <v>0</v>
      </c>
      <c r="K70" s="18" t="n">
        <v>1.30284607</v>
      </c>
      <c r="L70" s="20" t="n">
        <v>0.31192156</v>
      </c>
      <c r="M70" s="18" t="n">
        <v>0</v>
      </c>
      <c r="N70" s="20" t="n">
        <v>0</v>
      </c>
      <c r="O70" s="18" t="n">
        <v>0</v>
      </c>
      <c r="P70" s="20" t="n">
        <v>0</v>
      </c>
      <c r="Q70" s="18" t="n">
        <v>1.14087185</v>
      </c>
      <c r="R70" s="20" t="n">
        <v>0.25324398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(5364.0/B72*100)</f>
        <v/>
      </c>
      <c r="D72" s="19" t="n">
        <v>672</v>
      </c>
      <c r="E72" s="18" t="n">
        <v>37.41510725</v>
      </c>
      <c r="F72" s="20" t="n">
        <v>2.21684587</v>
      </c>
      <c r="G72" s="18" t="n">
        <v>62.17215568</v>
      </c>
      <c r="H72" s="20" t="n">
        <v>2.23782783</v>
      </c>
      <c r="I72" s="18" t="n">
        <v>0</v>
      </c>
      <c r="J72" s="20" t="n">
        <v>0</v>
      </c>
      <c r="K72" s="18" t="n">
        <v>0</v>
      </c>
      <c r="L72" s="20" t="n">
        <v>0</v>
      </c>
      <c r="M72" s="18" t="n">
        <v>0</v>
      </c>
      <c r="N72" s="20" t="n">
        <v>0</v>
      </c>
      <c r="O72" s="18" t="n">
        <v>0</v>
      </c>
      <c r="P72" s="20" t="n">
        <v>0</v>
      </c>
      <c r="Q72" s="18" t="n">
        <v>0.41273707</v>
      </c>
      <c r="R72" s="20" t="n">
        <v>0.2116502</v>
      </c>
    </row>
    <row r="73" spans="1:18">
      <c r="A73" s="15" t="s">
        <v>633</v>
      </c>
      <c r="B73" s="17" t="n">
        <v>6115</v>
      </c>
      <c r="C73" s="18">
        <f>(5459.0/B73*100)</f>
        <v/>
      </c>
      <c r="D73" s="19" t="n">
        <v>656</v>
      </c>
      <c r="E73" s="18" t="n">
        <v>9.886797169999999</v>
      </c>
      <c r="F73" s="20" t="n">
        <v>1.05401589</v>
      </c>
      <c r="G73" s="18" t="n">
        <v>89.78945705</v>
      </c>
      <c r="H73" s="20" t="n">
        <v>1.06814063</v>
      </c>
      <c r="I73" s="18" t="n">
        <v>0</v>
      </c>
      <c r="J73" s="20" t="n">
        <v>0</v>
      </c>
      <c r="K73" s="18" t="n">
        <v>0</v>
      </c>
      <c r="L73" s="20" t="n">
        <v>0</v>
      </c>
      <c r="M73" s="18" t="n">
        <v>0</v>
      </c>
      <c r="N73" s="20" t="n">
        <v>0</v>
      </c>
      <c r="O73" s="18" t="n">
        <v>0</v>
      </c>
      <c r="P73" s="20" t="n">
        <v>0</v>
      </c>
      <c r="Q73" s="18" t="n">
        <v>0.32374578</v>
      </c>
      <c r="R73" s="20" t="n">
        <v>0.22906095</v>
      </c>
    </row>
    <row r="74" spans="1:18">
      <c r="A74" s="15" t="s">
        <v>634</v>
      </c>
      <c r="B74" s="17" t="n">
        <v>7708</v>
      </c>
      <c r="C74" s="18">
        <f>(6844.0/B74*100)</f>
        <v/>
      </c>
      <c r="D74" s="19" t="n">
        <v>864</v>
      </c>
      <c r="E74" s="18" t="n">
        <v>47.50907408</v>
      </c>
      <c r="F74" s="20" t="n">
        <v>1.91762849</v>
      </c>
      <c r="G74" s="18" t="n">
        <v>51.68044222</v>
      </c>
      <c r="H74" s="20" t="n">
        <v>1.8820618</v>
      </c>
      <c r="I74" s="18" t="n">
        <v>0</v>
      </c>
      <c r="J74" s="20" t="n">
        <v>0</v>
      </c>
      <c r="K74" s="18" t="n">
        <v>0.24428879</v>
      </c>
      <c r="L74" s="20" t="n">
        <v>0.1838958</v>
      </c>
      <c r="M74" s="18" t="n">
        <v>0</v>
      </c>
      <c r="N74" s="20" t="n">
        <v>0</v>
      </c>
      <c r="O74" s="18" t="n">
        <v>0</v>
      </c>
      <c r="P74" s="20" t="n">
        <v>0</v>
      </c>
      <c r="Q74" s="18" t="n">
        <v>0.56619491</v>
      </c>
      <c r="R74" s="20" t="n">
        <v>0.25956153</v>
      </c>
    </row>
    <row r="75" spans="1:18">
      <c r="A75" s="15" t="s">
        <v>635</v>
      </c>
      <c r="B75" s="17" t="n">
        <v>8249</v>
      </c>
      <c r="C75" s="18">
        <f>(7344.0/B75*100)</f>
        <v/>
      </c>
      <c r="D75" s="19" t="n">
        <v>905</v>
      </c>
      <c r="E75" s="18" t="n">
        <v>43.4790075</v>
      </c>
      <c r="F75" s="20" t="n">
        <v>1.72083786</v>
      </c>
      <c r="G75" s="18" t="n">
        <v>55.77467352</v>
      </c>
      <c r="H75" s="20" t="n">
        <v>1.69090148</v>
      </c>
      <c r="I75" s="18" t="n">
        <v>0</v>
      </c>
      <c r="J75" s="20" t="n">
        <v>0</v>
      </c>
      <c r="K75" s="18" t="n">
        <v>0.19126131</v>
      </c>
      <c r="L75" s="20" t="n">
        <v>0.1580277</v>
      </c>
      <c r="M75" s="18" t="n">
        <v>0</v>
      </c>
      <c r="N75" s="20" t="n">
        <v>0</v>
      </c>
      <c r="O75" s="18" t="n">
        <v>0</v>
      </c>
      <c r="P75" s="20" t="n">
        <v>0</v>
      </c>
      <c r="Q75" s="18" t="n">
        <v>0.5550576699999999</v>
      </c>
      <c r="R75" s="20" t="n">
        <v>0.29141307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(4819.0/B77*100)</f>
        <v/>
      </c>
      <c r="D77" s="19" t="n">
        <v>556</v>
      </c>
      <c r="E77" s="18" t="n">
        <v>33.00480024</v>
      </c>
      <c r="F77" s="20" t="n">
        <v>2.12637632</v>
      </c>
      <c r="G77" s="18" t="n">
        <v>62.54652801</v>
      </c>
      <c r="H77" s="20" t="n">
        <v>2.16667227</v>
      </c>
      <c r="I77" s="18" t="n">
        <v>0</v>
      </c>
      <c r="J77" s="20" t="n">
        <v>0</v>
      </c>
      <c r="K77" s="18" t="n">
        <v>1.76195332</v>
      </c>
      <c r="L77" s="20" t="n">
        <v>0.58743584</v>
      </c>
      <c r="M77" s="18" t="n">
        <v>0</v>
      </c>
      <c r="N77" s="20" t="n">
        <v>0</v>
      </c>
      <c r="O77" s="18" t="n">
        <v>0</v>
      </c>
      <c r="P77" s="20" t="n">
        <v>0</v>
      </c>
      <c r="Q77" s="18" t="n">
        <v>2.68671844</v>
      </c>
      <c r="R77" s="20" t="n">
        <v>0.63123988</v>
      </c>
    </row>
    <row r="78" spans="1:18">
      <c r="A78" s="15" t="s">
        <v>638</v>
      </c>
      <c r="B78" s="17" t="n">
        <v>14167</v>
      </c>
      <c r="C78" s="18">
        <f>(12561.0/B78*100)</f>
        <v/>
      </c>
      <c r="D78" s="19" t="n">
        <v>1606</v>
      </c>
      <c r="E78" s="18" t="n">
        <v>38.4113437</v>
      </c>
      <c r="F78" s="20" t="n">
        <v>1.55513598</v>
      </c>
      <c r="G78" s="18" t="n">
        <v>60.19751709</v>
      </c>
      <c r="H78" s="20" t="n">
        <v>1.55725569</v>
      </c>
      <c r="I78" s="18" t="n">
        <v>0</v>
      </c>
      <c r="J78" s="20" t="n">
        <v>0</v>
      </c>
      <c r="K78" s="18" t="n">
        <v>0.47416666</v>
      </c>
      <c r="L78" s="20" t="n">
        <v>0.2155397</v>
      </c>
      <c r="M78" s="18" t="n">
        <v>0</v>
      </c>
      <c r="N78" s="20" t="n">
        <v>0</v>
      </c>
      <c r="O78" s="18" t="n">
        <v>0</v>
      </c>
      <c r="P78" s="20" t="n">
        <v>0</v>
      </c>
      <c r="Q78" s="18" t="n">
        <v>0.91697255</v>
      </c>
      <c r="R78" s="20" t="n">
        <v>0.26153157</v>
      </c>
    </row>
    <row r="79" spans="1:18">
      <c r="A79" s="15" t="s">
        <v>639</v>
      </c>
      <c r="B79" s="17" t="n">
        <v>6062</v>
      </c>
      <c r="C79" s="18">
        <f>(5384.0/B79*100)</f>
        <v/>
      </c>
      <c r="D79" s="19" t="n">
        <v>678</v>
      </c>
      <c r="E79" s="18" t="n">
        <v>37.93597993</v>
      </c>
      <c r="F79" s="20" t="n">
        <v>1.953488</v>
      </c>
      <c r="G79" s="18" t="n">
        <v>60.04928399</v>
      </c>
      <c r="H79" s="20" t="n">
        <v>1.86989308</v>
      </c>
      <c r="I79" s="18" t="n">
        <v>0</v>
      </c>
      <c r="J79" s="20" t="n">
        <v>0</v>
      </c>
      <c r="K79" s="18" t="n">
        <v>0.61327373</v>
      </c>
      <c r="L79" s="20" t="n">
        <v>0.29809953</v>
      </c>
      <c r="M79" s="18" t="n">
        <v>0</v>
      </c>
      <c r="N79" s="20" t="n">
        <v>0</v>
      </c>
      <c r="O79" s="18" t="n">
        <v>0</v>
      </c>
      <c r="P79" s="20" t="n">
        <v>0</v>
      </c>
      <c r="Q79" s="18" t="n">
        <v>1.40146236</v>
      </c>
      <c r="R79" s="20" t="n">
        <v>0.49675547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(28830.0/B82*100)</f>
        <v/>
      </c>
      <c r="D82" s="19" t="n">
        <v>3500</v>
      </c>
      <c r="E82" s="18" t="n">
        <v>23.81015078</v>
      </c>
      <c r="F82" s="20" t="n">
        <v>0.99993941</v>
      </c>
      <c r="G82" s="18" t="n">
        <v>75.48342538</v>
      </c>
      <c r="H82" s="20" t="n">
        <v>0.99246021</v>
      </c>
      <c r="I82" s="18" t="n">
        <v>0</v>
      </c>
      <c r="J82" s="20" t="n">
        <v>0</v>
      </c>
      <c r="K82" s="18" t="n">
        <v>0.06394788</v>
      </c>
      <c r="L82" s="20" t="n">
        <v>0.03538058</v>
      </c>
      <c r="M82" s="18" t="n">
        <v>0</v>
      </c>
      <c r="N82" s="20" t="n">
        <v>0</v>
      </c>
      <c r="O82" s="18" t="n">
        <v>0</v>
      </c>
      <c r="P82" s="20" t="n">
        <v>0</v>
      </c>
      <c r="Q82" s="18" t="n">
        <v>0.64247597</v>
      </c>
      <c r="R82" s="20" t="n">
        <v>0.16513989</v>
      </c>
    </row>
    <row r="83" spans="1:18">
      <c r="A83" s="15" t="s">
        <v>643</v>
      </c>
      <c r="B83" s="17" t="n">
        <v>1652</v>
      </c>
      <c r="C83" s="18">
        <f>(1428.0/B83*100)</f>
        <v/>
      </c>
      <c r="D83" s="19" t="n">
        <v>224</v>
      </c>
      <c r="E83" s="18" t="n">
        <v>20.98198134</v>
      </c>
      <c r="F83" s="20" t="n">
        <v>2.96405621</v>
      </c>
      <c r="G83" s="18" t="n">
        <v>79.01801866</v>
      </c>
      <c r="H83" s="20" t="n">
        <v>2.96405621</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(1641.0/B84*100)</f>
        <v/>
      </c>
      <c r="D84" s="19" t="n">
        <v>246</v>
      </c>
      <c r="E84" s="18" t="n">
        <v>33.85426152</v>
      </c>
      <c r="F84" s="20" t="n">
        <v>2.98865661</v>
      </c>
      <c r="G84" s="18" t="n">
        <v>65.77714623999999</v>
      </c>
      <c r="H84" s="20" t="n">
        <v>2.97690059</v>
      </c>
      <c r="I84" s="18" t="n">
        <v>0</v>
      </c>
      <c r="J84" s="20" t="n">
        <v>0</v>
      </c>
      <c r="K84" s="18" t="n">
        <v>0</v>
      </c>
      <c r="L84" s="20" t="n">
        <v>0</v>
      </c>
      <c r="M84" s="18" t="n">
        <v>0</v>
      </c>
      <c r="N84" s="20" t="n">
        <v>0</v>
      </c>
      <c r="O84" s="18" t="n">
        <v>0</v>
      </c>
      <c r="P84" s="20" t="n">
        <v>0</v>
      </c>
      <c r="Q84" s="18" t="n">
        <v>0.36859224</v>
      </c>
      <c r="R84" s="20" t="n">
        <v>0.35373332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(12902.0/B7*100)</f>
        <v/>
      </c>
      <c r="D7" s="19" t="n">
        <v>1628</v>
      </c>
      <c r="E7" s="18" t="n">
        <v>44.77804311</v>
      </c>
      <c r="F7" s="20" t="n">
        <v>1.66561859</v>
      </c>
      <c r="G7" s="18" t="n">
        <v>53.77212022</v>
      </c>
      <c r="H7" s="20" t="n">
        <v>1.69666676</v>
      </c>
      <c r="I7" s="18" t="n">
        <v>0</v>
      </c>
      <c r="J7" s="20" t="n">
        <v>0</v>
      </c>
      <c r="K7" s="18" t="n">
        <v>0.04093327</v>
      </c>
      <c r="L7" s="20" t="n">
        <v>0.02114054</v>
      </c>
      <c r="M7" s="18" t="n">
        <v>0</v>
      </c>
      <c r="N7" s="20" t="n">
        <v>0</v>
      </c>
      <c r="O7" s="18" t="n">
        <v>0</v>
      </c>
      <c r="P7" s="20" t="n">
        <v>0</v>
      </c>
      <c r="Q7" s="18" t="n">
        <v>1.4089034</v>
      </c>
      <c r="R7" s="20" t="n">
        <v>0.3315924</v>
      </c>
    </row>
    <row r="8" spans="1:18">
      <c r="A8" s="15" t="s">
        <v>566</v>
      </c>
      <c r="B8" s="17" t="n">
        <v>7007</v>
      </c>
      <c r="C8" s="18">
        <f>(6183.0/B8*100)</f>
        <v/>
      </c>
      <c r="D8" s="19" t="n">
        <v>824</v>
      </c>
      <c r="E8" s="18" t="n">
        <v>27.42246079</v>
      </c>
      <c r="F8" s="20" t="n">
        <v>1.85022675</v>
      </c>
      <c r="G8" s="18" t="n">
        <v>71.6739851</v>
      </c>
      <c r="H8" s="20" t="n">
        <v>1.91851953</v>
      </c>
      <c r="I8" s="18" t="n">
        <v>0</v>
      </c>
      <c r="J8" s="20" t="n">
        <v>0</v>
      </c>
      <c r="K8" s="18" t="n">
        <v>0.10436553</v>
      </c>
      <c r="L8" s="20" t="n">
        <v>0.10505506</v>
      </c>
      <c r="M8" s="18" t="n">
        <v>0</v>
      </c>
      <c r="N8" s="20" t="n">
        <v>0</v>
      </c>
      <c r="O8" s="18" t="n">
        <v>0</v>
      </c>
      <c r="P8" s="20" t="n">
        <v>0</v>
      </c>
      <c r="Q8" s="18" t="n">
        <v>0.79918858</v>
      </c>
      <c r="R8" s="20" t="n">
        <v>0.31003353</v>
      </c>
    </row>
    <row r="9" spans="1:18">
      <c r="A9" s="15" t="s">
        <v>567</v>
      </c>
      <c r="B9" s="17" t="n">
        <v>9651</v>
      </c>
      <c r="C9" s="18">
        <f>(8364.0/B9*100)</f>
        <v/>
      </c>
      <c r="D9" s="19" t="n">
        <v>1287</v>
      </c>
      <c r="E9" s="18" t="n">
        <v>42.47756622</v>
      </c>
      <c r="F9" s="20" t="n">
        <v>1.37694124</v>
      </c>
      <c r="G9" s="18" t="n">
        <v>54.29659764</v>
      </c>
      <c r="H9" s="20" t="n">
        <v>1.47074564</v>
      </c>
      <c r="I9" s="18" t="n">
        <v>0</v>
      </c>
      <c r="J9" s="20" t="n">
        <v>0</v>
      </c>
      <c r="K9" s="18" t="n">
        <v>0.57350981</v>
      </c>
      <c r="L9" s="20" t="n">
        <v>0.31565752</v>
      </c>
      <c r="M9" s="18" t="n">
        <v>0</v>
      </c>
      <c r="N9" s="20" t="n">
        <v>0</v>
      </c>
      <c r="O9" s="18" t="n">
        <v>0</v>
      </c>
      <c r="P9" s="20" t="n">
        <v>0</v>
      </c>
      <c r="Q9" s="18" t="n">
        <v>2.65232633</v>
      </c>
      <c r="R9" s="20" t="n">
        <v>0.47079781</v>
      </c>
    </row>
    <row r="10" spans="1:18">
      <c r="A10" s="15" t="s">
        <v>568</v>
      </c>
      <c r="B10" s="17" t="n">
        <v>20058</v>
      </c>
      <c r="C10" s="18">
        <f>(17909.0/B10*100)</f>
        <v/>
      </c>
      <c r="D10" s="19" t="n">
        <v>2149</v>
      </c>
      <c r="E10" s="18" t="n">
        <v>41.54640547</v>
      </c>
      <c r="F10" s="20" t="n">
        <v>1.52753825</v>
      </c>
      <c r="G10" s="18" t="n">
        <v>57.42045421</v>
      </c>
      <c r="H10" s="20" t="n">
        <v>1.5649164</v>
      </c>
      <c r="I10" s="18" t="n">
        <v>0</v>
      </c>
      <c r="J10" s="20" t="n">
        <v>0</v>
      </c>
      <c r="K10" s="18" t="n">
        <v>0.23048946</v>
      </c>
      <c r="L10" s="20" t="n">
        <v>0.14820886</v>
      </c>
      <c r="M10" s="18" t="n">
        <v>0</v>
      </c>
      <c r="N10" s="20" t="n">
        <v>0</v>
      </c>
      <c r="O10" s="18" t="n">
        <v>0</v>
      </c>
      <c r="P10" s="20" t="n">
        <v>0</v>
      </c>
      <c r="Q10" s="18" t="n">
        <v>0.80265086</v>
      </c>
      <c r="R10" s="20" t="n">
        <v>0.26390551</v>
      </c>
    </row>
    <row r="11" spans="1:18">
      <c r="A11" s="15" t="s">
        <v>569</v>
      </c>
      <c r="B11" s="17" t="n">
        <v>7053</v>
      </c>
      <c r="C11" s="18">
        <f>(6280.0/B11*100)</f>
        <v/>
      </c>
      <c r="D11" s="19" t="n">
        <v>773</v>
      </c>
      <c r="E11" s="18" t="n">
        <v>45.36659021</v>
      </c>
      <c r="F11" s="20" t="n">
        <v>1.91623661</v>
      </c>
      <c r="G11" s="18" t="n">
        <v>51.58691002</v>
      </c>
      <c r="H11" s="20" t="n">
        <v>2.00137464</v>
      </c>
      <c r="I11" s="18" t="n">
        <v>0</v>
      </c>
      <c r="J11" s="20" t="n">
        <v>0</v>
      </c>
      <c r="K11" s="18" t="n">
        <v>0.89410674</v>
      </c>
      <c r="L11" s="20" t="n">
        <v>0.45059746</v>
      </c>
      <c r="M11" s="18" t="n">
        <v>0</v>
      </c>
      <c r="N11" s="20" t="n">
        <v>0</v>
      </c>
      <c r="O11" s="18" t="n">
        <v>0</v>
      </c>
      <c r="P11" s="20" t="n">
        <v>0</v>
      </c>
      <c r="Q11" s="18" t="n">
        <v>2.15239303</v>
      </c>
      <c r="R11" s="20" t="n">
        <v>0.68749628</v>
      </c>
    </row>
    <row r="12" spans="1:18">
      <c r="A12" s="15" t="s">
        <v>570</v>
      </c>
      <c r="B12" s="17" t="n">
        <v>6894</v>
      </c>
      <c r="C12" s="18">
        <f>(6044.0/B12*100)</f>
        <v/>
      </c>
      <c r="D12" s="19" t="n">
        <v>850</v>
      </c>
      <c r="E12" s="18" t="n">
        <v>27.62364389</v>
      </c>
      <c r="F12" s="20" t="n">
        <v>2.11174445</v>
      </c>
      <c r="G12" s="18" t="n">
        <v>71.00808504</v>
      </c>
      <c r="H12" s="20" t="n">
        <v>2.21739256</v>
      </c>
      <c r="I12" s="18" t="n">
        <v>0</v>
      </c>
      <c r="J12" s="20" t="n">
        <v>0</v>
      </c>
      <c r="K12" s="18" t="n">
        <v>0.21589481</v>
      </c>
      <c r="L12" s="20" t="n">
        <v>0.23849428</v>
      </c>
      <c r="M12" s="18" t="n">
        <v>0</v>
      </c>
      <c r="N12" s="20" t="n">
        <v>0</v>
      </c>
      <c r="O12" s="18" t="n">
        <v>0</v>
      </c>
      <c r="P12" s="20" t="n">
        <v>0</v>
      </c>
      <c r="Q12" s="18" t="n">
        <v>1.15237626</v>
      </c>
      <c r="R12" s="20" t="n">
        <v>0.47329529</v>
      </c>
    </row>
    <row r="13" spans="1:18">
      <c r="A13" s="15" t="s">
        <v>571</v>
      </c>
      <c r="B13" s="17" t="n">
        <v>7161</v>
      </c>
      <c r="C13" s="18">
        <f>(6055.0/B13*100)</f>
        <v/>
      </c>
      <c r="D13" s="19" t="n">
        <v>1106</v>
      </c>
      <c r="E13" s="18" t="n">
        <v>44.00153758</v>
      </c>
      <c r="F13" s="20" t="n">
        <v>1.63481662</v>
      </c>
      <c r="G13" s="18" t="n">
        <v>53.60335313</v>
      </c>
      <c r="H13" s="20" t="n">
        <v>1.75909561</v>
      </c>
      <c r="I13" s="18" t="n">
        <v>0</v>
      </c>
      <c r="J13" s="20" t="n">
        <v>0</v>
      </c>
      <c r="K13" s="18" t="n">
        <v>0.7771548700000001</v>
      </c>
      <c r="L13" s="20" t="n">
        <v>0.31905844</v>
      </c>
      <c r="M13" s="18" t="n">
        <v>0</v>
      </c>
      <c r="N13" s="20" t="n">
        <v>0</v>
      </c>
      <c r="O13" s="18" t="n">
        <v>0</v>
      </c>
      <c r="P13" s="20" t="n">
        <v>0</v>
      </c>
      <c r="Q13" s="18" t="n">
        <v>1.61795442</v>
      </c>
      <c r="R13" s="20" t="n">
        <v>0.49396901</v>
      </c>
    </row>
    <row r="14" spans="1:18">
      <c r="A14" s="15" t="s">
        <v>572</v>
      </c>
      <c r="B14" s="17" t="n">
        <v>5587</v>
      </c>
      <c r="C14" s="18">
        <f>(4995.0/B14*100)</f>
        <v/>
      </c>
      <c r="D14" s="19" t="n">
        <v>592</v>
      </c>
      <c r="E14" s="18" t="n">
        <v>22.24541386</v>
      </c>
      <c r="F14" s="20" t="n">
        <v>1.84391264</v>
      </c>
      <c r="G14" s="18" t="n">
        <v>77.48628641000001</v>
      </c>
      <c r="H14" s="20" t="n">
        <v>1.85744564</v>
      </c>
      <c r="I14" s="18" t="n">
        <v>0</v>
      </c>
      <c r="J14" s="20" t="n">
        <v>0</v>
      </c>
      <c r="K14" s="18" t="n">
        <v>0</v>
      </c>
      <c r="L14" s="20" t="n">
        <v>0</v>
      </c>
      <c r="M14" s="18" t="n">
        <v>0</v>
      </c>
      <c r="N14" s="20" t="n">
        <v>0</v>
      </c>
      <c r="O14" s="18" t="n">
        <v>0</v>
      </c>
      <c r="P14" s="20" t="n">
        <v>0</v>
      </c>
      <c r="Q14" s="18" t="n">
        <v>0.26829974</v>
      </c>
      <c r="R14" s="20" t="n">
        <v>0.17153151</v>
      </c>
    </row>
    <row r="15" spans="1:18">
      <c r="A15" s="15" t="s">
        <v>573</v>
      </c>
      <c r="B15" s="17" t="n">
        <v>5882</v>
      </c>
      <c r="C15" s="18">
        <f>(5221.0/B15*100)</f>
        <v/>
      </c>
      <c r="D15" s="19" t="n">
        <v>661</v>
      </c>
      <c r="E15" s="18" t="n">
        <v>25.98829863</v>
      </c>
      <c r="F15" s="20" t="n">
        <v>2.19308821</v>
      </c>
      <c r="G15" s="18" t="n">
        <v>72.40583332999999</v>
      </c>
      <c r="H15" s="20" t="n">
        <v>2.42264854</v>
      </c>
      <c r="I15" s="18" t="n">
        <v>0</v>
      </c>
      <c r="J15" s="20" t="n">
        <v>0</v>
      </c>
      <c r="K15" s="18" t="n">
        <v>0.58379373</v>
      </c>
      <c r="L15" s="20" t="n">
        <v>0.36650909</v>
      </c>
      <c r="M15" s="18" t="n">
        <v>0</v>
      </c>
      <c r="N15" s="20" t="n">
        <v>0</v>
      </c>
      <c r="O15" s="18" t="n">
        <v>0</v>
      </c>
      <c r="P15" s="20" t="n">
        <v>0</v>
      </c>
      <c r="Q15" s="18" t="n">
        <v>1.02207431</v>
      </c>
      <c r="R15" s="20" t="n">
        <v>0.45195581</v>
      </c>
    </row>
    <row r="16" spans="1:18">
      <c r="A16" s="15" t="s">
        <v>574</v>
      </c>
      <c r="B16" s="17" t="n">
        <v>6108</v>
      </c>
      <c r="C16" s="18">
        <f>(5470.0/B16*100)</f>
        <v/>
      </c>
      <c r="D16" s="19" t="n">
        <v>638</v>
      </c>
      <c r="E16" s="18" t="n">
        <v>38.07948135</v>
      </c>
      <c r="F16" s="20" t="n">
        <v>2.04144372</v>
      </c>
      <c r="G16" s="18" t="n">
        <v>58.88832447</v>
      </c>
      <c r="H16" s="20" t="n">
        <v>2.06823863</v>
      </c>
      <c r="I16" s="18" t="n">
        <v>0</v>
      </c>
      <c r="J16" s="20" t="n">
        <v>0</v>
      </c>
      <c r="K16" s="18" t="n">
        <v>0.59647229</v>
      </c>
      <c r="L16" s="20" t="n">
        <v>0.28681777</v>
      </c>
      <c r="M16" s="18" t="n">
        <v>0</v>
      </c>
      <c r="N16" s="20" t="n">
        <v>0</v>
      </c>
      <c r="O16" s="18" t="n">
        <v>0</v>
      </c>
      <c r="P16" s="20" t="n">
        <v>0</v>
      </c>
      <c r="Q16" s="18" t="n">
        <v>2.43572188</v>
      </c>
      <c r="R16" s="20" t="n">
        <v>0.73488742</v>
      </c>
    </row>
    <row r="17" spans="1:18">
      <c r="A17" s="15" t="s">
        <v>575</v>
      </c>
      <c r="B17" s="17" t="n">
        <v>6504</v>
      </c>
      <c r="C17" s="18">
        <f>(5648.0/B17*100)</f>
        <v/>
      </c>
      <c r="D17" s="19" t="n">
        <v>856</v>
      </c>
      <c r="E17" s="18" t="n">
        <v>31.81879247</v>
      </c>
      <c r="F17" s="20" t="n">
        <v>1.87637109</v>
      </c>
      <c r="G17" s="18" t="n">
        <v>65.94288804</v>
      </c>
      <c r="H17" s="20" t="n">
        <v>2.11897277</v>
      </c>
      <c r="I17" s="18" t="n">
        <v>0</v>
      </c>
      <c r="J17" s="20" t="n">
        <v>0</v>
      </c>
      <c r="K17" s="18" t="n">
        <v>0.69014447</v>
      </c>
      <c r="L17" s="20" t="n">
        <v>0.28164401</v>
      </c>
      <c r="M17" s="18" t="n">
        <v>0</v>
      </c>
      <c r="N17" s="20" t="n">
        <v>0</v>
      </c>
      <c r="O17" s="18" t="n">
        <v>0</v>
      </c>
      <c r="P17" s="20" t="n">
        <v>0</v>
      </c>
      <c r="Q17" s="18" t="n">
        <v>1.54817502</v>
      </c>
      <c r="R17" s="20" t="n">
        <v>0.42294282</v>
      </c>
    </row>
    <row r="18" spans="1:18">
      <c r="A18" s="15" t="s">
        <v>576</v>
      </c>
      <c r="B18" s="17" t="n">
        <v>5532</v>
      </c>
      <c r="C18" s="18">
        <f>(4929.0/B18*100)</f>
        <v/>
      </c>
      <c r="D18" s="19" t="n">
        <v>603</v>
      </c>
      <c r="E18" s="18" t="n">
        <v>44.09165783</v>
      </c>
      <c r="F18" s="20" t="n">
        <v>2.58585406</v>
      </c>
      <c r="G18" s="18" t="n">
        <v>54.24688478</v>
      </c>
      <c r="H18" s="20" t="n">
        <v>2.64867202</v>
      </c>
      <c r="I18" s="18" t="n">
        <v>0</v>
      </c>
      <c r="J18" s="20" t="n">
        <v>0</v>
      </c>
      <c r="K18" s="18" t="n">
        <v>0.13516732</v>
      </c>
      <c r="L18" s="20" t="n">
        <v>0.13484396</v>
      </c>
      <c r="M18" s="18" t="n">
        <v>0</v>
      </c>
      <c r="N18" s="20" t="n">
        <v>0</v>
      </c>
      <c r="O18" s="18" t="n">
        <v>0</v>
      </c>
      <c r="P18" s="20" t="n">
        <v>0</v>
      </c>
      <c r="Q18" s="18" t="n">
        <v>1.52629007</v>
      </c>
      <c r="R18" s="20" t="n">
        <v>0.64716714</v>
      </c>
    </row>
    <row r="19" spans="1:18">
      <c r="A19" s="15" t="s">
        <v>577</v>
      </c>
      <c r="B19" s="17" t="n">
        <v>5658</v>
      </c>
      <c r="C19" s="18">
        <f>(5011.0/B19*100)</f>
        <v/>
      </c>
      <c r="D19" s="19" t="n">
        <v>647</v>
      </c>
      <c r="E19" s="18" t="n">
        <v>42.17491125</v>
      </c>
      <c r="F19" s="20" t="n">
        <v>2.30716173</v>
      </c>
      <c r="G19" s="18" t="n">
        <v>57.64257781</v>
      </c>
      <c r="H19" s="20" t="n">
        <v>2.34865586</v>
      </c>
      <c r="I19" s="18" t="n">
        <v>0</v>
      </c>
      <c r="J19" s="20" t="n">
        <v>0</v>
      </c>
      <c r="K19" s="18" t="n">
        <v>0.18251093</v>
      </c>
      <c r="L19" s="20" t="n">
        <v>0.193915</v>
      </c>
      <c r="M19" s="18" t="n">
        <v>0</v>
      </c>
      <c r="N19" s="20" t="n">
        <v>0</v>
      </c>
      <c r="O19" s="18" t="n">
        <v>0</v>
      </c>
      <c r="P19" s="20" t="n">
        <v>0</v>
      </c>
      <c r="Q19" s="18" t="n">
        <v>0</v>
      </c>
      <c r="R19" s="20" t="n">
        <v>0</v>
      </c>
    </row>
    <row r="20" spans="1:18">
      <c r="A20" s="15" t="s">
        <v>578</v>
      </c>
      <c r="B20" s="17" t="n">
        <v>3371</v>
      </c>
      <c r="C20" s="18">
        <f>(2999.0/B20*100)</f>
        <v/>
      </c>
      <c r="D20" s="19" t="n">
        <v>372</v>
      </c>
      <c r="E20" s="18" t="n">
        <v>44.10440452</v>
      </c>
      <c r="F20" s="20" t="n">
        <v>2.59673439</v>
      </c>
      <c r="G20" s="18" t="n">
        <v>53.46522576</v>
      </c>
      <c r="H20" s="20" t="n">
        <v>2.71270592</v>
      </c>
      <c r="I20" s="18" t="n">
        <v>0</v>
      </c>
      <c r="J20" s="20" t="n">
        <v>0</v>
      </c>
      <c r="K20" s="18" t="n">
        <v>0.31187009</v>
      </c>
      <c r="L20" s="20" t="n">
        <v>0.30508613</v>
      </c>
      <c r="M20" s="18" t="n">
        <v>0</v>
      </c>
      <c r="N20" s="20" t="n">
        <v>0</v>
      </c>
      <c r="O20" s="18" t="n">
        <v>0</v>
      </c>
      <c r="P20" s="20" t="n">
        <v>0</v>
      </c>
      <c r="Q20" s="18" t="n">
        <v>2.11849963</v>
      </c>
      <c r="R20" s="20" t="n">
        <v>0.83043427</v>
      </c>
    </row>
    <row r="21" spans="1:18">
      <c r="A21" s="15" t="s">
        <v>579</v>
      </c>
      <c r="B21" s="17" t="n">
        <v>5741</v>
      </c>
      <c r="C21" s="18">
        <f>(5113.0/B21*100)</f>
        <v/>
      </c>
      <c r="D21" s="19" t="n">
        <v>628</v>
      </c>
      <c r="E21" s="18" t="n">
        <v>57.13143879</v>
      </c>
      <c r="F21" s="20" t="n">
        <v>1.96494682</v>
      </c>
      <c r="G21" s="18" t="n">
        <v>41.76970366</v>
      </c>
      <c r="H21" s="20" t="n">
        <v>1.9697458</v>
      </c>
      <c r="I21" s="18" t="n">
        <v>0</v>
      </c>
      <c r="J21" s="20" t="n">
        <v>0</v>
      </c>
      <c r="K21" s="18" t="n">
        <v>0</v>
      </c>
      <c r="L21" s="20" t="n">
        <v>0</v>
      </c>
      <c r="M21" s="18" t="n">
        <v>0</v>
      </c>
      <c r="N21" s="20" t="n">
        <v>0</v>
      </c>
      <c r="O21" s="18" t="n">
        <v>0</v>
      </c>
      <c r="P21" s="20" t="n">
        <v>0</v>
      </c>
      <c r="Q21" s="18" t="n">
        <v>1.09885755</v>
      </c>
      <c r="R21" s="20" t="n">
        <v>0.47212081</v>
      </c>
    </row>
    <row r="22" spans="1:18">
      <c r="A22" s="15" t="s">
        <v>580</v>
      </c>
      <c r="B22" s="17" t="n">
        <v>6598</v>
      </c>
      <c r="C22" s="18">
        <f>(5837.0/B22*100)</f>
        <v/>
      </c>
      <c r="D22" s="19" t="n">
        <v>761</v>
      </c>
      <c r="E22" s="18" t="n">
        <v>39.18797764</v>
      </c>
      <c r="F22" s="20" t="n">
        <v>2.00476913</v>
      </c>
      <c r="G22" s="18" t="n">
        <v>56.341405</v>
      </c>
      <c r="H22" s="20" t="n">
        <v>2.17622924</v>
      </c>
      <c r="I22" s="18" t="n">
        <v>0</v>
      </c>
      <c r="J22" s="20" t="n">
        <v>0</v>
      </c>
      <c r="K22" s="18" t="n">
        <v>0.93720357</v>
      </c>
      <c r="L22" s="20" t="n">
        <v>0.36869403</v>
      </c>
      <c r="M22" s="18" t="n">
        <v>0</v>
      </c>
      <c r="N22" s="20" t="n">
        <v>0</v>
      </c>
      <c r="O22" s="18" t="n">
        <v>0</v>
      </c>
      <c r="P22" s="20" t="n">
        <v>0</v>
      </c>
      <c r="Q22" s="18" t="n">
        <v>3.5334138</v>
      </c>
      <c r="R22" s="20" t="n">
        <v>0.60487549</v>
      </c>
    </row>
    <row r="23" spans="1:18">
      <c r="A23" s="15" t="s">
        <v>581</v>
      </c>
      <c r="B23" s="17" t="n">
        <v>11583</v>
      </c>
      <c r="C23" s="18">
        <f>(10302.0/B23*100)</f>
        <v/>
      </c>
      <c r="D23" s="19" t="n">
        <v>1281</v>
      </c>
      <c r="E23" s="18" t="n">
        <v>28.6786136</v>
      </c>
      <c r="F23" s="20" t="n">
        <v>1.58628265</v>
      </c>
      <c r="G23" s="18" t="n">
        <v>68.64372401</v>
      </c>
      <c r="H23" s="20" t="n">
        <v>1.69578403</v>
      </c>
      <c r="I23" s="18" t="n">
        <v>0</v>
      </c>
      <c r="J23" s="20" t="n">
        <v>0</v>
      </c>
      <c r="K23" s="18" t="n">
        <v>0.50845008</v>
      </c>
      <c r="L23" s="20" t="n">
        <v>0.22284964</v>
      </c>
      <c r="M23" s="18" t="n">
        <v>0</v>
      </c>
      <c r="N23" s="20" t="n">
        <v>0</v>
      </c>
      <c r="O23" s="18" t="n">
        <v>0</v>
      </c>
      <c r="P23" s="20" t="n">
        <v>0</v>
      </c>
      <c r="Q23" s="18" t="n">
        <v>2.16921231</v>
      </c>
      <c r="R23" s="20" t="n">
        <v>0.59488874</v>
      </c>
    </row>
    <row r="24" spans="1:18">
      <c r="A24" s="15" t="s">
        <v>582</v>
      </c>
      <c r="B24" s="17" t="n">
        <v>6647</v>
      </c>
      <c r="C24" s="18">
        <f>(5894.0/B24*100)</f>
        <v/>
      </c>
      <c r="D24" s="19" t="n">
        <v>753</v>
      </c>
      <c r="E24" s="18" t="n">
        <v>30.28306467</v>
      </c>
      <c r="F24" s="20" t="n">
        <v>2.22861758</v>
      </c>
      <c r="G24" s="18" t="n">
        <v>68.12989502000001</v>
      </c>
      <c r="H24" s="20" t="n">
        <v>2.20974412</v>
      </c>
      <c r="I24" s="18" t="n">
        <v>0</v>
      </c>
      <c r="J24" s="20" t="n">
        <v>0</v>
      </c>
      <c r="K24" s="18" t="n">
        <v>0.11951595</v>
      </c>
      <c r="L24" s="20" t="n">
        <v>0.11935481</v>
      </c>
      <c r="M24" s="18" t="n">
        <v>0</v>
      </c>
      <c r="N24" s="20" t="n">
        <v>0</v>
      </c>
      <c r="O24" s="18" t="n">
        <v>0</v>
      </c>
      <c r="P24" s="20" t="n">
        <v>0</v>
      </c>
      <c r="Q24" s="18" t="n">
        <v>1.46752437</v>
      </c>
      <c r="R24" s="20" t="n">
        <v>0.4922721</v>
      </c>
    </row>
    <row r="25" spans="1:18">
      <c r="A25" s="15" t="s">
        <v>583</v>
      </c>
      <c r="B25" s="17" t="n">
        <v>5581</v>
      </c>
      <c r="C25" s="18">
        <f>(4970.0/B25*100)</f>
        <v/>
      </c>
      <c r="D25" s="19" t="n">
        <v>611</v>
      </c>
      <c r="E25" s="18" t="n">
        <v>38.00973913</v>
      </c>
      <c r="F25" s="20" t="n">
        <v>2.17573515</v>
      </c>
      <c r="G25" s="18" t="n">
        <v>61.18780059</v>
      </c>
      <c r="H25" s="20" t="n">
        <v>2.15716244</v>
      </c>
      <c r="I25" s="18" t="n">
        <v>0</v>
      </c>
      <c r="J25" s="20" t="n">
        <v>0</v>
      </c>
      <c r="K25" s="18" t="n">
        <v>0.14209221</v>
      </c>
      <c r="L25" s="20" t="n">
        <v>0.14104984</v>
      </c>
      <c r="M25" s="18" t="n">
        <v>0</v>
      </c>
      <c r="N25" s="20" t="n">
        <v>0</v>
      </c>
      <c r="O25" s="18" t="n">
        <v>0</v>
      </c>
      <c r="P25" s="20" t="n">
        <v>0</v>
      </c>
      <c r="Q25" s="18" t="n">
        <v>0.66036806</v>
      </c>
      <c r="R25" s="20" t="n">
        <v>0.32940427</v>
      </c>
    </row>
    <row r="26" spans="1:18">
      <c r="A26" s="15" t="s">
        <v>584</v>
      </c>
      <c r="B26" s="17" t="n">
        <v>4869</v>
      </c>
      <c r="C26" s="18">
        <f>(4354.0/B26*100)</f>
        <v/>
      </c>
      <c r="D26" s="19" t="n">
        <v>515</v>
      </c>
      <c r="E26" s="18" t="n">
        <v>35.52656815</v>
      </c>
      <c r="F26" s="20" t="n">
        <v>2.27282305</v>
      </c>
      <c r="G26" s="18" t="n">
        <v>63.3853339</v>
      </c>
      <c r="H26" s="20" t="n">
        <v>2.29169285</v>
      </c>
      <c r="I26" s="18" t="n">
        <v>0</v>
      </c>
      <c r="J26" s="20" t="n">
        <v>0</v>
      </c>
      <c r="K26" s="18" t="n">
        <v>0.16225725</v>
      </c>
      <c r="L26" s="20" t="n">
        <v>0.16267741</v>
      </c>
      <c r="M26" s="18" t="n">
        <v>0</v>
      </c>
      <c r="N26" s="20" t="n">
        <v>0</v>
      </c>
      <c r="O26" s="18" t="n">
        <v>0</v>
      </c>
      <c r="P26" s="20" t="n">
        <v>0</v>
      </c>
      <c r="Q26" s="18" t="n">
        <v>0.92584071</v>
      </c>
      <c r="R26" s="20" t="n">
        <v>0.33739027</v>
      </c>
    </row>
    <row r="27" spans="1:18">
      <c r="A27" s="15" t="s">
        <v>585</v>
      </c>
      <c r="B27" s="17" t="n">
        <v>5299</v>
      </c>
      <c r="C27" s="18">
        <f>(4735.0/B27*100)</f>
        <v/>
      </c>
      <c r="D27" s="19" t="n">
        <v>564</v>
      </c>
      <c r="E27" s="18" t="n">
        <v>35.71022556</v>
      </c>
      <c r="F27" s="20" t="n">
        <v>2.14709353</v>
      </c>
      <c r="G27" s="18" t="n">
        <v>62.35273342</v>
      </c>
      <c r="H27" s="20" t="n">
        <v>2.17522922</v>
      </c>
      <c r="I27" s="18" t="n">
        <v>0</v>
      </c>
      <c r="J27" s="20" t="n">
        <v>0</v>
      </c>
      <c r="K27" s="18" t="n">
        <v>0.17763729</v>
      </c>
      <c r="L27" s="20" t="n">
        <v>0.1777744</v>
      </c>
      <c r="M27" s="18" t="n">
        <v>0</v>
      </c>
      <c r="N27" s="20" t="n">
        <v>0</v>
      </c>
      <c r="O27" s="18" t="n">
        <v>0</v>
      </c>
      <c r="P27" s="20" t="n">
        <v>0</v>
      </c>
      <c r="Q27" s="18" t="n">
        <v>1.75940373</v>
      </c>
      <c r="R27" s="20" t="n">
        <v>0.48851907</v>
      </c>
    </row>
    <row r="28" spans="1:18">
      <c r="A28" s="15" t="s">
        <v>586</v>
      </c>
      <c r="B28" s="17" t="n">
        <v>7568</v>
      </c>
      <c r="C28" s="18">
        <f>(6769.0/B28*100)</f>
        <v/>
      </c>
      <c r="D28" s="19" t="n">
        <v>799</v>
      </c>
      <c r="E28" s="18" t="n">
        <v>57.2674204</v>
      </c>
      <c r="F28" s="20" t="n">
        <v>2.05298443</v>
      </c>
      <c r="G28" s="18" t="n">
        <v>41.10212153</v>
      </c>
      <c r="H28" s="20" t="n">
        <v>1.96403833</v>
      </c>
      <c r="I28" s="18" t="n">
        <v>0</v>
      </c>
      <c r="J28" s="20" t="n">
        <v>0</v>
      </c>
      <c r="K28" s="18" t="n">
        <v>0.44168894</v>
      </c>
      <c r="L28" s="20" t="n">
        <v>0.27081725</v>
      </c>
      <c r="M28" s="18" t="n">
        <v>0</v>
      </c>
      <c r="N28" s="20" t="n">
        <v>0</v>
      </c>
      <c r="O28" s="18" t="n">
        <v>0</v>
      </c>
      <c r="P28" s="20" t="n">
        <v>0</v>
      </c>
      <c r="Q28" s="18" t="n">
        <v>1.18876914</v>
      </c>
      <c r="R28" s="20" t="n">
        <v>0.40347676</v>
      </c>
    </row>
    <row r="29" spans="1:18">
      <c r="A29" s="15" t="s">
        <v>587</v>
      </c>
      <c r="B29" s="17" t="n">
        <v>5385</v>
      </c>
      <c r="C29" s="18">
        <f>(4630.0/B29*100)</f>
        <v/>
      </c>
      <c r="D29" s="19" t="n">
        <v>755</v>
      </c>
      <c r="E29" s="18" t="n">
        <v>43.07422988</v>
      </c>
      <c r="F29" s="20" t="n">
        <v>1.70703117</v>
      </c>
      <c r="G29" s="18" t="n">
        <v>55.51817684</v>
      </c>
      <c r="H29" s="20" t="n">
        <v>1.63998561</v>
      </c>
      <c r="I29" s="18" t="n">
        <v>0</v>
      </c>
      <c r="J29" s="20" t="n">
        <v>0</v>
      </c>
      <c r="K29" s="18" t="n">
        <v>0.52159312</v>
      </c>
      <c r="L29" s="20" t="n">
        <v>0.40653131</v>
      </c>
      <c r="M29" s="18" t="n">
        <v>0</v>
      </c>
      <c r="N29" s="20" t="n">
        <v>0</v>
      </c>
      <c r="O29" s="18" t="n">
        <v>0</v>
      </c>
      <c r="P29" s="20" t="n">
        <v>0</v>
      </c>
      <c r="Q29" s="18" t="n">
        <v>0.88600017</v>
      </c>
      <c r="R29" s="20" t="n">
        <v>0.37615156</v>
      </c>
    </row>
    <row r="30" spans="1:18">
      <c r="A30" s="15" t="s">
        <v>588</v>
      </c>
      <c r="B30" s="17" t="n">
        <v>4520</v>
      </c>
      <c r="C30" s="18">
        <f>(4040.0/B30*100)</f>
        <v/>
      </c>
      <c r="D30" s="19" t="n">
        <v>480</v>
      </c>
      <c r="E30" s="18" t="n">
        <v>42.84572233</v>
      </c>
      <c r="F30" s="20" t="n">
        <v>2.12729538</v>
      </c>
      <c r="G30" s="18" t="n">
        <v>54.76598142</v>
      </c>
      <c r="H30" s="20" t="n">
        <v>2.18016733</v>
      </c>
      <c r="I30" s="18" t="n">
        <v>0</v>
      </c>
      <c r="J30" s="20" t="n">
        <v>0</v>
      </c>
      <c r="K30" s="18" t="n">
        <v>0.47845721</v>
      </c>
      <c r="L30" s="20" t="n">
        <v>0.32221261</v>
      </c>
      <c r="M30" s="18" t="n">
        <v>0</v>
      </c>
      <c r="N30" s="20" t="n">
        <v>0</v>
      </c>
      <c r="O30" s="18" t="n">
        <v>0</v>
      </c>
      <c r="P30" s="20" t="n">
        <v>0</v>
      </c>
      <c r="Q30" s="18" t="n">
        <v>1.90983904</v>
      </c>
      <c r="R30" s="20" t="n">
        <v>0.58987216</v>
      </c>
    </row>
    <row r="31" spans="1:18">
      <c r="A31" s="15" t="s">
        <v>589</v>
      </c>
      <c r="B31" s="17" t="n">
        <v>5456</v>
      </c>
      <c r="C31" s="18">
        <f>(4846.0/B31*100)</f>
        <v/>
      </c>
      <c r="D31" s="19" t="n">
        <v>610</v>
      </c>
      <c r="E31" s="18" t="n">
        <v>44.63106513</v>
      </c>
      <c r="F31" s="20" t="n">
        <v>2.19006852</v>
      </c>
      <c r="G31" s="18" t="n">
        <v>52.93951736</v>
      </c>
      <c r="H31" s="20" t="n">
        <v>2.0633999</v>
      </c>
      <c r="I31" s="18" t="n">
        <v>0</v>
      </c>
      <c r="J31" s="20" t="n">
        <v>0</v>
      </c>
      <c r="K31" s="18" t="n">
        <v>0.63470209</v>
      </c>
      <c r="L31" s="20" t="n">
        <v>0.3097653</v>
      </c>
      <c r="M31" s="18" t="n">
        <v>0</v>
      </c>
      <c r="N31" s="20" t="n">
        <v>0</v>
      </c>
      <c r="O31" s="18" t="n">
        <v>0</v>
      </c>
      <c r="P31" s="20" t="n">
        <v>0</v>
      </c>
      <c r="Q31" s="18" t="n">
        <v>1.79471542</v>
      </c>
      <c r="R31" s="20" t="n">
        <v>0.53146698</v>
      </c>
    </row>
    <row r="32" spans="1:18">
      <c r="A32" s="15" t="s">
        <v>590</v>
      </c>
      <c r="B32" s="17" t="n">
        <v>4478</v>
      </c>
      <c r="C32" s="18">
        <f>(3980.0/B32*100)</f>
        <v/>
      </c>
      <c r="D32" s="19" t="n">
        <v>498</v>
      </c>
      <c r="E32" s="18" t="n">
        <v>31.00444552</v>
      </c>
      <c r="F32" s="20" t="n">
        <v>2.01734594</v>
      </c>
      <c r="G32" s="18" t="n">
        <v>67.77638219000001</v>
      </c>
      <c r="H32" s="20" t="n">
        <v>2.01879268</v>
      </c>
      <c r="I32" s="18" t="n">
        <v>0</v>
      </c>
      <c r="J32" s="20" t="n">
        <v>0</v>
      </c>
      <c r="K32" s="18" t="n">
        <v>0.40898396</v>
      </c>
      <c r="L32" s="20" t="n">
        <v>0.30335414</v>
      </c>
      <c r="M32" s="18" t="n">
        <v>0</v>
      </c>
      <c r="N32" s="20" t="n">
        <v>0</v>
      </c>
      <c r="O32" s="18" t="n">
        <v>0</v>
      </c>
      <c r="P32" s="20" t="n">
        <v>0</v>
      </c>
      <c r="Q32" s="18" t="n">
        <v>0.81018834</v>
      </c>
      <c r="R32" s="20" t="n">
        <v>0.40016997</v>
      </c>
    </row>
    <row r="33" spans="1:18">
      <c r="A33" s="15" t="s">
        <v>591</v>
      </c>
      <c r="B33" s="17" t="n">
        <v>7325</v>
      </c>
      <c r="C33" s="18">
        <f>(6539.0/B33*100)</f>
        <v/>
      </c>
      <c r="D33" s="19" t="n">
        <v>786</v>
      </c>
      <c r="E33" s="18" t="n">
        <v>33.23581185</v>
      </c>
      <c r="F33" s="20" t="n">
        <v>1.86768941</v>
      </c>
      <c r="G33" s="18" t="n">
        <v>65.32349019</v>
      </c>
      <c r="H33" s="20" t="n">
        <v>1.86270438</v>
      </c>
      <c r="I33" s="18" t="n">
        <v>0</v>
      </c>
      <c r="J33" s="20" t="n">
        <v>0</v>
      </c>
      <c r="K33" s="18" t="n">
        <v>0.16998021</v>
      </c>
      <c r="L33" s="20" t="n">
        <v>0.177114</v>
      </c>
      <c r="M33" s="18" t="n">
        <v>0</v>
      </c>
      <c r="N33" s="20" t="n">
        <v>0</v>
      </c>
      <c r="O33" s="18" t="n">
        <v>0</v>
      </c>
      <c r="P33" s="20" t="n">
        <v>0</v>
      </c>
      <c r="Q33" s="18" t="n">
        <v>1.27071776</v>
      </c>
      <c r="R33" s="20" t="n">
        <v>0.46828262</v>
      </c>
    </row>
    <row r="34" spans="1:18">
      <c r="A34" s="15" t="s">
        <v>592</v>
      </c>
      <c r="B34" s="17" t="n">
        <v>6350</v>
      </c>
      <c r="C34" s="18">
        <f>(5511.0/B34*100)</f>
        <v/>
      </c>
      <c r="D34" s="19" t="n">
        <v>839</v>
      </c>
      <c r="E34" s="18" t="n">
        <v>46.39678945</v>
      </c>
      <c r="F34" s="20" t="n">
        <v>2.01522902</v>
      </c>
      <c r="G34" s="18" t="n">
        <v>52.53671826</v>
      </c>
      <c r="H34" s="20" t="n">
        <v>2.09859661</v>
      </c>
      <c r="I34" s="18" t="n">
        <v>0</v>
      </c>
      <c r="J34" s="20" t="n">
        <v>0</v>
      </c>
      <c r="K34" s="18" t="n">
        <v>0.09279534</v>
      </c>
      <c r="L34" s="20" t="n">
        <v>0.09257284</v>
      </c>
      <c r="M34" s="18" t="n">
        <v>0</v>
      </c>
      <c r="N34" s="20" t="n">
        <v>0</v>
      </c>
      <c r="O34" s="18" t="n">
        <v>0</v>
      </c>
      <c r="P34" s="20" t="n">
        <v>0</v>
      </c>
      <c r="Q34" s="18" t="n">
        <v>0.97369695</v>
      </c>
      <c r="R34" s="20" t="n">
        <v>0.60601964</v>
      </c>
    </row>
    <row r="35" spans="1:18">
      <c r="A35" s="15" t="s">
        <v>593</v>
      </c>
      <c r="B35" s="17" t="n">
        <v>6406</v>
      </c>
      <c r="C35" s="18">
        <f>(5565.0/B35*100)</f>
        <v/>
      </c>
      <c r="D35" s="19" t="n">
        <v>841</v>
      </c>
      <c r="E35" s="18" t="n">
        <v>28.84570962</v>
      </c>
      <c r="F35" s="20" t="n">
        <v>1.74947178</v>
      </c>
      <c r="G35" s="18" t="n">
        <v>69.94142926000001</v>
      </c>
      <c r="H35" s="20" t="n">
        <v>1.80369614</v>
      </c>
      <c r="I35" s="18" t="n">
        <v>0</v>
      </c>
      <c r="J35" s="20" t="n">
        <v>0</v>
      </c>
      <c r="K35" s="18" t="n">
        <v>0.05516112</v>
      </c>
      <c r="L35" s="20" t="n">
        <v>0.05553316</v>
      </c>
      <c r="M35" s="18" t="n">
        <v>0</v>
      </c>
      <c r="N35" s="20" t="n">
        <v>0</v>
      </c>
      <c r="O35" s="18" t="n">
        <v>0</v>
      </c>
      <c r="P35" s="20" t="n">
        <v>0</v>
      </c>
      <c r="Q35" s="18" t="n">
        <v>1.1577</v>
      </c>
      <c r="R35" s="20" t="n">
        <v>0.37939387</v>
      </c>
    </row>
    <row r="36" spans="1:18">
      <c r="A36" s="15" t="s">
        <v>594</v>
      </c>
      <c r="B36" s="17" t="n">
        <v>6736</v>
      </c>
      <c r="C36" s="18">
        <f>(6031.0/B36*100)</f>
        <v/>
      </c>
      <c r="D36" s="19" t="n">
        <v>705</v>
      </c>
      <c r="E36" s="18" t="n">
        <v>39.65491158</v>
      </c>
      <c r="F36" s="20" t="n">
        <v>1.92357699</v>
      </c>
      <c r="G36" s="18" t="n">
        <v>59.26696704</v>
      </c>
      <c r="H36" s="20" t="n">
        <v>1.86511394</v>
      </c>
      <c r="I36" s="18" t="n">
        <v>0</v>
      </c>
      <c r="J36" s="20" t="n">
        <v>0</v>
      </c>
      <c r="K36" s="18" t="n">
        <v>0.08149774999999999</v>
      </c>
      <c r="L36" s="20" t="n">
        <v>0.07446859</v>
      </c>
      <c r="M36" s="18" t="n">
        <v>0</v>
      </c>
      <c r="N36" s="20" t="n">
        <v>0</v>
      </c>
      <c r="O36" s="18" t="n">
        <v>0</v>
      </c>
      <c r="P36" s="20" t="n">
        <v>0</v>
      </c>
      <c r="Q36" s="18" t="n">
        <v>0.99662363</v>
      </c>
      <c r="R36" s="20" t="n">
        <v>0.43790352</v>
      </c>
    </row>
    <row r="37" spans="1:18">
      <c r="A37" s="15" t="s">
        <v>595</v>
      </c>
      <c r="B37" s="17" t="n">
        <v>5458</v>
      </c>
      <c r="C37" s="18">
        <f>(4870.0/B37*100)</f>
        <v/>
      </c>
      <c r="D37" s="19" t="n">
        <v>588</v>
      </c>
      <c r="E37" s="18" t="n">
        <v>42.39355662</v>
      </c>
      <c r="F37" s="20" t="n">
        <v>2.05321065</v>
      </c>
      <c r="G37" s="18" t="n">
        <v>54.62858933</v>
      </c>
      <c r="H37" s="20" t="n">
        <v>2.01905731</v>
      </c>
      <c r="I37" s="18" t="n">
        <v>0</v>
      </c>
      <c r="J37" s="20" t="n">
        <v>0</v>
      </c>
      <c r="K37" s="18" t="n">
        <v>1.02745854</v>
      </c>
      <c r="L37" s="20" t="n">
        <v>0.45028949</v>
      </c>
      <c r="M37" s="18" t="n">
        <v>0</v>
      </c>
      <c r="N37" s="20" t="n">
        <v>0</v>
      </c>
      <c r="O37" s="18" t="n">
        <v>0</v>
      </c>
      <c r="P37" s="20" t="n">
        <v>0</v>
      </c>
      <c r="Q37" s="18" t="n">
        <v>1.95039551</v>
      </c>
      <c r="R37" s="20" t="n">
        <v>0.54339117</v>
      </c>
    </row>
    <row r="38" spans="1:18">
      <c r="A38" s="15" t="s">
        <v>596</v>
      </c>
      <c r="B38" s="17" t="n">
        <v>5860</v>
      </c>
      <c r="C38" s="18">
        <f>(5223.0/B38*100)</f>
        <v/>
      </c>
      <c r="D38" s="19" t="n">
        <v>637</v>
      </c>
      <c r="E38" s="18" t="n">
        <v>32.51261843</v>
      </c>
      <c r="F38" s="20" t="n">
        <v>2.09644544</v>
      </c>
      <c r="G38" s="18" t="n">
        <v>66.10097287000001</v>
      </c>
      <c r="H38" s="20" t="n">
        <v>1.99974456</v>
      </c>
      <c r="I38" s="18" t="n">
        <v>0</v>
      </c>
      <c r="J38" s="20" t="n">
        <v>0</v>
      </c>
      <c r="K38" s="18" t="n">
        <v>0.3067014</v>
      </c>
      <c r="L38" s="20" t="n">
        <v>0.21533522</v>
      </c>
      <c r="M38" s="18" t="n">
        <v>0</v>
      </c>
      <c r="N38" s="20" t="n">
        <v>0</v>
      </c>
      <c r="O38" s="18" t="n">
        <v>0</v>
      </c>
      <c r="P38" s="20" t="n">
        <v>0</v>
      </c>
      <c r="Q38" s="18" t="n">
        <v>1.0797073</v>
      </c>
      <c r="R38" s="20" t="n">
        <v>0.48770598</v>
      </c>
    </row>
    <row r="39" spans="1:18">
      <c r="A39" s="15" t="s">
        <v>597</v>
      </c>
      <c r="B39" s="17" t="n">
        <v>5895</v>
      </c>
      <c r="C39" s="18">
        <f>(5224.0/B39*100)</f>
        <v/>
      </c>
      <c r="D39" s="19" t="n">
        <v>671</v>
      </c>
      <c r="E39" s="18" t="n">
        <v>48.38859498</v>
      </c>
      <c r="F39" s="20" t="n">
        <v>2.7881552</v>
      </c>
      <c r="G39" s="18" t="n">
        <v>50.71254668</v>
      </c>
      <c r="H39" s="20" t="n">
        <v>2.81116234</v>
      </c>
      <c r="I39" s="18" t="n">
        <v>0</v>
      </c>
      <c r="J39" s="20" t="n">
        <v>0</v>
      </c>
      <c r="K39" s="18" t="n">
        <v>0.52451476</v>
      </c>
      <c r="L39" s="20" t="n">
        <v>0.29646721</v>
      </c>
      <c r="M39" s="18" t="n">
        <v>0</v>
      </c>
      <c r="N39" s="20" t="n">
        <v>0</v>
      </c>
      <c r="O39" s="18" t="n">
        <v>0</v>
      </c>
      <c r="P39" s="20" t="n">
        <v>0</v>
      </c>
      <c r="Q39" s="18" t="n">
        <v>0.37434358</v>
      </c>
      <c r="R39" s="20" t="n">
        <v>0.26951588</v>
      </c>
    </row>
    <row r="40" spans="1:18">
      <c r="A40" s="15" t="s">
        <v>598</v>
      </c>
      <c r="B40" s="17" t="n">
        <v>14157</v>
      </c>
      <c r="C40" s="18">
        <f>(12622.0/B40*100)</f>
        <v/>
      </c>
      <c r="D40" s="19" t="n">
        <v>1535</v>
      </c>
      <c r="E40" s="18" t="n">
        <v>51.68361775</v>
      </c>
      <c r="F40" s="20" t="n">
        <v>1.79278259</v>
      </c>
      <c r="G40" s="18" t="n">
        <v>47.32813818</v>
      </c>
      <c r="H40" s="20" t="n">
        <v>1.77571907</v>
      </c>
      <c r="I40" s="18" t="n">
        <v>0</v>
      </c>
      <c r="J40" s="20" t="n">
        <v>0</v>
      </c>
      <c r="K40" s="18" t="n">
        <v>0.0369915</v>
      </c>
      <c r="L40" s="20" t="n">
        <v>0.02687938</v>
      </c>
      <c r="M40" s="18" t="n">
        <v>0</v>
      </c>
      <c r="N40" s="20" t="n">
        <v>0</v>
      </c>
      <c r="O40" s="18" t="n">
        <v>0</v>
      </c>
      <c r="P40" s="20" t="n">
        <v>0</v>
      </c>
      <c r="Q40" s="18" t="n">
        <v>0.95125257</v>
      </c>
      <c r="R40" s="20" t="n">
        <v>0.401274</v>
      </c>
    </row>
    <row r="41" spans="1:18">
      <c r="A41" s="15" t="s">
        <v>599</v>
      </c>
      <c r="B41" s="17" t="n">
        <v>5712</v>
      </c>
      <c r="C41" s="18">
        <f>(5058.0/B41*100)</f>
        <v/>
      </c>
      <c r="D41" s="19" t="n">
        <v>654</v>
      </c>
      <c r="E41" s="18" t="n">
        <v>51.01233754</v>
      </c>
      <c r="F41" s="20" t="n">
        <v>2.21648115</v>
      </c>
      <c r="G41" s="18" t="n">
        <v>47.6533752</v>
      </c>
      <c r="H41" s="20" t="n">
        <v>2.16632683</v>
      </c>
      <c r="I41" s="18" t="n">
        <v>0</v>
      </c>
      <c r="J41" s="20" t="n">
        <v>0</v>
      </c>
      <c r="K41" s="18" t="n">
        <v>0.37704156</v>
      </c>
      <c r="L41" s="20" t="n">
        <v>0.26293411</v>
      </c>
      <c r="M41" s="18" t="n">
        <v>0</v>
      </c>
      <c r="N41" s="20" t="n">
        <v>0</v>
      </c>
      <c r="O41" s="18" t="n">
        <v>0</v>
      </c>
      <c r="P41" s="20" t="n">
        <v>0</v>
      </c>
      <c r="Q41" s="18" t="n">
        <v>0.95724569</v>
      </c>
      <c r="R41" s="20" t="n">
        <v>0.34865623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(20800.0/B46*100)</f>
        <v/>
      </c>
      <c r="D46" s="19" t="n">
        <v>2341</v>
      </c>
      <c r="E46" s="18" t="n">
        <v>53.0204029</v>
      </c>
      <c r="F46" s="20" t="n">
        <v>1.25240394</v>
      </c>
      <c r="G46" s="18" t="n">
        <v>44.82424619</v>
      </c>
      <c r="H46" s="20" t="n">
        <v>1.27201024</v>
      </c>
      <c r="I46" s="18" t="n">
        <v>0</v>
      </c>
      <c r="J46" s="20" t="n">
        <v>0</v>
      </c>
      <c r="K46" s="18" t="n">
        <v>0.35940724</v>
      </c>
      <c r="L46" s="20" t="n">
        <v>0.12825481</v>
      </c>
      <c r="M46" s="18" t="n">
        <v>0</v>
      </c>
      <c r="N46" s="20" t="n">
        <v>0</v>
      </c>
      <c r="O46" s="18" t="n">
        <v>0</v>
      </c>
      <c r="P46" s="20" t="n">
        <v>0</v>
      </c>
      <c r="Q46" s="18" t="n">
        <v>1.79594367</v>
      </c>
      <c r="R46" s="20" t="n">
        <v>0.32783463</v>
      </c>
    </row>
    <row r="47" spans="1:18">
      <c r="A47" s="15" t="s">
        <v>606</v>
      </c>
      <c r="B47" s="17" t="n">
        <v>5928</v>
      </c>
      <c r="C47" s="18">
        <f>(5284.0/B47*100)</f>
        <v/>
      </c>
      <c r="D47" s="19" t="n">
        <v>644</v>
      </c>
      <c r="E47" s="18" t="n">
        <v>46.1991292</v>
      </c>
      <c r="F47" s="20" t="n">
        <v>2.09261512</v>
      </c>
      <c r="G47" s="18" t="n">
        <v>50.62297123</v>
      </c>
      <c r="H47" s="20" t="n">
        <v>2.14059938</v>
      </c>
      <c r="I47" s="18" t="n">
        <v>0</v>
      </c>
      <c r="J47" s="20" t="n">
        <v>0</v>
      </c>
      <c r="K47" s="18" t="n">
        <v>0.29453349</v>
      </c>
      <c r="L47" s="20" t="n">
        <v>0.2088256</v>
      </c>
      <c r="M47" s="18" t="n">
        <v>0</v>
      </c>
      <c r="N47" s="20" t="n">
        <v>0</v>
      </c>
      <c r="O47" s="18" t="n">
        <v>0</v>
      </c>
      <c r="P47" s="20" t="n">
        <v>0</v>
      </c>
      <c r="Q47" s="18" t="n">
        <v>2.88336608</v>
      </c>
      <c r="R47" s="20" t="n">
        <v>0.61463061</v>
      </c>
    </row>
    <row r="48" spans="1:18">
      <c r="A48" s="15" t="s">
        <v>607</v>
      </c>
      <c r="B48" s="17" t="n">
        <v>9841</v>
      </c>
      <c r="C48" s="18">
        <f>(8730.0/B48*100)</f>
        <v/>
      </c>
      <c r="D48" s="19" t="n">
        <v>1111</v>
      </c>
      <c r="E48" s="18" t="n">
        <v>29.69941353</v>
      </c>
      <c r="F48" s="20" t="n">
        <v>2.01118881</v>
      </c>
      <c r="G48" s="18" t="n">
        <v>69.24698742</v>
      </c>
      <c r="H48" s="20" t="n">
        <v>2.16751198</v>
      </c>
      <c r="I48" s="18" t="n">
        <v>0</v>
      </c>
      <c r="J48" s="20" t="n">
        <v>0</v>
      </c>
      <c r="K48" s="18" t="n">
        <v>0.78380724</v>
      </c>
      <c r="L48" s="20" t="n">
        <v>0.42188051</v>
      </c>
      <c r="M48" s="18" t="n">
        <v>0</v>
      </c>
      <c r="N48" s="20" t="n">
        <v>0</v>
      </c>
      <c r="O48" s="18" t="n">
        <v>0</v>
      </c>
      <c r="P48" s="20" t="n">
        <v>0</v>
      </c>
      <c r="Q48" s="18" t="n">
        <v>0.26979181</v>
      </c>
      <c r="R48" s="20" t="n">
        <v>0.18650153</v>
      </c>
    </row>
    <row r="49" spans="1:18">
      <c r="A49" s="15" t="s">
        <v>608</v>
      </c>
      <c r="B49" s="17" t="n">
        <v>11795</v>
      </c>
      <c r="C49" s="18">
        <f>(10479.0/B49*100)</f>
        <v/>
      </c>
      <c r="D49" s="19" t="n">
        <v>1316</v>
      </c>
      <c r="E49" s="18" t="n">
        <v>50.21904871</v>
      </c>
      <c r="F49" s="20" t="n">
        <v>1.74918801</v>
      </c>
      <c r="G49" s="18" t="n">
        <v>47.35356101</v>
      </c>
      <c r="H49" s="20" t="n">
        <v>1.80692373</v>
      </c>
      <c r="I49" s="18" t="n">
        <v>0</v>
      </c>
      <c r="J49" s="20" t="n">
        <v>0</v>
      </c>
      <c r="K49" s="18" t="n">
        <v>1.28703619</v>
      </c>
      <c r="L49" s="20" t="n">
        <v>0.4855377</v>
      </c>
      <c r="M49" s="18" t="n">
        <v>0</v>
      </c>
      <c r="N49" s="20" t="n">
        <v>0</v>
      </c>
      <c r="O49" s="18" t="n">
        <v>0</v>
      </c>
      <c r="P49" s="20" t="n">
        <v>0</v>
      </c>
      <c r="Q49" s="18" t="n">
        <v>1.14035409</v>
      </c>
      <c r="R49" s="20" t="n">
        <v>0.3823923</v>
      </c>
    </row>
    <row r="50" spans="1:18">
      <c r="A50" s="15" t="s">
        <v>609</v>
      </c>
      <c r="B50" s="17" t="n">
        <v>6866</v>
      </c>
      <c r="C50" s="18">
        <f>(5490.0/B50*100)</f>
        <v/>
      </c>
      <c r="D50" s="19" t="n">
        <v>1376</v>
      </c>
      <c r="E50" s="18" t="n">
        <v>56.46119385</v>
      </c>
      <c r="F50" s="20" t="n">
        <v>1.4703292</v>
      </c>
      <c r="G50" s="18" t="n">
        <v>41.82519542</v>
      </c>
      <c r="H50" s="20" t="n">
        <v>1.46791818</v>
      </c>
      <c r="I50" s="18" t="n">
        <v>0</v>
      </c>
      <c r="J50" s="20" t="n">
        <v>0</v>
      </c>
      <c r="K50" s="18" t="n">
        <v>0.29894605</v>
      </c>
      <c r="L50" s="20" t="n">
        <v>0.16576913</v>
      </c>
      <c r="M50" s="18" t="n">
        <v>0</v>
      </c>
      <c r="N50" s="20" t="n">
        <v>0</v>
      </c>
      <c r="O50" s="18" t="n">
        <v>0</v>
      </c>
      <c r="P50" s="20" t="n">
        <v>0</v>
      </c>
      <c r="Q50" s="18" t="n">
        <v>1.41466468</v>
      </c>
      <c r="R50" s="20" t="n">
        <v>0.31918595</v>
      </c>
    </row>
    <row r="51" spans="1:18">
      <c r="A51" s="15" t="s">
        <v>610</v>
      </c>
      <c r="B51" s="17" t="n">
        <v>5809</v>
      </c>
      <c r="C51" s="18">
        <f>(5116.0/B51*100)</f>
        <v/>
      </c>
      <c r="D51" s="19" t="n">
        <v>693</v>
      </c>
      <c r="E51" s="18" t="n">
        <v>30.95627935</v>
      </c>
      <c r="F51" s="20" t="n">
        <v>1.92894978</v>
      </c>
      <c r="G51" s="18" t="n">
        <v>66.54015859</v>
      </c>
      <c r="H51" s="20" t="n">
        <v>2.03635063</v>
      </c>
      <c r="I51" s="18" t="n">
        <v>0</v>
      </c>
      <c r="J51" s="20" t="n">
        <v>0</v>
      </c>
      <c r="K51" s="18" t="n">
        <v>0</v>
      </c>
      <c r="L51" s="20" t="n">
        <v>0</v>
      </c>
      <c r="M51" s="18" t="n">
        <v>0</v>
      </c>
      <c r="N51" s="20" t="n">
        <v>0</v>
      </c>
      <c r="O51" s="18" t="n">
        <v>0</v>
      </c>
      <c r="P51" s="20" t="n">
        <v>0</v>
      </c>
      <c r="Q51" s="18" t="n">
        <v>2.50356206</v>
      </c>
      <c r="R51" s="20" t="n">
        <v>0.70160941</v>
      </c>
    </row>
    <row r="52" spans="1:18">
      <c r="A52" s="15" t="s">
        <v>611</v>
      </c>
      <c r="B52" s="17" t="n">
        <v>5571</v>
      </c>
      <c r="C52" s="18">
        <f>(4979.0/B52*100)</f>
        <v/>
      </c>
      <c r="D52" s="19" t="n">
        <v>592</v>
      </c>
      <c r="E52" s="18" t="n">
        <v>50.44884238</v>
      </c>
      <c r="F52" s="20" t="n">
        <v>2.07530088</v>
      </c>
      <c r="G52" s="18" t="n">
        <v>46.46062884</v>
      </c>
      <c r="H52" s="20" t="n">
        <v>2.10221828</v>
      </c>
      <c r="I52" s="18" t="n">
        <v>0</v>
      </c>
      <c r="J52" s="20" t="n">
        <v>0</v>
      </c>
      <c r="K52" s="18" t="n">
        <v>0.35725116</v>
      </c>
      <c r="L52" s="20" t="n">
        <v>0.20633104</v>
      </c>
      <c r="M52" s="18" t="n">
        <v>0</v>
      </c>
      <c r="N52" s="20" t="n">
        <v>0</v>
      </c>
      <c r="O52" s="18" t="n">
        <v>0</v>
      </c>
      <c r="P52" s="20" t="n">
        <v>0</v>
      </c>
      <c r="Q52" s="18" t="n">
        <v>2.73327763</v>
      </c>
      <c r="R52" s="20" t="n">
        <v>0.78146296</v>
      </c>
    </row>
    <row r="53" spans="1:18">
      <c r="A53" s="15" t="s">
        <v>612</v>
      </c>
      <c r="B53" s="17" t="n">
        <v>4740</v>
      </c>
      <c r="C53" s="18">
        <f>(4226.0/B53*100)</f>
        <v/>
      </c>
      <c r="D53" s="19" t="n">
        <v>514</v>
      </c>
      <c r="E53" s="18" t="n">
        <v>53.65378195</v>
      </c>
      <c r="F53" s="20" t="n">
        <v>2.59420277</v>
      </c>
      <c r="G53" s="18" t="n">
        <v>33.12765562</v>
      </c>
      <c r="H53" s="20" t="n">
        <v>2.33794125</v>
      </c>
      <c r="I53" s="18" t="n">
        <v>0</v>
      </c>
      <c r="J53" s="20" t="n">
        <v>0</v>
      </c>
      <c r="K53" s="18" t="n">
        <v>8.35839316</v>
      </c>
      <c r="L53" s="20" t="n">
        <v>1.47549393</v>
      </c>
      <c r="M53" s="18" t="n">
        <v>0</v>
      </c>
      <c r="N53" s="20" t="n">
        <v>0</v>
      </c>
      <c r="O53" s="18" t="n">
        <v>0</v>
      </c>
      <c r="P53" s="20" t="n">
        <v>0</v>
      </c>
      <c r="Q53" s="18" t="n">
        <v>4.86016927</v>
      </c>
      <c r="R53" s="20" t="n">
        <v>1.00725251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(4736.0/B55*100)</f>
        <v/>
      </c>
      <c r="D55" s="19" t="n">
        <v>623</v>
      </c>
      <c r="E55" s="18" t="n">
        <v>28.13458665</v>
      </c>
      <c r="F55" s="20" t="n">
        <v>2.20810583</v>
      </c>
      <c r="G55" s="18" t="n">
        <v>70.21569121</v>
      </c>
      <c r="H55" s="20" t="n">
        <v>2.19965612</v>
      </c>
      <c r="I55" s="18" t="n">
        <v>0</v>
      </c>
      <c r="J55" s="20" t="n">
        <v>0</v>
      </c>
      <c r="K55" s="18" t="n">
        <v>0.30713414</v>
      </c>
      <c r="L55" s="20" t="n">
        <v>0.22081957</v>
      </c>
      <c r="M55" s="18" t="n">
        <v>0</v>
      </c>
      <c r="N55" s="20" t="n">
        <v>0</v>
      </c>
      <c r="O55" s="18" t="n">
        <v>0</v>
      </c>
      <c r="P55" s="20" t="n">
        <v>0</v>
      </c>
      <c r="Q55" s="18" t="n">
        <v>1.342588</v>
      </c>
      <c r="R55" s="20" t="n">
        <v>0.36407463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(5759.0/B61*100)</f>
        <v/>
      </c>
      <c r="D61" s="19" t="n">
        <v>766</v>
      </c>
      <c r="E61" s="18" t="n">
        <v>25.93633353</v>
      </c>
      <c r="F61" s="20" t="n">
        <v>1.77568879</v>
      </c>
      <c r="G61" s="18" t="n">
        <v>73.60330666</v>
      </c>
      <c r="H61" s="20" t="n">
        <v>1.75667961</v>
      </c>
      <c r="I61" s="18" t="n">
        <v>0</v>
      </c>
      <c r="J61" s="20" t="n">
        <v>0</v>
      </c>
      <c r="K61" s="18" t="n">
        <v>0.03119944</v>
      </c>
      <c r="L61" s="20" t="n">
        <v>0.03127363</v>
      </c>
      <c r="M61" s="18" t="n">
        <v>0</v>
      </c>
      <c r="N61" s="20" t="n">
        <v>0</v>
      </c>
      <c r="O61" s="18" t="n">
        <v>0</v>
      </c>
      <c r="P61" s="20" t="n">
        <v>0</v>
      </c>
      <c r="Q61" s="18" t="n">
        <v>0.42916038</v>
      </c>
      <c r="R61" s="20" t="n">
        <v>0.25589284</v>
      </c>
    </row>
    <row r="62" spans="1:18">
      <c r="A62" s="15" t="s">
        <v>622</v>
      </c>
      <c r="B62" s="17" t="n">
        <v>4476</v>
      </c>
      <c r="C62" s="18">
        <f>(4002.0/B62*100)</f>
        <v/>
      </c>
      <c r="D62" s="19" t="n">
        <v>474</v>
      </c>
      <c r="E62" s="18" t="n">
        <v>25.37398399</v>
      </c>
      <c r="F62" s="20" t="n">
        <v>1.74777403</v>
      </c>
      <c r="G62" s="18" t="n">
        <v>74.20187323</v>
      </c>
      <c r="H62" s="20" t="n">
        <v>1.71046017</v>
      </c>
      <c r="I62" s="18" t="n">
        <v>0</v>
      </c>
      <c r="J62" s="20" t="n">
        <v>0</v>
      </c>
      <c r="K62" s="18" t="n">
        <v>0</v>
      </c>
      <c r="L62" s="20" t="n">
        <v>0</v>
      </c>
      <c r="M62" s="18" t="n">
        <v>0</v>
      </c>
      <c r="N62" s="20" t="n">
        <v>0</v>
      </c>
      <c r="O62" s="18" t="n">
        <v>0</v>
      </c>
      <c r="P62" s="20" t="n">
        <v>0</v>
      </c>
      <c r="Q62" s="18" t="n">
        <v>0.42414278</v>
      </c>
      <c r="R62" s="20" t="n">
        <v>0.29841895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(5020.0/B67*100)</f>
        <v/>
      </c>
      <c r="D67" s="19" t="n">
        <v>645</v>
      </c>
      <c r="E67" s="18" t="n">
        <v>50.85410481</v>
      </c>
      <c r="F67" s="20" t="n">
        <v>1.82631814</v>
      </c>
      <c r="G67" s="18" t="n">
        <v>44.2755978</v>
      </c>
      <c r="H67" s="20" t="n">
        <v>1.88979556</v>
      </c>
      <c r="I67" s="18" t="n">
        <v>0</v>
      </c>
      <c r="J67" s="20" t="n">
        <v>0</v>
      </c>
      <c r="K67" s="18" t="n">
        <v>0.56212514</v>
      </c>
      <c r="L67" s="20" t="n">
        <v>0.27722575</v>
      </c>
      <c r="M67" s="18" t="n">
        <v>0</v>
      </c>
      <c r="N67" s="20" t="n">
        <v>0</v>
      </c>
      <c r="O67" s="18" t="n">
        <v>0</v>
      </c>
      <c r="P67" s="20" t="n">
        <v>0</v>
      </c>
      <c r="Q67" s="18" t="n">
        <v>4.30817225</v>
      </c>
      <c r="R67" s="20" t="n">
        <v>0.90482821</v>
      </c>
    </row>
    <row r="68" spans="1:18">
      <c r="A68" s="15" t="s">
        <v>628</v>
      </c>
      <c r="B68" s="17" t="n">
        <v>6971</v>
      </c>
      <c r="C68" s="18">
        <f>(6228.0/B68*100)</f>
        <v/>
      </c>
      <c r="D68" s="19" t="n">
        <v>743</v>
      </c>
      <c r="E68" s="18" t="n">
        <v>61.24434483</v>
      </c>
      <c r="F68" s="20" t="n">
        <v>1.82064083</v>
      </c>
      <c r="G68" s="18" t="n">
        <v>37.14426835</v>
      </c>
      <c r="H68" s="20" t="n">
        <v>1.84247749</v>
      </c>
      <c r="I68" s="18" t="n">
        <v>0</v>
      </c>
      <c r="J68" s="20" t="n">
        <v>0</v>
      </c>
      <c r="K68" s="18" t="n">
        <v>0</v>
      </c>
      <c r="L68" s="20" t="n">
        <v>0</v>
      </c>
      <c r="M68" s="18" t="n">
        <v>0</v>
      </c>
      <c r="N68" s="20" t="n">
        <v>0</v>
      </c>
      <c r="O68" s="18" t="n">
        <v>0</v>
      </c>
      <c r="P68" s="20" t="n">
        <v>0</v>
      </c>
      <c r="Q68" s="18" t="n">
        <v>1.61138682</v>
      </c>
      <c r="R68" s="20" t="n">
        <v>0.45004799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(10768.0/B70*100)</f>
        <v/>
      </c>
      <c r="D70" s="19" t="n">
        <v>1315</v>
      </c>
      <c r="E70" s="18" t="n">
        <v>58.50588302</v>
      </c>
      <c r="F70" s="20" t="n">
        <v>1.25491924</v>
      </c>
      <c r="G70" s="18" t="n">
        <v>38.76146418</v>
      </c>
      <c r="H70" s="20" t="n">
        <v>1.2797909</v>
      </c>
      <c r="I70" s="18" t="n">
        <v>0</v>
      </c>
      <c r="J70" s="20" t="n">
        <v>0</v>
      </c>
      <c r="K70" s="18" t="n">
        <v>1.38070479</v>
      </c>
      <c r="L70" s="20" t="n">
        <v>0.32020433</v>
      </c>
      <c r="M70" s="18" t="n">
        <v>0</v>
      </c>
      <c r="N70" s="20" t="n">
        <v>0</v>
      </c>
      <c r="O70" s="18" t="n">
        <v>0</v>
      </c>
      <c r="P70" s="20" t="n">
        <v>0</v>
      </c>
      <c r="Q70" s="18" t="n">
        <v>1.35194801</v>
      </c>
      <c r="R70" s="20" t="n">
        <v>0.29812032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(5365.0/B72*100)</f>
        <v/>
      </c>
      <c r="D72" s="19" t="n">
        <v>671</v>
      </c>
      <c r="E72" s="18" t="n">
        <v>26.5623746</v>
      </c>
      <c r="F72" s="20" t="n">
        <v>2.15460165</v>
      </c>
      <c r="G72" s="18" t="n">
        <v>73.07974958</v>
      </c>
      <c r="H72" s="20" t="n">
        <v>2.14240748</v>
      </c>
      <c r="I72" s="18" t="n">
        <v>0</v>
      </c>
      <c r="J72" s="20" t="n">
        <v>0</v>
      </c>
      <c r="K72" s="18" t="n">
        <v>0</v>
      </c>
      <c r="L72" s="20" t="n">
        <v>0</v>
      </c>
      <c r="M72" s="18" t="n">
        <v>0</v>
      </c>
      <c r="N72" s="20" t="n">
        <v>0</v>
      </c>
      <c r="O72" s="18" t="n">
        <v>0</v>
      </c>
      <c r="P72" s="20" t="n">
        <v>0</v>
      </c>
      <c r="Q72" s="18" t="n">
        <v>0.35787582</v>
      </c>
      <c r="R72" s="20" t="n">
        <v>0.172246</v>
      </c>
    </row>
    <row r="73" spans="1:18">
      <c r="A73" s="15" t="s">
        <v>633</v>
      </c>
      <c r="B73" s="17" t="n">
        <v>6115</v>
      </c>
      <c r="C73" s="18">
        <f>(5460.0/B73*100)</f>
        <v/>
      </c>
      <c r="D73" s="19" t="n">
        <v>655</v>
      </c>
      <c r="E73" s="18" t="n">
        <v>36.31826504</v>
      </c>
      <c r="F73" s="20" t="n">
        <v>1.75978293</v>
      </c>
      <c r="G73" s="18" t="n">
        <v>63.35423258</v>
      </c>
      <c r="H73" s="20" t="n">
        <v>1.77031291</v>
      </c>
      <c r="I73" s="18" t="n">
        <v>0</v>
      </c>
      <c r="J73" s="20" t="n">
        <v>0</v>
      </c>
      <c r="K73" s="18" t="n">
        <v>0</v>
      </c>
      <c r="L73" s="20" t="n">
        <v>0</v>
      </c>
      <c r="M73" s="18" t="n">
        <v>0</v>
      </c>
      <c r="N73" s="20" t="n">
        <v>0</v>
      </c>
      <c r="O73" s="18" t="n">
        <v>0</v>
      </c>
      <c r="P73" s="20" t="n">
        <v>0</v>
      </c>
      <c r="Q73" s="18" t="n">
        <v>0.32750238</v>
      </c>
      <c r="R73" s="20" t="n">
        <v>0.22689839</v>
      </c>
    </row>
    <row r="74" spans="1:18">
      <c r="A74" s="15" t="s">
        <v>634</v>
      </c>
      <c r="B74" s="17" t="n">
        <v>7708</v>
      </c>
      <c r="C74" s="18">
        <f>(6844.0/B74*100)</f>
        <v/>
      </c>
      <c r="D74" s="19" t="n">
        <v>864</v>
      </c>
      <c r="E74" s="18" t="n">
        <v>25.53853482</v>
      </c>
      <c r="F74" s="20" t="n">
        <v>1.4947978</v>
      </c>
      <c r="G74" s="18" t="n">
        <v>74.05895178999999</v>
      </c>
      <c r="H74" s="20" t="n">
        <v>1.52333121</v>
      </c>
      <c r="I74" s="18" t="n">
        <v>0</v>
      </c>
      <c r="J74" s="20" t="n">
        <v>0</v>
      </c>
      <c r="K74" s="18" t="n">
        <v>0.24428879</v>
      </c>
      <c r="L74" s="20" t="n">
        <v>0.1838958</v>
      </c>
      <c r="M74" s="18" t="n">
        <v>0</v>
      </c>
      <c r="N74" s="20" t="n">
        <v>0</v>
      </c>
      <c r="O74" s="18" t="n">
        <v>0</v>
      </c>
      <c r="P74" s="20" t="n">
        <v>0</v>
      </c>
      <c r="Q74" s="18" t="n">
        <v>0.15822459</v>
      </c>
      <c r="R74" s="20" t="n">
        <v>0.11291098</v>
      </c>
    </row>
    <row r="75" spans="1:18">
      <c r="A75" s="15" t="s">
        <v>635</v>
      </c>
      <c r="B75" s="17" t="n">
        <v>8249</v>
      </c>
      <c r="C75" s="18">
        <f>(7346.0/B75*100)</f>
        <v/>
      </c>
      <c r="D75" s="19" t="n">
        <v>903</v>
      </c>
      <c r="E75" s="18" t="n">
        <v>75.28955954</v>
      </c>
      <c r="F75" s="20" t="n">
        <v>1.7000671</v>
      </c>
      <c r="G75" s="18" t="n">
        <v>24.29292263</v>
      </c>
      <c r="H75" s="20" t="n">
        <v>1.6983725</v>
      </c>
      <c r="I75" s="18" t="n">
        <v>0</v>
      </c>
      <c r="J75" s="20" t="n">
        <v>0</v>
      </c>
      <c r="K75" s="18" t="n">
        <v>0.1918385</v>
      </c>
      <c r="L75" s="20" t="n">
        <v>0.15845335</v>
      </c>
      <c r="M75" s="18" t="n">
        <v>0</v>
      </c>
      <c r="N75" s="20" t="n">
        <v>0</v>
      </c>
      <c r="O75" s="18" t="n">
        <v>0</v>
      </c>
      <c r="P75" s="20" t="n">
        <v>0</v>
      </c>
      <c r="Q75" s="18" t="n">
        <v>0.22567933</v>
      </c>
      <c r="R75" s="20" t="n">
        <v>0.16156799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(4821.0/B77*100)</f>
        <v/>
      </c>
      <c r="D77" s="19" t="n">
        <v>554</v>
      </c>
      <c r="E77" s="18" t="n">
        <v>71.98695223</v>
      </c>
      <c r="F77" s="20" t="n">
        <v>1.80007436</v>
      </c>
      <c r="G77" s="18" t="n">
        <v>24.5788402</v>
      </c>
      <c r="H77" s="20" t="n">
        <v>1.77207807</v>
      </c>
      <c r="I77" s="18" t="n">
        <v>0</v>
      </c>
      <c r="J77" s="20" t="n">
        <v>0</v>
      </c>
      <c r="K77" s="18" t="n">
        <v>1.95350504</v>
      </c>
      <c r="L77" s="20" t="n">
        <v>0.62262317</v>
      </c>
      <c r="M77" s="18" t="n">
        <v>0</v>
      </c>
      <c r="N77" s="20" t="n">
        <v>0</v>
      </c>
      <c r="O77" s="18" t="n">
        <v>0</v>
      </c>
      <c r="P77" s="20" t="n">
        <v>0</v>
      </c>
      <c r="Q77" s="18" t="n">
        <v>1.48070253</v>
      </c>
      <c r="R77" s="20" t="n">
        <v>0.45359695</v>
      </c>
    </row>
    <row r="78" spans="1:18">
      <c r="A78" s="15" t="s">
        <v>638</v>
      </c>
      <c r="B78" s="17" t="n">
        <v>14167</v>
      </c>
      <c r="C78" s="18">
        <f>(12561.0/B78*100)</f>
        <v/>
      </c>
      <c r="D78" s="19" t="n">
        <v>1606</v>
      </c>
      <c r="E78" s="18" t="n">
        <v>53.21163051</v>
      </c>
      <c r="F78" s="20" t="n">
        <v>1.48379231</v>
      </c>
      <c r="G78" s="18" t="n">
        <v>44.40095157</v>
      </c>
      <c r="H78" s="20" t="n">
        <v>1.3486894</v>
      </c>
      <c r="I78" s="18" t="n">
        <v>0</v>
      </c>
      <c r="J78" s="20" t="n">
        <v>0</v>
      </c>
      <c r="K78" s="18" t="n">
        <v>0.47416666</v>
      </c>
      <c r="L78" s="20" t="n">
        <v>0.2155397</v>
      </c>
      <c r="M78" s="18" t="n">
        <v>0</v>
      </c>
      <c r="N78" s="20" t="n">
        <v>0</v>
      </c>
      <c r="O78" s="18" t="n">
        <v>0</v>
      </c>
      <c r="P78" s="20" t="n">
        <v>0</v>
      </c>
      <c r="Q78" s="18" t="n">
        <v>1.91325125</v>
      </c>
      <c r="R78" s="20" t="n">
        <v>0.61915103</v>
      </c>
    </row>
    <row r="79" spans="1:18">
      <c r="A79" s="15" t="s">
        <v>639</v>
      </c>
      <c r="B79" s="17" t="n">
        <v>6062</v>
      </c>
      <c r="C79" s="18">
        <f>(5386.0/B79*100)</f>
        <v/>
      </c>
      <c r="D79" s="19" t="n">
        <v>676</v>
      </c>
      <c r="E79" s="18" t="n">
        <v>53.66542007</v>
      </c>
      <c r="F79" s="20" t="n">
        <v>1.87841454</v>
      </c>
      <c r="G79" s="18" t="n">
        <v>41.5533871</v>
      </c>
      <c r="H79" s="20" t="n">
        <v>1.74441152</v>
      </c>
      <c r="I79" s="18" t="n">
        <v>0</v>
      </c>
      <c r="J79" s="20" t="n">
        <v>0</v>
      </c>
      <c r="K79" s="18" t="n">
        <v>0.6153013000000001</v>
      </c>
      <c r="L79" s="20" t="n">
        <v>0.29937909</v>
      </c>
      <c r="M79" s="18" t="n">
        <v>0</v>
      </c>
      <c r="N79" s="20" t="n">
        <v>0</v>
      </c>
      <c r="O79" s="18" t="n">
        <v>0</v>
      </c>
      <c r="P79" s="20" t="n">
        <v>0</v>
      </c>
      <c r="Q79" s="18" t="n">
        <v>4.16589153</v>
      </c>
      <c r="R79" s="20" t="n">
        <v>0.83024068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(28832.0/B82*100)</f>
        <v/>
      </c>
      <c r="D82" s="19" t="n">
        <v>3498</v>
      </c>
      <c r="E82" s="18" t="n">
        <v>40.51928934</v>
      </c>
      <c r="F82" s="20" t="n">
        <v>1.18793478</v>
      </c>
      <c r="G82" s="18" t="n">
        <v>58.1336214</v>
      </c>
      <c r="H82" s="20" t="n">
        <v>1.14936466</v>
      </c>
      <c r="I82" s="18" t="n">
        <v>0</v>
      </c>
      <c r="J82" s="20" t="n">
        <v>0</v>
      </c>
      <c r="K82" s="18" t="n">
        <v>0.06400959000000001</v>
      </c>
      <c r="L82" s="20" t="n">
        <v>0.03541552</v>
      </c>
      <c r="M82" s="18" t="n">
        <v>0</v>
      </c>
      <c r="N82" s="20" t="n">
        <v>0</v>
      </c>
      <c r="O82" s="18" t="n">
        <v>0</v>
      </c>
      <c r="P82" s="20" t="n">
        <v>0</v>
      </c>
      <c r="Q82" s="18" t="n">
        <v>1.28307967</v>
      </c>
      <c r="R82" s="20" t="n">
        <v>0.31361893</v>
      </c>
    </row>
    <row r="83" spans="1:18">
      <c r="A83" s="15" t="s">
        <v>643</v>
      </c>
      <c r="B83" s="17" t="n">
        <v>1652</v>
      </c>
      <c r="C83" s="18">
        <f>(1428.0/B83*100)</f>
        <v/>
      </c>
      <c r="D83" s="19" t="n">
        <v>224</v>
      </c>
      <c r="E83" s="18" t="n">
        <v>45.44187784</v>
      </c>
      <c r="F83" s="20" t="n">
        <v>3.44260721</v>
      </c>
      <c r="G83" s="18" t="n">
        <v>53.4502281</v>
      </c>
      <c r="H83" s="20" t="n">
        <v>3.70345373</v>
      </c>
      <c r="I83" s="18" t="n">
        <v>0</v>
      </c>
      <c r="J83" s="20" t="n">
        <v>0</v>
      </c>
      <c r="K83" s="18" t="n">
        <v>0</v>
      </c>
      <c r="L83" s="20" t="n">
        <v>0</v>
      </c>
      <c r="M83" s="18" t="n">
        <v>0</v>
      </c>
      <c r="N83" s="20" t="n">
        <v>0</v>
      </c>
      <c r="O83" s="18" t="n">
        <v>0</v>
      </c>
      <c r="P83" s="20" t="n">
        <v>0</v>
      </c>
      <c r="Q83" s="18" t="n">
        <v>1.10789406</v>
      </c>
      <c r="R83" s="20" t="n">
        <v>0.75526791</v>
      </c>
    </row>
    <row r="84" spans="1:18">
      <c r="A84" s="23" t="s">
        <v>644</v>
      </c>
      <c r="B84" s="24" t="n">
        <v>1887</v>
      </c>
      <c r="C84" s="25">
        <f>(1641.0/B84*100)</f>
        <v/>
      </c>
      <c r="D84" s="19" t="n">
        <v>246</v>
      </c>
      <c r="E84" s="18" t="n">
        <v>49.37915995</v>
      </c>
      <c r="F84" s="20" t="n">
        <v>3.57747811</v>
      </c>
      <c r="G84" s="18" t="n">
        <v>48.92255656</v>
      </c>
      <c r="H84" s="20" t="n">
        <v>3.68006744</v>
      </c>
      <c r="I84" s="18" t="n">
        <v>0</v>
      </c>
      <c r="J84" s="20" t="n">
        <v>0</v>
      </c>
      <c r="K84" s="18" t="n">
        <v>0</v>
      </c>
      <c r="L84" s="20" t="n">
        <v>0</v>
      </c>
      <c r="M84" s="18" t="n">
        <v>0</v>
      </c>
      <c r="N84" s="20" t="n">
        <v>0</v>
      </c>
      <c r="O84" s="18" t="n">
        <v>0</v>
      </c>
      <c r="P84" s="20" t="n">
        <v>0</v>
      </c>
      <c r="Q84" s="18" t="n">
        <v>1.69828349</v>
      </c>
      <c r="R84" s="20" t="n">
        <v>0.86095274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719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(12907.0/B7*100)</f>
        <v/>
      </c>
      <c r="D7" s="19" t="n">
        <v>1623</v>
      </c>
      <c r="E7" s="18" t="n">
        <v>55.1336084</v>
      </c>
      <c r="F7" s="20" t="n">
        <v>1.61737084</v>
      </c>
      <c r="G7" s="18" t="n">
        <v>44.27255056</v>
      </c>
      <c r="H7" s="20" t="n">
        <v>1.63230982</v>
      </c>
      <c r="I7" s="18" t="n">
        <v>0</v>
      </c>
      <c r="J7" s="20" t="n">
        <v>0</v>
      </c>
      <c r="K7" s="18" t="n">
        <v>0.04104339</v>
      </c>
      <c r="L7" s="20" t="n">
        <v>0.02116898</v>
      </c>
      <c r="M7" s="18" t="n">
        <v>0</v>
      </c>
      <c r="N7" s="20" t="n">
        <v>0</v>
      </c>
      <c r="O7" s="18" t="n">
        <v>0</v>
      </c>
      <c r="P7" s="20" t="n">
        <v>0</v>
      </c>
      <c r="Q7" s="18" t="n">
        <v>0.55279765</v>
      </c>
      <c r="R7" s="20" t="n">
        <v>0.25969682</v>
      </c>
    </row>
    <row r="8" spans="1:18">
      <c r="A8" s="15" t="s">
        <v>566</v>
      </c>
      <c r="B8" s="17" t="n">
        <v>7007</v>
      </c>
      <c r="C8" s="18">
        <f>(6197.0/B8*100)</f>
        <v/>
      </c>
      <c r="D8" s="19" t="n">
        <v>810</v>
      </c>
      <c r="E8" s="18" t="n">
        <v>65.93875097999999</v>
      </c>
      <c r="F8" s="20" t="n">
        <v>1.72761576</v>
      </c>
      <c r="G8" s="18" t="n">
        <v>33.66731168</v>
      </c>
      <c r="H8" s="20" t="n">
        <v>1.72679064</v>
      </c>
      <c r="I8" s="18" t="n">
        <v>0</v>
      </c>
      <c r="J8" s="20" t="n">
        <v>0</v>
      </c>
      <c r="K8" s="18" t="n">
        <v>0.10861439</v>
      </c>
      <c r="L8" s="20" t="n">
        <v>0.10935807</v>
      </c>
      <c r="M8" s="18" t="n">
        <v>0</v>
      </c>
      <c r="N8" s="20" t="n">
        <v>0</v>
      </c>
      <c r="O8" s="18" t="n">
        <v>0</v>
      </c>
      <c r="P8" s="20" t="n">
        <v>0</v>
      </c>
      <c r="Q8" s="18" t="n">
        <v>0.28532294</v>
      </c>
      <c r="R8" s="20" t="n">
        <v>0.14560409</v>
      </c>
    </row>
    <row r="9" spans="1:18">
      <c r="A9" s="15" t="s">
        <v>567</v>
      </c>
      <c r="B9" s="17" t="n">
        <v>9651</v>
      </c>
      <c r="C9" s="18">
        <f>(8611.0/B9*100)</f>
        <v/>
      </c>
      <c r="D9" s="19" t="n">
        <v>1040</v>
      </c>
      <c r="E9" s="18" t="n">
        <v>58.8001948</v>
      </c>
      <c r="F9" s="20" t="n">
        <v>1.6309002</v>
      </c>
      <c r="G9" s="18" t="n">
        <v>40.90568402</v>
      </c>
      <c r="H9" s="20" t="n">
        <v>1.62681868</v>
      </c>
      <c r="I9" s="18" t="n">
        <v>0</v>
      </c>
      <c r="J9" s="20" t="n">
        <v>0</v>
      </c>
      <c r="K9" s="18" t="n">
        <v>0.10565664</v>
      </c>
      <c r="L9" s="20" t="n">
        <v>0.10535732</v>
      </c>
      <c r="M9" s="18" t="n">
        <v>0</v>
      </c>
      <c r="N9" s="20" t="n">
        <v>0</v>
      </c>
      <c r="O9" s="18" t="n">
        <v>0</v>
      </c>
      <c r="P9" s="20" t="n">
        <v>0</v>
      </c>
      <c r="Q9" s="18" t="n">
        <v>0.18846454</v>
      </c>
      <c r="R9" s="20" t="n">
        <v>0.15476417</v>
      </c>
    </row>
    <row r="10" spans="1:18">
      <c r="A10" s="15" t="s">
        <v>568</v>
      </c>
      <c r="B10" s="17" t="n">
        <v>20058</v>
      </c>
      <c r="C10" s="18">
        <f>(17913.0/B10*100)</f>
        <v/>
      </c>
      <c r="D10" s="19" t="n">
        <v>2145</v>
      </c>
      <c r="E10" s="18" t="n">
        <v>56.76431738</v>
      </c>
      <c r="F10" s="20" t="n">
        <v>1.56625988</v>
      </c>
      <c r="G10" s="18" t="n">
        <v>42.89248058</v>
      </c>
      <c r="H10" s="20" t="n">
        <v>1.52124522</v>
      </c>
      <c r="I10" s="18" t="n">
        <v>0</v>
      </c>
      <c r="J10" s="20" t="n">
        <v>0</v>
      </c>
      <c r="K10" s="18" t="n">
        <v>0.23067831</v>
      </c>
      <c r="L10" s="20" t="n">
        <v>0.14832632</v>
      </c>
      <c r="M10" s="18" t="n">
        <v>0</v>
      </c>
      <c r="N10" s="20" t="n">
        <v>0</v>
      </c>
      <c r="O10" s="18" t="n">
        <v>0</v>
      </c>
      <c r="P10" s="20" t="n">
        <v>0</v>
      </c>
      <c r="Q10" s="18" t="n">
        <v>0.11252373</v>
      </c>
      <c r="R10" s="20" t="n">
        <v>0.08140364999999999</v>
      </c>
    </row>
    <row r="11" spans="1:18">
      <c r="A11" s="15" t="s">
        <v>569</v>
      </c>
      <c r="B11" s="17" t="n">
        <v>7053</v>
      </c>
      <c r="C11" s="18">
        <f>(6284.0/B11*100)</f>
        <v/>
      </c>
      <c r="D11" s="19" t="n">
        <v>769</v>
      </c>
      <c r="E11" s="18" t="n">
        <v>64.66625514</v>
      </c>
      <c r="F11" s="20" t="n">
        <v>1.75215841</v>
      </c>
      <c r="G11" s="18" t="n">
        <v>33.34986709</v>
      </c>
      <c r="H11" s="20" t="n">
        <v>1.70175072</v>
      </c>
      <c r="I11" s="18" t="n">
        <v>0</v>
      </c>
      <c r="J11" s="20" t="n">
        <v>0</v>
      </c>
      <c r="K11" s="18" t="n">
        <v>0.89944244</v>
      </c>
      <c r="L11" s="20" t="n">
        <v>0.45322935</v>
      </c>
      <c r="M11" s="18" t="n">
        <v>0</v>
      </c>
      <c r="N11" s="20" t="n">
        <v>0</v>
      </c>
      <c r="O11" s="18" t="n">
        <v>0</v>
      </c>
      <c r="P11" s="20" t="n">
        <v>0</v>
      </c>
      <c r="Q11" s="18" t="n">
        <v>1.08443533</v>
      </c>
      <c r="R11" s="20" t="n">
        <v>0.40308764</v>
      </c>
    </row>
    <row r="12" spans="1:18">
      <c r="A12" s="15" t="s">
        <v>570</v>
      </c>
      <c r="B12" s="17" t="n">
        <v>6894</v>
      </c>
      <c r="C12" s="18">
        <f>(6127.0/B12*100)</f>
        <v/>
      </c>
      <c r="D12" s="19" t="n">
        <v>767</v>
      </c>
      <c r="E12" s="18" t="n">
        <v>60.91481274</v>
      </c>
      <c r="F12" s="20" t="n">
        <v>1.94197463</v>
      </c>
      <c r="G12" s="18" t="n">
        <v>38.83394786</v>
      </c>
      <c r="H12" s="20" t="n">
        <v>1.9311154</v>
      </c>
      <c r="I12" s="18" t="n">
        <v>0</v>
      </c>
      <c r="J12" s="20" t="n">
        <v>0</v>
      </c>
      <c r="K12" s="18" t="n">
        <v>0</v>
      </c>
      <c r="L12" s="20" t="n">
        <v>0</v>
      </c>
      <c r="M12" s="18" t="n">
        <v>0</v>
      </c>
      <c r="N12" s="20" t="n">
        <v>0</v>
      </c>
      <c r="O12" s="18" t="n">
        <v>0</v>
      </c>
      <c r="P12" s="20" t="n">
        <v>0</v>
      </c>
      <c r="Q12" s="18" t="n">
        <v>0.2512394</v>
      </c>
      <c r="R12" s="20" t="n">
        <v>0.1584914</v>
      </c>
    </row>
    <row r="13" spans="1:18">
      <c r="A13" s="15" t="s">
        <v>571</v>
      </c>
      <c r="B13" s="17" t="n">
        <v>7161</v>
      </c>
      <c r="C13" s="18">
        <f>(6392.0/B13*100)</f>
        <v/>
      </c>
      <c r="D13" s="19" t="n">
        <v>769</v>
      </c>
      <c r="E13" s="18" t="n">
        <v>53.65927125</v>
      </c>
      <c r="F13" s="20" t="n">
        <v>2.26849978</v>
      </c>
      <c r="G13" s="18" t="n">
        <v>46.1491089</v>
      </c>
      <c r="H13" s="20" t="n">
        <v>2.29086825</v>
      </c>
      <c r="I13" s="18" t="n">
        <v>0</v>
      </c>
      <c r="J13" s="20" t="n">
        <v>0</v>
      </c>
      <c r="K13" s="18" t="n">
        <v>0.17091832</v>
      </c>
      <c r="L13" s="20" t="n">
        <v>0.15170184</v>
      </c>
      <c r="M13" s="18" t="n">
        <v>0</v>
      </c>
      <c r="N13" s="20" t="n">
        <v>0</v>
      </c>
      <c r="O13" s="18" t="n">
        <v>0</v>
      </c>
      <c r="P13" s="20" t="n">
        <v>0</v>
      </c>
      <c r="Q13" s="18" t="n">
        <v>0.02070154</v>
      </c>
      <c r="R13" s="20" t="n">
        <v>0.02104478</v>
      </c>
    </row>
    <row r="14" spans="1:18">
      <c r="A14" s="15" t="s">
        <v>572</v>
      </c>
      <c r="B14" s="17" t="n">
        <v>5587</v>
      </c>
      <c r="C14" s="18">
        <f>(4995.0/B14*100)</f>
        <v/>
      </c>
      <c r="D14" s="19" t="n">
        <v>592</v>
      </c>
      <c r="E14" s="18" t="n">
        <v>64.85707649</v>
      </c>
      <c r="F14" s="20" t="n">
        <v>2.14550352</v>
      </c>
      <c r="G14" s="18" t="n">
        <v>35.14292351</v>
      </c>
      <c r="H14" s="20" t="n">
        <v>2.14550352</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(5252.0/B15*100)</f>
        <v/>
      </c>
      <c r="D15" s="19" t="n">
        <v>630</v>
      </c>
      <c r="E15" s="18" t="n">
        <v>53.24883299</v>
      </c>
      <c r="F15" s="20" t="n">
        <v>1.82656311</v>
      </c>
      <c r="G15" s="18" t="n">
        <v>46.13185256</v>
      </c>
      <c r="H15" s="20" t="n">
        <v>1.83527125</v>
      </c>
      <c r="I15" s="18" t="n">
        <v>0</v>
      </c>
      <c r="J15" s="20" t="n">
        <v>0</v>
      </c>
      <c r="K15" s="18" t="n">
        <v>0.29704212</v>
      </c>
      <c r="L15" s="20" t="n">
        <v>0.21077583</v>
      </c>
      <c r="M15" s="18" t="n">
        <v>0</v>
      </c>
      <c r="N15" s="20" t="n">
        <v>0</v>
      </c>
      <c r="O15" s="18" t="n">
        <v>0</v>
      </c>
      <c r="P15" s="20" t="n">
        <v>0</v>
      </c>
      <c r="Q15" s="18" t="n">
        <v>0.32227233</v>
      </c>
      <c r="R15" s="20" t="n">
        <v>0.22450363</v>
      </c>
    </row>
    <row r="16" spans="1:18">
      <c r="A16" s="15" t="s">
        <v>574</v>
      </c>
      <c r="B16" s="17" t="n">
        <v>6108</v>
      </c>
      <c r="C16" s="18">
        <f>(5472.0/B16*100)</f>
        <v/>
      </c>
      <c r="D16" s="19" t="n">
        <v>636</v>
      </c>
      <c r="E16" s="18" t="n">
        <v>59.99804401</v>
      </c>
      <c r="F16" s="20" t="n">
        <v>2.19290137</v>
      </c>
      <c r="G16" s="18" t="n">
        <v>39.0933898</v>
      </c>
      <c r="H16" s="20" t="n">
        <v>2.21123311</v>
      </c>
      <c r="I16" s="18" t="n">
        <v>0</v>
      </c>
      <c r="J16" s="20" t="n">
        <v>0</v>
      </c>
      <c r="K16" s="18" t="n">
        <v>0.59825643</v>
      </c>
      <c r="L16" s="20" t="n">
        <v>0.28774591</v>
      </c>
      <c r="M16" s="18" t="n">
        <v>0</v>
      </c>
      <c r="N16" s="20" t="n">
        <v>0</v>
      </c>
      <c r="O16" s="18" t="n">
        <v>0</v>
      </c>
      <c r="P16" s="20" t="n">
        <v>0</v>
      </c>
      <c r="Q16" s="18" t="n">
        <v>0.31030976</v>
      </c>
      <c r="R16" s="20" t="n">
        <v>0.20573301</v>
      </c>
    </row>
    <row r="17" spans="1:18">
      <c r="A17" s="15" t="s">
        <v>575</v>
      </c>
      <c r="B17" s="17" t="n">
        <v>6504</v>
      </c>
      <c r="C17" s="18">
        <f>(5782.0/B17*100)</f>
        <v/>
      </c>
      <c r="D17" s="19" t="n">
        <v>722</v>
      </c>
      <c r="E17" s="18" t="n">
        <v>61.12729811</v>
      </c>
      <c r="F17" s="20" t="n">
        <v>1.69238438</v>
      </c>
      <c r="G17" s="18" t="n">
        <v>38.42952937</v>
      </c>
      <c r="H17" s="20" t="n">
        <v>1.70178223</v>
      </c>
      <c r="I17" s="18" t="n">
        <v>0</v>
      </c>
      <c r="J17" s="20" t="n">
        <v>0</v>
      </c>
      <c r="K17" s="18" t="n">
        <v>0.20790721</v>
      </c>
      <c r="L17" s="20" t="n">
        <v>0.21697832</v>
      </c>
      <c r="M17" s="18" t="n">
        <v>0</v>
      </c>
      <c r="N17" s="20" t="n">
        <v>0</v>
      </c>
      <c r="O17" s="18" t="n">
        <v>0</v>
      </c>
      <c r="P17" s="20" t="n">
        <v>0</v>
      </c>
      <c r="Q17" s="18" t="n">
        <v>0.23526531</v>
      </c>
      <c r="R17" s="20" t="n">
        <v>0.16564276</v>
      </c>
    </row>
    <row r="18" spans="1:18">
      <c r="A18" s="15" t="s">
        <v>576</v>
      </c>
      <c r="B18" s="17" t="n">
        <v>5532</v>
      </c>
      <c r="C18" s="18">
        <f>(4930.0/B18*100)</f>
        <v/>
      </c>
      <c r="D18" s="19" t="n">
        <v>602</v>
      </c>
      <c r="E18" s="18" t="n">
        <v>81.16060268</v>
      </c>
      <c r="F18" s="20" t="n">
        <v>1.65589586</v>
      </c>
      <c r="G18" s="18" t="n">
        <v>18.4420349</v>
      </c>
      <c r="H18" s="20" t="n">
        <v>1.6246586</v>
      </c>
      <c r="I18" s="18" t="n">
        <v>0</v>
      </c>
      <c r="J18" s="20" t="n">
        <v>0</v>
      </c>
      <c r="K18" s="18" t="n">
        <v>0.26180053</v>
      </c>
      <c r="L18" s="20" t="n">
        <v>0.18678847</v>
      </c>
      <c r="M18" s="18" t="n">
        <v>0</v>
      </c>
      <c r="N18" s="20" t="n">
        <v>0</v>
      </c>
      <c r="O18" s="18" t="n">
        <v>0</v>
      </c>
      <c r="P18" s="20" t="n">
        <v>0</v>
      </c>
      <c r="Q18" s="18" t="n">
        <v>0.13556189</v>
      </c>
      <c r="R18" s="20" t="n">
        <v>0.13523672</v>
      </c>
    </row>
    <row r="19" spans="1:18">
      <c r="A19" s="15" t="s">
        <v>577</v>
      </c>
      <c r="B19" s="17" t="n">
        <v>5658</v>
      </c>
      <c r="C19" s="18">
        <f>(5013.0/B19*100)</f>
        <v/>
      </c>
      <c r="D19" s="19" t="n">
        <v>645</v>
      </c>
      <c r="E19" s="18" t="n">
        <v>68.93749314</v>
      </c>
      <c r="F19" s="20" t="n">
        <v>1.86754638</v>
      </c>
      <c r="G19" s="18" t="n">
        <v>30.25056633</v>
      </c>
      <c r="H19" s="20" t="n">
        <v>1.77801045</v>
      </c>
      <c r="I19" s="18" t="n">
        <v>0</v>
      </c>
      <c r="J19" s="20" t="n">
        <v>0</v>
      </c>
      <c r="K19" s="18" t="n">
        <v>0.18292467</v>
      </c>
      <c r="L19" s="20" t="n">
        <v>0.19435547</v>
      </c>
      <c r="M19" s="18" t="n">
        <v>0</v>
      </c>
      <c r="N19" s="20" t="n">
        <v>0</v>
      </c>
      <c r="O19" s="18" t="n">
        <v>0</v>
      </c>
      <c r="P19" s="20" t="n">
        <v>0</v>
      </c>
      <c r="Q19" s="18" t="n">
        <v>0.62901587</v>
      </c>
      <c r="R19" s="20" t="n">
        <v>0.40326027</v>
      </c>
    </row>
    <row r="20" spans="1:18">
      <c r="A20" s="15" t="s">
        <v>578</v>
      </c>
      <c r="B20" s="17" t="n">
        <v>3371</v>
      </c>
      <c r="C20" s="18">
        <f>(2999.0/B20*100)</f>
        <v/>
      </c>
      <c r="D20" s="19" t="n">
        <v>372</v>
      </c>
      <c r="E20" s="18" t="n">
        <v>68.29807821</v>
      </c>
      <c r="F20" s="20" t="n">
        <v>2.27020676</v>
      </c>
      <c r="G20" s="18" t="n">
        <v>31.13338359</v>
      </c>
      <c r="H20" s="20" t="n">
        <v>2.37913917</v>
      </c>
      <c r="I20" s="18" t="n">
        <v>0</v>
      </c>
      <c r="J20" s="20" t="n">
        <v>0</v>
      </c>
      <c r="K20" s="18" t="n">
        <v>0.31187009</v>
      </c>
      <c r="L20" s="20" t="n">
        <v>0.30508613</v>
      </c>
      <c r="M20" s="18" t="n">
        <v>0</v>
      </c>
      <c r="N20" s="20" t="n">
        <v>0</v>
      </c>
      <c r="O20" s="18" t="n">
        <v>0</v>
      </c>
      <c r="P20" s="20" t="n">
        <v>0</v>
      </c>
      <c r="Q20" s="18" t="n">
        <v>0.25666811</v>
      </c>
      <c r="R20" s="20" t="n">
        <v>0.25658916</v>
      </c>
    </row>
    <row r="21" spans="1:18">
      <c r="A21" s="15" t="s">
        <v>579</v>
      </c>
      <c r="B21" s="17" t="n">
        <v>5741</v>
      </c>
      <c r="C21" s="18">
        <f>(5113.0/B21*100)</f>
        <v/>
      </c>
      <c r="D21" s="19" t="n">
        <v>628</v>
      </c>
      <c r="E21" s="18" t="n">
        <v>54.2016319</v>
      </c>
      <c r="F21" s="20" t="n">
        <v>2.11498256</v>
      </c>
      <c r="G21" s="18" t="n">
        <v>45.61406304</v>
      </c>
      <c r="H21" s="20" t="n">
        <v>2.12787276</v>
      </c>
      <c r="I21" s="18" t="n">
        <v>0</v>
      </c>
      <c r="J21" s="20" t="n">
        <v>0</v>
      </c>
      <c r="K21" s="18" t="n">
        <v>0</v>
      </c>
      <c r="L21" s="20" t="n">
        <v>0</v>
      </c>
      <c r="M21" s="18" t="n">
        <v>0</v>
      </c>
      <c r="N21" s="20" t="n">
        <v>0</v>
      </c>
      <c r="O21" s="18" t="n">
        <v>0</v>
      </c>
      <c r="P21" s="20" t="n">
        <v>0</v>
      </c>
      <c r="Q21" s="18" t="n">
        <v>0.18430506</v>
      </c>
      <c r="R21" s="20" t="n">
        <v>0.18873103</v>
      </c>
    </row>
    <row r="22" spans="1:18">
      <c r="A22" s="15" t="s">
        <v>580</v>
      </c>
      <c r="B22" s="17" t="n">
        <v>6598</v>
      </c>
      <c r="C22" s="18">
        <f>(5839.0/B22*100)</f>
        <v/>
      </c>
      <c r="D22" s="19" t="n">
        <v>759</v>
      </c>
      <c r="E22" s="18" t="n">
        <v>71.94930977</v>
      </c>
      <c r="F22" s="20" t="n">
        <v>1.86547596</v>
      </c>
      <c r="G22" s="18" t="n">
        <v>26.41975491</v>
      </c>
      <c r="H22" s="20" t="n">
        <v>1.76602896</v>
      </c>
      <c r="I22" s="18" t="n">
        <v>0</v>
      </c>
      <c r="J22" s="20" t="n">
        <v>0</v>
      </c>
      <c r="K22" s="18" t="n">
        <v>0.93936714</v>
      </c>
      <c r="L22" s="20" t="n">
        <v>0.36947124</v>
      </c>
      <c r="M22" s="18" t="n">
        <v>0</v>
      </c>
      <c r="N22" s="20" t="n">
        <v>0</v>
      </c>
      <c r="O22" s="18" t="n">
        <v>0</v>
      </c>
      <c r="P22" s="20" t="n">
        <v>0</v>
      </c>
      <c r="Q22" s="18" t="n">
        <v>0.69156817</v>
      </c>
      <c r="R22" s="20" t="n">
        <v>0.30576242</v>
      </c>
    </row>
    <row r="23" spans="1:18">
      <c r="A23" s="15" t="s">
        <v>581</v>
      </c>
      <c r="B23" s="17" t="n">
        <v>11583</v>
      </c>
      <c r="C23" s="18">
        <f>(10303.0/B23*100)</f>
        <v/>
      </c>
      <c r="D23" s="19" t="n">
        <v>1280</v>
      </c>
      <c r="E23" s="18" t="n">
        <v>63.27471329</v>
      </c>
      <c r="F23" s="20" t="n">
        <v>1.87503916</v>
      </c>
      <c r="G23" s="18" t="n">
        <v>35.91290294</v>
      </c>
      <c r="H23" s="20" t="n">
        <v>1.85617392</v>
      </c>
      <c r="I23" s="18" t="n">
        <v>0</v>
      </c>
      <c r="J23" s="20" t="n">
        <v>0</v>
      </c>
      <c r="K23" s="18" t="n">
        <v>0.50847284</v>
      </c>
      <c r="L23" s="20" t="n">
        <v>0.22285951</v>
      </c>
      <c r="M23" s="18" t="n">
        <v>0</v>
      </c>
      <c r="N23" s="20" t="n">
        <v>0</v>
      </c>
      <c r="O23" s="18" t="n">
        <v>0</v>
      </c>
      <c r="P23" s="20" t="n">
        <v>0</v>
      </c>
      <c r="Q23" s="18" t="n">
        <v>0.30391093</v>
      </c>
      <c r="R23" s="20" t="n">
        <v>0.2088418</v>
      </c>
    </row>
    <row r="24" spans="1:18">
      <c r="A24" s="15" t="s">
        <v>582</v>
      </c>
      <c r="B24" s="17" t="n">
        <v>6647</v>
      </c>
      <c r="C24" s="18">
        <f>(5893.0/B24*100)</f>
        <v/>
      </c>
      <c r="D24" s="19" t="n">
        <v>754</v>
      </c>
      <c r="E24" s="18" t="n">
        <v>54.49858013</v>
      </c>
      <c r="F24" s="20" t="n">
        <v>1.90600912</v>
      </c>
      <c r="G24" s="18" t="n">
        <v>45.24642452</v>
      </c>
      <c r="H24" s="20" t="n">
        <v>1.91997684</v>
      </c>
      <c r="I24" s="18" t="n">
        <v>0</v>
      </c>
      <c r="J24" s="20" t="n">
        <v>0</v>
      </c>
      <c r="K24" s="18" t="n">
        <v>0.11935534</v>
      </c>
      <c r="L24" s="20" t="n">
        <v>0.11919347</v>
      </c>
      <c r="M24" s="18" t="n">
        <v>0</v>
      </c>
      <c r="N24" s="20" t="n">
        <v>0</v>
      </c>
      <c r="O24" s="18" t="n">
        <v>0</v>
      </c>
      <c r="P24" s="20" t="n">
        <v>0</v>
      </c>
      <c r="Q24" s="18" t="n">
        <v>0.13564002</v>
      </c>
      <c r="R24" s="20" t="n">
        <v>0.13680327</v>
      </c>
    </row>
    <row r="25" spans="1:18">
      <c r="A25" s="15" t="s">
        <v>583</v>
      </c>
      <c r="B25" s="17" t="n">
        <v>5581</v>
      </c>
      <c r="C25" s="18">
        <f>(4970.0/B25*100)</f>
        <v/>
      </c>
      <c r="D25" s="19" t="n">
        <v>611</v>
      </c>
      <c r="E25" s="18" t="n">
        <v>64.93372561</v>
      </c>
      <c r="F25" s="20" t="n">
        <v>1.84992143</v>
      </c>
      <c r="G25" s="18" t="n">
        <v>34.51457661</v>
      </c>
      <c r="H25" s="20" t="n">
        <v>1.80135541</v>
      </c>
      <c r="I25" s="18" t="n">
        <v>0</v>
      </c>
      <c r="J25" s="20" t="n">
        <v>0</v>
      </c>
      <c r="K25" s="18" t="n">
        <v>0.14209221</v>
      </c>
      <c r="L25" s="20" t="n">
        <v>0.14104984</v>
      </c>
      <c r="M25" s="18" t="n">
        <v>0</v>
      </c>
      <c r="N25" s="20" t="n">
        <v>0</v>
      </c>
      <c r="O25" s="18" t="n">
        <v>0</v>
      </c>
      <c r="P25" s="20" t="n">
        <v>0</v>
      </c>
      <c r="Q25" s="18" t="n">
        <v>0.40960557</v>
      </c>
      <c r="R25" s="20" t="n">
        <v>0.23899785</v>
      </c>
    </row>
    <row r="26" spans="1:18">
      <c r="A26" s="15" t="s">
        <v>584</v>
      </c>
      <c r="B26" s="17" t="n">
        <v>4869</v>
      </c>
      <c r="C26" s="18">
        <f>(4357.0/B26*100)</f>
        <v/>
      </c>
      <c r="D26" s="19" t="n">
        <v>512</v>
      </c>
      <c r="E26" s="18" t="n">
        <v>64.01296877999999</v>
      </c>
      <c r="F26" s="20" t="n">
        <v>1.98265994</v>
      </c>
      <c r="G26" s="18" t="n">
        <v>35.82362731</v>
      </c>
      <c r="H26" s="20" t="n">
        <v>1.97975308</v>
      </c>
      <c r="I26" s="18" t="n">
        <v>0</v>
      </c>
      <c r="J26" s="20" t="n">
        <v>0</v>
      </c>
      <c r="K26" s="18" t="n">
        <v>0.16340391</v>
      </c>
      <c r="L26" s="20" t="n">
        <v>0.16383556</v>
      </c>
      <c r="M26" s="18" t="n">
        <v>0</v>
      </c>
      <c r="N26" s="20" t="n">
        <v>0</v>
      </c>
      <c r="O26" s="18" t="n">
        <v>0</v>
      </c>
      <c r="P26" s="20" t="n">
        <v>0</v>
      </c>
      <c r="Q26" s="18" t="n">
        <v>0</v>
      </c>
      <c r="R26" s="20" t="n">
        <v>0</v>
      </c>
    </row>
    <row r="27" spans="1:18">
      <c r="A27" s="15" t="s">
        <v>585</v>
      </c>
      <c r="B27" s="17" t="n">
        <v>5299</v>
      </c>
      <c r="C27" s="18">
        <f>(4736.0/B27*100)</f>
        <v/>
      </c>
      <c r="D27" s="19" t="n">
        <v>563</v>
      </c>
      <c r="E27" s="18" t="n">
        <v>63.79687521</v>
      </c>
      <c r="F27" s="20" t="n">
        <v>2.13771972</v>
      </c>
      <c r="G27" s="18" t="n">
        <v>35.84964782</v>
      </c>
      <c r="H27" s="20" t="n">
        <v>2.14741182</v>
      </c>
      <c r="I27" s="18" t="n">
        <v>0</v>
      </c>
      <c r="J27" s="20" t="n">
        <v>0</v>
      </c>
      <c r="K27" s="18" t="n">
        <v>0.17795872</v>
      </c>
      <c r="L27" s="20" t="n">
        <v>0.17810484</v>
      </c>
      <c r="M27" s="18" t="n">
        <v>0</v>
      </c>
      <c r="N27" s="20" t="n">
        <v>0</v>
      </c>
      <c r="O27" s="18" t="n">
        <v>0</v>
      </c>
      <c r="P27" s="20" t="n">
        <v>0</v>
      </c>
      <c r="Q27" s="18" t="n">
        <v>0.17551825</v>
      </c>
      <c r="R27" s="20" t="n">
        <v>0.17423339</v>
      </c>
    </row>
    <row r="28" spans="1:18">
      <c r="A28" s="15" t="s">
        <v>586</v>
      </c>
      <c r="B28" s="17" t="n">
        <v>7568</v>
      </c>
      <c r="C28" s="18">
        <f>(6773.0/B28*100)</f>
        <v/>
      </c>
      <c r="D28" s="19" t="n">
        <v>795</v>
      </c>
      <c r="E28" s="18" t="n">
        <v>69.6425311</v>
      </c>
      <c r="F28" s="20" t="n">
        <v>1.86691638</v>
      </c>
      <c r="G28" s="18" t="n">
        <v>29.53761728</v>
      </c>
      <c r="H28" s="20" t="n">
        <v>1.91374641</v>
      </c>
      <c r="I28" s="18" t="n">
        <v>0</v>
      </c>
      <c r="J28" s="20" t="n">
        <v>0</v>
      </c>
      <c r="K28" s="18" t="n">
        <v>0.44382689</v>
      </c>
      <c r="L28" s="20" t="n">
        <v>0.27208399</v>
      </c>
      <c r="M28" s="18" t="n">
        <v>0</v>
      </c>
      <c r="N28" s="20" t="n">
        <v>0</v>
      </c>
      <c r="O28" s="18" t="n">
        <v>0</v>
      </c>
      <c r="P28" s="20" t="n">
        <v>0</v>
      </c>
      <c r="Q28" s="18" t="n">
        <v>0.37602472</v>
      </c>
      <c r="R28" s="20" t="n">
        <v>0.2406599</v>
      </c>
    </row>
    <row r="29" spans="1:18">
      <c r="A29" s="15" t="s">
        <v>587</v>
      </c>
      <c r="B29" s="17" t="n">
        <v>5385</v>
      </c>
      <c r="C29" s="18">
        <f>(4774.0/B29*100)</f>
        <v/>
      </c>
      <c r="D29" s="19" t="n">
        <v>611</v>
      </c>
      <c r="E29" s="18" t="n">
        <v>51.35586823</v>
      </c>
      <c r="F29" s="20" t="n">
        <v>1.63708935</v>
      </c>
      <c r="G29" s="18" t="n">
        <v>48.64413177</v>
      </c>
      <c r="H29" s="20" t="n">
        <v>1.63708935</v>
      </c>
      <c r="I29" s="18" t="n">
        <v>0</v>
      </c>
      <c r="J29" s="20" t="n">
        <v>0</v>
      </c>
      <c r="K29" s="18" t="n">
        <v>0</v>
      </c>
      <c r="L29" s="20" t="n">
        <v>0</v>
      </c>
      <c r="M29" s="18" t="n">
        <v>0</v>
      </c>
      <c r="N29" s="20" t="n">
        <v>0</v>
      </c>
      <c r="O29" s="18" t="n">
        <v>0</v>
      </c>
      <c r="P29" s="20" t="n">
        <v>0</v>
      </c>
      <c r="Q29" s="18" t="n">
        <v>0</v>
      </c>
      <c r="R29" s="20" t="n">
        <v>0</v>
      </c>
    </row>
    <row r="30" spans="1:18">
      <c r="A30" s="15" t="s">
        <v>588</v>
      </c>
      <c r="B30" s="17" t="n">
        <v>4520</v>
      </c>
      <c r="C30" s="18">
        <f>(4041.0/B30*100)</f>
        <v/>
      </c>
      <c r="D30" s="19" t="n">
        <v>479</v>
      </c>
      <c r="E30" s="18" t="n">
        <v>52.67639032</v>
      </c>
      <c r="F30" s="20" t="n">
        <v>2.19759842</v>
      </c>
      <c r="G30" s="18" t="n">
        <v>45.90134303</v>
      </c>
      <c r="H30" s="20" t="n">
        <v>2.11478525</v>
      </c>
      <c r="I30" s="18" t="n">
        <v>0</v>
      </c>
      <c r="J30" s="20" t="n">
        <v>0</v>
      </c>
      <c r="K30" s="18" t="n">
        <v>0.47933801</v>
      </c>
      <c r="L30" s="20" t="n">
        <v>0.32309238</v>
      </c>
      <c r="M30" s="18" t="n">
        <v>0</v>
      </c>
      <c r="N30" s="20" t="n">
        <v>0</v>
      </c>
      <c r="O30" s="18" t="n">
        <v>0</v>
      </c>
      <c r="P30" s="20" t="n">
        <v>0</v>
      </c>
      <c r="Q30" s="18" t="n">
        <v>0.94292864</v>
      </c>
      <c r="R30" s="20" t="n">
        <v>0.51578239</v>
      </c>
    </row>
    <row r="31" spans="1:18">
      <c r="A31" s="15" t="s">
        <v>589</v>
      </c>
      <c r="B31" s="17" t="n">
        <v>5456</v>
      </c>
      <c r="C31" s="18">
        <f>(4847.0/B31*100)</f>
        <v/>
      </c>
      <c r="D31" s="19" t="n">
        <v>609</v>
      </c>
      <c r="E31" s="18" t="n">
        <v>55.83814595</v>
      </c>
      <c r="F31" s="20" t="n">
        <v>2.07727222</v>
      </c>
      <c r="G31" s="18" t="n">
        <v>42.72731687</v>
      </c>
      <c r="H31" s="20" t="n">
        <v>2.08461576</v>
      </c>
      <c r="I31" s="18" t="n">
        <v>0</v>
      </c>
      <c r="J31" s="20" t="n">
        <v>0</v>
      </c>
      <c r="K31" s="18" t="n">
        <v>0.63561087</v>
      </c>
      <c r="L31" s="20" t="n">
        <v>0.30975402</v>
      </c>
      <c r="M31" s="18" t="n">
        <v>0</v>
      </c>
      <c r="N31" s="20" t="n">
        <v>0</v>
      </c>
      <c r="O31" s="18" t="n">
        <v>0</v>
      </c>
      <c r="P31" s="20" t="n">
        <v>0</v>
      </c>
      <c r="Q31" s="18" t="n">
        <v>0.79892631</v>
      </c>
      <c r="R31" s="20" t="n">
        <v>0.36025959</v>
      </c>
    </row>
    <row r="32" spans="1:18">
      <c r="A32" s="15" t="s">
        <v>590</v>
      </c>
      <c r="B32" s="17" t="n">
        <v>4478</v>
      </c>
      <c r="C32" s="18">
        <f>(3980.0/B32*100)</f>
        <v/>
      </c>
      <c r="D32" s="19" t="n">
        <v>498</v>
      </c>
      <c r="E32" s="18" t="n">
        <v>82.44926581</v>
      </c>
      <c r="F32" s="20" t="n">
        <v>1.97939301</v>
      </c>
      <c r="G32" s="18" t="n">
        <v>16.92296941</v>
      </c>
      <c r="H32" s="20" t="n">
        <v>1.92832</v>
      </c>
      <c r="I32" s="18" t="n">
        <v>0</v>
      </c>
      <c r="J32" s="20" t="n">
        <v>0</v>
      </c>
      <c r="K32" s="18" t="n">
        <v>0.40898396</v>
      </c>
      <c r="L32" s="20" t="n">
        <v>0.30335414</v>
      </c>
      <c r="M32" s="18" t="n">
        <v>0</v>
      </c>
      <c r="N32" s="20" t="n">
        <v>0</v>
      </c>
      <c r="O32" s="18" t="n">
        <v>0</v>
      </c>
      <c r="P32" s="20" t="n">
        <v>0</v>
      </c>
      <c r="Q32" s="18" t="n">
        <v>0.21878083</v>
      </c>
      <c r="R32" s="20" t="n">
        <v>0.20509862</v>
      </c>
    </row>
    <row r="33" spans="1:18">
      <c r="A33" s="15" t="s">
        <v>591</v>
      </c>
      <c r="B33" s="17" t="n">
        <v>7325</v>
      </c>
      <c r="C33" s="18">
        <f>(6542.0/B33*100)</f>
        <v/>
      </c>
      <c r="D33" s="19" t="n">
        <v>783</v>
      </c>
      <c r="E33" s="18" t="n">
        <v>50.52371081</v>
      </c>
      <c r="F33" s="20" t="n">
        <v>2.03940915</v>
      </c>
      <c r="G33" s="18" t="n">
        <v>49.0114024</v>
      </c>
      <c r="H33" s="20" t="n">
        <v>2.06432379</v>
      </c>
      <c r="I33" s="18" t="n">
        <v>0</v>
      </c>
      <c r="J33" s="20" t="n">
        <v>0</v>
      </c>
      <c r="K33" s="18" t="n">
        <v>0.17078243</v>
      </c>
      <c r="L33" s="20" t="n">
        <v>0.17750164</v>
      </c>
      <c r="M33" s="18" t="n">
        <v>0</v>
      </c>
      <c r="N33" s="20" t="n">
        <v>0</v>
      </c>
      <c r="O33" s="18" t="n">
        <v>0</v>
      </c>
      <c r="P33" s="20" t="n">
        <v>0</v>
      </c>
      <c r="Q33" s="18" t="n">
        <v>0.29410436</v>
      </c>
      <c r="R33" s="20" t="n">
        <v>0.21878017</v>
      </c>
    </row>
    <row r="34" spans="1:18">
      <c r="A34" s="15" t="s">
        <v>592</v>
      </c>
      <c r="B34" s="17" t="n">
        <v>6350</v>
      </c>
      <c r="C34" s="18">
        <f>(5647.0/B34*100)</f>
        <v/>
      </c>
      <c r="D34" s="19" t="n">
        <v>703</v>
      </c>
      <c r="E34" s="18" t="n">
        <v>70.99843027999999</v>
      </c>
      <c r="F34" s="20" t="n">
        <v>1.94273321</v>
      </c>
      <c r="G34" s="18" t="n">
        <v>28.51743786</v>
      </c>
      <c r="H34" s="20" t="n">
        <v>1.94151142</v>
      </c>
      <c r="I34" s="18" t="n">
        <v>0</v>
      </c>
      <c r="J34" s="20" t="n">
        <v>0</v>
      </c>
      <c r="K34" s="18" t="n">
        <v>0</v>
      </c>
      <c r="L34" s="20" t="n">
        <v>0</v>
      </c>
      <c r="M34" s="18" t="n">
        <v>0</v>
      </c>
      <c r="N34" s="20" t="n">
        <v>0</v>
      </c>
      <c r="O34" s="18" t="n">
        <v>0</v>
      </c>
      <c r="P34" s="20" t="n">
        <v>0</v>
      </c>
      <c r="Q34" s="18" t="n">
        <v>0.48413186</v>
      </c>
      <c r="R34" s="20" t="n">
        <v>0.24971198</v>
      </c>
    </row>
    <row r="35" spans="1:18">
      <c r="A35" s="15" t="s">
        <v>593</v>
      </c>
      <c r="B35" s="17" t="n">
        <v>6406</v>
      </c>
      <c r="C35" s="18">
        <f>(5703.0/B35*100)</f>
        <v/>
      </c>
      <c r="D35" s="19" t="n">
        <v>703</v>
      </c>
      <c r="E35" s="18" t="n">
        <v>65.08312290000001</v>
      </c>
      <c r="F35" s="20" t="n">
        <v>2.00472019</v>
      </c>
      <c r="G35" s="18" t="n">
        <v>34.85647832</v>
      </c>
      <c r="H35" s="20" t="n">
        <v>2.00474035</v>
      </c>
      <c r="I35" s="18" t="n">
        <v>0</v>
      </c>
      <c r="J35" s="20" t="n">
        <v>0</v>
      </c>
      <c r="K35" s="18" t="n">
        <v>0.06039877</v>
      </c>
      <c r="L35" s="20" t="n">
        <v>0.06082169</v>
      </c>
      <c r="M35" s="18" t="n">
        <v>0</v>
      </c>
      <c r="N35" s="20" t="n">
        <v>0</v>
      </c>
      <c r="O35" s="18" t="n">
        <v>0</v>
      </c>
      <c r="P35" s="20" t="n">
        <v>0</v>
      </c>
      <c r="Q35" s="18" t="n">
        <v>0</v>
      </c>
      <c r="R35" s="20" t="n">
        <v>0</v>
      </c>
    </row>
    <row r="36" spans="1:18">
      <c r="A36" s="15" t="s">
        <v>594</v>
      </c>
      <c r="B36" s="17" t="n">
        <v>6736</v>
      </c>
      <c r="C36" s="18">
        <f>(6031.0/B36*100)</f>
        <v/>
      </c>
      <c r="D36" s="19" t="n">
        <v>705</v>
      </c>
      <c r="E36" s="18" t="n">
        <v>74.97640382</v>
      </c>
      <c r="F36" s="20" t="n">
        <v>1.86970018</v>
      </c>
      <c r="G36" s="18" t="n">
        <v>24.58391853</v>
      </c>
      <c r="H36" s="20" t="n">
        <v>1.86225877</v>
      </c>
      <c r="I36" s="18" t="n">
        <v>0</v>
      </c>
      <c r="J36" s="20" t="n">
        <v>0</v>
      </c>
      <c r="K36" s="18" t="n">
        <v>0.08149774999999999</v>
      </c>
      <c r="L36" s="20" t="n">
        <v>0.07446859</v>
      </c>
      <c r="M36" s="18" t="n">
        <v>0</v>
      </c>
      <c r="N36" s="20" t="n">
        <v>0</v>
      </c>
      <c r="O36" s="18" t="n">
        <v>0</v>
      </c>
      <c r="P36" s="20" t="n">
        <v>0</v>
      </c>
      <c r="Q36" s="18" t="n">
        <v>0.3581799</v>
      </c>
      <c r="R36" s="20" t="n">
        <v>0.22379204</v>
      </c>
    </row>
    <row r="37" spans="1:18">
      <c r="A37" s="15" t="s">
        <v>595</v>
      </c>
      <c r="B37" s="17" t="n">
        <v>5458</v>
      </c>
      <c r="C37" s="18">
        <f>(4873.0/B37*100)</f>
        <v/>
      </c>
      <c r="D37" s="19" t="n">
        <v>585</v>
      </c>
      <c r="E37" s="18" t="n">
        <v>72.14749888999999</v>
      </c>
      <c r="F37" s="20" t="n">
        <v>1.96774686</v>
      </c>
      <c r="G37" s="18" t="n">
        <v>26.66847664</v>
      </c>
      <c r="H37" s="20" t="n">
        <v>1.9582104</v>
      </c>
      <c r="I37" s="18" t="n">
        <v>0</v>
      </c>
      <c r="J37" s="20" t="n">
        <v>0</v>
      </c>
      <c r="K37" s="18" t="n">
        <v>1.0323904</v>
      </c>
      <c r="L37" s="20" t="n">
        <v>0.45242379</v>
      </c>
      <c r="M37" s="18" t="n">
        <v>0</v>
      </c>
      <c r="N37" s="20" t="n">
        <v>0</v>
      </c>
      <c r="O37" s="18" t="n">
        <v>0</v>
      </c>
      <c r="P37" s="20" t="n">
        <v>0</v>
      </c>
      <c r="Q37" s="18" t="n">
        <v>0.15163407</v>
      </c>
      <c r="R37" s="20" t="n">
        <v>0.15106511</v>
      </c>
    </row>
    <row r="38" spans="1:18">
      <c r="A38" s="15" t="s">
        <v>596</v>
      </c>
      <c r="B38" s="17" t="n">
        <v>5860</v>
      </c>
      <c r="C38" s="18">
        <f>(5226.0/B38*100)</f>
        <v/>
      </c>
      <c r="D38" s="19" t="n">
        <v>634</v>
      </c>
      <c r="E38" s="18" t="n">
        <v>66.71306633</v>
      </c>
      <c r="F38" s="20" t="n">
        <v>2.52072893</v>
      </c>
      <c r="G38" s="18" t="n">
        <v>32.82644299</v>
      </c>
      <c r="H38" s="20" t="n">
        <v>2.50468122</v>
      </c>
      <c r="I38" s="18" t="n">
        <v>0</v>
      </c>
      <c r="J38" s="20" t="n">
        <v>0</v>
      </c>
      <c r="K38" s="18" t="n">
        <v>0.308866</v>
      </c>
      <c r="L38" s="20" t="n">
        <v>0.21682183</v>
      </c>
      <c r="M38" s="18" t="n">
        <v>0</v>
      </c>
      <c r="N38" s="20" t="n">
        <v>0</v>
      </c>
      <c r="O38" s="18" t="n">
        <v>0</v>
      </c>
      <c r="P38" s="20" t="n">
        <v>0</v>
      </c>
      <c r="Q38" s="18" t="n">
        <v>0.15162467</v>
      </c>
      <c r="R38" s="20" t="n">
        <v>0.12999185</v>
      </c>
    </row>
    <row r="39" spans="1:18">
      <c r="A39" s="15" t="s">
        <v>597</v>
      </c>
      <c r="B39" s="17" t="n">
        <v>5895</v>
      </c>
      <c r="C39" s="18">
        <f>(5224.0/B39*100)</f>
        <v/>
      </c>
      <c r="D39" s="19" t="n">
        <v>671</v>
      </c>
      <c r="E39" s="18" t="n">
        <v>70.42189409</v>
      </c>
      <c r="F39" s="20" t="n">
        <v>1.92830063</v>
      </c>
      <c r="G39" s="18" t="n">
        <v>28.59519589</v>
      </c>
      <c r="H39" s="20" t="n">
        <v>1.91582562</v>
      </c>
      <c r="I39" s="18" t="n">
        <v>0</v>
      </c>
      <c r="J39" s="20" t="n">
        <v>0</v>
      </c>
      <c r="K39" s="18" t="n">
        <v>0.52451476</v>
      </c>
      <c r="L39" s="20" t="n">
        <v>0.29646721</v>
      </c>
      <c r="M39" s="18" t="n">
        <v>0</v>
      </c>
      <c r="N39" s="20" t="n">
        <v>0</v>
      </c>
      <c r="O39" s="18" t="n">
        <v>0</v>
      </c>
      <c r="P39" s="20" t="n">
        <v>0</v>
      </c>
      <c r="Q39" s="18" t="n">
        <v>0.45839526</v>
      </c>
      <c r="R39" s="20" t="n">
        <v>0.24640471</v>
      </c>
    </row>
    <row r="40" spans="1:18">
      <c r="A40" s="15" t="s">
        <v>598</v>
      </c>
      <c r="B40" s="17" t="n">
        <v>14157</v>
      </c>
      <c r="C40" s="18">
        <f>(12623.0/B40*100)</f>
        <v/>
      </c>
      <c r="D40" s="19" t="n">
        <v>1534</v>
      </c>
      <c r="E40" s="18" t="n">
        <v>60.53225726</v>
      </c>
      <c r="F40" s="20" t="n">
        <v>1.82875008</v>
      </c>
      <c r="G40" s="18" t="n">
        <v>39.15175676</v>
      </c>
      <c r="H40" s="20" t="n">
        <v>1.82015404</v>
      </c>
      <c r="I40" s="18" t="n">
        <v>0</v>
      </c>
      <c r="J40" s="20" t="n">
        <v>0</v>
      </c>
      <c r="K40" s="18" t="n">
        <v>0.19613434</v>
      </c>
      <c r="L40" s="20" t="n">
        <v>0.14609294</v>
      </c>
      <c r="M40" s="18" t="n">
        <v>0</v>
      </c>
      <c r="N40" s="20" t="n">
        <v>0</v>
      </c>
      <c r="O40" s="18" t="n">
        <v>0</v>
      </c>
      <c r="P40" s="20" t="n">
        <v>0</v>
      </c>
      <c r="Q40" s="18" t="n">
        <v>0.11985165</v>
      </c>
      <c r="R40" s="20" t="n">
        <v>0.06302175</v>
      </c>
    </row>
    <row r="41" spans="1:18">
      <c r="A41" s="15" t="s">
        <v>599</v>
      </c>
      <c r="B41" s="17" t="n">
        <v>5712</v>
      </c>
      <c r="C41" s="18">
        <f>(5093.0/B41*100)</f>
        <v/>
      </c>
      <c r="D41" s="19" t="n">
        <v>619</v>
      </c>
      <c r="E41" s="18" t="n">
        <v>61.07123605</v>
      </c>
      <c r="F41" s="20" t="n">
        <v>1.97898502</v>
      </c>
      <c r="G41" s="18" t="n">
        <v>38.24518658</v>
      </c>
      <c r="H41" s="20" t="n">
        <v>2.011524</v>
      </c>
      <c r="I41" s="18" t="n">
        <v>0</v>
      </c>
      <c r="J41" s="20" t="n">
        <v>0</v>
      </c>
      <c r="K41" s="18" t="n">
        <v>0.40082832</v>
      </c>
      <c r="L41" s="20" t="n">
        <v>0.27925548</v>
      </c>
      <c r="M41" s="18" t="n">
        <v>0</v>
      </c>
      <c r="N41" s="20" t="n">
        <v>0</v>
      </c>
      <c r="O41" s="18" t="n">
        <v>0</v>
      </c>
      <c r="P41" s="20" t="n">
        <v>0</v>
      </c>
      <c r="Q41" s="18" t="n">
        <v>0.28274906</v>
      </c>
      <c r="R41" s="20" t="n">
        <v>0.28100312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(20841.0/B46*100)</f>
        <v/>
      </c>
      <c r="D46" s="19" t="n">
        <v>2300</v>
      </c>
      <c r="E46" s="18" t="n">
        <v>75.57596346</v>
      </c>
      <c r="F46" s="20" t="n">
        <v>1.39630372</v>
      </c>
      <c r="G46" s="18" t="n">
        <v>22.93911295</v>
      </c>
      <c r="H46" s="20" t="n">
        <v>1.30063464</v>
      </c>
      <c r="I46" s="18" t="n">
        <v>0</v>
      </c>
      <c r="J46" s="20" t="n">
        <v>0</v>
      </c>
      <c r="K46" s="18" t="n">
        <v>0.78297898</v>
      </c>
      <c r="L46" s="20" t="n">
        <v>0.29254578</v>
      </c>
      <c r="M46" s="18" t="n">
        <v>0</v>
      </c>
      <c r="N46" s="20" t="n">
        <v>0</v>
      </c>
      <c r="O46" s="18" t="n">
        <v>0</v>
      </c>
      <c r="P46" s="20" t="n">
        <v>0</v>
      </c>
      <c r="Q46" s="18" t="n">
        <v>0.70194461</v>
      </c>
      <c r="R46" s="20" t="n">
        <v>0.20452373</v>
      </c>
    </row>
    <row r="47" spans="1:18">
      <c r="A47" s="15" t="s">
        <v>606</v>
      </c>
      <c r="B47" s="17" t="n">
        <v>5928</v>
      </c>
      <c r="C47" s="18">
        <f>(5286.0/B47*100)</f>
        <v/>
      </c>
      <c r="D47" s="19" t="n">
        <v>642</v>
      </c>
      <c r="E47" s="18" t="n">
        <v>79.92690657</v>
      </c>
      <c r="F47" s="20" t="n">
        <v>1.74156573</v>
      </c>
      <c r="G47" s="18" t="n">
        <v>19.0025085</v>
      </c>
      <c r="H47" s="20" t="n">
        <v>1.71019222</v>
      </c>
      <c r="I47" s="18" t="n">
        <v>0</v>
      </c>
      <c r="J47" s="20" t="n">
        <v>0</v>
      </c>
      <c r="K47" s="18" t="n">
        <v>0.2954399</v>
      </c>
      <c r="L47" s="20" t="n">
        <v>0.20943297</v>
      </c>
      <c r="M47" s="18" t="n">
        <v>0</v>
      </c>
      <c r="N47" s="20" t="n">
        <v>0</v>
      </c>
      <c r="O47" s="18" t="n">
        <v>0</v>
      </c>
      <c r="P47" s="20" t="n">
        <v>0</v>
      </c>
      <c r="Q47" s="18" t="n">
        <v>0.77514504</v>
      </c>
      <c r="R47" s="20" t="n">
        <v>0.30931888</v>
      </c>
    </row>
    <row r="48" spans="1:18">
      <c r="A48" s="15" t="s">
        <v>607</v>
      </c>
      <c r="B48" s="17" t="n">
        <v>9841</v>
      </c>
      <c r="C48" s="18">
        <f>(8730.0/B48*100)</f>
        <v/>
      </c>
      <c r="D48" s="19" t="n">
        <v>1111</v>
      </c>
      <c r="E48" s="18" t="n">
        <v>80.41185027</v>
      </c>
      <c r="F48" s="20" t="n">
        <v>1.77118228</v>
      </c>
      <c r="G48" s="18" t="n">
        <v>18.55056936</v>
      </c>
      <c r="H48" s="20" t="n">
        <v>1.61495392</v>
      </c>
      <c r="I48" s="18" t="n">
        <v>0</v>
      </c>
      <c r="J48" s="20" t="n">
        <v>0</v>
      </c>
      <c r="K48" s="18" t="n">
        <v>0.93479261</v>
      </c>
      <c r="L48" s="20" t="n">
        <v>0.44951638</v>
      </c>
      <c r="M48" s="18" t="n">
        <v>0</v>
      </c>
      <c r="N48" s="20" t="n">
        <v>0</v>
      </c>
      <c r="O48" s="18" t="n">
        <v>0</v>
      </c>
      <c r="P48" s="20" t="n">
        <v>0</v>
      </c>
      <c r="Q48" s="18" t="n">
        <v>0.10278775</v>
      </c>
      <c r="R48" s="20" t="n">
        <v>0.10347394</v>
      </c>
    </row>
    <row r="49" spans="1:18">
      <c r="A49" s="15" t="s">
        <v>608</v>
      </c>
      <c r="B49" s="17" t="n">
        <v>11795</v>
      </c>
      <c r="C49" s="18">
        <f>(10482.0/B49*100)</f>
        <v/>
      </c>
      <c r="D49" s="19" t="n">
        <v>1313</v>
      </c>
      <c r="E49" s="18" t="n">
        <v>66.66345964999999</v>
      </c>
      <c r="F49" s="20" t="n">
        <v>1.84172879</v>
      </c>
      <c r="G49" s="18" t="n">
        <v>31.90124374</v>
      </c>
      <c r="H49" s="20" t="n">
        <v>1.83735629</v>
      </c>
      <c r="I49" s="18" t="n">
        <v>0</v>
      </c>
      <c r="J49" s="20" t="n">
        <v>0</v>
      </c>
      <c r="K49" s="18" t="n">
        <v>1.28855386</v>
      </c>
      <c r="L49" s="20" t="n">
        <v>0.48614583</v>
      </c>
      <c r="M49" s="18" t="n">
        <v>0</v>
      </c>
      <c r="N49" s="20" t="n">
        <v>0</v>
      </c>
      <c r="O49" s="18" t="n">
        <v>0</v>
      </c>
      <c r="P49" s="20" t="n">
        <v>0</v>
      </c>
      <c r="Q49" s="18" t="n">
        <v>0.14674275</v>
      </c>
      <c r="R49" s="20" t="n">
        <v>0.11828193</v>
      </c>
    </row>
    <row r="50" spans="1:18">
      <c r="A50" s="15" t="s">
        <v>609</v>
      </c>
      <c r="B50" s="17" t="n">
        <v>6866</v>
      </c>
      <c r="C50" s="18">
        <f>(6181.0/B50*100)</f>
        <v/>
      </c>
      <c r="D50" s="19" t="n">
        <v>685</v>
      </c>
      <c r="E50" s="18" t="n">
        <v>81.75048278</v>
      </c>
      <c r="F50" s="20" t="n">
        <v>1.43085035</v>
      </c>
      <c r="G50" s="18" t="n">
        <v>16.94384012</v>
      </c>
      <c r="H50" s="20" t="n">
        <v>1.41584609</v>
      </c>
      <c r="I50" s="18" t="n">
        <v>0</v>
      </c>
      <c r="J50" s="20" t="n">
        <v>0</v>
      </c>
      <c r="K50" s="18" t="n">
        <v>0.59234634</v>
      </c>
      <c r="L50" s="20" t="n">
        <v>0.3257308</v>
      </c>
      <c r="M50" s="18" t="n">
        <v>0</v>
      </c>
      <c r="N50" s="20" t="n">
        <v>0</v>
      </c>
      <c r="O50" s="18" t="n">
        <v>0</v>
      </c>
      <c r="P50" s="20" t="n">
        <v>0</v>
      </c>
      <c r="Q50" s="18" t="n">
        <v>0.71333077</v>
      </c>
      <c r="R50" s="20" t="n">
        <v>0.27789122</v>
      </c>
    </row>
    <row r="51" spans="1:18">
      <c r="A51" s="15" t="s">
        <v>610</v>
      </c>
      <c r="B51" s="17" t="n">
        <v>5809</v>
      </c>
      <c r="C51" s="18">
        <f>(5115.0/B51*100)</f>
        <v/>
      </c>
      <c r="D51" s="19" t="n">
        <v>694</v>
      </c>
      <c r="E51" s="18" t="n">
        <v>64.85614671</v>
      </c>
      <c r="F51" s="20" t="n">
        <v>1.9043064</v>
      </c>
      <c r="G51" s="18" t="n">
        <v>34.44649114</v>
      </c>
      <c r="H51" s="20" t="n">
        <v>1.80358218</v>
      </c>
      <c r="I51" s="18" t="n">
        <v>0</v>
      </c>
      <c r="J51" s="20" t="n">
        <v>0</v>
      </c>
      <c r="K51" s="18" t="n">
        <v>0</v>
      </c>
      <c r="L51" s="20" t="n">
        <v>0</v>
      </c>
      <c r="M51" s="18" t="n">
        <v>0</v>
      </c>
      <c r="N51" s="20" t="n">
        <v>0</v>
      </c>
      <c r="O51" s="18" t="n">
        <v>0</v>
      </c>
      <c r="P51" s="20" t="n">
        <v>0</v>
      </c>
      <c r="Q51" s="18" t="n">
        <v>0.69736215</v>
      </c>
      <c r="R51" s="20" t="n">
        <v>0.32621379</v>
      </c>
    </row>
    <row r="52" spans="1:18">
      <c r="A52" s="15" t="s">
        <v>611</v>
      </c>
      <c r="B52" s="17" t="n">
        <v>5571</v>
      </c>
      <c r="C52" s="18">
        <f>(4980.0/B52*100)</f>
        <v/>
      </c>
      <c r="D52" s="19" t="n">
        <v>591</v>
      </c>
      <c r="E52" s="18" t="n">
        <v>78.35578132000001</v>
      </c>
      <c r="F52" s="20" t="n">
        <v>1.9410602</v>
      </c>
      <c r="G52" s="18" t="n">
        <v>19.74910182</v>
      </c>
      <c r="H52" s="20" t="n">
        <v>1.81240313</v>
      </c>
      <c r="I52" s="18" t="n">
        <v>0</v>
      </c>
      <c r="J52" s="20" t="n">
        <v>0</v>
      </c>
      <c r="K52" s="18" t="n">
        <v>0.35807634</v>
      </c>
      <c r="L52" s="20" t="n">
        <v>0.20677691</v>
      </c>
      <c r="M52" s="18" t="n">
        <v>0</v>
      </c>
      <c r="N52" s="20" t="n">
        <v>0</v>
      </c>
      <c r="O52" s="18" t="n">
        <v>0</v>
      </c>
      <c r="P52" s="20" t="n">
        <v>0</v>
      </c>
      <c r="Q52" s="18" t="n">
        <v>1.53704053</v>
      </c>
      <c r="R52" s="20" t="n">
        <v>0.56830718</v>
      </c>
    </row>
    <row r="53" spans="1:18">
      <c r="A53" s="15" t="s">
        <v>612</v>
      </c>
      <c r="B53" s="17" t="n">
        <v>4740</v>
      </c>
      <c r="C53" s="18">
        <f>(4228.0/B53*100)</f>
        <v/>
      </c>
      <c r="D53" s="19" t="n">
        <v>512</v>
      </c>
      <c r="E53" s="18" t="n">
        <v>72.91432353</v>
      </c>
      <c r="F53" s="20" t="n">
        <v>2.43664289</v>
      </c>
      <c r="G53" s="18" t="n">
        <v>14.81244885</v>
      </c>
      <c r="H53" s="20" t="n">
        <v>1.81950555</v>
      </c>
      <c r="I53" s="18" t="n">
        <v>0</v>
      </c>
      <c r="J53" s="20" t="n">
        <v>0</v>
      </c>
      <c r="K53" s="18" t="n">
        <v>9.115349549999999</v>
      </c>
      <c r="L53" s="20" t="n">
        <v>1.53189743</v>
      </c>
      <c r="M53" s="18" t="n">
        <v>0</v>
      </c>
      <c r="N53" s="20" t="n">
        <v>0</v>
      </c>
      <c r="O53" s="18" t="n">
        <v>0</v>
      </c>
      <c r="P53" s="20" t="n">
        <v>0</v>
      </c>
      <c r="Q53" s="18" t="n">
        <v>3.15787808</v>
      </c>
      <c r="R53" s="20" t="n">
        <v>0.87217388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(4735.0/B55*100)</f>
        <v/>
      </c>
      <c r="D55" s="19" t="n">
        <v>624</v>
      </c>
      <c r="E55" s="18" t="n">
        <v>64.00239956999999</v>
      </c>
      <c r="F55" s="20" t="n">
        <v>2.1744979</v>
      </c>
      <c r="G55" s="18" t="n">
        <v>35.03197926</v>
      </c>
      <c r="H55" s="20" t="n">
        <v>2.1056876</v>
      </c>
      <c r="I55" s="18" t="n">
        <v>0</v>
      </c>
      <c r="J55" s="20" t="n">
        <v>0</v>
      </c>
      <c r="K55" s="18" t="n">
        <v>0.30674847</v>
      </c>
      <c r="L55" s="20" t="n">
        <v>0.22054144</v>
      </c>
      <c r="M55" s="18" t="n">
        <v>0</v>
      </c>
      <c r="N55" s="20" t="n">
        <v>0</v>
      </c>
      <c r="O55" s="18" t="n">
        <v>0</v>
      </c>
      <c r="P55" s="20" t="n">
        <v>0</v>
      </c>
      <c r="Q55" s="18" t="n">
        <v>0.6588727</v>
      </c>
      <c r="R55" s="20" t="n">
        <v>0.31111776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(5759.0/B61*100)</f>
        <v/>
      </c>
      <c r="D61" s="19" t="n">
        <v>766</v>
      </c>
      <c r="E61" s="18" t="n">
        <v>75.17879605</v>
      </c>
      <c r="F61" s="20" t="n">
        <v>1.7009497</v>
      </c>
      <c r="G61" s="18" t="n">
        <v>24.51650716</v>
      </c>
      <c r="H61" s="20" t="n">
        <v>1.68259784</v>
      </c>
      <c r="I61" s="18" t="n">
        <v>0</v>
      </c>
      <c r="J61" s="20" t="n">
        <v>0</v>
      </c>
      <c r="K61" s="18" t="n">
        <v>0.03119944</v>
      </c>
      <c r="L61" s="20" t="n">
        <v>0.03127363</v>
      </c>
      <c r="M61" s="18" t="n">
        <v>0</v>
      </c>
      <c r="N61" s="20" t="n">
        <v>0</v>
      </c>
      <c r="O61" s="18" t="n">
        <v>0</v>
      </c>
      <c r="P61" s="20" t="n">
        <v>0</v>
      </c>
      <c r="Q61" s="18" t="n">
        <v>0.27349736</v>
      </c>
      <c r="R61" s="20" t="n">
        <v>0.21394955</v>
      </c>
    </row>
    <row r="62" spans="1:18">
      <c r="A62" s="15" t="s">
        <v>622</v>
      </c>
      <c r="B62" s="17" t="n">
        <v>4476</v>
      </c>
      <c r="C62" s="18">
        <f>(4002.0/B62*100)</f>
        <v/>
      </c>
      <c r="D62" s="19" t="n">
        <v>474</v>
      </c>
      <c r="E62" s="18" t="n">
        <v>64.59043576000001</v>
      </c>
      <c r="F62" s="20" t="n">
        <v>1.94093692</v>
      </c>
      <c r="G62" s="18" t="n">
        <v>35.40956424</v>
      </c>
      <c r="H62" s="20" t="n">
        <v>1.94093692</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(5027.0/B67*100)</f>
        <v/>
      </c>
      <c r="D67" s="19" t="n">
        <v>638</v>
      </c>
      <c r="E67" s="18" t="n">
        <v>74.26383151</v>
      </c>
      <c r="F67" s="20" t="n">
        <v>1.76892136</v>
      </c>
      <c r="G67" s="18" t="n">
        <v>22.87760522</v>
      </c>
      <c r="H67" s="20" t="n">
        <v>1.69578699</v>
      </c>
      <c r="I67" s="18" t="n">
        <v>0</v>
      </c>
      <c r="J67" s="20" t="n">
        <v>0</v>
      </c>
      <c r="K67" s="18" t="n">
        <v>0.5683575199999999</v>
      </c>
      <c r="L67" s="20" t="n">
        <v>0.28036577</v>
      </c>
      <c r="M67" s="18" t="n">
        <v>0</v>
      </c>
      <c r="N67" s="20" t="n">
        <v>0</v>
      </c>
      <c r="O67" s="18" t="n">
        <v>0</v>
      </c>
      <c r="P67" s="20" t="n">
        <v>0</v>
      </c>
      <c r="Q67" s="18" t="n">
        <v>2.29020575</v>
      </c>
      <c r="R67" s="20" t="n">
        <v>0.65594396</v>
      </c>
    </row>
    <row r="68" spans="1:18">
      <c r="A68" s="15" t="s">
        <v>628</v>
      </c>
      <c r="B68" s="17" t="n">
        <v>6971</v>
      </c>
      <c r="C68" s="18">
        <f>(6236.0/B68*100)</f>
        <v/>
      </c>
      <c r="D68" s="19" t="n">
        <v>735</v>
      </c>
      <c r="E68" s="18" t="n">
        <v>73.74453466</v>
      </c>
      <c r="F68" s="20" t="n">
        <v>1.51304506</v>
      </c>
      <c r="G68" s="18" t="n">
        <v>25.89727171</v>
      </c>
      <c r="H68" s="20" t="n">
        <v>1.49894037</v>
      </c>
      <c r="I68" s="18" t="n">
        <v>0</v>
      </c>
      <c r="J68" s="20" t="n">
        <v>0</v>
      </c>
      <c r="K68" s="18" t="n">
        <v>0</v>
      </c>
      <c r="L68" s="20" t="n">
        <v>0</v>
      </c>
      <c r="M68" s="18" t="n">
        <v>0</v>
      </c>
      <c r="N68" s="20" t="n">
        <v>0</v>
      </c>
      <c r="O68" s="18" t="n">
        <v>0</v>
      </c>
      <c r="P68" s="20" t="n">
        <v>0</v>
      </c>
      <c r="Q68" s="18" t="n">
        <v>0.35819363</v>
      </c>
      <c r="R68" s="20" t="n">
        <v>0.20725819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(10770.0/B70*100)</f>
        <v/>
      </c>
      <c r="D70" s="19" t="n">
        <v>1313</v>
      </c>
      <c r="E70" s="18" t="n">
        <v>77.24645341999999</v>
      </c>
      <c r="F70" s="20" t="n">
        <v>1.22608333</v>
      </c>
      <c r="G70" s="18" t="n">
        <v>20.97766467</v>
      </c>
      <c r="H70" s="20" t="n">
        <v>1.17535231</v>
      </c>
      <c r="I70" s="18" t="n">
        <v>0</v>
      </c>
      <c r="J70" s="20" t="n">
        <v>0</v>
      </c>
      <c r="K70" s="18" t="n">
        <v>1.38308218</v>
      </c>
      <c r="L70" s="20" t="n">
        <v>0.32066</v>
      </c>
      <c r="M70" s="18" t="n">
        <v>0</v>
      </c>
      <c r="N70" s="20" t="n">
        <v>0</v>
      </c>
      <c r="O70" s="18" t="n">
        <v>0</v>
      </c>
      <c r="P70" s="20" t="n">
        <v>0</v>
      </c>
      <c r="Q70" s="18" t="n">
        <v>0.39279972</v>
      </c>
      <c r="R70" s="20" t="n">
        <v>0.17448598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(5369.0/B72*100)</f>
        <v/>
      </c>
      <c r="D72" s="19" t="n">
        <v>667</v>
      </c>
      <c r="E72" s="18" t="n">
        <v>82.63350841</v>
      </c>
      <c r="F72" s="20" t="n">
        <v>1.72887116</v>
      </c>
      <c r="G72" s="18" t="n">
        <v>17.06236404</v>
      </c>
      <c r="H72" s="20" t="n">
        <v>1.73305125</v>
      </c>
      <c r="I72" s="18" t="n">
        <v>0</v>
      </c>
      <c r="J72" s="20" t="n">
        <v>0</v>
      </c>
      <c r="K72" s="18" t="n">
        <v>0</v>
      </c>
      <c r="L72" s="20" t="n">
        <v>0</v>
      </c>
      <c r="M72" s="18" t="n">
        <v>0</v>
      </c>
      <c r="N72" s="20" t="n">
        <v>0</v>
      </c>
      <c r="O72" s="18" t="n">
        <v>0</v>
      </c>
      <c r="P72" s="20" t="n">
        <v>0</v>
      </c>
      <c r="Q72" s="18" t="n">
        <v>0.30412754</v>
      </c>
      <c r="R72" s="20" t="n">
        <v>0.1722501</v>
      </c>
    </row>
    <row r="73" spans="1:18">
      <c r="A73" s="15" t="s">
        <v>633</v>
      </c>
      <c r="B73" s="17" t="n">
        <v>6115</v>
      </c>
      <c r="C73" s="18">
        <f>(5460.0/B73*100)</f>
        <v/>
      </c>
      <c r="D73" s="19" t="n">
        <v>655</v>
      </c>
      <c r="E73" s="18" t="n">
        <v>60.45458423</v>
      </c>
      <c r="F73" s="20" t="n">
        <v>1.94974475</v>
      </c>
      <c r="G73" s="18" t="n">
        <v>39.44183382</v>
      </c>
      <c r="H73" s="20" t="n">
        <v>1.9623144</v>
      </c>
      <c r="I73" s="18" t="n">
        <v>0</v>
      </c>
      <c r="J73" s="20" t="n">
        <v>0</v>
      </c>
      <c r="K73" s="18" t="n">
        <v>0</v>
      </c>
      <c r="L73" s="20" t="n">
        <v>0</v>
      </c>
      <c r="M73" s="18" t="n">
        <v>0</v>
      </c>
      <c r="N73" s="20" t="n">
        <v>0</v>
      </c>
      <c r="O73" s="18" t="n">
        <v>0</v>
      </c>
      <c r="P73" s="20" t="n">
        <v>0</v>
      </c>
      <c r="Q73" s="18" t="n">
        <v>0.10358194</v>
      </c>
      <c r="R73" s="20" t="n">
        <v>0.10497426</v>
      </c>
    </row>
    <row r="74" spans="1:18">
      <c r="A74" s="15" t="s">
        <v>634</v>
      </c>
      <c r="B74" s="17" t="n">
        <v>7708</v>
      </c>
      <c r="C74" s="18">
        <f>(6844.0/B74*100)</f>
        <v/>
      </c>
      <c r="D74" s="19" t="n">
        <v>864</v>
      </c>
      <c r="E74" s="18" t="n">
        <v>77.38211904000001</v>
      </c>
      <c r="F74" s="20" t="n">
        <v>1.55324173</v>
      </c>
      <c r="G74" s="18" t="n">
        <v>22.21948702</v>
      </c>
      <c r="H74" s="20" t="n">
        <v>1.52853385</v>
      </c>
      <c r="I74" s="18" t="n">
        <v>0</v>
      </c>
      <c r="J74" s="20" t="n">
        <v>0</v>
      </c>
      <c r="K74" s="18" t="n">
        <v>0.24442352</v>
      </c>
      <c r="L74" s="20" t="n">
        <v>0.18399791</v>
      </c>
      <c r="M74" s="18" t="n">
        <v>0</v>
      </c>
      <c r="N74" s="20" t="n">
        <v>0</v>
      </c>
      <c r="O74" s="18" t="n">
        <v>0</v>
      </c>
      <c r="P74" s="20" t="n">
        <v>0</v>
      </c>
      <c r="Q74" s="18" t="n">
        <v>0.15397043</v>
      </c>
      <c r="R74" s="20" t="n">
        <v>0.09301570000000001</v>
      </c>
    </row>
    <row r="75" spans="1:18">
      <c r="A75" s="15" t="s">
        <v>635</v>
      </c>
      <c r="B75" s="17" t="n">
        <v>8249</v>
      </c>
      <c r="C75" s="18">
        <f>(7348.0/B75*100)</f>
        <v/>
      </c>
      <c r="D75" s="19" t="n">
        <v>901</v>
      </c>
      <c r="E75" s="18" t="n">
        <v>74.82939757</v>
      </c>
      <c r="F75" s="20" t="n">
        <v>1.70539337</v>
      </c>
      <c r="G75" s="18" t="n">
        <v>24.97188902</v>
      </c>
      <c r="H75" s="20" t="n">
        <v>1.71128805</v>
      </c>
      <c r="I75" s="18" t="n">
        <v>0</v>
      </c>
      <c r="J75" s="20" t="n">
        <v>0</v>
      </c>
      <c r="K75" s="18" t="n">
        <v>0.1922466</v>
      </c>
      <c r="L75" s="20" t="n">
        <v>0.15878461</v>
      </c>
      <c r="M75" s="18" t="n">
        <v>0</v>
      </c>
      <c r="N75" s="20" t="n">
        <v>0</v>
      </c>
      <c r="O75" s="18" t="n">
        <v>0</v>
      </c>
      <c r="P75" s="20" t="n">
        <v>0</v>
      </c>
      <c r="Q75" s="18" t="n">
        <v>0.00646681</v>
      </c>
      <c r="R75" s="20" t="n">
        <v>0.00646448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(4822.0/B77*100)</f>
        <v/>
      </c>
      <c r="D77" s="19" t="n">
        <v>553</v>
      </c>
      <c r="E77" s="18" t="n">
        <v>77.77458108</v>
      </c>
      <c r="F77" s="20" t="n">
        <v>1.65518049</v>
      </c>
      <c r="G77" s="18" t="n">
        <v>18.70877869</v>
      </c>
      <c r="H77" s="20" t="n">
        <v>1.46505415</v>
      </c>
      <c r="I77" s="18" t="n">
        <v>0</v>
      </c>
      <c r="J77" s="20" t="n">
        <v>0</v>
      </c>
      <c r="K77" s="18" t="n">
        <v>2.54101315</v>
      </c>
      <c r="L77" s="20" t="n">
        <v>0.70006781</v>
      </c>
      <c r="M77" s="18" t="n">
        <v>0</v>
      </c>
      <c r="N77" s="20" t="n">
        <v>0</v>
      </c>
      <c r="O77" s="18" t="n">
        <v>0</v>
      </c>
      <c r="P77" s="20" t="n">
        <v>0</v>
      </c>
      <c r="Q77" s="18" t="n">
        <v>0.97562708</v>
      </c>
      <c r="R77" s="20" t="n">
        <v>0.44596493</v>
      </c>
    </row>
    <row r="78" spans="1:18">
      <c r="A78" s="15" t="s">
        <v>638</v>
      </c>
      <c r="B78" s="17" t="n">
        <v>14167</v>
      </c>
      <c r="C78" s="18">
        <f>(12561.0/B78*100)</f>
        <v/>
      </c>
      <c r="D78" s="19" t="n">
        <v>1606</v>
      </c>
      <c r="E78" s="18" t="n">
        <v>75.07876378</v>
      </c>
      <c r="F78" s="20" t="n">
        <v>1.33292999</v>
      </c>
      <c r="G78" s="18" t="n">
        <v>24.0802796</v>
      </c>
      <c r="H78" s="20" t="n">
        <v>1.30796396</v>
      </c>
      <c r="I78" s="18" t="n">
        <v>0</v>
      </c>
      <c r="J78" s="20" t="n">
        <v>0</v>
      </c>
      <c r="K78" s="18" t="n">
        <v>0.51796495</v>
      </c>
      <c r="L78" s="20" t="n">
        <v>0.2200177</v>
      </c>
      <c r="M78" s="18" t="n">
        <v>0</v>
      </c>
      <c r="N78" s="20" t="n">
        <v>0</v>
      </c>
      <c r="O78" s="18" t="n">
        <v>0</v>
      </c>
      <c r="P78" s="20" t="n">
        <v>0</v>
      </c>
      <c r="Q78" s="18" t="n">
        <v>0.32299167</v>
      </c>
      <c r="R78" s="20" t="n">
        <v>0.1378348</v>
      </c>
    </row>
    <row r="79" spans="1:18">
      <c r="A79" s="15" t="s">
        <v>639</v>
      </c>
      <c r="B79" s="17" t="n">
        <v>6062</v>
      </c>
      <c r="C79" s="18">
        <f>(5390.0/B79*100)</f>
        <v/>
      </c>
      <c r="D79" s="19" t="n">
        <v>672</v>
      </c>
      <c r="E79" s="18" t="n">
        <v>71.22297770999999</v>
      </c>
      <c r="F79" s="20" t="n">
        <v>2.14587274</v>
      </c>
      <c r="G79" s="18" t="n">
        <v>25.68400322</v>
      </c>
      <c r="H79" s="20" t="n">
        <v>2.11787205</v>
      </c>
      <c r="I79" s="18" t="n">
        <v>0</v>
      </c>
      <c r="J79" s="20" t="n">
        <v>0</v>
      </c>
      <c r="K79" s="18" t="n">
        <v>0.74784061</v>
      </c>
      <c r="L79" s="20" t="n">
        <v>0.32926859</v>
      </c>
      <c r="M79" s="18" t="n">
        <v>0</v>
      </c>
      <c r="N79" s="20" t="n">
        <v>0</v>
      </c>
      <c r="O79" s="18" t="n">
        <v>0</v>
      </c>
      <c r="P79" s="20" t="n">
        <v>0</v>
      </c>
      <c r="Q79" s="18" t="n">
        <v>2.34517846</v>
      </c>
      <c r="R79" s="20" t="n">
        <v>0.76467704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(28837.0/B82*100)</f>
        <v/>
      </c>
      <c r="D82" s="19" t="n">
        <v>3493</v>
      </c>
      <c r="E82" s="18" t="n">
        <v>74.07095507</v>
      </c>
      <c r="F82" s="20" t="n">
        <v>1.01336923</v>
      </c>
      <c r="G82" s="18" t="n">
        <v>25.57703361</v>
      </c>
      <c r="H82" s="20" t="n">
        <v>1.01069286</v>
      </c>
      <c r="I82" s="18" t="n">
        <v>0</v>
      </c>
      <c r="J82" s="20" t="n">
        <v>0</v>
      </c>
      <c r="K82" s="18" t="n">
        <v>0.16651049</v>
      </c>
      <c r="L82" s="20" t="n">
        <v>0.11213299</v>
      </c>
      <c r="M82" s="18" t="n">
        <v>0</v>
      </c>
      <c r="N82" s="20" t="n">
        <v>0</v>
      </c>
      <c r="O82" s="18" t="n">
        <v>0</v>
      </c>
      <c r="P82" s="20" t="n">
        <v>0</v>
      </c>
      <c r="Q82" s="18" t="n">
        <v>0.18550084</v>
      </c>
      <c r="R82" s="20" t="n">
        <v>0.05277541</v>
      </c>
    </row>
    <row r="83" spans="1:18">
      <c r="A83" s="15" t="s">
        <v>643</v>
      </c>
      <c r="B83" s="17" t="n">
        <v>1652</v>
      </c>
      <c r="C83" s="18">
        <f>(1464.0/B83*100)</f>
        <v/>
      </c>
      <c r="D83" s="19" t="n">
        <v>188</v>
      </c>
      <c r="E83" s="18" t="n">
        <v>53.01386529</v>
      </c>
      <c r="F83" s="20" t="n">
        <v>4.45811611</v>
      </c>
      <c r="G83" s="18" t="n">
        <v>46.57658521</v>
      </c>
      <c r="H83" s="20" t="n">
        <v>4.54281488</v>
      </c>
      <c r="I83" s="18" t="n">
        <v>0</v>
      </c>
      <c r="J83" s="20" t="n">
        <v>0</v>
      </c>
      <c r="K83" s="18" t="n">
        <v>0</v>
      </c>
      <c r="L83" s="20" t="n">
        <v>0</v>
      </c>
      <c r="M83" s="18" t="n">
        <v>0</v>
      </c>
      <c r="N83" s="20" t="n">
        <v>0</v>
      </c>
      <c r="O83" s="18" t="n">
        <v>0</v>
      </c>
      <c r="P83" s="20" t="n">
        <v>0</v>
      </c>
      <c r="Q83" s="18" t="n">
        <v>0.4095495</v>
      </c>
      <c r="R83" s="20" t="n">
        <v>0.40550695</v>
      </c>
    </row>
    <row r="84" spans="1:18">
      <c r="A84" s="23" t="s">
        <v>644</v>
      </c>
      <c r="B84" s="24" t="n">
        <v>1887</v>
      </c>
      <c r="C84" s="25">
        <f>(1691.0/B84*100)</f>
        <v/>
      </c>
      <c r="D84" s="19" t="n">
        <v>196</v>
      </c>
      <c r="E84" s="18" t="n">
        <v>62.09904247</v>
      </c>
      <c r="F84" s="20" t="n">
        <v>3.85973788</v>
      </c>
      <c r="G84" s="18" t="n">
        <v>37.90095753</v>
      </c>
      <c r="H84" s="20" t="n">
        <v>3.85973788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(12907.0/B7*100)</f>
        <v/>
      </c>
      <c r="D7" s="19" t="n">
        <v>1623</v>
      </c>
      <c r="E7" s="18" t="n">
        <v>47.06291391</v>
      </c>
      <c r="F7" s="20" t="n">
        <v>1.434234</v>
      </c>
      <c r="G7" s="18" t="n">
        <v>51.89614571</v>
      </c>
      <c r="H7" s="20" t="n">
        <v>1.41236153</v>
      </c>
      <c r="I7" s="18" t="n">
        <v>0</v>
      </c>
      <c r="J7" s="20" t="n">
        <v>0</v>
      </c>
      <c r="K7" s="18" t="n">
        <v>0.15446306</v>
      </c>
      <c r="L7" s="20" t="n">
        <v>0.10333715</v>
      </c>
      <c r="M7" s="18" t="n">
        <v>0</v>
      </c>
      <c r="N7" s="20" t="n">
        <v>0</v>
      </c>
      <c r="O7" s="18" t="n">
        <v>0</v>
      </c>
      <c r="P7" s="20" t="n">
        <v>0</v>
      </c>
      <c r="Q7" s="18" t="n">
        <v>0.88647732</v>
      </c>
      <c r="R7" s="20" t="n">
        <v>0.32546495</v>
      </c>
    </row>
    <row r="8" spans="1:18">
      <c r="A8" s="15" t="s">
        <v>566</v>
      </c>
      <c r="B8" s="17" t="n">
        <v>7007</v>
      </c>
      <c r="C8" s="18">
        <f>(6198.0/B8*100)</f>
        <v/>
      </c>
      <c r="D8" s="19" t="n">
        <v>809</v>
      </c>
      <c r="E8" s="18" t="n">
        <v>63.97776341</v>
      </c>
      <c r="F8" s="20" t="n">
        <v>1.50237342</v>
      </c>
      <c r="G8" s="18" t="n">
        <v>35.45466285</v>
      </c>
      <c r="H8" s="20" t="n">
        <v>1.47695167</v>
      </c>
      <c r="I8" s="18" t="n">
        <v>0</v>
      </c>
      <c r="J8" s="20" t="n">
        <v>0</v>
      </c>
      <c r="K8" s="18" t="n">
        <v>0.10875895</v>
      </c>
      <c r="L8" s="20" t="n">
        <v>0.10950464</v>
      </c>
      <c r="M8" s="18" t="n">
        <v>0</v>
      </c>
      <c r="N8" s="20" t="n">
        <v>0</v>
      </c>
      <c r="O8" s="18" t="n">
        <v>0</v>
      </c>
      <c r="P8" s="20" t="n">
        <v>0</v>
      </c>
      <c r="Q8" s="18" t="n">
        <v>0.45881478</v>
      </c>
      <c r="R8" s="20" t="n">
        <v>0.23415168</v>
      </c>
    </row>
    <row r="9" spans="1:18">
      <c r="A9" s="15" t="s">
        <v>567</v>
      </c>
      <c r="B9" s="17" t="n">
        <v>9651</v>
      </c>
      <c r="C9" s="18">
        <f>(8612.0/B9*100)</f>
        <v/>
      </c>
      <c r="D9" s="19" t="n">
        <v>1039</v>
      </c>
      <c r="E9" s="18" t="n">
        <v>48.85259599</v>
      </c>
      <c r="F9" s="20" t="n">
        <v>1.69239252</v>
      </c>
      <c r="G9" s="18" t="n">
        <v>50.53496682</v>
      </c>
      <c r="H9" s="20" t="n">
        <v>1.69481295</v>
      </c>
      <c r="I9" s="18" t="n">
        <v>0</v>
      </c>
      <c r="J9" s="20" t="n">
        <v>0</v>
      </c>
      <c r="K9" s="18" t="n">
        <v>0.34849718</v>
      </c>
      <c r="L9" s="20" t="n">
        <v>0.21845096</v>
      </c>
      <c r="M9" s="18" t="n">
        <v>0</v>
      </c>
      <c r="N9" s="20" t="n">
        <v>0</v>
      </c>
      <c r="O9" s="18" t="n">
        <v>0</v>
      </c>
      <c r="P9" s="20" t="n">
        <v>0</v>
      </c>
      <c r="Q9" s="18" t="n">
        <v>0.26394</v>
      </c>
      <c r="R9" s="20" t="n">
        <v>0.16791965</v>
      </c>
    </row>
    <row r="10" spans="1:18">
      <c r="A10" s="15" t="s">
        <v>568</v>
      </c>
      <c r="B10" s="17" t="n">
        <v>20058</v>
      </c>
      <c r="C10" s="18">
        <f>(17914.0/B10*100)</f>
        <v/>
      </c>
      <c r="D10" s="19" t="n">
        <v>2144</v>
      </c>
      <c r="E10" s="18" t="n">
        <v>42.16482781</v>
      </c>
      <c r="F10" s="20" t="n">
        <v>1.49020033</v>
      </c>
      <c r="G10" s="18" t="n">
        <v>57.39843937</v>
      </c>
      <c r="H10" s="20" t="n">
        <v>1.4757372</v>
      </c>
      <c r="I10" s="18" t="n">
        <v>0</v>
      </c>
      <c r="J10" s="20" t="n">
        <v>0</v>
      </c>
      <c r="K10" s="18" t="n">
        <v>0.24121137</v>
      </c>
      <c r="L10" s="20" t="n">
        <v>0.14865174</v>
      </c>
      <c r="M10" s="18" t="n">
        <v>0</v>
      </c>
      <c r="N10" s="20" t="n">
        <v>0</v>
      </c>
      <c r="O10" s="18" t="n">
        <v>0</v>
      </c>
      <c r="P10" s="20" t="n">
        <v>0</v>
      </c>
      <c r="Q10" s="18" t="n">
        <v>0.19552145</v>
      </c>
      <c r="R10" s="20" t="n">
        <v>0.14029932</v>
      </c>
    </row>
    <row r="11" spans="1:18">
      <c r="A11" s="15" t="s">
        <v>569</v>
      </c>
      <c r="B11" s="17" t="n">
        <v>7053</v>
      </c>
      <c r="C11" s="18">
        <f>(6286.0/B11*100)</f>
        <v/>
      </c>
      <c r="D11" s="19" t="n">
        <v>767</v>
      </c>
      <c r="E11" s="18" t="n">
        <v>78.55878657</v>
      </c>
      <c r="F11" s="20" t="n">
        <v>1.46871167</v>
      </c>
      <c r="G11" s="18" t="n">
        <v>18.89619038</v>
      </c>
      <c r="H11" s="20" t="n">
        <v>1.49631411</v>
      </c>
      <c r="I11" s="18" t="n">
        <v>0</v>
      </c>
      <c r="J11" s="20" t="n">
        <v>0</v>
      </c>
      <c r="K11" s="18" t="n">
        <v>0.93125362</v>
      </c>
      <c r="L11" s="20" t="n">
        <v>0.45565526</v>
      </c>
      <c r="M11" s="18" t="n">
        <v>0</v>
      </c>
      <c r="N11" s="20" t="n">
        <v>0</v>
      </c>
      <c r="O11" s="18" t="n">
        <v>0</v>
      </c>
      <c r="P11" s="20" t="n">
        <v>0</v>
      </c>
      <c r="Q11" s="18" t="n">
        <v>1.61376943</v>
      </c>
      <c r="R11" s="20" t="n">
        <v>0.45938932</v>
      </c>
    </row>
    <row r="12" spans="1:18">
      <c r="A12" s="15" t="s">
        <v>570</v>
      </c>
      <c r="B12" s="17" t="n">
        <v>6894</v>
      </c>
      <c r="C12" s="18">
        <f>(6127.0/B12*100)</f>
        <v/>
      </c>
      <c r="D12" s="19" t="n">
        <v>767</v>
      </c>
      <c r="E12" s="18" t="n">
        <v>51.89378398</v>
      </c>
      <c r="F12" s="20" t="n">
        <v>2.16661105</v>
      </c>
      <c r="G12" s="18" t="n">
        <v>47.84888811</v>
      </c>
      <c r="H12" s="20" t="n">
        <v>2.1492434</v>
      </c>
      <c r="I12" s="18" t="n">
        <v>0</v>
      </c>
      <c r="J12" s="20" t="n">
        <v>0</v>
      </c>
      <c r="K12" s="18" t="n">
        <v>0</v>
      </c>
      <c r="L12" s="20" t="n">
        <v>0</v>
      </c>
      <c r="M12" s="18" t="n">
        <v>0</v>
      </c>
      <c r="N12" s="20" t="n">
        <v>0</v>
      </c>
      <c r="O12" s="18" t="n">
        <v>0</v>
      </c>
      <c r="P12" s="20" t="n">
        <v>0</v>
      </c>
      <c r="Q12" s="18" t="n">
        <v>0.25732791</v>
      </c>
      <c r="R12" s="20" t="n">
        <v>0.18547953</v>
      </c>
    </row>
    <row r="13" spans="1:18">
      <c r="A13" s="15" t="s">
        <v>571</v>
      </c>
      <c r="B13" s="17" t="n">
        <v>7161</v>
      </c>
      <c r="C13" s="18">
        <f>(6392.0/B13*100)</f>
        <v/>
      </c>
      <c r="D13" s="19" t="n">
        <v>769</v>
      </c>
      <c r="E13" s="18" t="n">
        <v>63.87550976</v>
      </c>
      <c r="F13" s="20" t="n">
        <v>1.82696001</v>
      </c>
      <c r="G13" s="18" t="n">
        <v>35.93287039</v>
      </c>
      <c r="H13" s="20" t="n">
        <v>1.81781682</v>
      </c>
      <c r="I13" s="18" t="n">
        <v>0</v>
      </c>
      <c r="J13" s="20" t="n">
        <v>0</v>
      </c>
      <c r="K13" s="18" t="n">
        <v>0.17091832</v>
      </c>
      <c r="L13" s="20" t="n">
        <v>0.15170184</v>
      </c>
      <c r="M13" s="18" t="n">
        <v>0</v>
      </c>
      <c r="N13" s="20" t="n">
        <v>0</v>
      </c>
      <c r="O13" s="18" t="n">
        <v>0</v>
      </c>
      <c r="P13" s="20" t="n">
        <v>0</v>
      </c>
      <c r="Q13" s="18" t="n">
        <v>0.02070154</v>
      </c>
      <c r="R13" s="20" t="n">
        <v>0.02104478</v>
      </c>
    </row>
    <row r="14" spans="1:18">
      <c r="A14" s="15" t="s">
        <v>572</v>
      </c>
      <c r="B14" s="17" t="n">
        <v>5587</v>
      </c>
      <c r="C14" s="18">
        <f>(4997.0/B14*100)</f>
        <v/>
      </c>
      <c r="D14" s="19" t="n">
        <v>590</v>
      </c>
      <c r="E14" s="18" t="n">
        <v>60.25331924</v>
      </c>
      <c r="F14" s="20" t="n">
        <v>2.02495382</v>
      </c>
      <c r="G14" s="18" t="n">
        <v>39.62068904</v>
      </c>
      <c r="H14" s="20" t="n">
        <v>2.0120615</v>
      </c>
      <c r="I14" s="18" t="n">
        <v>0</v>
      </c>
      <c r="J14" s="20" t="n">
        <v>0</v>
      </c>
      <c r="K14" s="18" t="n">
        <v>0.12599172</v>
      </c>
      <c r="L14" s="20" t="n">
        <v>0.13067406</v>
      </c>
      <c r="M14" s="18" t="n">
        <v>0</v>
      </c>
      <c r="N14" s="20" t="n">
        <v>0</v>
      </c>
      <c r="O14" s="18" t="n">
        <v>0</v>
      </c>
      <c r="P14" s="20" t="n">
        <v>0</v>
      </c>
      <c r="Q14" s="18" t="n">
        <v>0</v>
      </c>
      <c r="R14" s="20" t="n">
        <v>0</v>
      </c>
    </row>
    <row r="15" spans="1:18">
      <c r="A15" s="15" t="s">
        <v>573</v>
      </c>
      <c r="B15" s="17" t="n">
        <v>5882</v>
      </c>
      <c r="C15" s="18">
        <f>(5252.0/B15*100)</f>
        <v/>
      </c>
      <c r="D15" s="19" t="n">
        <v>630</v>
      </c>
      <c r="E15" s="18" t="n">
        <v>67.00232189</v>
      </c>
      <c r="F15" s="20" t="n">
        <v>1.77113042</v>
      </c>
      <c r="G15" s="18" t="n">
        <v>31.93105754</v>
      </c>
      <c r="H15" s="20" t="n">
        <v>1.70461038</v>
      </c>
      <c r="I15" s="18" t="n">
        <v>0</v>
      </c>
      <c r="J15" s="20" t="n">
        <v>0</v>
      </c>
      <c r="K15" s="18" t="n">
        <v>0.29714666</v>
      </c>
      <c r="L15" s="20" t="n">
        <v>0.21081869</v>
      </c>
      <c r="M15" s="18" t="n">
        <v>0</v>
      </c>
      <c r="N15" s="20" t="n">
        <v>0</v>
      </c>
      <c r="O15" s="18" t="n">
        <v>0</v>
      </c>
      <c r="P15" s="20" t="n">
        <v>0</v>
      </c>
      <c r="Q15" s="18" t="n">
        <v>0.76947391</v>
      </c>
      <c r="R15" s="20" t="n">
        <v>0.34126612</v>
      </c>
    </row>
    <row r="16" spans="1:18">
      <c r="A16" s="15" t="s">
        <v>574</v>
      </c>
      <c r="B16" s="17" t="n">
        <v>6108</v>
      </c>
      <c r="C16" s="18">
        <f>(5474.0/B16*100)</f>
        <v/>
      </c>
      <c r="D16" s="19" t="n">
        <v>634</v>
      </c>
      <c r="E16" s="18" t="n">
        <v>54.18477404</v>
      </c>
      <c r="F16" s="20" t="n">
        <v>1.88445866</v>
      </c>
      <c r="G16" s="18" t="n">
        <v>43.21033692</v>
      </c>
      <c r="H16" s="20" t="n">
        <v>1.85942715</v>
      </c>
      <c r="I16" s="18" t="n">
        <v>0</v>
      </c>
      <c r="J16" s="20" t="n">
        <v>0</v>
      </c>
      <c r="K16" s="18" t="n">
        <v>1.4421201</v>
      </c>
      <c r="L16" s="20" t="n">
        <v>0.52724952</v>
      </c>
      <c r="M16" s="18" t="n">
        <v>0</v>
      </c>
      <c r="N16" s="20" t="n">
        <v>0</v>
      </c>
      <c r="O16" s="18" t="n">
        <v>0</v>
      </c>
      <c r="P16" s="20" t="n">
        <v>0</v>
      </c>
      <c r="Q16" s="18" t="n">
        <v>1.16276894</v>
      </c>
      <c r="R16" s="20" t="n">
        <v>0.37588353</v>
      </c>
    </row>
    <row r="17" spans="1:18">
      <c r="A17" s="15" t="s">
        <v>575</v>
      </c>
      <c r="B17" s="17" t="n">
        <v>6504</v>
      </c>
      <c r="C17" s="18">
        <f>(5783.0/B17*100)</f>
        <v/>
      </c>
      <c r="D17" s="19" t="n">
        <v>721</v>
      </c>
      <c r="E17" s="18" t="n">
        <v>57.57546915</v>
      </c>
      <c r="F17" s="20" t="n">
        <v>1.9197177</v>
      </c>
      <c r="G17" s="18" t="n">
        <v>42.05993157</v>
      </c>
      <c r="H17" s="20" t="n">
        <v>1.93969973</v>
      </c>
      <c r="I17" s="18" t="n">
        <v>0</v>
      </c>
      <c r="J17" s="20" t="n">
        <v>0</v>
      </c>
      <c r="K17" s="18" t="n">
        <v>0.20828106</v>
      </c>
      <c r="L17" s="20" t="n">
        <v>0.21738906</v>
      </c>
      <c r="M17" s="18" t="n">
        <v>0</v>
      </c>
      <c r="N17" s="20" t="n">
        <v>0</v>
      </c>
      <c r="O17" s="18" t="n">
        <v>0</v>
      </c>
      <c r="P17" s="20" t="n">
        <v>0</v>
      </c>
      <c r="Q17" s="18" t="n">
        <v>0.15631823</v>
      </c>
      <c r="R17" s="20" t="n">
        <v>0.11444433</v>
      </c>
    </row>
    <row r="18" spans="1:18">
      <c r="A18" s="15" t="s">
        <v>576</v>
      </c>
      <c r="B18" s="17" t="n">
        <v>5532</v>
      </c>
      <c r="C18" s="18">
        <f>(4930.0/B18*100)</f>
        <v/>
      </c>
      <c r="D18" s="19" t="n">
        <v>602</v>
      </c>
      <c r="E18" s="18" t="n">
        <v>79.42092512000001</v>
      </c>
      <c r="F18" s="20" t="n">
        <v>1.72295787</v>
      </c>
      <c r="G18" s="18" t="n">
        <v>19.58798654</v>
      </c>
      <c r="H18" s="20" t="n">
        <v>1.71464459</v>
      </c>
      <c r="I18" s="18" t="n">
        <v>0</v>
      </c>
      <c r="J18" s="20" t="n">
        <v>0</v>
      </c>
      <c r="K18" s="18" t="n">
        <v>0.42146237</v>
      </c>
      <c r="L18" s="20" t="n">
        <v>0.24550229</v>
      </c>
      <c r="M18" s="18" t="n">
        <v>0</v>
      </c>
      <c r="N18" s="20" t="n">
        <v>0</v>
      </c>
      <c r="O18" s="18" t="n">
        <v>0</v>
      </c>
      <c r="P18" s="20" t="n">
        <v>0</v>
      </c>
      <c r="Q18" s="18" t="n">
        <v>0.56962597</v>
      </c>
      <c r="R18" s="20" t="n">
        <v>0.34496582</v>
      </c>
    </row>
    <row r="19" spans="1:18">
      <c r="A19" s="15" t="s">
        <v>577</v>
      </c>
      <c r="B19" s="17" t="n">
        <v>5658</v>
      </c>
      <c r="C19" s="18">
        <f>(5013.0/B19*100)</f>
        <v/>
      </c>
      <c r="D19" s="19" t="n">
        <v>645</v>
      </c>
      <c r="E19" s="18" t="n">
        <v>66.86389755</v>
      </c>
      <c r="F19" s="20" t="n">
        <v>2.12828472</v>
      </c>
      <c r="G19" s="18" t="n">
        <v>32.60158271</v>
      </c>
      <c r="H19" s="20" t="n">
        <v>2.12454907</v>
      </c>
      <c r="I19" s="18" t="n">
        <v>0</v>
      </c>
      <c r="J19" s="20" t="n">
        <v>0</v>
      </c>
      <c r="K19" s="18" t="n">
        <v>0.18292467</v>
      </c>
      <c r="L19" s="20" t="n">
        <v>0.19435547</v>
      </c>
      <c r="M19" s="18" t="n">
        <v>0</v>
      </c>
      <c r="N19" s="20" t="n">
        <v>0</v>
      </c>
      <c r="O19" s="18" t="n">
        <v>0</v>
      </c>
      <c r="P19" s="20" t="n">
        <v>0</v>
      </c>
      <c r="Q19" s="18" t="n">
        <v>0.35159508</v>
      </c>
      <c r="R19" s="20" t="n">
        <v>0.33116622</v>
      </c>
    </row>
    <row r="20" spans="1:18">
      <c r="A20" s="15" t="s">
        <v>578</v>
      </c>
      <c r="B20" s="17" t="n">
        <v>3371</v>
      </c>
      <c r="C20" s="18">
        <f>(3001.0/B20*100)</f>
        <v/>
      </c>
      <c r="D20" s="19" t="n">
        <v>370</v>
      </c>
      <c r="E20" s="18" t="n">
        <v>68.75074089</v>
      </c>
      <c r="F20" s="20" t="n">
        <v>2.12600049</v>
      </c>
      <c r="G20" s="18" t="n">
        <v>30.67688155</v>
      </c>
      <c r="H20" s="20" t="n">
        <v>2.09641885</v>
      </c>
      <c r="I20" s="18" t="n">
        <v>0</v>
      </c>
      <c r="J20" s="20" t="n">
        <v>0</v>
      </c>
      <c r="K20" s="18" t="n">
        <v>0.31397616</v>
      </c>
      <c r="L20" s="20" t="n">
        <v>0.3071746</v>
      </c>
      <c r="M20" s="18" t="n">
        <v>0</v>
      </c>
      <c r="N20" s="20" t="n">
        <v>0</v>
      </c>
      <c r="O20" s="18" t="n">
        <v>0</v>
      </c>
      <c r="P20" s="20" t="n">
        <v>0</v>
      </c>
      <c r="Q20" s="18" t="n">
        <v>0.2584014</v>
      </c>
      <c r="R20" s="20" t="n">
        <v>0.25936734</v>
      </c>
    </row>
    <row r="21" spans="1:18">
      <c r="A21" s="15" t="s">
        <v>579</v>
      </c>
      <c r="B21" s="17" t="n">
        <v>5741</v>
      </c>
      <c r="C21" s="18">
        <f>(5113.0/B21*100)</f>
        <v/>
      </c>
      <c r="D21" s="19" t="n">
        <v>628</v>
      </c>
      <c r="E21" s="18" t="n">
        <v>54.39320944</v>
      </c>
      <c r="F21" s="20" t="n">
        <v>1.96483001</v>
      </c>
      <c r="G21" s="18" t="n">
        <v>45.45584906</v>
      </c>
      <c r="H21" s="20" t="n">
        <v>1.95792774</v>
      </c>
      <c r="I21" s="18" t="n">
        <v>0</v>
      </c>
      <c r="J21" s="20" t="n">
        <v>0</v>
      </c>
      <c r="K21" s="18" t="n">
        <v>0</v>
      </c>
      <c r="L21" s="20" t="n">
        <v>0</v>
      </c>
      <c r="M21" s="18" t="n">
        <v>0</v>
      </c>
      <c r="N21" s="20" t="n">
        <v>0</v>
      </c>
      <c r="O21" s="18" t="n">
        <v>0</v>
      </c>
      <c r="P21" s="20" t="n">
        <v>0</v>
      </c>
      <c r="Q21" s="18" t="n">
        <v>0.1509415</v>
      </c>
      <c r="R21" s="20" t="n">
        <v>0.15150931</v>
      </c>
    </row>
    <row r="22" spans="1:18">
      <c r="A22" s="15" t="s">
        <v>580</v>
      </c>
      <c r="B22" s="17" t="n">
        <v>6598</v>
      </c>
      <c r="C22" s="18">
        <f>(5842.0/B22*100)</f>
        <v/>
      </c>
      <c r="D22" s="19" t="n">
        <v>756</v>
      </c>
      <c r="E22" s="18" t="n">
        <v>55.6661798</v>
      </c>
      <c r="F22" s="20" t="n">
        <v>1.78612444</v>
      </c>
      <c r="G22" s="18" t="n">
        <v>42.2460597</v>
      </c>
      <c r="H22" s="20" t="n">
        <v>1.81379008</v>
      </c>
      <c r="I22" s="18" t="n">
        <v>0</v>
      </c>
      <c r="J22" s="20" t="n">
        <v>0</v>
      </c>
      <c r="K22" s="18" t="n">
        <v>0.9439584</v>
      </c>
      <c r="L22" s="20" t="n">
        <v>0.37114649</v>
      </c>
      <c r="M22" s="18" t="n">
        <v>0</v>
      </c>
      <c r="N22" s="20" t="n">
        <v>0</v>
      </c>
      <c r="O22" s="18" t="n">
        <v>0</v>
      </c>
      <c r="P22" s="20" t="n">
        <v>0</v>
      </c>
      <c r="Q22" s="18" t="n">
        <v>1.1438021</v>
      </c>
      <c r="R22" s="20" t="n">
        <v>0.37993479</v>
      </c>
    </row>
    <row r="23" spans="1:18">
      <c r="A23" s="15" t="s">
        <v>581</v>
      </c>
      <c r="B23" s="17" t="n">
        <v>11583</v>
      </c>
      <c r="C23" s="18">
        <f>(10303.0/B23*100)</f>
        <v/>
      </c>
      <c r="D23" s="19" t="n">
        <v>1280</v>
      </c>
      <c r="E23" s="18" t="n">
        <v>61.4147703</v>
      </c>
      <c r="F23" s="20" t="n">
        <v>1.81400014</v>
      </c>
      <c r="G23" s="18" t="n">
        <v>37.49537313</v>
      </c>
      <c r="H23" s="20" t="n">
        <v>1.82745728</v>
      </c>
      <c r="I23" s="18" t="n">
        <v>0</v>
      </c>
      <c r="J23" s="20" t="n">
        <v>0</v>
      </c>
      <c r="K23" s="18" t="n">
        <v>0.64159523</v>
      </c>
      <c r="L23" s="20" t="n">
        <v>0.25991412</v>
      </c>
      <c r="M23" s="18" t="n">
        <v>0</v>
      </c>
      <c r="N23" s="20" t="n">
        <v>0</v>
      </c>
      <c r="O23" s="18" t="n">
        <v>0</v>
      </c>
      <c r="P23" s="20" t="n">
        <v>0</v>
      </c>
      <c r="Q23" s="18" t="n">
        <v>0.44826133</v>
      </c>
      <c r="R23" s="20" t="n">
        <v>0.2364297</v>
      </c>
    </row>
    <row r="24" spans="1:18">
      <c r="A24" s="15" t="s">
        <v>582</v>
      </c>
      <c r="B24" s="17" t="n">
        <v>6647</v>
      </c>
      <c r="C24" s="18">
        <f>(5893.0/B24*100)</f>
        <v/>
      </c>
      <c r="D24" s="19" t="n">
        <v>754</v>
      </c>
      <c r="E24" s="18" t="n">
        <v>47.69675804</v>
      </c>
      <c r="F24" s="20" t="n">
        <v>2.08715248</v>
      </c>
      <c r="G24" s="18" t="n">
        <v>51.78516029</v>
      </c>
      <c r="H24" s="20" t="n">
        <v>2.08758738</v>
      </c>
      <c r="I24" s="18" t="n">
        <v>0</v>
      </c>
      <c r="J24" s="20" t="n">
        <v>0</v>
      </c>
      <c r="K24" s="18" t="n">
        <v>0.11935534</v>
      </c>
      <c r="L24" s="20" t="n">
        <v>0.11919347</v>
      </c>
      <c r="M24" s="18" t="n">
        <v>0</v>
      </c>
      <c r="N24" s="20" t="n">
        <v>0</v>
      </c>
      <c r="O24" s="18" t="n">
        <v>0</v>
      </c>
      <c r="P24" s="20" t="n">
        <v>0</v>
      </c>
      <c r="Q24" s="18" t="n">
        <v>0.39872634</v>
      </c>
      <c r="R24" s="20" t="n">
        <v>0.23107821</v>
      </c>
    </row>
    <row r="25" spans="1:18">
      <c r="A25" s="15" t="s">
        <v>583</v>
      </c>
      <c r="B25" s="17" t="n">
        <v>5581</v>
      </c>
      <c r="C25" s="18">
        <f>(4970.0/B25*100)</f>
        <v/>
      </c>
      <c r="D25" s="19" t="n">
        <v>611</v>
      </c>
      <c r="E25" s="18" t="n">
        <v>59.8507038</v>
      </c>
      <c r="F25" s="20" t="n">
        <v>2.02604815</v>
      </c>
      <c r="G25" s="18" t="n">
        <v>39.84851629</v>
      </c>
      <c r="H25" s="20" t="n">
        <v>2.00368519</v>
      </c>
      <c r="I25" s="18" t="n">
        <v>0</v>
      </c>
      <c r="J25" s="20" t="n">
        <v>0</v>
      </c>
      <c r="K25" s="18" t="n">
        <v>0.14209221</v>
      </c>
      <c r="L25" s="20" t="n">
        <v>0.14104984</v>
      </c>
      <c r="M25" s="18" t="n">
        <v>0</v>
      </c>
      <c r="N25" s="20" t="n">
        <v>0</v>
      </c>
      <c r="O25" s="18" t="n">
        <v>0</v>
      </c>
      <c r="P25" s="20" t="n">
        <v>0</v>
      </c>
      <c r="Q25" s="18" t="n">
        <v>0.1586877</v>
      </c>
      <c r="R25" s="20" t="n">
        <v>0.15844263</v>
      </c>
    </row>
    <row r="26" spans="1:18">
      <c r="A26" s="15" t="s">
        <v>584</v>
      </c>
      <c r="B26" s="17" t="n">
        <v>4869</v>
      </c>
      <c r="C26" s="18">
        <f>(4357.0/B26*100)</f>
        <v/>
      </c>
      <c r="D26" s="19" t="n">
        <v>512</v>
      </c>
      <c r="E26" s="18" t="n">
        <v>55.37080238</v>
      </c>
      <c r="F26" s="20" t="n">
        <v>2.45534001</v>
      </c>
      <c r="G26" s="18" t="n">
        <v>44.4657937</v>
      </c>
      <c r="H26" s="20" t="n">
        <v>2.48502488</v>
      </c>
      <c r="I26" s="18" t="n">
        <v>0</v>
      </c>
      <c r="J26" s="20" t="n">
        <v>0</v>
      </c>
      <c r="K26" s="18" t="n">
        <v>0.16340391</v>
      </c>
      <c r="L26" s="20" t="n">
        <v>0.16383556</v>
      </c>
      <c r="M26" s="18" t="n">
        <v>0</v>
      </c>
      <c r="N26" s="20" t="n">
        <v>0</v>
      </c>
      <c r="O26" s="18" t="n">
        <v>0</v>
      </c>
      <c r="P26" s="20" t="n">
        <v>0</v>
      </c>
      <c r="Q26" s="18" t="n">
        <v>0</v>
      </c>
      <c r="R26" s="20" t="n">
        <v>0</v>
      </c>
    </row>
    <row r="27" spans="1:18">
      <c r="A27" s="15" t="s">
        <v>585</v>
      </c>
      <c r="B27" s="17" t="n">
        <v>5299</v>
      </c>
      <c r="C27" s="18">
        <f>(4735.0/B27*100)</f>
        <v/>
      </c>
      <c r="D27" s="19" t="n">
        <v>564</v>
      </c>
      <c r="E27" s="18" t="n">
        <v>66.32429547</v>
      </c>
      <c r="F27" s="20" t="n">
        <v>2.04302327</v>
      </c>
      <c r="G27" s="18" t="n">
        <v>32.60316759</v>
      </c>
      <c r="H27" s="20" t="n">
        <v>2.03701587</v>
      </c>
      <c r="I27" s="18" t="n">
        <v>0</v>
      </c>
      <c r="J27" s="20" t="n">
        <v>0</v>
      </c>
      <c r="K27" s="18" t="n">
        <v>0.34763489</v>
      </c>
      <c r="L27" s="20" t="n">
        <v>0.24417314</v>
      </c>
      <c r="M27" s="18" t="n">
        <v>0</v>
      </c>
      <c r="N27" s="20" t="n">
        <v>0</v>
      </c>
      <c r="O27" s="18" t="n">
        <v>0</v>
      </c>
      <c r="P27" s="20" t="n">
        <v>0</v>
      </c>
      <c r="Q27" s="18" t="n">
        <v>0.72490205</v>
      </c>
      <c r="R27" s="20" t="n">
        <v>0.36653341</v>
      </c>
    </row>
    <row r="28" spans="1:18">
      <c r="A28" s="15" t="s">
        <v>586</v>
      </c>
      <c r="B28" s="17" t="n">
        <v>7568</v>
      </c>
      <c r="C28" s="18">
        <f>(6778.0/B28*100)</f>
        <v/>
      </c>
      <c r="D28" s="19" t="n">
        <v>790</v>
      </c>
      <c r="E28" s="18" t="n">
        <v>81.56520134</v>
      </c>
      <c r="F28" s="20" t="n">
        <v>1.83775628</v>
      </c>
      <c r="G28" s="18" t="n">
        <v>17.64143781</v>
      </c>
      <c r="H28" s="20" t="n">
        <v>1.77693835</v>
      </c>
      <c r="I28" s="18" t="n">
        <v>0</v>
      </c>
      <c r="J28" s="20" t="n">
        <v>0</v>
      </c>
      <c r="K28" s="18" t="n">
        <v>0.4472511</v>
      </c>
      <c r="L28" s="20" t="n">
        <v>0.27379901</v>
      </c>
      <c r="M28" s="18" t="n">
        <v>0</v>
      </c>
      <c r="N28" s="20" t="n">
        <v>0</v>
      </c>
      <c r="O28" s="18" t="n">
        <v>0</v>
      </c>
      <c r="P28" s="20" t="n">
        <v>0</v>
      </c>
      <c r="Q28" s="18" t="n">
        <v>0.34610976</v>
      </c>
      <c r="R28" s="20" t="n">
        <v>0.25830806</v>
      </c>
    </row>
    <row r="29" spans="1:18">
      <c r="A29" s="15" t="s">
        <v>587</v>
      </c>
      <c r="B29" s="17" t="n">
        <v>5385</v>
      </c>
      <c r="C29" s="18">
        <f>(4774.0/B29*100)</f>
        <v/>
      </c>
      <c r="D29" s="19" t="n">
        <v>611</v>
      </c>
      <c r="E29" s="18" t="n">
        <v>50.7519808</v>
      </c>
      <c r="F29" s="20" t="n">
        <v>2.35918208</v>
      </c>
      <c r="G29" s="18" t="n">
        <v>49.10547565</v>
      </c>
      <c r="H29" s="20" t="n">
        <v>2.35259148</v>
      </c>
      <c r="I29" s="18" t="n">
        <v>0</v>
      </c>
      <c r="J29" s="20" t="n">
        <v>0</v>
      </c>
      <c r="K29" s="18" t="n">
        <v>0</v>
      </c>
      <c r="L29" s="20" t="n">
        <v>0</v>
      </c>
      <c r="M29" s="18" t="n">
        <v>0</v>
      </c>
      <c r="N29" s="20" t="n">
        <v>0</v>
      </c>
      <c r="O29" s="18" t="n">
        <v>0</v>
      </c>
      <c r="P29" s="20" t="n">
        <v>0</v>
      </c>
      <c r="Q29" s="18" t="n">
        <v>0.14254355</v>
      </c>
      <c r="R29" s="20" t="n">
        <v>0.14271904</v>
      </c>
    </row>
    <row r="30" spans="1:18">
      <c r="A30" s="15" t="s">
        <v>588</v>
      </c>
      <c r="B30" s="17" t="n">
        <v>4520</v>
      </c>
      <c r="C30" s="18">
        <f>(4042.0/B30*100)</f>
        <v/>
      </c>
      <c r="D30" s="19" t="n">
        <v>478</v>
      </c>
      <c r="E30" s="18" t="n">
        <v>49.89212681</v>
      </c>
      <c r="F30" s="20" t="n">
        <v>2.1443591</v>
      </c>
      <c r="G30" s="18" t="n">
        <v>48.66984328</v>
      </c>
      <c r="H30" s="20" t="n">
        <v>2.20250625</v>
      </c>
      <c r="I30" s="18" t="n">
        <v>0</v>
      </c>
      <c r="J30" s="20" t="n">
        <v>0</v>
      </c>
      <c r="K30" s="18" t="n">
        <v>0.48031897</v>
      </c>
      <c r="L30" s="20" t="n">
        <v>0.32375454</v>
      </c>
      <c r="M30" s="18" t="n">
        <v>0</v>
      </c>
      <c r="N30" s="20" t="n">
        <v>0</v>
      </c>
      <c r="O30" s="18" t="n">
        <v>0</v>
      </c>
      <c r="P30" s="20" t="n">
        <v>0</v>
      </c>
      <c r="Q30" s="18" t="n">
        <v>0.95771093</v>
      </c>
      <c r="R30" s="20" t="n">
        <v>0.52869274</v>
      </c>
    </row>
    <row r="31" spans="1:18">
      <c r="A31" s="15" t="s">
        <v>589</v>
      </c>
      <c r="B31" s="17" t="n">
        <v>5456</v>
      </c>
      <c r="C31" s="18">
        <f>(4847.0/B31*100)</f>
        <v/>
      </c>
      <c r="D31" s="19" t="n">
        <v>609</v>
      </c>
      <c r="E31" s="18" t="n">
        <v>64.22099532</v>
      </c>
      <c r="F31" s="20" t="n">
        <v>2.09063287</v>
      </c>
      <c r="G31" s="18" t="n">
        <v>33.88438057</v>
      </c>
      <c r="H31" s="20" t="n">
        <v>2.17707725</v>
      </c>
      <c r="I31" s="18" t="n">
        <v>0</v>
      </c>
      <c r="J31" s="20" t="n">
        <v>0</v>
      </c>
      <c r="K31" s="18" t="n">
        <v>0.63561087</v>
      </c>
      <c r="L31" s="20" t="n">
        <v>0.30975402</v>
      </c>
      <c r="M31" s="18" t="n">
        <v>0</v>
      </c>
      <c r="N31" s="20" t="n">
        <v>0</v>
      </c>
      <c r="O31" s="18" t="n">
        <v>0</v>
      </c>
      <c r="P31" s="20" t="n">
        <v>0</v>
      </c>
      <c r="Q31" s="18" t="n">
        <v>1.25901323</v>
      </c>
      <c r="R31" s="20" t="n">
        <v>0.44016926</v>
      </c>
    </row>
    <row r="32" spans="1:18">
      <c r="A32" s="15" t="s">
        <v>590</v>
      </c>
      <c r="B32" s="17" t="n">
        <v>4478</v>
      </c>
      <c r="C32" s="18">
        <f>(3980.0/B32*100)</f>
        <v/>
      </c>
      <c r="D32" s="19" t="n">
        <v>498</v>
      </c>
      <c r="E32" s="18" t="n">
        <v>56.15662848</v>
      </c>
      <c r="F32" s="20" t="n">
        <v>2.13922178</v>
      </c>
      <c r="G32" s="18" t="n">
        <v>43.21560673</v>
      </c>
      <c r="H32" s="20" t="n">
        <v>2.18635474</v>
      </c>
      <c r="I32" s="18" t="n">
        <v>0</v>
      </c>
      <c r="J32" s="20" t="n">
        <v>0</v>
      </c>
      <c r="K32" s="18" t="n">
        <v>0.40898396</v>
      </c>
      <c r="L32" s="20" t="n">
        <v>0.30335414</v>
      </c>
      <c r="M32" s="18" t="n">
        <v>0</v>
      </c>
      <c r="N32" s="20" t="n">
        <v>0</v>
      </c>
      <c r="O32" s="18" t="n">
        <v>0</v>
      </c>
      <c r="P32" s="20" t="n">
        <v>0</v>
      </c>
      <c r="Q32" s="18" t="n">
        <v>0.21878083</v>
      </c>
      <c r="R32" s="20" t="n">
        <v>0.20509862</v>
      </c>
    </row>
    <row r="33" spans="1:18">
      <c r="A33" s="15" t="s">
        <v>591</v>
      </c>
      <c r="B33" s="17" t="n">
        <v>7325</v>
      </c>
      <c r="C33" s="18">
        <f>(6545.0/B33*100)</f>
        <v/>
      </c>
      <c r="D33" s="19" t="n">
        <v>780</v>
      </c>
      <c r="E33" s="18" t="n">
        <v>46.68458359</v>
      </c>
      <c r="F33" s="20" t="n">
        <v>2.14602551</v>
      </c>
      <c r="G33" s="18" t="n">
        <v>52.79834817</v>
      </c>
      <c r="H33" s="20" t="n">
        <v>2.1420559</v>
      </c>
      <c r="I33" s="18" t="n">
        <v>0</v>
      </c>
      <c r="J33" s="20" t="n">
        <v>0</v>
      </c>
      <c r="K33" s="18" t="n">
        <v>0.17162442</v>
      </c>
      <c r="L33" s="20" t="n">
        <v>0.17839017</v>
      </c>
      <c r="M33" s="18" t="n">
        <v>0</v>
      </c>
      <c r="N33" s="20" t="n">
        <v>0</v>
      </c>
      <c r="O33" s="18" t="n">
        <v>0</v>
      </c>
      <c r="P33" s="20" t="n">
        <v>0</v>
      </c>
      <c r="Q33" s="18" t="n">
        <v>0.34544382</v>
      </c>
      <c r="R33" s="20" t="n">
        <v>0.27196872</v>
      </c>
    </row>
    <row r="34" spans="1:18">
      <c r="A34" s="15" t="s">
        <v>592</v>
      </c>
      <c r="B34" s="17" t="n">
        <v>6350</v>
      </c>
      <c r="C34" s="18">
        <f>(5649.0/B34*100)</f>
        <v/>
      </c>
      <c r="D34" s="19" t="n">
        <v>701</v>
      </c>
      <c r="E34" s="18" t="n">
        <v>57.31304136</v>
      </c>
      <c r="F34" s="20" t="n">
        <v>1.87575066</v>
      </c>
      <c r="G34" s="18" t="n">
        <v>42.4631381</v>
      </c>
      <c r="H34" s="20" t="n">
        <v>1.8525952</v>
      </c>
      <c r="I34" s="18" t="n">
        <v>0</v>
      </c>
      <c r="J34" s="20" t="n">
        <v>0</v>
      </c>
      <c r="K34" s="18" t="n">
        <v>0</v>
      </c>
      <c r="L34" s="20" t="n">
        <v>0</v>
      </c>
      <c r="M34" s="18" t="n">
        <v>0</v>
      </c>
      <c r="N34" s="20" t="n">
        <v>0</v>
      </c>
      <c r="O34" s="18" t="n">
        <v>0</v>
      </c>
      <c r="P34" s="20" t="n">
        <v>0</v>
      </c>
      <c r="Q34" s="18" t="n">
        <v>0.22382055</v>
      </c>
      <c r="R34" s="20" t="n">
        <v>0.15770055</v>
      </c>
    </row>
    <row r="35" spans="1:18">
      <c r="A35" s="15" t="s">
        <v>593</v>
      </c>
      <c r="B35" s="17" t="n">
        <v>6406</v>
      </c>
      <c r="C35" s="18">
        <f>(5703.0/B35*100)</f>
        <v/>
      </c>
      <c r="D35" s="19" t="n">
        <v>703</v>
      </c>
      <c r="E35" s="18" t="n">
        <v>53.76775187</v>
      </c>
      <c r="F35" s="20" t="n">
        <v>2.20780811</v>
      </c>
      <c r="G35" s="18" t="n">
        <v>45.90032454</v>
      </c>
      <c r="H35" s="20" t="n">
        <v>2.20677668</v>
      </c>
      <c r="I35" s="18" t="n">
        <v>0</v>
      </c>
      <c r="J35" s="20" t="n">
        <v>0</v>
      </c>
      <c r="K35" s="18" t="n">
        <v>0.143422</v>
      </c>
      <c r="L35" s="20" t="n">
        <v>0.10014243</v>
      </c>
      <c r="M35" s="18" t="n">
        <v>0</v>
      </c>
      <c r="N35" s="20" t="n">
        <v>0</v>
      </c>
      <c r="O35" s="18" t="n">
        <v>0</v>
      </c>
      <c r="P35" s="20" t="n">
        <v>0</v>
      </c>
      <c r="Q35" s="18" t="n">
        <v>0.1885016</v>
      </c>
      <c r="R35" s="20" t="n">
        <v>0.14279402</v>
      </c>
    </row>
    <row r="36" spans="1:18">
      <c r="A36" s="15" t="s">
        <v>594</v>
      </c>
      <c r="B36" s="17" t="n">
        <v>6736</v>
      </c>
      <c r="C36" s="18">
        <f>(6031.0/B36*100)</f>
        <v/>
      </c>
      <c r="D36" s="19" t="n">
        <v>705</v>
      </c>
      <c r="E36" s="18" t="n">
        <v>66.92566325</v>
      </c>
      <c r="F36" s="20" t="n">
        <v>2.02227738</v>
      </c>
      <c r="G36" s="18" t="n">
        <v>32.48007301</v>
      </c>
      <c r="H36" s="20" t="n">
        <v>1.95830356</v>
      </c>
      <c r="I36" s="18" t="n">
        <v>0</v>
      </c>
      <c r="J36" s="20" t="n">
        <v>0</v>
      </c>
      <c r="K36" s="18" t="n">
        <v>0.08149774999999999</v>
      </c>
      <c r="L36" s="20" t="n">
        <v>0.07446859</v>
      </c>
      <c r="M36" s="18" t="n">
        <v>0</v>
      </c>
      <c r="N36" s="20" t="n">
        <v>0</v>
      </c>
      <c r="O36" s="18" t="n">
        <v>0</v>
      </c>
      <c r="P36" s="20" t="n">
        <v>0</v>
      </c>
      <c r="Q36" s="18" t="n">
        <v>0.51276599</v>
      </c>
      <c r="R36" s="20" t="n">
        <v>0.27211007</v>
      </c>
    </row>
    <row r="37" spans="1:18">
      <c r="A37" s="15" t="s">
        <v>595</v>
      </c>
      <c r="B37" s="17" t="n">
        <v>5458</v>
      </c>
      <c r="C37" s="18">
        <f>(4875.0/B37*100)</f>
        <v/>
      </c>
      <c r="D37" s="19" t="n">
        <v>583</v>
      </c>
      <c r="E37" s="18" t="n">
        <v>61.42919658</v>
      </c>
      <c r="F37" s="20" t="n">
        <v>1.92522567</v>
      </c>
      <c r="G37" s="18" t="n">
        <v>36.60477347</v>
      </c>
      <c r="H37" s="20" t="n">
        <v>1.81947733</v>
      </c>
      <c r="I37" s="18" t="n">
        <v>0</v>
      </c>
      <c r="J37" s="20" t="n">
        <v>0</v>
      </c>
      <c r="K37" s="18" t="n">
        <v>1.3420147</v>
      </c>
      <c r="L37" s="20" t="n">
        <v>0.49781371</v>
      </c>
      <c r="M37" s="18" t="n">
        <v>0</v>
      </c>
      <c r="N37" s="20" t="n">
        <v>0</v>
      </c>
      <c r="O37" s="18" t="n">
        <v>0</v>
      </c>
      <c r="P37" s="20" t="n">
        <v>0</v>
      </c>
      <c r="Q37" s="18" t="n">
        <v>0.62401525</v>
      </c>
      <c r="R37" s="20" t="n">
        <v>0.30846302</v>
      </c>
    </row>
    <row r="38" spans="1:18">
      <c r="A38" s="15" t="s">
        <v>596</v>
      </c>
      <c r="B38" s="17" t="n">
        <v>5860</v>
      </c>
      <c r="C38" s="18">
        <f>(5227.0/B38*100)</f>
        <v/>
      </c>
      <c r="D38" s="19" t="n">
        <v>633</v>
      </c>
      <c r="E38" s="18" t="n">
        <v>60.93491121</v>
      </c>
      <c r="F38" s="20" t="n">
        <v>2.12476065</v>
      </c>
      <c r="G38" s="18" t="n">
        <v>38.4806101</v>
      </c>
      <c r="H38" s="20" t="n">
        <v>2.07428738</v>
      </c>
      <c r="I38" s="18" t="n">
        <v>0</v>
      </c>
      <c r="J38" s="20" t="n">
        <v>0</v>
      </c>
      <c r="K38" s="18" t="n">
        <v>0.30891842</v>
      </c>
      <c r="L38" s="20" t="n">
        <v>0.21685839</v>
      </c>
      <c r="M38" s="18" t="n">
        <v>0</v>
      </c>
      <c r="N38" s="20" t="n">
        <v>0</v>
      </c>
      <c r="O38" s="18" t="n">
        <v>0</v>
      </c>
      <c r="P38" s="20" t="n">
        <v>0</v>
      </c>
      <c r="Q38" s="18" t="n">
        <v>0.27556027</v>
      </c>
      <c r="R38" s="20" t="n">
        <v>0.18284881</v>
      </c>
    </row>
    <row r="39" spans="1:18">
      <c r="A39" s="15" t="s">
        <v>597</v>
      </c>
      <c r="B39" s="17" t="n">
        <v>5895</v>
      </c>
      <c r="C39" s="18">
        <f>(5224.0/B39*100)</f>
        <v/>
      </c>
      <c r="D39" s="19" t="n">
        <v>671</v>
      </c>
      <c r="E39" s="18" t="n">
        <v>64.48270143000001</v>
      </c>
      <c r="F39" s="20" t="n">
        <v>2.26057004</v>
      </c>
      <c r="G39" s="18" t="n">
        <v>34.53438856</v>
      </c>
      <c r="H39" s="20" t="n">
        <v>2.26719028</v>
      </c>
      <c r="I39" s="18" t="n">
        <v>0</v>
      </c>
      <c r="J39" s="20" t="n">
        <v>0</v>
      </c>
      <c r="K39" s="18" t="n">
        <v>0.52451476</v>
      </c>
      <c r="L39" s="20" t="n">
        <v>0.29646721</v>
      </c>
      <c r="M39" s="18" t="n">
        <v>0</v>
      </c>
      <c r="N39" s="20" t="n">
        <v>0</v>
      </c>
      <c r="O39" s="18" t="n">
        <v>0</v>
      </c>
      <c r="P39" s="20" t="n">
        <v>0</v>
      </c>
      <c r="Q39" s="18" t="n">
        <v>0.45839526</v>
      </c>
      <c r="R39" s="20" t="n">
        <v>0.24640471</v>
      </c>
    </row>
    <row r="40" spans="1:18">
      <c r="A40" s="15" t="s">
        <v>598</v>
      </c>
      <c r="B40" s="17" t="n">
        <v>14157</v>
      </c>
      <c r="C40" s="18">
        <f>(12624.0/B40*100)</f>
        <v/>
      </c>
      <c r="D40" s="19" t="n">
        <v>1533</v>
      </c>
      <c r="E40" s="18" t="n">
        <v>50.85267611</v>
      </c>
      <c r="F40" s="20" t="n">
        <v>1.75282141</v>
      </c>
      <c r="G40" s="18" t="n">
        <v>48.34505657</v>
      </c>
      <c r="H40" s="20" t="n">
        <v>1.77434998</v>
      </c>
      <c r="I40" s="18" t="n">
        <v>0</v>
      </c>
      <c r="J40" s="20" t="n">
        <v>0</v>
      </c>
      <c r="K40" s="18" t="n">
        <v>0.38646494</v>
      </c>
      <c r="L40" s="20" t="n">
        <v>0.23228873</v>
      </c>
      <c r="M40" s="18" t="n">
        <v>0</v>
      </c>
      <c r="N40" s="20" t="n">
        <v>0</v>
      </c>
      <c r="O40" s="18" t="n">
        <v>0</v>
      </c>
      <c r="P40" s="20" t="n">
        <v>0</v>
      </c>
      <c r="Q40" s="18" t="n">
        <v>0.41580238</v>
      </c>
      <c r="R40" s="20" t="n">
        <v>0.21614855</v>
      </c>
    </row>
    <row r="41" spans="1:18">
      <c r="A41" s="15" t="s">
        <v>599</v>
      </c>
      <c r="B41" s="17" t="n">
        <v>5712</v>
      </c>
      <c r="C41" s="18">
        <f>(5092.0/B41*100)</f>
        <v/>
      </c>
      <c r="D41" s="19" t="n">
        <v>620</v>
      </c>
      <c r="E41" s="18" t="n">
        <v>53.54617126</v>
      </c>
      <c r="F41" s="20" t="n">
        <v>2.3705706</v>
      </c>
      <c r="G41" s="18" t="n">
        <v>46.05358281</v>
      </c>
      <c r="H41" s="20" t="n">
        <v>2.36474602</v>
      </c>
      <c r="I41" s="18" t="n">
        <v>0</v>
      </c>
      <c r="J41" s="20" t="n">
        <v>0</v>
      </c>
      <c r="K41" s="18" t="n">
        <v>0.40024593</v>
      </c>
      <c r="L41" s="20" t="n">
        <v>0.27878464</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(20865.0/B46*100)</f>
        <v/>
      </c>
      <c r="D46" s="19" t="n">
        <v>2276</v>
      </c>
      <c r="E46" s="18" t="n">
        <v>77.7691002</v>
      </c>
      <c r="F46" s="20" t="n">
        <v>1.08228713</v>
      </c>
      <c r="G46" s="18" t="n">
        <v>20.03295575</v>
      </c>
      <c r="H46" s="20" t="n">
        <v>1.05385008</v>
      </c>
      <c r="I46" s="18" t="n">
        <v>0</v>
      </c>
      <c r="J46" s="20" t="n">
        <v>0</v>
      </c>
      <c r="K46" s="18" t="n">
        <v>0.84412561</v>
      </c>
      <c r="L46" s="20" t="n">
        <v>0.2991056</v>
      </c>
      <c r="M46" s="18" t="n">
        <v>0</v>
      </c>
      <c r="N46" s="20" t="n">
        <v>0</v>
      </c>
      <c r="O46" s="18" t="n">
        <v>0</v>
      </c>
      <c r="P46" s="20" t="n">
        <v>0</v>
      </c>
      <c r="Q46" s="18" t="n">
        <v>1.35381844</v>
      </c>
      <c r="R46" s="20" t="n">
        <v>0.35891646</v>
      </c>
    </row>
    <row r="47" spans="1:18">
      <c r="A47" s="15" t="s">
        <v>606</v>
      </c>
      <c r="B47" s="17" t="n">
        <v>5928</v>
      </c>
      <c r="C47" s="18">
        <f>(5288.0/B47*100)</f>
        <v/>
      </c>
      <c r="D47" s="19" t="n">
        <v>640</v>
      </c>
      <c r="E47" s="18" t="n">
        <v>69.22502978</v>
      </c>
      <c r="F47" s="20" t="n">
        <v>2.04856581</v>
      </c>
      <c r="G47" s="18" t="n">
        <v>29.72487719</v>
      </c>
      <c r="H47" s="20" t="n">
        <v>2.05893946</v>
      </c>
      <c r="I47" s="18" t="n">
        <v>0</v>
      </c>
      <c r="J47" s="20" t="n">
        <v>0</v>
      </c>
      <c r="K47" s="18" t="n">
        <v>0.29624872</v>
      </c>
      <c r="L47" s="20" t="n">
        <v>0.20999045</v>
      </c>
      <c r="M47" s="18" t="n">
        <v>0</v>
      </c>
      <c r="N47" s="20" t="n">
        <v>0</v>
      </c>
      <c r="O47" s="18" t="n">
        <v>0</v>
      </c>
      <c r="P47" s="20" t="n">
        <v>0</v>
      </c>
      <c r="Q47" s="18" t="n">
        <v>0.75384432</v>
      </c>
      <c r="R47" s="20" t="n">
        <v>0.24141709</v>
      </c>
    </row>
    <row r="48" spans="1:18">
      <c r="A48" s="15" t="s">
        <v>607</v>
      </c>
      <c r="B48" s="17" t="n">
        <v>9841</v>
      </c>
      <c r="C48" s="18">
        <f>(8730.0/B48*100)</f>
        <v/>
      </c>
      <c r="D48" s="19" t="n">
        <v>1111</v>
      </c>
      <c r="E48" s="18" t="n">
        <v>60.18975476</v>
      </c>
      <c r="F48" s="20" t="n">
        <v>2.09484438</v>
      </c>
      <c r="G48" s="18" t="n">
        <v>38.3073396</v>
      </c>
      <c r="H48" s="20" t="n">
        <v>2.19979325</v>
      </c>
      <c r="I48" s="18" t="n">
        <v>0</v>
      </c>
      <c r="J48" s="20" t="n">
        <v>0</v>
      </c>
      <c r="K48" s="18" t="n">
        <v>1.08479401</v>
      </c>
      <c r="L48" s="20" t="n">
        <v>0.47523647</v>
      </c>
      <c r="M48" s="18" t="n">
        <v>0</v>
      </c>
      <c r="N48" s="20" t="n">
        <v>0</v>
      </c>
      <c r="O48" s="18" t="n">
        <v>0</v>
      </c>
      <c r="P48" s="20" t="n">
        <v>0</v>
      </c>
      <c r="Q48" s="18" t="n">
        <v>0.41811163</v>
      </c>
      <c r="R48" s="20" t="n">
        <v>0.29047918</v>
      </c>
    </row>
    <row r="49" spans="1:18">
      <c r="A49" s="15" t="s">
        <v>608</v>
      </c>
      <c r="B49" s="17" t="n">
        <v>11795</v>
      </c>
      <c r="C49" s="18">
        <f>(10486.0/B49*100)</f>
        <v/>
      </c>
      <c r="D49" s="19" t="n">
        <v>1309</v>
      </c>
      <c r="E49" s="18" t="n">
        <v>74.38610101</v>
      </c>
      <c r="F49" s="20" t="n">
        <v>1.66997736</v>
      </c>
      <c r="G49" s="18" t="n">
        <v>23.497898</v>
      </c>
      <c r="H49" s="20" t="n">
        <v>1.60612701</v>
      </c>
      <c r="I49" s="18" t="n">
        <v>0</v>
      </c>
      <c r="J49" s="20" t="n">
        <v>0</v>
      </c>
      <c r="K49" s="18" t="n">
        <v>1.78161168</v>
      </c>
      <c r="L49" s="20" t="n">
        <v>0.5070449299999999</v>
      </c>
      <c r="M49" s="18" t="n">
        <v>0</v>
      </c>
      <c r="N49" s="20" t="n">
        <v>0</v>
      </c>
      <c r="O49" s="18" t="n">
        <v>0</v>
      </c>
      <c r="P49" s="20" t="n">
        <v>0</v>
      </c>
      <c r="Q49" s="18" t="n">
        <v>0.33438932</v>
      </c>
      <c r="R49" s="20" t="n">
        <v>0.16631183</v>
      </c>
    </row>
    <row r="50" spans="1:18">
      <c r="A50" s="15" t="s">
        <v>609</v>
      </c>
      <c r="B50" s="17" t="n">
        <v>6866</v>
      </c>
      <c r="C50" s="18">
        <f>(6185.0/B50*100)</f>
        <v/>
      </c>
      <c r="D50" s="19" t="n">
        <v>681</v>
      </c>
      <c r="E50" s="18" t="n">
        <v>83.36262425</v>
      </c>
      <c r="F50" s="20" t="n">
        <v>1.51121063</v>
      </c>
      <c r="G50" s="18" t="n">
        <v>15.10739658</v>
      </c>
      <c r="H50" s="20" t="n">
        <v>1.52634064</v>
      </c>
      <c r="I50" s="18" t="n">
        <v>0</v>
      </c>
      <c r="J50" s="20" t="n">
        <v>0</v>
      </c>
      <c r="K50" s="18" t="n">
        <v>0.59654279</v>
      </c>
      <c r="L50" s="20" t="n">
        <v>0.32805068</v>
      </c>
      <c r="M50" s="18" t="n">
        <v>0</v>
      </c>
      <c r="N50" s="20" t="n">
        <v>0</v>
      </c>
      <c r="O50" s="18" t="n">
        <v>0</v>
      </c>
      <c r="P50" s="20" t="n">
        <v>0</v>
      </c>
      <c r="Q50" s="18" t="n">
        <v>0.93343638</v>
      </c>
      <c r="R50" s="20" t="n">
        <v>0.36737009</v>
      </c>
    </row>
    <row r="51" spans="1:18">
      <c r="A51" s="15" t="s">
        <v>610</v>
      </c>
      <c r="B51" s="17" t="n">
        <v>5809</v>
      </c>
      <c r="C51" s="18">
        <f>(5115.0/B51*100)</f>
        <v/>
      </c>
      <c r="D51" s="19" t="n">
        <v>694</v>
      </c>
      <c r="E51" s="18" t="n">
        <v>58.31658733</v>
      </c>
      <c r="F51" s="20" t="n">
        <v>2.13866948</v>
      </c>
      <c r="G51" s="18" t="n">
        <v>40.7978889</v>
      </c>
      <c r="H51" s="20" t="n">
        <v>2.23073837</v>
      </c>
      <c r="I51" s="18" t="n">
        <v>0</v>
      </c>
      <c r="J51" s="20" t="n">
        <v>0</v>
      </c>
      <c r="K51" s="18" t="n">
        <v>0.27680891</v>
      </c>
      <c r="L51" s="20" t="n">
        <v>0.19698277</v>
      </c>
      <c r="M51" s="18" t="n">
        <v>0</v>
      </c>
      <c r="N51" s="20" t="n">
        <v>0</v>
      </c>
      <c r="O51" s="18" t="n">
        <v>0</v>
      </c>
      <c r="P51" s="20" t="n">
        <v>0</v>
      </c>
      <c r="Q51" s="18" t="n">
        <v>0.60871486</v>
      </c>
      <c r="R51" s="20" t="n">
        <v>0.30375541</v>
      </c>
    </row>
    <row r="52" spans="1:18">
      <c r="A52" s="15" t="s">
        <v>611</v>
      </c>
      <c r="B52" s="17" t="n">
        <v>5571</v>
      </c>
      <c r="C52" s="18">
        <f>(4980.0/B52*100)</f>
        <v/>
      </c>
      <c r="D52" s="19" t="n">
        <v>591</v>
      </c>
      <c r="E52" s="18" t="n">
        <v>71.96873102000001</v>
      </c>
      <c r="F52" s="20" t="n">
        <v>1.97300848</v>
      </c>
      <c r="G52" s="18" t="n">
        <v>26.30494203</v>
      </c>
      <c r="H52" s="20" t="n">
        <v>1.84654391</v>
      </c>
      <c r="I52" s="18" t="n">
        <v>0</v>
      </c>
      <c r="J52" s="20" t="n">
        <v>0</v>
      </c>
      <c r="K52" s="18" t="n">
        <v>0.35781957</v>
      </c>
      <c r="L52" s="20" t="n">
        <v>0.20666313</v>
      </c>
      <c r="M52" s="18" t="n">
        <v>0</v>
      </c>
      <c r="N52" s="20" t="n">
        <v>0</v>
      </c>
      <c r="O52" s="18" t="n">
        <v>0</v>
      </c>
      <c r="P52" s="20" t="n">
        <v>0</v>
      </c>
      <c r="Q52" s="18" t="n">
        <v>1.36850738</v>
      </c>
      <c r="R52" s="20" t="n">
        <v>0.49206306</v>
      </c>
    </row>
    <row r="53" spans="1:18">
      <c r="A53" s="15" t="s">
        <v>612</v>
      </c>
      <c r="B53" s="17" t="n">
        <v>4740</v>
      </c>
      <c r="C53" s="18">
        <f>(4229.0/B53*100)</f>
        <v/>
      </c>
      <c r="D53" s="19" t="n">
        <v>511</v>
      </c>
      <c r="E53" s="18" t="n">
        <v>80.1768089</v>
      </c>
      <c r="F53" s="20" t="n">
        <v>1.9007876</v>
      </c>
      <c r="G53" s="18" t="n">
        <v>7.07133114</v>
      </c>
      <c r="H53" s="20" t="n">
        <v>1.1339602</v>
      </c>
      <c r="I53" s="18" t="n">
        <v>0</v>
      </c>
      <c r="J53" s="20" t="n">
        <v>0</v>
      </c>
      <c r="K53" s="18" t="n">
        <v>10.2349338</v>
      </c>
      <c r="L53" s="20" t="n">
        <v>1.53406114</v>
      </c>
      <c r="M53" s="18" t="n">
        <v>0</v>
      </c>
      <c r="N53" s="20" t="n">
        <v>0</v>
      </c>
      <c r="O53" s="18" t="n">
        <v>0</v>
      </c>
      <c r="P53" s="20" t="n">
        <v>0</v>
      </c>
      <c r="Q53" s="18" t="n">
        <v>2.51692616</v>
      </c>
      <c r="R53" s="20" t="n">
        <v>0.73583319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(4735.0/B55*100)</f>
        <v/>
      </c>
      <c r="D55" s="19" t="n">
        <v>624</v>
      </c>
      <c r="E55" s="18" t="n">
        <v>62.26256115</v>
      </c>
      <c r="F55" s="20" t="n">
        <v>2.1112522</v>
      </c>
      <c r="G55" s="18" t="n">
        <v>36.70308813</v>
      </c>
      <c r="H55" s="20" t="n">
        <v>2.13727612</v>
      </c>
      <c r="I55" s="18" t="n">
        <v>0</v>
      </c>
      <c r="J55" s="20" t="n">
        <v>0</v>
      </c>
      <c r="K55" s="18" t="n">
        <v>0.30674847</v>
      </c>
      <c r="L55" s="20" t="n">
        <v>0.22054144</v>
      </c>
      <c r="M55" s="18" t="n">
        <v>0</v>
      </c>
      <c r="N55" s="20" t="n">
        <v>0</v>
      </c>
      <c r="O55" s="18" t="n">
        <v>0</v>
      </c>
      <c r="P55" s="20" t="n">
        <v>0</v>
      </c>
      <c r="Q55" s="18" t="n">
        <v>0.7276022599999999</v>
      </c>
      <c r="R55" s="20" t="n">
        <v>0.22993244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(5759.0/B61*100)</f>
        <v/>
      </c>
      <c r="D61" s="19" t="n">
        <v>766</v>
      </c>
      <c r="E61" s="18" t="n">
        <v>73.5759272</v>
      </c>
      <c r="F61" s="20" t="n">
        <v>1.6951596</v>
      </c>
      <c r="G61" s="18" t="n">
        <v>26.08834746</v>
      </c>
      <c r="H61" s="20" t="n">
        <v>1.65675799</v>
      </c>
      <c r="I61" s="18" t="n">
        <v>0</v>
      </c>
      <c r="J61" s="20" t="n">
        <v>0</v>
      </c>
      <c r="K61" s="18" t="n">
        <v>0.03119944</v>
      </c>
      <c r="L61" s="20" t="n">
        <v>0.03127363</v>
      </c>
      <c r="M61" s="18" t="n">
        <v>0</v>
      </c>
      <c r="N61" s="20" t="n">
        <v>0</v>
      </c>
      <c r="O61" s="18" t="n">
        <v>0</v>
      </c>
      <c r="P61" s="20" t="n">
        <v>0</v>
      </c>
      <c r="Q61" s="18" t="n">
        <v>0.30452589</v>
      </c>
      <c r="R61" s="20" t="n">
        <v>0.23173024</v>
      </c>
    </row>
    <row r="62" spans="1:18">
      <c r="A62" s="15" t="s">
        <v>622</v>
      </c>
      <c r="B62" s="17" t="n">
        <v>4476</v>
      </c>
      <c r="C62" s="18">
        <f>(4003.0/B62*100)</f>
        <v/>
      </c>
      <c r="D62" s="19" t="n">
        <v>473</v>
      </c>
      <c r="E62" s="18" t="n">
        <v>58.37552846</v>
      </c>
      <c r="F62" s="20" t="n">
        <v>2.2857414</v>
      </c>
      <c r="G62" s="18" t="n">
        <v>41.62447154</v>
      </c>
      <c r="H62" s="20" t="n">
        <v>2.2857414</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(5025.0/B67*100)</f>
        <v/>
      </c>
      <c r="D67" s="19" t="n">
        <v>640</v>
      </c>
      <c r="E67" s="18" t="n">
        <v>67.86312049</v>
      </c>
      <c r="F67" s="20" t="n">
        <v>1.89479105</v>
      </c>
      <c r="G67" s="18" t="n">
        <v>28.81521889</v>
      </c>
      <c r="H67" s="20" t="n">
        <v>1.79547496</v>
      </c>
      <c r="I67" s="18" t="n">
        <v>0</v>
      </c>
      <c r="J67" s="20" t="n">
        <v>0</v>
      </c>
      <c r="K67" s="18" t="n">
        <v>0.99089171</v>
      </c>
      <c r="L67" s="20" t="n">
        <v>0.36570754</v>
      </c>
      <c r="M67" s="18" t="n">
        <v>0</v>
      </c>
      <c r="N67" s="20" t="n">
        <v>0</v>
      </c>
      <c r="O67" s="18" t="n">
        <v>0</v>
      </c>
      <c r="P67" s="20" t="n">
        <v>0</v>
      </c>
      <c r="Q67" s="18" t="n">
        <v>2.33076891</v>
      </c>
      <c r="R67" s="20" t="n">
        <v>0.58196658</v>
      </c>
    </row>
    <row r="68" spans="1:18">
      <c r="A68" s="15" t="s">
        <v>628</v>
      </c>
      <c r="B68" s="17" t="n">
        <v>6971</v>
      </c>
      <c r="C68" s="18">
        <f>(6242.0/B68*100)</f>
        <v/>
      </c>
      <c r="D68" s="19" t="n">
        <v>729</v>
      </c>
      <c r="E68" s="18" t="n">
        <v>83.92395965</v>
      </c>
      <c r="F68" s="20" t="n">
        <v>1.24939179</v>
      </c>
      <c r="G68" s="18" t="n">
        <v>15.83525814</v>
      </c>
      <c r="H68" s="20" t="n">
        <v>1.24726315</v>
      </c>
      <c r="I68" s="18" t="n">
        <v>0</v>
      </c>
      <c r="J68" s="20" t="n">
        <v>0</v>
      </c>
      <c r="K68" s="18" t="n">
        <v>0</v>
      </c>
      <c r="L68" s="20" t="n">
        <v>0</v>
      </c>
      <c r="M68" s="18" t="n">
        <v>0</v>
      </c>
      <c r="N68" s="20" t="n">
        <v>0</v>
      </c>
      <c r="O68" s="18" t="n">
        <v>0</v>
      </c>
      <c r="P68" s="20" t="n">
        <v>0</v>
      </c>
      <c r="Q68" s="18" t="n">
        <v>0.24078221</v>
      </c>
      <c r="R68" s="20" t="n">
        <v>0.17075132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(10770.0/B70*100)</f>
        <v/>
      </c>
      <c r="D70" s="19" t="n">
        <v>1313</v>
      </c>
      <c r="E70" s="18" t="n">
        <v>81.58698514</v>
      </c>
      <c r="F70" s="20" t="n">
        <v>1.14090961</v>
      </c>
      <c r="G70" s="18" t="n">
        <v>16.42565655</v>
      </c>
      <c r="H70" s="20" t="n">
        <v>1.05641176</v>
      </c>
      <c r="I70" s="18" t="n">
        <v>0</v>
      </c>
      <c r="J70" s="20" t="n">
        <v>0</v>
      </c>
      <c r="K70" s="18" t="n">
        <v>1.60419772</v>
      </c>
      <c r="L70" s="20" t="n">
        <v>0.34410884</v>
      </c>
      <c r="M70" s="18" t="n">
        <v>0</v>
      </c>
      <c r="N70" s="20" t="n">
        <v>0</v>
      </c>
      <c r="O70" s="18" t="n">
        <v>0</v>
      </c>
      <c r="P70" s="20" t="n">
        <v>0</v>
      </c>
      <c r="Q70" s="18" t="n">
        <v>0.38316059</v>
      </c>
      <c r="R70" s="20" t="n">
        <v>0.1254315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(5371.0/B72*100)</f>
        <v/>
      </c>
      <c r="D72" s="19" t="n">
        <v>665</v>
      </c>
      <c r="E72" s="18" t="n">
        <v>61.69102613</v>
      </c>
      <c r="F72" s="20" t="n">
        <v>1.99744502</v>
      </c>
      <c r="G72" s="18" t="n">
        <v>37.10837313</v>
      </c>
      <c r="H72" s="20" t="n">
        <v>2.09699256</v>
      </c>
      <c r="I72" s="18" t="n">
        <v>0</v>
      </c>
      <c r="J72" s="20" t="n">
        <v>0</v>
      </c>
      <c r="K72" s="18" t="n">
        <v>0.15358825</v>
      </c>
      <c r="L72" s="20" t="n">
        <v>0.10938649</v>
      </c>
      <c r="M72" s="18" t="n">
        <v>0</v>
      </c>
      <c r="N72" s="20" t="n">
        <v>0</v>
      </c>
      <c r="O72" s="18" t="n">
        <v>0</v>
      </c>
      <c r="P72" s="20" t="n">
        <v>0</v>
      </c>
      <c r="Q72" s="18" t="n">
        <v>1.04701249</v>
      </c>
      <c r="R72" s="20" t="n">
        <v>0.76889942</v>
      </c>
    </row>
    <row r="73" spans="1:18">
      <c r="A73" s="15" t="s">
        <v>633</v>
      </c>
      <c r="B73" s="17" t="n">
        <v>6115</v>
      </c>
      <c r="C73" s="18">
        <f>(5461.0/B73*100)</f>
        <v/>
      </c>
      <c r="D73" s="19" t="n">
        <v>654</v>
      </c>
      <c r="E73" s="18" t="n">
        <v>44.10875713</v>
      </c>
      <c r="F73" s="20" t="n">
        <v>1.8356616</v>
      </c>
      <c r="G73" s="18" t="n">
        <v>55.89124287</v>
      </c>
      <c r="H73" s="20" t="n">
        <v>1.8356616</v>
      </c>
      <c r="I73" s="18" t="n">
        <v>0</v>
      </c>
      <c r="J73" s="20" t="n">
        <v>0</v>
      </c>
      <c r="K73" s="18" t="n">
        <v>0</v>
      </c>
      <c r="L73" s="20" t="n">
        <v>0</v>
      </c>
      <c r="M73" s="18" t="n">
        <v>0</v>
      </c>
      <c r="N73" s="20" t="n">
        <v>0</v>
      </c>
      <c r="O73" s="18" t="n">
        <v>0</v>
      </c>
      <c r="P73" s="20" t="n">
        <v>0</v>
      </c>
      <c r="Q73" s="18" t="n">
        <v>0</v>
      </c>
      <c r="R73" s="20" t="n">
        <v>0</v>
      </c>
    </row>
    <row r="74" spans="1:18">
      <c r="A74" s="15" t="s">
        <v>634</v>
      </c>
      <c r="B74" s="17" t="n">
        <v>7708</v>
      </c>
      <c r="C74" s="18">
        <f>(6844.0/B74*100)</f>
        <v/>
      </c>
      <c r="D74" s="19" t="n">
        <v>864</v>
      </c>
      <c r="E74" s="18" t="n">
        <v>61.02964746</v>
      </c>
      <c r="F74" s="20" t="n">
        <v>1.80310485</v>
      </c>
      <c r="G74" s="18" t="n">
        <v>38.5719586</v>
      </c>
      <c r="H74" s="20" t="n">
        <v>1.79035479</v>
      </c>
      <c r="I74" s="18" t="n">
        <v>0</v>
      </c>
      <c r="J74" s="20" t="n">
        <v>0</v>
      </c>
      <c r="K74" s="18" t="n">
        <v>0.24442352</v>
      </c>
      <c r="L74" s="20" t="n">
        <v>0.18399791</v>
      </c>
      <c r="M74" s="18" t="n">
        <v>0</v>
      </c>
      <c r="N74" s="20" t="n">
        <v>0</v>
      </c>
      <c r="O74" s="18" t="n">
        <v>0</v>
      </c>
      <c r="P74" s="20" t="n">
        <v>0</v>
      </c>
      <c r="Q74" s="18" t="n">
        <v>0.15397043</v>
      </c>
      <c r="R74" s="20" t="n">
        <v>0.09301570000000001</v>
      </c>
    </row>
    <row r="75" spans="1:18">
      <c r="A75" s="15" t="s">
        <v>635</v>
      </c>
      <c r="B75" s="17" t="n">
        <v>8249</v>
      </c>
      <c r="C75" s="18">
        <f>(7349.0/B75*100)</f>
        <v/>
      </c>
      <c r="D75" s="19" t="n">
        <v>900</v>
      </c>
      <c r="E75" s="18" t="n">
        <v>70.40758614000001</v>
      </c>
      <c r="F75" s="20" t="n">
        <v>1.82117406</v>
      </c>
      <c r="G75" s="18" t="n">
        <v>28.98082437</v>
      </c>
      <c r="H75" s="20" t="n">
        <v>1.85105623</v>
      </c>
      <c r="I75" s="18" t="n">
        <v>0</v>
      </c>
      <c r="J75" s="20" t="n">
        <v>0</v>
      </c>
      <c r="K75" s="18" t="n">
        <v>0.19254059</v>
      </c>
      <c r="L75" s="20" t="n">
        <v>0.15903033</v>
      </c>
      <c r="M75" s="18" t="n">
        <v>0</v>
      </c>
      <c r="N75" s="20" t="n">
        <v>0</v>
      </c>
      <c r="O75" s="18" t="n">
        <v>0</v>
      </c>
      <c r="P75" s="20" t="n">
        <v>0</v>
      </c>
      <c r="Q75" s="18" t="n">
        <v>0.4190489</v>
      </c>
      <c r="R75" s="20" t="n">
        <v>0.24909413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(4822.0/B77*100)</f>
        <v/>
      </c>
      <c r="D77" s="19" t="n">
        <v>553</v>
      </c>
      <c r="E77" s="18" t="n">
        <v>78.63653004</v>
      </c>
      <c r="F77" s="20" t="n">
        <v>1.99289648</v>
      </c>
      <c r="G77" s="18" t="n">
        <v>17.49306007</v>
      </c>
      <c r="H77" s="20" t="n">
        <v>1.81971398</v>
      </c>
      <c r="I77" s="18" t="n">
        <v>0</v>
      </c>
      <c r="J77" s="20" t="n">
        <v>0</v>
      </c>
      <c r="K77" s="18" t="n">
        <v>2.85625678</v>
      </c>
      <c r="L77" s="20" t="n">
        <v>0.76807015</v>
      </c>
      <c r="M77" s="18" t="n">
        <v>0</v>
      </c>
      <c r="N77" s="20" t="n">
        <v>0</v>
      </c>
      <c r="O77" s="18" t="n">
        <v>0</v>
      </c>
      <c r="P77" s="20" t="n">
        <v>0</v>
      </c>
      <c r="Q77" s="18" t="n">
        <v>1.01415312</v>
      </c>
      <c r="R77" s="20" t="n">
        <v>0.41895514</v>
      </c>
    </row>
    <row r="78" spans="1:18">
      <c r="A78" s="15" t="s">
        <v>638</v>
      </c>
      <c r="B78" s="17" t="n">
        <v>14167</v>
      </c>
      <c r="C78" s="18">
        <f>(12563.0/B78*100)</f>
        <v/>
      </c>
      <c r="D78" s="19" t="n">
        <v>1604</v>
      </c>
      <c r="E78" s="18" t="n">
        <v>76.30919201</v>
      </c>
      <c r="F78" s="20" t="n">
        <v>1.39911247</v>
      </c>
      <c r="G78" s="18" t="n">
        <v>22.33397154</v>
      </c>
      <c r="H78" s="20" t="n">
        <v>1.38017758</v>
      </c>
      <c r="I78" s="18" t="n">
        <v>0</v>
      </c>
      <c r="J78" s="20" t="n">
        <v>0</v>
      </c>
      <c r="K78" s="18" t="n">
        <v>0.62365594</v>
      </c>
      <c r="L78" s="20" t="n">
        <v>0.23635752</v>
      </c>
      <c r="M78" s="18" t="n">
        <v>0</v>
      </c>
      <c r="N78" s="20" t="n">
        <v>0</v>
      </c>
      <c r="O78" s="18" t="n">
        <v>0</v>
      </c>
      <c r="P78" s="20" t="n">
        <v>0</v>
      </c>
      <c r="Q78" s="18" t="n">
        <v>0.7331805</v>
      </c>
      <c r="R78" s="20" t="n">
        <v>0.22742122</v>
      </c>
    </row>
    <row r="79" spans="1:18">
      <c r="A79" s="15" t="s">
        <v>639</v>
      </c>
      <c r="B79" s="17" t="n">
        <v>6062</v>
      </c>
      <c r="C79" s="18">
        <f>(5394.0/B79*100)</f>
        <v/>
      </c>
      <c r="D79" s="19" t="n">
        <v>668</v>
      </c>
      <c r="E79" s="18" t="n">
        <v>73.96095841</v>
      </c>
      <c r="F79" s="20" t="n">
        <v>1.60755223</v>
      </c>
      <c r="G79" s="18" t="n">
        <v>22.43955684</v>
      </c>
      <c r="H79" s="20" t="n">
        <v>1.40878231</v>
      </c>
      <c r="I79" s="18" t="n">
        <v>0</v>
      </c>
      <c r="J79" s="20" t="n">
        <v>0</v>
      </c>
      <c r="K79" s="18" t="n">
        <v>0.99210827</v>
      </c>
      <c r="L79" s="20" t="n">
        <v>0.37294762</v>
      </c>
      <c r="M79" s="18" t="n">
        <v>0</v>
      </c>
      <c r="N79" s="20" t="n">
        <v>0</v>
      </c>
      <c r="O79" s="18" t="n">
        <v>0</v>
      </c>
      <c r="P79" s="20" t="n">
        <v>0</v>
      </c>
      <c r="Q79" s="18" t="n">
        <v>2.60737647</v>
      </c>
      <c r="R79" s="20" t="n">
        <v>0.78588547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(28841.0/B82*100)</f>
        <v/>
      </c>
      <c r="D82" s="19" t="n">
        <v>3489</v>
      </c>
      <c r="E82" s="18" t="n">
        <v>65.95963527000001</v>
      </c>
      <c r="F82" s="20" t="n">
        <v>1.17861758</v>
      </c>
      <c r="G82" s="18" t="n">
        <v>33.31587944</v>
      </c>
      <c r="H82" s="20" t="n">
        <v>1.17235697</v>
      </c>
      <c r="I82" s="18" t="n">
        <v>0</v>
      </c>
      <c r="J82" s="20" t="n">
        <v>0</v>
      </c>
      <c r="K82" s="18" t="n">
        <v>0.26074447</v>
      </c>
      <c r="L82" s="20" t="n">
        <v>0.13229905</v>
      </c>
      <c r="M82" s="18" t="n">
        <v>0</v>
      </c>
      <c r="N82" s="20" t="n">
        <v>0</v>
      </c>
      <c r="O82" s="18" t="n">
        <v>0</v>
      </c>
      <c r="P82" s="20" t="n">
        <v>0</v>
      </c>
      <c r="Q82" s="18" t="n">
        <v>0.46374082</v>
      </c>
      <c r="R82" s="20" t="n">
        <v>0.14489117</v>
      </c>
    </row>
    <row r="83" spans="1:18">
      <c r="A83" s="15" t="s">
        <v>643</v>
      </c>
      <c r="B83" s="17" t="n">
        <v>1652</v>
      </c>
      <c r="C83" s="18">
        <f>(1464.0/B83*100)</f>
        <v/>
      </c>
      <c r="D83" s="19" t="n">
        <v>188</v>
      </c>
      <c r="E83" s="18" t="n">
        <v>41.75414511</v>
      </c>
      <c r="F83" s="20" t="n">
        <v>3.50378678</v>
      </c>
      <c r="G83" s="18" t="n">
        <v>57.83630539</v>
      </c>
      <c r="H83" s="20" t="n">
        <v>3.5233025</v>
      </c>
      <c r="I83" s="18" t="n">
        <v>0</v>
      </c>
      <c r="J83" s="20" t="n">
        <v>0</v>
      </c>
      <c r="K83" s="18" t="n">
        <v>0</v>
      </c>
      <c r="L83" s="20" t="n">
        <v>0</v>
      </c>
      <c r="M83" s="18" t="n">
        <v>0</v>
      </c>
      <c r="N83" s="20" t="n">
        <v>0</v>
      </c>
      <c r="O83" s="18" t="n">
        <v>0</v>
      </c>
      <c r="P83" s="20" t="n">
        <v>0</v>
      </c>
      <c r="Q83" s="18" t="n">
        <v>0.4095495</v>
      </c>
      <c r="R83" s="20" t="n">
        <v>0.40550695</v>
      </c>
    </row>
    <row r="84" spans="1:18">
      <c r="A84" s="23" t="s">
        <v>644</v>
      </c>
      <c r="B84" s="24" t="n">
        <v>1887</v>
      </c>
      <c r="C84" s="25">
        <f>(1691.0/B84*100)</f>
        <v/>
      </c>
      <c r="D84" s="19" t="n">
        <v>196</v>
      </c>
      <c r="E84" s="18" t="n">
        <v>51.65816523</v>
      </c>
      <c r="F84" s="20" t="n">
        <v>4.29481669</v>
      </c>
      <c r="G84" s="18" t="n">
        <v>47.86341845</v>
      </c>
      <c r="H84" s="20" t="n">
        <v>4.38148245</v>
      </c>
      <c r="I84" s="18" t="n">
        <v>0</v>
      </c>
      <c r="J84" s="20" t="n">
        <v>0</v>
      </c>
      <c r="K84" s="18" t="n">
        <v>0</v>
      </c>
      <c r="L84" s="20" t="n">
        <v>0</v>
      </c>
      <c r="M84" s="18" t="n">
        <v>0</v>
      </c>
      <c r="N84" s="20" t="n">
        <v>0</v>
      </c>
      <c r="O84" s="18" t="n">
        <v>0</v>
      </c>
      <c r="P84" s="20" t="n">
        <v>0</v>
      </c>
      <c r="Q84" s="18" t="n">
        <v>0.47841632</v>
      </c>
      <c r="R84" s="20" t="n">
        <v>0.48241488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(12910.0/B7*100)</f>
        <v/>
      </c>
      <c r="D7" s="19" t="n">
        <v>1620</v>
      </c>
      <c r="E7" s="18" t="n">
        <v>34.30515473</v>
      </c>
      <c r="F7" s="20" t="n">
        <v>1.29572873</v>
      </c>
      <c r="G7" s="18" t="n">
        <v>64.88585421000001</v>
      </c>
      <c r="H7" s="20" t="n">
        <v>1.34304552</v>
      </c>
      <c r="I7" s="18" t="n">
        <v>0</v>
      </c>
      <c r="J7" s="20" t="n">
        <v>0</v>
      </c>
      <c r="K7" s="18" t="n">
        <v>0.1548852</v>
      </c>
      <c r="L7" s="20" t="n">
        <v>0.10362021</v>
      </c>
      <c r="M7" s="18" t="n">
        <v>0</v>
      </c>
      <c r="N7" s="20" t="n">
        <v>0</v>
      </c>
      <c r="O7" s="18" t="n">
        <v>0</v>
      </c>
      <c r="P7" s="20" t="n">
        <v>0</v>
      </c>
      <c r="Q7" s="18" t="n">
        <v>0.65410585</v>
      </c>
      <c r="R7" s="20" t="n">
        <v>0.22508163</v>
      </c>
    </row>
    <row r="8" spans="1:18">
      <c r="A8" s="15" t="s">
        <v>566</v>
      </c>
      <c r="B8" s="17" t="n">
        <v>7007</v>
      </c>
      <c r="C8" s="18">
        <f>(6198.0/B8*100)</f>
        <v/>
      </c>
      <c r="D8" s="19" t="n">
        <v>809</v>
      </c>
      <c r="E8" s="18" t="n">
        <v>40.82138331</v>
      </c>
      <c r="F8" s="20" t="n">
        <v>1.65662689</v>
      </c>
      <c r="G8" s="18" t="n">
        <v>58.28786474</v>
      </c>
      <c r="H8" s="20" t="n">
        <v>1.76213654</v>
      </c>
      <c r="I8" s="18" t="n">
        <v>0</v>
      </c>
      <c r="J8" s="20" t="n">
        <v>0</v>
      </c>
      <c r="K8" s="18" t="n">
        <v>0.10875895</v>
      </c>
      <c r="L8" s="20" t="n">
        <v>0.10950464</v>
      </c>
      <c r="M8" s="18" t="n">
        <v>0</v>
      </c>
      <c r="N8" s="20" t="n">
        <v>0</v>
      </c>
      <c r="O8" s="18" t="n">
        <v>0</v>
      </c>
      <c r="P8" s="20" t="n">
        <v>0</v>
      </c>
      <c r="Q8" s="18" t="n">
        <v>0.781993</v>
      </c>
      <c r="R8" s="20" t="n">
        <v>0.36642877</v>
      </c>
    </row>
    <row r="9" spans="1:18">
      <c r="A9" s="15" t="s">
        <v>567</v>
      </c>
      <c r="B9" s="17" t="n">
        <v>9651</v>
      </c>
      <c r="C9" s="18">
        <f>(8613.0/B9*100)</f>
        <v/>
      </c>
      <c r="D9" s="19" t="n">
        <v>1038</v>
      </c>
      <c r="E9" s="18" t="n">
        <v>39.19310078</v>
      </c>
      <c r="F9" s="20" t="n">
        <v>1.46281147</v>
      </c>
      <c r="G9" s="18" t="n">
        <v>60.08336632</v>
      </c>
      <c r="H9" s="20" t="n">
        <v>1.48054683</v>
      </c>
      <c r="I9" s="18" t="n">
        <v>0</v>
      </c>
      <c r="J9" s="20" t="n">
        <v>0</v>
      </c>
      <c r="K9" s="18" t="n">
        <v>0.34881095</v>
      </c>
      <c r="L9" s="20" t="n">
        <v>0.21862994</v>
      </c>
      <c r="M9" s="18" t="n">
        <v>0</v>
      </c>
      <c r="N9" s="20" t="n">
        <v>0</v>
      </c>
      <c r="O9" s="18" t="n">
        <v>0</v>
      </c>
      <c r="P9" s="20" t="n">
        <v>0</v>
      </c>
      <c r="Q9" s="18" t="n">
        <v>0.37472195</v>
      </c>
      <c r="R9" s="20" t="n">
        <v>0.19160245</v>
      </c>
    </row>
    <row r="10" spans="1:18">
      <c r="A10" s="15" t="s">
        <v>568</v>
      </c>
      <c r="B10" s="17" t="n">
        <v>20058</v>
      </c>
      <c r="C10" s="18">
        <f>(17915.0/B10*100)</f>
        <v/>
      </c>
      <c r="D10" s="19" t="n">
        <v>2143</v>
      </c>
      <c r="E10" s="18" t="n">
        <v>28.97444191</v>
      </c>
      <c r="F10" s="20" t="n">
        <v>1.41478079</v>
      </c>
      <c r="G10" s="18" t="n">
        <v>70.45969448</v>
      </c>
      <c r="H10" s="20" t="n">
        <v>1.35725508</v>
      </c>
      <c r="I10" s="18" t="n">
        <v>0</v>
      </c>
      <c r="J10" s="20" t="n">
        <v>0</v>
      </c>
      <c r="K10" s="18" t="n">
        <v>0.32550609</v>
      </c>
      <c r="L10" s="20" t="n">
        <v>0.16917223</v>
      </c>
      <c r="M10" s="18" t="n">
        <v>0</v>
      </c>
      <c r="N10" s="20" t="n">
        <v>0</v>
      </c>
      <c r="O10" s="18" t="n">
        <v>0</v>
      </c>
      <c r="P10" s="20" t="n">
        <v>0</v>
      </c>
      <c r="Q10" s="18" t="n">
        <v>0.24035752</v>
      </c>
      <c r="R10" s="20" t="n">
        <v>0.16098346</v>
      </c>
    </row>
    <row r="11" spans="1:18">
      <c r="A11" s="15" t="s">
        <v>569</v>
      </c>
      <c r="B11" s="17" t="n">
        <v>7053</v>
      </c>
      <c r="C11" s="18">
        <f>(6288.0/B11*100)</f>
        <v/>
      </c>
      <c r="D11" s="19" t="n">
        <v>765</v>
      </c>
      <c r="E11" s="18" t="n">
        <v>42.36773608</v>
      </c>
      <c r="F11" s="20" t="n">
        <v>2.44832988</v>
      </c>
      <c r="G11" s="18" t="n">
        <v>54.78916101</v>
      </c>
      <c r="H11" s="20" t="n">
        <v>2.41066285</v>
      </c>
      <c r="I11" s="18" t="n">
        <v>0</v>
      </c>
      <c r="J11" s="20" t="n">
        <v>0</v>
      </c>
      <c r="K11" s="18" t="n">
        <v>1.2802893</v>
      </c>
      <c r="L11" s="20" t="n">
        <v>0.51534504</v>
      </c>
      <c r="M11" s="18" t="n">
        <v>0</v>
      </c>
      <c r="N11" s="20" t="n">
        <v>0</v>
      </c>
      <c r="O11" s="18" t="n">
        <v>0</v>
      </c>
      <c r="P11" s="20" t="n">
        <v>0</v>
      </c>
      <c r="Q11" s="18" t="n">
        <v>1.56281361</v>
      </c>
      <c r="R11" s="20" t="n">
        <v>0.48243155</v>
      </c>
    </row>
    <row r="12" spans="1:18">
      <c r="A12" s="15" t="s">
        <v>570</v>
      </c>
      <c r="B12" s="17" t="n">
        <v>6894</v>
      </c>
      <c r="C12" s="18">
        <f>(6127.0/B12*100)</f>
        <v/>
      </c>
      <c r="D12" s="19" t="n">
        <v>767</v>
      </c>
      <c r="E12" s="18" t="n">
        <v>38.29939339</v>
      </c>
      <c r="F12" s="20" t="n">
        <v>1.84069394</v>
      </c>
      <c r="G12" s="18" t="n">
        <v>61.36559055</v>
      </c>
      <c r="H12" s="20" t="n">
        <v>1.85801345</v>
      </c>
      <c r="I12" s="18" t="n">
        <v>0</v>
      </c>
      <c r="J12" s="20" t="n">
        <v>0</v>
      </c>
      <c r="K12" s="18" t="n">
        <v>0.19947077</v>
      </c>
      <c r="L12" s="20" t="n">
        <v>0.15225892</v>
      </c>
      <c r="M12" s="18" t="n">
        <v>0</v>
      </c>
      <c r="N12" s="20" t="n">
        <v>0</v>
      </c>
      <c r="O12" s="18" t="n">
        <v>0</v>
      </c>
      <c r="P12" s="20" t="n">
        <v>0</v>
      </c>
      <c r="Q12" s="18" t="n">
        <v>0.13554529</v>
      </c>
      <c r="R12" s="20" t="n">
        <v>0.15259864</v>
      </c>
    </row>
    <row r="13" spans="1:18">
      <c r="A13" s="15" t="s">
        <v>571</v>
      </c>
      <c r="B13" s="17" t="n">
        <v>7161</v>
      </c>
      <c r="C13" s="18">
        <f>(6392.0/B13*100)</f>
        <v/>
      </c>
      <c r="D13" s="19" t="n">
        <v>769</v>
      </c>
      <c r="E13" s="18" t="n">
        <v>31.91124477</v>
      </c>
      <c r="F13" s="20" t="n">
        <v>1.84142031</v>
      </c>
      <c r="G13" s="18" t="n">
        <v>67.60973275000001</v>
      </c>
      <c r="H13" s="20" t="n">
        <v>1.84366769</v>
      </c>
      <c r="I13" s="18" t="n">
        <v>0</v>
      </c>
      <c r="J13" s="20" t="n">
        <v>0</v>
      </c>
      <c r="K13" s="18" t="n">
        <v>0.17091832</v>
      </c>
      <c r="L13" s="20" t="n">
        <v>0.15170184</v>
      </c>
      <c r="M13" s="18" t="n">
        <v>0</v>
      </c>
      <c r="N13" s="20" t="n">
        <v>0</v>
      </c>
      <c r="O13" s="18" t="n">
        <v>0</v>
      </c>
      <c r="P13" s="20" t="n">
        <v>0</v>
      </c>
      <c r="Q13" s="18" t="n">
        <v>0.30810416</v>
      </c>
      <c r="R13" s="20" t="n">
        <v>0.23632789</v>
      </c>
    </row>
    <row r="14" spans="1:18">
      <c r="A14" s="15" t="s">
        <v>572</v>
      </c>
      <c r="B14" s="17" t="n">
        <v>5587</v>
      </c>
      <c r="C14" s="18">
        <f>(4997.0/B14*100)</f>
        <v/>
      </c>
      <c r="D14" s="19" t="n">
        <v>590</v>
      </c>
      <c r="E14" s="18" t="n">
        <v>31.74195539</v>
      </c>
      <c r="F14" s="20" t="n">
        <v>2.11355794</v>
      </c>
      <c r="G14" s="18" t="n">
        <v>68.13205289</v>
      </c>
      <c r="H14" s="20" t="n">
        <v>2.0988321</v>
      </c>
      <c r="I14" s="18" t="n">
        <v>0</v>
      </c>
      <c r="J14" s="20" t="n">
        <v>0</v>
      </c>
      <c r="K14" s="18" t="n">
        <v>0.12599172</v>
      </c>
      <c r="L14" s="20" t="n">
        <v>0.13067406</v>
      </c>
      <c r="M14" s="18" t="n">
        <v>0</v>
      </c>
      <c r="N14" s="20" t="n">
        <v>0</v>
      </c>
      <c r="O14" s="18" t="n">
        <v>0</v>
      </c>
      <c r="P14" s="20" t="n">
        <v>0</v>
      </c>
      <c r="Q14" s="18" t="n">
        <v>0</v>
      </c>
      <c r="R14" s="20" t="n">
        <v>0</v>
      </c>
    </row>
    <row r="15" spans="1:18">
      <c r="A15" s="15" t="s">
        <v>573</v>
      </c>
      <c r="B15" s="17" t="n">
        <v>5882</v>
      </c>
      <c r="C15" s="18">
        <f>(5252.0/B15*100)</f>
        <v/>
      </c>
      <c r="D15" s="19" t="n">
        <v>630</v>
      </c>
      <c r="E15" s="18" t="n">
        <v>32.82277551</v>
      </c>
      <c r="F15" s="20" t="n">
        <v>1.96888143</v>
      </c>
      <c r="G15" s="18" t="n">
        <v>65.93212976</v>
      </c>
      <c r="H15" s="20" t="n">
        <v>1.89798996</v>
      </c>
      <c r="I15" s="18" t="n">
        <v>0</v>
      </c>
      <c r="J15" s="20" t="n">
        <v>0</v>
      </c>
      <c r="K15" s="18" t="n">
        <v>0.29714666</v>
      </c>
      <c r="L15" s="20" t="n">
        <v>0.21081869</v>
      </c>
      <c r="M15" s="18" t="n">
        <v>0</v>
      </c>
      <c r="N15" s="20" t="n">
        <v>0</v>
      </c>
      <c r="O15" s="18" t="n">
        <v>0</v>
      </c>
      <c r="P15" s="20" t="n">
        <v>0</v>
      </c>
      <c r="Q15" s="18" t="n">
        <v>0.94794807</v>
      </c>
      <c r="R15" s="20" t="n">
        <v>0.38354081</v>
      </c>
    </row>
    <row r="16" spans="1:18">
      <c r="A16" s="15" t="s">
        <v>574</v>
      </c>
      <c r="B16" s="17" t="n">
        <v>6108</v>
      </c>
      <c r="C16" s="18">
        <f>(5475.0/B16*100)</f>
        <v/>
      </c>
      <c r="D16" s="19" t="n">
        <v>633</v>
      </c>
      <c r="E16" s="18" t="n">
        <v>41.51353055</v>
      </c>
      <c r="F16" s="20" t="n">
        <v>2.12179864</v>
      </c>
      <c r="G16" s="18" t="n">
        <v>55.83216281</v>
      </c>
      <c r="H16" s="20" t="n">
        <v>1.93047122</v>
      </c>
      <c r="I16" s="18" t="n">
        <v>0</v>
      </c>
      <c r="J16" s="20" t="n">
        <v>0</v>
      </c>
      <c r="K16" s="18" t="n">
        <v>1.81094995</v>
      </c>
      <c r="L16" s="20" t="n">
        <v>0.57485091</v>
      </c>
      <c r="M16" s="18" t="n">
        <v>0</v>
      </c>
      <c r="N16" s="20" t="n">
        <v>0</v>
      </c>
      <c r="O16" s="18" t="n">
        <v>0</v>
      </c>
      <c r="P16" s="20" t="n">
        <v>0</v>
      </c>
      <c r="Q16" s="18" t="n">
        <v>0.84335669</v>
      </c>
      <c r="R16" s="20" t="n">
        <v>0.34674632</v>
      </c>
    </row>
    <row r="17" spans="1:18">
      <c r="A17" s="15" t="s">
        <v>575</v>
      </c>
      <c r="B17" s="17" t="n">
        <v>6504</v>
      </c>
      <c r="C17" s="18">
        <f>(5784.0/B17*100)</f>
        <v/>
      </c>
      <c r="D17" s="19" t="n">
        <v>720</v>
      </c>
      <c r="E17" s="18" t="n">
        <v>40.83700438</v>
      </c>
      <c r="F17" s="20" t="n">
        <v>1.92589625</v>
      </c>
      <c r="G17" s="18" t="n">
        <v>58.68181628</v>
      </c>
      <c r="H17" s="20" t="n">
        <v>1.89340782</v>
      </c>
      <c r="I17" s="18" t="n">
        <v>0</v>
      </c>
      <c r="J17" s="20" t="n">
        <v>0</v>
      </c>
      <c r="K17" s="18" t="n">
        <v>0.2085142</v>
      </c>
      <c r="L17" s="20" t="n">
        <v>0.21763263</v>
      </c>
      <c r="M17" s="18" t="n">
        <v>0</v>
      </c>
      <c r="N17" s="20" t="n">
        <v>0</v>
      </c>
      <c r="O17" s="18" t="n">
        <v>0</v>
      </c>
      <c r="P17" s="20" t="n">
        <v>0</v>
      </c>
      <c r="Q17" s="18" t="n">
        <v>0.27266515</v>
      </c>
      <c r="R17" s="20" t="n">
        <v>0.16302931</v>
      </c>
    </row>
    <row r="18" spans="1:18">
      <c r="A18" s="15" t="s">
        <v>576</v>
      </c>
      <c r="B18" s="17" t="n">
        <v>5532</v>
      </c>
      <c r="C18" s="18">
        <f>(4931.0/B18*100)</f>
        <v/>
      </c>
      <c r="D18" s="19" t="n">
        <v>601</v>
      </c>
      <c r="E18" s="18" t="n">
        <v>68.29052496</v>
      </c>
      <c r="F18" s="20" t="n">
        <v>1.88324319</v>
      </c>
      <c r="G18" s="18" t="n">
        <v>30.69490537</v>
      </c>
      <c r="H18" s="20" t="n">
        <v>1.86831069</v>
      </c>
      <c r="I18" s="18" t="n">
        <v>0</v>
      </c>
      <c r="J18" s="20" t="n">
        <v>0</v>
      </c>
      <c r="K18" s="18" t="n">
        <v>0.5745430500000001</v>
      </c>
      <c r="L18" s="20" t="n">
        <v>0.28952976</v>
      </c>
      <c r="M18" s="18" t="n">
        <v>0</v>
      </c>
      <c r="N18" s="20" t="n">
        <v>0</v>
      </c>
      <c r="O18" s="18" t="n">
        <v>0</v>
      </c>
      <c r="P18" s="20" t="n">
        <v>0</v>
      </c>
      <c r="Q18" s="18" t="n">
        <v>0.44002662</v>
      </c>
      <c r="R18" s="20" t="n">
        <v>0.25613033</v>
      </c>
    </row>
    <row r="19" spans="1:18">
      <c r="A19" s="15" t="s">
        <v>577</v>
      </c>
      <c r="B19" s="17" t="n">
        <v>5658</v>
      </c>
      <c r="C19" s="18">
        <f>(5016.0/B19*100)</f>
        <v/>
      </c>
      <c r="D19" s="19" t="n">
        <v>642</v>
      </c>
      <c r="E19" s="18" t="n">
        <v>46.60210754</v>
      </c>
      <c r="F19" s="20" t="n">
        <v>2.05693003</v>
      </c>
      <c r="G19" s="18" t="n">
        <v>52.83052418</v>
      </c>
      <c r="H19" s="20" t="n">
        <v>2.07035378</v>
      </c>
      <c r="I19" s="18" t="n">
        <v>0</v>
      </c>
      <c r="J19" s="20" t="n">
        <v>0</v>
      </c>
      <c r="K19" s="18" t="n">
        <v>0.18362956</v>
      </c>
      <c r="L19" s="20" t="n">
        <v>0.19510381</v>
      </c>
      <c r="M19" s="18" t="n">
        <v>0</v>
      </c>
      <c r="N19" s="20" t="n">
        <v>0</v>
      </c>
      <c r="O19" s="18" t="n">
        <v>0</v>
      </c>
      <c r="P19" s="20" t="n">
        <v>0</v>
      </c>
      <c r="Q19" s="18" t="n">
        <v>0.38373872</v>
      </c>
      <c r="R19" s="20" t="n">
        <v>0.28879668</v>
      </c>
    </row>
    <row r="20" spans="1:18">
      <c r="A20" s="15" t="s">
        <v>578</v>
      </c>
      <c r="B20" s="17" t="n">
        <v>3371</v>
      </c>
      <c r="C20" s="18">
        <f>(3002.0/B20*100)</f>
        <v/>
      </c>
      <c r="D20" s="19" t="n">
        <v>369</v>
      </c>
      <c r="E20" s="18" t="n">
        <v>45.54596077</v>
      </c>
      <c r="F20" s="20" t="n">
        <v>2.35246354</v>
      </c>
      <c r="G20" s="18" t="n">
        <v>53.58577419</v>
      </c>
      <c r="H20" s="20" t="n">
        <v>2.36967122</v>
      </c>
      <c r="I20" s="18" t="n">
        <v>0</v>
      </c>
      <c r="J20" s="20" t="n">
        <v>0</v>
      </c>
      <c r="K20" s="18" t="n">
        <v>0.31506681</v>
      </c>
      <c r="L20" s="20" t="n">
        <v>0.30826546</v>
      </c>
      <c r="M20" s="18" t="n">
        <v>0</v>
      </c>
      <c r="N20" s="20" t="n">
        <v>0</v>
      </c>
      <c r="O20" s="18" t="n">
        <v>0</v>
      </c>
      <c r="P20" s="20" t="n">
        <v>0</v>
      </c>
      <c r="Q20" s="18" t="n">
        <v>0.55319822</v>
      </c>
      <c r="R20" s="20" t="n">
        <v>0.39004419</v>
      </c>
    </row>
    <row r="21" spans="1:18">
      <c r="A21" s="15" t="s">
        <v>579</v>
      </c>
      <c r="B21" s="17" t="n">
        <v>5741</v>
      </c>
      <c r="C21" s="18">
        <f>(5114.0/B21*100)</f>
        <v/>
      </c>
      <c r="D21" s="19" t="n">
        <v>627</v>
      </c>
      <c r="E21" s="18" t="n">
        <v>34.47006752</v>
      </c>
      <c r="F21" s="20" t="n">
        <v>2.05545907</v>
      </c>
      <c r="G21" s="18" t="n">
        <v>65.37878523000001</v>
      </c>
      <c r="H21" s="20" t="n">
        <v>2.05743733</v>
      </c>
      <c r="I21" s="18" t="n">
        <v>0</v>
      </c>
      <c r="J21" s="20" t="n">
        <v>0</v>
      </c>
      <c r="K21" s="18" t="n">
        <v>0</v>
      </c>
      <c r="L21" s="20" t="n">
        <v>0</v>
      </c>
      <c r="M21" s="18" t="n">
        <v>0</v>
      </c>
      <c r="N21" s="20" t="n">
        <v>0</v>
      </c>
      <c r="O21" s="18" t="n">
        <v>0</v>
      </c>
      <c r="P21" s="20" t="n">
        <v>0</v>
      </c>
      <c r="Q21" s="18" t="n">
        <v>0.15114725</v>
      </c>
      <c r="R21" s="20" t="n">
        <v>0.15171538</v>
      </c>
    </row>
    <row r="22" spans="1:18">
      <c r="A22" s="15" t="s">
        <v>580</v>
      </c>
      <c r="B22" s="17" t="n">
        <v>6598</v>
      </c>
      <c r="C22" s="18">
        <f>(5844.0/B22*100)</f>
        <v/>
      </c>
      <c r="D22" s="19" t="n">
        <v>754</v>
      </c>
      <c r="E22" s="18" t="n">
        <v>49.86463796</v>
      </c>
      <c r="F22" s="20" t="n">
        <v>1.90173812</v>
      </c>
      <c r="G22" s="18" t="n">
        <v>47.81520361</v>
      </c>
      <c r="H22" s="20" t="n">
        <v>1.93133549</v>
      </c>
      <c r="I22" s="18" t="n">
        <v>0</v>
      </c>
      <c r="J22" s="20" t="n">
        <v>0</v>
      </c>
      <c r="K22" s="18" t="n">
        <v>1.44266577</v>
      </c>
      <c r="L22" s="20" t="n">
        <v>0.44308088</v>
      </c>
      <c r="M22" s="18" t="n">
        <v>0</v>
      </c>
      <c r="N22" s="20" t="n">
        <v>0</v>
      </c>
      <c r="O22" s="18" t="n">
        <v>0</v>
      </c>
      <c r="P22" s="20" t="n">
        <v>0</v>
      </c>
      <c r="Q22" s="18" t="n">
        <v>0.87749266</v>
      </c>
      <c r="R22" s="20" t="n">
        <v>0.43064801</v>
      </c>
    </row>
    <row r="23" spans="1:18">
      <c r="A23" s="15" t="s">
        <v>581</v>
      </c>
      <c r="B23" s="17" t="n">
        <v>11583</v>
      </c>
      <c r="C23" s="18">
        <f>(10303.0/B23*100)</f>
        <v/>
      </c>
      <c r="D23" s="19" t="n">
        <v>1280</v>
      </c>
      <c r="E23" s="18" t="n">
        <v>44.9505187</v>
      </c>
      <c r="F23" s="20" t="n">
        <v>1.79461953</v>
      </c>
      <c r="G23" s="18" t="n">
        <v>53.41499671</v>
      </c>
      <c r="H23" s="20" t="n">
        <v>1.77514511</v>
      </c>
      <c r="I23" s="18" t="n">
        <v>0</v>
      </c>
      <c r="J23" s="20" t="n">
        <v>0</v>
      </c>
      <c r="K23" s="18" t="n">
        <v>0.95472995</v>
      </c>
      <c r="L23" s="20" t="n">
        <v>0.34019451</v>
      </c>
      <c r="M23" s="18" t="n">
        <v>0</v>
      </c>
      <c r="N23" s="20" t="n">
        <v>0</v>
      </c>
      <c r="O23" s="18" t="n">
        <v>0</v>
      </c>
      <c r="P23" s="20" t="n">
        <v>0</v>
      </c>
      <c r="Q23" s="18" t="n">
        <v>0.67975463</v>
      </c>
      <c r="R23" s="20" t="n">
        <v>0.31339781</v>
      </c>
    </row>
    <row r="24" spans="1:18">
      <c r="A24" s="15" t="s">
        <v>582</v>
      </c>
      <c r="B24" s="17" t="n">
        <v>6647</v>
      </c>
      <c r="C24" s="18">
        <f>(5893.0/B24*100)</f>
        <v/>
      </c>
      <c r="D24" s="19" t="n">
        <v>754</v>
      </c>
      <c r="E24" s="18" t="n">
        <v>30.92154106</v>
      </c>
      <c r="F24" s="20" t="n">
        <v>1.40957999</v>
      </c>
      <c r="G24" s="18" t="n">
        <v>68.80504916</v>
      </c>
      <c r="H24" s="20" t="n">
        <v>1.42398923</v>
      </c>
      <c r="I24" s="18" t="n">
        <v>0</v>
      </c>
      <c r="J24" s="20" t="n">
        <v>0</v>
      </c>
      <c r="K24" s="18" t="n">
        <v>0.11935534</v>
      </c>
      <c r="L24" s="20" t="n">
        <v>0.11919347</v>
      </c>
      <c r="M24" s="18" t="n">
        <v>0</v>
      </c>
      <c r="N24" s="20" t="n">
        <v>0</v>
      </c>
      <c r="O24" s="18" t="n">
        <v>0</v>
      </c>
      <c r="P24" s="20" t="n">
        <v>0</v>
      </c>
      <c r="Q24" s="18" t="n">
        <v>0.15405444</v>
      </c>
      <c r="R24" s="20" t="n">
        <v>0.15317804</v>
      </c>
    </row>
    <row r="25" spans="1:18">
      <c r="A25" s="15" t="s">
        <v>583</v>
      </c>
      <c r="B25" s="17" t="n">
        <v>5581</v>
      </c>
      <c r="C25" s="18">
        <f>(4970.0/B25*100)</f>
        <v/>
      </c>
      <c r="D25" s="19" t="n">
        <v>611</v>
      </c>
      <c r="E25" s="18" t="n">
        <v>37.95829699</v>
      </c>
      <c r="F25" s="20" t="n">
        <v>2.28594293</v>
      </c>
      <c r="G25" s="18" t="n">
        <v>61.8996108</v>
      </c>
      <c r="H25" s="20" t="n">
        <v>2.27198848</v>
      </c>
      <c r="I25" s="18" t="n">
        <v>0</v>
      </c>
      <c r="J25" s="20" t="n">
        <v>0</v>
      </c>
      <c r="K25" s="18" t="n">
        <v>0.14209221</v>
      </c>
      <c r="L25" s="20" t="n">
        <v>0.14104984</v>
      </c>
      <c r="M25" s="18" t="n">
        <v>0</v>
      </c>
      <c r="N25" s="20" t="n">
        <v>0</v>
      </c>
      <c r="O25" s="18" t="n">
        <v>0</v>
      </c>
      <c r="P25" s="20" t="n">
        <v>0</v>
      </c>
      <c r="Q25" s="18" t="n">
        <v>0</v>
      </c>
      <c r="R25" s="20" t="n">
        <v>0</v>
      </c>
    </row>
    <row r="26" spans="1:18">
      <c r="A26" s="15" t="s">
        <v>584</v>
      </c>
      <c r="B26" s="17" t="n">
        <v>4869</v>
      </c>
      <c r="C26" s="18">
        <f>(4357.0/B26*100)</f>
        <v/>
      </c>
      <c r="D26" s="19" t="n">
        <v>512</v>
      </c>
      <c r="E26" s="18" t="n">
        <v>39.80227812</v>
      </c>
      <c r="F26" s="20" t="n">
        <v>2.15150352</v>
      </c>
      <c r="G26" s="18" t="n">
        <v>60.03431797</v>
      </c>
      <c r="H26" s="20" t="n">
        <v>2.13815923</v>
      </c>
      <c r="I26" s="18" t="n">
        <v>0</v>
      </c>
      <c r="J26" s="20" t="n">
        <v>0</v>
      </c>
      <c r="K26" s="18" t="n">
        <v>0.16340391</v>
      </c>
      <c r="L26" s="20" t="n">
        <v>0.16383556</v>
      </c>
      <c r="M26" s="18" t="n">
        <v>0</v>
      </c>
      <c r="N26" s="20" t="n">
        <v>0</v>
      </c>
      <c r="O26" s="18" t="n">
        <v>0</v>
      </c>
      <c r="P26" s="20" t="n">
        <v>0</v>
      </c>
      <c r="Q26" s="18" t="n">
        <v>0</v>
      </c>
      <c r="R26" s="20" t="n">
        <v>0</v>
      </c>
    </row>
    <row r="27" spans="1:18">
      <c r="A27" s="15" t="s">
        <v>585</v>
      </c>
      <c r="B27" s="17" t="n">
        <v>5299</v>
      </c>
      <c r="C27" s="18">
        <f>(4736.0/B27*100)</f>
        <v/>
      </c>
      <c r="D27" s="19" t="n">
        <v>563</v>
      </c>
      <c r="E27" s="18" t="n">
        <v>41.41804172</v>
      </c>
      <c r="F27" s="20" t="n">
        <v>2.09761779</v>
      </c>
      <c r="G27" s="18" t="n">
        <v>57.53046773</v>
      </c>
      <c r="H27" s="20" t="n">
        <v>2.20157077</v>
      </c>
      <c r="I27" s="18" t="n">
        <v>0</v>
      </c>
      <c r="J27" s="20" t="n">
        <v>0</v>
      </c>
      <c r="K27" s="18" t="n">
        <v>0.51857282</v>
      </c>
      <c r="L27" s="20" t="n">
        <v>0.29410525</v>
      </c>
      <c r="M27" s="18" t="n">
        <v>0</v>
      </c>
      <c r="N27" s="20" t="n">
        <v>0</v>
      </c>
      <c r="O27" s="18" t="n">
        <v>0</v>
      </c>
      <c r="P27" s="20" t="n">
        <v>0</v>
      </c>
      <c r="Q27" s="18" t="n">
        <v>0.53291773</v>
      </c>
      <c r="R27" s="20" t="n">
        <v>0.30664164</v>
      </c>
    </row>
    <row r="28" spans="1:18">
      <c r="A28" s="15" t="s">
        <v>586</v>
      </c>
      <c r="B28" s="17" t="n">
        <v>7568</v>
      </c>
      <c r="C28" s="18">
        <f>(6783.0/B28*100)</f>
        <v/>
      </c>
      <c r="D28" s="19" t="n">
        <v>785</v>
      </c>
      <c r="E28" s="18" t="n">
        <v>56.93842903</v>
      </c>
      <c r="F28" s="20" t="n">
        <v>1.86943613</v>
      </c>
      <c r="G28" s="18" t="n">
        <v>42.61159932</v>
      </c>
      <c r="H28" s="20" t="n">
        <v>1.87802884</v>
      </c>
      <c r="I28" s="18" t="n">
        <v>0</v>
      </c>
      <c r="J28" s="20" t="n">
        <v>0</v>
      </c>
      <c r="K28" s="18" t="n">
        <v>0.44997165</v>
      </c>
      <c r="L28" s="20" t="n">
        <v>0.27540527</v>
      </c>
      <c r="M28" s="18" t="n">
        <v>0</v>
      </c>
      <c r="N28" s="20" t="n">
        <v>0</v>
      </c>
      <c r="O28" s="18" t="n">
        <v>0</v>
      </c>
      <c r="P28" s="20" t="n">
        <v>0</v>
      </c>
      <c r="Q28" s="18" t="n">
        <v>0</v>
      </c>
      <c r="R28" s="20" t="n">
        <v>0</v>
      </c>
    </row>
    <row r="29" spans="1:18">
      <c r="A29" s="15" t="s">
        <v>587</v>
      </c>
      <c r="B29" s="17" t="n">
        <v>5385</v>
      </c>
      <c r="C29" s="18">
        <f>(4774.0/B29*100)</f>
        <v/>
      </c>
      <c r="D29" s="19" t="n">
        <v>611</v>
      </c>
      <c r="E29" s="18" t="n">
        <v>31.97614983</v>
      </c>
      <c r="F29" s="20" t="n">
        <v>2.14410045</v>
      </c>
      <c r="G29" s="18" t="n">
        <v>67.61694300000001</v>
      </c>
      <c r="H29" s="20" t="n">
        <v>2.14573995</v>
      </c>
      <c r="I29" s="18" t="n">
        <v>0</v>
      </c>
      <c r="J29" s="20" t="n">
        <v>0</v>
      </c>
      <c r="K29" s="18" t="n">
        <v>0</v>
      </c>
      <c r="L29" s="20" t="n">
        <v>0</v>
      </c>
      <c r="M29" s="18" t="n">
        <v>0</v>
      </c>
      <c r="N29" s="20" t="n">
        <v>0</v>
      </c>
      <c r="O29" s="18" t="n">
        <v>0</v>
      </c>
      <c r="P29" s="20" t="n">
        <v>0</v>
      </c>
      <c r="Q29" s="18" t="n">
        <v>0.40690718</v>
      </c>
      <c r="R29" s="20" t="n">
        <v>0.04943196</v>
      </c>
    </row>
    <row r="30" spans="1:18">
      <c r="A30" s="15" t="s">
        <v>588</v>
      </c>
      <c r="B30" s="17" t="n">
        <v>4520</v>
      </c>
      <c r="C30" s="18">
        <f>(4043.0/B30*100)</f>
        <v/>
      </c>
      <c r="D30" s="19" t="n">
        <v>477</v>
      </c>
      <c r="E30" s="18" t="n">
        <v>36.14839385</v>
      </c>
      <c r="F30" s="20" t="n">
        <v>2.01339081</v>
      </c>
      <c r="G30" s="18" t="n">
        <v>61.90181647</v>
      </c>
      <c r="H30" s="20" t="n">
        <v>1.98124311</v>
      </c>
      <c r="I30" s="18" t="n">
        <v>0</v>
      </c>
      <c r="J30" s="20" t="n">
        <v>0</v>
      </c>
      <c r="K30" s="18" t="n">
        <v>0.48130396</v>
      </c>
      <c r="L30" s="20" t="n">
        <v>0.32442319</v>
      </c>
      <c r="M30" s="18" t="n">
        <v>0</v>
      </c>
      <c r="N30" s="20" t="n">
        <v>0</v>
      </c>
      <c r="O30" s="18" t="n">
        <v>0</v>
      </c>
      <c r="P30" s="20" t="n">
        <v>0</v>
      </c>
      <c r="Q30" s="18" t="n">
        <v>1.46848572</v>
      </c>
      <c r="R30" s="20" t="n">
        <v>0.65694322</v>
      </c>
    </row>
    <row r="31" spans="1:18">
      <c r="A31" s="15" t="s">
        <v>589</v>
      </c>
      <c r="B31" s="17" t="n">
        <v>5456</v>
      </c>
      <c r="C31" s="18">
        <f>(4847.0/B31*100)</f>
        <v/>
      </c>
      <c r="D31" s="19" t="n">
        <v>609</v>
      </c>
      <c r="E31" s="18" t="n">
        <v>37.18889445</v>
      </c>
      <c r="F31" s="20" t="n">
        <v>2.15076476</v>
      </c>
      <c r="G31" s="18" t="n">
        <v>61.42299409</v>
      </c>
      <c r="H31" s="20" t="n">
        <v>2.11741531</v>
      </c>
      <c r="I31" s="18" t="n">
        <v>0</v>
      </c>
      <c r="J31" s="20" t="n">
        <v>0</v>
      </c>
      <c r="K31" s="18" t="n">
        <v>0.63561087</v>
      </c>
      <c r="L31" s="20" t="n">
        <v>0.30975402</v>
      </c>
      <c r="M31" s="18" t="n">
        <v>0</v>
      </c>
      <c r="N31" s="20" t="n">
        <v>0</v>
      </c>
      <c r="O31" s="18" t="n">
        <v>0</v>
      </c>
      <c r="P31" s="20" t="n">
        <v>0</v>
      </c>
      <c r="Q31" s="18" t="n">
        <v>0.75250059</v>
      </c>
      <c r="R31" s="20" t="n">
        <v>0.33138833</v>
      </c>
    </row>
    <row r="32" spans="1:18">
      <c r="A32" s="15" t="s">
        <v>590</v>
      </c>
      <c r="B32" s="17" t="n">
        <v>4478</v>
      </c>
      <c r="C32" s="18">
        <f>(3980.0/B32*100)</f>
        <v/>
      </c>
      <c r="D32" s="19" t="n">
        <v>498</v>
      </c>
      <c r="E32" s="18" t="n">
        <v>35.10144741</v>
      </c>
      <c r="F32" s="20" t="n">
        <v>1.88979404</v>
      </c>
      <c r="G32" s="18" t="n">
        <v>64.48956864</v>
      </c>
      <c r="H32" s="20" t="n">
        <v>1.93720753</v>
      </c>
      <c r="I32" s="18" t="n">
        <v>0</v>
      </c>
      <c r="J32" s="20" t="n">
        <v>0</v>
      </c>
      <c r="K32" s="18" t="n">
        <v>0.40898396</v>
      </c>
      <c r="L32" s="20" t="n">
        <v>0.30335414</v>
      </c>
      <c r="M32" s="18" t="n">
        <v>0</v>
      </c>
      <c r="N32" s="20" t="n">
        <v>0</v>
      </c>
      <c r="O32" s="18" t="n">
        <v>0</v>
      </c>
      <c r="P32" s="20" t="n">
        <v>0</v>
      </c>
      <c r="Q32" s="18" t="n">
        <v>0</v>
      </c>
      <c r="R32" s="20" t="n">
        <v>0</v>
      </c>
    </row>
    <row r="33" spans="1:18">
      <c r="A33" s="15" t="s">
        <v>591</v>
      </c>
      <c r="B33" s="17" t="n">
        <v>7325</v>
      </c>
      <c r="C33" s="18">
        <f>(6548.0/B33*100)</f>
        <v/>
      </c>
      <c r="D33" s="19" t="n">
        <v>777</v>
      </c>
      <c r="E33" s="18" t="n">
        <v>42.26688007</v>
      </c>
      <c r="F33" s="20" t="n">
        <v>2.17285544</v>
      </c>
      <c r="G33" s="18" t="n">
        <v>57.56078179</v>
      </c>
      <c r="H33" s="20" t="n">
        <v>2.18386785</v>
      </c>
      <c r="I33" s="18" t="n">
        <v>0</v>
      </c>
      <c r="J33" s="20" t="n">
        <v>0</v>
      </c>
      <c r="K33" s="18" t="n">
        <v>0.17233815</v>
      </c>
      <c r="L33" s="20" t="n">
        <v>0.17912646</v>
      </c>
      <c r="M33" s="18" t="n">
        <v>0</v>
      </c>
      <c r="N33" s="20" t="n">
        <v>0</v>
      </c>
      <c r="O33" s="18" t="n">
        <v>0</v>
      </c>
      <c r="P33" s="20" t="n">
        <v>0</v>
      </c>
      <c r="Q33" s="18" t="n">
        <v>0</v>
      </c>
      <c r="R33" s="20" t="n">
        <v>0</v>
      </c>
    </row>
    <row r="34" spans="1:18">
      <c r="A34" s="15" t="s">
        <v>592</v>
      </c>
      <c r="B34" s="17" t="n">
        <v>6350</v>
      </c>
      <c r="C34" s="18">
        <f>(5649.0/B34*100)</f>
        <v/>
      </c>
      <c r="D34" s="19" t="n">
        <v>701</v>
      </c>
      <c r="E34" s="18" t="n">
        <v>47.64635581</v>
      </c>
      <c r="F34" s="20" t="n">
        <v>1.91456934</v>
      </c>
      <c r="G34" s="18" t="n">
        <v>52.084789</v>
      </c>
      <c r="H34" s="20" t="n">
        <v>1.90661187</v>
      </c>
      <c r="I34" s="18" t="n">
        <v>0</v>
      </c>
      <c r="J34" s="20" t="n">
        <v>0</v>
      </c>
      <c r="K34" s="18" t="n">
        <v>0</v>
      </c>
      <c r="L34" s="20" t="n">
        <v>0</v>
      </c>
      <c r="M34" s="18" t="n">
        <v>0</v>
      </c>
      <c r="N34" s="20" t="n">
        <v>0</v>
      </c>
      <c r="O34" s="18" t="n">
        <v>0</v>
      </c>
      <c r="P34" s="20" t="n">
        <v>0</v>
      </c>
      <c r="Q34" s="18" t="n">
        <v>0.26885519</v>
      </c>
      <c r="R34" s="20" t="n">
        <v>0.13555257</v>
      </c>
    </row>
    <row r="35" spans="1:18">
      <c r="A35" s="15" t="s">
        <v>593</v>
      </c>
      <c r="B35" s="17" t="n">
        <v>6406</v>
      </c>
      <c r="C35" s="18">
        <f>(5703.0/B35*100)</f>
        <v/>
      </c>
      <c r="D35" s="19" t="n">
        <v>703</v>
      </c>
      <c r="E35" s="18" t="n">
        <v>36.05552668</v>
      </c>
      <c r="F35" s="20" t="n">
        <v>2.21318425</v>
      </c>
      <c r="G35" s="18" t="n">
        <v>63.67997087</v>
      </c>
      <c r="H35" s="20" t="n">
        <v>2.22421303</v>
      </c>
      <c r="I35" s="18" t="n">
        <v>0</v>
      </c>
      <c r="J35" s="20" t="n">
        <v>0</v>
      </c>
      <c r="K35" s="18" t="n">
        <v>0.143422</v>
      </c>
      <c r="L35" s="20" t="n">
        <v>0.10014243</v>
      </c>
      <c r="M35" s="18" t="n">
        <v>0</v>
      </c>
      <c r="N35" s="20" t="n">
        <v>0</v>
      </c>
      <c r="O35" s="18" t="n">
        <v>0</v>
      </c>
      <c r="P35" s="20" t="n">
        <v>0</v>
      </c>
      <c r="Q35" s="18" t="n">
        <v>0.12108045</v>
      </c>
      <c r="R35" s="20" t="n">
        <v>0.082674</v>
      </c>
    </row>
    <row r="36" spans="1:18">
      <c r="A36" s="15" t="s">
        <v>594</v>
      </c>
      <c r="B36" s="17" t="n">
        <v>6736</v>
      </c>
      <c r="C36" s="18">
        <f>(6032.0/B36*100)</f>
        <v/>
      </c>
      <c r="D36" s="19" t="n">
        <v>704</v>
      </c>
      <c r="E36" s="18" t="n">
        <v>41.3469365</v>
      </c>
      <c r="F36" s="20" t="n">
        <v>1.95556604</v>
      </c>
      <c r="G36" s="18" t="n">
        <v>58.34426715</v>
      </c>
      <c r="H36" s="20" t="n">
        <v>1.93398394</v>
      </c>
      <c r="I36" s="18" t="n">
        <v>0</v>
      </c>
      <c r="J36" s="20" t="n">
        <v>0</v>
      </c>
      <c r="K36" s="18" t="n">
        <v>0.08160942</v>
      </c>
      <c r="L36" s="20" t="n">
        <v>0.07456958</v>
      </c>
      <c r="M36" s="18" t="n">
        <v>0</v>
      </c>
      <c r="N36" s="20" t="n">
        <v>0</v>
      </c>
      <c r="O36" s="18" t="n">
        <v>0</v>
      </c>
      <c r="P36" s="20" t="n">
        <v>0</v>
      </c>
      <c r="Q36" s="18" t="n">
        <v>0.22718692</v>
      </c>
      <c r="R36" s="20" t="n">
        <v>0.15370312</v>
      </c>
    </row>
    <row r="37" spans="1:18">
      <c r="A37" s="15" t="s">
        <v>595</v>
      </c>
      <c r="B37" s="17" t="n">
        <v>5458</v>
      </c>
      <c r="C37" s="18">
        <f>(4876.0/B37*100)</f>
        <v/>
      </c>
      <c r="D37" s="19" t="n">
        <v>582</v>
      </c>
      <c r="E37" s="18" t="n">
        <v>32.49241912</v>
      </c>
      <c r="F37" s="20" t="n">
        <v>2.03156201</v>
      </c>
      <c r="G37" s="18" t="n">
        <v>64.78602936999999</v>
      </c>
      <c r="H37" s="20" t="n">
        <v>2.0537635</v>
      </c>
      <c r="I37" s="18" t="n">
        <v>0</v>
      </c>
      <c r="J37" s="20" t="n">
        <v>0</v>
      </c>
      <c r="K37" s="18" t="n">
        <v>1.74299443</v>
      </c>
      <c r="L37" s="20" t="n">
        <v>0.56475309</v>
      </c>
      <c r="M37" s="18" t="n">
        <v>0</v>
      </c>
      <c r="N37" s="20" t="n">
        <v>0</v>
      </c>
      <c r="O37" s="18" t="n">
        <v>0</v>
      </c>
      <c r="P37" s="20" t="n">
        <v>0</v>
      </c>
      <c r="Q37" s="18" t="n">
        <v>0.97855708</v>
      </c>
      <c r="R37" s="20" t="n">
        <v>0.39712426</v>
      </c>
    </row>
    <row r="38" spans="1:18">
      <c r="A38" s="15" t="s">
        <v>596</v>
      </c>
      <c r="B38" s="17" t="n">
        <v>5860</v>
      </c>
      <c r="C38" s="18">
        <f>(5227.0/B38*100)</f>
        <v/>
      </c>
      <c r="D38" s="19" t="n">
        <v>633</v>
      </c>
      <c r="E38" s="18" t="n">
        <v>37.4455053</v>
      </c>
      <c r="F38" s="20" t="n">
        <v>2.22345441</v>
      </c>
      <c r="G38" s="18" t="n">
        <v>61.63408103</v>
      </c>
      <c r="H38" s="20" t="n">
        <v>2.21549796</v>
      </c>
      <c r="I38" s="18" t="n">
        <v>0</v>
      </c>
      <c r="J38" s="20" t="n">
        <v>0</v>
      </c>
      <c r="K38" s="18" t="n">
        <v>0.30891842</v>
      </c>
      <c r="L38" s="20" t="n">
        <v>0.21685839</v>
      </c>
      <c r="M38" s="18" t="n">
        <v>0</v>
      </c>
      <c r="N38" s="20" t="n">
        <v>0</v>
      </c>
      <c r="O38" s="18" t="n">
        <v>0</v>
      </c>
      <c r="P38" s="20" t="n">
        <v>0</v>
      </c>
      <c r="Q38" s="18" t="n">
        <v>0.61149525</v>
      </c>
      <c r="R38" s="20" t="n">
        <v>0.3075059</v>
      </c>
    </row>
    <row r="39" spans="1:18">
      <c r="A39" s="15" t="s">
        <v>597</v>
      </c>
      <c r="B39" s="17" t="n">
        <v>5895</v>
      </c>
      <c r="C39" s="18">
        <f>(5224.0/B39*100)</f>
        <v/>
      </c>
      <c r="D39" s="19" t="n">
        <v>671</v>
      </c>
      <c r="E39" s="18" t="n">
        <v>49.04691654</v>
      </c>
      <c r="F39" s="20" t="n">
        <v>1.91467327</v>
      </c>
      <c r="G39" s="18" t="n">
        <v>49.97017344</v>
      </c>
      <c r="H39" s="20" t="n">
        <v>1.89785631</v>
      </c>
      <c r="I39" s="18" t="n">
        <v>0</v>
      </c>
      <c r="J39" s="20" t="n">
        <v>0</v>
      </c>
      <c r="K39" s="18" t="n">
        <v>0.52451476</v>
      </c>
      <c r="L39" s="20" t="n">
        <v>0.29646721</v>
      </c>
      <c r="M39" s="18" t="n">
        <v>0</v>
      </c>
      <c r="N39" s="20" t="n">
        <v>0</v>
      </c>
      <c r="O39" s="18" t="n">
        <v>0</v>
      </c>
      <c r="P39" s="20" t="n">
        <v>0</v>
      </c>
      <c r="Q39" s="18" t="n">
        <v>0.45839526</v>
      </c>
      <c r="R39" s="20" t="n">
        <v>0.24640471</v>
      </c>
    </row>
    <row r="40" spans="1:18">
      <c r="A40" s="15" t="s">
        <v>598</v>
      </c>
      <c r="B40" s="17" t="n">
        <v>14157</v>
      </c>
      <c r="C40" s="18">
        <f>(12625.0/B40*100)</f>
        <v/>
      </c>
      <c r="D40" s="19" t="n">
        <v>1532</v>
      </c>
      <c r="E40" s="18" t="n">
        <v>34.60124299</v>
      </c>
      <c r="F40" s="20" t="n">
        <v>1.93299598</v>
      </c>
      <c r="G40" s="18" t="n">
        <v>64.90175825</v>
      </c>
      <c r="H40" s="20" t="n">
        <v>1.97184346</v>
      </c>
      <c r="I40" s="18" t="n">
        <v>0</v>
      </c>
      <c r="J40" s="20" t="n">
        <v>0</v>
      </c>
      <c r="K40" s="18" t="n">
        <v>0.38687291</v>
      </c>
      <c r="L40" s="20" t="n">
        <v>0.23250544</v>
      </c>
      <c r="M40" s="18" t="n">
        <v>0</v>
      </c>
      <c r="N40" s="20" t="n">
        <v>0</v>
      </c>
      <c r="O40" s="18" t="n">
        <v>0</v>
      </c>
      <c r="P40" s="20" t="n">
        <v>0</v>
      </c>
      <c r="Q40" s="18" t="n">
        <v>0.11012585</v>
      </c>
      <c r="R40" s="20" t="n">
        <v>0.04668955</v>
      </c>
    </row>
    <row r="41" spans="1:18">
      <c r="A41" s="15" t="s">
        <v>599</v>
      </c>
      <c r="B41" s="17" t="n">
        <v>5712</v>
      </c>
      <c r="C41" s="18">
        <f>(5093.0/B41*100)</f>
        <v/>
      </c>
      <c r="D41" s="19" t="n">
        <v>619</v>
      </c>
      <c r="E41" s="18" t="n">
        <v>38.2012647</v>
      </c>
      <c r="F41" s="20" t="n">
        <v>2.12484763</v>
      </c>
      <c r="G41" s="18" t="n">
        <v>61.39789099</v>
      </c>
      <c r="H41" s="20" t="n">
        <v>2.02859974</v>
      </c>
      <c r="I41" s="18" t="n">
        <v>0</v>
      </c>
      <c r="J41" s="20" t="n">
        <v>0</v>
      </c>
      <c r="K41" s="18" t="n">
        <v>0.40084431</v>
      </c>
      <c r="L41" s="20" t="n">
        <v>0.27920459</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(20894.0/B46*100)</f>
        <v/>
      </c>
      <c r="D46" s="19" t="n">
        <v>2247</v>
      </c>
      <c r="E46" s="18" t="n">
        <v>62.04032728</v>
      </c>
      <c r="F46" s="20" t="n">
        <v>1.53073457</v>
      </c>
      <c r="G46" s="18" t="n">
        <v>36.16753963</v>
      </c>
      <c r="H46" s="20" t="n">
        <v>1.48826674</v>
      </c>
      <c r="I46" s="18" t="n">
        <v>0</v>
      </c>
      <c r="J46" s="20" t="n">
        <v>0</v>
      </c>
      <c r="K46" s="18" t="n">
        <v>0.8523428</v>
      </c>
      <c r="L46" s="20" t="n">
        <v>0.30122328</v>
      </c>
      <c r="M46" s="18" t="n">
        <v>0</v>
      </c>
      <c r="N46" s="20" t="n">
        <v>0</v>
      </c>
      <c r="O46" s="18" t="n">
        <v>0</v>
      </c>
      <c r="P46" s="20" t="n">
        <v>0</v>
      </c>
      <c r="Q46" s="18" t="n">
        <v>0.93979029</v>
      </c>
      <c r="R46" s="20" t="n">
        <v>0.27001498</v>
      </c>
    </row>
    <row r="47" spans="1:18">
      <c r="A47" s="15" t="s">
        <v>606</v>
      </c>
      <c r="B47" s="17" t="n">
        <v>5928</v>
      </c>
      <c r="C47" s="18">
        <f>(5288.0/B47*100)</f>
        <v/>
      </c>
      <c r="D47" s="19" t="n">
        <v>640</v>
      </c>
      <c r="E47" s="18" t="n">
        <v>49.98779706</v>
      </c>
      <c r="F47" s="20" t="n">
        <v>2.0858353</v>
      </c>
      <c r="G47" s="18" t="n">
        <v>48.79768661</v>
      </c>
      <c r="H47" s="20" t="n">
        <v>2.15682954</v>
      </c>
      <c r="I47" s="18" t="n">
        <v>0</v>
      </c>
      <c r="J47" s="20" t="n">
        <v>0</v>
      </c>
      <c r="K47" s="18" t="n">
        <v>0.29624872</v>
      </c>
      <c r="L47" s="20" t="n">
        <v>0.20999045</v>
      </c>
      <c r="M47" s="18" t="n">
        <v>0</v>
      </c>
      <c r="N47" s="20" t="n">
        <v>0</v>
      </c>
      <c r="O47" s="18" t="n">
        <v>0</v>
      </c>
      <c r="P47" s="20" t="n">
        <v>0</v>
      </c>
      <c r="Q47" s="18" t="n">
        <v>0.91826761</v>
      </c>
      <c r="R47" s="20" t="n">
        <v>0.29336929</v>
      </c>
    </row>
    <row r="48" spans="1:18">
      <c r="A48" s="15" t="s">
        <v>607</v>
      </c>
      <c r="B48" s="17" t="n">
        <v>9841</v>
      </c>
      <c r="C48" s="18">
        <f>(8731.0/B48*100)</f>
        <v/>
      </c>
      <c r="D48" s="19" t="n">
        <v>1110</v>
      </c>
      <c r="E48" s="18" t="n">
        <v>43.42943713</v>
      </c>
      <c r="F48" s="20" t="n">
        <v>2.12815786</v>
      </c>
      <c r="G48" s="18" t="n">
        <v>55.08253185</v>
      </c>
      <c r="H48" s="20" t="n">
        <v>2.29257573</v>
      </c>
      <c r="I48" s="18" t="n">
        <v>0</v>
      </c>
      <c r="J48" s="20" t="n">
        <v>0</v>
      </c>
      <c r="K48" s="18" t="n">
        <v>1.0865592</v>
      </c>
      <c r="L48" s="20" t="n">
        <v>0.47591887</v>
      </c>
      <c r="M48" s="18" t="n">
        <v>0</v>
      </c>
      <c r="N48" s="20" t="n">
        <v>0</v>
      </c>
      <c r="O48" s="18" t="n">
        <v>0</v>
      </c>
      <c r="P48" s="20" t="n">
        <v>0</v>
      </c>
      <c r="Q48" s="18" t="n">
        <v>0.40147182</v>
      </c>
      <c r="R48" s="20" t="n">
        <v>0.28107048</v>
      </c>
    </row>
    <row r="49" spans="1:18">
      <c r="A49" s="15" t="s">
        <v>608</v>
      </c>
      <c r="B49" s="17" t="n">
        <v>11795</v>
      </c>
      <c r="C49" s="18">
        <f>(10491.0/B49*100)</f>
        <v/>
      </c>
      <c r="D49" s="19" t="n">
        <v>1304</v>
      </c>
      <c r="E49" s="18" t="n">
        <v>61.95240977</v>
      </c>
      <c r="F49" s="20" t="n">
        <v>1.68327393</v>
      </c>
      <c r="G49" s="18" t="n">
        <v>35.99364872</v>
      </c>
      <c r="H49" s="20" t="n">
        <v>1.71212216</v>
      </c>
      <c r="I49" s="18" t="n">
        <v>0</v>
      </c>
      <c r="J49" s="20" t="n">
        <v>0</v>
      </c>
      <c r="K49" s="18" t="n">
        <v>1.78771958</v>
      </c>
      <c r="L49" s="20" t="n">
        <v>0.50879193</v>
      </c>
      <c r="M49" s="18" t="n">
        <v>0</v>
      </c>
      <c r="N49" s="20" t="n">
        <v>0</v>
      </c>
      <c r="O49" s="18" t="n">
        <v>0</v>
      </c>
      <c r="P49" s="20" t="n">
        <v>0</v>
      </c>
      <c r="Q49" s="18" t="n">
        <v>0.26622193</v>
      </c>
      <c r="R49" s="20" t="n">
        <v>0.15185327</v>
      </c>
    </row>
    <row r="50" spans="1:18">
      <c r="A50" s="15" t="s">
        <v>609</v>
      </c>
      <c r="B50" s="17" t="n">
        <v>6866</v>
      </c>
      <c r="C50" s="18">
        <f>(6187.0/B50*100)</f>
        <v/>
      </c>
      <c r="D50" s="19" t="n">
        <v>679</v>
      </c>
      <c r="E50" s="18" t="n">
        <v>58.00792842</v>
      </c>
      <c r="F50" s="20" t="n">
        <v>2.80381408</v>
      </c>
      <c r="G50" s="18" t="n">
        <v>40.48046719</v>
      </c>
      <c r="H50" s="20" t="n">
        <v>2.78243797</v>
      </c>
      <c r="I50" s="18" t="n">
        <v>0</v>
      </c>
      <c r="J50" s="20" t="n">
        <v>0</v>
      </c>
      <c r="K50" s="18" t="n">
        <v>0.88181622</v>
      </c>
      <c r="L50" s="20" t="n">
        <v>0.38803563</v>
      </c>
      <c r="M50" s="18" t="n">
        <v>0</v>
      </c>
      <c r="N50" s="20" t="n">
        <v>0</v>
      </c>
      <c r="O50" s="18" t="n">
        <v>0</v>
      </c>
      <c r="P50" s="20" t="n">
        <v>0</v>
      </c>
      <c r="Q50" s="18" t="n">
        <v>0.62978817</v>
      </c>
      <c r="R50" s="20" t="n">
        <v>0.30564531</v>
      </c>
    </row>
    <row r="51" spans="1:18">
      <c r="A51" s="15" t="s">
        <v>610</v>
      </c>
      <c r="B51" s="17" t="n">
        <v>5809</v>
      </c>
      <c r="C51" s="18">
        <f>(5116.0/B51*100)</f>
        <v/>
      </c>
      <c r="D51" s="19" t="n">
        <v>693</v>
      </c>
      <c r="E51" s="18" t="n">
        <v>38.79947858</v>
      </c>
      <c r="F51" s="20" t="n">
        <v>1.88727936</v>
      </c>
      <c r="G51" s="18" t="n">
        <v>60.25234311</v>
      </c>
      <c r="H51" s="20" t="n">
        <v>1.92159304</v>
      </c>
      <c r="I51" s="18" t="n">
        <v>0</v>
      </c>
      <c r="J51" s="20" t="n">
        <v>0</v>
      </c>
      <c r="K51" s="18" t="n">
        <v>0.27733006</v>
      </c>
      <c r="L51" s="20" t="n">
        <v>0.19735039</v>
      </c>
      <c r="M51" s="18" t="n">
        <v>0</v>
      </c>
      <c r="N51" s="20" t="n">
        <v>0</v>
      </c>
      <c r="O51" s="18" t="n">
        <v>0</v>
      </c>
      <c r="P51" s="20" t="n">
        <v>0</v>
      </c>
      <c r="Q51" s="18" t="n">
        <v>0.67084825</v>
      </c>
      <c r="R51" s="20" t="n">
        <v>0.33834118</v>
      </c>
    </row>
    <row r="52" spans="1:18">
      <c r="A52" s="15" t="s">
        <v>611</v>
      </c>
      <c r="B52" s="17" t="n">
        <v>5571</v>
      </c>
      <c r="C52" s="18">
        <f>(4981.0/B52*100)</f>
        <v/>
      </c>
      <c r="D52" s="19" t="n">
        <v>590</v>
      </c>
      <c r="E52" s="18" t="n">
        <v>63.73798483</v>
      </c>
      <c r="F52" s="20" t="n">
        <v>2.02031709</v>
      </c>
      <c r="G52" s="18" t="n">
        <v>34.57578109</v>
      </c>
      <c r="H52" s="20" t="n">
        <v>2.0746104</v>
      </c>
      <c r="I52" s="18" t="n">
        <v>0</v>
      </c>
      <c r="J52" s="20" t="n">
        <v>0</v>
      </c>
      <c r="K52" s="18" t="n">
        <v>0.35850386</v>
      </c>
      <c r="L52" s="20" t="n">
        <v>0.2070311</v>
      </c>
      <c r="M52" s="18" t="n">
        <v>0</v>
      </c>
      <c r="N52" s="20" t="n">
        <v>0</v>
      </c>
      <c r="O52" s="18" t="n">
        <v>0</v>
      </c>
      <c r="P52" s="20" t="n">
        <v>0</v>
      </c>
      <c r="Q52" s="18" t="n">
        <v>1.32773022</v>
      </c>
      <c r="R52" s="20" t="n">
        <v>0.4801144</v>
      </c>
    </row>
    <row r="53" spans="1:18">
      <c r="A53" s="15" t="s">
        <v>612</v>
      </c>
      <c r="B53" s="17" t="n">
        <v>4740</v>
      </c>
      <c r="C53" s="18">
        <f>(4229.0/B53*100)</f>
        <v/>
      </c>
      <c r="D53" s="19" t="n">
        <v>511</v>
      </c>
      <c r="E53" s="18" t="n">
        <v>64.15021308999999</v>
      </c>
      <c r="F53" s="20" t="n">
        <v>2.02521315</v>
      </c>
      <c r="G53" s="18" t="n">
        <v>22.6280084</v>
      </c>
      <c r="H53" s="20" t="n">
        <v>1.83392498</v>
      </c>
      <c r="I53" s="18" t="n">
        <v>0</v>
      </c>
      <c r="J53" s="20" t="n">
        <v>0</v>
      </c>
      <c r="K53" s="18" t="n">
        <v>10.72906873</v>
      </c>
      <c r="L53" s="20" t="n">
        <v>1.54314073</v>
      </c>
      <c r="M53" s="18" t="n">
        <v>0</v>
      </c>
      <c r="N53" s="20" t="n">
        <v>0</v>
      </c>
      <c r="O53" s="18" t="n">
        <v>0</v>
      </c>
      <c r="P53" s="20" t="n">
        <v>0</v>
      </c>
      <c r="Q53" s="18" t="n">
        <v>2.49270978</v>
      </c>
      <c r="R53" s="20" t="n">
        <v>0.71156308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(4735.0/B55*100)</f>
        <v/>
      </c>
      <c r="D55" s="19" t="n">
        <v>624</v>
      </c>
      <c r="E55" s="18" t="n">
        <v>36.8769723</v>
      </c>
      <c r="F55" s="20" t="n">
        <v>2.01900527</v>
      </c>
      <c r="G55" s="18" t="n">
        <v>62.08867698</v>
      </c>
      <c r="H55" s="20" t="n">
        <v>2.04446894</v>
      </c>
      <c r="I55" s="18" t="n">
        <v>0</v>
      </c>
      <c r="J55" s="20" t="n">
        <v>0</v>
      </c>
      <c r="K55" s="18" t="n">
        <v>0.30674847</v>
      </c>
      <c r="L55" s="20" t="n">
        <v>0.22054144</v>
      </c>
      <c r="M55" s="18" t="n">
        <v>0</v>
      </c>
      <c r="N55" s="20" t="n">
        <v>0</v>
      </c>
      <c r="O55" s="18" t="n">
        <v>0</v>
      </c>
      <c r="P55" s="20" t="n">
        <v>0</v>
      </c>
      <c r="Q55" s="18" t="n">
        <v>0.7276022599999999</v>
      </c>
      <c r="R55" s="20" t="n">
        <v>0.22993244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(5759.0/B61*100)</f>
        <v/>
      </c>
      <c r="D61" s="19" t="n">
        <v>766</v>
      </c>
      <c r="E61" s="18" t="n">
        <v>35.76681892</v>
      </c>
      <c r="F61" s="20" t="n">
        <v>1.74028886</v>
      </c>
      <c r="G61" s="18" t="n">
        <v>63.32523457</v>
      </c>
      <c r="H61" s="20" t="n">
        <v>1.78332724</v>
      </c>
      <c r="I61" s="18" t="n">
        <v>0</v>
      </c>
      <c r="J61" s="20" t="n">
        <v>0</v>
      </c>
      <c r="K61" s="18" t="n">
        <v>0.03119944</v>
      </c>
      <c r="L61" s="20" t="n">
        <v>0.03127363</v>
      </c>
      <c r="M61" s="18" t="n">
        <v>0</v>
      </c>
      <c r="N61" s="20" t="n">
        <v>0</v>
      </c>
      <c r="O61" s="18" t="n">
        <v>0</v>
      </c>
      <c r="P61" s="20" t="n">
        <v>0</v>
      </c>
      <c r="Q61" s="18" t="n">
        <v>0.87674708</v>
      </c>
      <c r="R61" s="20" t="n">
        <v>0.5005164</v>
      </c>
    </row>
    <row r="62" spans="1:18">
      <c r="A62" s="15" t="s">
        <v>622</v>
      </c>
      <c r="B62" s="17" t="n">
        <v>4476</v>
      </c>
      <c r="C62" s="18">
        <f>(4004.0/B62*100)</f>
        <v/>
      </c>
      <c r="D62" s="19" t="n">
        <v>472</v>
      </c>
      <c r="E62" s="18" t="n">
        <v>38.33000707</v>
      </c>
      <c r="F62" s="20" t="n">
        <v>2.46982213</v>
      </c>
      <c r="G62" s="18" t="n">
        <v>61.66999293</v>
      </c>
      <c r="H62" s="20" t="n">
        <v>2.46982213</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(5025.0/B67*100)</f>
        <v/>
      </c>
      <c r="D67" s="19" t="n">
        <v>640</v>
      </c>
      <c r="E67" s="18" t="n">
        <v>57.173421</v>
      </c>
      <c r="F67" s="20" t="n">
        <v>2.02492656</v>
      </c>
      <c r="G67" s="18" t="n">
        <v>40.03170542</v>
      </c>
      <c r="H67" s="20" t="n">
        <v>2.04129548</v>
      </c>
      <c r="I67" s="18" t="n">
        <v>0</v>
      </c>
      <c r="J67" s="20" t="n">
        <v>0</v>
      </c>
      <c r="K67" s="18" t="n">
        <v>0.99089171</v>
      </c>
      <c r="L67" s="20" t="n">
        <v>0.36570754</v>
      </c>
      <c r="M67" s="18" t="n">
        <v>0</v>
      </c>
      <c r="N67" s="20" t="n">
        <v>0</v>
      </c>
      <c r="O67" s="18" t="n">
        <v>0</v>
      </c>
      <c r="P67" s="20" t="n">
        <v>0</v>
      </c>
      <c r="Q67" s="18" t="n">
        <v>1.80398187</v>
      </c>
      <c r="R67" s="20" t="n">
        <v>0.51538647</v>
      </c>
    </row>
    <row r="68" spans="1:18">
      <c r="A68" s="15" t="s">
        <v>628</v>
      </c>
      <c r="B68" s="17" t="n">
        <v>6971</v>
      </c>
      <c r="C68" s="18">
        <f>(6248.0/B68*100)</f>
        <v/>
      </c>
      <c r="D68" s="19" t="n">
        <v>723</v>
      </c>
      <c r="E68" s="18" t="n">
        <v>57.7322155</v>
      </c>
      <c r="F68" s="20" t="n">
        <v>1.79798259</v>
      </c>
      <c r="G68" s="18" t="n">
        <v>41.97502788</v>
      </c>
      <c r="H68" s="20" t="n">
        <v>1.76747985</v>
      </c>
      <c r="I68" s="18" t="n">
        <v>0</v>
      </c>
      <c r="J68" s="20" t="n">
        <v>0</v>
      </c>
      <c r="K68" s="18" t="n">
        <v>0</v>
      </c>
      <c r="L68" s="20" t="n">
        <v>0</v>
      </c>
      <c r="M68" s="18" t="n">
        <v>0</v>
      </c>
      <c r="N68" s="20" t="n">
        <v>0</v>
      </c>
      <c r="O68" s="18" t="n">
        <v>0</v>
      </c>
      <c r="P68" s="20" t="n">
        <v>0</v>
      </c>
      <c r="Q68" s="18" t="n">
        <v>0.29275663</v>
      </c>
      <c r="R68" s="20" t="n">
        <v>0.20961345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(10770.0/B70*100)</f>
        <v/>
      </c>
      <c r="D70" s="19" t="n">
        <v>1313</v>
      </c>
      <c r="E70" s="18" t="n">
        <v>61.65532661</v>
      </c>
      <c r="F70" s="20" t="n">
        <v>1.53143367</v>
      </c>
      <c r="G70" s="18" t="n">
        <v>36.11337277</v>
      </c>
      <c r="H70" s="20" t="n">
        <v>1.43101289</v>
      </c>
      <c r="I70" s="18" t="n">
        <v>0</v>
      </c>
      <c r="J70" s="20" t="n">
        <v>0</v>
      </c>
      <c r="K70" s="18" t="n">
        <v>1.60419772</v>
      </c>
      <c r="L70" s="20" t="n">
        <v>0.34410884</v>
      </c>
      <c r="M70" s="18" t="n">
        <v>0</v>
      </c>
      <c r="N70" s="20" t="n">
        <v>0</v>
      </c>
      <c r="O70" s="18" t="n">
        <v>0</v>
      </c>
      <c r="P70" s="20" t="n">
        <v>0</v>
      </c>
      <c r="Q70" s="18" t="n">
        <v>0.6271029</v>
      </c>
      <c r="R70" s="20" t="n">
        <v>0.18937621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(5373.0/B72*100)</f>
        <v/>
      </c>
      <c r="D72" s="19" t="n">
        <v>663</v>
      </c>
      <c r="E72" s="18" t="n">
        <v>32.26528131</v>
      </c>
      <c r="F72" s="20" t="n">
        <v>2.1350049</v>
      </c>
      <c r="G72" s="18" t="n">
        <v>66.34204871999999</v>
      </c>
      <c r="H72" s="20" t="n">
        <v>2.13762641</v>
      </c>
      <c r="I72" s="18" t="n">
        <v>0</v>
      </c>
      <c r="J72" s="20" t="n">
        <v>0</v>
      </c>
      <c r="K72" s="18" t="n">
        <v>0.1539835</v>
      </c>
      <c r="L72" s="20" t="n">
        <v>0.10967045</v>
      </c>
      <c r="M72" s="18" t="n">
        <v>0</v>
      </c>
      <c r="N72" s="20" t="n">
        <v>0</v>
      </c>
      <c r="O72" s="18" t="n">
        <v>0</v>
      </c>
      <c r="P72" s="20" t="n">
        <v>0</v>
      </c>
      <c r="Q72" s="18" t="n">
        <v>1.23868647</v>
      </c>
      <c r="R72" s="20" t="n">
        <v>0.60762737</v>
      </c>
    </row>
    <row r="73" spans="1:18">
      <c r="A73" s="15" t="s">
        <v>633</v>
      </c>
      <c r="B73" s="17" t="n">
        <v>6115</v>
      </c>
      <c r="C73" s="18">
        <f>(5461.0/B73*100)</f>
        <v/>
      </c>
      <c r="D73" s="19" t="n">
        <v>654</v>
      </c>
      <c r="E73" s="18" t="n">
        <v>28.59425024</v>
      </c>
      <c r="F73" s="20" t="n">
        <v>1.98114809</v>
      </c>
      <c r="G73" s="18" t="n">
        <v>71.23641393</v>
      </c>
      <c r="H73" s="20" t="n">
        <v>1.99569543</v>
      </c>
      <c r="I73" s="18" t="n">
        <v>0</v>
      </c>
      <c r="J73" s="20" t="n">
        <v>0</v>
      </c>
      <c r="K73" s="18" t="n">
        <v>0</v>
      </c>
      <c r="L73" s="20" t="n">
        <v>0</v>
      </c>
      <c r="M73" s="18" t="n">
        <v>0</v>
      </c>
      <c r="N73" s="20" t="n">
        <v>0</v>
      </c>
      <c r="O73" s="18" t="n">
        <v>0</v>
      </c>
      <c r="P73" s="20" t="n">
        <v>0</v>
      </c>
      <c r="Q73" s="18" t="n">
        <v>0.16933583</v>
      </c>
      <c r="R73" s="20" t="n">
        <v>0.1586809</v>
      </c>
    </row>
    <row r="74" spans="1:18">
      <c r="A74" s="15" t="s">
        <v>634</v>
      </c>
      <c r="B74" s="17" t="n">
        <v>7708</v>
      </c>
      <c r="C74" s="18">
        <f>(6844.0/B74*100)</f>
        <v/>
      </c>
      <c r="D74" s="19" t="n">
        <v>864</v>
      </c>
      <c r="E74" s="18" t="n">
        <v>34.69154193</v>
      </c>
      <c r="F74" s="20" t="n">
        <v>1.7303493</v>
      </c>
      <c r="G74" s="18" t="n">
        <v>64.74760018000001</v>
      </c>
      <c r="H74" s="20" t="n">
        <v>1.6959094</v>
      </c>
      <c r="I74" s="18" t="n">
        <v>0</v>
      </c>
      <c r="J74" s="20" t="n">
        <v>0</v>
      </c>
      <c r="K74" s="18" t="n">
        <v>0.24442352</v>
      </c>
      <c r="L74" s="20" t="n">
        <v>0.18399791</v>
      </c>
      <c r="M74" s="18" t="n">
        <v>0</v>
      </c>
      <c r="N74" s="20" t="n">
        <v>0</v>
      </c>
      <c r="O74" s="18" t="n">
        <v>0</v>
      </c>
      <c r="P74" s="20" t="n">
        <v>0</v>
      </c>
      <c r="Q74" s="18" t="n">
        <v>0.31643438</v>
      </c>
      <c r="R74" s="20" t="n">
        <v>0.18690416</v>
      </c>
    </row>
    <row r="75" spans="1:18">
      <c r="A75" s="15" t="s">
        <v>635</v>
      </c>
      <c r="B75" s="17" t="n">
        <v>8249</v>
      </c>
      <c r="C75" s="18">
        <f>(7353.0/B75*100)</f>
        <v/>
      </c>
      <c r="D75" s="19" t="n">
        <v>896</v>
      </c>
      <c r="E75" s="18" t="n">
        <v>59.90377337</v>
      </c>
      <c r="F75" s="20" t="n">
        <v>1.85780402</v>
      </c>
      <c r="G75" s="18" t="n">
        <v>39.68394131</v>
      </c>
      <c r="H75" s="20" t="n">
        <v>1.86120779</v>
      </c>
      <c r="I75" s="18" t="n">
        <v>0</v>
      </c>
      <c r="J75" s="20" t="n">
        <v>0</v>
      </c>
      <c r="K75" s="18" t="n">
        <v>0.19325324</v>
      </c>
      <c r="L75" s="20" t="n">
        <v>0.15961521</v>
      </c>
      <c r="M75" s="18" t="n">
        <v>0</v>
      </c>
      <c r="N75" s="20" t="n">
        <v>0</v>
      </c>
      <c r="O75" s="18" t="n">
        <v>0</v>
      </c>
      <c r="P75" s="20" t="n">
        <v>0</v>
      </c>
      <c r="Q75" s="18" t="n">
        <v>0.21903208</v>
      </c>
      <c r="R75" s="20" t="n">
        <v>0.17701888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(4822.0/B77*100)</f>
        <v/>
      </c>
      <c r="D77" s="19" t="n">
        <v>553</v>
      </c>
      <c r="E77" s="18" t="n">
        <v>68.73842024</v>
      </c>
      <c r="F77" s="20" t="n">
        <v>1.9893062</v>
      </c>
      <c r="G77" s="18" t="n">
        <v>26.93325603</v>
      </c>
      <c r="H77" s="20" t="n">
        <v>2.07924186</v>
      </c>
      <c r="I77" s="18" t="n">
        <v>0</v>
      </c>
      <c r="J77" s="20" t="n">
        <v>0</v>
      </c>
      <c r="K77" s="18" t="n">
        <v>3.25887763</v>
      </c>
      <c r="L77" s="20" t="n">
        <v>0.79114135</v>
      </c>
      <c r="M77" s="18" t="n">
        <v>0</v>
      </c>
      <c r="N77" s="20" t="n">
        <v>0</v>
      </c>
      <c r="O77" s="18" t="n">
        <v>0</v>
      </c>
      <c r="P77" s="20" t="n">
        <v>0</v>
      </c>
      <c r="Q77" s="18" t="n">
        <v>1.0694461</v>
      </c>
      <c r="R77" s="20" t="n">
        <v>0.44430708</v>
      </c>
    </row>
    <row r="78" spans="1:18">
      <c r="A78" s="15" t="s">
        <v>638</v>
      </c>
      <c r="B78" s="17" t="n">
        <v>14167</v>
      </c>
      <c r="C78" s="18">
        <f>(12563.0/B78*100)</f>
        <v/>
      </c>
      <c r="D78" s="19" t="n">
        <v>1604</v>
      </c>
      <c r="E78" s="18" t="n">
        <v>56.19606716</v>
      </c>
      <c r="F78" s="20" t="n">
        <v>1.59091396</v>
      </c>
      <c r="G78" s="18" t="n">
        <v>42.56321118</v>
      </c>
      <c r="H78" s="20" t="n">
        <v>1.61800263</v>
      </c>
      <c r="I78" s="18" t="n">
        <v>0</v>
      </c>
      <c r="J78" s="20" t="n">
        <v>0</v>
      </c>
      <c r="K78" s="18" t="n">
        <v>0.69812828</v>
      </c>
      <c r="L78" s="20" t="n">
        <v>0.23389453</v>
      </c>
      <c r="M78" s="18" t="n">
        <v>0</v>
      </c>
      <c r="N78" s="20" t="n">
        <v>0</v>
      </c>
      <c r="O78" s="18" t="n">
        <v>0</v>
      </c>
      <c r="P78" s="20" t="n">
        <v>0</v>
      </c>
      <c r="Q78" s="18" t="n">
        <v>0.54259338</v>
      </c>
      <c r="R78" s="20" t="n">
        <v>0.19210656</v>
      </c>
    </row>
    <row r="79" spans="1:18">
      <c r="A79" s="15" t="s">
        <v>639</v>
      </c>
      <c r="B79" s="17" t="n">
        <v>6062</v>
      </c>
      <c r="C79" s="18">
        <f>(5396.0/B79*100)</f>
        <v/>
      </c>
      <c r="D79" s="19" t="n">
        <v>666</v>
      </c>
      <c r="E79" s="18" t="n">
        <v>53.94503008</v>
      </c>
      <c r="F79" s="20" t="n">
        <v>1.85354772</v>
      </c>
      <c r="G79" s="18" t="n">
        <v>42.40185353</v>
      </c>
      <c r="H79" s="20" t="n">
        <v>1.93570752</v>
      </c>
      <c r="I79" s="18" t="n">
        <v>0</v>
      </c>
      <c r="J79" s="20" t="n">
        <v>0</v>
      </c>
      <c r="K79" s="18" t="n">
        <v>0.99523985</v>
      </c>
      <c r="L79" s="20" t="n">
        <v>0.37417492</v>
      </c>
      <c r="M79" s="18" t="n">
        <v>0</v>
      </c>
      <c r="N79" s="20" t="n">
        <v>0</v>
      </c>
      <c r="O79" s="18" t="n">
        <v>0</v>
      </c>
      <c r="P79" s="20" t="n">
        <v>0</v>
      </c>
      <c r="Q79" s="18" t="n">
        <v>2.65787654</v>
      </c>
      <c r="R79" s="20" t="n">
        <v>0.7502941400000001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(28845.0/B82*100)</f>
        <v/>
      </c>
      <c r="D82" s="19" t="n">
        <v>3485</v>
      </c>
      <c r="E82" s="18" t="n">
        <v>40.20571251</v>
      </c>
      <c r="F82" s="20" t="n">
        <v>1.37024802</v>
      </c>
      <c r="G82" s="18" t="n">
        <v>59.25069759</v>
      </c>
      <c r="H82" s="20" t="n">
        <v>1.39746393</v>
      </c>
      <c r="I82" s="18" t="n">
        <v>0</v>
      </c>
      <c r="J82" s="20" t="n">
        <v>0</v>
      </c>
      <c r="K82" s="18" t="n">
        <v>0.29969902</v>
      </c>
      <c r="L82" s="20" t="n">
        <v>0.13522965</v>
      </c>
      <c r="M82" s="18" t="n">
        <v>0</v>
      </c>
      <c r="N82" s="20" t="n">
        <v>0</v>
      </c>
      <c r="O82" s="18" t="n">
        <v>0</v>
      </c>
      <c r="P82" s="20" t="n">
        <v>0</v>
      </c>
      <c r="Q82" s="18" t="n">
        <v>0.24389088</v>
      </c>
      <c r="R82" s="20" t="n">
        <v>0.0807491</v>
      </c>
    </row>
    <row r="83" spans="1:18">
      <c r="A83" s="15" t="s">
        <v>643</v>
      </c>
      <c r="B83" s="17" t="n">
        <v>1652</v>
      </c>
      <c r="C83" s="18">
        <f>(1464.0/B83*100)</f>
        <v/>
      </c>
      <c r="D83" s="19" t="n">
        <v>188</v>
      </c>
      <c r="E83" s="18" t="n">
        <v>32.70413045</v>
      </c>
      <c r="F83" s="20" t="n">
        <v>3.12025769</v>
      </c>
      <c r="G83" s="18" t="n">
        <v>66.88632004999999</v>
      </c>
      <c r="H83" s="20" t="n">
        <v>3.28654839</v>
      </c>
      <c r="I83" s="18" t="n">
        <v>0</v>
      </c>
      <c r="J83" s="20" t="n">
        <v>0</v>
      </c>
      <c r="K83" s="18" t="n">
        <v>0</v>
      </c>
      <c r="L83" s="20" t="n">
        <v>0</v>
      </c>
      <c r="M83" s="18" t="n">
        <v>0</v>
      </c>
      <c r="N83" s="20" t="n">
        <v>0</v>
      </c>
      <c r="O83" s="18" t="n">
        <v>0</v>
      </c>
      <c r="P83" s="20" t="n">
        <v>0</v>
      </c>
      <c r="Q83" s="18" t="n">
        <v>0.4095495</v>
      </c>
      <c r="R83" s="20" t="n">
        <v>0.40550695</v>
      </c>
    </row>
    <row r="84" spans="1:18">
      <c r="A84" s="23" t="s">
        <v>644</v>
      </c>
      <c r="B84" s="24" t="n">
        <v>1887</v>
      </c>
      <c r="C84" s="25">
        <f>(1691.0/B84*100)</f>
        <v/>
      </c>
      <c r="D84" s="19" t="n">
        <v>196</v>
      </c>
      <c r="E84" s="18" t="n">
        <v>38.57684879</v>
      </c>
      <c r="F84" s="20" t="n">
        <v>3.04904121</v>
      </c>
      <c r="G84" s="18" t="n">
        <v>60.9447349</v>
      </c>
      <c r="H84" s="20" t="n">
        <v>3.07018981</v>
      </c>
      <c r="I84" s="18" t="n">
        <v>0</v>
      </c>
      <c r="J84" s="20" t="n">
        <v>0</v>
      </c>
      <c r="K84" s="18" t="n">
        <v>0</v>
      </c>
      <c r="L84" s="20" t="n">
        <v>0</v>
      </c>
      <c r="M84" s="18" t="n">
        <v>0</v>
      </c>
      <c r="N84" s="20" t="n">
        <v>0</v>
      </c>
      <c r="O84" s="18" t="n">
        <v>0</v>
      </c>
      <c r="P84" s="20" t="n">
        <v>0</v>
      </c>
      <c r="Q84" s="18" t="n">
        <v>0.47841632</v>
      </c>
      <c r="R84" s="20" t="n">
        <v>0.48241488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(12912.0/B7*100)</f>
        <v/>
      </c>
      <c r="D7" s="19" t="n">
        <v>1618</v>
      </c>
      <c r="E7" s="18" t="n">
        <v>46.42118217</v>
      </c>
      <c r="F7" s="20" t="n">
        <v>1.33525093</v>
      </c>
      <c r="G7" s="18" t="n">
        <v>41.34442775</v>
      </c>
      <c r="H7" s="20" t="n">
        <v>1.51355845</v>
      </c>
      <c r="I7" s="18" t="n">
        <v>0</v>
      </c>
      <c r="J7" s="20" t="n">
        <v>0</v>
      </c>
      <c r="K7" s="18" t="n">
        <v>0.18893781</v>
      </c>
      <c r="L7" s="20" t="n">
        <v>0.10747312</v>
      </c>
      <c r="M7" s="18" t="n">
        <v>0.03507383</v>
      </c>
      <c r="N7" s="20" t="n">
        <v>0.01712761</v>
      </c>
      <c r="O7" s="18" t="n">
        <v>0</v>
      </c>
      <c r="P7" s="20" t="n">
        <v>0</v>
      </c>
      <c r="Q7" s="18" t="n">
        <v>12.01037844</v>
      </c>
      <c r="R7" s="20" t="n">
        <v>0.98702895</v>
      </c>
    </row>
    <row r="8" spans="1:18">
      <c r="A8" s="15" t="s">
        <v>566</v>
      </c>
      <c r="B8" s="17" t="n">
        <v>7007</v>
      </c>
      <c r="C8" s="18">
        <f>(6198.0/B8*100)</f>
        <v/>
      </c>
      <c r="D8" s="19" t="n">
        <v>809</v>
      </c>
      <c r="E8" s="18" t="n">
        <v>45.15756065</v>
      </c>
      <c r="F8" s="20" t="n">
        <v>1.80505656</v>
      </c>
      <c r="G8" s="18" t="n">
        <v>38.24484143</v>
      </c>
      <c r="H8" s="20" t="n">
        <v>1.97010023</v>
      </c>
      <c r="I8" s="18" t="n">
        <v>0</v>
      </c>
      <c r="J8" s="20" t="n">
        <v>0</v>
      </c>
      <c r="K8" s="18" t="n">
        <v>0.10875895</v>
      </c>
      <c r="L8" s="20" t="n">
        <v>0.10950464</v>
      </c>
      <c r="M8" s="18" t="n">
        <v>0</v>
      </c>
      <c r="N8" s="20" t="n">
        <v>0</v>
      </c>
      <c r="O8" s="18" t="n">
        <v>0</v>
      </c>
      <c r="P8" s="20" t="n">
        <v>0</v>
      </c>
      <c r="Q8" s="18" t="n">
        <v>16.48883896</v>
      </c>
      <c r="R8" s="20" t="n">
        <v>1.47244878</v>
      </c>
    </row>
    <row r="9" spans="1:18">
      <c r="A9" s="15" t="s">
        <v>567</v>
      </c>
      <c r="B9" s="17" t="n">
        <v>9651</v>
      </c>
      <c r="C9" s="18">
        <f>(8615.0/B9*100)</f>
        <v/>
      </c>
      <c r="D9" s="19" t="n">
        <v>1036</v>
      </c>
      <c r="E9" s="18" t="n">
        <v>52.93980821</v>
      </c>
      <c r="F9" s="20" t="n">
        <v>1.6045451</v>
      </c>
      <c r="G9" s="18" t="n">
        <v>33.43988197</v>
      </c>
      <c r="H9" s="20" t="n">
        <v>1.4905815</v>
      </c>
      <c r="I9" s="18" t="n">
        <v>0</v>
      </c>
      <c r="J9" s="20" t="n">
        <v>0</v>
      </c>
      <c r="K9" s="18" t="n">
        <v>0.70874187</v>
      </c>
      <c r="L9" s="20" t="n">
        <v>0.32449215</v>
      </c>
      <c r="M9" s="18" t="n">
        <v>0.15313782</v>
      </c>
      <c r="N9" s="20" t="n">
        <v>0.10789629</v>
      </c>
      <c r="O9" s="18" t="n">
        <v>0</v>
      </c>
      <c r="P9" s="20" t="n">
        <v>0</v>
      </c>
      <c r="Q9" s="18" t="n">
        <v>12.75843013</v>
      </c>
      <c r="R9" s="20" t="n">
        <v>1.11681445</v>
      </c>
    </row>
    <row r="10" spans="1:18">
      <c r="A10" s="15" t="s">
        <v>568</v>
      </c>
      <c r="B10" s="17" t="n">
        <v>20058</v>
      </c>
      <c r="C10" s="18">
        <f>(17917.0/B10*100)</f>
        <v/>
      </c>
      <c r="D10" s="19" t="n">
        <v>2141</v>
      </c>
      <c r="E10" s="18" t="n">
        <v>48.21010081</v>
      </c>
      <c r="F10" s="20" t="n">
        <v>1.53096454</v>
      </c>
      <c r="G10" s="18" t="n">
        <v>44.18578732</v>
      </c>
      <c r="H10" s="20" t="n">
        <v>1.69384986</v>
      </c>
      <c r="I10" s="18" t="n">
        <v>0</v>
      </c>
      <c r="J10" s="20" t="n">
        <v>0</v>
      </c>
      <c r="K10" s="18" t="n">
        <v>0.57273602</v>
      </c>
      <c r="L10" s="20" t="n">
        <v>0.22932874</v>
      </c>
      <c r="M10" s="18" t="n">
        <v>0</v>
      </c>
      <c r="N10" s="20" t="n">
        <v>0</v>
      </c>
      <c r="O10" s="18" t="n">
        <v>0</v>
      </c>
      <c r="P10" s="20" t="n">
        <v>0</v>
      </c>
      <c r="Q10" s="18" t="n">
        <v>7.03137585</v>
      </c>
      <c r="R10" s="20" t="n">
        <v>0.9284943</v>
      </c>
    </row>
    <row r="11" spans="1:18">
      <c r="A11" s="15" t="s">
        <v>569</v>
      </c>
      <c r="B11" s="17" t="n">
        <v>7053</v>
      </c>
      <c r="C11" s="18">
        <f>(6294.0/B11*100)</f>
        <v/>
      </c>
      <c r="D11" s="19" t="n">
        <v>759</v>
      </c>
      <c r="E11" s="18" t="n">
        <v>53.53301901</v>
      </c>
      <c r="F11" s="20" t="n">
        <v>2.30769411</v>
      </c>
      <c r="G11" s="18" t="n">
        <v>26.95008577</v>
      </c>
      <c r="H11" s="20" t="n">
        <v>1.70158063</v>
      </c>
      <c r="I11" s="18" t="n">
        <v>0</v>
      </c>
      <c r="J11" s="20" t="n">
        <v>0</v>
      </c>
      <c r="K11" s="18" t="n">
        <v>1.46863276</v>
      </c>
      <c r="L11" s="20" t="n">
        <v>0.5456576</v>
      </c>
      <c r="M11" s="18" t="n">
        <v>0</v>
      </c>
      <c r="N11" s="20" t="n">
        <v>0</v>
      </c>
      <c r="O11" s="18" t="n">
        <v>0</v>
      </c>
      <c r="P11" s="20" t="n">
        <v>0</v>
      </c>
      <c r="Q11" s="18" t="n">
        <v>18.04826247</v>
      </c>
      <c r="R11" s="20" t="n">
        <v>1.84468812</v>
      </c>
    </row>
    <row r="12" spans="1:18">
      <c r="A12" s="15" t="s">
        <v>570</v>
      </c>
      <c r="B12" s="17" t="n">
        <v>6894</v>
      </c>
      <c r="C12" s="18">
        <f>(6128.0/B12*100)</f>
        <v/>
      </c>
      <c r="D12" s="19" t="n">
        <v>766</v>
      </c>
      <c r="E12" s="18" t="n">
        <v>38.68013985</v>
      </c>
      <c r="F12" s="20" t="n">
        <v>1.92862593</v>
      </c>
      <c r="G12" s="18" t="n">
        <v>40.15492985</v>
      </c>
      <c r="H12" s="20" t="n">
        <v>1.70096784</v>
      </c>
      <c r="I12" s="18" t="n">
        <v>0</v>
      </c>
      <c r="J12" s="20" t="n">
        <v>0</v>
      </c>
      <c r="K12" s="18" t="n">
        <v>0.31924915</v>
      </c>
      <c r="L12" s="20" t="n">
        <v>0.19285132</v>
      </c>
      <c r="M12" s="18" t="n">
        <v>0</v>
      </c>
      <c r="N12" s="20" t="n">
        <v>0</v>
      </c>
      <c r="O12" s="18" t="n">
        <v>0</v>
      </c>
      <c r="P12" s="20" t="n">
        <v>0</v>
      </c>
      <c r="Q12" s="18" t="n">
        <v>20.84568115</v>
      </c>
      <c r="R12" s="20" t="n">
        <v>1.75651247</v>
      </c>
    </row>
    <row r="13" spans="1:18">
      <c r="A13" s="15" t="s">
        <v>571</v>
      </c>
      <c r="B13" s="17" t="n">
        <v>7161</v>
      </c>
      <c r="C13" s="18">
        <f>(6394.0/B13*100)</f>
        <v/>
      </c>
      <c r="D13" s="19" t="n">
        <v>767</v>
      </c>
      <c r="E13" s="18" t="n">
        <v>55.88280335</v>
      </c>
      <c r="F13" s="20" t="n">
        <v>2.15296709</v>
      </c>
      <c r="G13" s="18" t="n">
        <v>31.22657973</v>
      </c>
      <c r="H13" s="20" t="n">
        <v>2.01293154</v>
      </c>
      <c r="I13" s="18" t="n">
        <v>0</v>
      </c>
      <c r="J13" s="20" t="n">
        <v>0</v>
      </c>
      <c r="K13" s="18" t="n">
        <v>0.37129092</v>
      </c>
      <c r="L13" s="20" t="n">
        <v>0.21685655</v>
      </c>
      <c r="M13" s="18" t="n">
        <v>0</v>
      </c>
      <c r="N13" s="20" t="n">
        <v>0</v>
      </c>
      <c r="O13" s="18" t="n">
        <v>0</v>
      </c>
      <c r="P13" s="20" t="n">
        <v>0</v>
      </c>
      <c r="Q13" s="18" t="n">
        <v>12.519326</v>
      </c>
      <c r="R13" s="20" t="n">
        <v>1.18497331</v>
      </c>
    </row>
    <row r="14" spans="1:18">
      <c r="A14" s="15" t="s">
        <v>572</v>
      </c>
      <c r="B14" s="17" t="n">
        <v>5587</v>
      </c>
      <c r="C14" s="18">
        <f>(4998.0/B14*100)</f>
        <v/>
      </c>
      <c r="D14" s="19" t="n">
        <v>589</v>
      </c>
      <c r="E14" s="18" t="n">
        <v>36.84719644</v>
      </c>
      <c r="F14" s="20" t="n">
        <v>2.21258578</v>
      </c>
      <c r="G14" s="18" t="n">
        <v>54.52987257</v>
      </c>
      <c r="H14" s="20" t="n">
        <v>2.39444915</v>
      </c>
      <c r="I14" s="18" t="n">
        <v>0</v>
      </c>
      <c r="J14" s="20" t="n">
        <v>0</v>
      </c>
      <c r="K14" s="18" t="n">
        <v>0.12621735</v>
      </c>
      <c r="L14" s="20" t="n">
        <v>0.13090389</v>
      </c>
      <c r="M14" s="18" t="n">
        <v>0</v>
      </c>
      <c r="N14" s="20" t="n">
        <v>0</v>
      </c>
      <c r="O14" s="18" t="n">
        <v>0</v>
      </c>
      <c r="P14" s="20" t="n">
        <v>0</v>
      </c>
      <c r="Q14" s="18" t="n">
        <v>8.49671363</v>
      </c>
      <c r="R14" s="20" t="n">
        <v>1.19472411</v>
      </c>
    </row>
    <row r="15" spans="1:18">
      <c r="A15" s="15" t="s">
        <v>573</v>
      </c>
      <c r="B15" s="17" t="n">
        <v>5882</v>
      </c>
      <c r="C15" s="18">
        <f>(5253.0/B15*100)</f>
        <v/>
      </c>
      <c r="D15" s="19" t="n">
        <v>629</v>
      </c>
      <c r="E15" s="18" t="n">
        <v>42.78925038</v>
      </c>
      <c r="F15" s="20" t="n">
        <v>2.13839803</v>
      </c>
      <c r="G15" s="18" t="n">
        <v>44.46602581</v>
      </c>
      <c r="H15" s="20" t="n">
        <v>2.35665998</v>
      </c>
      <c r="I15" s="18" t="n">
        <v>0</v>
      </c>
      <c r="J15" s="20" t="n">
        <v>0</v>
      </c>
      <c r="K15" s="18" t="n">
        <v>0.29808137</v>
      </c>
      <c r="L15" s="20" t="n">
        <v>0.21154669</v>
      </c>
      <c r="M15" s="18" t="n">
        <v>0</v>
      </c>
      <c r="N15" s="20" t="n">
        <v>0</v>
      </c>
      <c r="O15" s="18" t="n">
        <v>0</v>
      </c>
      <c r="P15" s="20" t="n">
        <v>0</v>
      </c>
      <c r="Q15" s="18" t="n">
        <v>12.44664244</v>
      </c>
      <c r="R15" s="20" t="n">
        <v>1.19869877</v>
      </c>
    </row>
    <row r="16" spans="1:18">
      <c r="A16" s="15" t="s">
        <v>574</v>
      </c>
      <c r="B16" s="17" t="n">
        <v>6108</v>
      </c>
      <c r="C16" s="18">
        <f>(5476.0/B16*100)</f>
        <v/>
      </c>
      <c r="D16" s="19" t="n">
        <v>632</v>
      </c>
      <c r="E16" s="18" t="n">
        <v>45.41796071</v>
      </c>
      <c r="F16" s="20" t="n">
        <v>2.21783917</v>
      </c>
      <c r="G16" s="18" t="n">
        <v>34.02921159</v>
      </c>
      <c r="H16" s="20" t="n">
        <v>2.03871638</v>
      </c>
      <c r="I16" s="18" t="n">
        <v>0</v>
      </c>
      <c r="J16" s="20" t="n">
        <v>0</v>
      </c>
      <c r="K16" s="18" t="n">
        <v>2.2870712</v>
      </c>
      <c r="L16" s="20" t="n">
        <v>0.67914387</v>
      </c>
      <c r="M16" s="18" t="n">
        <v>0.24192445</v>
      </c>
      <c r="N16" s="20" t="n">
        <v>0.19430771</v>
      </c>
      <c r="O16" s="18" t="n">
        <v>0</v>
      </c>
      <c r="P16" s="20" t="n">
        <v>0</v>
      </c>
      <c r="Q16" s="18" t="n">
        <v>18.02383205</v>
      </c>
      <c r="R16" s="20" t="n">
        <v>1.91959626</v>
      </c>
    </row>
    <row r="17" spans="1:18">
      <c r="A17" s="15" t="s">
        <v>575</v>
      </c>
      <c r="B17" s="17" t="n">
        <v>6504</v>
      </c>
      <c r="C17" s="18">
        <f>(5785.0/B17*100)</f>
        <v/>
      </c>
      <c r="D17" s="19" t="n">
        <v>719</v>
      </c>
      <c r="E17" s="18" t="n">
        <v>39.33076045</v>
      </c>
      <c r="F17" s="20" t="n">
        <v>2.04488991</v>
      </c>
      <c r="G17" s="18" t="n">
        <v>42.33698199</v>
      </c>
      <c r="H17" s="20" t="n">
        <v>2.37018488</v>
      </c>
      <c r="I17" s="18" t="n">
        <v>0</v>
      </c>
      <c r="J17" s="20" t="n">
        <v>0</v>
      </c>
      <c r="K17" s="18" t="n">
        <v>0.63088146</v>
      </c>
      <c r="L17" s="20" t="n">
        <v>0.486268</v>
      </c>
      <c r="M17" s="18" t="n">
        <v>0</v>
      </c>
      <c r="N17" s="20" t="n">
        <v>0</v>
      </c>
      <c r="O17" s="18" t="n">
        <v>0</v>
      </c>
      <c r="P17" s="20" t="n">
        <v>0</v>
      </c>
      <c r="Q17" s="18" t="n">
        <v>17.7013761</v>
      </c>
      <c r="R17" s="20" t="n">
        <v>1.43458789</v>
      </c>
    </row>
    <row r="18" spans="1:18">
      <c r="A18" s="15" t="s">
        <v>576</v>
      </c>
      <c r="B18" s="17" t="n">
        <v>5532</v>
      </c>
      <c r="C18" s="18">
        <f>(4932.0/B18*100)</f>
        <v/>
      </c>
      <c r="D18" s="19" t="n">
        <v>600</v>
      </c>
      <c r="E18" s="18" t="n">
        <v>50.34263425</v>
      </c>
      <c r="F18" s="20" t="n">
        <v>2.5790149</v>
      </c>
      <c r="G18" s="18" t="n">
        <v>28.19777788</v>
      </c>
      <c r="H18" s="20" t="n">
        <v>1.9801576</v>
      </c>
      <c r="I18" s="18" t="n">
        <v>0</v>
      </c>
      <c r="J18" s="20" t="n">
        <v>0</v>
      </c>
      <c r="K18" s="18" t="n">
        <v>0.88098225</v>
      </c>
      <c r="L18" s="20" t="n">
        <v>0.41377319</v>
      </c>
      <c r="M18" s="18" t="n">
        <v>0</v>
      </c>
      <c r="N18" s="20" t="n">
        <v>0</v>
      </c>
      <c r="O18" s="18" t="n">
        <v>0</v>
      </c>
      <c r="P18" s="20" t="n">
        <v>0</v>
      </c>
      <c r="Q18" s="18" t="n">
        <v>20.57860562</v>
      </c>
      <c r="R18" s="20" t="n">
        <v>2.428385</v>
      </c>
    </row>
    <row r="19" spans="1:18">
      <c r="A19" s="15" t="s">
        <v>577</v>
      </c>
      <c r="B19" s="17" t="n">
        <v>5658</v>
      </c>
      <c r="C19" s="18">
        <f>(5016.0/B19*100)</f>
        <v/>
      </c>
      <c r="D19" s="19" t="n">
        <v>642</v>
      </c>
      <c r="E19" s="18" t="n">
        <v>40.3823247</v>
      </c>
      <c r="F19" s="20" t="n">
        <v>1.68654982</v>
      </c>
      <c r="G19" s="18" t="n">
        <v>34.69618306</v>
      </c>
      <c r="H19" s="20" t="n">
        <v>1.88811062</v>
      </c>
      <c r="I19" s="18" t="n">
        <v>0</v>
      </c>
      <c r="J19" s="20" t="n">
        <v>0</v>
      </c>
      <c r="K19" s="18" t="n">
        <v>0.53657949</v>
      </c>
      <c r="L19" s="20" t="n">
        <v>0.38480552</v>
      </c>
      <c r="M19" s="18" t="n">
        <v>0</v>
      </c>
      <c r="N19" s="20" t="n">
        <v>0</v>
      </c>
      <c r="O19" s="18" t="n">
        <v>0</v>
      </c>
      <c r="P19" s="20" t="n">
        <v>0</v>
      </c>
      <c r="Q19" s="18" t="n">
        <v>24.38491274</v>
      </c>
      <c r="R19" s="20" t="n">
        <v>1.60721921</v>
      </c>
    </row>
    <row r="20" spans="1:18">
      <c r="A20" s="15" t="s">
        <v>578</v>
      </c>
      <c r="B20" s="17" t="n">
        <v>3371</v>
      </c>
      <c r="C20" s="18">
        <f>(3000.0/B20*100)</f>
        <v/>
      </c>
      <c r="D20" s="19" t="n">
        <v>371</v>
      </c>
      <c r="E20" s="18" t="n">
        <v>53.4002286</v>
      </c>
      <c r="F20" s="20" t="n">
        <v>2.40762616</v>
      </c>
      <c r="G20" s="18" t="n">
        <v>20.46268212</v>
      </c>
      <c r="H20" s="20" t="n">
        <v>1.74238471</v>
      </c>
      <c r="I20" s="18" t="n">
        <v>0</v>
      </c>
      <c r="J20" s="20" t="n">
        <v>0</v>
      </c>
      <c r="K20" s="18" t="n">
        <v>0.97299091</v>
      </c>
      <c r="L20" s="20" t="n">
        <v>0.55752904</v>
      </c>
      <c r="M20" s="18" t="n">
        <v>0</v>
      </c>
      <c r="N20" s="20" t="n">
        <v>0</v>
      </c>
      <c r="O20" s="18" t="n">
        <v>0</v>
      </c>
      <c r="P20" s="20" t="n">
        <v>0</v>
      </c>
      <c r="Q20" s="18" t="n">
        <v>25.16409836</v>
      </c>
      <c r="R20" s="20" t="n">
        <v>2.04683956</v>
      </c>
    </row>
    <row r="21" spans="1:18">
      <c r="A21" s="15" t="s">
        <v>579</v>
      </c>
      <c r="B21" s="17" t="n">
        <v>5741</v>
      </c>
      <c r="C21" s="18">
        <f>(5116.0/B21*100)</f>
        <v/>
      </c>
      <c r="D21" s="19" t="n">
        <v>625</v>
      </c>
      <c r="E21" s="18" t="n">
        <v>52.14836308</v>
      </c>
      <c r="F21" s="20" t="n">
        <v>1.94210711</v>
      </c>
      <c r="G21" s="18" t="n">
        <v>37.86602889</v>
      </c>
      <c r="H21" s="20" t="n">
        <v>1.94311239</v>
      </c>
      <c r="I21" s="18" t="n">
        <v>0</v>
      </c>
      <c r="J21" s="20" t="n">
        <v>0</v>
      </c>
      <c r="K21" s="18" t="n">
        <v>0</v>
      </c>
      <c r="L21" s="20" t="n">
        <v>0</v>
      </c>
      <c r="M21" s="18" t="n">
        <v>0</v>
      </c>
      <c r="N21" s="20" t="n">
        <v>0</v>
      </c>
      <c r="O21" s="18" t="n">
        <v>0</v>
      </c>
      <c r="P21" s="20" t="n">
        <v>0</v>
      </c>
      <c r="Q21" s="18" t="n">
        <v>9.985608040000001</v>
      </c>
      <c r="R21" s="20" t="n">
        <v>1.26216771</v>
      </c>
    </row>
    <row r="22" spans="1:18">
      <c r="A22" s="15" t="s">
        <v>580</v>
      </c>
      <c r="B22" s="17" t="n">
        <v>6598</v>
      </c>
      <c r="C22" s="18">
        <f>(5845.0/B22*100)</f>
        <v/>
      </c>
      <c r="D22" s="19" t="n">
        <v>753</v>
      </c>
      <c r="E22" s="18" t="n">
        <v>47.87415332</v>
      </c>
      <c r="F22" s="20" t="n">
        <v>2.23410059</v>
      </c>
      <c r="G22" s="18" t="n">
        <v>27.48813839</v>
      </c>
      <c r="H22" s="20" t="n">
        <v>2.01071392</v>
      </c>
      <c r="I22" s="18" t="n">
        <v>0</v>
      </c>
      <c r="J22" s="20" t="n">
        <v>0</v>
      </c>
      <c r="K22" s="18" t="n">
        <v>1.65814913</v>
      </c>
      <c r="L22" s="20" t="n">
        <v>0.43164102</v>
      </c>
      <c r="M22" s="18" t="n">
        <v>0</v>
      </c>
      <c r="N22" s="20" t="n">
        <v>0</v>
      </c>
      <c r="O22" s="18" t="n">
        <v>0</v>
      </c>
      <c r="P22" s="20" t="n">
        <v>0</v>
      </c>
      <c r="Q22" s="18" t="n">
        <v>22.97955915</v>
      </c>
      <c r="R22" s="20" t="n">
        <v>1.70528044</v>
      </c>
    </row>
    <row r="23" spans="1:18">
      <c r="A23" s="15" t="s">
        <v>581</v>
      </c>
      <c r="B23" s="17" t="n">
        <v>11583</v>
      </c>
      <c r="C23" s="18">
        <f>(10303.0/B23*100)</f>
        <v/>
      </c>
      <c r="D23" s="19" t="n">
        <v>1280</v>
      </c>
      <c r="E23" s="18" t="n">
        <v>33.8383139</v>
      </c>
      <c r="F23" s="20" t="n">
        <v>2.1788565</v>
      </c>
      <c r="G23" s="18" t="n">
        <v>43.74981014</v>
      </c>
      <c r="H23" s="20" t="n">
        <v>2.08196877</v>
      </c>
      <c r="I23" s="18" t="n">
        <v>0</v>
      </c>
      <c r="J23" s="20" t="n">
        <v>0</v>
      </c>
      <c r="K23" s="18" t="n">
        <v>0.96359262</v>
      </c>
      <c r="L23" s="20" t="n">
        <v>0.33914576</v>
      </c>
      <c r="M23" s="18" t="n">
        <v>0.08981840000000001</v>
      </c>
      <c r="N23" s="20" t="n">
        <v>0.09641071</v>
      </c>
      <c r="O23" s="18" t="n">
        <v>0</v>
      </c>
      <c r="P23" s="20" t="n">
        <v>0</v>
      </c>
      <c r="Q23" s="18" t="n">
        <v>21.35846493</v>
      </c>
      <c r="R23" s="20" t="n">
        <v>2.13687527</v>
      </c>
    </row>
    <row r="24" spans="1:18">
      <c r="A24" s="15" t="s">
        <v>582</v>
      </c>
      <c r="B24" s="17" t="n">
        <v>6647</v>
      </c>
      <c r="C24" s="18">
        <f>(5894.0/B24*100)</f>
        <v/>
      </c>
      <c r="D24" s="19" t="n">
        <v>753</v>
      </c>
      <c r="E24" s="18" t="n">
        <v>35.84940946</v>
      </c>
      <c r="F24" s="20" t="n">
        <v>2.04882214</v>
      </c>
      <c r="G24" s="18" t="n">
        <v>48.49633385</v>
      </c>
      <c r="H24" s="20" t="n">
        <v>2.42222062</v>
      </c>
      <c r="I24" s="18" t="n">
        <v>0</v>
      </c>
      <c r="J24" s="20" t="n">
        <v>0</v>
      </c>
      <c r="K24" s="18" t="n">
        <v>0.6658696200000001</v>
      </c>
      <c r="L24" s="20" t="n">
        <v>0.30059824</v>
      </c>
      <c r="M24" s="18" t="n">
        <v>0</v>
      </c>
      <c r="N24" s="20" t="n">
        <v>0</v>
      </c>
      <c r="O24" s="18" t="n">
        <v>0</v>
      </c>
      <c r="P24" s="20" t="n">
        <v>0</v>
      </c>
      <c r="Q24" s="18" t="n">
        <v>14.98838707</v>
      </c>
      <c r="R24" s="20" t="n">
        <v>1.53511559</v>
      </c>
    </row>
    <row r="25" spans="1:18">
      <c r="A25" s="15" t="s">
        <v>583</v>
      </c>
      <c r="B25" s="17" t="n">
        <v>5581</v>
      </c>
      <c r="C25" s="18">
        <f>(4970.0/B25*100)</f>
        <v/>
      </c>
      <c r="D25" s="19" t="n">
        <v>611</v>
      </c>
      <c r="E25" s="18" t="n">
        <v>42.69989416</v>
      </c>
      <c r="F25" s="20" t="n">
        <v>2.0356613</v>
      </c>
      <c r="G25" s="18" t="n">
        <v>44.8836628</v>
      </c>
      <c r="H25" s="20" t="n">
        <v>2.05625641</v>
      </c>
      <c r="I25" s="18" t="n">
        <v>0</v>
      </c>
      <c r="J25" s="20" t="n">
        <v>0</v>
      </c>
      <c r="K25" s="18" t="n">
        <v>0.30706774</v>
      </c>
      <c r="L25" s="20" t="n">
        <v>0.2167355</v>
      </c>
      <c r="M25" s="18" t="n">
        <v>0</v>
      </c>
      <c r="N25" s="20" t="n">
        <v>0</v>
      </c>
      <c r="O25" s="18" t="n">
        <v>0</v>
      </c>
      <c r="P25" s="20" t="n">
        <v>0</v>
      </c>
      <c r="Q25" s="18" t="n">
        <v>12.10937531</v>
      </c>
      <c r="R25" s="20" t="n">
        <v>1.39484203</v>
      </c>
    </row>
    <row r="26" spans="1:18">
      <c r="A26" s="15" t="s">
        <v>584</v>
      </c>
      <c r="B26" s="17" t="n">
        <v>4869</v>
      </c>
      <c r="C26" s="18">
        <f>(4356.0/B26*100)</f>
        <v/>
      </c>
      <c r="D26" s="19" t="n">
        <v>513</v>
      </c>
      <c r="E26" s="18" t="n">
        <v>45.83595507</v>
      </c>
      <c r="F26" s="20" t="n">
        <v>2.30416299</v>
      </c>
      <c r="G26" s="18" t="n">
        <v>40.92963998</v>
      </c>
      <c r="H26" s="20" t="n">
        <v>2.41738825</v>
      </c>
      <c r="I26" s="18" t="n">
        <v>0</v>
      </c>
      <c r="J26" s="20" t="n">
        <v>0</v>
      </c>
      <c r="K26" s="18" t="n">
        <v>0.16280653</v>
      </c>
      <c r="L26" s="20" t="n">
        <v>0.16321889</v>
      </c>
      <c r="M26" s="18" t="n">
        <v>0</v>
      </c>
      <c r="N26" s="20" t="n">
        <v>0</v>
      </c>
      <c r="O26" s="18" t="n">
        <v>0</v>
      </c>
      <c r="P26" s="20" t="n">
        <v>0</v>
      </c>
      <c r="Q26" s="18" t="n">
        <v>13.07159842</v>
      </c>
      <c r="R26" s="20" t="n">
        <v>1.61923416</v>
      </c>
    </row>
    <row r="27" spans="1:18">
      <c r="A27" s="15" t="s">
        <v>585</v>
      </c>
      <c r="B27" s="17" t="n">
        <v>5299</v>
      </c>
      <c r="C27" s="18">
        <f>(4740.0/B27*100)</f>
        <v/>
      </c>
      <c r="D27" s="19" t="n">
        <v>559</v>
      </c>
      <c r="E27" s="18" t="n">
        <v>47.62181586</v>
      </c>
      <c r="F27" s="20" t="n">
        <v>1.92949244</v>
      </c>
      <c r="G27" s="18" t="n">
        <v>33.9990583</v>
      </c>
      <c r="H27" s="20" t="n">
        <v>2.20441963</v>
      </c>
      <c r="I27" s="18" t="n">
        <v>0</v>
      </c>
      <c r="J27" s="20" t="n">
        <v>0</v>
      </c>
      <c r="K27" s="18" t="n">
        <v>0.52222088</v>
      </c>
      <c r="L27" s="20" t="n">
        <v>0.29612392</v>
      </c>
      <c r="M27" s="18" t="n">
        <v>0</v>
      </c>
      <c r="N27" s="20" t="n">
        <v>0</v>
      </c>
      <c r="O27" s="18" t="n">
        <v>0</v>
      </c>
      <c r="P27" s="20" t="n">
        <v>0</v>
      </c>
      <c r="Q27" s="18" t="n">
        <v>17.85690496</v>
      </c>
      <c r="R27" s="20" t="n">
        <v>1.46330923</v>
      </c>
    </row>
    <row r="28" spans="1:18">
      <c r="A28" s="15" t="s">
        <v>586</v>
      </c>
      <c r="B28" s="17" t="n">
        <v>7568</v>
      </c>
      <c r="C28" s="18">
        <f>(6789.0/B28*100)</f>
        <v/>
      </c>
      <c r="D28" s="19" t="n">
        <v>779</v>
      </c>
      <c r="E28" s="18" t="n">
        <v>73.27658117999999</v>
      </c>
      <c r="F28" s="20" t="n">
        <v>1.7535994</v>
      </c>
      <c r="G28" s="18" t="n">
        <v>19.36785851</v>
      </c>
      <c r="H28" s="20" t="n">
        <v>1.57814746</v>
      </c>
      <c r="I28" s="18" t="n">
        <v>0</v>
      </c>
      <c r="J28" s="20" t="n">
        <v>0</v>
      </c>
      <c r="K28" s="18" t="n">
        <v>0.67652722</v>
      </c>
      <c r="L28" s="20" t="n">
        <v>0.35198427</v>
      </c>
      <c r="M28" s="18" t="n">
        <v>0</v>
      </c>
      <c r="N28" s="20" t="n">
        <v>0</v>
      </c>
      <c r="O28" s="18" t="n">
        <v>0</v>
      </c>
      <c r="P28" s="20" t="n">
        <v>0</v>
      </c>
      <c r="Q28" s="18" t="n">
        <v>6.67903309</v>
      </c>
      <c r="R28" s="20" t="n">
        <v>1.17532355</v>
      </c>
    </row>
    <row r="29" spans="1:18">
      <c r="A29" s="15" t="s">
        <v>587</v>
      </c>
      <c r="B29" s="17" t="n">
        <v>5385</v>
      </c>
      <c r="C29" s="18">
        <f>(4774.0/B29*100)</f>
        <v/>
      </c>
      <c r="D29" s="19" t="n">
        <v>611</v>
      </c>
      <c r="E29" s="18" t="n">
        <v>61.6138792</v>
      </c>
      <c r="F29" s="20" t="n">
        <v>1.89531141</v>
      </c>
      <c r="G29" s="18" t="n">
        <v>32.08200605</v>
      </c>
      <c r="H29" s="20" t="n">
        <v>1.72741046</v>
      </c>
      <c r="I29" s="18" t="n">
        <v>0</v>
      </c>
      <c r="J29" s="20" t="n">
        <v>0</v>
      </c>
      <c r="K29" s="18" t="n">
        <v>0</v>
      </c>
      <c r="L29" s="20" t="n">
        <v>0</v>
      </c>
      <c r="M29" s="18" t="n">
        <v>0</v>
      </c>
      <c r="N29" s="20" t="n">
        <v>0</v>
      </c>
      <c r="O29" s="18" t="n">
        <v>0</v>
      </c>
      <c r="P29" s="20" t="n">
        <v>0</v>
      </c>
      <c r="Q29" s="18" t="n">
        <v>6.30411475</v>
      </c>
      <c r="R29" s="20" t="n">
        <v>0.80132809</v>
      </c>
    </row>
    <row r="30" spans="1:18">
      <c r="A30" s="15" t="s">
        <v>588</v>
      </c>
      <c r="B30" s="17" t="n">
        <v>4520</v>
      </c>
      <c r="C30" s="18">
        <f>(4046.0/B30*100)</f>
        <v/>
      </c>
      <c r="D30" s="19" t="n">
        <v>474</v>
      </c>
      <c r="E30" s="18" t="n">
        <v>41.30389774</v>
      </c>
      <c r="F30" s="20" t="n">
        <v>2.36370827</v>
      </c>
      <c r="G30" s="18" t="n">
        <v>42.99042714</v>
      </c>
      <c r="H30" s="20" t="n">
        <v>2.59745097</v>
      </c>
      <c r="I30" s="18" t="n">
        <v>0</v>
      </c>
      <c r="J30" s="20" t="n">
        <v>0</v>
      </c>
      <c r="K30" s="18" t="n">
        <v>0.73182881</v>
      </c>
      <c r="L30" s="20" t="n">
        <v>0.40018494</v>
      </c>
      <c r="M30" s="18" t="n">
        <v>0.21866172</v>
      </c>
      <c r="N30" s="20" t="n">
        <v>0.1949119</v>
      </c>
      <c r="O30" s="18" t="n">
        <v>0</v>
      </c>
      <c r="P30" s="20" t="n">
        <v>0</v>
      </c>
      <c r="Q30" s="18" t="n">
        <v>14.75518459</v>
      </c>
      <c r="R30" s="20" t="n">
        <v>1.58853318</v>
      </c>
    </row>
    <row r="31" spans="1:18">
      <c r="A31" s="15" t="s">
        <v>589</v>
      </c>
      <c r="B31" s="17" t="n">
        <v>5456</v>
      </c>
      <c r="C31" s="18">
        <f>(4850.0/B31*100)</f>
        <v/>
      </c>
      <c r="D31" s="19" t="n">
        <v>606</v>
      </c>
      <c r="E31" s="18" t="n">
        <v>56.67541105</v>
      </c>
      <c r="F31" s="20" t="n">
        <v>2.01679366</v>
      </c>
      <c r="G31" s="18" t="n">
        <v>22.75431012</v>
      </c>
      <c r="H31" s="20" t="n">
        <v>1.76617828</v>
      </c>
      <c r="I31" s="18" t="n">
        <v>0</v>
      </c>
      <c r="J31" s="20" t="n">
        <v>0</v>
      </c>
      <c r="K31" s="18" t="n">
        <v>0.96455892</v>
      </c>
      <c r="L31" s="20" t="n">
        <v>0.3885126</v>
      </c>
      <c r="M31" s="18" t="n">
        <v>0</v>
      </c>
      <c r="N31" s="20" t="n">
        <v>0</v>
      </c>
      <c r="O31" s="18" t="n">
        <v>0</v>
      </c>
      <c r="P31" s="20" t="n">
        <v>0</v>
      </c>
      <c r="Q31" s="18" t="n">
        <v>19.60571991</v>
      </c>
      <c r="R31" s="20" t="n">
        <v>1.69469444</v>
      </c>
    </row>
    <row r="32" spans="1:18">
      <c r="A32" s="15" t="s">
        <v>590</v>
      </c>
      <c r="B32" s="17" t="n">
        <v>4478</v>
      </c>
      <c r="C32" s="18">
        <f>(3981.0/B32*100)</f>
        <v/>
      </c>
      <c r="D32" s="19" t="n">
        <v>497</v>
      </c>
      <c r="E32" s="18" t="n">
        <v>43.9252428</v>
      </c>
      <c r="F32" s="20" t="n">
        <v>2.37544541</v>
      </c>
      <c r="G32" s="18" t="n">
        <v>35.38697631</v>
      </c>
      <c r="H32" s="20" t="n">
        <v>2.24367724</v>
      </c>
      <c r="I32" s="18" t="n">
        <v>0</v>
      </c>
      <c r="J32" s="20" t="n">
        <v>0</v>
      </c>
      <c r="K32" s="18" t="n">
        <v>0.40971655</v>
      </c>
      <c r="L32" s="20" t="n">
        <v>0.30390378</v>
      </c>
      <c r="M32" s="18" t="n">
        <v>0.849238</v>
      </c>
      <c r="N32" s="20" t="n">
        <v>0.90049481</v>
      </c>
      <c r="O32" s="18" t="n">
        <v>0</v>
      </c>
      <c r="P32" s="20" t="n">
        <v>0</v>
      </c>
      <c r="Q32" s="18" t="n">
        <v>19.42882634</v>
      </c>
      <c r="R32" s="20" t="n">
        <v>1.83819926</v>
      </c>
    </row>
    <row r="33" spans="1:18">
      <c r="A33" s="15" t="s">
        <v>591</v>
      </c>
      <c r="B33" s="17" t="n">
        <v>7325</v>
      </c>
      <c r="C33" s="18">
        <f>(6551.0/B33*100)</f>
        <v/>
      </c>
      <c r="D33" s="19" t="n">
        <v>774</v>
      </c>
      <c r="E33" s="18" t="n">
        <v>43.6942697</v>
      </c>
      <c r="F33" s="20" t="n">
        <v>2.20372743</v>
      </c>
      <c r="G33" s="18" t="n">
        <v>40.87228772</v>
      </c>
      <c r="H33" s="20" t="n">
        <v>1.61002346</v>
      </c>
      <c r="I33" s="18" t="n">
        <v>0</v>
      </c>
      <c r="J33" s="20" t="n">
        <v>0</v>
      </c>
      <c r="K33" s="18" t="n">
        <v>0.17317087</v>
      </c>
      <c r="L33" s="20" t="n">
        <v>0.17974251</v>
      </c>
      <c r="M33" s="18" t="n">
        <v>0.29186795</v>
      </c>
      <c r="N33" s="20" t="n">
        <v>0.29070129</v>
      </c>
      <c r="O33" s="18" t="n">
        <v>0</v>
      </c>
      <c r="P33" s="20" t="n">
        <v>0</v>
      </c>
      <c r="Q33" s="18" t="n">
        <v>14.96840375</v>
      </c>
      <c r="R33" s="20" t="n">
        <v>1.58289542</v>
      </c>
    </row>
    <row r="34" spans="1:18">
      <c r="A34" s="15" t="s">
        <v>592</v>
      </c>
      <c r="B34" s="17" t="n">
        <v>6350</v>
      </c>
      <c r="C34" s="18">
        <f>(5651.0/B34*100)</f>
        <v/>
      </c>
      <c r="D34" s="19" t="n">
        <v>699</v>
      </c>
      <c r="E34" s="18" t="n">
        <v>45.06934141</v>
      </c>
      <c r="F34" s="20" t="n">
        <v>1.96391722</v>
      </c>
      <c r="G34" s="18" t="n">
        <v>33.97573166</v>
      </c>
      <c r="H34" s="20" t="n">
        <v>1.7027689</v>
      </c>
      <c r="I34" s="18" t="n">
        <v>0</v>
      </c>
      <c r="J34" s="20" t="n">
        <v>0</v>
      </c>
      <c r="K34" s="18" t="n">
        <v>0</v>
      </c>
      <c r="L34" s="20" t="n">
        <v>0</v>
      </c>
      <c r="M34" s="18" t="n">
        <v>0</v>
      </c>
      <c r="N34" s="20" t="n">
        <v>0</v>
      </c>
      <c r="O34" s="18" t="n">
        <v>0</v>
      </c>
      <c r="P34" s="20" t="n">
        <v>0</v>
      </c>
      <c r="Q34" s="18" t="n">
        <v>20.95492693</v>
      </c>
      <c r="R34" s="20" t="n">
        <v>1.37516054</v>
      </c>
    </row>
    <row r="35" spans="1:18">
      <c r="A35" s="15" t="s">
        <v>593</v>
      </c>
      <c r="B35" s="17" t="n">
        <v>6406</v>
      </c>
      <c r="C35" s="18">
        <f>(5703.0/B35*100)</f>
        <v/>
      </c>
      <c r="D35" s="19" t="n">
        <v>703</v>
      </c>
      <c r="E35" s="18" t="n">
        <v>45.57423711</v>
      </c>
      <c r="F35" s="20" t="n">
        <v>2.51893422</v>
      </c>
      <c r="G35" s="18" t="n">
        <v>34.39781844</v>
      </c>
      <c r="H35" s="20" t="n">
        <v>2.17544615</v>
      </c>
      <c r="I35" s="18" t="n">
        <v>0</v>
      </c>
      <c r="J35" s="20" t="n">
        <v>0</v>
      </c>
      <c r="K35" s="18" t="n">
        <v>0.143422</v>
      </c>
      <c r="L35" s="20" t="n">
        <v>0.10014243</v>
      </c>
      <c r="M35" s="18" t="n">
        <v>0.24482393</v>
      </c>
      <c r="N35" s="20" t="n">
        <v>0.24383394</v>
      </c>
      <c r="O35" s="18" t="n">
        <v>0</v>
      </c>
      <c r="P35" s="20" t="n">
        <v>0</v>
      </c>
      <c r="Q35" s="18" t="n">
        <v>19.63969851</v>
      </c>
      <c r="R35" s="20" t="n">
        <v>1.82181301</v>
      </c>
    </row>
    <row r="36" spans="1:18">
      <c r="A36" s="15" t="s">
        <v>594</v>
      </c>
      <c r="B36" s="17" t="n">
        <v>6736</v>
      </c>
      <c r="C36" s="18">
        <f>(6036.0/B36*100)</f>
        <v/>
      </c>
      <c r="D36" s="19" t="n">
        <v>700</v>
      </c>
      <c r="E36" s="18" t="n">
        <v>44.21987199</v>
      </c>
      <c r="F36" s="20" t="n">
        <v>1.85385026</v>
      </c>
      <c r="G36" s="18" t="n">
        <v>42.72827879</v>
      </c>
      <c r="H36" s="20" t="n">
        <v>1.77399475</v>
      </c>
      <c r="I36" s="18" t="n">
        <v>0</v>
      </c>
      <c r="J36" s="20" t="n">
        <v>0</v>
      </c>
      <c r="K36" s="18" t="n">
        <v>0.08213875</v>
      </c>
      <c r="L36" s="20" t="n">
        <v>0.07505531999999999</v>
      </c>
      <c r="M36" s="18" t="n">
        <v>0</v>
      </c>
      <c r="N36" s="20" t="n">
        <v>0</v>
      </c>
      <c r="O36" s="18" t="n">
        <v>0</v>
      </c>
      <c r="P36" s="20" t="n">
        <v>0</v>
      </c>
      <c r="Q36" s="18" t="n">
        <v>12.96971047</v>
      </c>
      <c r="R36" s="20" t="n">
        <v>1.16347143</v>
      </c>
    </row>
    <row r="37" spans="1:18">
      <c r="A37" s="15" t="s">
        <v>595</v>
      </c>
      <c r="B37" s="17" t="n">
        <v>5458</v>
      </c>
      <c r="C37" s="18">
        <f>(4880.0/B37*100)</f>
        <v/>
      </c>
      <c r="D37" s="19" t="n">
        <v>578</v>
      </c>
      <c r="E37" s="18" t="n">
        <v>47.75041914</v>
      </c>
      <c r="F37" s="20" t="n">
        <v>2.17019817</v>
      </c>
      <c r="G37" s="18" t="n">
        <v>33.6186207</v>
      </c>
      <c r="H37" s="20" t="n">
        <v>2.04971532</v>
      </c>
      <c r="I37" s="18" t="n">
        <v>0</v>
      </c>
      <c r="J37" s="20" t="n">
        <v>0</v>
      </c>
      <c r="K37" s="18" t="n">
        <v>1.90910438</v>
      </c>
      <c r="L37" s="20" t="n">
        <v>0.5848894</v>
      </c>
      <c r="M37" s="18" t="n">
        <v>0</v>
      </c>
      <c r="N37" s="20" t="n">
        <v>0</v>
      </c>
      <c r="O37" s="18" t="n">
        <v>0</v>
      </c>
      <c r="P37" s="20" t="n">
        <v>0</v>
      </c>
      <c r="Q37" s="18" t="n">
        <v>16.72185578</v>
      </c>
      <c r="R37" s="20" t="n">
        <v>1.55835207</v>
      </c>
    </row>
    <row r="38" spans="1:18">
      <c r="A38" s="15" t="s">
        <v>596</v>
      </c>
      <c r="B38" s="17" t="n">
        <v>5860</v>
      </c>
      <c r="C38" s="18">
        <f>(5228.0/B38*100)</f>
        <v/>
      </c>
      <c r="D38" s="19" t="n">
        <v>632</v>
      </c>
      <c r="E38" s="18" t="n">
        <v>41.50577046</v>
      </c>
      <c r="F38" s="20" t="n">
        <v>1.96224275</v>
      </c>
      <c r="G38" s="18" t="n">
        <v>39.78459952</v>
      </c>
      <c r="H38" s="20" t="n">
        <v>2.08149735</v>
      </c>
      <c r="I38" s="18" t="n">
        <v>0</v>
      </c>
      <c r="J38" s="20" t="n">
        <v>0</v>
      </c>
      <c r="K38" s="18" t="n">
        <v>0.30944967</v>
      </c>
      <c r="L38" s="20" t="n">
        <v>0.21724268</v>
      </c>
      <c r="M38" s="18" t="n">
        <v>3.95724201</v>
      </c>
      <c r="N38" s="20" t="n">
        <v>0.9923888</v>
      </c>
      <c r="O38" s="18" t="n">
        <v>0</v>
      </c>
      <c r="P38" s="20" t="n">
        <v>0</v>
      </c>
      <c r="Q38" s="18" t="n">
        <v>14.44293833</v>
      </c>
      <c r="R38" s="20" t="n">
        <v>1.42524923</v>
      </c>
    </row>
    <row r="39" spans="1:18">
      <c r="A39" s="15" t="s">
        <v>597</v>
      </c>
      <c r="B39" s="17" t="n">
        <v>5895</v>
      </c>
      <c r="C39" s="18">
        <f>(5224.0/B39*100)</f>
        <v/>
      </c>
      <c r="D39" s="19" t="n">
        <v>671</v>
      </c>
      <c r="E39" s="18" t="n">
        <v>62.19570609</v>
      </c>
      <c r="F39" s="20" t="n">
        <v>2.15873426</v>
      </c>
      <c r="G39" s="18" t="n">
        <v>23.51283261</v>
      </c>
      <c r="H39" s="20" t="n">
        <v>1.8859278</v>
      </c>
      <c r="I39" s="18" t="n">
        <v>0</v>
      </c>
      <c r="J39" s="20" t="n">
        <v>0</v>
      </c>
      <c r="K39" s="18" t="n">
        <v>0.66201236</v>
      </c>
      <c r="L39" s="20" t="n">
        <v>0.31388543</v>
      </c>
      <c r="M39" s="18" t="n">
        <v>0</v>
      </c>
      <c r="N39" s="20" t="n">
        <v>0</v>
      </c>
      <c r="O39" s="18" t="n">
        <v>0</v>
      </c>
      <c r="P39" s="20" t="n">
        <v>0</v>
      </c>
      <c r="Q39" s="18" t="n">
        <v>13.62944894</v>
      </c>
      <c r="R39" s="20" t="n">
        <v>1.56035441</v>
      </c>
    </row>
    <row r="40" spans="1:18">
      <c r="A40" s="15" t="s">
        <v>598</v>
      </c>
      <c r="B40" s="17" t="n">
        <v>14157</v>
      </c>
      <c r="C40" s="18">
        <f>(12624.0/B40*100)</f>
        <v/>
      </c>
      <c r="D40" s="19" t="n">
        <v>1533</v>
      </c>
      <c r="E40" s="18" t="n">
        <v>46.36960572</v>
      </c>
      <c r="F40" s="20" t="n">
        <v>2.01464194</v>
      </c>
      <c r="G40" s="18" t="n">
        <v>40.71391488</v>
      </c>
      <c r="H40" s="20" t="n">
        <v>2.15299329</v>
      </c>
      <c r="I40" s="18" t="n">
        <v>0</v>
      </c>
      <c r="J40" s="20" t="n">
        <v>0</v>
      </c>
      <c r="K40" s="18" t="n">
        <v>0.41092796</v>
      </c>
      <c r="L40" s="20" t="n">
        <v>0.23192284</v>
      </c>
      <c r="M40" s="18" t="n">
        <v>0</v>
      </c>
      <c r="N40" s="20" t="n">
        <v>0</v>
      </c>
      <c r="O40" s="18" t="n">
        <v>0</v>
      </c>
      <c r="P40" s="20" t="n">
        <v>0</v>
      </c>
      <c r="Q40" s="18" t="n">
        <v>12.50555144</v>
      </c>
      <c r="R40" s="20" t="n">
        <v>1.12516578</v>
      </c>
    </row>
    <row r="41" spans="1:18">
      <c r="A41" s="15" t="s">
        <v>599</v>
      </c>
      <c r="B41" s="17" t="n">
        <v>5712</v>
      </c>
      <c r="C41" s="18">
        <f>(5099.0/B41*100)</f>
        <v/>
      </c>
      <c r="D41" s="19" t="n">
        <v>613</v>
      </c>
      <c r="E41" s="18" t="n">
        <v>62.0741053</v>
      </c>
      <c r="F41" s="20" t="n">
        <v>1.83139732</v>
      </c>
      <c r="G41" s="18" t="n">
        <v>33.35833157</v>
      </c>
      <c r="H41" s="20" t="n">
        <v>1.88924316</v>
      </c>
      <c r="I41" s="18" t="n">
        <v>0</v>
      </c>
      <c r="J41" s="20" t="n">
        <v>0</v>
      </c>
      <c r="K41" s="18" t="n">
        <v>0.40542174</v>
      </c>
      <c r="L41" s="20" t="n">
        <v>0.28236505</v>
      </c>
      <c r="M41" s="18" t="n">
        <v>0</v>
      </c>
      <c r="N41" s="20" t="n">
        <v>0</v>
      </c>
      <c r="O41" s="18" t="n">
        <v>0</v>
      </c>
      <c r="P41" s="20" t="n">
        <v>0</v>
      </c>
      <c r="Q41" s="18" t="n">
        <v>4.1621414</v>
      </c>
      <c r="R41" s="20" t="n">
        <v>0.82723262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(20941.0/B46*100)</f>
        <v/>
      </c>
      <c r="D46" s="19" t="n">
        <v>2200</v>
      </c>
      <c r="E46" s="18" t="n">
        <v>62.7133594</v>
      </c>
      <c r="F46" s="20" t="n">
        <v>1.5132458</v>
      </c>
      <c r="G46" s="18" t="n">
        <v>15.8842004</v>
      </c>
      <c r="H46" s="20" t="n">
        <v>1.12854008</v>
      </c>
      <c r="I46" s="18" t="n">
        <v>0</v>
      </c>
      <c r="J46" s="20" t="n">
        <v>0</v>
      </c>
      <c r="K46" s="18" t="n">
        <v>1.09348013</v>
      </c>
      <c r="L46" s="20" t="n">
        <v>0.36968669</v>
      </c>
      <c r="M46" s="18" t="n">
        <v>0.13932845</v>
      </c>
      <c r="N46" s="20" t="n">
        <v>0.08213958</v>
      </c>
      <c r="O46" s="18" t="n">
        <v>0</v>
      </c>
      <c r="P46" s="20" t="n">
        <v>0</v>
      </c>
      <c r="Q46" s="18" t="n">
        <v>20.16963162</v>
      </c>
      <c r="R46" s="20" t="n">
        <v>1.33660629</v>
      </c>
    </row>
    <row r="47" spans="1:18">
      <c r="A47" s="15" t="s">
        <v>606</v>
      </c>
      <c r="B47" s="17" t="n">
        <v>5928</v>
      </c>
      <c r="C47" s="18">
        <f>(5292.0/B47*100)</f>
        <v/>
      </c>
      <c r="D47" s="19" t="n">
        <v>636</v>
      </c>
      <c r="E47" s="18" t="n">
        <v>38.06196395</v>
      </c>
      <c r="F47" s="20" t="n">
        <v>2.16791004</v>
      </c>
      <c r="G47" s="18" t="n">
        <v>31.73682915</v>
      </c>
      <c r="H47" s="20" t="n">
        <v>2.32003829</v>
      </c>
      <c r="I47" s="18" t="n">
        <v>0</v>
      </c>
      <c r="J47" s="20" t="n">
        <v>0</v>
      </c>
      <c r="K47" s="18" t="n">
        <v>0.7276958100000001</v>
      </c>
      <c r="L47" s="20" t="n">
        <v>0.33518124</v>
      </c>
      <c r="M47" s="18" t="n">
        <v>0</v>
      </c>
      <c r="N47" s="20" t="n">
        <v>0</v>
      </c>
      <c r="O47" s="18" t="n">
        <v>0</v>
      </c>
      <c r="P47" s="20" t="n">
        <v>0</v>
      </c>
      <c r="Q47" s="18" t="n">
        <v>29.47351108</v>
      </c>
      <c r="R47" s="20" t="n">
        <v>2.14563259</v>
      </c>
    </row>
    <row r="48" spans="1:18">
      <c r="A48" s="15" t="s">
        <v>607</v>
      </c>
      <c r="B48" s="17" t="n">
        <v>9841</v>
      </c>
      <c r="C48" s="18">
        <f>(8731.0/B48*100)</f>
        <v/>
      </c>
      <c r="D48" s="19" t="n">
        <v>1110</v>
      </c>
      <c r="E48" s="18" t="n">
        <v>45.12157009</v>
      </c>
      <c r="F48" s="20" t="n">
        <v>2.39403504</v>
      </c>
      <c r="G48" s="18" t="n">
        <v>45.33679999</v>
      </c>
      <c r="H48" s="20" t="n">
        <v>2.62109538</v>
      </c>
      <c r="I48" s="18" t="n">
        <v>0</v>
      </c>
      <c r="J48" s="20" t="n">
        <v>0</v>
      </c>
      <c r="K48" s="18" t="n">
        <v>1.0865592</v>
      </c>
      <c r="L48" s="20" t="n">
        <v>0.47591887</v>
      </c>
      <c r="M48" s="18" t="n">
        <v>0</v>
      </c>
      <c r="N48" s="20" t="n">
        <v>0</v>
      </c>
      <c r="O48" s="18" t="n">
        <v>0</v>
      </c>
      <c r="P48" s="20" t="n">
        <v>0</v>
      </c>
      <c r="Q48" s="18" t="n">
        <v>8.455070729999999</v>
      </c>
      <c r="R48" s="20" t="n">
        <v>1.33206784</v>
      </c>
    </row>
    <row r="49" spans="1:18">
      <c r="A49" s="15" t="s">
        <v>608</v>
      </c>
      <c r="B49" s="17" t="n">
        <v>11795</v>
      </c>
      <c r="C49" s="18">
        <f>(10492.0/B49*100)</f>
        <v/>
      </c>
      <c r="D49" s="19" t="n">
        <v>1303</v>
      </c>
      <c r="E49" s="18" t="n">
        <v>61.14434847</v>
      </c>
      <c r="F49" s="20" t="n">
        <v>1.95845363</v>
      </c>
      <c r="G49" s="18" t="n">
        <v>28.45604913</v>
      </c>
      <c r="H49" s="20" t="n">
        <v>1.77912614</v>
      </c>
      <c r="I49" s="18" t="n">
        <v>0</v>
      </c>
      <c r="J49" s="20" t="n">
        <v>0</v>
      </c>
      <c r="K49" s="18" t="n">
        <v>2.20540415</v>
      </c>
      <c r="L49" s="20" t="n">
        <v>0.57663056</v>
      </c>
      <c r="M49" s="18" t="n">
        <v>0.2880012</v>
      </c>
      <c r="N49" s="20" t="n">
        <v>0.1649259</v>
      </c>
      <c r="O49" s="18" t="n">
        <v>0</v>
      </c>
      <c r="P49" s="20" t="n">
        <v>0</v>
      </c>
      <c r="Q49" s="18" t="n">
        <v>7.90619705</v>
      </c>
      <c r="R49" s="20" t="n">
        <v>1.08046931</v>
      </c>
    </row>
    <row r="50" spans="1:18">
      <c r="A50" s="15" t="s">
        <v>609</v>
      </c>
      <c r="B50" s="17" t="n">
        <v>6866</v>
      </c>
      <c r="C50" s="18">
        <f>(6192.0/B50*100)</f>
        <v/>
      </c>
      <c r="D50" s="19" t="n">
        <v>674</v>
      </c>
      <c r="E50" s="18" t="n">
        <v>80.34565698</v>
      </c>
      <c r="F50" s="20" t="n">
        <v>1.64529913</v>
      </c>
      <c r="G50" s="18" t="n">
        <v>9.82504314</v>
      </c>
      <c r="H50" s="20" t="n">
        <v>1.30383277</v>
      </c>
      <c r="I50" s="18" t="n">
        <v>0</v>
      </c>
      <c r="J50" s="20" t="n">
        <v>0</v>
      </c>
      <c r="K50" s="18" t="n">
        <v>0.88951515</v>
      </c>
      <c r="L50" s="20" t="n">
        <v>0.39136862</v>
      </c>
      <c r="M50" s="18" t="n">
        <v>0</v>
      </c>
      <c r="N50" s="20" t="n">
        <v>0</v>
      </c>
      <c r="O50" s="18" t="n">
        <v>0</v>
      </c>
      <c r="P50" s="20" t="n">
        <v>0</v>
      </c>
      <c r="Q50" s="18" t="n">
        <v>8.93978473</v>
      </c>
      <c r="R50" s="20" t="n">
        <v>1.10090303</v>
      </c>
    </row>
    <row r="51" spans="1:18">
      <c r="A51" s="15" t="s">
        <v>610</v>
      </c>
      <c r="B51" s="17" t="n">
        <v>5809</v>
      </c>
      <c r="C51" s="18">
        <f>(5117.0/B51*100)</f>
        <v/>
      </c>
      <c r="D51" s="19" t="n">
        <v>692</v>
      </c>
      <c r="E51" s="18" t="n">
        <v>45.40319242</v>
      </c>
      <c r="F51" s="20" t="n">
        <v>1.99178757</v>
      </c>
      <c r="G51" s="18" t="n">
        <v>30.8180521</v>
      </c>
      <c r="H51" s="20" t="n">
        <v>1.96287783</v>
      </c>
      <c r="I51" s="18" t="n">
        <v>0</v>
      </c>
      <c r="J51" s="20" t="n">
        <v>0</v>
      </c>
      <c r="K51" s="18" t="n">
        <v>0.38639835</v>
      </c>
      <c r="L51" s="20" t="n">
        <v>0.22593551</v>
      </c>
      <c r="M51" s="18" t="n">
        <v>0</v>
      </c>
      <c r="N51" s="20" t="n">
        <v>0</v>
      </c>
      <c r="O51" s="18" t="n">
        <v>0</v>
      </c>
      <c r="P51" s="20" t="n">
        <v>0</v>
      </c>
      <c r="Q51" s="18" t="n">
        <v>23.39235714</v>
      </c>
      <c r="R51" s="20" t="n">
        <v>2.01510424</v>
      </c>
    </row>
    <row r="52" spans="1:18">
      <c r="A52" s="15" t="s">
        <v>611</v>
      </c>
      <c r="B52" s="17" t="n">
        <v>5571</v>
      </c>
      <c r="C52" s="18">
        <f>(4980.0/B52*100)</f>
        <v/>
      </c>
      <c r="D52" s="19" t="n">
        <v>591</v>
      </c>
      <c r="E52" s="18" t="n">
        <v>51.83913862</v>
      </c>
      <c r="F52" s="20" t="n">
        <v>2.17977876</v>
      </c>
      <c r="G52" s="18" t="n">
        <v>23.07276239</v>
      </c>
      <c r="H52" s="20" t="n">
        <v>1.75260551</v>
      </c>
      <c r="I52" s="18" t="n">
        <v>0</v>
      </c>
      <c r="J52" s="20" t="n">
        <v>0</v>
      </c>
      <c r="K52" s="18" t="n">
        <v>0.68677873</v>
      </c>
      <c r="L52" s="20" t="n">
        <v>0.31991198</v>
      </c>
      <c r="M52" s="18" t="n">
        <v>0.22053336</v>
      </c>
      <c r="N52" s="20" t="n">
        <v>0.22036427</v>
      </c>
      <c r="O52" s="18" t="n">
        <v>0</v>
      </c>
      <c r="P52" s="20" t="n">
        <v>0</v>
      </c>
      <c r="Q52" s="18" t="n">
        <v>24.1807869</v>
      </c>
      <c r="R52" s="20" t="n">
        <v>1.6489945</v>
      </c>
    </row>
    <row r="53" spans="1:18">
      <c r="A53" s="15" t="s">
        <v>612</v>
      </c>
      <c r="B53" s="17" t="n">
        <v>4740</v>
      </c>
      <c r="C53" s="18">
        <f>(4228.0/B53*100)</f>
        <v/>
      </c>
      <c r="D53" s="19" t="n">
        <v>512</v>
      </c>
      <c r="E53" s="18" t="n">
        <v>55.55783162</v>
      </c>
      <c r="F53" s="20" t="n">
        <v>2.35521032</v>
      </c>
      <c r="G53" s="18" t="n">
        <v>8.916390829999999</v>
      </c>
      <c r="H53" s="20" t="n">
        <v>1.44562893</v>
      </c>
      <c r="I53" s="18" t="n">
        <v>0</v>
      </c>
      <c r="J53" s="20" t="n">
        <v>0</v>
      </c>
      <c r="K53" s="18" t="n">
        <v>12.4266573</v>
      </c>
      <c r="L53" s="20" t="n">
        <v>1.66578212</v>
      </c>
      <c r="M53" s="18" t="n">
        <v>0.78875005</v>
      </c>
      <c r="N53" s="20" t="n">
        <v>0.60037714</v>
      </c>
      <c r="O53" s="18" t="n">
        <v>0</v>
      </c>
      <c r="P53" s="20" t="n">
        <v>0</v>
      </c>
      <c r="Q53" s="18" t="n">
        <v>22.3103702</v>
      </c>
      <c r="R53" s="20" t="n">
        <v>1.92795993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(4735.0/B55*100)</f>
        <v/>
      </c>
      <c r="D55" s="19" t="n">
        <v>624</v>
      </c>
      <c r="E55" s="18" t="n">
        <v>44.48950874</v>
      </c>
      <c r="F55" s="20" t="n">
        <v>1.86597966</v>
      </c>
      <c r="G55" s="18" t="n">
        <v>47.94537628</v>
      </c>
      <c r="H55" s="20" t="n">
        <v>2.03206426</v>
      </c>
      <c r="I55" s="18" t="n">
        <v>0</v>
      </c>
      <c r="J55" s="20" t="n">
        <v>0</v>
      </c>
      <c r="K55" s="18" t="n">
        <v>0.30674847</v>
      </c>
      <c r="L55" s="20" t="n">
        <v>0.22054144</v>
      </c>
      <c r="M55" s="18" t="n">
        <v>0.11104706</v>
      </c>
      <c r="N55" s="20" t="n">
        <v>0.1109588</v>
      </c>
      <c r="O55" s="18" t="n">
        <v>0</v>
      </c>
      <c r="P55" s="20" t="n">
        <v>0</v>
      </c>
      <c r="Q55" s="18" t="n">
        <v>7.14731946</v>
      </c>
      <c r="R55" s="20" t="n">
        <v>1.08765076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(5760.0/B61*100)</f>
        <v/>
      </c>
      <c r="D61" s="19" t="n">
        <v>765</v>
      </c>
      <c r="E61" s="18" t="n">
        <v>42.94336205</v>
      </c>
      <c r="F61" s="20" t="n">
        <v>2.20578968</v>
      </c>
      <c r="G61" s="18" t="n">
        <v>35.93855921</v>
      </c>
      <c r="H61" s="20" t="n">
        <v>2.1276249</v>
      </c>
      <c r="I61" s="18" t="n">
        <v>0</v>
      </c>
      <c r="J61" s="20" t="n">
        <v>0</v>
      </c>
      <c r="K61" s="18" t="n">
        <v>0.03121057</v>
      </c>
      <c r="L61" s="20" t="n">
        <v>0.03128487</v>
      </c>
      <c r="M61" s="18" t="n">
        <v>0</v>
      </c>
      <c r="N61" s="20" t="n">
        <v>0</v>
      </c>
      <c r="O61" s="18" t="n">
        <v>0</v>
      </c>
      <c r="P61" s="20" t="n">
        <v>0</v>
      </c>
      <c r="Q61" s="18" t="n">
        <v>21.08686816</v>
      </c>
      <c r="R61" s="20" t="n">
        <v>1.70996515</v>
      </c>
    </row>
    <row r="62" spans="1:18">
      <c r="A62" s="15" t="s">
        <v>622</v>
      </c>
      <c r="B62" s="17" t="n">
        <v>4476</v>
      </c>
      <c r="C62" s="18">
        <f>(4007.0/B62*100)</f>
        <v/>
      </c>
      <c r="D62" s="19" t="n">
        <v>469</v>
      </c>
      <c r="E62" s="18" t="n">
        <v>46.72144932</v>
      </c>
      <c r="F62" s="20" t="n">
        <v>2.11550157</v>
      </c>
      <c r="G62" s="18" t="n">
        <v>49.6440325</v>
      </c>
      <c r="H62" s="20" t="n">
        <v>2.24537641</v>
      </c>
      <c r="I62" s="18" t="n">
        <v>0</v>
      </c>
      <c r="J62" s="20" t="n">
        <v>0</v>
      </c>
      <c r="K62" s="18" t="n">
        <v>0</v>
      </c>
      <c r="L62" s="20" t="n">
        <v>0</v>
      </c>
      <c r="M62" s="18" t="n">
        <v>0</v>
      </c>
      <c r="N62" s="20" t="n">
        <v>0</v>
      </c>
      <c r="O62" s="18" t="n">
        <v>0</v>
      </c>
      <c r="P62" s="20" t="n">
        <v>0</v>
      </c>
      <c r="Q62" s="18" t="n">
        <v>3.63451818</v>
      </c>
      <c r="R62" s="20" t="n">
        <v>0.87813328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(5025.0/B67*100)</f>
        <v/>
      </c>
      <c r="D67" s="19" t="n">
        <v>640</v>
      </c>
      <c r="E67" s="18" t="n">
        <v>34.09062404</v>
      </c>
      <c r="F67" s="20" t="n">
        <v>1.69424685</v>
      </c>
      <c r="G67" s="18" t="n">
        <v>18.72676897</v>
      </c>
      <c r="H67" s="20" t="n">
        <v>1.6341724</v>
      </c>
      <c r="I67" s="18" t="n">
        <v>0</v>
      </c>
      <c r="J67" s="20" t="n">
        <v>0</v>
      </c>
      <c r="K67" s="18" t="n">
        <v>2.22016873</v>
      </c>
      <c r="L67" s="20" t="n">
        <v>0.54314088</v>
      </c>
      <c r="M67" s="18" t="n">
        <v>0.58786322</v>
      </c>
      <c r="N67" s="20" t="n">
        <v>0.29200029</v>
      </c>
      <c r="O67" s="18" t="n">
        <v>0</v>
      </c>
      <c r="P67" s="20" t="n">
        <v>0</v>
      </c>
      <c r="Q67" s="18" t="n">
        <v>44.37457503</v>
      </c>
      <c r="R67" s="20" t="n">
        <v>1.86951001</v>
      </c>
    </row>
    <row r="68" spans="1:18">
      <c r="A68" s="15" t="s">
        <v>628</v>
      </c>
      <c r="B68" s="17" t="n">
        <v>6971</v>
      </c>
      <c r="C68" s="18">
        <f>(6257.0/B68*100)</f>
        <v/>
      </c>
      <c r="D68" s="19" t="n">
        <v>714</v>
      </c>
      <c r="E68" s="18" t="n">
        <v>66.41988678</v>
      </c>
      <c r="F68" s="20" t="n">
        <v>2.01325103</v>
      </c>
      <c r="G68" s="18" t="n">
        <v>21.38277474</v>
      </c>
      <c r="H68" s="20" t="n">
        <v>1.78093477</v>
      </c>
      <c r="I68" s="18" t="n">
        <v>0</v>
      </c>
      <c r="J68" s="20" t="n">
        <v>0</v>
      </c>
      <c r="K68" s="18" t="n">
        <v>0</v>
      </c>
      <c r="L68" s="20" t="n">
        <v>0</v>
      </c>
      <c r="M68" s="18" t="n">
        <v>0</v>
      </c>
      <c r="N68" s="20" t="n">
        <v>0</v>
      </c>
      <c r="O68" s="18" t="n">
        <v>0</v>
      </c>
      <c r="P68" s="20" t="n">
        <v>0</v>
      </c>
      <c r="Q68" s="18" t="n">
        <v>12.19733848</v>
      </c>
      <c r="R68" s="20" t="n">
        <v>1.44718349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(10769.0/B70*100)</f>
        <v/>
      </c>
      <c r="D70" s="19" t="n">
        <v>1314</v>
      </c>
      <c r="E70" s="18" t="n">
        <v>53.78157315</v>
      </c>
      <c r="F70" s="20" t="n">
        <v>1.40073053</v>
      </c>
      <c r="G70" s="18" t="n">
        <v>28.54811019</v>
      </c>
      <c r="H70" s="20" t="n">
        <v>1.21228244</v>
      </c>
      <c r="I70" s="18" t="n">
        <v>0</v>
      </c>
      <c r="J70" s="20" t="n">
        <v>0</v>
      </c>
      <c r="K70" s="18" t="n">
        <v>1.82509575</v>
      </c>
      <c r="L70" s="20" t="n">
        <v>0.38366782</v>
      </c>
      <c r="M70" s="18" t="n">
        <v>0</v>
      </c>
      <c r="N70" s="20" t="n">
        <v>0</v>
      </c>
      <c r="O70" s="18" t="n">
        <v>0</v>
      </c>
      <c r="P70" s="20" t="n">
        <v>0</v>
      </c>
      <c r="Q70" s="18" t="n">
        <v>15.84522092</v>
      </c>
      <c r="R70" s="20" t="n">
        <v>0.97621463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(5375.0/B72*100)</f>
        <v/>
      </c>
      <c r="D72" s="19" t="n">
        <v>661</v>
      </c>
      <c r="E72" s="18" t="n">
        <v>41.44994304</v>
      </c>
      <c r="F72" s="20" t="n">
        <v>1.67461597</v>
      </c>
      <c r="G72" s="18" t="n">
        <v>38.06745267</v>
      </c>
      <c r="H72" s="20" t="n">
        <v>2.17353714</v>
      </c>
      <c r="I72" s="18" t="n">
        <v>0</v>
      </c>
      <c r="J72" s="20" t="n">
        <v>0</v>
      </c>
      <c r="K72" s="18" t="n">
        <v>0.24923229</v>
      </c>
      <c r="L72" s="20" t="n">
        <v>0.14520552</v>
      </c>
      <c r="M72" s="18" t="n">
        <v>0.17104199</v>
      </c>
      <c r="N72" s="20" t="n">
        <v>0.2432895</v>
      </c>
      <c r="O72" s="18" t="n">
        <v>0</v>
      </c>
      <c r="P72" s="20" t="n">
        <v>0</v>
      </c>
      <c r="Q72" s="18" t="n">
        <v>20.06233001</v>
      </c>
      <c r="R72" s="20" t="n">
        <v>2.23630793</v>
      </c>
    </row>
    <row r="73" spans="1:18">
      <c r="A73" s="15" t="s">
        <v>633</v>
      </c>
      <c r="B73" s="17" t="n">
        <v>6115</v>
      </c>
      <c r="C73" s="18">
        <f>(5462.0/B73*100)</f>
        <v/>
      </c>
      <c r="D73" s="19" t="n">
        <v>653</v>
      </c>
      <c r="E73" s="18" t="n">
        <v>39.12195506</v>
      </c>
      <c r="F73" s="20" t="n">
        <v>1.85728951</v>
      </c>
      <c r="G73" s="18" t="n">
        <v>55.61168744</v>
      </c>
      <c r="H73" s="20" t="n">
        <v>1.95217401</v>
      </c>
      <c r="I73" s="18" t="n">
        <v>0</v>
      </c>
      <c r="J73" s="20" t="n">
        <v>0</v>
      </c>
      <c r="K73" s="18" t="n">
        <v>0.16441994</v>
      </c>
      <c r="L73" s="20" t="n">
        <v>0.16313773</v>
      </c>
      <c r="M73" s="18" t="n">
        <v>0</v>
      </c>
      <c r="N73" s="20" t="n">
        <v>0</v>
      </c>
      <c r="O73" s="18" t="n">
        <v>0</v>
      </c>
      <c r="P73" s="20" t="n">
        <v>0</v>
      </c>
      <c r="Q73" s="18" t="n">
        <v>5.10193755</v>
      </c>
      <c r="R73" s="20" t="n">
        <v>0.81272931</v>
      </c>
    </row>
    <row r="74" spans="1:18">
      <c r="A74" s="15" t="s">
        <v>634</v>
      </c>
      <c r="B74" s="17" t="n">
        <v>7708</v>
      </c>
      <c r="C74" s="18">
        <f>(6844.0/B74*100)</f>
        <v/>
      </c>
      <c r="D74" s="19" t="n">
        <v>864</v>
      </c>
      <c r="E74" s="18" t="n">
        <v>37.73801925</v>
      </c>
      <c r="F74" s="20" t="n">
        <v>1.87299503</v>
      </c>
      <c r="G74" s="18" t="n">
        <v>53.22698515</v>
      </c>
      <c r="H74" s="20" t="n">
        <v>1.72496185</v>
      </c>
      <c r="I74" s="18" t="n">
        <v>0</v>
      </c>
      <c r="J74" s="20" t="n">
        <v>0</v>
      </c>
      <c r="K74" s="18" t="n">
        <v>0.24442352</v>
      </c>
      <c r="L74" s="20" t="n">
        <v>0.18399791</v>
      </c>
      <c r="M74" s="18" t="n">
        <v>0</v>
      </c>
      <c r="N74" s="20" t="n">
        <v>0</v>
      </c>
      <c r="O74" s="18" t="n">
        <v>0</v>
      </c>
      <c r="P74" s="20" t="n">
        <v>0</v>
      </c>
      <c r="Q74" s="18" t="n">
        <v>8.79057208</v>
      </c>
      <c r="R74" s="20" t="n">
        <v>1.10665331</v>
      </c>
    </row>
    <row r="75" spans="1:18">
      <c r="A75" s="15" t="s">
        <v>635</v>
      </c>
      <c r="B75" s="17" t="n">
        <v>8249</v>
      </c>
      <c r="C75" s="18">
        <f>(7356.0/B75*100)</f>
        <v/>
      </c>
      <c r="D75" s="19" t="n">
        <v>893</v>
      </c>
      <c r="E75" s="18" t="n">
        <v>73.53497772</v>
      </c>
      <c r="F75" s="20" t="n">
        <v>1.82657762</v>
      </c>
      <c r="G75" s="18" t="n">
        <v>22.45748994</v>
      </c>
      <c r="H75" s="20" t="n">
        <v>1.73906935</v>
      </c>
      <c r="I75" s="18" t="n">
        <v>0</v>
      </c>
      <c r="J75" s="20" t="n">
        <v>0</v>
      </c>
      <c r="K75" s="18" t="n">
        <v>0.19389003</v>
      </c>
      <c r="L75" s="20" t="n">
        <v>0.16017089</v>
      </c>
      <c r="M75" s="18" t="n">
        <v>0.1632293</v>
      </c>
      <c r="N75" s="20" t="n">
        <v>0.16374967</v>
      </c>
      <c r="O75" s="18" t="n">
        <v>0</v>
      </c>
      <c r="P75" s="20" t="n">
        <v>0</v>
      </c>
      <c r="Q75" s="18" t="n">
        <v>3.65041302</v>
      </c>
      <c r="R75" s="20" t="n">
        <v>0.81368064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(4824.0/B77*100)</f>
        <v/>
      </c>
      <c r="D77" s="19" t="n">
        <v>551</v>
      </c>
      <c r="E77" s="18" t="n">
        <v>50.15529195</v>
      </c>
      <c r="F77" s="20" t="n">
        <v>2.1452875</v>
      </c>
      <c r="G77" s="18" t="n">
        <v>15.53509546</v>
      </c>
      <c r="H77" s="20" t="n">
        <v>1.83957373</v>
      </c>
      <c r="I77" s="18" t="n">
        <v>0</v>
      </c>
      <c r="J77" s="20" t="n">
        <v>0</v>
      </c>
      <c r="K77" s="18" t="n">
        <v>4.17117012</v>
      </c>
      <c r="L77" s="20" t="n">
        <v>0.9339421</v>
      </c>
      <c r="M77" s="18" t="n">
        <v>0.81387548</v>
      </c>
      <c r="N77" s="20" t="n">
        <v>0.40561013</v>
      </c>
      <c r="O77" s="18" t="n">
        <v>0</v>
      </c>
      <c r="P77" s="20" t="n">
        <v>0</v>
      </c>
      <c r="Q77" s="18" t="n">
        <v>29.32456699</v>
      </c>
      <c r="R77" s="20" t="n">
        <v>2.20889538</v>
      </c>
    </row>
    <row r="78" spans="1:18">
      <c r="A78" s="15" t="s">
        <v>638</v>
      </c>
      <c r="B78" s="17" t="n">
        <v>14167</v>
      </c>
      <c r="C78" s="18">
        <f>(12562.0/B78*100)</f>
        <v/>
      </c>
      <c r="D78" s="19" t="n">
        <v>1605</v>
      </c>
      <c r="E78" s="18" t="n">
        <v>57.52381684</v>
      </c>
      <c r="F78" s="20" t="n">
        <v>1.6407715</v>
      </c>
      <c r="G78" s="18" t="n">
        <v>31.06750453</v>
      </c>
      <c r="H78" s="20" t="n">
        <v>1.58315026</v>
      </c>
      <c r="I78" s="18" t="n">
        <v>0</v>
      </c>
      <c r="J78" s="20" t="n">
        <v>0</v>
      </c>
      <c r="K78" s="18" t="n">
        <v>0.88491856</v>
      </c>
      <c r="L78" s="20" t="n">
        <v>0.2843792</v>
      </c>
      <c r="M78" s="18" t="n">
        <v>0.10607482</v>
      </c>
      <c r="N78" s="20" t="n">
        <v>0.06374717000000001</v>
      </c>
      <c r="O78" s="18" t="n">
        <v>0</v>
      </c>
      <c r="P78" s="20" t="n">
        <v>0</v>
      </c>
      <c r="Q78" s="18" t="n">
        <v>10.41768525</v>
      </c>
      <c r="R78" s="20" t="n">
        <v>0.96061486</v>
      </c>
    </row>
    <row r="79" spans="1:18">
      <c r="A79" s="15" t="s">
        <v>639</v>
      </c>
      <c r="B79" s="17" t="n">
        <v>6062</v>
      </c>
      <c r="C79" s="18">
        <f>(5399.0/B79*100)</f>
        <v/>
      </c>
      <c r="D79" s="19" t="n">
        <v>663</v>
      </c>
      <c r="E79" s="18" t="n">
        <v>41.92984409</v>
      </c>
      <c r="F79" s="20" t="n">
        <v>1.96393903</v>
      </c>
      <c r="G79" s="18" t="n">
        <v>24.15627054</v>
      </c>
      <c r="H79" s="20" t="n">
        <v>1.65211117</v>
      </c>
      <c r="I79" s="18" t="n">
        <v>0</v>
      </c>
      <c r="J79" s="20" t="n">
        <v>0</v>
      </c>
      <c r="K79" s="18" t="n">
        <v>2.23929957</v>
      </c>
      <c r="L79" s="20" t="n">
        <v>0.65007635</v>
      </c>
      <c r="M79" s="18" t="n">
        <v>0</v>
      </c>
      <c r="N79" s="20" t="n">
        <v>0</v>
      </c>
      <c r="O79" s="18" t="n">
        <v>0</v>
      </c>
      <c r="P79" s="20" t="n">
        <v>0</v>
      </c>
      <c r="Q79" s="18" t="n">
        <v>31.6745858</v>
      </c>
      <c r="R79" s="20" t="n">
        <v>2.06788698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(28859.0/B82*100)</f>
        <v/>
      </c>
      <c r="D82" s="19" t="n">
        <v>3471</v>
      </c>
      <c r="E82" s="18" t="n">
        <v>45.28529883</v>
      </c>
      <c r="F82" s="20" t="n">
        <v>1.22992412</v>
      </c>
      <c r="G82" s="18" t="n">
        <v>43.08279868</v>
      </c>
      <c r="H82" s="20" t="n">
        <v>1.05651715</v>
      </c>
      <c r="I82" s="18" t="n">
        <v>0</v>
      </c>
      <c r="J82" s="20" t="n">
        <v>0</v>
      </c>
      <c r="K82" s="18" t="n">
        <v>0.39687448</v>
      </c>
      <c r="L82" s="20" t="n">
        <v>0.14102697</v>
      </c>
      <c r="M82" s="18" t="n">
        <v>0</v>
      </c>
      <c r="N82" s="20" t="n">
        <v>0</v>
      </c>
      <c r="O82" s="18" t="n">
        <v>0</v>
      </c>
      <c r="P82" s="20" t="n">
        <v>0</v>
      </c>
      <c r="Q82" s="18" t="n">
        <v>11.23502801</v>
      </c>
      <c r="R82" s="20" t="n">
        <v>0.78289246</v>
      </c>
    </row>
    <row r="83" spans="1:18">
      <c r="A83" s="15" t="s">
        <v>643</v>
      </c>
      <c r="B83" s="17" t="n">
        <v>1652</v>
      </c>
      <c r="C83" s="18">
        <f>(1465.0/B83*100)</f>
        <v/>
      </c>
      <c r="D83" s="19" t="n">
        <v>187</v>
      </c>
      <c r="E83" s="18" t="n">
        <v>51.82273018</v>
      </c>
      <c r="F83" s="20" t="n">
        <v>3.76177391</v>
      </c>
      <c r="G83" s="18" t="n">
        <v>46.61624187</v>
      </c>
      <c r="H83" s="20" t="n">
        <v>3.87098123</v>
      </c>
      <c r="I83" s="18" t="n">
        <v>0</v>
      </c>
      <c r="J83" s="20" t="n">
        <v>0</v>
      </c>
      <c r="K83" s="18" t="n">
        <v>0</v>
      </c>
      <c r="L83" s="20" t="n">
        <v>0</v>
      </c>
      <c r="M83" s="18" t="n">
        <v>0</v>
      </c>
      <c r="N83" s="20" t="n">
        <v>0</v>
      </c>
      <c r="O83" s="18" t="n">
        <v>0</v>
      </c>
      <c r="P83" s="20" t="n">
        <v>0</v>
      </c>
      <c r="Q83" s="18" t="n">
        <v>1.56102795</v>
      </c>
      <c r="R83" s="20" t="n">
        <v>0.91635449</v>
      </c>
    </row>
    <row r="84" spans="1:18">
      <c r="A84" s="23" t="s">
        <v>644</v>
      </c>
      <c r="B84" s="24" t="n">
        <v>1887</v>
      </c>
      <c r="C84" s="25">
        <f>(1691.0/B84*100)</f>
        <v/>
      </c>
      <c r="D84" s="19" t="n">
        <v>196</v>
      </c>
      <c r="E84" s="18" t="n">
        <v>66.44893187</v>
      </c>
      <c r="F84" s="20" t="n">
        <v>3.02809703</v>
      </c>
      <c r="G84" s="18" t="n">
        <v>29.61823013</v>
      </c>
      <c r="H84" s="20" t="n">
        <v>2.79996174</v>
      </c>
      <c r="I84" s="18" t="n">
        <v>0</v>
      </c>
      <c r="J84" s="20" t="n">
        <v>0</v>
      </c>
      <c r="K84" s="18" t="n">
        <v>0</v>
      </c>
      <c r="L84" s="20" t="n">
        <v>0</v>
      </c>
      <c r="M84" s="18" t="n">
        <v>0.53119147</v>
      </c>
      <c r="N84" s="20" t="n">
        <v>0.53670529</v>
      </c>
      <c r="O84" s="18" t="n">
        <v>0</v>
      </c>
      <c r="P84" s="20" t="n">
        <v>0</v>
      </c>
      <c r="Q84" s="18" t="n">
        <v>3.40164653</v>
      </c>
      <c r="R84" s="20" t="n">
        <v>1.69592173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(12926.0/B7*100)</f>
        <v/>
      </c>
      <c r="D7" s="19" t="n">
        <v>1604</v>
      </c>
      <c r="E7" s="18" t="n">
        <v>26.5867733</v>
      </c>
      <c r="F7" s="20" t="n">
        <v>1.38241972</v>
      </c>
      <c r="G7" s="18" t="n">
        <v>72.72381831</v>
      </c>
      <c r="H7" s="20" t="n">
        <v>1.37497225</v>
      </c>
      <c r="I7" s="18" t="n">
        <v>0</v>
      </c>
      <c r="J7" s="20" t="n">
        <v>0</v>
      </c>
      <c r="K7" s="18" t="n">
        <v>0.24006633</v>
      </c>
      <c r="L7" s="20" t="n">
        <v>0.11397861</v>
      </c>
      <c r="M7" s="18" t="n">
        <v>0</v>
      </c>
      <c r="N7" s="20" t="n">
        <v>0</v>
      </c>
      <c r="O7" s="18" t="n">
        <v>0</v>
      </c>
      <c r="P7" s="20" t="n">
        <v>0</v>
      </c>
      <c r="Q7" s="18" t="n">
        <v>0.44934206</v>
      </c>
      <c r="R7" s="20" t="n">
        <v>0.18747046</v>
      </c>
    </row>
    <row r="8" spans="1:18">
      <c r="A8" s="15" t="s">
        <v>566</v>
      </c>
      <c r="B8" s="17" t="n">
        <v>7007</v>
      </c>
      <c r="C8" s="18">
        <f>(6200.0/B8*100)</f>
        <v/>
      </c>
      <c r="D8" s="19" t="n">
        <v>807</v>
      </c>
      <c r="E8" s="18" t="n">
        <v>27.10356072</v>
      </c>
      <c r="F8" s="20" t="n">
        <v>1.91954749</v>
      </c>
      <c r="G8" s="18" t="n">
        <v>72.39907761000001</v>
      </c>
      <c r="H8" s="20" t="n">
        <v>1.89131356</v>
      </c>
      <c r="I8" s="18" t="n">
        <v>0</v>
      </c>
      <c r="J8" s="20" t="n">
        <v>0</v>
      </c>
      <c r="K8" s="18" t="n">
        <v>0.10890495</v>
      </c>
      <c r="L8" s="20" t="n">
        <v>0.10965034</v>
      </c>
      <c r="M8" s="18" t="n">
        <v>0</v>
      </c>
      <c r="N8" s="20" t="n">
        <v>0</v>
      </c>
      <c r="O8" s="18" t="n">
        <v>0</v>
      </c>
      <c r="P8" s="20" t="n">
        <v>0</v>
      </c>
      <c r="Q8" s="18" t="n">
        <v>0.38845672</v>
      </c>
      <c r="R8" s="20" t="n">
        <v>0.22194195</v>
      </c>
    </row>
    <row r="9" spans="1:18">
      <c r="A9" s="15" t="s">
        <v>567</v>
      </c>
      <c r="B9" s="17" t="n">
        <v>9651</v>
      </c>
      <c r="C9" s="18">
        <f>(8625.0/B9*100)</f>
        <v/>
      </c>
      <c r="D9" s="19" t="n">
        <v>1026</v>
      </c>
      <c r="E9" s="18" t="n">
        <v>23.89510257</v>
      </c>
      <c r="F9" s="20" t="n">
        <v>1.16753362</v>
      </c>
      <c r="G9" s="18" t="n">
        <v>74.96098467</v>
      </c>
      <c r="H9" s="20" t="n">
        <v>1.17612263</v>
      </c>
      <c r="I9" s="18" t="n">
        <v>0</v>
      </c>
      <c r="J9" s="20" t="n">
        <v>0</v>
      </c>
      <c r="K9" s="18" t="n">
        <v>0.83278175</v>
      </c>
      <c r="L9" s="20" t="n">
        <v>0.3508116</v>
      </c>
      <c r="M9" s="18" t="n">
        <v>0</v>
      </c>
      <c r="N9" s="20" t="n">
        <v>0</v>
      </c>
      <c r="O9" s="18" t="n">
        <v>0</v>
      </c>
      <c r="P9" s="20" t="n">
        <v>0</v>
      </c>
      <c r="Q9" s="18" t="n">
        <v>0.31113101</v>
      </c>
      <c r="R9" s="20" t="n">
        <v>0.17063663</v>
      </c>
    </row>
    <row r="10" spans="1:18">
      <c r="A10" s="15" t="s">
        <v>568</v>
      </c>
      <c r="B10" s="17" t="n">
        <v>20058</v>
      </c>
      <c r="C10" s="18">
        <f>(17921.0/B10*100)</f>
        <v/>
      </c>
      <c r="D10" s="19" t="n">
        <v>2137</v>
      </c>
      <c r="E10" s="18" t="n">
        <v>28.14543287</v>
      </c>
      <c r="F10" s="20" t="n">
        <v>1.51354565</v>
      </c>
      <c r="G10" s="18" t="n">
        <v>70.77958096</v>
      </c>
      <c r="H10" s="20" t="n">
        <v>1.57175991</v>
      </c>
      <c r="I10" s="18" t="n">
        <v>0</v>
      </c>
      <c r="J10" s="20" t="n">
        <v>0</v>
      </c>
      <c r="K10" s="18" t="n">
        <v>0.57398543</v>
      </c>
      <c r="L10" s="20" t="n">
        <v>0.22981349</v>
      </c>
      <c r="M10" s="18" t="n">
        <v>0</v>
      </c>
      <c r="N10" s="20" t="n">
        <v>0</v>
      </c>
      <c r="O10" s="18" t="n">
        <v>0</v>
      </c>
      <c r="P10" s="20" t="n">
        <v>0</v>
      </c>
      <c r="Q10" s="18" t="n">
        <v>0.5010007400000001</v>
      </c>
      <c r="R10" s="20" t="n">
        <v>0.15980515</v>
      </c>
    </row>
    <row r="11" spans="1:18">
      <c r="A11" s="15" t="s">
        <v>569</v>
      </c>
      <c r="B11" s="17" t="n">
        <v>7053</v>
      </c>
      <c r="C11" s="18">
        <f>(6298.0/B11*100)</f>
        <v/>
      </c>
      <c r="D11" s="19" t="n">
        <v>755</v>
      </c>
      <c r="E11" s="18" t="n">
        <v>41.51395247</v>
      </c>
      <c r="F11" s="20" t="n">
        <v>1.91806582</v>
      </c>
      <c r="G11" s="18" t="n">
        <v>55.83227077</v>
      </c>
      <c r="H11" s="20" t="n">
        <v>2.0685304</v>
      </c>
      <c r="I11" s="18" t="n">
        <v>0</v>
      </c>
      <c r="J11" s="20" t="n">
        <v>0</v>
      </c>
      <c r="K11" s="18" t="n">
        <v>1.83989463</v>
      </c>
      <c r="L11" s="20" t="n">
        <v>0.59593341</v>
      </c>
      <c r="M11" s="18" t="n">
        <v>0</v>
      </c>
      <c r="N11" s="20" t="n">
        <v>0</v>
      </c>
      <c r="O11" s="18" t="n">
        <v>0</v>
      </c>
      <c r="P11" s="20" t="n">
        <v>0</v>
      </c>
      <c r="Q11" s="18" t="n">
        <v>0.81388213</v>
      </c>
      <c r="R11" s="20" t="n">
        <v>0.32870199</v>
      </c>
    </row>
    <row r="12" spans="1:18">
      <c r="A12" s="15" t="s">
        <v>570</v>
      </c>
      <c r="B12" s="17" t="n">
        <v>6894</v>
      </c>
      <c r="C12" s="18">
        <f>(6130.0/B12*100)</f>
        <v/>
      </c>
      <c r="D12" s="19" t="n">
        <v>764</v>
      </c>
      <c r="E12" s="18" t="n">
        <v>27.51027534</v>
      </c>
      <c r="F12" s="20" t="n">
        <v>1.80993305</v>
      </c>
      <c r="G12" s="18" t="n">
        <v>71.21333525999999</v>
      </c>
      <c r="H12" s="20" t="n">
        <v>1.90893263</v>
      </c>
      <c r="I12" s="18" t="n">
        <v>0</v>
      </c>
      <c r="J12" s="20" t="n">
        <v>0</v>
      </c>
      <c r="K12" s="18" t="n">
        <v>0.31983536</v>
      </c>
      <c r="L12" s="20" t="n">
        <v>0.193218</v>
      </c>
      <c r="M12" s="18" t="n">
        <v>0</v>
      </c>
      <c r="N12" s="20" t="n">
        <v>0</v>
      </c>
      <c r="O12" s="18" t="n">
        <v>0</v>
      </c>
      <c r="P12" s="20" t="n">
        <v>0</v>
      </c>
      <c r="Q12" s="18" t="n">
        <v>0.95655405</v>
      </c>
      <c r="R12" s="20" t="n">
        <v>0.42826166</v>
      </c>
    </row>
    <row r="13" spans="1:18">
      <c r="A13" s="15" t="s">
        <v>571</v>
      </c>
      <c r="B13" s="17" t="n">
        <v>7161</v>
      </c>
      <c r="C13" s="18">
        <f>(6395.0/B13*100)</f>
        <v/>
      </c>
      <c r="D13" s="19" t="n">
        <v>766</v>
      </c>
      <c r="E13" s="18" t="n">
        <v>28.10605356</v>
      </c>
      <c r="F13" s="20" t="n">
        <v>1.75088695</v>
      </c>
      <c r="G13" s="18" t="n">
        <v>70.46773842</v>
      </c>
      <c r="H13" s="20" t="n">
        <v>1.79670773</v>
      </c>
      <c r="I13" s="18" t="n">
        <v>0</v>
      </c>
      <c r="J13" s="20" t="n">
        <v>0</v>
      </c>
      <c r="K13" s="18" t="n">
        <v>0.63400126</v>
      </c>
      <c r="L13" s="20" t="n">
        <v>0.26995397</v>
      </c>
      <c r="M13" s="18" t="n">
        <v>0</v>
      </c>
      <c r="N13" s="20" t="n">
        <v>0</v>
      </c>
      <c r="O13" s="18" t="n">
        <v>0</v>
      </c>
      <c r="P13" s="20" t="n">
        <v>0</v>
      </c>
      <c r="Q13" s="18" t="n">
        <v>0.79220675</v>
      </c>
      <c r="R13" s="20" t="n">
        <v>0.38115795</v>
      </c>
    </row>
    <row r="14" spans="1:18">
      <c r="A14" s="15" t="s">
        <v>572</v>
      </c>
      <c r="B14" s="17" t="n">
        <v>5587</v>
      </c>
      <c r="C14" s="18">
        <f>(5000.0/B14*100)</f>
        <v/>
      </c>
      <c r="D14" s="19" t="n">
        <v>587</v>
      </c>
      <c r="E14" s="18" t="n">
        <v>17.84317112</v>
      </c>
      <c r="F14" s="20" t="n">
        <v>1.75169509</v>
      </c>
      <c r="G14" s="18" t="n">
        <v>81.22312685999999</v>
      </c>
      <c r="H14" s="20" t="n">
        <v>1.7276266</v>
      </c>
      <c r="I14" s="18" t="n">
        <v>0</v>
      </c>
      <c r="J14" s="20" t="n">
        <v>0</v>
      </c>
      <c r="K14" s="18" t="n">
        <v>0.43982193</v>
      </c>
      <c r="L14" s="20" t="n">
        <v>0.26074107</v>
      </c>
      <c r="M14" s="18" t="n">
        <v>0</v>
      </c>
      <c r="N14" s="20" t="n">
        <v>0</v>
      </c>
      <c r="O14" s="18" t="n">
        <v>0</v>
      </c>
      <c r="P14" s="20" t="n">
        <v>0</v>
      </c>
      <c r="Q14" s="18" t="n">
        <v>0.49388009</v>
      </c>
      <c r="R14" s="20" t="n">
        <v>0.29487849</v>
      </c>
    </row>
    <row r="15" spans="1:18">
      <c r="A15" s="15" t="s">
        <v>573</v>
      </c>
      <c r="B15" s="17" t="n">
        <v>5882</v>
      </c>
      <c r="C15" s="18">
        <f>(5253.0/B15*100)</f>
        <v/>
      </c>
      <c r="D15" s="19" t="n">
        <v>629</v>
      </c>
      <c r="E15" s="18" t="n">
        <v>18.23555341</v>
      </c>
      <c r="F15" s="20" t="n">
        <v>1.45728535</v>
      </c>
      <c r="G15" s="18" t="n">
        <v>80.7904917</v>
      </c>
      <c r="H15" s="20" t="n">
        <v>1.48347181</v>
      </c>
      <c r="I15" s="18" t="n">
        <v>0</v>
      </c>
      <c r="J15" s="20" t="n">
        <v>0</v>
      </c>
      <c r="K15" s="18" t="n">
        <v>0.29808137</v>
      </c>
      <c r="L15" s="20" t="n">
        <v>0.21154669</v>
      </c>
      <c r="M15" s="18" t="n">
        <v>0</v>
      </c>
      <c r="N15" s="20" t="n">
        <v>0</v>
      </c>
      <c r="O15" s="18" t="n">
        <v>0</v>
      </c>
      <c r="P15" s="20" t="n">
        <v>0</v>
      </c>
      <c r="Q15" s="18" t="n">
        <v>0.67587351</v>
      </c>
      <c r="R15" s="20" t="n">
        <v>0.35949905</v>
      </c>
    </row>
    <row r="16" spans="1:18">
      <c r="A16" s="15" t="s">
        <v>574</v>
      </c>
      <c r="B16" s="17" t="n">
        <v>6108</v>
      </c>
      <c r="C16" s="18">
        <f>(5478.0/B16*100)</f>
        <v/>
      </c>
      <c r="D16" s="19" t="n">
        <v>630</v>
      </c>
      <c r="E16" s="18" t="n">
        <v>26.35462791</v>
      </c>
      <c r="F16" s="20" t="n">
        <v>2.08857155</v>
      </c>
      <c r="G16" s="18" t="n">
        <v>69.88160375</v>
      </c>
      <c r="H16" s="20" t="n">
        <v>1.89916276</v>
      </c>
      <c r="I16" s="18" t="n">
        <v>0</v>
      </c>
      <c r="J16" s="20" t="n">
        <v>0</v>
      </c>
      <c r="K16" s="18" t="n">
        <v>2.43762228</v>
      </c>
      <c r="L16" s="20" t="n">
        <v>0.69939998</v>
      </c>
      <c r="M16" s="18" t="n">
        <v>0</v>
      </c>
      <c r="N16" s="20" t="n">
        <v>0</v>
      </c>
      <c r="O16" s="18" t="n">
        <v>0</v>
      </c>
      <c r="P16" s="20" t="n">
        <v>0</v>
      </c>
      <c r="Q16" s="18" t="n">
        <v>1.32614607</v>
      </c>
      <c r="R16" s="20" t="n">
        <v>0.49671482</v>
      </c>
    </row>
    <row r="17" spans="1:18">
      <c r="A17" s="15" t="s">
        <v>575</v>
      </c>
      <c r="B17" s="17" t="n">
        <v>6504</v>
      </c>
      <c r="C17" s="18">
        <f>(5785.0/B17*100)</f>
        <v/>
      </c>
      <c r="D17" s="19" t="n">
        <v>719</v>
      </c>
      <c r="E17" s="18" t="n">
        <v>23.43091301</v>
      </c>
      <c r="F17" s="20" t="n">
        <v>1.84078719</v>
      </c>
      <c r="G17" s="18" t="n">
        <v>74.95515499</v>
      </c>
      <c r="H17" s="20" t="n">
        <v>1.97335578</v>
      </c>
      <c r="I17" s="18" t="n">
        <v>0</v>
      </c>
      <c r="J17" s="20" t="n">
        <v>0</v>
      </c>
      <c r="K17" s="18" t="n">
        <v>0.63088146</v>
      </c>
      <c r="L17" s="20" t="n">
        <v>0.486268</v>
      </c>
      <c r="M17" s="18" t="n">
        <v>0</v>
      </c>
      <c r="N17" s="20" t="n">
        <v>0</v>
      </c>
      <c r="O17" s="18" t="n">
        <v>0</v>
      </c>
      <c r="P17" s="20" t="n">
        <v>0</v>
      </c>
      <c r="Q17" s="18" t="n">
        <v>0.98305055</v>
      </c>
      <c r="R17" s="20" t="n">
        <v>0.37959961</v>
      </c>
    </row>
    <row r="18" spans="1:18">
      <c r="A18" s="15" t="s">
        <v>576</v>
      </c>
      <c r="B18" s="17" t="n">
        <v>5532</v>
      </c>
      <c r="C18" s="18">
        <f>(4933.0/B18*100)</f>
        <v/>
      </c>
      <c r="D18" s="19" t="n">
        <v>599</v>
      </c>
      <c r="E18" s="18" t="n">
        <v>35.73633271</v>
      </c>
      <c r="F18" s="20" t="n">
        <v>2.26418503</v>
      </c>
      <c r="G18" s="18" t="n">
        <v>62.61989188</v>
      </c>
      <c r="H18" s="20" t="n">
        <v>2.28536102</v>
      </c>
      <c r="I18" s="18" t="n">
        <v>0</v>
      </c>
      <c r="J18" s="20" t="n">
        <v>0</v>
      </c>
      <c r="K18" s="18" t="n">
        <v>1.01049958</v>
      </c>
      <c r="L18" s="20" t="n">
        <v>0.43302371</v>
      </c>
      <c r="M18" s="18" t="n">
        <v>0</v>
      </c>
      <c r="N18" s="20" t="n">
        <v>0</v>
      </c>
      <c r="O18" s="18" t="n">
        <v>0</v>
      </c>
      <c r="P18" s="20" t="n">
        <v>0</v>
      </c>
      <c r="Q18" s="18" t="n">
        <v>0.63327583</v>
      </c>
      <c r="R18" s="20" t="n">
        <v>0.39053193</v>
      </c>
    </row>
    <row r="19" spans="1:18">
      <c r="A19" s="15" t="s">
        <v>577</v>
      </c>
      <c r="B19" s="17" t="n">
        <v>5658</v>
      </c>
      <c r="C19" s="18">
        <f>(5020.0/B19*100)</f>
        <v/>
      </c>
      <c r="D19" s="19" t="n">
        <v>638</v>
      </c>
      <c r="E19" s="18" t="n">
        <v>29.73463706</v>
      </c>
      <c r="F19" s="20" t="n">
        <v>2.21217801</v>
      </c>
      <c r="G19" s="18" t="n">
        <v>68.61705732</v>
      </c>
      <c r="H19" s="20" t="n">
        <v>2.37637906</v>
      </c>
      <c r="I19" s="18" t="n">
        <v>0</v>
      </c>
      <c r="J19" s="20" t="n">
        <v>0</v>
      </c>
      <c r="K19" s="18" t="n">
        <v>0.85880137</v>
      </c>
      <c r="L19" s="20" t="n">
        <v>0.52242471</v>
      </c>
      <c r="M19" s="18" t="n">
        <v>0</v>
      </c>
      <c r="N19" s="20" t="n">
        <v>0</v>
      </c>
      <c r="O19" s="18" t="n">
        <v>0</v>
      </c>
      <c r="P19" s="20" t="n">
        <v>0</v>
      </c>
      <c r="Q19" s="18" t="n">
        <v>0.78950425</v>
      </c>
      <c r="R19" s="20" t="n">
        <v>0.37714391</v>
      </c>
    </row>
    <row r="20" spans="1:18">
      <c r="A20" s="15" t="s">
        <v>578</v>
      </c>
      <c r="B20" s="17" t="n">
        <v>3371</v>
      </c>
      <c r="C20" s="18">
        <f>(3001.0/B20*100)</f>
        <v/>
      </c>
      <c r="D20" s="19" t="n">
        <v>370</v>
      </c>
      <c r="E20" s="18" t="n">
        <v>33.36325022</v>
      </c>
      <c r="F20" s="20" t="n">
        <v>2.10279484</v>
      </c>
      <c r="G20" s="18" t="n">
        <v>64.81304497000001</v>
      </c>
      <c r="H20" s="20" t="n">
        <v>2.06947155</v>
      </c>
      <c r="I20" s="18" t="n">
        <v>0</v>
      </c>
      <c r="J20" s="20" t="n">
        <v>0</v>
      </c>
      <c r="K20" s="18" t="n">
        <v>1.24394897</v>
      </c>
      <c r="L20" s="20" t="n">
        <v>0.46859436</v>
      </c>
      <c r="M20" s="18" t="n">
        <v>0</v>
      </c>
      <c r="N20" s="20" t="n">
        <v>0</v>
      </c>
      <c r="O20" s="18" t="n">
        <v>0</v>
      </c>
      <c r="P20" s="20" t="n">
        <v>0</v>
      </c>
      <c r="Q20" s="18" t="n">
        <v>0.57975585</v>
      </c>
      <c r="R20" s="20" t="n">
        <v>0.40030239</v>
      </c>
    </row>
    <row r="21" spans="1:18">
      <c r="A21" s="15" t="s">
        <v>579</v>
      </c>
      <c r="B21" s="17" t="n">
        <v>5741</v>
      </c>
      <c r="C21" s="18">
        <f>(5119.0/B21*100)</f>
        <v/>
      </c>
      <c r="D21" s="19" t="n">
        <v>622</v>
      </c>
      <c r="E21" s="18" t="n">
        <v>32.44139292</v>
      </c>
      <c r="F21" s="20" t="n">
        <v>1.86688992</v>
      </c>
      <c r="G21" s="18" t="n">
        <v>67.13248607</v>
      </c>
      <c r="H21" s="20" t="n">
        <v>1.91868931</v>
      </c>
      <c r="I21" s="18" t="n">
        <v>0</v>
      </c>
      <c r="J21" s="20" t="n">
        <v>0</v>
      </c>
      <c r="K21" s="18" t="n">
        <v>0</v>
      </c>
      <c r="L21" s="20" t="n">
        <v>0</v>
      </c>
      <c r="M21" s="18" t="n">
        <v>0</v>
      </c>
      <c r="N21" s="20" t="n">
        <v>0</v>
      </c>
      <c r="O21" s="18" t="n">
        <v>0</v>
      </c>
      <c r="P21" s="20" t="n">
        <v>0</v>
      </c>
      <c r="Q21" s="18" t="n">
        <v>0.42612101</v>
      </c>
      <c r="R21" s="20" t="n">
        <v>0.26465181</v>
      </c>
    </row>
    <row r="22" spans="1:18">
      <c r="A22" s="15" t="s">
        <v>580</v>
      </c>
      <c r="B22" s="17" t="n">
        <v>6598</v>
      </c>
      <c r="C22" s="18">
        <f>(5849.0/B22*100)</f>
        <v/>
      </c>
      <c r="D22" s="19" t="n">
        <v>749</v>
      </c>
      <c r="E22" s="18" t="n">
        <v>34.95799128</v>
      </c>
      <c r="F22" s="20" t="n">
        <v>2.10672725</v>
      </c>
      <c r="G22" s="18" t="n">
        <v>62.00116652</v>
      </c>
      <c r="H22" s="20" t="n">
        <v>2.18368799</v>
      </c>
      <c r="I22" s="18" t="n">
        <v>0</v>
      </c>
      <c r="J22" s="20" t="n">
        <v>0</v>
      </c>
      <c r="K22" s="18" t="n">
        <v>1.98823573</v>
      </c>
      <c r="L22" s="20" t="n">
        <v>0.48617386</v>
      </c>
      <c r="M22" s="18" t="n">
        <v>0</v>
      </c>
      <c r="N22" s="20" t="n">
        <v>0</v>
      </c>
      <c r="O22" s="18" t="n">
        <v>0</v>
      </c>
      <c r="P22" s="20" t="n">
        <v>0</v>
      </c>
      <c r="Q22" s="18" t="n">
        <v>1.05260647</v>
      </c>
      <c r="R22" s="20" t="n">
        <v>0.36631031</v>
      </c>
    </row>
    <row r="23" spans="1:18">
      <c r="A23" s="15" t="s">
        <v>581</v>
      </c>
      <c r="B23" s="17" t="n">
        <v>11583</v>
      </c>
      <c r="C23" s="18">
        <f>(10306.0/B23*100)</f>
        <v/>
      </c>
      <c r="D23" s="19" t="n">
        <v>1277</v>
      </c>
      <c r="E23" s="18" t="n">
        <v>27.48330216</v>
      </c>
      <c r="F23" s="20" t="n">
        <v>1.93871892</v>
      </c>
      <c r="G23" s="18" t="n">
        <v>70.51864749000001</v>
      </c>
      <c r="H23" s="20" t="n">
        <v>2.07887659</v>
      </c>
      <c r="I23" s="18" t="n">
        <v>0</v>
      </c>
      <c r="J23" s="20" t="n">
        <v>0</v>
      </c>
      <c r="K23" s="18" t="n">
        <v>1.03803754</v>
      </c>
      <c r="L23" s="20" t="n">
        <v>0.34652566</v>
      </c>
      <c r="M23" s="18" t="n">
        <v>0</v>
      </c>
      <c r="N23" s="20" t="n">
        <v>0</v>
      </c>
      <c r="O23" s="18" t="n">
        <v>0</v>
      </c>
      <c r="P23" s="20" t="n">
        <v>0</v>
      </c>
      <c r="Q23" s="18" t="n">
        <v>0.96001281</v>
      </c>
      <c r="R23" s="20" t="n">
        <v>0.41467814</v>
      </c>
    </row>
    <row r="24" spans="1:18">
      <c r="A24" s="15" t="s">
        <v>582</v>
      </c>
      <c r="B24" s="17" t="n">
        <v>6647</v>
      </c>
      <c r="C24" s="18">
        <f>(5894.0/B24*100)</f>
        <v/>
      </c>
      <c r="D24" s="19" t="n">
        <v>753</v>
      </c>
      <c r="E24" s="18" t="n">
        <v>27.81671638</v>
      </c>
      <c r="F24" s="20" t="n">
        <v>1.82169977</v>
      </c>
      <c r="G24" s="18" t="n">
        <v>70.99197341</v>
      </c>
      <c r="H24" s="20" t="n">
        <v>1.79738796</v>
      </c>
      <c r="I24" s="18" t="n">
        <v>0</v>
      </c>
      <c r="J24" s="20" t="n">
        <v>0</v>
      </c>
      <c r="K24" s="18" t="n">
        <v>0.8201014599999999</v>
      </c>
      <c r="L24" s="20" t="n">
        <v>0.33814031</v>
      </c>
      <c r="M24" s="18" t="n">
        <v>0</v>
      </c>
      <c r="N24" s="20" t="n">
        <v>0</v>
      </c>
      <c r="O24" s="18" t="n">
        <v>0</v>
      </c>
      <c r="P24" s="20" t="n">
        <v>0</v>
      </c>
      <c r="Q24" s="18" t="n">
        <v>0.37120875</v>
      </c>
      <c r="R24" s="20" t="n">
        <v>0.21483224</v>
      </c>
    </row>
    <row r="25" spans="1:18">
      <c r="A25" s="15" t="s">
        <v>583</v>
      </c>
      <c r="B25" s="17" t="n">
        <v>5581</v>
      </c>
      <c r="C25" s="18">
        <f>(4970.0/B25*100)</f>
        <v/>
      </c>
      <c r="D25" s="19" t="n">
        <v>611</v>
      </c>
      <c r="E25" s="18" t="n">
        <v>22.74148082</v>
      </c>
      <c r="F25" s="20" t="n">
        <v>1.89475221</v>
      </c>
      <c r="G25" s="18" t="n">
        <v>76.59440533999999</v>
      </c>
      <c r="H25" s="20" t="n">
        <v>1.87586714</v>
      </c>
      <c r="I25" s="18" t="n">
        <v>0</v>
      </c>
      <c r="J25" s="20" t="n">
        <v>0</v>
      </c>
      <c r="K25" s="18" t="n">
        <v>0.30706774</v>
      </c>
      <c r="L25" s="20" t="n">
        <v>0.2167355</v>
      </c>
      <c r="M25" s="18" t="n">
        <v>0</v>
      </c>
      <c r="N25" s="20" t="n">
        <v>0</v>
      </c>
      <c r="O25" s="18" t="n">
        <v>0</v>
      </c>
      <c r="P25" s="20" t="n">
        <v>0</v>
      </c>
      <c r="Q25" s="18" t="n">
        <v>0.3570461</v>
      </c>
      <c r="R25" s="20" t="n">
        <v>0.25478455</v>
      </c>
    </row>
    <row r="26" spans="1:18">
      <c r="A26" s="15" t="s">
        <v>584</v>
      </c>
      <c r="B26" s="17" t="n">
        <v>4869</v>
      </c>
      <c r="C26" s="18">
        <f>(4359.0/B26*100)</f>
        <v/>
      </c>
      <c r="D26" s="19" t="n">
        <v>510</v>
      </c>
      <c r="E26" s="18" t="n">
        <v>24.65508326</v>
      </c>
      <c r="F26" s="20" t="n">
        <v>1.85314477</v>
      </c>
      <c r="G26" s="18" t="n">
        <v>74.88551551</v>
      </c>
      <c r="H26" s="20" t="n">
        <v>1.8854792</v>
      </c>
      <c r="I26" s="18" t="n">
        <v>0</v>
      </c>
      <c r="J26" s="20" t="n">
        <v>0</v>
      </c>
      <c r="K26" s="18" t="n">
        <v>0.16395191</v>
      </c>
      <c r="L26" s="20" t="n">
        <v>0.16437701</v>
      </c>
      <c r="M26" s="18" t="n">
        <v>0</v>
      </c>
      <c r="N26" s="20" t="n">
        <v>0</v>
      </c>
      <c r="O26" s="18" t="n">
        <v>0</v>
      </c>
      <c r="P26" s="20" t="n">
        <v>0</v>
      </c>
      <c r="Q26" s="18" t="n">
        <v>0.29544932</v>
      </c>
      <c r="R26" s="20" t="n">
        <v>0.20826749</v>
      </c>
    </row>
    <row r="27" spans="1:18">
      <c r="A27" s="15" t="s">
        <v>585</v>
      </c>
      <c r="B27" s="17" t="n">
        <v>5299</v>
      </c>
      <c r="C27" s="18">
        <f>(4742.0/B27*100)</f>
        <v/>
      </c>
      <c r="D27" s="19" t="n">
        <v>557</v>
      </c>
      <c r="E27" s="18" t="n">
        <v>31.33194663</v>
      </c>
      <c r="F27" s="20" t="n">
        <v>2.18438324</v>
      </c>
      <c r="G27" s="18" t="n">
        <v>67.58830575</v>
      </c>
      <c r="H27" s="20" t="n">
        <v>2.2407023</v>
      </c>
      <c r="I27" s="18" t="n">
        <v>0</v>
      </c>
      <c r="J27" s="20" t="n">
        <v>0</v>
      </c>
      <c r="K27" s="18" t="n">
        <v>0.71647136</v>
      </c>
      <c r="L27" s="20" t="n">
        <v>0.3515518</v>
      </c>
      <c r="M27" s="18" t="n">
        <v>0</v>
      </c>
      <c r="N27" s="20" t="n">
        <v>0</v>
      </c>
      <c r="O27" s="18" t="n">
        <v>0</v>
      </c>
      <c r="P27" s="20" t="n">
        <v>0</v>
      </c>
      <c r="Q27" s="18" t="n">
        <v>0.36327626</v>
      </c>
      <c r="R27" s="20" t="n">
        <v>0.26347954</v>
      </c>
    </row>
    <row r="28" spans="1:18">
      <c r="A28" s="15" t="s">
        <v>586</v>
      </c>
      <c r="B28" s="17" t="n">
        <v>7568</v>
      </c>
      <c r="C28" s="18">
        <f>(6799.0/B28*100)</f>
        <v/>
      </c>
      <c r="D28" s="19" t="n">
        <v>769</v>
      </c>
      <c r="E28" s="18" t="n">
        <v>39.71594146</v>
      </c>
      <c r="F28" s="20" t="n">
        <v>2.01402908</v>
      </c>
      <c r="G28" s="18" t="n">
        <v>58.79054433</v>
      </c>
      <c r="H28" s="20" t="n">
        <v>1.96697154</v>
      </c>
      <c r="I28" s="18" t="n">
        <v>0</v>
      </c>
      <c r="J28" s="20" t="n">
        <v>0</v>
      </c>
      <c r="K28" s="18" t="n">
        <v>0.89770412</v>
      </c>
      <c r="L28" s="20" t="n">
        <v>0.38748708</v>
      </c>
      <c r="M28" s="18" t="n">
        <v>0</v>
      </c>
      <c r="N28" s="20" t="n">
        <v>0</v>
      </c>
      <c r="O28" s="18" t="n">
        <v>0</v>
      </c>
      <c r="P28" s="20" t="n">
        <v>0</v>
      </c>
      <c r="Q28" s="18" t="n">
        <v>0.59581008</v>
      </c>
      <c r="R28" s="20" t="n">
        <v>0.29279096</v>
      </c>
    </row>
    <row r="29" spans="1:18">
      <c r="A29" s="15" t="s">
        <v>587</v>
      </c>
      <c r="B29" s="17" t="n">
        <v>5385</v>
      </c>
      <c r="C29" s="18">
        <f>(4774.0/B29*100)</f>
        <v/>
      </c>
      <c r="D29" s="19" t="n">
        <v>611</v>
      </c>
      <c r="E29" s="18" t="n">
        <v>25.16423147</v>
      </c>
      <c r="F29" s="20" t="n">
        <v>1.81290286</v>
      </c>
      <c r="G29" s="18" t="n">
        <v>74.49500453</v>
      </c>
      <c r="H29" s="20" t="n">
        <v>1.76397119</v>
      </c>
      <c r="I29" s="18" t="n">
        <v>0</v>
      </c>
      <c r="J29" s="20" t="n">
        <v>0</v>
      </c>
      <c r="K29" s="18" t="n">
        <v>0</v>
      </c>
      <c r="L29" s="20" t="n">
        <v>0</v>
      </c>
      <c r="M29" s="18" t="n">
        <v>0</v>
      </c>
      <c r="N29" s="20" t="n">
        <v>0</v>
      </c>
      <c r="O29" s="18" t="n">
        <v>0</v>
      </c>
      <c r="P29" s="20" t="n">
        <v>0</v>
      </c>
      <c r="Q29" s="18" t="n">
        <v>0.340764</v>
      </c>
      <c r="R29" s="20" t="n">
        <v>0.25294591</v>
      </c>
    </row>
    <row r="30" spans="1:18">
      <c r="A30" s="15" t="s">
        <v>588</v>
      </c>
      <c r="B30" s="17" t="n">
        <v>4520</v>
      </c>
      <c r="C30" s="18">
        <f>(4048.0/B30*100)</f>
        <v/>
      </c>
      <c r="D30" s="19" t="n">
        <v>472</v>
      </c>
      <c r="E30" s="18" t="n">
        <v>29.09059006</v>
      </c>
      <c r="F30" s="20" t="n">
        <v>1.86264761</v>
      </c>
      <c r="G30" s="18" t="n">
        <v>69.58923419</v>
      </c>
      <c r="H30" s="20" t="n">
        <v>1.94116117</v>
      </c>
      <c r="I30" s="18" t="n">
        <v>0</v>
      </c>
      <c r="J30" s="20" t="n">
        <v>0</v>
      </c>
      <c r="K30" s="18" t="n">
        <v>0.92369247</v>
      </c>
      <c r="L30" s="20" t="n">
        <v>0.44319592</v>
      </c>
      <c r="M30" s="18" t="n">
        <v>0</v>
      </c>
      <c r="N30" s="20" t="n">
        <v>0</v>
      </c>
      <c r="O30" s="18" t="n">
        <v>0</v>
      </c>
      <c r="P30" s="20" t="n">
        <v>0</v>
      </c>
      <c r="Q30" s="18" t="n">
        <v>0.39648328</v>
      </c>
      <c r="R30" s="20" t="n">
        <v>0.33788689</v>
      </c>
    </row>
    <row r="31" spans="1:18">
      <c r="A31" s="15" t="s">
        <v>589</v>
      </c>
      <c r="B31" s="17" t="n">
        <v>5456</v>
      </c>
      <c r="C31" s="18">
        <f>(4854.0/B31*100)</f>
        <v/>
      </c>
      <c r="D31" s="19" t="n">
        <v>602</v>
      </c>
      <c r="E31" s="18" t="n">
        <v>27.12109538</v>
      </c>
      <c r="F31" s="20" t="n">
        <v>1.69184892</v>
      </c>
      <c r="G31" s="18" t="n">
        <v>71.41727994</v>
      </c>
      <c r="H31" s="20" t="n">
        <v>1.69084917</v>
      </c>
      <c r="I31" s="18" t="n">
        <v>0</v>
      </c>
      <c r="J31" s="20" t="n">
        <v>0</v>
      </c>
      <c r="K31" s="18" t="n">
        <v>1.15633105</v>
      </c>
      <c r="L31" s="20" t="n">
        <v>0.43335622</v>
      </c>
      <c r="M31" s="18" t="n">
        <v>0</v>
      </c>
      <c r="N31" s="20" t="n">
        <v>0</v>
      </c>
      <c r="O31" s="18" t="n">
        <v>0</v>
      </c>
      <c r="P31" s="20" t="n">
        <v>0</v>
      </c>
      <c r="Q31" s="18" t="n">
        <v>0.30529363</v>
      </c>
      <c r="R31" s="20" t="n">
        <v>0.21129635</v>
      </c>
    </row>
    <row r="32" spans="1:18">
      <c r="A32" s="15" t="s">
        <v>590</v>
      </c>
      <c r="B32" s="17" t="n">
        <v>4478</v>
      </c>
      <c r="C32" s="18">
        <f>(3981.0/B32*100)</f>
        <v/>
      </c>
      <c r="D32" s="19" t="n">
        <v>497</v>
      </c>
      <c r="E32" s="18" t="n">
        <v>40.38174142</v>
      </c>
      <c r="F32" s="20" t="n">
        <v>2.04739338</v>
      </c>
      <c r="G32" s="18" t="n">
        <v>58.87011129</v>
      </c>
      <c r="H32" s="20" t="n">
        <v>2.07518924</v>
      </c>
      <c r="I32" s="18" t="n">
        <v>0</v>
      </c>
      <c r="J32" s="20" t="n">
        <v>0</v>
      </c>
      <c r="K32" s="18" t="n">
        <v>0.40971655</v>
      </c>
      <c r="L32" s="20" t="n">
        <v>0.30390378</v>
      </c>
      <c r="M32" s="18" t="n">
        <v>0</v>
      </c>
      <c r="N32" s="20" t="n">
        <v>0</v>
      </c>
      <c r="O32" s="18" t="n">
        <v>0</v>
      </c>
      <c r="P32" s="20" t="n">
        <v>0</v>
      </c>
      <c r="Q32" s="18" t="n">
        <v>0.33843074</v>
      </c>
      <c r="R32" s="20" t="n">
        <v>0.23923164</v>
      </c>
    </row>
    <row r="33" spans="1:18">
      <c r="A33" s="15" t="s">
        <v>591</v>
      </c>
      <c r="B33" s="17" t="n">
        <v>7325</v>
      </c>
      <c r="C33" s="18">
        <f>(6556.0/B33*100)</f>
        <v/>
      </c>
      <c r="D33" s="19" t="n">
        <v>769</v>
      </c>
      <c r="E33" s="18" t="n">
        <v>27.79852195</v>
      </c>
      <c r="F33" s="20" t="n">
        <v>1.93501914</v>
      </c>
      <c r="G33" s="18" t="n">
        <v>71.40460725</v>
      </c>
      <c r="H33" s="20" t="n">
        <v>1.86998408</v>
      </c>
      <c r="I33" s="18" t="n">
        <v>0</v>
      </c>
      <c r="J33" s="20" t="n">
        <v>0</v>
      </c>
      <c r="K33" s="18" t="n">
        <v>0.17504324</v>
      </c>
      <c r="L33" s="20" t="n">
        <v>0.18167402</v>
      </c>
      <c r="M33" s="18" t="n">
        <v>0</v>
      </c>
      <c r="N33" s="20" t="n">
        <v>0</v>
      </c>
      <c r="O33" s="18" t="n">
        <v>0</v>
      </c>
      <c r="P33" s="20" t="n">
        <v>0</v>
      </c>
      <c r="Q33" s="18" t="n">
        <v>0.6218275599999999</v>
      </c>
      <c r="R33" s="20" t="n">
        <v>0.25769175</v>
      </c>
    </row>
    <row r="34" spans="1:18">
      <c r="A34" s="15" t="s">
        <v>592</v>
      </c>
      <c r="B34" s="17" t="n">
        <v>6350</v>
      </c>
      <c r="C34" s="18">
        <f>(5653.0/B34*100)</f>
        <v/>
      </c>
      <c r="D34" s="19" t="n">
        <v>697</v>
      </c>
      <c r="E34" s="18" t="n">
        <v>31.75131664</v>
      </c>
      <c r="F34" s="20" t="n">
        <v>1.79916027</v>
      </c>
      <c r="G34" s="18" t="n">
        <v>67.75493233</v>
      </c>
      <c r="H34" s="20" t="n">
        <v>1.8042025</v>
      </c>
      <c r="I34" s="18" t="n">
        <v>0</v>
      </c>
      <c r="J34" s="20" t="n">
        <v>0</v>
      </c>
      <c r="K34" s="18" t="n">
        <v>0</v>
      </c>
      <c r="L34" s="20" t="n">
        <v>0</v>
      </c>
      <c r="M34" s="18" t="n">
        <v>0</v>
      </c>
      <c r="N34" s="20" t="n">
        <v>0</v>
      </c>
      <c r="O34" s="18" t="n">
        <v>0</v>
      </c>
      <c r="P34" s="20" t="n">
        <v>0</v>
      </c>
      <c r="Q34" s="18" t="n">
        <v>0.49375103</v>
      </c>
      <c r="R34" s="20" t="n">
        <v>0.20450764</v>
      </c>
    </row>
    <row r="35" spans="1:18">
      <c r="A35" s="15" t="s">
        <v>593</v>
      </c>
      <c r="B35" s="17" t="n">
        <v>6406</v>
      </c>
      <c r="C35" s="18">
        <f>(5704.0/B35*100)</f>
        <v/>
      </c>
      <c r="D35" s="19" t="n">
        <v>702</v>
      </c>
      <c r="E35" s="18" t="n">
        <v>25.6349662</v>
      </c>
      <c r="F35" s="20" t="n">
        <v>1.76451257</v>
      </c>
      <c r="G35" s="18" t="n">
        <v>73.56775383999999</v>
      </c>
      <c r="H35" s="20" t="n">
        <v>1.75739679</v>
      </c>
      <c r="I35" s="18" t="n">
        <v>0</v>
      </c>
      <c r="J35" s="20" t="n">
        <v>0</v>
      </c>
      <c r="K35" s="18" t="n">
        <v>0.21474603</v>
      </c>
      <c r="L35" s="20" t="n">
        <v>0.12323084</v>
      </c>
      <c r="M35" s="18" t="n">
        <v>0</v>
      </c>
      <c r="N35" s="20" t="n">
        <v>0</v>
      </c>
      <c r="O35" s="18" t="n">
        <v>0</v>
      </c>
      <c r="P35" s="20" t="n">
        <v>0</v>
      </c>
      <c r="Q35" s="18" t="n">
        <v>0.58253393</v>
      </c>
      <c r="R35" s="20" t="n">
        <v>0.48419343</v>
      </c>
    </row>
    <row r="36" spans="1:18">
      <c r="A36" s="15" t="s">
        <v>594</v>
      </c>
      <c r="B36" s="17" t="n">
        <v>6736</v>
      </c>
      <c r="C36" s="18">
        <f>(6039.0/B36*100)</f>
        <v/>
      </c>
      <c r="D36" s="19" t="n">
        <v>697</v>
      </c>
      <c r="E36" s="18" t="n">
        <v>32.45700022</v>
      </c>
      <c r="F36" s="20" t="n">
        <v>1.84181591</v>
      </c>
      <c r="G36" s="18" t="n">
        <v>66.52801918</v>
      </c>
      <c r="H36" s="20" t="n">
        <v>1.83048908</v>
      </c>
      <c r="I36" s="18" t="n">
        <v>0</v>
      </c>
      <c r="J36" s="20" t="n">
        <v>0</v>
      </c>
      <c r="K36" s="18" t="n">
        <v>0.08254776</v>
      </c>
      <c r="L36" s="20" t="n">
        <v>0.07543801999999999</v>
      </c>
      <c r="M36" s="18" t="n">
        <v>0</v>
      </c>
      <c r="N36" s="20" t="n">
        <v>0</v>
      </c>
      <c r="O36" s="18" t="n">
        <v>0</v>
      </c>
      <c r="P36" s="20" t="n">
        <v>0</v>
      </c>
      <c r="Q36" s="18" t="n">
        <v>0.93243285</v>
      </c>
      <c r="R36" s="20" t="n">
        <v>0.37200904</v>
      </c>
    </row>
    <row r="37" spans="1:18">
      <c r="A37" s="15" t="s">
        <v>595</v>
      </c>
      <c r="B37" s="17" t="n">
        <v>5458</v>
      </c>
      <c r="C37" s="18">
        <f>(4882.0/B37*100)</f>
        <v/>
      </c>
      <c r="D37" s="19" t="n">
        <v>576</v>
      </c>
      <c r="E37" s="18" t="n">
        <v>25.10632341</v>
      </c>
      <c r="F37" s="20" t="n">
        <v>1.98523816</v>
      </c>
      <c r="G37" s="18" t="n">
        <v>71.70207123</v>
      </c>
      <c r="H37" s="20" t="n">
        <v>2.08341867</v>
      </c>
      <c r="I37" s="18" t="n">
        <v>0</v>
      </c>
      <c r="J37" s="20" t="n">
        <v>0</v>
      </c>
      <c r="K37" s="18" t="n">
        <v>2.07152476</v>
      </c>
      <c r="L37" s="20" t="n">
        <v>0.60239139</v>
      </c>
      <c r="M37" s="18" t="n">
        <v>0</v>
      </c>
      <c r="N37" s="20" t="n">
        <v>0</v>
      </c>
      <c r="O37" s="18" t="n">
        <v>0</v>
      </c>
      <c r="P37" s="20" t="n">
        <v>0</v>
      </c>
      <c r="Q37" s="18" t="n">
        <v>1.1200806</v>
      </c>
      <c r="R37" s="20" t="n">
        <v>0.49017242</v>
      </c>
    </row>
    <row r="38" spans="1:18">
      <c r="A38" s="15" t="s">
        <v>596</v>
      </c>
      <c r="B38" s="17" t="n">
        <v>5860</v>
      </c>
      <c r="C38" s="18">
        <f>(5233.0/B38*100)</f>
        <v/>
      </c>
      <c r="D38" s="19" t="n">
        <v>627</v>
      </c>
      <c r="E38" s="18" t="n">
        <v>27.69481694</v>
      </c>
      <c r="F38" s="20" t="n">
        <v>2.08497839</v>
      </c>
      <c r="G38" s="18" t="n">
        <v>71.08289102000001</v>
      </c>
      <c r="H38" s="20" t="n">
        <v>2.0647987</v>
      </c>
      <c r="I38" s="18" t="n">
        <v>0</v>
      </c>
      <c r="J38" s="20" t="n">
        <v>0</v>
      </c>
      <c r="K38" s="18" t="n">
        <v>0.48909014</v>
      </c>
      <c r="L38" s="20" t="n">
        <v>0.27947453</v>
      </c>
      <c r="M38" s="18" t="n">
        <v>0</v>
      </c>
      <c r="N38" s="20" t="n">
        <v>0</v>
      </c>
      <c r="O38" s="18" t="n">
        <v>0</v>
      </c>
      <c r="P38" s="20" t="n">
        <v>0</v>
      </c>
      <c r="Q38" s="18" t="n">
        <v>0.7332019</v>
      </c>
      <c r="R38" s="20" t="n">
        <v>0.34912517</v>
      </c>
    </row>
    <row r="39" spans="1:18">
      <c r="A39" s="15" t="s">
        <v>597</v>
      </c>
      <c r="B39" s="17" t="n">
        <v>5895</v>
      </c>
      <c r="C39" s="18">
        <f>(5224.0/B39*100)</f>
        <v/>
      </c>
      <c r="D39" s="19" t="n">
        <v>671</v>
      </c>
      <c r="E39" s="18" t="n">
        <v>44.73668087</v>
      </c>
      <c r="F39" s="20" t="n">
        <v>2.11439069</v>
      </c>
      <c r="G39" s="18" t="n">
        <v>53.08426483</v>
      </c>
      <c r="H39" s="20" t="n">
        <v>2.0962013</v>
      </c>
      <c r="I39" s="18" t="n">
        <v>0</v>
      </c>
      <c r="J39" s="20" t="n">
        <v>0</v>
      </c>
      <c r="K39" s="18" t="n">
        <v>0.75748728</v>
      </c>
      <c r="L39" s="20" t="n">
        <v>0.32697541</v>
      </c>
      <c r="M39" s="18" t="n">
        <v>0</v>
      </c>
      <c r="N39" s="20" t="n">
        <v>0</v>
      </c>
      <c r="O39" s="18" t="n">
        <v>0</v>
      </c>
      <c r="P39" s="20" t="n">
        <v>0</v>
      </c>
      <c r="Q39" s="18" t="n">
        <v>1.42156703</v>
      </c>
      <c r="R39" s="20" t="n">
        <v>0.50985177</v>
      </c>
    </row>
    <row r="40" spans="1:18">
      <c r="A40" s="15" t="s">
        <v>598</v>
      </c>
      <c r="B40" s="17" t="n">
        <v>14157</v>
      </c>
      <c r="C40" s="18">
        <f>(12629.0/B40*100)</f>
        <v/>
      </c>
      <c r="D40" s="19" t="n">
        <v>1528</v>
      </c>
      <c r="E40" s="18" t="n">
        <v>27.12971344</v>
      </c>
      <c r="F40" s="20" t="n">
        <v>1.81421785</v>
      </c>
      <c r="G40" s="18" t="n">
        <v>72.05540594999999</v>
      </c>
      <c r="H40" s="20" t="n">
        <v>1.84058296</v>
      </c>
      <c r="I40" s="18" t="n">
        <v>0</v>
      </c>
      <c r="J40" s="20" t="n">
        <v>0</v>
      </c>
      <c r="K40" s="18" t="n">
        <v>0.41280262</v>
      </c>
      <c r="L40" s="20" t="n">
        <v>0.23296824</v>
      </c>
      <c r="M40" s="18" t="n">
        <v>0</v>
      </c>
      <c r="N40" s="20" t="n">
        <v>0</v>
      </c>
      <c r="O40" s="18" t="n">
        <v>0</v>
      </c>
      <c r="P40" s="20" t="n">
        <v>0</v>
      </c>
      <c r="Q40" s="18" t="n">
        <v>0.402078</v>
      </c>
      <c r="R40" s="20" t="n">
        <v>0.21936675</v>
      </c>
    </row>
    <row r="41" spans="1:18">
      <c r="A41" s="15" t="s">
        <v>599</v>
      </c>
      <c r="B41" s="17" t="n">
        <v>5712</v>
      </c>
      <c r="C41" s="18">
        <f>(5100.0/B41*100)</f>
        <v/>
      </c>
      <c r="D41" s="19" t="n">
        <v>612</v>
      </c>
      <c r="E41" s="18" t="n">
        <v>31.88970511</v>
      </c>
      <c r="F41" s="20" t="n">
        <v>1.99812813</v>
      </c>
      <c r="G41" s="18" t="n">
        <v>66.35761893999999</v>
      </c>
      <c r="H41" s="20" t="n">
        <v>2.05728661</v>
      </c>
      <c r="I41" s="18" t="n">
        <v>0</v>
      </c>
      <c r="J41" s="20" t="n">
        <v>0</v>
      </c>
      <c r="K41" s="18" t="n">
        <v>1.05232292</v>
      </c>
      <c r="L41" s="20" t="n">
        <v>0.49726718</v>
      </c>
      <c r="M41" s="18" t="n">
        <v>0</v>
      </c>
      <c r="N41" s="20" t="n">
        <v>0</v>
      </c>
      <c r="O41" s="18" t="n">
        <v>0</v>
      </c>
      <c r="P41" s="20" t="n">
        <v>0</v>
      </c>
      <c r="Q41" s="18" t="n">
        <v>0.70035302</v>
      </c>
      <c r="R41" s="20" t="n">
        <v>0.61260261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(21010.0/B46*100)</f>
        <v/>
      </c>
      <c r="D46" s="19" t="n">
        <v>2131</v>
      </c>
      <c r="E46" s="18" t="n">
        <v>47.07197581</v>
      </c>
      <c r="F46" s="20" t="n">
        <v>1.56293661</v>
      </c>
      <c r="G46" s="18" t="n">
        <v>50.21773769</v>
      </c>
      <c r="H46" s="20" t="n">
        <v>1.55043164</v>
      </c>
      <c r="I46" s="18" t="n">
        <v>0</v>
      </c>
      <c r="J46" s="20" t="n">
        <v>0</v>
      </c>
      <c r="K46" s="18" t="n">
        <v>1.35912478</v>
      </c>
      <c r="L46" s="20" t="n">
        <v>0.42550156</v>
      </c>
      <c r="M46" s="18" t="n">
        <v>0</v>
      </c>
      <c r="N46" s="20" t="n">
        <v>0</v>
      </c>
      <c r="O46" s="18" t="n">
        <v>0</v>
      </c>
      <c r="P46" s="20" t="n">
        <v>0</v>
      </c>
      <c r="Q46" s="18" t="n">
        <v>1.35116172</v>
      </c>
      <c r="R46" s="20" t="n">
        <v>0.30693469</v>
      </c>
    </row>
    <row r="47" spans="1:18">
      <c r="A47" s="15" t="s">
        <v>606</v>
      </c>
      <c r="B47" s="17" t="n">
        <v>5928</v>
      </c>
      <c r="C47" s="18">
        <f>(5296.0/B47*100)</f>
        <v/>
      </c>
      <c r="D47" s="19" t="n">
        <v>632</v>
      </c>
      <c r="E47" s="18" t="n">
        <v>35.57473923</v>
      </c>
      <c r="F47" s="20" t="n">
        <v>2.11068736</v>
      </c>
      <c r="G47" s="18" t="n">
        <v>62.93300683</v>
      </c>
      <c r="H47" s="20" t="n">
        <v>2.12057165</v>
      </c>
      <c r="I47" s="18" t="n">
        <v>0</v>
      </c>
      <c r="J47" s="20" t="n">
        <v>0</v>
      </c>
      <c r="K47" s="18" t="n">
        <v>0.73232959</v>
      </c>
      <c r="L47" s="20" t="n">
        <v>0.33735956</v>
      </c>
      <c r="M47" s="18" t="n">
        <v>0</v>
      </c>
      <c r="N47" s="20" t="n">
        <v>0</v>
      </c>
      <c r="O47" s="18" t="n">
        <v>0</v>
      </c>
      <c r="P47" s="20" t="n">
        <v>0</v>
      </c>
      <c r="Q47" s="18" t="n">
        <v>0.75992434</v>
      </c>
      <c r="R47" s="20" t="n">
        <v>0.3978779</v>
      </c>
    </row>
    <row r="48" spans="1:18">
      <c r="A48" s="15" t="s">
        <v>607</v>
      </c>
      <c r="B48" s="17" t="n">
        <v>9841</v>
      </c>
      <c r="C48" s="18">
        <f>(8732.0/B48*100)</f>
        <v/>
      </c>
      <c r="D48" s="19" t="n">
        <v>1109</v>
      </c>
      <c r="E48" s="18" t="n">
        <v>30.04295392</v>
      </c>
      <c r="F48" s="20" t="n">
        <v>1.61304259</v>
      </c>
      <c r="G48" s="18" t="n">
        <v>68.69333940999999</v>
      </c>
      <c r="H48" s="20" t="n">
        <v>1.71285919</v>
      </c>
      <c r="I48" s="18" t="n">
        <v>0</v>
      </c>
      <c r="J48" s="20" t="n">
        <v>0</v>
      </c>
      <c r="K48" s="18" t="n">
        <v>1.262004</v>
      </c>
      <c r="L48" s="20" t="n">
        <v>0.50101389</v>
      </c>
      <c r="M48" s="18" t="n">
        <v>0</v>
      </c>
      <c r="N48" s="20" t="n">
        <v>0</v>
      </c>
      <c r="O48" s="18" t="n">
        <v>0</v>
      </c>
      <c r="P48" s="20" t="n">
        <v>0</v>
      </c>
      <c r="Q48" s="18" t="n">
        <v>0.00170268</v>
      </c>
      <c r="R48" s="20" t="n">
        <v>0.00168188</v>
      </c>
    </row>
    <row r="49" spans="1:18">
      <c r="A49" s="15" t="s">
        <v>608</v>
      </c>
      <c r="B49" s="17" t="n">
        <v>11795</v>
      </c>
      <c r="C49" s="18">
        <f>(10509.0/B49*100)</f>
        <v/>
      </c>
      <c r="D49" s="19" t="n">
        <v>1286</v>
      </c>
      <c r="E49" s="18" t="n">
        <v>39.10959896</v>
      </c>
      <c r="F49" s="20" t="n">
        <v>1.71251659</v>
      </c>
      <c r="G49" s="18" t="n">
        <v>57.53066919</v>
      </c>
      <c r="H49" s="20" t="n">
        <v>1.90339914</v>
      </c>
      <c r="I49" s="18" t="n">
        <v>0</v>
      </c>
      <c r="J49" s="20" t="n">
        <v>0</v>
      </c>
      <c r="K49" s="18" t="n">
        <v>2.82056211</v>
      </c>
      <c r="L49" s="20" t="n">
        <v>0.6979021399999999</v>
      </c>
      <c r="M49" s="18" t="n">
        <v>0</v>
      </c>
      <c r="N49" s="20" t="n">
        <v>0</v>
      </c>
      <c r="O49" s="18" t="n">
        <v>0</v>
      </c>
      <c r="P49" s="20" t="n">
        <v>0</v>
      </c>
      <c r="Q49" s="18" t="n">
        <v>0.53916974</v>
      </c>
      <c r="R49" s="20" t="n">
        <v>0.26835537</v>
      </c>
    </row>
    <row r="50" spans="1:18">
      <c r="A50" s="15" t="s">
        <v>609</v>
      </c>
      <c r="B50" s="17" t="n">
        <v>6866</v>
      </c>
      <c r="C50" s="18">
        <f>(6204.0/B50*100)</f>
        <v/>
      </c>
      <c r="D50" s="19" t="n">
        <v>662</v>
      </c>
      <c r="E50" s="18" t="n">
        <v>38.38778694</v>
      </c>
      <c r="F50" s="20" t="n">
        <v>2.24723489</v>
      </c>
      <c r="G50" s="18" t="n">
        <v>59.48182054</v>
      </c>
      <c r="H50" s="20" t="n">
        <v>2.28229442</v>
      </c>
      <c r="I50" s="18" t="n">
        <v>0</v>
      </c>
      <c r="J50" s="20" t="n">
        <v>0</v>
      </c>
      <c r="K50" s="18" t="n">
        <v>1.05157383</v>
      </c>
      <c r="L50" s="20" t="n">
        <v>0.42535235</v>
      </c>
      <c r="M50" s="18" t="n">
        <v>0</v>
      </c>
      <c r="N50" s="20" t="n">
        <v>0</v>
      </c>
      <c r="O50" s="18" t="n">
        <v>0</v>
      </c>
      <c r="P50" s="20" t="n">
        <v>0</v>
      </c>
      <c r="Q50" s="18" t="n">
        <v>1.07881869</v>
      </c>
      <c r="R50" s="20" t="n">
        <v>0.37183569</v>
      </c>
    </row>
    <row r="51" spans="1:18">
      <c r="A51" s="15" t="s">
        <v>610</v>
      </c>
      <c r="B51" s="17" t="n">
        <v>5809</v>
      </c>
      <c r="C51" s="18">
        <f>(5118.0/B51*100)</f>
        <v/>
      </c>
      <c r="D51" s="19" t="n">
        <v>691</v>
      </c>
      <c r="E51" s="18" t="n">
        <v>31.7734169</v>
      </c>
      <c r="F51" s="20" t="n">
        <v>2.16213759</v>
      </c>
      <c r="G51" s="18" t="n">
        <v>67.09370656999999</v>
      </c>
      <c r="H51" s="20" t="n">
        <v>2.16608418</v>
      </c>
      <c r="I51" s="18" t="n">
        <v>0</v>
      </c>
      <c r="J51" s="20" t="n">
        <v>0</v>
      </c>
      <c r="K51" s="18" t="n">
        <v>0.38691657</v>
      </c>
      <c r="L51" s="20" t="n">
        <v>0.22623538</v>
      </c>
      <c r="M51" s="18" t="n">
        <v>0</v>
      </c>
      <c r="N51" s="20" t="n">
        <v>0</v>
      </c>
      <c r="O51" s="18" t="n">
        <v>0</v>
      </c>
      <c r="P51" s="20" t="n">
        <v>0</v>
      </c>
      <c r="Q51" s="18" t="n">
        <v>0.74595995</v>
      </c>
      <c r="R51" s="20" t="n">
        <v>0.37690527</v>
      </c>
    </row>
    <row r="52" spans="1:18">
      <c r="A52" s="15" t="s">
        <v>611</v>
      </c>
      <c r="B52" s="17" t="n">
        <v>5571</v>
      </c>
      <c r="C52" s="18">
        <f>(4986.0/B52*100)</f>
        <v/>
      </c>
      <c r="D52" s="19" t="n">
        <v>585</v>
      </c>
      <c r="E52" s="18" t="n">
        <v>38.19212056</v>
      </c>
      <c r="F52" s="20" t="n">
        <v>1.94672796</v>
      </c>
      <c r="G52" s="18" t="n">
        <v>60.41545645</v>
      </c>
      <c r="H52" s="20" t="n">
        <v>1.86937034</v>
      </c>
      <c r="I52" s="18" t="n">
        <v>0</v>
      </c>
      <c r="J52" s="20" t="n">
        <v>0</v>
      </c>
      <c r="K52" s="18" t="n">
        <v>0.88247369</v>
      </c>
      <c r="L52" s="20" t="n">
        <v>0.37479099</v>
      </c>
      <c r="M52" s="18" t="n">
        <v>0</v>
      </c>
      <c r="N52" s="20" t="n">
        <v>0</v>
      </c>
      <c r="O52" s="18" t="n">
        <v>0</v>
      </c>
      <c r="P52" s="20" t="n">
        <v>0</v>
      </c>
      <c r="Q52" s="18" t="n">
        <v>0.5099493</v>
      </c>
      <c r="R52" s="20" t="n">
        <v>0.30808615</v>
      </c>
    </row>
    <row r="53" spans="1:18">
      <c r="A53" s="15" t="s">
        <v>612</v>
      </c>
      <c r="B53" s="17" t="n">
        <v>4740</v>
      </c>
      <c r="C53" s="18">
        <f>(4230.0/B53*100)</f>
        <v/>
      </c>
      <c r="D53" s="19" t="n">
        <v>510</v>
      </c>
      <c r="E53" s="18" t="n">
        <v>50.84426348</v>
      </c>
      <c r="F53" s="20" t="n">
        <v>2.64172587</v>
      </c>
      <c r="G53" s="18" t="n">
        <v>33.38639726</v>
      </c>
      <c r="H53" s="20" t="n">
        <v>2.66382168</v>
      </c>
      <c r="I53" s="18" t="n">
        <v>0</v>
      </c>
      <c r="J53" s="20" t="n">
        <v>0</v>
      </c>
      <c r="K53" s="18" t="n">
        <v>14.37132173</v>
      </c>
      <c r="L53" s="20" t="n">
        <v>1.73189084</v>
      </c>
      <c r="M53" s="18" t="n">
        <v>0</v>
      </c>
      <c r="N53" s="20" t="n">
        <v>0</v>
      </c>
      <c r="O53" s="18" t="n">
        <v>0</v>
      </c>
      <c r="P53" s="20" t="n">
        <v>0</v>
      </c>
      <c r="Q53" s="18" t="n">
        <v>1.39801754</v>
      </c>
      <c r="R53" s="20" t="n">
        <v>0.55931396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(4738.0/B55*100)</f>
        <v/>
      </c>
      <c r="D55" s="19" t="n">
        <v>621</v>
      </c>
      <c r="E55" s="18" t="n">
        <v>34.69749778</v>
      </c>
      <c r="F55" s="20" t="n">
        <v>1.87933289</v>
      </c>
      <c r="G55" s="18" t="n">
        <v>64.63611932000001</v>
      </c>
      <c r="H55" s="20" t="n">
        <v>1.86100646</v>
      </c>
      <c r="I55" s="18" t="n">
        <v>0</v>
      </c>
      <c r="J55" s="20" t="n">
        <v>0</v>
      </c>
      <c r="K55" s="18" t="n">
        <v>0.30808099</v>
      </c>
      <c r="L55" s="20" t="n">
        <v>0.22149277</v>
      </c>
      <c r="M55" s="18" t="n">
        <v>0</v>
      </c>
      <c r="N55" s="20" t="n">
        <v>0</v>
      </c>
      <c r="O55" s="18" t="n">
        <v>0</v>
      </c>
      <c r="P55" s="20" t="n">
        <v>0</v>
      </c>
      <c r="Q55" s="18" t="n">
        <v>0.3583019</v>
      </c>
      <c r="R55" s="20" t="n">
        <v>0.2746725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(5762.0/B61*100)</f>
        <v/>
      </c>
      <c r="D61" s="19" t="n">
        <v>763</v>
      </c>
      <c r="E61" s="18" t="n">
        <v>32.11602922</v>
      </c>
      <c r="F61" s="20" t="n">
        <v>1.93899626</v>
      </c>
      <c r="G61" s="18" t="n">
        <v>67.47830322</v>
      </c>
      <c r="H61" s="20" t="n">
        <v>1.94058297</v>
      </c>
      <c r="I61" s="18" t="n">
        <v>0</v>
      </c>
      <c r="J61" s="20" t="n">
        <v>0</v>
      </c>
      <c r="K61" s="18" t="n">
        <v>0.03129574</v>
      </c>
      <c r="L61" s="20" t="n">
        <v>0.03137124</v>
      </c>
      <c r="M61" s="18" t="n">
        <v>0</v>
      </c>
      <c r="N61" s="20" t="n">
        <v>0</v>
      </c>
      <c r="O61" s="18" t="n">
        <v>0</v>
      </c>
      <c r="P61" s="20" t="n">
        <v>0</v>
      </c>
      <c r="Q61" s="18" t="n">
        <v>0.37437183</v>
      </c>
      <c r="R61" s="20" t="n">
        <v>0.18000411</v>
      </c>
    </row>
    <row r="62" spans="1:18">
      <c r="A62" s="15" t="s">
        <v>622</v>
      </c>
      <c r="B62" s="17" t="n">
        <v>4476</v>
      </c>
      <c r="C62" s="18">
        <f>(4008.0/B62*100)</f>
        <v/>
      </c>
      <c r="D62" s="19" t="n">
        <v>468</v>
      </c>
      <c r="E62" s="18" t="n">
        <v>33.59710571</v>
      </c>
      <c r="F62" s="20" t="n">
        <v>2.38762615</v>
      </c>
      <c r="G62" s="18" t="n">
        <v>65.97785602</v>
      </c>
      <c r="H62" s="20" t="n">
        <v>2.41930607</v>
      </c>
      <c r="I62" s="18" t="n">
        <v>0</v>
      </c>
      <c r="J62" s="20" t="n">
        <v>0</v>
      </c>
      <c r="K62" s="18" t="n">
        <v>0.21251914</v>
      </c>
      <c r="L62" s="20" t="n">
        <v>0.21338831</v>
      </c>
      <c r="M62" s="18" t="n">
        <v>0</v>
      </c>
      <c r="N62" s="20" t="n">
        <v>0</v>
      </c>
      <c r="O62" s="18" t="n">
        <v>0</v>
      </c>
      <c r="P62" s="20" t="n">
        <v>0</v>
      </c>
      <c r="Q62" s="18" t="n">
        <v>0.21251914</v>
      </c>
      <c r="R62" s="20" t="n">
        <v>0.21416667</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(5035.0/B67*100)</f>
        <v/>
      </c>
      <c r="D67" s="19" t="n">
        <v>630</v>
      </c>
      <c r="E67" s="18" t="n">
        <v>43.1938786</v>
      </c>
      <c r="F67" s="20" t="n">
        <v>2.07008032</v>
      </c>
      <c r="G67" s="18" t="n">
        <v>51.02073076</v>
      </c>
      <c r="H67" s="20" t="n">
        <v>2.15524526</v>
      </c>
      <c r="I67" s="18" t="n">
        <v>0</v>
      </c>
      <c r="J67" s="20" t="n">
        <v>0</v>
      </c>
      <c r="K67" s="18" t="n">
        <v>2.39414489</v>
      </c>
      <c r="L67" s="20" t="n">
        <v>0.5719376</v>
      </c>
      <c r="M67" s="18" t="n">
        <v>0</v>
      </c>
      <c r="N67" s="20" t="n">
        <v>0</v>
      </c>
      <c r="O67" s="18" t="n">
        <v>0</v>
      </c>
      <c r="P67" s="20" t="n">
        <v>0</v>
      </c>
      <c r="Q67" s="18" t="n">
        <v>3.39124575</v>
      </c>
      <c r="R67" s="20" t="n">
        <v>0.6405555000000001</v>
      </c>
    </row>
    <row r="68" spans="1:18">
      <c r="A68" s="15" t="s">
        <v>628</v>
      </c>
      <c r="B68" s="17" t="n">
        <v>6971</v>
      </c>
      <c r="C68" s="18">
        <f>(6272.0/B68*100)</f>
        <v/>
      </c>
      <c r="D68" s="19" t="n">
        <v>699</v>
      </c>
      <c r="E68" s="18" t="n">
        <v>46.49099609</v>
      </c>
      <c r="F68" s="20" t="n">
        <v>1.94478029</v>
      </c>
      <c r="G68" s="18" t="n">
        <v>53.00651875</v>
      </c>
      <c r="H68" s="20" t="n">
        <v>1.94796431</v>
      </c>
      <c r="I68" s="18" t="n">
        <v>0</v>
      </c>
      <c r="J68" s="20" t="n">
        <v>0</v>
      </c>
      <c r="K68" s="18" t="n">
        <v>0</v>
      </c>
      <c r="L68" s="20" t="n">
        <v>0</v>
      </c>
      <c r="M68" s="18" t="n">
        <v>0</v>
      </c>
      <c r="N68" s="20" t="n">
        <v>0</v>
      </c>
      <c r="O68" s="18" t="n">
        <v>0</v>
      </c>
      <c r="P68" s="20" t="n">
        <v>0</v>
      </c>
      <c r="Q68" s="18" t="n">
        <v>0.50248516</v>
      </c>
      <c r="R68" s="20" t="n">
        <v>0.29800838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(10771.0/B70*100)</f>
        <v/>
      </c>
      <c r="D70" s="19" t="n">
        <v>1312</v>
      </c>
      <c r="E70" s="18" t="n">
        <v>46.45901645</v>
      </c>
      <c r="F70" s="20" t="n">
        <v>1.53605529</v>
      </c>
      <c r="G70" s="18" t="n">
        <v>49.77561939</v>
      </c>
      <c r="H70" s="20" t="n">
        <v>1.45753506</v>
      </c>
      <c r="I70" s="18" t="n">
        <v>0</v>
      </c>
      <c r="J70" s="20" t="n">
        <v>0</v>
      </c>
      <c r="K70" s="18" t="n">
        <v>2.11889871</v>
      </c>
      <c r="L70" s="20" t="n">
        <v>0.40767148</v>
      </c>
      <c r="M70" s="18" t="n">
        <v>0</v>
      </c>
      <c r="N70" s="20" t="n">
        <v>0</v>
      </c>
      <c r="O70" s="18" t="n">
        <v>0</v>
      </c>
      <c r="P70" s="20" t="n">
        <v>0</v>
      </c>
      <c r="Q70" s="18" t="n">
        <v>1.64646546</v>
      </c>
      <c r="R70" s="20" t="n">
        <v>0.38689376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(5379.0/B72*100)</f>
        <v/>
      </c>
      <c r="D72" s="19" t="n">
        <v>657</v>
      </c>
      <c r="E72" s="18" t="n">
        <v>22.74004996</v>
      </c>
      <c r="F72" s="20" t="n">
        <v>1.59575358</v>
      </c>
      <c r="G72" s="18" t="n">
        <v>76.20067306999999</v>
      </c>
      <c r="H72" s="20" t="n">
        <v>1.66876525</v>
      </c>
      <c r="I72" s="18" t="n">
        <v>0</v>
      </c>
      <c r="J72" s="20" t="n">
        <v>0</v>
      </c>
      <c r="K72" s="18" t="n">
        <v>0.25037886</v>
      </c>
      <c r="L72" s="20" t="n">
        <v>0.14587619</v>
      </c>
      <c r="M72" s="18" t="n">
        <v>0</v>
      </c>
      <c r="N72" s="20" t="n">
        <v>0</v>
      </c>
      <c r="O72" s="18" t="n">
        <v>0</v>
      </c>
      <c r="P72" s="20" t="n">
        <v>0</v>
      </c>
      <c r="Q72" s="18" t="n">
        <v>0.8088981200000001</v>
      </c>
      <c r="R72" s="20" t="n">
        <v>0.68791285</v>
      </c>
    </row>
    <row r="73" spans="1:18">
      <c r="A73" s="15" t="s">
        <v>633</v>
      </c>
      <c r="B73" s="17" t="n">
        <v>6115</v>
      </c>
      <c r="C73" s="18">
        <f>(5463.0/B73*100)</f>
        <v/>
      </c>
      <c r="D73" s="19" t="n">
        <v>652</v>
      </c>
      <c r="E73" s="18" t="n">
        <v>21.54969309</v>
      </c>
      <c r="F73" s="20" t="n">
        <v>1.71642351</v>
      </c>
      <c r="G73" s="18" t="n">
        <v>78.11527346</v>
      </c>
      <c r="H73" s="20" t="n">
        <v>1.73690298</v>
      </c>
      <c r="I73" s="18" t="n">
        <v>0</v>
      </c>
      <c r="J73" s="20" t="n">
        <v>0</v>
      </c>
      <c r="K73" s="18" t="n">
        <v>0.16458722</v>
      </c>
      <c r="L73" s="20" t="n">
        <v>0.16330423</v>
      </c>
      <c r="M73" s="18" t="n">
        <v>0</v>
      </c>
      <c r="N73" s="20" t="n">
        <v>0</v>
      </c>
      <c r="O73" s="18" t="n">
        <v>0</v>
      </c>
      <c r="P73" s="20" t="n">
        <v>0</v>
      </c>
      <c r="Q73" s="18" t="n">
        <v>0.17044623</v>
      </c>
      <c r="R73" s="20" t="n">
        <v>0.1704536</v>
      </c>
    </row>
    <row r="74" spans="1:18">
      <c r="A74" s="15" t="s">
        <v>634</v>
      </c>
      <c r="B74" s="17" t="n">
        <v>7708</v>
      </c>
      <c r="C74" s="18">
        <f>(6844.0/B74*100)</f>
        <v/>
      </c>
      <c r="D74" s="19" t="n">
        <v>864</v>
      </c>
      <c r="E74" s="18" t="n">
        <v>23.21586587</v>
      </c>
      <c r="F74" s="20" t="n">
        <v>1.58129264</v>
      </c>
      <c r="G74" s="18" t="n">
        <v>76.27678364</v>
      </c>
      <c r="H74" s="20" t="n">
        <v>1.59274364</v>
      </c>
      <c r="I74" s="18" t="n">
        <v>0</v>
      </c>
      <c r="J74" s="20" t="n">
        <v>0</v>
      </c>
      <c r="K74" s="18" t="n">
        <v>0.24442352</v>
      </c>
      <c r="L74" s="20" t="n">
        <v>0.18399791</v>
      </c>
      <c r="M74" s="18" t="n">
        <v>0</v>
      </c>
      <c r="N74" s="20" t="n">
        <v>0</v>
      </c>
      <c r="O74" s="18" t="n">
        <v>0</v>
      </c>
      <c r="P74" s="20" t="n">
        <v>0</v>
      </c>
      <c r="Q74" s="18" t="n">
        <v>0.26292697</v>
      </c>
      <c r="R74" s="20" t="n">
        <v>0.16721704</v>
      </c>
    </row>
    <row r="75" spans="1:18">
      <c r="A75" s="15" t="s">
        <v>635</v>
      </c>
      <c r="B75" s="17" t="n">
        <v>8249</v>
      </c>
      <c r="C75" s="18">
        <f>(7362.0/B75*100)</f>
        <v/>
      </c>
      <c r="D75" s="19" t="n">
        <v>887</v>
      </c>
      <c r="E75" s="18" t="n">
        <v>46.01667729</v>
      </c>
      <c r="F75" s="20" t="n">
        <v>1.98570543</v>
      </c>
      <c r="G75" s="18" t="n">
        <v>53.3276556</v>
      </c>
      <c r="H75" s="20" t="n">
        <v>1.98970176</v>
      </c>
      <c r="I75" s="18" t="n">
        <v>0</v>
      </c>
      <c r="J75" s="20" t="n">
        <v>0</v>
      </c>
      <c r="K75" s="18" t="n">
        <v>0.1952318</v>
      </c>
      <c r="L75" s="20" t="n">
        <v>0.16127467</v>
      </c>
      <c r="M75" s="18" t="n">
        <v>0</v>
      </c>
      <c r="N75" s="20" t="n">
        <v>0</v>
      </c>
      <c r="O75" s="18" t="n">
        <v>0</v>
      </c>
      <c r="P75" s="20" t="n">
        <v>0</v>
      </c>
      <c r="Q75" s="18" t="n">
        <v>0.46043531</v>
      </c>
      <c r="R75" s="20" t="n">
        <v>0.28492156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(4827.0/B77*100)</f>
        <v/>
      </c>
      <c r="D77" s="19" t="n">
        <v>548</v>
      </c>
      <c r="E77" s="18" t="n">
        <v>42.35291211</v>
      </c>
      <c r="F77" s="20" t="n">
        <v>2.05274732</v>
      </c>
      <c r="G77" s="18" t="n">
        <v>51.39681818</v>
      </c>
      <c r="H77" s="20" t="n">
        <v>2.03118147</v>
      </c>
      <c r="I77" s="18" t="n">
        <v>0</v>
      </c>
      <c r="J77" s="20" t="n">
        <v>0</v>
      </c>
      <c r="K77" s="18" t="n">
        <v>4.54484648</v>
      </c>
      <c r="L77" s="20" t="n">
        <v>0.93820794</v>
      </c>
      <c r="M77" s="18" t="n">
        <v>0</v>
      </c>
      <c r="N77" s="20" t="n">
        <v>0</v>
      </c>
      <c r="O77" s="18" t="n">
        <v>0</v>
      </c>
      <c r="P77" s="20" t="n">
        <v>0</v>
      </c>
      <c r="Q77" s="18" t="n">
        <v>1.70542323</v>
      </c>
      <c r="R77" s="20" t="n">
        <v>0.5688183999999999</v>
      </c>
    </row>
    <row r="78" spans="1:18">
      <c r="A78" s="15" t="s">
        <v>638</v>
      </c>
      <c r="B78" s="17" t="n">
        <v>14167</v>
      </c>
      <c r="C78" s="18">
        <f>(12563.0/B78*100)</f>
        <v/>
      </c>
      <c r="D78" s="19" t="n">
        <v>1604</v>
      </c>
      <c r="E78" s="18" t="n">
        <v>42.96964294</v>
      </c>
      <c r="F78" s="20" t="n">
        <v>1.49861131</v>
      </c>
      <c r="G78" s="18" t="n">
        <v>54.348294</v>
      </c>
      <c r="H78" s="20" t="n">
        <v>1.39529069</v>
      </c>
      <c r="I78" s="18" t="n">
        <v>0</v>
      </c>
      <c r="J78" s="20" t="n">
        <v>0</v>
      </c>
      <c r="K78" s="18" t="n">
        <v>1.03188263</v>
      </c>
      <c r="L78" s="20" t="n">
        <v>0.29492241</v>
      </c>
      <c r="M78" s="18" t="n">
        <v>0</v>
      </c>
      <c r="N78" s="20" t="n">
        <v>0</v>
      </c>
      <c r="O78" s="18" t="n">
        <v>0</v>
      </c>
      <c r="P78" s="20" t="n">
        <v>0</v>
      </c>
      <c r="Q78" s="18" t="n">
        <v>1.65018043</v>
      </c>
      <c r="R78" s="20" t="n">
        <v>0.4054852</v>
      </c>
    </row>
    <row r="79" spans="1:18">
      <c r="A79" s="15" t="s">
        <v>639</v>
      </c>
      <c r="B79" s="17" t="n">
        <v>6062</v>
      </c>
      <c r="C79" s="18">
        <f>(5404.0/B79*100)</f>
        <v/>
      </c>
      <c r="D79" s="19" t="n">
        <v>658</v>
      </c>
      <c r="E79" s="18" t="n">
        <v>44.16470492</v>
      </c>
      <c r="F79" s="20" t="n">
        <v>1.95276864</v>
      </c>
      <c r="G79" s="18" t="n">
        <v>52.09714335</v>
      </c>
      <c r="H79" s="20" t="n">
        <v>1.98029952</v>
      </c>
      <c r="I79" s="18" t="n">
        <v>0</v>
      </c>
      <c r="J79" s="20" t="n">
        <v>0</v>
      </c>
      <c r="K79" s="18" t="n">
        <v>2.63419866</v>
      </c>
      <c r="L79" s="20" t="n">
        <v>0.76854073</v>
      </c>
      <c r="M79" s="18" t="n">
        <v>0</v>
      </c>
      <c r="N79" s="20" t="n">
        <v>0</v>
      </c>
      <c r="O79" s="18" t="n">
        <v>0</v>
      </c>
      <c r="P79" s="20" t="n">
        <v>0</v>
      </c>
      <c r="Q79" s="18" t="n">
        <v>1.10395306</v>
      </c>
      <c r="R79" s="20" t="n">
        <v>0.43212257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(28875.0/B82*100)</f>
        <v/>
      </c>
      <c r="D82" s="19" t="n">
        <v>3455</v>
      </c>
      <c r="E82" s="18" t="n">
        <v>30.38813134</v>
      </c>
      <c r="F82" s="20" t="n">
        <v>1.01285939</v>
      </c>
      <c r="G82" s="18" t="n">
        <v>68.41521346</v>
      </c>
      <c r="H82" s="20" t="n">
        <v>1.0593443</v>
      </c>
      <c r="I82" s="18" t="n">
        <v>0</v>
      </c>
      <c r="J82" s="20" t="n">
        <v>0</v>
      </c>
      <c r="K82" s="18" t="n">
        <v>0.5327699299999999</v>
      </c>
      <c r="L82" s="20" t="n">
        <v>0.15215305</v>
      </c>
      <c r="M82" s="18" t="n">
        <v>0</v>
      </c>
      <c r="N82" s="20" t="n">
        <v>0</v>
      </c>
      <c r="O82" s="18" t="n">
        <v>0</v>
      </c>
      <c r="P82" s="20" t="n">
        <v>0</v>
      </c>
      <c r="Q82" s="18" t="n">
        <v>0.66388528</v>
      </c>
      <c r="R82" s="20" t="n">
        <v>0.14586827</v>
      </c>
    </row>
    <row r="83" spans="1:18">
      <c r="A83" s="15" t="s">
        <v>643</v>
      </c>
      <c r="B83" s="17" t="n">
        <v>1652</v>
      </c>
      <c r="C83" s="18">
        <f>(1466.0/B83*100)</f>
        <v/>
      </c>
      <c r="D83" s="19" t="n">
        <v>186</v>
      </c>
      <c r="E83" s="18" t="n">
        <v>25.07110177</v>
      </c>
      <c r="F83" s="20" t="n">
        <v>3.62024008</v>
      </c>
      <c r="G83" s="18" t="n">
        <v>74.92889823</v>
      </c>
      <c r="H83" s="20" t="n">
        <v>3.62024008</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(1692.0/B84*100)</f>
        <v/>
      </c>
      <c r="D84" s="19" t="n">
        <v>195</v>
      </c>
      <c r="E84" s="18" t="n">
        <v>33.57667447</v>
      </c>
      <c r="F84" s="20" t="n">
        <v>3.01798857</v>
      </c>
      <c r="G84" s="18" t="n">
        <v>64.69873391</v>
      </c>
      <c r="H84" s="20" t="n">
        <v>3.33317549</v>
      </c>
      <c r="I84" s="18" t="n">
        <v>0</v>
      </c>
      <c r="J84" s="20" t="n">
        <v>0</v>
      </c>
      <c r="K84" s="18" t="n">
        <v>0</v>
      </c>
      <c r="L84" s="20" t="n">
        <v>0</v>
      </c>
      <c r="M84" s="18" t="n">
        <v>0</v>
      </c>
      <c r="N84" s="20" t="n">
        <v>0</v>
      </c>
      <c r="O84" s="18" t="n">
        <v>0</v>
      </c>
      <c r="P84" s="20" t="n">
        <v>0</v>
      </c>
      <c r="Q84" s="18" t="n">
        <v>1.72459162</v>
      </c>
      <c r="R84" s="20" t="n">
        <v>1.03259058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(12938.0/B7*100)</f>
        <v/>
      </c>
      <c r="D7" s="19" t="n">
        <v>1592</v>
      </c>
      <c r="E7" s="18" t="n">
        <v>49.35316854</v>
      </c>
      <c r="F7" s="20" t="n">
        <v>1.59680613</v>
      </c>
      <c r="G7" s="18" t="n">
        <v>37.57636389</v>
      </c>
      <c r="H7" s="20" t="n">
        <v>1.69333117</v>
      </c>
      <c r="I7" s="18" t="n">
        <v>0</v>
      </c>
      <c r="J7" s="20" t="n">
        <v>0</v>
      </c>
      <c r="K7" s="18" t="n">
        <v>1.11496666</v>
      </c>
      <c r="L7" s="20" t="n">
        <v>0.35172761</v>
      </c>
      <c r="M7" s="18" t="n">
        <v>0.02544792</v>
      </c>
      <c r="N7" s="20" t="n">
        <v>0.01410792</v>
      </c>
      <c r="O7" s="18" t="n">
        <v>0</v>
      </c>
      <c r="P7" s="20" t="n">
        <v>0</v>
      </c>
      <c r="Q7" s="18" t="n">
        <v>11.93005299</v>
      </c>
      <c r="R7" s="20" t="n">
        <v>0.81788425</v>
      </c>
    </row>
    <row r="8" spans="1:18">
      <c r="A8" s="15" t="s">
        <v>566</v>
      </c>
      <c r="B8" s="17" t="n">
        <v>7007</v>
      </c>
      <c r="C8" s="18">
        <f>(6203.0/B8*100)</f>
        <v/>
      </c>
      <c r="D8" s="19" t="n">
        <v>804</v>
      </c>
      <c r="E8" s="18" t="n">
        <v>56.88191353</v>
      </c>
      <c r="F8" s="20" t="n">
        <v>1.94716567</v>
      </c>
      <c r="G8" s="18" t="n">
        <v>22.89079886</v>
      </c>
      <c r="H8" s="20" t="n">
        <v>1.30435743</v>
      </c>
      <c r="I8" s="18" t="n">
        <v>0</v>
      </c>
      <c r="J8" s="20" t="n">
        <v>0</v>
      </c>
      <c r="K8" s="18" t="n">
        <v>0.93339371</v>
      </c>
      <c r="L8" s="20" t="n">
        <v>0.41526484</v>
      </c>
      <c r="M8" s="18" t="n">
        <v>0</v>
      </c>
      <c r="N8" s="20" t="n">
        <v>0</v>
      </c>
      <c r="O8" s="18" t="n">
        <v>0</v>
      </c>
      <c r="P8" s="20" t="n">
        <v>0</v>
      </c>
      <c r="Q8" s="18" t="n">
        <v>19.29389389</v>
      </c>
      <c r="R8" s="20" t="n">
        <v>1.56273599</v>
      </c>
    </row>
    <row r="9" spans="1:18">
      <c r="A9" s="15" t="s">
        <v>567</v>
      </c>
      <c r="B9" s="17" t="n">
        <v>9651</v>
      </c>
      <c r="C9" s="18">
        <f>(8635.0/B9*100)</f>
        <v/>
      </c>
      <c r="D9" s="19" t="n">
        <v>1016</v>
      </c>
      <c r="E9" s="18" t="n">
        <v>57.85044352</v>
      </c>
      <c r="F9" s="20" t="n">
        <v>1.73549729</v>
      </c>
      <c r="G9" s="18" t="n">
        <v>23.86101594</v>
      </c>
      <c r="H9" s="20" t="n">
        <v>1.28803815</v>
      </c>
      <c r="I9" s="18" t="n">
        <v>0</v>
      </c>
      <c r="J9" s="20" t="n">
        <v>0</v>
      </c>
      <c r="K9" s="18" t="n">
        <v>1.41285491</v>
      </c>
      <c r="L9" s="20" t="n">
        <v>0.41420819</v>
      </c>
      <c r="M9" s="18" t="n">
        <v>0.15633514</v>
      </c>
      <c r="N9" s="20" t="n">
        <v>0.11014714</v>
      </c>
      <c r="O9" s="18" t="n">
        <v>0</v>
      </c>
      <c r="P9" s="20" t="n">
        <v>0</v>
      </c>
      <c r="Q9" s="18" t="n">
        <v>16.71935049</v>
      </c>
      <c r="R9" s="20" t="n">
        <v>1.31577392</v>
      </c>
    </row>
    <row r="10" spans="1:18">
      <c r="A10" s="15" t="s">
        <v>568</v>
      </c>
      <c r="B10" s="17" t="n">
        <v>20058</v>
      </c>
      <c r="C10" s="18">
        <f>(17931.0/B10*100)</f>
        <v/>
      </c>
      <c r="D10" s="19" t="n">
        <v>2127</v>
      </c>
      <c r="E10" s="18" t="n">
        <v>48.49033561</v>
      </c>
      <c r="F10" s="20" t="n">
        <v>1.33433557</v>
      </c>
      <c r="G10" s="18" t="n">
        <v>43.05229408</v>
      </c>
      <c r="H10" s="20" t="n">
        <v>1.50131694</v>
      </c>
      <c r="I10" s="18" t="n">
        <v>0</v>
      </c>
      <c r="J10" s="20" t="n">
        <v>0</v>
      </c>
      <c r="K10" s="18" t="n">
        <v>0.93398868</v>
      </c>
      <c r="L10" s="20" t="n">
        <v>0.28125309</v>
      </c>
      <c r="M10" s="18" t="n">
        <v>0</v>
      </c>
      <c r="N10" s="20" t="n">
        <v>0</v>
      </c>
      <c r="O10" s="18" t="n">
        <v>0</v>
      </c>
      <c r="P10" s="20" t="n">
        <v>0</v>
      </c>
      <c r="Q10" s="18" t="n">
        <v>7.52338162</v>
      </c>
      <c r="R10" s="20" t="n">
        <v>0.91566541</v>
      </c>
    </row>
    <row r="11" spans="1:18">
      <c r="A11" s="15" t="s">
        <v>569</v>
      </c>
      <c r="B11" s="17" t="n">
        <v>7053</v>
      </c>
      <c r="C11" s="18">
        <f>(6306.0/B11*100)</f>
        <v/>
      </c>
      <c r="D11" s="19" t="n">
        <v>747</v>
      </c>
      <c r="E11" s="18" t="n">
        <v>54.9670352</v>
      </c>
      <c r="F11" s="20" t="n">
        <v>1.95519296</v>
      </c>
      <c r="G11" s="18" t="n">
        <v>23.02828053</v>
      </c>
      <c r="H11" s="20" t="n">
        <v>1.49668901</v>
      </c>
      <c r="I11" s="18" t="n">
        <v>0</v>
      </c>
      <c r="J11" s="20" t="n">
        <v>0</v>
      </c>
      <c r="K11" s="18" t="n">
        <v>2.91563703</v>
      </c>
      <c r="L11" s="20" t="n">
        <v>0.71737704</v>
      </c>
      <c r="M11" s="18" t="n">
        <v>0</v>
      </c>
      <c r="N11" s="20" t="n">
        <v>0</v>
      </c>
      <c r="O11" s="18" t="n">
        <v>0</v>
      </c>
      <c r="P11" s="20" t="n">
        <v>0</v>
      </c>
      <c r="Q11" s="18" t="n">
        <v>19.08904725</v>
      </c>
      <c r="R11" s="20" t="n">
        <v>1.60004721</v>
      </c>
    </row>
    <row r="12" spans="1:18">
      <c r="A12" s="15" t="s">
        <v>570</v>
      </c>
      <c r="B12" s="17" t="n">
        <v>6894</v>
      </c>
      <c r="C12" s="18">
        <f>(6138.0/B12*100)</f>
        <v/>
      </c>
      <c r="D12" s="19" t="n">
        <v>756</v>
      </c>
      <c r="E12" s="18" t="n">
        <v>56.34782847</v>
      </c>
      <c r="F12" s="20" t="n">
        <v>2.30122355</v>
      </c>
      <c r="G12" s="18" t="n">
        <v>16.65377552</v>
      </c>
      <c r="H12" s="20" t="n">
        <v>1.61501301</v>
      </c>
      <c r="I12" s="18" t="n">
        <v>0</v>
      </c>
      <c r="J12" s="20" t="n">
        <v>0</v>
      </c>
      <c r="K12" s="18" t="n">
        <v>0.81295723</v>
      </c>
      <c r="L12" s="20" t="n">
        <v>0.29234491</v>
      </c>
      <c r="M12" s="18" t="n">
        <v>0</v>
      </c>
      <c r="N12" s="20" t="n">
        <v>0</v>
      </c>
      <c r="O12" s="18" t="n">
        <v>0</v>
      </c>
      <c r="P12" s="20" t="n">
        <v>0</v>
      </c>
      <c r="Q12" s="18" t="n">
        <v>26.18543878</v>
      </c>
      <c r="R12" s="20" t="n">
        <v>1.99467619</v>
      </c>
    </row>
    <row r="13" spans="1:18">
      <c r="A13" s="15" t="s">
        <v>571</v>
      </c>
      <c r="B13" s="17" t="n">
        <v>7161</v>
      </c>
      <c r="C13" s="18">
        <f>(6400.0/B13*100)</f>
        <v/>
      </c>
      <c r="D13" s="19" t="n">
        <v>761</v>
      </c>
      <c r="E13" s="18" t="n">
        <v>59.59373439</v>
      </c>
      <c r="F13" s="20" t="n">
        <v>2.17442837</v>
      </c>
      <c r="G13" s="18" t="n">
        <v>26.86349902</v>
      </c>
      <c r="H13" s="20" t="n">
        <v>1.79817544</v>
      </c>
      <c r="I13" s="18" t="n">
        <v>0</v>
      </c>
      <c r="J13" s="20" t="n">
        <v>0</v>
      </c>
      <c r="K13" s="18" t="n">
        <v>1.24045656</v>
      </c>
      <c r="L13" s="20" t="n">
        <v>0.44908187</v>
      </c>
      <c r="M13" s="18" t="n">
        <v>0</v>
      </c>
      <c r="N13" s="20" t="n">
        <v>0</v>
      </c>
      <c r="O13" s="18" t="n">
        <v>0</v>
      </c>
      <c r="P13" s="20" t="n">
        <v>0</v>
      </c>
      <c r="Q13" s="18" t="n">
        <v>12.30231004</v>
      </c>
      <c r="R13" s="20" t="n">
        <v>1.29652838</v>
      </c>
    </row>
    <row r="14" spans="1:18">
      <c r="A14" s="15" t="s">
        <v>572</v>
      </c>
      <c r="B14" s="17" t="n">
        <v>5587</v>
      </c>
      <c r="C14" s="18">
        <f>(5001.0/B14*100)</f>
        <v/>
      </c>
      <c r="D14" s="19" t="n">
        <v>586</v>
      </c>
      <c r="E14" s="18" t="n">
        <v>29.7748135</v>
      </c>
      <c r="F14" s="20" t="n">
        <v>2.13088556</v>
      </c>
      <c r="G14" s="18" t="n">
        <v>60.71989163</v>
      </c>
      <c r="H14" s="20" t="n">
        <v>2.18975441</v>
      </c>
      <c r="I14" s="18" t="n">
        <v>0</v>
      </c>
      <c r="J14" s="20" t="n">
        <v>0</v>
      </c>
      <c r="K14" s="18" t="n">
        <v>0.57889409</v>
      </c>
      <c r="L14" s="20" t="n">
        <v>0.29460968</v>
      </c>
      <c r="M14" s="18" t="n">
        <v>0</v>
      </c>
      <c r="N14" s="20" t="n">
        <v>0</v>
      </c>
      <c r="O14" s="18" t="n">
        <v>0</v>
      </c>
      <c r="P14" s="20" t="n">
        <v>0</v>
      </c>
      <c r="Q14" s="18" t="n">
        <v>8.92640078</v>
      </c>
      <c r="R14" s="20" t="n">
        <v>1.18292301</v>
      </c>
    </row>
    <row r="15" spans="1:18">
      <c r="A15" s="15" t="s">
        <v>573</v>
      </c>
      <c r="B15" s="17" t="n">
        <v>5882</v>
      </c>
      <c r="C15" s="18">
        <f>(5255.0/B15*100)</f>
        <v/>
      </c>
      <c r="D15" s="19" t="n">
        <v>627</v>
      </c>
      <c r="E15" s="18" t="n">
        <v>51.32375403</v>
      </c>
      <c r="F15" s="20" t="n">
        <v>1.80496617</v>
      </c>
      <c r="G15" s="18" t="n">
        <v>36.87115102</v>
      </c>
      <c r="H15" s="20" t="n">
        <v>1.82261672</v>
      </c>
      <c r="I15" s="18" t="n">
        <v>0</v>
      </c>
      <c r="J15" s="20" t="n">
        <v>0</v>
      </c>
      <c r="K15" s="18" t="n">
        <v>0.6083219600000001</v>
      </c>
      <c r="L15" s="20" t="n">
        <v>0.29781177</v>
      </c>
      <c r="M15" s="18" t="n">
        <v>0</v>
      </c>
      <c r="N15" s="20" t="n">
        <v>0</v>
      </c>
      <c r="O15" s="18" t="n">
        <v>0</v>
      </c>
      <c r="P15" s="20" t="n">
        <v>0</v>
      </c>
      <c r="Q15" s="18" t="n">
        <v>11.196773</v>
      </c>
      <c r="R15" s="20" t="n">
        <v>1.27607777</v>
      </c>
    </row>
    <row r="16" spans="1:18">
      <c r="A16" s="15" t="s">
        <v>574</v>
      </c>
      <c r="B16" s="17" t="n">
        <v>6108</v>
      </c>
      <c r="C16" s="18">
        <f>(5481.0/B16*100)</f>
        <v/>
      </c>
      <c r="D16" s="19" t="n">
        <v>627</v>
      </c>
      <c r="E16" s="18" t="n">
        <v>50.91303157</v>
      </c>
      <c r="F16" s="20" t="n">
        <v>2.0598537</v>
      </c>
      <c r="G16" s="18" t="n">
        <v>24.38878894</v>
      </c>
      <c r="H16" s="20" t="n">
        <v>1.76237101</v>
      </c>
      <c r="I16" s="18" t="n">
        <v>0</v>
      </c>
      <c r="J16" s="20" t="n">
        <v>0</v>
      </c>
      <c r="K16" s="18" t="n">
        <v>3.06870365</v>
      </c>
      <c r="L16" s="20" t="n">
        <v>0.82428169</v>
      </c>
      <c r="M16" s="18" t="n">
        <v>0.24391709</v>
      </c>
      <c r="N16" s="20" t="n">
        <v>0.19590607</v>
      </c>
      <c r="O16" s="18" t="n">
        <v>0</v>
      </c>
      <c r="P16" s="20" t="n">
        <v>0</v>
      </c>
      <c r="Q16" s="18" t="n">
        <v>21.38555875</v>
      </c>
      <c r="R16" s="20" t="n">
        <v>1.90499034</v>
      </c>
    </row>
    <row r="17" spans="1:18">
      <c r="A17" s="15" t="s">
        <v>575</v>
      </c>
      <c r="B17" s="17" t="n">
        <v>6504</v>
      </c>
      <c r="C17" s="18">
        <f>(5790.0/B17*100)</f>
        <v/>
      </c>
      <c r="D17" s="19" t="n">
        <v>714</v>
      </c>
      <c r="E17" s="18" t="n">
        <v>53.49840017</v>
      </c>
      <c r="F17" s="20" t="n">
        <v>2.06185895</v>
      </c>
      <c r="G17" s="18" t="n">
        <v>23.9149848</v>
      </c>
      <c r="H17" s="20" t="n">
        <v>1.83710103</v>
      </c>
      <c r="I17" s="18" t="n">
        <v>0</v>
      </c>
      <c r="J17" s="20" t="n">
        <v>0</v>
      </c>
      <c r="K17" s="18" t="n">
        <v>1.27742406</v>
      </c>
      <c r="L17" s="20" t="n">
        <v>0.56217302</v>
      </c>
      <c r="M17" s="18" t="n">
        <v>0</v>
      </c>
      <c r="N17" s="20" t="n">
        <v>0</v>
      </c>
      <c r="O17" s="18" t="n">
        <v>0</v>
      </c>
      <c r="P17" s="20" t="n">
        <v>0</v>
      </c>
      <c r="Q17" s="18" t="n">
        <v>21.30919098</v>
      </c>
      <c r="R17" s="20" t="n">
        <v>1.77395823</v>
      </c>
    </row>
    <row r="18" spans="1:18">
      <c r="A18" s="15" t="s">
        <v>576</v>
      </c>
      <c r="B18" s="17" t="n">
        <v>5532</v>
      </c>
      <c r="C18" s="18">
        <f>(4935.0/B18*100)</f>
        <v/>
      </c>
      <c r="D18" s="19" t="n">
        <v>597</v>
      </c>
      <c r="E18" s="18" t="n">
        <v>53.97229986</v>
      </c>
      <c r="F18" s="20" t="n">
        <v>2.10258753</v>
      </c>
      <c r="G18" s="18" t="n">
        <v>31.52958293</v>
      </c>
      <c r="H18" s="20" t="n">
        <v>1.7968251</v>
      </c>
      <c r="I18" s="18" t="n">
        <v>0</v>
      </c>
      <c r="J18" s="20" t="n">
        <v>0</v>
      </c>
      <c r="K18" s="18" t="n">
        <v>1.51939704</v>
      </c>
      <c r="L18" s="20" t="n">
        <v>0.55723566</v>
      </c>
      <c r="M18" s="18" t="n">
        <v>0.15389327</v>
      </c>
      <c r="N18" s="20" t="n">
        <v>0.15478266</v>
      </c>
      <c r="O18" s="18" t="n">
        <v>0</v>
      </c>
      <c r="P18" s="20" t="n">
        <v>0</v>
      </c>
      <c r="Q18" s="18" t="n">
        <v>12.82482691</v>
      </c>
      <c r="R18" s="20" t="n">
        <v>1.71566805</v>
      </c>
    </row>
    <row r="19" spans="1:18">
      <c r="A19" s="15" t="s">
        <v>577</v>
      </c>
      <c r="B19" s="17" t="n">
        <v>5658</v>
      </c>
      <c r="C19" s="18">
        <f>(5025.0/B19*100)</f>
        <v/>
      </c>
      <c r="D19" s="19" t="n">
        <v>633</v>
      </c>
      <c r="E19" s="18" t="n">
        <v>34.9460465</v>
      </c>
      <c r="F19" s="20" t="n">
        <v>1.99940674</v>
      </c>
      <c r="G19" s="18" t="n">
        <v>39.92062516</v>
      </c>
      <c r="H19" s="20" t="n">
        <v>2.17458284</v>
      </c>
      <c r="I19" s="18" t="n">
        <v>0</v>
      </c>
      <c r="J19" s="20" t="n">
        <v>0</v>
      </c>
      <c r="K19" s="18" t="n">
        <v>1.69768163</v>
      </c>
      <c r="L19" s="20" t="n">
        <v>0.55533794</v>
      </c>
      <c r="M19" s="18" t="n">
        <v>0</v>
      </c>
      <c r="N19" s="20" t="n">
        <v>0</v>
      </c>
      <c r="O19" s="18" t="n">
        <v>0</v>
      </c>
      <c r="P19" s="20" t="n">
        <v>0</v>
      </c>
      <c r="Q19" s="18" t="n">
        <v>23.43564671</v>
      </c>
      <c r="R19" s="20" t="n">
        <v>1.79227155</v>
      </c>
    </row>
    <row r="20" spans="1:18">
      <c r="A20" s="15" t="s">
        <v>578</v>
      </c>
      <c r="B20" s="17" t="n">
        <v>3371</v>
      </c>
      <c r="C20" s="18">
        <f>(3001.0/B20*100)</f>
        <v/>
      </c>
      <c r="D20" s="19" t="n">
        <v>370</v>
      </c>
      <c r="E20" s="18" t="n">
        <v>61.39816377</v>
      </c>
      <c r="F20" s="20" t="n">
        <v>2.77729735</v>
      </c>
      <c r="G20" s="18" t="n">
        <v>16.9301492</v>
      </c>
      <c r="H20" s="20" t="n">
        <v>2.00712289</v>
      </c>
      <c r="I20" s="18" t="n">
        <v>0</v>
      </c>
      <c r="J20" s="20" t="n">
        <v>0</v>
      </c>
      <c r="K20" s="18" t="n">
        <v>2.79788786</v>
      </c>
      <c r="L20" s="20" t="n">
        <v>0.81584841</v>
      </c>
      <c r="M20" s="18" t="n">
        <v>0</v>
      </c>
      <c r="N20" s="20" t="n">
        <v>0</v>
      </c>
      <c r="O20" s="18" t="n">
        <v>0</v>
      </c>
      <c r="P20" s="20" t="n">
        <v>0</v>
      </c>
      <c r="Q20" s="18" t="n">
        <v>18.87379917</v>
      </c>
      <c r="R20" s="20" t="n">
        <v>2.13385526</v>
      </c>
    </row>
    <row r="21" spans="1:18">
      <c r="A21" s="15" t="s">
        <v>579</v>
      </c>
      <c r="B21" s="17" t="n">
        <v>5741</v>
      </c>
      <c r="C21" s="18">
        <f>(5120.0/B21*100)</f>
        <v/>
      </c>
      <c r="D21" s="19" t="n">
        <v>621</v>
      </c>
      <c r="E21" s="18" t="n">
        <v>46.99101022</v>
      </c>
      <c r="F21" s="20" t="n">
        <v>2.12705937</v>
      </c>
      <c r="G21" s="18" t="n">
        <v>39.1786099</v>
      </c>
      <c r="H21" s="20" t="n">
        <v>2.35064207</v>
      </c>
      <c r="I21" s="18" t="n">
        <v>0</v>
      </c>
      <c r="J21" s="20" t="n">
        <v>0</v>
      </c>
      <c r="K21" s="18" t="n">
        <v>0.17603543</v>
      </c>
      <c r="L21" s="20" t="n">
        <v>0.21989862</v>
      </c>
      <c r="M21" s="18" t="n">
        <v>0</v>
      </c>
      <c r="N21" s="20" t="n">
        <v>0</v>
      </c>
      <c r="O21" s="18" t="n">
        <v>0</v>
      </c>
      <c r="P21" s="20" t="n">
        <v>0</v>
      </c>
      <c r="Q21" s="18" t="n">
        <v>13.65434445</v>
      </c>
      <c r="R21" s="20" t="n">
        <v>1.44628371</v>
      </c>
    </row>
    <row r="22" spans="1:18">
      <c r="A22" s="15" t="s">
        <v>580</v>
      </c>
      <c r="B22" s="17" t="n">
        <v>6598</v>
      </c>
      <c r="C22" s="18">
        <f>(5854.0/B22*100)</f>
        <v/>
      </c>
      <c r="D22" s="19" t="n">
        <v>744</v>
      </c>
      <c r="E22" s="18" t="n">
        <v>54.24858136</v>
      </c>
      <c r="F22" s="20" t="n">
        <v>2.00229006</v>
      </c>
      <c r="G22" s="18" t="n">
        <v>26.91712302</v>
      </c>
      <c r="H22" s="20" t="n">
        <v>1.8822648</v>
      </c>
      <c r="I22" s="18" t="n">
        <v>0</v>
      </c>
      <c r="J22" s="20" t="n">
        <v>0</v>
      </c>
      <c r="K22" s="18" t="n">
        <v>3.54752661</v>
      </c>
      <c r="L22" s="20" t="n">
        <v>0.58413836</v>
      </c>
      <c r="M22" s="18" t="n">
        <v>0</v>
      </c>
      <c r="N22" s="20" t="n">
        <v>0</v>
      </c>
      <c r="O22" s="18" t="n">
        <v>0</v>
      </c>
      <c r="P22" s="20" t="n">
        <v>0</v>
      </c>
      <c r="Q22" s="18" t="n">
        <v>15.28676901</v>
      </c>
      <c r="R22" s="20" t="n">
        <v>1.50104611</v>
      </c>
    </row>
    <row r="23" spans="1:18">
      <c r="A23" s="15" t="s">
        <v>581</v>
      </c>
      <c r="B23" s="17" t="n">
        <v>11583</v>
      </c>
      <c r="C23" s="18">
        <f>(10310.0/B23*100)</f>
        <v/>
      </c>
      <c r="D23" s="19" t="n">
        <v>1273</v>
      </c>
      <c r="E23" s="18" t="n">
        <v>45.54466392</v>
      </c>
      <c r="F23" s="20" t="n">
        <v>2.06008615</v>
      </c>
      <c r="G23" s="18" t="n">
        <v>30.16735544</v>
      </c>
      <c r="H23" s="20" t="n">
        <v>1.79737813</v>
      </c>
      <c r="I23" s="18" t="n">
        <v>0</v>
      </c>
      <c r="J23" s="20" t="n">
        <v>0</v>
      </c>
      <c r="K23" s="18" t="n">
        <v>1.70243241</v>
      </c>
      <c r="L23" s="20" t="n">
        <v>0.44801891</v>
      </c>
      <c r="M23" s="18" t="n">
        <v>0.09020285</v>
      </c>
      <c r="N23" s="20" t="n">
        <v>0.09688455999999999</v>
      </c>
      <c r="O23" s="18" t="n">
        <v>0</v>
      </c>
      <c r="P23" s="20" t="n">
        <v>0</v>
      </c>
      <c r="Q23" s="18" t="n">
        <v>22.49534538</v>
      </c>
      <c r="R23" s="20" t="n">
        <v>1.88531848</v>
      </c>
    </row>
    <row r="24" spans="1:18">
      <c r="A24" s="15" t="s">
        <v>582</v>
      </c>
      <c r="B24" s="17" t="n">
        <v>6647</v>
      </c>
      <c r="C24" s="18">
        <f>(5895.0/B24*100)</f>
        <v/>
      </c>
      <c r="D24" s="19" t="n">
        <v>752</v>
      </c>
      <c r="E24" s="18" t="n">
        <v>37.06615545</v>
      </c>
      <c r="F24" s="20" t="n">
        <v>1.70814508</v>
      </c>
      <c r="G24" s="18" t="n">
        <v>49.19149161</v>
      </c>
      <c r="H24" s="20" t="n">
        <v>2.06898423</v>
      </c>
      <c r="I24" s="18" t="n">
        <v>0</v>
      </c>
      <c r="J24" s="20" t="n">
        <v>0</v>
      </c>
      <c r="K24" s="18" t="n">
        <v>1.1039511</v>
      </c>
      <c r="L24" s="20" t="n">
        <v>0.4497835</v>
      </c>
      <c r="M24" s="18" t="n">
        <v>0</v>
      </c>
      <c r="N24" s="20" t="n">
        <v>0</v>
      </c>
      <c r="O24" s="18" t="n">
        <v>0</v>
      </c>
      <c r="P24" s="20" t="n">
        <v>0</v>
      </c>
      <c r="Q24" s="18" t="n">
        <v>12.63840184</v>
      </c>
      <c r="R24" s="20" t="n">
        <v>1.40690804</v>
      </c>
    </row>
    <row r="25" spans="1:18">
      <c r="A25" s="15" t="s">
        <v>583</v>
      </c>
      <c r="B25" s="17" t="n">
        <v>5581</v>
      </c>
      <c r="C25" s="18">
        <f>(4970.0/B25*100)</f>
        <v/>
      </c>
      <c r="D25" s="19" t="n">
        <v>611</v>
      </c>
      <c r="E25" s="18" t="n">
        <v>42.28526882</v>
      </c>
      <c r="F25" s="20" t="n">
        <v>2.47389548</v>
      </c>
      <c r="G25" s="18" t="n">
        <v>45.40004028</v>
      </c>
      <c r="H25" s="20" t="n">
        <v>2.47254522</v>
      </c>
      <c r="I25" s="18" t="n">
        <v>0</v>
      </c>
      <c r="J25" s="20" t="n">
        <v>0</v>
      </c>
      <c r="K25" s="18" t="n">
        <v>0.48309664</v>
      </c>
      <c r="L25" s="20" t="n">
        <v>0.27989469</v>
      </c>
      <c r="M25" s="18" t="n">
        <v>0</v>
      </c>
      <c r="N25" s="20" t="n">
        <v>0</v>
      </c>
      <c r="O25" s="18" t="n">
        <v>0</v>
      </c>
      <c r="P25" s="20" t="n">
        <v>0</v>
      </c>
      <c r="Q25" s="18" t="n">
        <v>11.83159426</v>
      </c>
      <c r="R25" s="20" t="n">
        <v>1.30905741</v>
      </c>
    </row>
    <row r="26" spans="1:18">
      <c r="A26" s="15" t="s">
        <v>584</v>
      </c>
      <c r="B26" s="17" t="n">
        <v>4869</v>
      </c>
      <c r="C26" s="18">
        <f>(4361.0/B26*100)</f>
        <v/>
      </c>
      <c r="D26" s="19" t="n">
        <v>508</v>
      </c>
      <c r="E26" s="18" t="n">
        <v>55.08130054</v>
      </c>
      <c r="F26" s="20" t="n">
        <v>2.48040363</v>
      </c>
      <c r="G26" s="18" t="n">
        <v>28.37371352</v>
      </c>
      <c r="H26" s="20" t="n">
        <v>2.00429675</v>
      </c>
      <c r="I26" s="18" t="n">
        <v>0</v>
      </c>
      <c r="J26" s="20" t="n">
        <v>0</v>
      </c>
      <c r="K26" s="18" t="n">
        <v>0.31421499</v>
      </c>
      <c r="L26" s="20" t="n">
        <v>0.22069828</v>
      </c>
      <c r="M26" s="18" t="n">
        <v>0</v>
      </c>
      <c r="N26" s="20" t="n">
        <v>0</v>
      </c>
      <c r="O26" s="18" t="n">
        <v>0</v>
      </c>
      <c r="P26" s="20" t="n">
        <v>0</v>
      </c>
      <c r="Q26" s="18" t="n">
        <v>16.23077095</v>
      </c>
      <c r="R26" s="20" t="n">
        <v>1.97544574</v>
      </c>
    </row>
    <row r="27" spans="1:18">
      <c r="A27" s="15" t="s">
        <v>585</v>
      </c>
      <c r="B27" s="17" t="n">
        <v>5299</v>
      </c>
      <c r="C27" s="18">
        <f>(4749.0/B27*100)</f>
        <v/>
      </c>
      <c r="D27" s="19" t="n">
        <v>550</v>
      </c>
      <c r="E27" s="18" t="n">
        <v>51.29608298</v>
      </c>
      <c r="F27" s="20" t="n">
        <v>1.85539377</v>
      </c>
      <c r="G27" s="18" t="n">
        <v>26.41918641</v>
      </c>
      <c r="H27" s="20" t="n">
        <v>1.96471886</v>
      </c>
      <c r="I27" s="18" t="n">
        <v>0</v>
      </c>
      <c r="J27" s="20" t="n">
        <v>0</v>
      </c>
      <c r="K27" s="18" t="n">
        <v>1.27844622</v>
      </c>
      <c r="L27" s="20" t="n">
        <v>0.48166678</v>
      </c>
      <c r="M27" s="18" t="n">
        <v>0</v>
      </c>
      <c r="N27" s="20" t="n">
        <v>0</v>
      </c>
      <c r="O27" s="18" t="n">
        <v>0</v>
      </c>
      <c r="P27" s="20" t="n">
        <v>0</v>
      </c>
      <c r="Q27" s="18" t="n">
        <v>21.00628438</v>
      </c>
      <c r="R27" s="20" t="n">
        <v>2.0077072</v>
      </c>
    </row>
    <row r="28" spans="1:18">
      <c r="A28" s="15" t="s">
        <v>586</v>
      </c>
      <c r="B28" s="17" t="n">
        <v>7568</v>
      </c>
      <c r="C28" s="18">
        <f>(6812.0/B28*100)</f>
        <v/>
      </c>
      <c r="D28" s="19" t="n">
        <v>756</v>
      </c>
      <c r="E28" s="18" t="n">
        <v>65.27891526000001</v>
      </c>
      <c r="F28" s="20" t="n">
        <v>2.01314852</v>
      </c>
      <c r="G28" s="18" t="n">
        <v>28.62091542</v>
      </c>
      <c r="H28" s="20" t="n">
        <v>1.89653479</v>
      </c>
      <c r="I28" s="18" t="n">
        <v>0</v>
      </c>
      <c r="J28" s="20" t="n">
        <v>0</v>
      </c>
      <c r="K28" s="18" t="n">
        <v>1.14035045</v>
      </c>
      <c r="L28" s="20" t="n">
        <v>0.45461465</v>
      </c>
      <c r="M28" s="18" t="n">
        <v>0</v>
      </c>
      <c r="N28" s="20" t="n">
        <v>0</v>
      </c>
      <c r="O28" s="18" t="n">
        <v>0</v>
      </c>
      <c r="P28" s="20" t="n">
        <v>0</v>
      </c>
      <c r="Q28" s="18" t="n">
        <v>4.95981887</v>
      </c>
      <c r="R28" s="20" t="n">
        <v>1.04102401</v>
      </c>
    </row>
    <row r="29" spans="1:18">
      <c r="A29" s="15" t="s">
        <v>587</v>
      </c>
      <c r="B29" s="17" t="n">
        <v>5385</v>
      </c>
      <c r="C29" s="18">
        <f>(4774.0/B29*100)</f>
        <v/>
      </c>
      <c r="D29" s="19" t="n">
        <v>611</v>
      </c>
      <c r="E29" s="18" t="n">
        <v>62.42975467</v>
      </c>
      <c r="F29" s="20" t="n">
        <v>1.84637836</v>
      </c>
      <c r="G29" s="18" t="n">
        <v>29.69706851</v>
      </c>
      <c r="H29" s="20" t="n">
        <v>1.50267488</v>
      </c>
      <c r="I29" s="18" t="n">
        <v>0</v>
      </c>
      <c r="J29" s="20" t="n">
        <v>0</v>
      </c>
      <c r="K29" s="18" t="n">
        <v>0.32260693</v>
      </c>
      <c r="L29" s="20" t="n">
        <v>0.21801431</v>
      </c>
      <c r="M29" s="18" t="n">
        <v>0</v>
      </c>
      <c r="N29" s="20" t="n">
        <v>0</v>
      </c>
      <c r="O29" s="18" t="n">
        <v>0</v>
      </c>
      <c r="P29" s="20" t="n">
        <v>0</v>
      </c>
      <c r="Q29" s="18" t="n">
        <v>7.55056989</v>
      </c>
      <c r="R29" s="20" t="n">
        <v>1.06673846</v>
      </c>
    </row>
    <row r="30" spans="1:18">
      <c r="A30" s="15" t="s">
        <v>588</v>
      </c>
      <c r="B30" s="17" t="n">
        <v>4520</v>
      </c>
      <c r="C30" s="18">
        <f>(4052.0/B30*100)</f>
        <v/>
      </c>
      <c r="D30" s="19" t="n">
        <v>468</v>
      </c>
      <c r="E30" s="18" t="n">
        <v>50.03241778</v>
      </c>
      <c r="F30" s="20" t="n">
        <v>2.72775699</v>
      </c>
      <c r="G30" s="18" t="n">
        <v>33.04878656</v>
      </c>
      <c r="H30" s="20" t="n">
        <v>2.47896147</v>
      </c>
      <c r="I30" s="18" t="n">
        <v>0</v>
      </c>
      <c r="J30" s="20" t="n">
        <v>0</v>
      </c>
      <c r="K30" s="18" t="n">
        <v>1.69113392</v>
      </c>
      <c r="L30" s="20" t="n">
        <v>0.60554306</v>
      </c>
      <c r="M30" s="18" t="n">
        <v>0.22041129</v>
      </c>
      <c r="N30" s="20" t="n">
        <v>0.21332312</v>
      </c>
      <c r="O30" s="18" t="n">
        <v>0</v>
      </c>
      <c r="P30" s="20" t="n">
        <v>0</v>
      </c>
      <c r="Q30" s="18" t="n">
        <v>15.00725045</v>
      </c>
      <c r="R30" s="20" t="n">
        <v>1.73700608</v>
      </c>
    </row>
    <row r="31" spans="1:18">
      <c r="A31" s="15" t="s">
        <v>589</v>
      </c>
      <c r="B31" s="17" t="n">
        <v>5456</v>
      </c>
      <c r="C31" s="18">
        <f>(4861.0/B31*100)</f>
        <v/>
      </c>
      <c r="D31" s="19" t="n">
        <v>595</v>
      </c>
      <c r="E31" s="18" t="n">
        <v>62.84975523</v>
      </c>
      <c r="F31" s="20" t="n">
        <v>2.16140187</v>
      </c>
      <c r="G31" s="18" t="n">
        <v>18.21809835</v>
      </c>
      <c r="H31" s="20" t="n">
        <v>1.92033664</v>
      </c>
      <c r="I31" s="18" t="n">
        <v>0</v>
      </c>
      <c r="J31" s="20" t="n">
        <v>0</v>
      </c>
      <c r="K31" s="18" t="n">
        <v>2.45446324</v>
      </c>
      <c r="L31" s="20" t="n">
        <v>0.59128413</v>
      </c>
      <c r="M31" s="18" t="n">
        <v>0</v>
      </c>
      <c r="N31" s="20" t="n">
        <v>0</v>
      </c>
      <c r="O31" s="18" t="n">
        <v>0</v>
      </c>
      <c r="P31" s="20" t="n">
        <v>0</v>
      </c>
      <c r="Q31" s="18" t="n">
        <v>16.47768319</v>
      </c>
      <c r="R31" s="20" t="n">
        <v>1.63976026</v>
      </c>
    </row>
    <row r="32" spans="1:18">
      <c r="A32" s="15" t="s">
        <v>590</v>
      </c>
      <c r="B32" s="17" t="n">
        <v>4478</v>
      </c>
      <c r="C32" s="18">
        <f>(3981.0/B32*100)</f>
        <v/>
      </c>
      <c r="D32" s="19" t="n">
        <v>497</v>
      </c>
      <c r="E32" s="18" t="n">
        <v>37.3365946</v>
      </c>
      <c r="F32" s="20" t="n">
        <v>2.07229964</v>
      </c>
      <c r="G32" s="18" t="n">
        <v>40.84427141</v>
      </c>
      <c r="H32" s="20" t="n">
        <v>2.09167414</v>
      </c>
      <c r="I32" s="18" t="n">
        <v>0</v>
      </c>
      <c r="J32" s="20" t="n">
        <v>0</v>
      </c>
      <c r="K32" s="18" t="n">
        <v>0.60129279</v>
      </c>
      <c r="L32" s="20" t="n">
        <v>0.35851567</v>
      </c>
      <c r="M32" s="18" t="n">
        <v>0.849238</v>
      </c>
      <c r="N32" s="20" t="n">
        <v>0.90049481</v>
      </c>
      <c r="O32" s="18" t="n">
        <v>0</v>
      </c>
      <c r="P32" s="20" t="n">
        <v>0</v>
      </c>
      <c r="Q32" s="18" t="n">
        <v>20.3686032</v>
      </c>
      <c r="R32" s="20" t="n">
        <v>1.93655433</v>
      </c>
    </row>
    <row r="33" spans="1:18">
      <c r="A33" s="15" t="s">
        <v>591</v>
      </c>
      <c r="B33" s="17" t="n">
        <v>7325</v>
      </c>
      <c r="C33" s="18">
        <f>(6571.0/B33*100)</f>
        <v/>
      </c>
      <c r="D33" s="19" t="n">
        <v>754</v>
      </c>
      <c r="E33" s="18" t="n">
        <v>53.34123938</v>
      </c>
      <c r="F33" s="20" t="n">
        <v>2.49790349</v>
      </c>
      <c r="G33" s="18" t="n">
        <v>30.21658844</v>
      </c>
      <c r="H33" s="20" t="n">
        <v>1.88121717</v>
      </c>
      <c r="I33" s="18" t="n">
        <v>0</v>
      </c>
      <c r="J33" s="20" t="n">
        <v>0</v>
      </c>
      <c r="K33" s="18" t="n">
        <v>1.02426328</v>
      </c>
      <c r="L33" s="20" t="n">
        <v>0.40717135</v>
      </c>
      <c r="M33" s="18" t="n">
        <v>0.3007163</v>
      </c>
      <c r="N33" s="20" t="n">
        <v>0.29937552</v>
      </c>
      <c r="O33" s="18" t="n">
        <v>0</v>
      </c>
      <c r="P33" s="20" t="n">
        <v>0</v>
      </c>
      <c r="Q33" s="18" t="n">
        <v>15.1171926</v>
      </c>
      <c r="R33" s="20" t="n">
        <v>1.66463035</v>
      </c>
    </row>
    <row r="34" spans="1:18">
      <c r="A34" s="15" t="s">
        <v>592</v>
      </c>
      <c r="B34" s="17" t="n">
        <v>6350</v>
      </c>
      <c r="C34" s="18">
        <f>(5657.0/B34*100)</f>
        <v/>
      </c>
      <c r="D34" s="19" t="n">
        <v>693</v>
      </c>
      <c r="E34" s="18" t="n">
        <v>59.71142286</v>
      </c>
      <c r="F34" s="20" t="n">
        <v>2.08712562</v>
      </c>
      <c r="G34" s="18" t="n">
        <v>19.41316921</v>
      </c>
      <c r="H34" s="20" t="n">
        <v>1.7056311</v>
      </c>
      <c r="I34" s="18" t="n">
        <v>0</v>
      </c>
      <c r="J34" s="20" t="n">
        <v>0</v>
      </c>
      <c r="K34" s="18" t="n">
        <v>0.36062104</v>
      </c>
      <c r="L34" s="20" t="n">
        <v>0.19376382</v>
      </c>
      <c r="M34" s="18" t="n">
        <v>0</v>
      </c>
      <c r="N34" s="20" t="n">
        <v>0</v>
      </c>
      <c r="O34" s="18" t="n">
        <v>0</v>
      </c>
      <c r="P34" s="20" t="n">
        <v>0</v>
      </c>
      <c r="Q34" s="18" t="n">
        <v>20.51478688</v>
      </c>
      <c r="R34" s="20" t="n">
        <v>1.67129323</v>
      </c>
    </row>
    <row r="35" spans="1:18">
      <c r="A35" s="15" t="s">
        <v>593</v>
      </c>
      <c r="B35" s="17" t="n">
        <v>6406</v>
      </c>
      <c r="C35" s="18">
        <f>(5704.0/B35*100)</f>
        <v/>
      </c>
      <c r="D35" s="19" t="n">
        <v>702</v>
      </c>
      <c r="E35" s="18" t="n">
        <v>42.63088124</v>
      </c>
      <c r="F35" s="20" t="n">
        <v>2.28277323</v>
      </c>
      <c r="G35" s="18" t="n">
        <v>44.81079132</v>
      </c>
      <c r="H35" s="20" t="n">
        <v>2.29914452</v>
      </c>
      <c r="I35" s="18" t="n">
        <v>0</v>
      </c>
      <c r="J35" s="20" t="n">
        <v>0</v>
      </c>
      <c r="K35" s="18" t="n">
        <v>1.263817</v>
      </c>
      <c r="L35" s="20" t="n">
        <v>0.5589610699999999</v>
      </c>
      <c r="M35" s="18" t="n">
        <v>0.24572902</v>
      </c>
      <c r="N35" s="20" t="n">
        <v>0.24467006</v>
      </c>
      <c r="O35" s="18" t="n">
        <v>0</v>
      </c>
      <c r="P35" s="20" t="n">
        <v>0</v>
      </c>
      <c r="Q35" s="18" t="n">
        <v>11.04878143</v>
      </c>
      <c r="R35" s="20" t="n">
        <v>1.12273069</v>
      </c>
    </row>
    <row r="36" spans="1:18">
      <c r="A36" s="15" t="s">
        <v>594</v>
      </c>
      <c r="B36" s="17" t="n">
        <v>6736</v>
      </c>
      <c r="C36" s="18">
        <f>(6045.0/B36*100)</f>
        <v/>
      </c>
      <c r="D36" s="19" t="n">
        <v>691</v>
      </c>
      <c r="E36" s="18" t="n">
        <v>51.44506197</v>
      </c>
      <c r="F36" s="20" t="n">
        <v>1.92305426</v>
      </c>
      <c r="G36" s="18" t="n">
        <v>34.51496148</v>
      </c>
      <c r="H36" s="20" t="n">
        <v>1.94792641</v>
      </c>
      <c r="I36" s="18" t="n">
        <v>0</v>
      </c>
      <c r="J36" s="20" t="n">
        <v>0</v>
      </c>
      <c r="K36" s="18" t="n">
        <v>0.44511174</v>
      </c>
      <c r="L36" s="20" t="n">
        <v>0.2070334</v>
      </c>
      <c r="M36" s="18" t="n">
        <v>0</v>
      </c>
      <c r="N36" s="20" t="n">
        <v>0</v>
      </c>
      <c r="O36" s="18" t="n">
        <v>0</v>
      </c>
      <c r="P36" s="20" t="n">
        <v>0</v>
      </c>
      <c r="Q36" s="18" t="n">
        <v>13.5948648</v>
      </c>
      <c r="R36" s="20" t="n">
        <v>1.20359367</v>
      </c>
    </row>
    <row r="37" spans="1:18">
      <c r="A37" s="15" t="s">
        <v>595</v>
      </c>
      <c r="B37" s="17" t="n">
        <v>5458</v>
      </c>
      <c r="C37" s="18">
        <f>(4884.0/B37*100)</f>
        <v/>
      </c>
      <c r="D37" s="19" t="n">
        <v>574</v>
      </c>
      <c r="E37" s="18" t="n">
        <v>44.81100543</v>
      </c>
      <c r="F37" s="20" t="n">
        <v>2.10819107</v>
      </c>
      <c r="G37" s="18" t="n">
        <v>26.72765089</v>
      </c>
      <c r="H37" s="20" t="n">
        <v>1.81202974</v>
      </c>
      <c r="I37" s="18" t="n">
        <v>0</v>
      </c>
      <c r="J37" s="20" t="n">
        <v>0</v>
      </c>
      <c r="K37" s="18" t="n">
        <v>2.72077921</v>
      </c>
      <c r="L37" s="20" t="n">
        <v>0.6768073</v>
      </c>
      <c r="M37" s="18" t="n">
        <v>0</v>
      </c>
      <c r="N37" s="20" t="n">
        <v>0</v>
      </c>
      <c r="O37" s="18" t="n">
        <v>0</v>
      </c>
      <c r="P37" s="20" t="n">
        <v>0</v>
      </c>
      <c r="Q37" s="18" t="n">
        <v>25.74056447</v>
      </c>
      <c r="R37" s="20" t="n">
        <v>2.15192969</v>
      </c>
    </row>
    <row r="38" spans="1:18">
      <c r="A38" s="15" t="s">
        <v>596</v>
      </c>
      <c r="B38" s="17" t="n">
        <v>5860</v>
      </c>
      <c r="C38" s="18">
        <f>(5233.0/B38*100)</f>
        <v/>
      </c>
      <c r="D38" s="19" t="n">
        <v>627</v>
      </c>
      <c r="E38" s="18" t="n">
        <v>45.64604158</v>
      </c>
      <c r="F38" s="20" t="n">
        <v>2.39272014</v>
      </c>
      <c r="G38" s="18" t="n">
        <v>33.44054812</v>
      </c>
      <c r="H38" s="20" t="n">
        <v>2.37460392</v>
      </c>
      <c r="I38" s="18" t="n">
        <v>0</v>
      </c>
      <c r="J38" s="20" t="n">
        <v>0</v>
      </c>
      <c r="K38" s="18" t="n">
        <v>1.44229715</v>
      </c>
      <c r="L38" s="20" t="n">
        <v>0.52404321</v>
      </c>
      <c r="M38" s="18" t="n">
        <v>4.46748153</v>
      </c>
      <c r="N38" s="20" t="n">
        <v>0.97938037</v>
      </c>
      <c r="O38" s="18" t="n">
        <v>0</v>
      </c>
      <c r="P38" s="20" t="n">
        <v>0</v>
      </c>
      <c r="Q38" s="18" t="n">
        <v>15.00363161</v>
      </c>
      <c r="R38" s="20" t="n">
        <v>1.85263682</v>
      </c>
    </row>
    <row r="39" spans="1:18">
      <c r="A39" s="15" t="s">
        <v>597</v>
      </c>
      <c r="B39" s="17" t="n">
        <v>5895</v>
      </c>
      <c r="C39" s="18">
        <f>(5224.0/B39*100)</f>
        <v/>
      </c>
      <c r="D39" s="19" t="n">
        <v>671</v>
      </c>
      <c r="E39" s="18" t="n">
        <v>63.21036071</v>
      </c>
      <c r="F39" s="20" t="n">
        <v>2.01006387</v>
      </c>
      <c r="G39" s="18" t="n">
        <v>17.82752691</v>
      </c>
      <c r="H39" s="20" t="n">
        <v>1.55977464</v>
      </c>
      <c r="I39" s="18" t="n">
        <v>0</v>
      </c>
      <c r="J39" s="20" t="n">
        <v>0</v>
      </c>
      <c r="K39" s="18" t="n">
        <v>0.96571844</v>
      </c>
      <c r="L39" s="20" t="n">
        <v>0.38244019</v>
      </c>
      <c r="M39" s="18" t="n">
        <v>0</v>
      </c>
      <c r="N39" s="20" t="n">
        <v>0</v>
      </c>
      <c r="O39" s="18" t="n">
        <v>0</v>
      </c>
      <c r="P39" s="20" t="n">
        <v>0</v>
      </c>
      <c r="Q39" s="18" t="n">
        <v>17.99639394</v>
      </c>
      <c r="R39" s="20" t="n">
        <v>1.49654829</v>
      </c>
    </row>
    <row r="40" spans="1:18">
      <c r="A40" s="15" t="s">
        <v>598</v>
      </c>
      <c r="B40" s="17" t="n">
        <v>14157</v>
      </c>
      <c r="C40" s="18">
        <f>(12630.0/B40*100)</f>
        <v/>
      </c>
      <c r="D40" s="19" t="n">
        <v>1527</v>
      </c>
      <c r="E40" s="18" t="n">
        <v>41.59263667</v>
      </c>
      <c r="F40" s="20" t="n">
        <v>1.93665347</v>
      </c>
      <c r="G40" s="18" t="n">
        <v>42.54568486</v>
      </c>
      <c r="H40" s="20" t="n">
        <v>2.02469718</v>
      </c>
      <c r="I40" s="18" t="n">
        <v>0</v>
      </c>
      <c r="J40" s="20" t="n">
        <v>0</v>
      </c>
      <c r="K40" s="18" t="n">
        <v>0.71050713</v>
      </c>
      <c r="L40" s="20" t="n">
        <v>0.27544946</v>
      </c>
      <c r="M40" s="18" t="n">
        <v>0</v>
      </c>
      <c r="N40" s="20" t="n">
        <v>0</v>
      </c>
      <c r="O40" s="18" t="n">
        <v>0</v>
      </c>
      <c r="P40" s="20" t="n">
        <v>0</v>
      </c>
      <c r="Q40" s="18" t="n">
        <v>15.15117135</v>
      </c>
      <c r="R40" s="20" t="n">
        <v>1.46695171</v>
      </c>
    </row>
    <row r="41" spans="1:18">
      <c r="A41" s="15" t="s">
        <v>599</v>
      </c>
      <c r="B41" s="17" t="n">
        <v>5712</v>
      </c>
      <c r="C41" s="18">
        <f>(5106.0/B41*100)</f>
        <v/>
      </c>
      <c r="D41" s="19" t="n">
        <v>606</v>
      </c>
      <c r="E41" s="18" t="n">
        <v>61.8405847</v>
      </c>
      <c r="F41" s="20" t="n">
        <v>2.28641564</v>
      </c>
      <c r="G41" s="18" t="n">
        <v>31.91120857</v>
      </c>
      <c r="H41" s="20" t="n">
        <v>2.27743048</v>
      </c>
      <c r="I41" s="18" t="n">
        <v>0</v>
      </c>
      <c r="J41" s="20" t="n">
        <v>0</v>
      </c>
      <c r="K41" s="18" t="n">
        <v>1.6643745</v>
      </c>
      <c r="L41" s="20" t="n">
        <v>0.56903074</v>
      </c>
      <c r="M41" s="18" t="n">
        <v>0</v>
      </c>
      <c r="N41" s="20" t="n">
        <v>0</v>
      </c>
      <c r="O41" s="18" t="n">
        <v>0</v>
      </c>
      <c r="P41" s="20" t="n">
        <v>0</v>
      </c>
      <c r="Q41" s="18" t="n">
        <v>4.58383224</v>
      </c>
      <c r="R41" s="20" t="n">
        <v>0.82167957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(21092.0/B46*100)</f>
        <v/>
      </c>
      <c r="D46" s="19" t="n">
        <v>2049</v>
      </c>
      <c r="E46" s="18" t="n">
        <v>67.27679447</v>
      </c>
      <c r="F46" s="20" t="n">
        <v>1.66204995</v>
      </c>
      <c r="G46" s="18" t="n">
        <v>9.27337605</v>
      </c>
      <c r="H46" s="20" t="n">
        <v>0.8304440199999999</v>
      </c>
      <c r="I46" s="18" t="n">
        <v>0</v>
      </c>
      <c r="J46" s="20" t="n">
        <v>0</v>
      </c>
      <c r="K46" s="18" t="n">
        <v>2.1831239</v>
      </c>
      <c r="L46" s="20" t="n">
        <v>0.49476149</v>
      </c>
      <c r="M46" s="18" t="n">
        <v>0.13725327</v>
      </c>
      <c r="N46" s="20" t="n">
        <v>0.0866292</v>
      </c>
      <c r="O46" s="18" t="n">
        <v>0</v>
      </c>
      <c r="P46" s="20" t="n">
        <v>0</v>
      </c>
      <c r="Q46" s="18" t="n">
        <v>21.12945232</v>
      </c>
      <c r="R46" s="20" t="n">
        <v>1.37592283</v>
      </c>
    </row>
    <row r="47" spans="1:18">
      <c r="A47" s="15" t="s">
        <v>606</v>
      </c>
      <c r="B47" s="17" t="n">
        <v>5928</v>
      </c>
      <c r="C47" s="18">
        <f>(5301.0/B47*100)</f>
        <v/>
      </c>
      <c r="D47" s="19" t="n">
        <v>627</v>
      </c>
      <c r="E47" s="18" t="n">
        <v>40.16665846</v>
      </c>
      <c r="F47" s="20" t="n">
        <v>2.17798198</v>
      </c>
      <c r="G47" s="18" t="n">
        <v>29.9960624</v>
      </c>
      <c r="H47" s="20" t="n">
        <v>2.12275105</v>
      </c>
      <c r="I47" s="18" t="n">
        <v>0</v>
      </c>
      <c r="J47" s="20" t="n">
        <v>0</v>
      </c>
      <c r="K47" s="18" t="n">
        <v>2.07753331</v>
      </c>
      <c r="L47" s="20" t="n">
        <v>0.64220591</v>
      </c>
      <c r="M47" s="18" t="n">
        <v>0</v>
      </c>
      <c r="N47" s="20" t="n">
        <v>0</v>
      </c>
      <c r="O47" s="18" t="n">
        <v>0</v>
      </c>
      <c r="P47" s="20" t="n">
        <v>0</v>
      </c>
      <c r="Q47" s="18" t="n">
        <v>27.75974584</v>
      </c>
      <c r="R47" s="20" t="n">
        <v>1.87537829</v>
      </c>
    </row>
    <row r="48" spans="1:18">
      <c r="A48" s="15" t="s">
        <v>607</v>
      </c>
      <c r="B48" s="17" t="n">
        <v>9841</v>
      </c>
      <c r="C48" s="18">
        <f>(8733.0/B48*100)</f>
        <v/>
      </c>
      <c r="D48" s="19" t="n">
        <v>1108</v>
      </c>
      <c r="E48" s="18" t="n">
        <v>30.67824357</v>
      </c>
      <c r="F48" s="20" t="n">
        <v>1.93913048</v>
      </c>
      <c r="G48" s="18" t="n">
        <v>61.51317682</v>
      </c>
      <c r="H48" s="20" t="n">
        <v>2.09004371</v>
      </c>
      <c r="I48" s="18" t="n">
        <v>0</v>
      </c>
      <c r="J48" s="20" t="n">
        <v>0</v>
      </c>
      <c r="K48" s="18" t="n">
        <v>1.41416782</v>
      </c>
      <c r="L48" s="20" t="n">
        <v>0.52536626</v>
      </c>
      <c r="M48" s="18" t="n">
        <v>0</v>
      </c>
      <c r="N48" s="20" t="n">
        <v>0</v>
      </c>
      <c r="O48" s="18" t="n">
        <v>0</v>
      </c>
      <c r="P48" s="20" t="n">
        <v>0</v>
      </c>
      <c r="Q48" s="18" t="n">
        <v>6.39441179</v>
      </c>
      <c r="R48" s="20" t="n">
        <v>1.06651299</v>
      </c>
    </row>
    <row r="49" spans="1:18">
      <c r="A49" s="15" t="s">
        <v>608</v>
      </c>
      <c r="B49" s="17" t="n">
        <v>11795</v>
      </c>
      <c r="C49" s="18">
        <f>(10520.0/B49*100)</f>
        <v/>
      </c>
      <c r="D49" s="19" t="n">
        <v>1275</v>
      </c>
      <c r="E49" s="18" t="n">
        <v>71.263705</v>
      </c>
      <c r="F49" s="20" t="n">
        <v>1.66389752</v>
      </c>
      <c r="G49" s="18" t="n">
        <v>15.13216696</v>
      </c>
      <c r="H49" s="20" t="n">
        <v>1.40762221</v>
      </c>
      <c r="I49" s="18" t="n">
        <v>0</v>
      </c>
      <c r="J49" s="20" t="n">
        <v>0</v>
      </c>
      <c r="K49" s="18" t="n">
        <v>3.58402147</v>
      </c>
      <c r="L49" s="20" t="n">
        <v>0.79277073</v>
      </c>
      <c r="M49" s="18" t="n">
        <v>0.22166385</v>
      </c>
      <c r="N49" s="20" t="n">
        <v>0.13881523</v>
      </c>
      <c r="O49" s="18" t="n">
        <v>0</v>
      </c>
      <c r="P49" s="20" t="n">
        <v>0</v>
      </c>
      <c r="Q49" s="18" t="n">
        <v>9.798442720000001</v>
      </c>
      <c r="R49" s="20" t="n">
        <v>1.05599881</v>
      </c>
    </row>
    <row r="50" spans="1:18">
      <c r="A50" s="15" t="s">
        <v>609</v>
      </c>
      <c r="B50" s="17" t="n">
        <v>6866</v>
      </c>
      <c r="C50" s="18">
        <f>(6214.0/B50*100)</f>
        <v/>
      </c>
      <c r="D50" s="19" t="n">
        <v>652</v>
      </c>
      <c r="E50" s="18" t="n">
        <v>77.38883869999999</v>
      </c>
      <c r="F50" s="20" t="n">
        <v>1.87633597</v>
      </c>
      <c r="G50" s="18" t="n">
        <v>13.44138976</v>
      </c>
      <c r="H50" s="20" t="n">
        <v>1.41372264</v>
      </c>
      <c r="I50" s="18" t="n">
        <v>0</v>
      </c>
      <c r="J50" s="20" t="n">
        <v>0</v>
      </c>
      <c r="K50" s="18" t="n">
        <v>2.16563733</v>
      </c>
      <c r="L50" s="20" t="n">
        <v>0.60742316</v>
      </c>
      <c r="M50" s="18" t="n">
        <v>0</v>
      </c>
      <c r="N50" s="20" t="n">
        <v>0</v>
      </c>
      <c r="O50" s="18" t="n">
        <v>0</v>
      </c>
      <c r="P50" s="20" t="n">
        <v>0</v>
      </c>
      <c r="Q50" s="18" t="n">
        <v>7.00413421</v>
      </c>
      <c r="R50" s="20" t="n">
        <v>0.8504340500000001</v>
      </c>
    </row>
    <row r="51" spans="1:18">
      <c r="A51" s="15" t="s">
        <v>610</v>
      </c>
      <c r="B51" s="17" t="n">
        <v>5809</v>
      </c>
      <c r="C51" s="18">
        <f>(5122.0/B51*100)</f>
        <v/>
      </c>
      <c r="D51" s="19" t="n">
        <v>687</v>
      </c>
      <c r="E51" s="18" t="n">
        <v>48.29826787</v>
      </c>
      <c r="F51" s="20" t="n">
        <v>1.87893753</v>
      </c>
      <c r="G51" s="18" t="n">
        <v>20.15771149</v>
      </c>
      <c r="H51" s="20" t="n">
        <v>1.57068185</v>
      </c>
      <c r="I51" s="18" t="n">
        <v>0</v>
      </c>
      <c r="J51" s="20" t="n">
        <v>0</v>
      </c>
      <c r="K51" s="18" t="n">
        <v>1.24762664</v>
      </c>
      <c r="L51" s="20" t="n">
        <v>0.3876603</v>
      </c>
      <c r="M51" s="18" t="n">
        <v>0</v>
      </c>
      <c r="N51" s="20" t="n">
        <v>0</v>
      </c>
      <c r="O51" s="18" t="n">
        <v>0</v>
      </c>
      <c r="P51" s="20" t="n">
        <v>0</v>
      </c>
      <c r="Q51" s="18" t="n">
        <v>30.296394</v>
      </c>
      <c r="R51" s="20" t="n">
        <v>1.85188912</v>
      </c>
    </row>
    <row r="52" spans="1:18">
      <c r="A52" s="15" t="s">
        <v>611</v>
      </c>
      <c r="B52" s="17" t="n">
        <v>5571</v>
      </c>
      <c r="C52" s="18">
        <f>(4988.0/B52*100)</f>
        <v/>
      </c>
      <c r="D52" s="19" t="n">
        <v>583</v>
      </c>
      <c r="E52" s="18" t="n">
        <v>56.46172139</v>
      </c>
      <c r="F52" s="20" t="n">
        <v>2.02828707</v>
      </c>
      <c r="G52" s="18" t="n">
        <v>22.72934373</v>
      </c>
      <c r="H52" s="20" t="n">
        <v>1.844337</v>
      </c>
      <c r="I52" s="18" t="n">
        <v>0</v>
      </c>
      <c r="J52" s="20" t="n">
        <v>0</v>
      </c>
      <c r="K52" s="18" t="n">
        <v>1.7382217</v>
      </c>
      <c r="L52" s="20" t="n">
        <v>0.5392029</v>
      </c>
      <c r="M52" s="18" t="n">
        <v>0</v>
      </c>
      <c r="N52" s="20" t="n">
        <v>0</v>
      </c>
      <c r="O52" s="18" t="n">
        <v>0</v>
      </c>
      <c r="P52" s="20" t="n">
        <v>0</v>
      </c>
      <c r="Q52" s="18" t="n">
        <v>19.07071319</v>
      </c>
      <c r="R52" s="20" t="n">
        <v>1.55292266</v>
      </c>
    </row>
    <row r="53" spans="1:18">
      <c r="A53" s="15" t="s">
        <v>612</v>
      </c>
      <c r="B53" s="17" t="n">
        <v>4740</v>
      </c>
      <c r="C53" s="18">
        <f>(4229.0/B53*100)</f>
        <v/>
      </c>
      <c r="D53" s="19" t="n">
        <v>511</v>
      </c>
      <c r="E53" s="18" t="n">
        <v>59.03769677</v>
      </c>
      <c r="F53" s="20" t="n">
        <v>2.37605931</v>
      </c>
      <c r="G53" s="18" t="n">
        <v>5.72274316</v>
      </c>
      <c r="H53" s="20" t="n">
        <v>1.23894367</v>
      </c>
      <c r="I53" s="18" t="n">
        <v>0</v>
      </c>
      <c r="J53" s="20" t="n">
        <v>0</v>
      </c>
      <c r="K53" s="18" t="n">
        <v>18.2123927</v>
      </c>
      <c r="L53" s="20" t="n">
        <v>1.84038339</v>
      </c>
      <c r="M53" s="18" t="n">
        <v>0.79078469</v>
      </c>
      <c r="N53" s="20" t="n">
        <v>0.60197619</v>
      </c>
      <c r="O53" s="18" t="n">
        <v>0</v>
      </c>
      <c r="P53" s="20" t="n">
        <v>0</v>
      </c>
      <c r="Q53" s="18" t="n">
        <v>16.23638269</v>
      </c>
      <c r="R53" s="20" t="n">
        <v>1.86266454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(4736.0/B55*100)</f>
        <v/>
      </c>
      <c r="D55" s="19" t="n">
        <v>623</v>
      </c>
      <c r="E55" s="18" t="n">
        <v>48.15749127</v>
      </c>
      <c r="F55" s="20" t="n">
        <v>2.63519848</v>
      </c>
      <c r="G55" s="18" t="n">
        <v>45.81671</v>
      </c>
      <c r="H55" s="20" t="n">
        <v>2.56670925</v>
      </c>
      <c r="I55" s="18" t="n">
        <v>0</v>
      </c>
      <c r="J55" s="20" t="n">
        <v>0</v>
      </c>
      <c r="K55" s="18" t="n">
        <v>0.82000996</v>
      </c>
      <c r="L55" s="20" t="n">
        <v>0.4295926</v>
      </c>
      <c r="M55" s="18" t="n">
        <v>0</v>
      </c>
      <c r="N55" s="20" t="n">
        <v>0</v>
      </c>
      <c r="O55" s="18" t="n">
        <v>0</v>
      </c>
      <c r="P55" s="20" t="n">
        <v>0</v>
      </c>
      <c r="Q55" s="18" t="n">
        <v>5.20578877</v>
      </c>
      <c r="R55" s="20" t="n">
        <v>0.96839186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(5763.0/B61*100)</f>
        <v/>
      </c>
      <c r="D61" s="19" t="n">
        <v>762</v>
      </c>
      <c r="E61" s="18" t="n">
        <v>53.43583395</v>
      </c>
      <c r="F61" s="20" t="n">
        <v>1.89937689</v>
      </c>
      <c r="G61" s="18" t="n">
        <v>29.5027545</v>
      </c>
      <c r="H61" s="20" t="n">
        <v>1.7359804</v>
      </c>
      <c r="I61" s="18" t="n">
        <v>0</v>
      </c>
      <c r="J61" s="20" t="n">
        <v>0</v>
      </c>
      <c r="K61" s="18" t="n">
        <v>0.2332646</v>
      </c>
      <c r="L61" s="20" t="n">
        <v>0.17701506</v>
      </c>
      <c r="M61" s="18" t="n">
        <v>0</v>
      </c>
      <c r="N61" s="20" t="n">
        <v>0</v>
      </c>
      <c r="O61" s="18" t="n">
        <v>0</v>
      </c>
      <c r="P61" s="20" t="n">
        <v>0</v>
      </c>
      <c r="Q61" s="18" t="n">
        <v>16.82814695</v>
      </c>
      <c r="R61" s="20" t="n">
        <v>1.28631682</v>
      </c>
    </row>
    <row r="62" spans="1:18">
      <c r="A62" s="15" t="s">
        <v>622</v>
      </c>
      <c r="B62" s="17" t="n">
        <v>4476</v>
      </c>
      <c r="C62" s="18">
        <f>(4017.0/B62*100)</f>
        <v/>
      </c>
      <c r="D62" s="19" t="n">
        <v>459</v>
      </c>
      <c r="E62" s="18" t="n">
        <v>49.70988229</v>
      </c>
      <c r="F62" s="20" t="n">
        <v>2.07082236</v>
      </c>
      <c r="G62" s="18" t="n">
        <v>46.13862193</v>
      </c>
      <c r="H62" s="20" t="n">
        <v>2.34221081</v>
      </c>
      <c r="I62" s="18" t="n">
        <v>0</v>
      </c>
      <c r="J62" s="20" t="n">
        <v>0</v>
      </c>
      <c r="K62" s="18" t="n">
        <v>0.2167411</v>
      </c>
      <c r="L62" s="20" t="n">
        <v>0.21720591</v>
      </c>
      <c r="M62" s="18" t="n">
        <v>0</v>
      </c>
      <c r="N62" s="20" t="n">
        <v>0</v>
      </c>
      <c r="O62" s="18" t="n">
        <v>0</v>
      </c>
      <c r="P62" s="20" t="n">
        <v>0</v>
      </c>
      <c r="Q62" s="18" t="n">
        <v>3.93475469</v>
      </c>
      <c r="R62" s="20" t="n">
        <v>1.02611209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(5035.0/B67*100)</f>
        <v/>
      </c>
      <c r="D67" s="19" t="n">
        <v>630</v>
      </c>
      <c r="E67" s="18" t="n">
        <v>45.51070476</v>
      </c>
      <c r="F67" s="20" t="n">
        <v>1.88967997</v>
      </c>
      <c r="G67" s="18" t="n">
        <v>14.22314049</v>
      </c>
      <c r="H67" s="20" t="n">
        <v>1.27800586</v>
      </c>
      <c r="I67" s="18" t="n">
        <v>0</v>
      </c>
      <c r="J67" s="20" t="n">
        <v>0</v>
      </c>
      <c r="K67" s="18" t="n">
        <v>3.60155739</v>
      </c>
      <c r="L67" s="20" t="n">
        <v>0.7129862300000001</v>
      </c>
      <c r="M67" s="18" t="n">
        <v>0.45526592</v>
      </c>
      <c r="N67" s="20" t="n">
        <v>0.26340131</v>
      </c>
      <c r="O67" s="18" t="n">
        <v>0</v>
      </c>
      <c r="P67" s="20" t="n">
        <v>0</v>
      </c>
      <c r="Q67" s="18" t="n">
        <v>36.20933144</v>
      </c>
      <c r="R67" s="20" t="n">
        <v>1.90468497</v>
      </c>
    </row>
    <row r="68" spans="1:18">
      <c r="A68" s="15" t="s">
        <v>628</v>
      </c>
      <c r="B68" s="17" t="n">
        <v>6971</v>
      </c>
      <c r="C68" s="18">
        <f>(6298.0/B68*100)</f>
        <v/>
      </c>
      <c r="D68" s="19" t="n">
        <v>673</v>
      </c>
      <c r="E68" s="18" t="n">
        <v>73.87325982999999</v>
      </c>
      <c r="F68" s="20" t="n">
        <v>1.85836206</v>
      </c>
      <c r="G68" s="18" t="n">
        <v>16.60897701</v>
      </c>
      <c r="H68" s="20" t="n">
        <v>1.62089551</v>
      </c>
      <c r="I68" s="18" t="n">
        <v>0</v>
      </c>
      <c r="J68" s="20" t="n">
        <v>0</v>
      </c>
      <c r="K68" s="18" t="n">
        <v>0</v>
      </c>
      <c r="L68" s="20" t="n">
        <v>0</v>
      </c>
      <c r="M68" s="18" t="n">
        <v>0</v>
      </c>
      <c r="N68" s="20" t="n">
        <v>0</v>
      </c>
      <c r="O68" s="18" t="n">
        <v>0</v>
      </c>
      <c r="P68" s="20" t="n">
        <v>0</v>
      </c>
      <c r="Q68" s="18" t="n">
        <v>9.517763159999999</v>
      </c>
      <c r="R68" s="20" t="n">
        <v>1.22163567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(10769.0/B70*100)</f>
        <v/>
      </c>
      <c r="D70" s="19" t="n">
        <v>1314</v>
      </c>
      <c r="E70" s="18" t="n">
        <v>64.72216409000001</v>
      </c>
      <c r="F70" s="20" t="n">
        <v>1.3574957</v>
      </c>
      <c r="G70" s="18" t="n">
        <v>17.04928144</v>
      </c>
      <c r="H70" s="20" t="n">
        <v>1.16394745</v>
      </c>
      <c r="I70" s="18" t="n">
        <v>0</v>
      </c>
      <c r="J70" s="20" t="n">
        <v>0</v>
      </c>
      <c r="K70" s="18" t="n">
        <v>2.88957035</v>
      </c>
      <c r="L70" s="20" t="n">
        <v>0.48513589</v>
      </c>
      <c r="M70" s="18" t="n">
        <v>0</v>
      </c>
      <c r="N70" s="20" t="n">
        <v>0</v>
      </c>
      <c r="O70" s="18" t="n">
        <v>0</v>
      </c>
      <c r="P70" s="20" t="n">
        <v>0</v>
      </c>
      <c r="Q70" s="18" t="n">
        <v>15.33898413</v>
      </c>
      <c r="R70" s="20" t="n">
        <v>1.12130767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(5379.0/B72*100)</f>
        <v/>
      </c>
      <c r="D72" s="19" t="n">
        <v>657</v>
      </c>
      <c r="E72" s="18" t="n">
        <v>50.32682637</v>
      </c>
      <c r="F72" s="20" t="n">
        <v>1.66703275</v>
      </c>
      <c r="G72" s="18" t="n">
        <v>30.79393553</v>
      </c>
      <c r="H72" s="20" t="n">
        <v>1.82248956</v>
      </c>
      <c r="I72" s="18" t="n">
        <v>0</v>
      </c>
      <c r="J72" s="20" t="n">
        <v>0</v>
      </c>
      <c r="K72" s="18" t="n">
        <v>0.59764241</v>
      </c>
      <c r="L72" s="20" t="n">
        <v>0.23298055</v>
      </c>
      <c r="M72" s="18" t="n">
        <v>0.1720354</v>
      </c>
      <c r="N72" s="20" t="n">
        <v>0.24470329</v>
      </c>
      <c r="O72" s="18" t="n">
        <v>0</v>
      </c>
      <c r="P72" s="20" t="n">
        <v>0</v>
      </c>
      <c r="Q72" s="18" t="n">
        <v>18.10956029</v>
      </c>
      <c r="R72" s="20" t="n">
        <v>1.57182784</v>
      </c>
    </row>
    <row r="73" spans="1:18">
      <c r="A73" s="15" t="s">
        <v>633</v>
      </c>
      <c r="B73" s="17" t="n">
        <v>6115</v>
      </c>
      <c r="C73" s="18">
        <f>(5464.0/B73*100)</f>
        <v/>
      </c>
      <c r="D73" s="19" t="n">
        <v>651</v>
      </c>
      <c r="E73" s="18" t="n">
        <v>47.09874734</v>
      </c>
      <c r="F73" s="20" t="n">
        <v>2.08322911</v>
      </c>
      <c r="G73" s="18" t="n">
        <v>47.99126395</v>
      </c>
      <c r="H73" s="20" t="n">
        <v>1.99056229</v>
      </c>
      <c r="I73" s="18" t="n">
        <v>0</v>
      </c>
      <c r="J73" s="20" t="n">
        <v>0</v>
      </c>
      <c r="K73" s="18" t="n">
        <v>0.30521912</v>
      </c>
      <c r="L73" s="20" t="n">
        <v>0.21308388</v>
      </c>
      <c r="M73" s="18" t="n">
        <v>0</v>
      </c>
      <c r="N73" s="20" t="n">
        <v>0</v>
      </c>
      <c r="O73" s="18" t="n">
        <v>0</v>
      </c>
      <c r="P73" s="20" t="n">
        <v>0</v>
      </c>
      <c r="Q73" s="18" t="n">
        <v>4.60476959</v>
      </c>
      <c r="R73" s="20" t="n">
        <v>0.792208</v>
      </c>
    </row>
    <row r="74" spans="1:18">
      <c r="A74" s="15" t="s">
        <v>634</v>
      </c>
      <c r="B74" s="17" t="n">
        <v>7708</v>
      </c>
      <c r="C74" s="18">
        <f>(6845.0/B74*100)</f>
        <v/>
      </c>
      <c r="D74" s="19" t="n">
        <v>863</v>
      </c>
      <c r="E74" s="18" t="n">
        <v>36.17770556</v>
      </c>
      <c r="F74" s="20" t="n">
        <v>1.8560194</v>
      </c>
      <c r="G74" s="18" t="n">
        <v>56.5377745</v>
      </c>
      <c r="H74" s="20" t="n">
        <v>1.76241647</v>
      </c>
      <c r="I74" s="18" t="n">
        <v>0</v>
      </c>
      <c r="J74" s="20" t="n">
        <v>0</v>
      </c>
      <c r="K74" s="18" t="n">
        <v>0.46385537</v>
      </c>
      <c r="L74" s="20" t="n">
        <v>0.24142206</v>
      </c>
      <c r="M74" s="18" t="n">
        <v>0</v>
      </c>
      <c r="N74" s="20" t="n">
        <v>0</v>
      </c>
      <c r="O74" s="18" t="n">
        <v>0</v>
      </c>
      <c r="P74" s="20" t="n">
        <v>0</v>
      </c>
      <c r="Q74" s="18" t="n">
        <v>6.82066457</v>
      </c>
      <c r="R74" s="20" t="n">
        <v>1.01489903</v>
      </c>
    </row>
    <row r="75" spans="1:18">
      <c r="A75" s="15" t="s">
        <v>635</v>
      </c>
      <c r="B75" s="17" t="n">
        <v>8249</v>
      </c>
      <c r="C75" s="18">
        <f>(7372.0/B75*100)</f>
        <v/>
      </c>
      <c r="D75" s="19" t="n">
        <v>877</v>
      </c>
      <c r="E75" s="18" t="n">
        <v>97.07647702</v>
      </c>
      <c r="F75" s="20" t="n">
        <v>0.64175322</v>
      </c>
      <c r="G75" s="18" t="n">
        <v>0.87956766</v>
      </c>
      <c r="H75" s="20" t="n">
        <v>0.24128214</v>
      </c>
      <c r="I75" s="18" t="n">
        <v>0</v>
      </c>
      <c r="J75" s="20" t="n">
        <v>0</v>
      </c>
      <c r="K75" s="18" t="n">
        <v>0.42582793</v>
      </c>
      <c r="L75" s="20" t="n">
        <v>0.23868096</v>
      </c>
      <c r="M75" s="18" t="n">
        <v>0</v>
      </c>
      <c r="N75" s="20" t="n">
        <v>0</v>
      </c>
      <c r="O75" s="18" t="n">
        <v>0</v>
      </c>
      <c r="P75" s="20" t="n">
        <v>0</v>
      </c>
      <c r="Q75" s="18" t="n">
        <v>1.61812739</v>
      </c>
      <c r="R75" s="20" t="n">
        <v>0.5618433900000001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(4835.0/B77*100)</f>
        <v/>
      </c>
      <c r="D77" s="19" t="n">
        <v>540</v>
      </c>
      <c r="E77" s="18" t="n">
        <v>55.71809173</v>
      </c>
      <c r="F77" s="20" t="n">
        <v>1.92009797</v>
      </c>
      <c r="G77" s="18" t="n">
        <v>16.22062939</v>
      </c>
      <c r="H77" s="20" t="n">
        <v>1.49617049</v>
      </c>
      <c r="I77" s="18" t="n">
        <v>0</v>
      </c>
      <c r="J77" s="20" t="n">
        <v>0</v>
      </c>
      <c r="K77" s="18" t="n">
        <v>6.42487208</v>
      </c>
      <c r="L77" s="20" t="n">
        <v>1.15691819</v>
      </c>
      <c r="M77" s="18" t="n">
        <v>0.8285535000000001</v>
      </c>
      <c r="N77" s="20" t="n">
        <v>0.41292778</v>
      </c>
      <c r="O77" s="18" t="n">
        <v>0</v>
      </c>
      <c r="P77" s="20" t="n">
        <v>0</v>
      </c>
      <c r="Q77" s="18" t="n">
        <v>20.80785329</v>
      </c>
      <c r="R77" s="20" t="n">
        <v>1.96402305</v>
      </c>
    </row>
    <row r="78" spans="1:18">
      <c r="A78" s="15" t="s">
        <v>638</v>
      </c>
      <c r="B78" s="17" t="n">
        <v>14167</v>
      </c>
      <c r="C78" s="18">
        <f>(12565.0/B78*100)</f>
        <v/>
      </c>
      <c r="D78" s="19" t="n">
        <v>1602</v>
      </c>
      <c r="E78" s="18" t="n">
        <v>62.06012314</v>
      </c>
      <c r="F78" s="20" t="n">
        <v>1.45437446</v>
      </c>
      <c r="G78" s="18" t="n">
        <v>26.02695514</v>
      </c>
      <c r="H78" s="20" t="n">
        <v>1.26152875</v>
      </c>
      <c r="I78" s="18" t="n">
        <v>0</v>
      </c>
      <c r="J78" s="20" t="n">
        <v>0</v>
      </c>
      <c r="K78" s="18" t="n">
        <v>1.62058422</v>
      </c>
      <c r="L78" s="20" t="n">
        <v>0.39060872</v>
      </c>
      <c r="M78" s="18" t="n">
        <v>0.12679403</v>
      </c>
      <c r="N78" s="20" t="n">
        <v>0.06696021000000001</v>
      </c>
      <c r="O78" s="18" t="n">
        <v>0</v>
      </c>
      <c r="P78" s="20" t="n">
        <v>0</v>
      </c>
      <c r="Q78" s="18" t="n">
        <v>10.16554347</v>
      </c>
      <c r="R78" s="20" t="n">
        <v>0.99420825</v>
      </c>
    </row>
    <row r="79" spans="1:18">
      <c r="A79" s="15" t="s">
        <v>639</v>
      </c>
      <c r="B79" s="17" t="n">
        <v>6062</v>
      </c>
      <c r="C79" s="18">
        <f>(5409.0/B79*100)</f>
        <v/>
      </c>
      <c r="D79" s="19" t="n">
        <v>653</v>
      </c>
      <c r="E79" s="18" t="n">
        <v>47.81854482</v>
      </c>
      <c r="F79" s="20" t="n">
        <v>2.22887076</v>
      </c>
      <c r="G79" s="18" t="n">
        <v>19.48142992</v>
      </c>
      <c r="H79" s="20" t="n">
        <v>1.51136319</v>
      </c>
      <c r="I79" s="18" t="n">
        <v>0</v>
      </c>
      <c r="J79" s="20" t="n">
        <v>0</v>
      </c>
      <c r="K79" s="18" t="n">
        <v>3.80685868</v>
      </c>
      <c r="L79" s="20" t="n">
        <v>0.90389795</v>
      </c>
      <c r="M79" s="18" t="n">
        <v>0</v>
      </c>
      <c r="N79" s="20" t="n">
        <v>0</v>
      </c>
      <c r="O79" s="18" t="n">
        <v>0</v>
      </c>
      <c r="P79" s="20" t="n">
        <v>0</v>
      </c>
      <c r="Q79" s="18" t="n">
        <v>28.89316657</v>
      </c>
      <c r="R79" s="20" t="n">
        <v>1.9800769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(28891.0/B82*100)</f>
        <v/>
      </c>
      <c r="D82" s="19" t="n">
        <v>3439</v>
      </c>
      <c r="E82" s="18" t="n">
        <v>50.99533993</v>
      </c>
      <c r="F82" s="20" t="n">
        <v>1.19131764</v>
      </c>
      <c r="G82" s="18" t="n">
        <v>35.21596383</v>
      </c>
      <c r="H82" s="20" t="n">
        <v>1.15733893</v>
      </c>
      <c r="I82" s="18" t="n">
        <v>0</v>
      </c>
      <c r="J82" s="20" t="n">
        <v>0</v>
      </c>
      <c r="K82" s="18" t="n">
        <v>0.88355985</v>
      </c>
      <c r="L82" s="20" t="n">
        <v>0.18242388</v>
      </c>
      <c r="M82" s="18" t="n">
        <v>0.00875749</v>
      </c>
      <c r="N82" s="20" t="n">
        <v>0.00880237</v>
      </c>
      <c r="O82" s="18" t="n">
        <v>0</v>
      </c>
      <c r="P82" s="20" t="n">
        <v>0</v>
      </c>
      <c r="Q82" s="18" t="n">
        <v>12.89637889</v>
      </c>
      <c r="R82" s="20" t="n">
        <v>0.70655334</v>
      </c>
    </row>
    <row r="83" spans="1:18">
      <c r="A83" s="15" t="s">
        <v>643</v>
      </c>
      <c r="B83" s="17" t="n">
        <v>1652</v>
      </c>
      <c r="C83" s="18">
        <f>(1467.0/B83*100)</f>
        <v/>
      </c>
      <c r="D83" s="19" t="n">
        <v>185</v>
      </c>
      <c r="E83" s="18" t="n">
        <v>45.91426102</v>
      </c>
      <c r="F83" s="20" t="n">
        <v>4.07474554</v>
      </c>
      <c r="G83" s="18" t="n">
        <v>52.14371651</v>
      </c>
      <c r="H83" s="20" t="n">
        <v>4.21448909</v>
      </c>
      <c r="I83" s="18" t="n">
        <v>0</v>
      </c>
      <c r="J83" s="20" t="n">
        <v>0</v>
      </c>
      <c r="K83" s="18" t="n">
        <v>0</v>
      </c>
      <c r="L83" s="20" t="n">
        <v>0</v>
      </c>
      <c r="M83" s="18" t="n">
        <v>0</v>
      </c>
      <c r="N83" s="20" t="n">
        <v>0</v>
      </c>
      <c r="O83" s="18" t="n">
        <v>0</v>
      </c>
      <c r="P83" s="20" t="n">
        <v>0</v>
      </c>
      <c r="Q83" s="18" t="n">
        <v>1.94202247</v>
      </c>
      <c r="R83" s="20" t="n">
        <v>0.98305844</v>
      </c>
    </row>
    <row r="84" spans="1:18">
      <c r="A84" s="23" t="s">
        <v>644</v>
      </c>
      <c r="B84" s="24" t="n">
        <v>1887</v>
      </c>
      <c r="C84" s="25">
        <f>(1692.0/B84*100)</f>
        <v/>
      </c>
      <c r="D84" s="19" t="n">
        <v>195</v>
      </c>
      <c r="E84" s="18" t="n">
        <v>68.04046843</v>
      </c>
      <c r="F84" s="20" t="n">
        <v>3.66869118</v>
      </c>
      <c r="G84" s="18" t="n">
        <v>28.64978937</v>
      </c>
      <c r="H84" s="20" t="n">
        <v>3.45080573</v>
      </c>
      <c r="I84" s="18" t="n">
        <v>0</v>
      </c>
      <c r="J84" s="20" t="n">
        <v>0</v>
      </c>
      <c r="K84" s="18" t="n">
        <v>0</v>
      </c>
      <c r="L84" s="20" t="n">
        <v>0</v>
      </c>
      <c r="M84" s="18" t="n">
        <v>0</v>
      </c>
      <c r="N84" s="20" t="n">
        <v>0</v>
      </c>
      <c r="O84" s="18" t="n">
        <v>0</v>
      </c>
      <c r="P84" s="20" t="n">
        <v>0</v>
      </c>
      <c r="Q84" s="18" t="n">
        <v>3.3097422</v>
      </c>
      <c r="R84" s="20" t="n">
        <v>1.38144179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(12938.0/B7*100)</f>
        <v/>
      </c>
      <c r="D7" s="19" t="n">
        <v>1592</v>
      </c>
      <c r="E7" s="18" t="n">
        <v>52.30865115</v>
      </c>
      <c r="F7" s="20" t="n">
        <v>1.56474106</v>
      </c>
      <c r="G7" s="18" t="n">
        <v>46.23247732</v>
      </c>
      <c r="H7" s="20" t="n">
        <v>1.63146603</v>
      </c>
      <c r="I7" s="18" t="n">
        <v>0</v>
      </c>
      <c r="J7" s="20" t="n">
        <v>0</v>
      </c>
      <c r="K7" s="18" t="n">
        <v>1.45887153</v>
      </c>
      <c r="L7" s="20" t="n">
        <v>0.39450118</v>
      </c>
      <c r="M7" s="18" t="n">
        <v>0</v>
      </c>
      <c r="N7" s="20" t="n">
        <v>0</v>
      </c>
      <c r="O7" s="18" t="n">
        <v>0</v>
      </c>
      <c r="P7" s="20" t="n">
        <v>0</v>
      </c>
      <c r="Q7" s="18" t="n">
        <v>0</v>
      </c>
      <c r="R7" s="20" t="n">
        <v>0</v>
      </c>
    </row>
    <row r="8" spans="1:18">
      <c r="A8" s="15" t="s">
        <v>566</v>
      </c>
      <c r="B8" s="17" t="n">
        <v>7007</v>
      </c>
      <c r="C8" s="18">
        <f>(6203.0/B8*100)</f>
        <v/>
      </c>
      <c r="D8" s="19" t="n">
        <v>804</v>
      </c>
      <c r="E8" s="18" t="n">
        <v>41.95498438</v>
      </c>
      <c r="F8" s="20" t="n">
        <v>1.77047652</v>
      </c>
      <c r="G8" s="18" t="n">
        <v>56.88891587</v>
      </c>
      <c r="H8" s="20" t="n">
        <v>1.80093434</v>
      </c>
      <c r="I8" s="18" t="n">
        <v>0</v>
      </c>
      <c r="J8" s="20" t="n">
        <v>0</v>
      </c>
      <c r="K8" s="18" t="n">
        <v>1.15609974</v>
      </c>
      <c r="L8" s="20" t="n">
        <v>0.46085216</v>
      </c>
      <c r="M8" s="18" t="n">
        <v>0</v>
      </c>
      <c r="N8" s="20" t="n">
        <v>0</v>
      </c>
      <c r="O8" s="18" t="n">
        <v>0</v>
      </c>
      <c r="P8" s="20" t="n">
        <v>0</v>
      </c>
      <c r="Q8" s="18" t="n">
        <v>0</v>
      </c>
      <c r="R8" s="20" t="n">
        <v>0</v>
      </c>
    </row>
    <row r="9" spans="1:18">
      <c r="A9" s="15" t="s">
        <v>567</v>
      </c>
      <c r="B9" s="17" t="n">
        <v>9651</v>
      </c>
      <c r="C9" s="18">
        <f>(8633.0/B9*100)</f>
        <v/>
      </c>
      <c r="D9" s="19" t="n">
        <v>1018</v>
      </c>
      <c r="E9" s="18" t="n">
        <v>46.56871212</v>
      </c>
      <c r="F9" s="20" t="n">
        <v>1.95549741</v>
      </c>
      <c r="G9" s="18" t="n">
        <v>51.43713434</v>
      </c>
      <c r="H9" s="20" t="n">
        <v>1.868526</v>
      </c>
      <c r="I9" s="18" t="n">
        <v>0</v>
      </c>
      <c r="J9" s="20" t="n">
        <v>0</v>
      </c>
      <c r="K9" s="18" t="n">
        <v>1.99415354</v>
      </c>
      <c r="L9" s="20" t="n">
        <v>0.48566145</v>
      </c>
      <c r="M9" s="18" t="n">
        <v>0</v>
      </c>
      <c r="N9" s="20" t="n">
        <v>0</v>
      </c>
      <c r="O9" s="18" t="n">
        <v>0</v>
      </c>
      <c r="P9" s="20" t="n">
        <v>0</v>
      </c>
      <c r="Q9" s="18" t="n">
        <v>0</v>
      </c>
      <c r="R9" s="20" t="n">
        <v>0</v>
      </c>
    </row>
    <row r="10" spans="1:18">
      <c r="A10" s="15" t="s">
        <v>568</v>
      </c>
      <c r="B10" s="17" t="n">
        <v>20058</v>
      </c>
      <c r="C10" s="18">
        <f>(17930.0/B10*100)</f>
        <v/>
      </c>
      <c r="D10" s="19" t="n">
        <v>2128</v>
      </c>
      <c r="E10" s="18" t="n">
        <v>46.11630902</v>
      </c>
      <c r="F10" s="20" t="n">
        <v>1.45806216</v>
      </c>
      <c r="G10" s="18" t="n">
        <v>52.71000379</v>
      </c>
      <c r="H10" s="20" t="n">
        <v>1.46670145</v>
      </c>
      <c r="I10" s="18" t="n">
        <v>0</v>
      </c>
      <c r="J10" s="20" t="n">
        <v>0</v>
      </c>
      <c r="K10" s="18" t="n">
        <v>1.17368718</v>
      </c>
      <c r="L10" s="20" t="n">
        <v>0.32545014</v>
      </c>
      <c r="M10" s="18" t="n">
        <v>0</v>
      </c>
      <c r="N10" s="20" t="n">
        <v>0</v>
      </c>
      <c r="O10" s="18" t="n">
        <v>0</v>
      </c>
      <c r="P10" s="20" t="n">
        <v>0</v>
      </c>
      <c r="Q10" s="18" t="n">
        <v>0</v>
      </c>
      <c r="R10" s="20" t="n">
        <v>0</v>
      </c>
    </row>
    <row r="11" spans="1:18">
      <c r="A11" s="15" t="s">
        <v>569</v>
      </c>
      <c r="B11" s="17" t="n">
        <v>7053</v>
      </c>
      <c r="C11" s="18">
        <f>(6305.0/B11*100)</f>
        <v/>
      </c>
      <c r="D11" s="19" t="n">
        <v>748</v>
      </c>
      <c r="E11" s="18" t="n">
        <v>73.70666536</v>
      </c>
      <c r="F11" s="20" t="n">
        <v>1.66917204</v>
      </c>
      <c r="G11" s="18" t="n">
        <v>22.60010326</v>
      </c>
      <c r="H11" s="20" t="n">
        <v>1.66004447</v>
      </c>
      <c r="I11" s="18" t="n">
        <v>0</v>
      </c>
      <c r="J11" s="20" t="n">
        <v>0</v>
      </c>
      <c r="K11" s="18" t="n">
        <v>3.69323137</v>
      </c>
      <c r="L11" s="20" t="n">
        <v>0.76766591</v>
      </c>
      <c r="M11" s="18" t="n">
        <v>0</v>
      </c>
      <c r="N11" s="20" t="n">
        <v>0</v>
      </c>
      <c r="O11" s="18" t="n">
        <v>0</v>
      </c>
      <c r="P11" s="20" t="n">
        <v>0</v>
      </c>
      <c r="Q11" s="18" t="n">
        <v>0</v>
      </c>
      <c r="R11" s="20" t="n">
        <v>0</v>
      </c>
    </row>
    <row r="12" spans="1:18">
      <c r="A12" s="15" t="s">
        <v>570</v>
      </c>
      <c r="B12" s="17" t="n">
        <v>6894</v>
      </c>
      <c r="C12" s="18">
        <f>(6137.0/B12*100)</f>
        <v/>
      </c>
      <c r="D12" s="19" t="n">
        <v>757</v>
      </c>
      <c r="E12" s="18" t="n">
        <v>47.66884907</v>
      </c>
      <c r="F12" s="20" t="n">
        <v>2.30123562</v>
      </c>
      <c r="G12" s="18" t="n">
        <v>51.51905244</v>
      </c>
      <c r="H12" s="20" t="n">
        <v>2.37620777</v>
      </c>
      <c r="I12" s="18" t="n">
        <v>0</v>
      </c>
      <c r="J12" s="20" t="n">
        <v>0</v>
      </c>
      <c r="K12" s="18" t="n">
        <v>0.8120984999999999</v>
      </c>
      <c r="L12" s="20" t="n">
        <v>0.29200694</v>
      </c>
      <c r="M12" s="18" t="n">
        <v>0</v>
      </c>
      <c r="N12" s="20" t="n">
        <v>0</v>
      </c>
      <c r="O12" s="18" t="n">
        <v>0</v>
      </c>
      <c r="P12" s="20" t="n">
        <v>0</v>
      </c>
      <c r="Q12" s="18" t="n">
        <v>0</v>
      </c>
      <c r="R12" s="20" t="n">
        <v>0</v>
      </c>
    </row>
    <row r="13" spans="1:18">
      <c r="A13" s="15" t="s">
        <v>571</v>
      </c>
      <c r="B13" s="17" t="n">
        <v>7161</v>
      </c>
      <c r="C13" s="18">
        <f>(6399.0/B13*100)</f>
        <v/>
      </c>
      <c r="D13" s="19" t="n">
        <v>762</v>
      </c>
      <c r="E13" s="18" t="n">
        <v>42.67785835</v>
      </c>
      <c r="F13" s="20" t="n">
        <v>1.95823005</v>
      </c>
      <c r="G13" s="18" t="n">
        <v>55.78964371</v>
      </c>
      <c r="H13" s="20" t="n">
        <v>2.03542428</v>
      </c>
      <c r="I13" s="18" t="n">
        <v>0</v>
      </c>
      <c r="J13" s="20" t="n">
        <v>0</v>
      </c>
      <c r="K13" s="18" t="n">
        <v>1.53249794</v>
      </c>
      <c r="L13" s="20" t="n">
        <v>0.51662476</v>
      </c>
      <c r="M13" s="18" t="n">
        <v>0</v>
      </c>
      <c r="N13" s="20" t="n">
        <v>0</v>
      </c>
      <c r="O13" s="18" t="n">
        <v>0</v>
      </c>
      <c r="P13" s="20" t="n">
        <v>0</v>
      </c>
      <c r="Q13" s="18" t="n">
        <v>0</v>
      </c>
      <c r="R13" s="20" t="n">
        <v>0</v>
      </c>
    </row>
    <row r="14" spans="1:18">
      <c r="A14" s="15" t="s">
        <v>572</v>
      </c>
      <c r="B14" s="17" t="n">
        <v>5587</v>
      </c>
      <c r="C14" s="18">
        <f>(5001.0/B14*100)</f>
        <v/>
      </c>
      <c r="D14" s="19" t="n">
        <v>586</v>
      </c>
      <c r="E14" s="18" t="n">
        <v>37.32173609</v>
      </c>
      <c r="F14" s="20" t="n">
        <v>2.40638645</v>
      </c>
      <c r="G14" s="18" t="n">
        <v>62.09936982</v>
      </c>
      <c r="H14" s="20" t="n">
        <v>2.36899211</v>
      </c>
      <c r="I14" s="18" t="n">
        <v>0</v>
      </c>
      <c r="J14" s="20" t="n">
        <v>0</v>
      </c>
      <c r="K14" s="18" t="n">
        <v>0.57889409</v>
      </c>
      <c r="L14" s="20" t="n">
        <v>0.29460968</v>
      </c>
      <c r="M14" s="18" t="n">
        <v>0</v>
      </c>
      <c r="N14" s="20" t="n">
        <v>0</v>
      </c>
      <c r="O14" s="18" t="n">
        <v>0</v>
      </c>
      <c r="P14" s="20" t="n">
        <v>0</v>
      </c>
      <c r="Q14" s="18" t="n">
        <v>0</v>
      </c>
      <c r="R14" s="20" t="n">
        <v>0</v>
      </c>
    </row>
    <row r="15" spans="1:18">
      <c r="A15" s="15" t="s">
        <v>573</v>
      </c>
      <c r="B15" s="17" t="n">
        <v>5882</v>
      </c>
      <c r="C15" s="18">
        <f>(5255.0/B15*100)</f>
        <v/>
      </c>
      <c r="D15" s="19" t="n">
        <v>627</v>
      </c>
      <c r="E15" s="18" t="n">
        <v>53.49024965</v>
      </c>
      <c r="F15" s="20" t="n">
        <v>1.92867749</v>
      </c>
      <c r="G15" s="18" t="n">
        <v>45.9014284</v>
      </c>
      <c r="H15" s="20" t="n">
        <v>1.92921245</v>
      </c>
      <c r="I15" s="18" t="n">
        <v>0</v>
      </c>
      <c r="J15" s="20" t="n">
        <v>0</v>
      </c>
      <c r="K15" s="18" t="n">
        <v>0.6083219600000001</v>
      </c>
      <c r="L15" s="20" t="n">
        <v>0.29781177</v>
      </c>
      <c r="M15" s="18" t="n">
        <v>0</v>
      </c>
      <c r="N15" s="20" t="n">
        <v>0</v>
      </c>
      <c r="O15" s="18" t="n">
        <v>0</v>
      </c>
      <c r="P15" s="20" t="n">
        <v>0</v>
      </c>
      <c r="Q15" s="18" t="n">
        <v>0</v>
      </c>
      <c r="R15" s="20" t="n">
        <v>0</v>
      </c>
    </row>
    <row r="16" spans="1:18">
      <c r="A16" s="15" t="s">
        <v>574</v>
      </c>
      <c r="B16" s="17" t="n">
        <v>6108</v>
      </c>
      <c r="C16" s="18">
        <f>(5481.0/B16*100)</f>
        <v/>
      </c>
      <c r="D16" s="19" t="n">
        <v>627</v>
      </c>
      <c r="E16" s="18" t="n">
        <v>53.58745617</v>
      </c>
      <c r="F16" s="20" t="n">
        <v>2.13144083</v>
      </c>
      <c r="G16" s="18" t="n">
        <v>42.10051795</v>
      </c>
      <c r="H16" s="20" t="n">
        <v>1.90740434</v>
      </c>
      <c r="I16" s="18" t="n">
        <v>0</v>
      </c>
      <c r="J16" s="20" t="n">
        <v>0</v>
      </c>
      <c r="K16" s="18" t="n">
        <v>4.31202588</v>
      </c>
      <c r="L16" s="20" t="n">
        <v>0.90347237</v>
      </c>
      <c r="M16" s="18" t="n">
        <v>0</v>
      </c>
      <c r="N16" s="20" t="n">
        <v>0</v>
      </c>
      <c r="O16" s="18" t="n">
        <v>0</v>
      </c>
      <c r="P16" s="20" t="n">
        <v>0</v>
      </c>
      <c r="Q16" s="18" t="n">
        <v>0</v>
      </c>
      <c r="R16" s="20" t="n">
        <v>0</v>
      </c>
    </row>
    <row r="17" spans="1:18">
      <c r="A17" s="15" t="s">
        <v>575</v>
      </c>
      <c r="B17" s="17" t="n">
        <v>6504</v>
      </c>
      <c r="C17" s="18">
        <f>(5790.0/B17*100)</f>
        <v/>
      </c>
      <c r="D17" s="19" t="n">
        <v>714</v>
      </c>
      <c r="E17" s="18" t="n">
        <v>44.84362834</v>
      </c>
      <c r="F17" s="20" t="n">
        <v>2.16445653</v>
      </c>
      <c r="G17" s="18" t="n">
        <v>53.25770174</v>
      </c>
      <c r="H17" s="20" t="n">
        <v>2.31491245</v>
      </c>
      <c r="I17" s="18" t="n">
        <v>0</v>
      </c>
      <c r="J17" s="20" t="n">
        <v>0</v>
      </c>
      <c r="K17" s="18" t="n">
        <v>1.89866992</v>
      </c>
      <c r="L17" s="20" t="n">
        <v>0.63573463</v>
      </c>
      <c r="M17" s="18" t="n">
        <v>0</v>
      </c>
      <c r="N17" s="20" t="n">
        <v>0</v>
      </c>
      <c r="O17" s="18" t="n">
        <v>0</v>
      </c>
      <c r="P17" s="20" t="n">
        <v>0</v>
      </c>
      <c r="Q17" s="18" t="n">
        <v>0</v>
      </c>
      <c r="R17" s="20" t="n">
        <v>0</v>
      </c>
    </row>
    <row r="18" spans="1:18">
      <c r="A18" s="15" t="s">
        <v>576</v>
      </c>
      <c r="B18" s="17" t="n">
        <v>5532</v>
      </c>
      <c r="C18" s="18">
        <f>(4935.0/B18*100)</f>
        <v/>
      </c>
      <c r="D18" s="19" t="n">
        <v>597</v>
      </c>
      <c r="E18" s="18" t="n">
        <v>59.23471672</v>
      </c>
      <c r="F18" s="20" t="n">
        <v>2.06777773</v>
      </c>
      <c r="G18" s="18" t="n">
        <v>39.24588625</v>
      </c>
      <c r="H18" s="20" t="n">
        <v>2.04967866</v>
      </c>
      <c r="I18" s="18" t="n">
        <v>0</v>
      </c>
      <c r="J18" s="20" t="n">
        <v>0</v>
      </c>
      <c r="K18" s="18" t="n">
        <v>1.51939704</v>
      </c>
      <c r="L18" s="20" t="n">
        <v>0.55723566</v>
      </c>
      <c r="M18" s="18" t="n">
        <v>0</v>
      </c>
      <c r="N18" s="20" t="n">
        <v>0</v>
      </c>
      <c r="O18" s="18" t="n">
        <v>0</v>
      </c>
      <c r="P18" s="20" t="n">
        <v>0</v>
      </c>
      <c r="Q18" s="18" t="n">
        <v>0</v>
      </c>
      <c r="R18" s="20" t="n">
        <v>0</v>
      </c>
    </row>
    <row r="19" spans="1:18">
      <c r="A19" s="15" t="s">
        <v>577</v>
      </c>
      <c r="B19" s="17" t="n">
        <v>5658</v>
      </c>
      <c r="C19" s="18">
        <f>(5024.0/B19*100)</f>
        <v/>
      </c>
      <c r="D19" s="19" t="n">
        <v>634</v>
      </c>
      <c r="E19" s="18" t="n">
        <v>45.01605016</v>
      </c>
      <c r="F19" s="20" t="n">
        <v>2.22794328</v>
      </c>
      <c r="G19" s="18" t="n">
        <v>53.28783513</v>
      </c>
      <c r="H19" s="20" t="n">
        <v>2.41889274</v>
      </c>
      <c r="I19" s="18" t="n">
        <v>0</v>
      </c>
      <c r="J19" s="20" t="n">
        <v>0</v>
      </c>
      <c r="K19" s="18" t="n">
        <v>1.69611471</v>
      </c>
      <c r="L19" s="20" t="n">
        <v>0.55483381</v>
      </c>
      <c r="M19" s="18" t="n">
        <v>0</v>
      </c>
      <c r="N19" s="20" t="n">
        <v>0</v>
      </c>
      <c r="O19" s="18" t="n">
        <v>0</v>
      </c>
      <c r="P19" s="20" t="n">
        <v>0</v>
      </c>
      <c r="Q19" s="18" t="n">
        <v>0</v>
      </c>
      <c r="R19" s="20" t="n">
        <v>0</v>
      </c>
    </row>
    <row r="20" spans="1:18">
      <c r="A20" s="15" t="s">
        <v>578</v>
      </c>
      <c r="B20" s="17" t="n">
        <v>3371</v>
      </c>
      <c r="C20" s="18">
        <f>(3002.0/B20*100)</f>
        <v/>
      </c>
      <c r="D20" s="19" t="n">
        <v>369</v>
      </c>
      <c r="E20" s="18" t="n">
        <v>51.1564473</v>
      </c>
      <c r="F20" s="20" t="n">
        <v>2.6093823</v>
      </c>
      <c r="G20" s="18" t="n">
        <v>45.38750717</v>
      </c>
      <c r="H20" s="20" t="n">
        <v>2.6507179</v>
      </c>
      <c r="I20" s="18" t="n">
        <v>0</v>
      </c>
      <c r="J20" s="20" t="n">
        <v>0</v>
      </c>
      <c r="K20" s="18" t="n">
        <v>3.45604554</v>
      </c>
      <c r="L20" s="20" t="n">
        <v>0.92328767</v>
      </c>
      <c r="M20" s="18" t="n">
        <v>0</v>
      </c>
      <c r="N20" s="20" t="n">
        <v>0</v>
      </c>
      <c r="O20" s="18" t="n">
        <v>0</v>
      </c>
      <c r="P20" s="20" t="n">
        <v>0</v>
      </c>
      <c r="Q20" s="18" t="n">
        <v>0</v>
      </c>
      <c r="R20" s="20" t="n">
        <v>0</v>
      </c>
    </row>
    <row r="21" spans="1:18">
      <c r="A21" s="15" t="s">
        <v>579</v>
      </c>
      <c r="B21" s="17" t="n">
        <v>5741</v>
      </c>
      <c r="C21" s="18">
        <f>(5120.0/B21*100)</f>
        <v/>
      </c>
      <c r="D21" s="19" t="n">
        <v>621</v>
      </c>
      <c r="E21" s="18" t="n">
        <v>60.64584385</v>
      </c>
      <c r="F21" s="20" t="n">
        <v>2.14388663</v>
      </c>
      <c r="G21" s="18" t="n">
        <v>39.04633874</v>
      </c>
      <c r="H21" s="20" t="n">
        <v>2.13244309</v>
      </c>
      <c r="I21" s="18" t="n">
        <v>0</v>
      </c>
      <c r="J21" s="20" t="n">
        <v>0</v>
      </c>
      <c r="K21" s="18" t="n">
        <v>0.30781741</v>
      </c>
      <c r="L21" s="20" t="n">
        <v>0.25753831</v>
      </c>
      <c r="M21" s="18" t="n">
        <v>0</v>
      </c>
      <c r="N21" s="20" t="n">
        <v>0</v>
      </c>
      <c r="O21" s="18" t="n">
        <v>0</v>
      </c>
      <c r="P21" s="20" t="n">
        <v>0</v>
      </c>
      <c r="Q21" s="18" t="n">
        <v>0</v>
      </c>
      <c r="R21" s="20" t="n">
        <v>0</v>
      </c>
    </row>
    <row r="22" spans="1:18">
      <c r="A22" s="15" t="s">
        <v>580</v>
      </c>
      <c r="B22" s="17" t="n">
        <v>6598</v>
      </c>
      <c r="C22" s="18">
        <f>(5854.0/B22*100)</f>
        <v/>
      </c>
      <c r="D22" s="19" t="n">
        <v>744</v>
      </c>
      <c r="E22" s="18" t="n">
        <v>63.56043146</v>
      </c>
      <c r="F22" s="20" t="n">
        <v>1.74863594</v>
      </c>
      <c r="G22" s="18" t="n">
        <v>31.9759284</v>
      </c>
      <c r="H22" s="20" t="n">
        <v>1.823032</v>
      </c>
      <c r="I22" s="18" t="n">
        <v>0</v>
      </c>
      <c r="J22" s="20" t="n">
        <v>0</v>
      </c>
      <c r="K22" s="18" t="n">
        <v>4.46364014</v>
      </c>
      <c r="L22" s="20" t="n">
        <v>0.71255384</v>
      </c>
      <c r="M22" s="18" t="n">
        <v>0</v>
      </c>
      <c r="N22" s="20" t="n">
        <v>0</v>
      </c>
      <c r="O22" s="18" t="n">
        <v>0</v>
      </c>
      <c r="P22" s="20" t="n">
        <v>0</v>
      </c>
      <c r="Q22" s="18" t="n">
        <v>0</v>
      </c>
      <c r="R22" s="20" t="n">
        <v>0</v>
      </c>
    </row>
    <row r="23" spans="1:18">
      <c r="A23" s="15" t="s">
        <v>581</v>
      </c>
      <c r="B23" s="17" t="n">
        <v>11583</v>
      </c>
      <c r="C23" s="18">
        <f>(10308.0/B23*100)</f>
        <v/>
      </c>
      <c r="D23" s="19" t="n">
        <v>1275</v>
      </c>
      <c r="E23" s="18" t="n">
        <v>49.72652981</v>
      </c>
      <c r="F23" s="20" t="n">
        <v>1.98585407</v>
      </c>
      <c r="G23" s="18" t="n">
        <v>48.25121699</v>
      </c>
      <c r="H23" s="20" t="n">
        <v>1.92833256</v>
      </c>
      <c r="I23" s="18" t="n">
        <v>0</v>
      </c>
      <c r="J23" s="20" t="n">
        <v>0</v>
      </c>
      <c r="K23" s="18" t="n">
        <v>2.0222532</v>
      </c>
      <c r="L23" s="20" t="n">
        <v>0.45956097</v>
      </c>
      <c r="M23" s="18" t="n">
        <v>0</v>
      </c>
      <c r="N23" s="20" t="n">
        <v>0</v>
      </c>
      <c r="O23" s="18" t="n">
        <v>0</v>
      </c>
      <c r="P23" s="20" t="n">
        <v>0</v>
      </c>
      <c r="Q23" s="18" t="n">
        <v>0</v>
      </c>
      <c r="R23" s="20" t="n">
        <v>0</v>
      </c>
    </row>
    <row r="24" spans="1:18">
      <c r="A24" s="15" t="s">
        <v>582</v>
      </c>
      <c r="B24" s="17" t="n">
        <v>6647</v>
      </c>
      <c r="C24" s="18">
        <f>(5895.0/B24*100)</f>
        <v/>
      </c>
      <c r="D24" s="19" t="n">
        <v>752</v>
      </c>
      <c r="E24" s="18" t="n">
        <v>34.59912772</v>
      </c>
      <c r="F24" s="20" t="n">
        <v>1.79656038</v>
      </c>
      <c r="G24" s="18" t="n">
        <v>63.9145687</v>
      </c>
      <c r="H24" s="20" t="n">
        <v>1.87312778</v>
      </c>
      <c r="I24" s="18" t="n">
        <v>0</v>
      </c>
      <c r="J24" s="20" t="n">
        <v>0</v>
      </c>
      <c r="K24" s="18" t="n">
        <v>1.48630358</v>
      </c>
      <c r="L24" s="20" t="n">
        <v>0.50360596</v>
      </c>
      <c r="M24" s="18" t="n">
        <v>0</v>
      </c>
      <c r="N24" s="20" t="n">
        <v>0</v>
      </c>
      <c r="O24" s="18" t="n">
        <v>0</v>
      </c>
      <c r="P24" s="20" t="n">
        <v>0</v>
      </c>
      <c r="Q24" s="18" t="n">
        <v>0</v>
      </c>
      <c r="R24" s="20" t="n">
        <v>0</v>
      </c>
    </row>
    <row r="25" spans="1:18">
      <c r="A25" s="15" t="s">
        <v>583</v>
      </c>
      <c r="B25" s="17" t="n">
        <v>5581</v>
      </c>
      <c r="C25" s="18">
        <f>(4970.0/B25*100)</f>
        <v/>
      </c>
      <c r="D25" s="19" t="n">
        <v>611</v>
      </c>
      <c r="E25" s="18" t="n">
        <v>50.50040901</v>
      </c>
      <c r="F25" s="20" t="n">
        <v>1.83974158</v>
      </c>
      <c r="G25" s="18" t="n">
        <v>48.67290036</v>
      </c>
      <c r="H25" s="20" t="n">
        <v>1.90038961</v>
      </c>
      <c r="I25" s="18" t="n">
        <v>0</v>
      </c>
      <c r="J25" s="20" t="n">
        <v>0</v>
      </c>
      <c r="K25" s="18" t="n">
        <v>0.82669062</v>
      </c>
      <c r="L25" s="20" t="n">
        <v>0.41770568</v>
      </c>
      <c r="M25" s="18" t="n">
        <v>0</v>
      </c>
      <c r="N25" s="20" t="n">
        <v>0</v>
      </c>
      <c r="O25" s="18" t="n">
        <v>0</v>
      </c>
      <c r="P25" s="20" t="n">
        <v>0</v>
      </c>
      <c r="Q25" s="18" t="n">
        <v>0</v>
      </c>
      <c r="R25" s="20" t="n">
        <v>0</v>
      </c>
    </row>
    <row r="26" spans="1:18">
      <c r="A26" s="15" t="s">
        <v>584</v>
      </c>
      <c r="B26" s="17" t="n">
        <v>4869</v>
      </c>
      <c r="C26" s="18">
        <f>(4362.0/B26*100)</f>
        <v/>
      </c>
      <c r="D26" s="19" t="n">
        <v>507</v>
      </c>
      <c r="E26" s="18" t="n">
        <v>65.0395382</v>
      </c>
      <c r="F26" s="20" t="n">
        <v>2.33739101</v>
      </c>
      <c r="G26" s="18" t="n">
        <v>34.50611225</v>
      </c>
      <c r="H26" s="20" t="n">
        <v>2.27876985</v>
      </c>
      <c r="I26" s="18" t="n">
        <v>0</v>
      </c>
      <c r="J26" s="20" t="n">
        <v>0</v>
      </c>
      <c r="K26" s="18" t="n">
        <v>0.45434955</v>
      </c>
      <c r="L26" s="20" t="n">
        <v>0.25969674</v>
      </c>
      <c r="M26" s="18" t="n">
        <v>0</v>
      </c>
      <c r="N26" s="20" t="n">
        <v>0</v>
      </c>
      <c r="O26" s="18" t="n">
        <v>0</v>
      </c>
      <c r="P26" s="20" t="n">
        <v>0</v>
      </c>
      <c r="Q26" s="18" t="n">
        <v>0</v>
      </c>
      <c r="R26" s="20" t="n">
        <v>0</v>
      </c>
    </row>
    <row r="27" spans="1:18">
      <c r="A27" s="15" t="s">
        <v>585</v>
      </c>
      <c r="B27" s="17" t="n">
        <v>5299</v>
      </c>
      <c r="C27" s="18">
        <f>(4749.0/B27*100)</f>
        <v/>
      </c>
      <c r="D27" s="19" t="n">
        <v>550</v>
      </c>
      <c r="E27" s="18" t="n">
        <v>47.73368261</v>
      </c>
      <c r="F27" s="20" t="n">
        <v>2.16048132</v>
      </c>
      <c r="G27" s="18" t="n">
        <v>50.45017055</v>
      </c>
      <c r="H27" s="20" t="n">
        <v>2.15253102</v>
      </c>
      <c r="I27" s="18" t="n">
        <v>0</v>
      </c>
      <c r="J27" s="20" t="n">
        <v>0</v>
      </c>
      <c r="K27" s="18" t="n">
        <v>1.81614684</v>
      </c>
      <c r="L27" s="20" t="n">
        <v>0.57745906</v>
      </c>
      <c r="M27" s="18" t="n">
        <v>0</v>
      </c>
      <c r="N27" s="20" t="n">
        <v>0</v>
      </c>
      <c r="O27" s="18" t="n">
        <v>0</v>
      </c>
      <c r="P27" s="20" t="n">
        <v>0</v>
      </c>
      <c r="Q27" s="18" t="n">
        <v>0</v>
      </c>
      <c r="R27" s="20" t="n">
        <v>0</v>
      </c>
    </row>
    <row r="28" spans="1:18">
      <c r="A28" s="15" t="s">
        <v>586</v>
      </c>
      <c r="B28" s="17" t="n">
        <v>7568</v>
      </c>
      <c r="C28" s="18">
        <f>(6812.0/B28*100)</f>
        <v/>
      </c>
      <c r="D28" s="19" t="n">
        <v>756</v>
      </c>
      <c r="E28" s="18" t="n">
        <v>75.65504593</v>
      </c>
      <c r="F28" s="20" t="n">
        <v>1.55564552</v>
      </c>
      <c r="G28" s="18" t="n">
        <v>21.91853213</v>
      </c>
      <c r="H28" s="20" t="n">
        <v>1.53771866</v>
      </c>
      <c r="I28" s="18" t="n">
        <v>0</v>
      </c>
      <c r="J28" s="20" t="n">
        <v>0</v>
      </c>
      <c r="K28" s="18" t="n">
        <v>2.42642194</v>
      </c>
      <c r="L28" s="20" t="n">
        <v>0.61851436</v>
      </c>
      <c r="M28" s="18" t="n">
        <v>0</v>
      </c>
      <c r="N28" s="20" t="n">
        <v>0</v>
      </c>
      <c r="O28" s="18" t="n">
        <v>0</v>
      </c>
      <c r="P28" s="20" t="n">
        <v>0</v>
      </c>
      <c r="Q28" s="18" t="n">
        <v>0</v>
      </c>
      <c r="R28" s="20" t="n">
        <v>0</v>
      </c>
    </row>
    <row r="29" spans="1:18">
      <c r="A29" s="15" t="s">
        <v>587</v>
      </c>
      <c r="B29" s="17" t="n">
        <v>5385</v>
      </c>
      <c r="C29" s="18">
        <f>(4774.0/B29*100)</f>
        <v/>
      </c>
      <c r="D29" s="19" t="n">
        <v>611</v>
      </c>
      <c r="E29" s="18" t="n">
        <v>54.14057553</v>
      </c>
      <c r="F29" s="20" t="n">
        <v>2.00280232</v>
      </c>
      <c r="G29" s="18" t="n">
        <v>45.36442208</v>
      </c>
      <c r="H29" s="20" t="n">
        <v>2.01521341</v>
      </c>
      <c r="I29" s="18" t="n">
        <v>0</v>
      </c>
      <c r="J29" s="20" t="n">
        <v>0</v>
      </c>
      <c r="K29" s="18" t="n">
        <v>0.49500239</v>
      </c>
      <c r="L29" s="20" t="n">
        <v>0.26951949</v>
      </c>
      <c r="M29" s="18" t="n">
        <v>0</v>
      </c>
      <c r="N29" s="20" t="n">
        <v>0</v>
      </c>
      <c r="O29" s="18" t="n">
        <v>0</v>
      </c>
      <c r="P29" s="20" t="n">
        <v>0</v>
      </c>
      <c r="Q29" s="18" t="n">
        <v>0</v>
      </c>
      <c r="R29" s="20" t="n">
        <v>0</v>
      </c>
    </row>
    <row r="30" spans="1:18">
      <c r="A30" s="15" t="s">
        <v>588</v>
      </c>
      <c r="B30" s="17" t="n">
        <v>4520</v>
      </c>
      <c r="C30" s="18">
        <f>(4052.0/B30*100)</f>
        <v/>
      </c>
      <c r="D30" s="19" t="n">
        <v>468</v>
      </c>
      <c r="E30" s="18" t="n">
        <v>54.1844348</v>
      </c>
      <c r="F30" s="20" t="n">
        <v>2.36320863</v>
      </c>
      <c r="G30" s="18" t="n">
        <v>42.86704511</v>
      </c>
      <c r="H30" s="20" t="n">
        <v>2.33019514</v>
      </c>
      <c r="I30" s="18" t="n">
        <v>0</v>
      </c>
      <c r="J30" s="20" t="n">
        <v>0</v>
      </c>
      <c r="K30" s="18" t="n">
        <v>2.94852009</v>
      </c>
      <c r="L30" s="20" t="n">
        <v>0.80785311</v>
      </c>
      <c r="M30" s="18" t="n">
        <v>0</v>
      </c>
      <c r="N30" s="20" t="n">
        <v>0</v>
      </c>
      <c r="O30" s="18" t="n">
        <v>0</v>
      </c>
      <c r="P30" s="20" t="n">
        <v>0</v>
      </c>
      <c r="Q30" s="18" t="n">
        <v>0</v>
      </c>
      <c r="R30" s="20" t="n">
        <v>0</v>
      </c>
    </row>
    <row r="31" spans="1:18">
      <c r="A31" s="15" t="s">
        <v>589</v>
      </c>
      <c r="B31" s="17" t="n">
        <v>5456</v>
      </c>
      <c r="C31" s="18">
        <f>(4861.0/B31*100)</f>
        <v/>
      </c>
      <c r="D31" s="19" t="n">
        <v>595</v>
      </c>
      <c r="E31" s="18" t="n">
        <v>56.05596158</v>
      </c>
      <c r="F31" s="20" t="n">
        <v>2.24115573</v>
      </c>
      <c r="G31" s="18" t="n">
        <v>41.32228361</v>
      </c>
      <c r="H31" s="20" t="n">
        <v>2.1537391</v>
      </c>
      <c r="I31" s="18" t="n">
        <v>0</v>
      </c>
      <c r="J31" s="20" t="n">
        <v>0</v>
      </c>
      <c r="K31" s="18" t="n">
        <v>2.62175481</v>
      </c>
      <c r="L31" s="20" t="n">
        <v>0.65581847</v>
      </c>
      <c r="M31" s="18" t="n">
        <v>0</v>
      </c>
      <c r="N31" s="20" t="n">
        <v>0</v>
      </c>
      <c r="O31" s="18" t="n">
        <v>0</v>
      </c>
      <c r="P31" s="20" t="n">
        <v>0</v>
      </c>
      <c r="Q31" s="18" t="n">
        <v>0</v>
      </c>
      <c r="R31" s="20" t="n">
        <v>0</v>
      </c>
    </row>
    <row r="32" spans="1:18">
      <c r="A32" s="15" t="s">
        <v>590</v>
      </c>
      <c r="B32" s="17" t="n">
        <v>4478</v>
      </c>
      <c r="C32" s="18">
        <f>(3981.0/B32*100)</f>
        <v/>
      </c>
      <c r="D32" s="19" t="n">
        <v>497</v>
      </c>
      <c r="E32" s="18" t="n">
        <v>29.24826179</v>
      </c>
      <c r="F32" s="20" t="n">
        <v>2.38502013</v>
      </c>
      <c r="G32" s="18" t="n">
        <v>69.73168251</v>
      </c>
      <c r="H32" s="20" t="n">
        <v>2.38325051</v>
      </c>
      <c r="I32" s="18" t="n">
        <v>0</v>
      </c>
      <c r="J32" s="20" t="n">
        <v>0</v>
      </c>
      <c r="K32" s="18" t="n">
        <v>1.0200557</v>
      </c>
      <c r="L32" s="20" t="n">
        <v>0.47437703</v>
      </c>
      <c r="M32" s="18" t="n">
        <v>0</v>
      </c>
      <c r="N32" s="20" t="n">
        <v>0</v>
      </c>
      <c r="O32" s="18" t="n">
        <v>0</v>
      </c>
      <c r="P32" s="20" t="n">
        <v>0</v>
      </c>
      <c r="Q32" s="18" t="n">
        <v>0</v>
      </c>
      <c r="R32" s="20" t="n">
        <v>0</v>
      </c>
    </row>
    <row r="33" spans="1:18">
      <c r="A33" s="15" t="s">
        <v>591</v>
      </c>
      <c r="B33" s="17" t="n">
        <v>7325</v>
      </c>
      <c r="C33" s="18">
        <f>(6570.0/B33*100)</f>
        <v/>
      </c>
      <c r="D33" s="19" t="n">
        <v>755</v>
      </c>
      <c r="E33" s="18" t="n">
        <v>35.70629171</v>
      </c>
      <c r="F33" s="20" t="n">
        <v>2.03471521</v>
      </c>
      <c r="G33" s="18" t="n">
        <v>62.81812143</v>
      </c>
      <c r="H33" s="20" t="n">
        <v>1.96136071</v>
      </c>
      <c r="I33" s="18" t="n">
        <v>0</v>
      </c>
      <c r="J33" s="20" t="n">
        <v>0</v>
      </c>
      <c r="K33" s="18" t="n">
        <v>1.47558686</v>
      </c>
      <c r="L33" s="20" t="n">
        <v>0.47373173</v>
      </c>
      <c r="M33" s="18" t="n">
        <v>0</v>
      </c>
      <c r="N33" s="20" t="n">
        <v>0</v>
      </c>
      <c r="O33" s="18" t="n">
        <v>0</v>
      </c>
      <c r="P33" s="20" t="n">
        <v>0</v>
      </c>
      <c r="Q33" s="18" t="n">
        <v>0</v>
      </c>
      <c r="R33" s="20" t="n">
        <v>0</v>
      </c>
    </row>
    <row r="34" spans="1:18">
      <c r="A34" s="15" t="s">
        <v>592</v>
      </c>
      <c r="B34" s="17" t="n">
        <v>6350</v>
      </c>
      <c r="C34" s="18">
        <f>(5657.0/B34*100)</f>
        <v/>
      </c>
      <c r="D34" s="19" t="n">
        <v>693</v>
      </c>
      <c r="E34" s="18" t="n">
        <v>57.57621247</v>
      </c>
      <c r="F34" s="20" t="n">
        <v>1.78312604</v>
      </c>
      <c r="G34" s="18" t="n">
        <v>41.80081043</v>
      </c>
      <c r="H34" s="20" t="n">
        <v>1.79783823</v>
      </c>
      <c r="I34" s="18" t="n">
        <v>0</v>
      </c>
      <c r="J34" s="20" t="n">
        <v>0</v>
      </c>
      <c r="K34" s="18" t="n">
        <v>0.6229771</v>
      </c>
      <c r="L34" s="20" t="n">
        <v>0.2614092</v>
      </c>
      <c r="M34" s="18" t="n">
        <v>0</v>
      </c>
      <c r="N34" s="20" t="n">
        <v>0</v>
      </c>
      <c r="O34" s="18" t="n">
        <v>0</v>
      </c>
      <c r="P34" s="20" t="n">
        <v>0</v>
      </c>
      <c r="Q34" s="18" t="n">
        <v>0</v>
      </c>
      <c r="R34" s="20" t="n">
        <v>0</v>
      </c>
    </row>
    <row r="35" spans="1:18">
      <c r="A35" s="15" t="s">
        <v>593</v>
      </c>
      <c r="B35" s="17" t="n">
        <v>6406</v>
      </c>
      <c r="C35" s="18">
        <f>(5704.0/B35*100)</f>
        <v/>
      </c>
      <c r="D35" s="19" t="n">
        <v>702</v>
      </c>
      <c r="E35" s="18" t="n">
        <v>30.6365824</v>
      </c>
      <c r="F35" s="20" t="n">
        <v>2.21270418</v>
      </c>
      <c r="G35" s="18" t="n">
        <v>67.95031591999999</v>
      </c>
      <c r="H35" s="20" t="n">
        <v>2.22769854</v>
      </c>
      <c r="I35" s="18" t="n">
        <v>0</v>
      </c>
      <c r="J35" s="20" t="n">
        <v>0</v>
      </c>
      <c r="K35" s="18" t="n">
        <v>1.41310167</v>
      </c>
      <c r="L35" s="20" t="n">
        <v>0.57005387</v>
      </c>
      <c r="M35" s="18" t="n">
        <v>0</v>
      </c>
      <c r="N35" s="20" t="n">
        <v>0</v>
      </c>
      <c r="O35" s="18" t="n">
        <v>0</v>
      </c>
      <c r="P35" s="20" t="n">
        <v>0</v>
      </c>
      <c r="Q35" s="18" t="n">
        <v>0</v>
      </c>
      <c r="R35" s="20" t="n">
        <v>0</v>
      </c>
    </row>
    <row r="36" spans="1:18">
      <c r="A36" s="15" t="s">
        <v>594</v>
      </c>
      <c r="B36" s="17" t="n">
        <v>6736</v>
      </c>
      <c r="C36" s="18">
        <f>(6044.0/B36*100)</f>
        <v/>
      </c>
      <c r="D36" s="19" t="n">
        <v>692</v>
      </c>
      <c r="E36" s="18" t="n">
        <v>45.77531299</v>
      </c>
      <c r="F36" s="20" t="n">
        <v>2.27798451</v>
      </c>
      <c r="G36" s="18" t="n">
        <v>53.23102406</v>
      </c>
      <c r="H36" s="20" t="n">
        <v>2.24513229</v>
      </c>
      <c r="I36" s="18" t="n">
        <v>0</v>
      </c>
      <c r="J36" s="20" t="n">
        <v>0</v>
      </c>
      <c r="K36" s="18" t="n">
        <v>0.99366296</v>
      </c>
      <c r="L36" s="20" t="n">
        <v>0.39332277</v>
      </c>
      <c r="M36" s="18" t="n">
        <v>0</v>
      </c>
      <c r="N36" s="20" t="n">
        <v>0</v>
      </c>
      <c r="O36" s="18" t="n">
        <v>0</v>
      </c>
      <c r="P36" s="20" t="n">
        <v>0</v>
      </c>
      <c r="Q36" s="18" t="n">
        <v>0</v>
      </c>
      <c r="R36" s="20" t="n">
        <v>0</v>
      </c>
    </row>
    <row r="37" spans="1:18">
      <c r="A37" s="15" t="s">
        <v>595</v>
      </c>
      <c r="B37" s="17" t="n">
        <v>5458</v>
      </c>
      <c r="C37" s="18">
        <f>(4883.0/B37*100)</f>
        <v/>
      </c>
      <c r="D37" s="19" t="n">
        <v>575</v>
      </c>
      <c r="E37" s="18" t="n">
        <v>57.6405498</v>
      </c>
      <c r="F37" s="20" t="n">
        <v>2.05968468</v>
      </c>
      <c r="G37" s="18" t="n">
        <v>39.33210015</v>
      </c>
      <c r="H37" s="20" t="n">
        <v>2.22770007</v>
      </c>
      <c r="I37" s="18" t="n">
        <v>0</v>
      </c>
      <c r="J37" s="20" t="n">
        <v>0</v>
      </c>
      <c r="K37" s="18" t="n">
        <v>3.02735005</v>
      </c>
      <c r="L37" s="20" t="n">
        <v>0.66745643</v>
      </c>
      <c r="M37" s="18" t="n">
        <v>0</v>
      </c>
      <c r="N37" s="20" t="n">
        <v>0</v>
      </c>
      <c r="O37" s="18" t="n">
        <v>0</v>
      </c>
      <c r="P37" s="20" t="n">
        <v>0</v>
      </c>
      <c r="Q37" s="18" t="n">
        <v>0</v>
      </c>
      <c r="R37" s="20" t="n">
        <v>0</v>
      </c>
    </row>
    <row r="38" spans="1:18">
      <c r="A38" s="15" t="s">
        <v>596</v>
      </c>
      <c r="B38" s="17" t="n">
        <v>5860</v>
      </c>
      <c r="C38" s="18">
        <f>(5233.0/B38*100)</f>
        <v/>
      </c>
      <c r="D38" s="19" t="n">
        <v>627</v>
      </c>
      <c r="E38" s="18" t="n">
        <v>40.35125495</v>
      </c>
      <c r="F38" s="20" t="n">
        <v>1.99998484</v>
      </c>
      <c r="G38" s="18" t="n">
        <v>57.61902309</v>
      </c>
      <c r="H38" s="20" t="n">
        <v>2.01592573</v>
      </c>
      <c r="I38" s="18" t="n">
        <v>0</v>
      </c>
      <c r="J38" s="20" t="n">
        <v>0</v>
      </c>
      <c r="K38" s="18" t="n">
        <v>2.02972196</v>
      </c>
      <c r="L38" s="20" t="n">
        <v>0.59995205</v>
      </c>
      <c r="M38" s="18" t="n">
        <v>0</v>
      </c>
      <c r="N38" s="20" t="n">
        <v>0</v>
      </c>
      <c r="O38" s="18" t="n">
        <v>0</v>
      </c>
      <c r="P38" s="20" t="n">
        <v>0</v>
      </c>
      <c r="Q38" s="18" t="n">
        <v>0</v>
      </c>
      <c r="R38" s="20" t="n">
        <v>0</v>
      </c>
    </row>
    <row r="39" spans="1:18">
      <c r="A39" s="15" t="s">
        <v>597</v>
      </c>
      <c r="B39" s="17" t="n">
        <v>5895</v>
      </c>
      <c r="C39" s="18">
        <f>(5224.0/B39*100)</f>
        <v/>
      </c>
      <c r="D39" s="19" t="n">
        <v>671</v>
      </c>
      <c r="E39" s="18" t="n">
        <v>77.69022022</v>
      </c>
      <c r="F39" s="20" t="n">
        <v>1.6967858</v>
      </c>
      <c r="G39" s="18" t="n">
        <v>21.13805479</v>
      </c>
      <c r="H39" s="20" t="n">
        <v>1.68905335</v>
      </c>
      <c r="I39" s="18" t="n">
        <v>0</v>
      </c>
      <c r="J39" s="20" t="n">
        <v>0</v>
      </c>
      <c r="K39" s="18" t="n">
        <v>1.17172499</v>
      </c>
      <c r="L39" s="20" t="n">
        <v>0.35514873</v>
      </c>
      <c r="M39" s="18" t="n">
        <v>0</v>
      </c>
      <c r="N39" s="20" t="n">
        <v>0</v>
      </c>
      <c r="O39" s="18" t="n">
        <v>0</v>
      </c>
      <c r="P39" s="20" t="n">
        <v>0</v>
      </c>
      <c r="Q39" s="18" t="n">
        <v>0</v>
      </c>
      <c r="R39" s="20" t="n">
        <v>0</v>
      </c>
    </row>
    <row r="40" spans="1:18">
      <c r="A40" s="15" t="s">
        <v>598</v>
      </c>
      <c r="B40" s="17" t="n">
        <v>14157</v>
      </c>
      <c r="C40" s="18">
        <f>(12631.0/B40*100)</f>
        <v/>
      </c>
      <c r="D40" s="19" t="n">
        <v>1526</v>
      </c>
      <c r="E40" s="18" t="n">
        <v>49.3580194</v>
      </c>
      <c r="F40" s="20" t="n">
        <v>2.08732463</v>
      </c>
      <c r="G40" s="18" t="n">
        <v>49.59686345</v>
      </c>
      <c r="H40" s="20" t="n">
        <v>2.10394063</v>
      </c>
      <c r="I40" s="18" t="n">
        <v>0</v>
      </c>
      <c r="J40" s="20" t="n">
        <v>0</v>
      </c>
      <c r="K40" s="18" t="n">
        <v>1.04511715</v>
      </c>
      <c r="L40" s="20" t="n">
        <v>0.35880135</v>
      </c>
      <c r="M40" s="18" t="n">
        <v>0</v>
      </c>
      <c r="N40" s="20" t="n">
        <v>0</v>
      </c>
      <c r="O40" s="18" t="n">
        <v>0</v>
      </c>
      <c r="P40" s="20" t="n">
        <v>0</v>
      </c>
      <c r="Q40" s="18" t="n">
        <v>0</v>
      </c>
      <c r="R40" s="20" t="n">
        <v>0</v>
      </c>
    </row>
    <row r="41" spans="1:18">
      <c r="A41" s="15" t="s">
        <v>599</v>
      </c>
      <c r="B41" s="17" t="n">
        <v>5712</v>
      </c>
      <c r="C41" s="18">
        <f>(5105.0/B41*100)</f>
        <v/>
      </c>
      <c r="D41" s="19" t="n">
        <v>607</v>
      </c>
      <c r="E41" s="18" t="n">
        <v>50.00019663</v>
      </c>
      <c r="F41" s="20" t="n">
        <v>2.12229637</v>
      </c>
      <c r="G41" s="18" t="n">
        <v>47.94533517</v>
      </c>
      <c r="H41" s="20" t="n">
        <v>2.23762106</v>
      </c>
      <c r="I41" s="18" t="n">
        <v>0</v>
      </c>
      <c r="J41" s="20" t="n">
        <v>0</v>
      </c>
      <c r="K41" s="18" t="n">
        <v>2.0544682</v>
      </c>
      <c r="L41" s="20" t="n">
        <v>0.59286947</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(21091.0/B46*100)</f>
        <v/>
      </c>
      <c r="D46" s="19" t="n">
        <v>2050</v>
      </c>
      <c r="E46" s="18" t="n">
        <v>69.7152488</v>
      </c>
      <c r="F46" s="20" t="n">
        <v>1.62170683</v>
      </c>
      <c r="G46" s="18" t="n">
        <v>27.69974366</v>
      </c>
      <c r="H46" s="20" t="n">
        <v>1.60556679</v>
      </c>
      <c r="I46" s="18" t="n">
        <v>0</v>
      </c>
      <c r="J46" s="20" t="n">
        <v>0</v>
      </c>
      <c r="K46" s="18" t="n">
        <v>2.58500754</v>
      </c>
      <c r="L46" s="20" t="n">
        <v>0.52962436</v>
      </c>
      <c r="M46" s="18" t="n">
        <v>0</v>
      </c>
      <c r="N46" s="20" t="n">
        <v>0</v>
      </c>
      <c r="O46" s="18" t="n">
        <v>0</v>
      </c>
      <c r="P46" s="20" t="n">
        <v>0</v>
      </c>
      <c r="Q46" s="18" t="n">
        <v>0</v>
      </c>
      <c r="R46" s="20" t="n">
        <v>0</v>
      </c>
    </row>
    <row r="47" spans="1:18">
      <c r="A47" s="15" t="s">
        <v>606</v>
      </c>
      <c r="B47" s="17" t="n">
        <v>5928</v>
      </c>
      <c r="C47" s="18">
        <f>(5301.0/B47*100)</f>
        <v/>
      </c>
      <c r="D47" s="19" t="n">
        <v>627</v>
      </c>
      <c r="E47" s="18" t="n">
        <v>52.2135805</v>
      </c>
      <c r="F47" s="20" t="n">
        <v>2.22360166</v>
      </c>
      <c r="G47" s="18" t="n">
        <v>45.08128704</v>
      </c>
      <c r="H47" s="20" t="n">
        <v>2.19392607</v>
      </c>
      <c r="I47" s="18" t="n">
        <v>0</v>
      </c>
      <c r="J47" s="20" t="n">
        <v>0</v>
      </c>
      <c r="K47" s="18" t="n">
        <v>2.70513246</v>
      </c>
      <c r="L47" s="20" t="n">
        <v>0.6445369399999999</v>
      </c>
      <c r="M47" s="18" t="n">
        <v>0</v>
      </c>
      <c r="N47" s="20" t="n">
        <v>0</v>
      </c>
      <c r="O47" s="18" t="n">
        <v>0</v>
      </c>
      <c r="P47" s="20" t="n">
        <v>0</v>
      </c>
      <c r="Q47" s="18" t="n">
        <v>0</v>
      </c>
      <c r="R47" s="20" t="n">
        <v>0</v>
      </c>
    </row>
    <row r="48" spans="1:18">
      <c r="A48" s="15" t="s">
        <v>607</v>
      </c>
      <c r="B48" s="17" t="n">
        <v>9841</v>
      </c>
      <c r="C48" s="18">
        <f>(8734.0/B48*100)</f>
        <v/>
      </c>
      <c r="D48" s="19" t="n">
        <v>1107</v>
      </c>
      <c r="E48" s="18" t="n">
        <v>58.62880181</v>
      </c>
      <c r="F48" s="20" t="n">
        <v>1.76726473</v>
      </c>
      <c r="G48" s="18" t="n">
        <v>39.79175868</v>
      </c>
      <c r="H48" s="20" t="n">
        <v>1.75223491</v>
      </c>
      <c r="I48" s="18" t="n">
        <v>0</v>
      </c>
      <c r="J48" s="20" t="n">
        <v>0</v>
      </c>
      <c r="K48" s="18" t="n">
        <v>1.5794395</v>
      </c>
      <c r="L48" s="20" t="n">
        <v>0.54744665</v>
      </c>
      <c r="M48" s="18" t="n">
        <v>0</v>
      </c>
      <c r="N48" s="20" t="n">
        <v>0</v>
      </c>
      <c r="O48" s="18" t="n">
        <v>0</v>
      </c>
      <c r="P48" s="20" t="n">
        <v>0</v>
      </c>
      <c r="Q48" s="18" t="n">
        <v>0</v>
      </c>
      <c r="R48" s="20" t="n">
        <v>0</v>
      </c>
    </row>
    <row r="49" spans="1:18">
      <c r="A49" s="15" t="s">
        <v>608</v>
      </c>
      <c r="B49" s="17" t="n">
        <v>11795</v>
      </c>
      <c r="C49" s="18">
        <f>(10522.0/B49*100)</f>
        <v/>
      </c>
      <c r="D49" s="19" t="n">
        <v>1273</v>
      </c>
      <c r="E49" s="18" t="n">
        <v>73.85972418</v>
      </c>
      <c r="F49" s="20" t="n">
        <v>1.55176276</v>
      </c>
      <c r="G49" s="18" t="n">
        <v>22.04504229</v>
      </c>
      <c r="H49" s="20" t="n">
        <v>1.55105846</v>
      </c>
      <c r="I49" s="18" t="n">
        <v>0</v>
      </c>
      <c r="J49" s="20" t="n">
        <v>0</v>
      </c>
      <c r="K49" s="18" t="n">
        <v>4.09523354</v>
      </c>
      <c r="L49" s="20" t="n">
        <v>0.8144457000000001</v>
      </c>
      <c r="M49" s="18" t="n">
        <v>0</v>
      </c>
      <c r="N49" s="20" t="n">
        <v>0</v>
      </c>
      <c r="O49" s="18" t="n">
        <v>0</v>
      </c>
      <c r="P49" s="20" t="n">
        <v>0</v>
      </c>
      <c r="Q49" s="18" t="n">
        <v>0</v>
      </c>
      <c r="R49" s="20" t="n">
        <v>0</v>
      </c>
    </row>
    <row r="50" spans="1:18">
      <c r="A50" s="15" t="s">
        <v>609</v>
      </c>
      <c r="B50" s="17" t="n">
        <v>6866</v>
      </c>
      <c r="C50" s="18">
        <f>(6213.0/B50*100)</f>
        <v/>
      </c>
      <c r="D50" s="19" t="n">
        <v>653</v>
      </c>
      <c r="E50" s="18" t="n">
        <v>66.18974566</v>
      </c>
      <c r="F50" s="20" t="n">
        <v>2.4268881</v>
      </c>
      <c r="G50" s="18" t="n">
        <v>31.3492963</v>
      </c>
      <c r="H50" s="20" t="n">
        <v>2.41945723</v>
      </c>
      <c r="I50" s="18" t="n">
        <v>0</v>
      </c>
      <c r="J50" s="20" t="n">
        <v>0</v>
      </c>
      <c r="K50" s="18" t="n">
        <v>2.46095803</v>
      </c>
      <c r="L50" s="20" t="n">
        <v>0.60451877</v>
      </c>
      <c r="M50" s="18" t="n">
        <v>0</v>
      </c>
      <c r="N50" s="20" t="n">
        <v>0</v>
      </c>
      <c r="O50" s="18" t="n">
        <v>0</v>
      </c>
      <c r="P50" s="20" t="n">
        <v>0</v>
      </c>
      <c r="Q50" s="18" t="n">
        <v>0</v>
      </c>
      <c r="R50" s="20" t="n">
        <v>0</v>
      </c>
    </row>
    <row r="51" spans="1:18">
      <c r="A51" s="15" t="s">
        <v>610</v>
      </c>
      <c r="B51" s="17" t="n">
        <v>5809</v>
      </c>
      <c r="C51" s="18">
        <f>(5122.0/B51*100)</f>
        <v/>
      </c>
      <c r="D51" s="19" t="n">
        <v>687</v>
      </c>
      <c r="E51" s="18" t="n">
        <v>38.95686777</v>
      </c>
      <c r="F51" s="20" t="n">
        <v>2.15188446</v>
      </c>
      <c r="G51" s="18" t="n">
        <v>59.50718495</v>
      </c>
      <c r="H51" s="20" t="n">
        <v>2.20138365</v>
      </c>
      <c r="I51" s="18" t="n">
        <v>0</v>
      </c>
      <c r="J51" s="20" t="n">
        <v>0</v>
      </c>
      <c r="K51" s="18" t="n">
        <v>1.53594728</v>
      </c>
      <c r="L51" s="20" t="n">
        <v>0.41126708</v>
      </c>
      <c r="M51" s="18" t="n">
        <v>0</v>
      </c>
      <c r="N51" s="20" t="n">
        <v>0</v>
      </c>
      <c r="O51" s="18" t="n">
        <v>0</v>
      </c>
      <c r="P51" s="20" t="n">
        <v>0</v>
      </c>
      <c r="Q51" s="18" t="n">
        <v>0</v>
      </c>
      <c r="R51" s="20" t="n">
        <v>0</v>
      </c>
    </row>
    <row r="52" spans="1:18">
      <c r="A52" s="15" t="s">
        <v>611</v>
      </c>
      <c r="B52" s="17" t="n">
        <v>5571</v>
      </c>
      <c r="C52" s="18">
        <f>(4988.0/B52*100)</f>
        <v/>
      </c>
      <c r="D52" s="19" t="n">
        <v>583</v>
      </c>
      <c r="E52" s="18" t="n">
        <v>72.23372323</v>
      </c>
      <c r="F52" s="20" t="n">
        <v>1.73142131</v>
      </c>
      <c r="G52" s="18" t="n">
        <v>25.47025791</v>
      </c>
      <c r="H52" s="20" t="n">
        <v>1.75479211</v>
      </c>
      <c r="I52" s="18" t="n">
        <v>0</v>
      </c>
      <c r="J52" s="20" t="n">
        <v>0</v>
      </c>
      <c r="K52" s="18" t="n">
        <v>2.29601886</v>
      </c>
      <c r="L52" s="20" t="n">
        <v>0.6271118</v>
      </c>
      <c r="M52" s="18" t="n">
        <v>0</v>
      </c>
      <c r="N52" s="20" t="n">
        <v>0</v>
      </c>
      <c r="O52" s="18" t="n">
        <v>0</v>
      </c>
      <c r="P52" s="20" t="n">
        <v>0</v>
      </c>
      <c r="Q52" s="18" t="n">
        <v>0</v>
      </c>
      <c r="R52" s="20" t="n">
        <v>0</v>
      </c>
    </row>
    <row r="53" spans="1:18">
      <c r="A53" s="15" t="s">
        <v>612</v>
      </c>
      <c r="B53" s="17" t="n">
        <v>4740</v>
      </c>
      <c r="C53" s="18">
        <f>(4230.0/B53*100)</f>
        <v/>
      </c>
      <c r="D53" s="19" t="n">
        <v>510</v>
      </c>
      <c r="E53" s="18" t="n">
        <v>65.17669972</v>
      </c>
      <c r="F53" s="20" t="n">
        <v>1.95715286</v>
      </c>
      <c r="G53" s="18" t="n">
        <v>14.65063679</v>
      </c>
      <c r="H53" s="20" t="n">
        <v>1.75480146</v>
      </c>
      <c r="I53" s="18" t="n">
        <v>0</v>
      </c>
      <c r="J53" s="20" t="n">
        <v>0</v>
      </c>
      <c r="K53" s="18" t="n">
        <v>20.17266349</v>
      </c>
      <c r="L53" s="20" t="n">
        <v>1.90641448</v>
      </c>
      <c r="M53" s="18" t="n">
        <v>0</v>
      </c>
      <c r="N53" s="20" t="n">
        <v>0</v>
      </c>
      <c r="O53" s="18" t="n">
        <v>0</v>
      </c>
      <c r="P53" s="20" t="n">
        <v>0</v>
      </c>
      <c r="Q53" s="18" t="n">
        <v>0</v>
      </c>
      <c r="R53" s="20" t="n">
        <v>0</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(4736.0/B55*100)</f>
        <v/>
      </c>
      <c r="D55" s="19" t="n">
        <v>623</v>
      </c>
      <c r="E55" s="18" t="n">
        <v>49.90465337</v>
      </c>
      <c r="F55" s="20" t="n">
        <v>2.34669382</v>
      </c>
      <c r="G55" s="18" t="n">
        <v>48.86358847</v>
      </c>
      <c r="H55" s="20" t="n">
        <v>2.26747819</v>
      </c>
      <c r="I55" s="18" t="n">
        <v>0</v>
      </c>
      <c r="J55" s="20" t="n">
        <v>0</v>
      </c>
      <c r="K55" s="18" t="n">
        <v>1.23175816</v>
      </c>
      <c r="L55" s="20" t="n">
        <v>0.48741899</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(5763.0/B61*100)</f>
        <v/>
      </c>
      <c r="D61" s="19" t="n">
        <v>762</v>
      </c>
      <c r="E61" s="18" t="n">
        <v>59.532621</v>
      </c>
      <c r="F61" s="20" t="n">
        <v>1.92249972</v>
      </c>
      <c r="G61" s="18" t="n">
        <v>40.1836922</v>
      </c>
      <c r="H61" s="20" t="n">
        <v>1.89123725</v>
      </c>
      <c r="I61" s="18" t="n">
        <v>0</v>
      </c>
      <c r="J61" s="20" t="n">
        <v>0</v>
      </c>
      <c r="K61" s="18" t="n">
        <v>0.2836868</v>
      </c>
      <c r="L61" s="20" t="n">
        <v>0.183499</v>
      </c>
      <c r="M61" s="18" t="n">
        <v>0</v>
      </c>
      <c r="N61" s="20" t="n">
        <v>0</v>
      </c>
      <c r="O61" s="18" t="n">
        <v>0</v>
      </c>
      <c r="P61" s="20" t="n">
        <v>0</v>
      </c>
      <c r="Q61" s="18" t="n">
        <v>0</v>
      </c>
      <c r="R61" s="20" t="n">
        <v>0</v>
      </c>
    </row>
    <row r="62" spans="1:18">
      <c r="A62" s="15" t="s">
        <v>622</v>
      </c>
      <c r="B62" s="17" t="n">
        <v>4476</v>
      </c>
      <c r="C62" s="18">
        <f>(4016.0/B62*100)</f>
        <v/>
      </c>
      <c r="D62" s="19" t="n">
        <v>460</v>
      </c>
      <c r="E62" s="18" t="n">
        <v>52.21271588</v>
      </c>
      <c r="F62" s="20" t="n">
        <v>2.29783667</v>
      </c>
      <c r="G62" s="18" t="n">
        <v>47.57101178</v>
      </c>
      <c r="H62" s="20" t="n">
        <v>2.31850957</v>
      </c>
      <c r="I62" s="18" t="n">
        <v>0</v>
      </c>
      <c r="J62" s="20" t="n">
        <v>0</v>
      </c>
      <c r="K62" s="18" t="n">
        <v>0.21627234</v>
      </c>
      <c r="L62" s="20" t="n">
        <v>0.2167313</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(5037.0/B67*100)</f>
        <v/>
      </c>
      <c r="D67" s="19" t="n">
        <v>628</v>
      </c>
      <c r="E67" s="18" t="n">
        <v>49.70701761</v>
      </c>
      <c r="F67" s="20" t="n">
        <v>1.98473984</v>
      </c>
      <c r="G67" s="18" t="n">
        <v>45.87458422</v>
      </c>
      <c r="H67" s="20" t="n">
        <v>2.01628653</v>
      </c>
      <c r="I67" s="18" t="n">
        <v>0</v>
      </c>
      <c r="J67" s="20" t="n">
        <v>0</v>
      </c>
      <c r="K67" s="18" t="n">
        <v>4.41839817</v>
      </c>
      <c r="L67" s="20" t="n">
        <v>0.8426171099999999</v>
      </c>
      <c r="M67" s="18" t="n">
        <v>0</v>
      </c>
      <c r="N67" s="20" t="n">
        <v>0</v>
      </c>
      <c r="O67" s="18" t="n">
        <v>0</v>
      </c>
      <c r="P67" s="20" t="n">
        <v>0</v>
      </c>
      <c r="Q67" s="18" t="n">
        <v>0</v>
      </c>
      <c r="R67" s="20" t="n">
        <v>0</v>
      </c>
    </row>
    <row r="68" spans="1:18">
      <c r="A68" s="15" t="s">
        <v>628</v>
      </c>
      <c r="B68" s="17" t="n">
        <v>6971</v>
      </c>
      <c r="C68" s="18">
        <f>(6293.0/B68*100)</f>
        <v/>
      </c>
      <c r="D68" s="19" t="n">
        <v>678</v>
      </c>
      <c r="E68" s="18" t="n">
        <v>74.93639102</v>
      </c>
      <c r="F68" s="20" t="n">
        <v>1.89556364</v>
      </c>
      <c r="G68" s="18" t="n">
        <v>24.54966456</v>
      </c>
      <c r="H68" s="20" t="n">
        <v>1.88650984</v>
      </c>
      <c r="I68" s="18" t="n">
        <v>0</v>
      </c>
      <c r="J68" s="20" t="n">
        <v>0</v>
      </c>
      <c r="K68" s="18" t="n">
        <v>0.51394442</v>
      </c>
      <c r="L68" s="20" t="n">
        <v>0.30421219</v>
      </c>
      <c r="M68" s="18" t="n">
        <v>0</v>
      </c>
      <c r="N68" s="20" t="n">
        <v>0</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(10771.0/B70*100)</f>
        <v/>
      </c>
      <c r="D70" s="19" t="n">
        <v>1312</v>
      </c>
      <c r="E70" s="18" t="n">
        <v>65.69374369000001</v>
      </c>
      <c r="F70" s="20" t="n">
        <v>1.27983106</v>
      </c>
      <c r="G70" s="18" t="n">
        <v>30.81488187</v>
      </c>
      <c r="H70" s="20" t="n">
        <v>1.27430741</v>
      </c>
      <c r="I70" s="18" t="n">
        <v>0</v>
      </c>
      <c r="J70" s="20" t="n">
        <v>0</v>
      </c>
      <c r="K70" s="18" t="n">
        <v>3.49137444</v>
      </c>
      <c r="L70" s="20" t="n">
        <v>0.5149097500000001</v>
      </c>
      <c r="M70" s="18" t="n">
        <v>0</v>
      </c>
      <c r="N70" s="20" t="n">
        <v>0</v>
      </c>
      <c r="O70" s="18" t="n">
        <v>0</v>
      </c>
      <c r="P70" s="20" t="n">
        <v>0</v>
      </c>
      <c r="Q70" s="18" t="n">
        <v>0</v>
      </c>
      <c r="R70" s="20" t="n">
        <v>0</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(5379.0/B72*100)</f>
        <v/>
      </c>
      <c r="D72" s="19" t="n">
        <v>657</v>
      </c>
      <c r="E72" s="18" t="n">
        <v>43.97165475</v>
      </c>
      <c r="F72" s="20" t="n">
        <v>1.89132548</v>
      </c>
      <c r="G72" s="18" t="n">
        <v>55.24474618</v>
      </c>
      <c r="H72" s="20" t="n">
        <v>1.97223209</v>
      </c>
      <c r="I72" s="18" t="n">
        <v>0</v>
      </c>
      <c r="J72" s="20" t="n">
        <v>0</v>
      </c>
      <c r="K72" s="18" t="n">
        <v>0.78359907</v>
      </c>
      <c r="L72" s="20" t="n">
        <v>0.26720668</v>
      </c>
      <c r="M72" s="18" t="n">
        <v>0</v>
      </c>
      <c r="N72" s="20" t="n">
        <v>0</v>
      </c>
      <c r="O72" s="18" t="n">
        <v>0</v>
      </c>
      <c r="P72" s="20" t="n">
        <v>0</v>
      </c>
      <c r="Q72" s="18" t="n">
        <v>0</v>
      </c>
      <c r="R72" s="20" t="n">
        <v>0</v>
      </c>
    </row>
    <row r="73" spans="1:18">
      <c r="A73" s="15" t="s">
        <v>633</v>
      </c>
      <c r="B73" s="17" t="n">
        <v>6115</v>
      </c>
      <c r="C73" s="18">
        <f>(5463.0/B73*100)</f>
        <v/>
      </c>
      <c r="D73" s="19" t="n">
        <v>652</v>
      </c>
      <c r="E73" s="18" t="n">
        <v>38.30148801</v>
      </c>
      <c r="F73" s="20" t="n">
        <v>2.08282274</v>
      </c>
      <c r="G73" s="18" t="n">
        <v>61.22908468</v>
      </c>
      <c r="H73" s="20" t="n">
        <v>2.06558409</v>
      </c>
      <c r="I73" s="18" t="n">
        <v>0</v>
      </c>
      <c r="J73" s="20" t="n">
        <v>0</v>
      </c>
      <c r="K73" s="18" t="n">
        <v>0.46942731</v>
      </c>
      <c r="L73" s="20" t="n">
        <v>0.26762902</v>
      </c>
      <c r="M73" s="18" t="n">
        <v>0</v>
      </c>
      <c r="N73" s="20" t="n">
        <v>0</v>
      </c>
      <c r="O73" s="18" t="n">
        <v>0</v>
      </c>
      <c r="P73" s="20" t="n">
        <v>0</v>
      </c>
      <c r="Q73" s="18" t="n">
        <v>0</v>
      </c>
      <c r="R73" s="20" t="n">
        <v>0</v>
      </c>
    </row>
    <row r="74" spans="1:18">
      <c r="A74" s="15" t="s">
        <v>634</v>
      </c>
      <c r="B74" s="17" t="n">
        <v>7708</v>
      </c>
      <c r="C74" s="18">
        <f>(6844.0/B74*100)</f>
        <v/>
      </c>
      <c r="D74" s="19" t="n">
        <v>864</v>
      </c>
      <c r="E74" s="18" t="n">
        <v>25.17601774</v>
      </c>
      <c r="F74" s="20" t="n">
        <v>1.54970237</v>
      </c>
      <c r="G74" s="18" t="n">
        <v>74.36085602999999</v>
      </c>
      <c r="H74" s="20" t="n">
        <v>1.56241686</v>
      </c>
      <c r="I74" s="18" t="n">
        <v>0</v>
      </c>
      <c r="J74" s="20" t="n">
        <v>0</v>
      </c>
      <c r="K74" s="18" t="n">
        <v>0.46312624</v>
      </c>
      <c r="L74" s="20" t="n">
        <v>0.24103546</v>
      </c>
      <c r="M74" s="18" t="n">
        <v>0</v>
      </c>
      <c r="N74" s="20" t="n">
        <v>0</v>
      </c>
      <c r="O74" s="18" t="n">
        <v>0</v>
      </c>
      <c r="P74" s="20" t="n">
        <v>0</v>
      </c>
      <c r="Q74" s="18" t="n">
        <v>0</v>
      </c>
      <c r="R74" s="20" t="n">
        <v>0</v>
      </c>
    </row>
    <row r="75" spans="1:18">
      <c r="A75" s="15" t="s">
        <v>635</v>
      </c>
      <c r="B75" s="17" t="n">
        <v>8249</v>
      </c>
      <c r="C75" s="18">
        <f>(7372.0/B75*100)</f>
        <v/>
      </c>
      <c r="D75" s="19" t="n">
        <v>877</v>
      </c>
      <c r="E75" s="18" t="n">
        <v>65.81901087</v>
      </c>
      <c r="F75" s="20" t="n">
        <v>1.7922859</v>
      </c>
      <c r="G75" s="18" t="n">
        <v>33.04877586</v>
      </c>
      <c r="H75" s="20" t="n">
        <v>1.81197962</v>
      </c>
      <c r="I75" s="18" t="n">
        <v>0</v>
      </c>
      <c r="J75" s="20" t="n">
        <v>0</v>
      </c>
      <c r="K75" s="18" t="n">
        <v>1.13221327</v>
      </c>
      <c r="L75" s="20" t="n">
        <v>0.33235958</v>
      </c>
      <c r="M75" s="18" t="n">
        <v>0</v>
      </c>
      <c r="N75" s="20" t="n">
        <v>0</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(4833.0/B77*100)</f>
        <v/>
      </c>
      <c r="D77" s="19" t="n">
        <v>542</v>
      </c>
      <c r="E77" s="18" t="n">
        <v>60.31903931</v>
      </c>
      <c r="F77" s="20" t="n">
        <v>2.27985506</v>
      </c>
      <c r="G77" s="18" t="n">
        <v>33.1121243</v>
      </c>
      <c r="H77" s="20" t="n">
        <v>2.06749881</v>
      </c>
      <c r="I77" s="18" t="n">
        <v>0</v>
      </c>
      <c r="J77" s="20" t="n">
        <v>0</v>
      </c>
      <c r="K77" s="18" t="n">
        <v>6.56883639</v>
      </c>
      <c r="L77" s="20" t="n">
        <v>1.16001698</v>
      </c>
      <c r="M77" s="18" t="n">
        <v>0</v>
      </c>
      <c r="N77" s="20" t="n">
        <v>0</v>
      </c>
      <c r="O77" s="18" t="n">
        <v>0</v>
      </c>
      <c r="P77" s="20" t="n">
        <v>0</v>
      </c>
      <c r="Q77" s="18" t="n">
        <v>0</v>
      </c>
      <c r="R77" s="20" t="n">
        <v>0</v>
      </c>
    </row>
    <row r="78" spans="1:18">
      <c r="A78" s="15" t="s">
        <v>638</v>
      </c>
      <c r="B78" s="17" t="n">
        <v>14167</v>
      </c>
      <c r="C78" s="18">
        <f>(12566.0/B78*100)</f>
        <v/>
      </c>
      <c r="D78" s="19" t="n">
        <v>1601</v>
      </c>
      <c r="E78" s="18" t="n">
        <v>62.85335792</v>
      </c>
      <c r="F78" s="20" t="n">
        <v>1.36756739</v>
      </c>
      <c r="G78" s="18" t="n">
        <v>34.94824552</v>
      </c>
      <c r="H78" s="20" t="n">
        <v>1.34695348</v>
      </c>
      <c r="I78" s="18" t="n">
        <v>0</v>
      </c>
      <c r="J78" s="20" t="n">
        <v>0</v>
      </c>
      <c r="K78" s="18" t="n">
        <v>2.19839657</v>
      </c>
      <c r="L78" s="20" t="n">
        <v>0.45526017</v>
      </c>
      <c r="M78" s="18" t="n">
        <v>0</v>
      </c>
      <c r="N78" s="20" t="n">
        <v>0</v>
      </c>
      <c r="O78" s="18" t="n">
        <v>0</v>
      </c>
      <c r="P78" s="20" t="n">
        <v>0</v>
      </c>
      <c r="Q78" s="18" t="n">
        <v>0</v>
      </c>
      <c r="R78" s="20" t="n">
        <v>0</v>
      </c>
    </row>
    <row r="79" spans="1:18">
      <c r="A79" s="15" t="s">
        <v>639</v>
      </c>
      <c r="B79" s="17" t="n">
        <v>6062</v>
      </c>
      <c r="C79" s="18">
        <f>(5409.0/B79*100)</f>
        <v/>
      </c>
      <c r="D79" s="19" t="n">
        <v>653</v>
      </c>
      <c r="E79" s="18" t="n">
        <v>69.8573615</v>
      </c>
      <c r="F79" s="20" t="n">
        <v>1.80669905</v>
      </c>
      <c r="G79" s="18" t="n">
        <v>25.75185208</v>
      </c>
      <c r="H79" s="20" t="n">
        <v>1.90744491</v>
      </c>
      <c r="I79" s="18" t="n">
        <v>0</v>
      </c>
      <c r="J79" s="20" t="n">
        <v>0</v>
      </c>
      <c r="K79" s="18" t="n">
        <v>4.39078643</v>
      </c>
      <c r="L79" s="20" t="n">
        <v>0.97571823</v>
      </c>
      <c r="M79" s="18" t="n">
        <v>0</v>
      </c>
      <c r="N79" s="20" t="n">
        <v>0</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(28889.0/B82*100)</f>
        <v/>
      </c>
      <c r="D82" s="19" t="n">
        <v>3441</v>
      </c>
      <c r="E82" s="18" t="n">
        <v>44.10526346</v>
      </c>
      <c r="F82" s="20" t="n">
        <v>1.26233997</v>
      </c>
      <c r="G82" s="18" t="n">
        <v>54.66314609</v>
      </c>
      <c r="H82" s="20" t="n">
        <v>1.2561461</v>
      </c>
      <c r="I82" s="18" t="n">
        <v>0</v>
      </c>
      <c r="J82" s="20" t="n">
        <v>0</v>
      </c>
      <c r="K82" s="18" t="n">
        <v>1.23159045</v>
      </c>
      <c r="L82" s="20" t="n">
        <v>0.26663667</v>
      </c>
      <c r="M82" s="18" t="n">
        <v>0</v>
      </c>
      <c r="N82" s="20" t="n">
        <v>0</v>
      </c>
      <c r="O82" s="18" t="n">
        <v>0</v>
      </c>
      <c r="P82" s="20" t="n">
        <v>0</v>
      </c>
      <c r="Q82" s="18" t="n">
        <v>0</v>
      </c>
      <c r="R82" s="20" t="n">
        <v>0</v>
      </c>
    </row>
    <row r="83" spans="1:18">
      <c r="A83" s="15" t="s">
        <v>643</v>
      </c>
      <c r="B83" s="17" t="n">
        <v>1652</v>
      </c>
      <c r="C83" s="18">
        <f>(1467.0/B83*100)</f>
        <v/>
      </c>
      <c r="D83" s="19" t="n">
        <v>185</v>
      </c>
      <c r="E83" s="18" t="n">
        <v>45.19183115</v>
      </c>
      <c r="F83" s="20" t="n">
        <v>3.63698295</v>
      </c>
      <c r="G83" s="18" t="n">
        <v>54.80816885</v>
      </c>
      <c r="H83" s="20" t="n">
        <v>3.63698295</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(1692.0/B84*100)</f>
        <v/>
      </c>
      <c r="D84" s="19" t="n">
        <v>195</v>
      </c>
      <c r="E84" s="18" t="n">
        <v>37.91455221</v>
      </c>
      <c r="F84" s="20" t="n">
        <v>3.09863564</v>
      </c>
      <c r="G84" s="18" t="n">
        <v>61.519562</v>
      </c>
      <c r="H84" s="20" t="n">
        <v>3.14681571</v>
      </c>
      <c r="I84" s="18" t="n">
        <v>0</v>
      </c>
      <c r="J84" s="20" t="n">
        <v>0</v>
      </c>
      <c r="K84" s="18" t="n">
        <v>0.5658857900000001</v>
      </c>
      <c r="L84" s="20" t="n">
        <v>0.5512434899999999</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(12933.0/B7*100)</f>
        <v/>
      </c>
      <c r="D7" s="19" t="n">
        <v>1597</v>
      </c>
      <c r="E7" s="18" t="n">
        <v>31.28296764</v>
      </c>
      <c r="F7" s="20" t="n">
        <v>1.36944549</v>
      </c>
      <c r="G7" s="18" t="n">
        <v>67.82304248</v>
      </c>
      <c r="H7" s="20" t="n">
        <v>1.35117403</v>
      </c>
      <c r="I7" s="18" t="n">
        <v>0</v>
      </c>
      <c r="J7" s="20" t="n">
        <v>0</v>
      </c>
      <c r="K7" s="18" t="n">
        <v>0.09400731</v>
      </c>
      <c r="L7" s="20" t="n">
        <v>0.08690269</v>
      </c>
      <c r="M7" s="18" t="n">
        <v>0</v>
      </c>
      <c r="N7" s="20" t="n">
        <v>0</v>
      </c>
      <c r="O7" s="18" t="n">
        <v>0</v>
      </c>
      <c r="P7" s="20" t="n">
        <v>0</v>
      </c>
      <c r="Q7" s="18" t="n">
        <v>0.7999825699999999</v>
      </c>
      <c r="R7" s="20" t="n">
        <v>0.25916937</v>
      </c>
    </row>
    <row r="8" spans="1:18">
      <c r="A8" s="15" t="s">
        <v>566</v>
      </c>
      <c r="B8" s="17" t="n">
        <v>7007</v>
      </c>
      <c r="C8" s="18">
        <f>(6256.0/B8*100)</f>
        <v/>
      </c>
      <c r="D8" s="19" t="n">
        <v>751</v>
      </c>
      <c r="E8" s="18" t="n">
        <v>30.77297396</v>
      </c>
      <c r="F8" s="20" t="n">
        <v>1.66889818</v>
      </c>
      <c r="G8" s="18" t="n">
        <v>68.38107677000001</v>
      </c>
      <c r="H8" s="20" t="n">
        <v>1.68412476</v>
      </c>
      <c r="I8" s="18" t="n">
        <v>0</v>
      </c>
      <c r="J8" s="20" t="n">
        <v>0</v>
      </c>
      <c r="K8" s="18" t="n">
        <v>0.05013972</v>
      </c>
      <c r="L8" s="20" t="n">
        <v>0.05017057</v>
      </c>
      <c r="M8" s="18" t="n">
        <v>0</v>
      </c>
      <c r="N8" s="20" t="n">
        <v>0</v>
      </c>
      <c r="O8" s="18" t="n">
        <v>0</v>
      </c>
      <c r="P8" s="20" t="n">
        <v>0</v>
      </c>
      <c r="Q8" s="18" t="n">
        <v>0.79580955</v>
      </c>
      <c r="R8" s="20" t="n">
        <v>0.35669623</v>
      </c>
    </row>
    <row r="9" spans="1:18">
      <c r="A9" s="15" t="s">
        <v>567</v>
      </c>
      <c r="B9" s="17" t="n">
        <v>9651</v>
      </c>
      <c r="C9" s="18">
        <f>(8631.0/B9*100)</f>
        <v/>
      </c>
      <c r="D9" s="19" t="n">
        <v>1020</v>
      </c>
      <c r="E9" s="18" t="n">
        <v>35.87837177</v>
      </c>
      <c r="F9" s="20" t="n">
        <v>1.29586315</v>
      </c>
      <c r="G9" s="18" t="n">
        <v>63.47543768</v>
      </c>
      <c r="H9" s="20" t="n">
        <v>1.36577385</v>
      </c>
      <c r="I9" s="18" t="n">
        <v>0</v>
      </c>
      <c r="J9" s="20" t="n">
        <v>0</v>
      </c>
      <c r="K9" s="18" t="n">
        <v>0.08591029</v>
      </c>
      <c r="L9" s="20" t="n">
        <v>0.12543004</v>
      </c>
      <c r="M9" s="18" t="n">
        <v>0</v>
      </c>
      <c r="N9" s="20" t="n">
        <v>0</v>
      </c>
      <c r="O9" s="18" t="n">
        <v>0</v>
      </c>
      <c r="P9" s="20" t="n">
        <v>0</v>
      </c>
      <c r="Q9" s="18" t="n">
        <v>0.56028026</v>
      </c>
      <c r="R9" s="20" t="n">
        <v>0.22616962</v>
      </c>
    </row>
    <row r="10" spans="1:18">
      <c r="A10" s="15" t="s">
        <v>568</v>
      </c>
      <c r="B10" s="17" t="n">
        <v>20058</v>
      </c>
      <c r="C10" s="18">
        <f>(17794.0/B10*100)</f>
        <v/>
      </c>
      <c r="D10" s="19" t="n">
        <v>2264</v>
      </c>
      <c r="E10" s="18" t="n">
        <v>27.33292114</v>
      </c>
      <c r="F10" s="20" t="n">
        <v>1.18982674</v>
      </c>
      <c r="G10" s="18" t="n">
        <v>72.29627453000001</v>
      </c>
      <c r="H10" s="20" t="n">
        <v>1.20129195</v>
      </c>
      <c r="I10" s="18" t="n">
        <v>0</v>
      </c>
      <c r="J10" s="20" t="n">
        <v>0</v>
      </c>
      <c r="K10" s="18" t="n">
        <v>0.05609191</v>
      </c>
      <c r="L10" s="20" t="n">
        <v>0.05572769</v>
      </c>
      <c r="M10" s="18" t="n">
        <v>0</v>
      </c>
      <c r="N10" s="20" t="n">
        <v>0</v>
      </c>
      <c r="O10" s="18" t="n">
        <v>0</v>
      </c>
      <c r="P10" s="20" t="n">
        <v>0</v>
      </c>
      <c r="Q10" s="18" t="n">
        <v>0.31471242</v>
      </c>
      <c r="R10" s="20" t="n">
        <v>0.15677818</v>
      </c>
    </row>
    <row r="11" spans="1:18">
      <c r="A11" s="15" t="s">
        <v>569</v>
      </c>
      <c r="B11" s="17" t="n">
        <v>7053</v>
      </c>
      <c r="C11" s="18">
        <f>(6251.0/B11*100)</f>
        <v/>
      </c>
      <c r="D11" s="19" t="n">
        <v>802</v>
      </c>
      <c r="E11" s="18" t="n">
        <v>48.17448531</v>
      </c>
      <c r="F11" s="20" t="n">
        <v>2.17955166</v>
      </c>
      <c r="G11" s="18" t="n">
        <v>48.51322039</v>
      </c>
      <c r="H11" s="20" t="n">
        <v>2.25015914</v>
      </c>
      <c r="I11" s="18" t="n">
        <v>0</v>
      </c>
      <c r="J11" s="20" t="n">
        <v>0</v>
      </c>
      <c r="K11" s="18" t="n">
        <v>0.74666066</v>
      </c>
      <c r="L11" s="20" t="n">
        <v>0.41060485</v>
      </c>
      <c r="M11" s="18" t="n">
        <v>0</v>
      </c>
      <c r="N11" s="20" t="n">
        <v>0</v>
      </c>
      <c r="O11" s="18" t="n">
        <v>0</v>
      </c>
      <c r="P11" s="20" t="n">
        <v>0</v>
      </c>
      <c r="Q11" s="18" t="n">
        <v>2.56563363</v>
      </c>
      <c r="R11" s="20" t="n">
        <v>0.66272466</v>
      </c>
    </row>
    <row r="12" spans="1:18">
      <c r="A12" s="15" t="s">
        <v>570</v>
      </c>
      <c r="B12" s="17" t="n">
        <v>6894</v>
      </c>
      <c r="C12" s="18">
        <f>(6116.0/B12*100)</f>
        <v/>
      </c>
      <c r="D12" s="19" t="n">
        <v>778</v>
      </c>
      <c r="E12" s="18" t="n">
        <v>27.58673649</v>
      </c>
      <c r="F12" s="20" t="n">
        <v>2.0354608</v>
      </c>
      <c r="G12" s="18" t="n">
        <v>72.09803381</v>
      </c>
      <c r="H12" s="20" t="n">
        <v>2.04877685</v>
      </c>
      <c r="I12" s="18" t="n">
        <v>0</v>
      </c>
      <c r="J12" s="20" t="n">
        <v>0</v>
      </c>
      <c r="K12" s="18" t="n">
        <v>0</v>
      </c>
      <c r="L12" s="20" t="n">
        <v>0</v>
      </c>
      <c r="M12" s="18" t="n">
        <v>0</v>
      </c>
      <c r="N12" s="20" t="n">
        <v>0</v>
      </c>
      <c r="O12" s="18" t="n">
        <v>0</v>
      </c>
      <c r="P12" s="20" t="n">
        <v>0</v>
      </c>
      <c r="Q12" s="18" t="n">
        <v>0.31522969</v>
      </c>
      <c r="R12" s="20" t="n">
        <v>0.2324876</v>
      </c>
    </row>
    <row r="13" spans="1:18">
      <c r="A13" s="15" t="s">
        <v>571</v>
      </c>
      <c r="B13" s="17" t="n">
        <v>7161</v>
      </c>
      <c r="C13" s="18">
        <f>(6454.0/B13*100)</f>
        <v/>
      </c>
      <c r="D13" s="19" t="n">
        <v>707</v>
      </c>
      <c r="E13" s="18" t="n">
        <v>25.46351669</v>
      </c>
      <c r="F13" s="20" t="n">
        <v>1.87405333</v>
      </c>
      <c r="G13" s="18" t="n">
        <v>73.62357168</v>
      </c>
      <c r="H13" s="20" t="n">
        <v>1.88521072</v>
      </c>
      <c r="I13" s="18" t="n">
        <v>0</v>
      </c>
      <c r="J13" s="20" t="n">
        <v>0</v>
      </c>
      <c r="K13" s="18" t="n">
        <v>0.24932781</v>
      </c>
      <c r="L13" s="20" t="n">
        <v>0.19199786</v>
      </c>
      <c r="M13" s="18" t="n">
        <v>0</v>
      </c>
      <c r="N13" s="20" t="n">
        <v>0</v>
      </c>
      <c r="O13" s="18" t="n">
        <v>0</v>
      </c>
      <c r="P13" s="20" t="n">
        <v>0</v>
      </c>
      <c r="Q13" s="18" t="n">
        <v>0.66358382</v>
      </c>
      <c r="R13" s="20" t="n">
        <v>0.32856927</v>
      </c>
    </row>
    <row r="14" spans="1:18">
      <c r="A14" s="15" t="s">
        <v>572</v>
      </c>
      <c r="B14" s="17" t="n">
        <v>5587</v>
      </c>
      <c r="C14" s="18">
        <f>(4937.0/B14*100)</f>
        <v/>
      </c>
      <c r="D14" s="19" t="n">
        <v>650</v>
      </c>
      <c r="E14" s="18" t="n">
        <v>27.39161455</v>
      </c>
      <c r="F14" s="20" t="n">
        <v>1.86592054</v>
      </c>
      <c r="G14" s="18" t="n">
        <v>72.00262522</v>
      </c>
      <c r="H14" s="20" t="n">
        <v>1.83094913</v>
      </c>
      <c r="I14" s="18" t="n">
        <v>0</v>
      </c>
      <c r="J14" s="20" t="n">
        <v>0</v>
      </c>
      <c r="K14" s="18" t="n">
        <v>0</v>
      </c>
      <c r="L14" s="20" t="n">
        <v>0</v>
      </c>
      <c r="M14" s="18" t="n">
        <v>0</v>
      </c>
      <c r="N14" s="20" t="n">
        <v>0</v>
      </c>
      <c r="O14" s="18" t="n">
        <v>0</v>
      </c>
      <c r="P14" s="20" t="n">
        <v>0</v>
      </c>
      <c r="Q14" s="18" t="n">
        <v>0.60576023</v>
      </c>
      <c r="R14" s="20" t="n">
        <v>0.40145346</v>
      </c>
    </row>
    <row r="15" spans="1:18">
      <c r="A15" s="15" t="s">
        <v>573</v>
      </c>
      <c r="B15" s="17" t="n">
        <v>5882</v>
      </c>
      <c r="C15" s="18">
        <f>(5237.0/B15*100)</f>
        <v/>
      </c>
      <c r="D15" s="19" t="n">
        <v>645</v>
      </c>
      <c r="E15" s="18" t="n">
        <v>29.45608223</v>
      </c>
      <c r="F15" s="20" t="n">
        <v>2.022291</v>
      </c>
      <c r="G15" s="18" t="n">
        <v>69.71889289000001</v>
      </c>
      <c r="H15" s="20" t="n">
        <v>1.99713901</v>
      </c>
      <c r="I15" s="18" t="n">
        <v>0</v>
      </c>
      <c r="J15" s="20" t="n">
        <v>0</v>
      </c>
      <c r="K15" s="18" t="n">
        <v>0.06558862</v>
      </c>
      <c r="L15" s="20" t="n">
        <v>0.06559719</v>
      </c>
      <c r="M15" s="18" t="n">
        <v>0</v>
      </c>
      <c r="N15" s="20" t="n">
        <v>0</v>
      </c>
      <c r="O15" s="18" t="n">
        <v>0</v>
      </c>
      <c r="P15" s="20" t="n">
        <v>0</v>
      </c>
      <c r="Q15" s="18" t="n">
        <v>0.75943626</v>
      </c>
      <c r="R15" s="20" t="n">
        <v>0.33773776</v>
      </c>
    </row>
    <row r="16" spans="1:18">
      <c r="A16" s="15" t="s">
        <v>574</v>
      </c>
      <c r="B16" s="17" t="n">
        <v>6108</v>
      </c>
      <c r="C16" s="18">
        <f>(5390.0/B16*100)</f>
        <v/>
      </c>
      <c r="D16" s="19" t="n">
        <v>718</v>
      </c>
      <c r="E16" s="18" t="n">
        <v>30.1472308</v>
      </c>
      <c r="F16" s="20" t="n">
        <v>1.74366144</v>
      </c>
      <c r="G16" s="18" t="n">
        <v>67.62829907</v>
      </c>
      <c r="H16" s="20" t="n">
        <v>2.00200863</v>
      </c>
      <c r="I16" s="18" t="n">
        <v>0</v>
      </c>
      <c r="J16" s="20" t="n">
        <v>0</v>
      </c>
      <c r="K16" s="18" t="n">
        <v>0.14124618</v>
      </c>
      <c r="L16" s="20" t="n">
        <v>0.1513781</v>
      </c>
      <c r="M16" s="18" t="n">
        <v>0</v>
      </c>
      <c r="N16" s="20" t="n">
        <v>0</v>
      </c>
      <c r="O16" s="18" t="n">
        <v>0</v>
      </c>
      <c r="P16" s="20" t="n">
        <v>0</v>
      </c>
      <c r="Q16" s="18" t="n">
        <v>2.08322395</v>
      </c>
      <c r="R16" s="20" t="n">
        <v>0.73827636</v>
      </c>
    </row>
    <row r="17" spans="1:18">
      <c r="A17" s="15" t="s">
        <v>575</v>
      </c>
      <c r="B17" s="17" t="n">
        <v>6504</v>
      </c>
      <c r="C17" s="18">
        <f>(5823.0/B17*100)</f>
        <v/>
      </c>
      <c r="D17" s="19" t="n">
        <v>681</v>
      </c>
      <c r="E17" s="18" t="n">
        <v>27.31225196</v>
      </c>
      <c r="F17" s="20" t="n">
        <v>1.8398339</v>
      </c>
      <c r="G17" s="18" t="n">
        <v>72.07826111</v>
      </c>
      <c r="H17" s="20" t="n">
        <v>1.85222519</v>
      </c>
      <c r="I17" s="18" t="n">
        <v>0</v>
      </c>
      <c r="J17" s="20" t="n">
        <v>0</v>
      </c>
      <c r="K17" s="18" t="n">
        <v>0.23017879</v>
      </c>
      <c r="L17" s="20" t="n">
        <v>0.18843041</v>
      </c>
      <c r="M17" s="18" t="n">
        <v>0</v>
      </c>
      <c r="N17" s="20" t="n">
        <v>0</v>
      </c>
      <c r="O17" s="18" t="n">
        <v>0</v>
      </c>
      <c r="P17" s="20" t="n">
        <v>0</v>
      </c>
      <c r="Q17" s="18" t="n">
        <v>0.37930815</v>
      </c>
      <c r="R17" s="20" t="n">
        <v>0.22150071</v>
      </c>
    </row>
    <row r="18" spans="1:18">
      <c r="A18" s="15" t="s">
        <v>576</v>
      </c>
      <c r="B18" s="17" t="n">
        <v>5532</v>
      </c>
      <c r="C18" s="18">
        <f>(4905.0/B18*100)</f>
        <v/>
      </c>
      <c r="D18" s="19" t="n">
        <v>627</v>
      </c>
      <c r="E18" s="18" t="n">
        <v>44.75514728</v>
      </c>
      <c r="F18" s="20" t="n">
        <v>2.43265779</v>
      </c>
      <c r="G18" s="18" t="n">
        <v>54.50013521</v>
      </c>
      <c r="H18" s="20" t="n">
        <v>2.40627165</v>
      </c>
      <c r="I18" s="18" t="n">
        <v>0</v>
      </c>
      <c r="J18" s="20" t="n">
        <v>0</v>
      </c>
      <c r="K18" s="18" t="n">
        <v>0.26204477</v>
      </c>
      <c r="L18" s="20" t="n">
        <v>0.25990968</v>
      </c>
      <c r="M18" s="18" t="n">
        <v>0</v>
      </c>
      <c r="N18" s="20" t="n">
        <v>0</v>
      </c>
      <c r="O18" s="18" t="n">
        <v>0</v>
      </c>
      <c r="P18" s="20" t="n">
        <v>0</v>
      </c>
      <c r="Q18" s="18" t="n">
        <v>0.48267274</v>
      </c>
      <c r="R18" s="20" t="n">
        <v>0.27905548</v>
      </c>
    </row>
    <row r="19" spans="1:18">
      <c r="A19" s="15" t="s">
        <v>577</v>
      </c>
      <c r="B19" s="17" t="n">
        <v>5658</v>
      </c>
      <c r="C19" s="18">
        <f>(5066.0/B19*100)</f>
        <v/>
      </c>
      <c r="D19" s="19" t="n">
        <v>592</v>
      </c>
      <c r="E19" s="18" t="n">
        <v>32.81890289</v>
      </c>
      <c r="F19" s="20" t="n">
        <v>2.03001551</v>
      </c>
      <c r="G19" s="18" t="n">
        <v>66.69538944999999</v>
      </c>
      <c r="H19" s="20" t="n">
        <v>2.06762994</v>
      </c>
      <c r="I19" s="18" t="n">
        <v>0</v>
      </c>
      <c r="J19" s="20" t="n">
        <v>0</v>
      </c>
      <c r="K19" s="18" t="n">
        <v>0</v>
      </c>
      <c r="L19" s="20" t="n">
        <v>0</v>
      </c>
      <c r="M19" s="18" t="n">
        <v>0</v>
      </c>
      <c r="N19" s="20" t="n">
        <v>0</v>
      </c>
      <c r="O19" s="18" t="n">
        <v>0</v>
      </c>
      <c r="P19" s="20" t="n">
        <v>0</v>
      </c>
      <c r="Q19" s="18" t="n">
        <v>0.48570767</v>
      </c>
      <c r="R19" s="20" t="n">
        <v>0.25735388</v>
      </c>
    </row>
    <row r="20" spans="1:18">
      <c r="A20" s="15" t="s">
        <v>578</v>
      </c>
      <c r="B20" s="17" t="n">
        <v>3371</v>
      </c>
      <c r="C20" s="18">
        <f>(2997.0/B20*100)</f>
        <v/>
      </c>
      <c r="D20" s="19" t="n">
        <v>374</v>
      </c>
      <c r="E20" s="18" t="n">
        <v>35.2388677</v>
      </c>
      <c r="F20" s="20" t="n">
        <v>2.34764867</v>
      </c>
      <c r="G20" s="18" t="n">
        <v>62.57927053</v>
      </c>
      <c r="H20" s="20" t="n">
        <v>2.38008489</v>
      </c>
      <c r="I20" s="18" t="n">
        <v>0</v>
      </c>
      <c r="J20" s="20" t="n">
        <v>0</v>
      </c>
      <c r="K20" s="18" t="n">
        <v>0.7885192600000001</v>
      </c>
      <c r="L20" s="20" t="n">
        <v>0.4545254</v>
      </c>
      <c r="M20" s="18" t="n">
        <v>0</v>
      </c>
      <c r="N20" s="20" t="n">
        <v>0</v>
      </c>
      <c r="O20" s="18" t="n">
        <v>0</v>
      </c>
      <c r="P20" s="20" t="n">
        <v>0</v>
      </c>
      <c r="Q20" s="18" t="n">
        <v>1.39334251</v>
      </c>
      <c r="R20" s="20" t="n">
        <v>0.61780729</v>
      </c>
    </row>
    <row r="21" spans="1:18">
      <c r="A21" s="15" t="s">
        <v>579</v>
      </c>
      <c r="B21" s="17" t="n">
        <v>5741</v>
      </c>
      <c r="C21" s="18">
        <f>(5125.0/B21*100)</f>
        <v/>
      </c>
      <c r="D21" s="19" t="n">
        <v>616</v>
      </c>
      <c r="E21" s="18" t="n">
        <v>30.84523658</v>
      </c>
      <c r="F21" s="20" t="n">
        <v>1.78995203</v>
      </c>
      <c r="G21" s="18" t="n">
        <v>68.82685111000001</v>
      </c>
      <c r="H21" s="20" t="n">
        <v>1.80109654</v>
      </c>
      <c r="I21" s="18" t="n">
        <v>0</v>
      </c>
      <c r="J21" s="20" t="n">
        <v>0</v>
      </c>
      <c r="K21" s="18" t="n">
        <v>0</v>
      </c>
      <c r="L21" s="20" t="n">
        <v>0</v>
      </c>
      <c r="M21" s="18" t="n">
        <v>0</v>
      </c>
      <c r="N21" s="20" t="n">
        <v>0</v>
      </c>
      <c r="O21" s="18" t="n">
        <v>0</v>
      </c>
      <c r="P21" s="20" t="n">
        <v>0</v>
      </c>
      <c r="Q21" s="18" t="n">
        <v>0.32791232</v>
      </c>
      <c r="R21" s="20" t="n">
        <v>0.26559799</v>
      </c>
    </row>
    <row r="22" spans="1:18">
      <c r="A22" s="15" t="s">
        <v>580</v>
      </c>
      <c r="B22" s="17" t="n">
        <v>6598</v>
      </c>
      <c r="C22" s="18">
        <f>(5898.0/B22*100)</f>
        <v/>
      </c>
      <c r="D22" s="19" t="n">
        <v>700</v>
      </c>
      <c r="E22" s="18" t="n">
        <v>39.87268099</v>
      </c>
      <c r="F22" s="20" t="n">
        <v>1.68255059</v>
      </c>
      <c r="G22" s="18" t="n">
        <v>58.82604595</v>
      </c>
      <c r="H22" s="20" t="n">
        <v>1.79849014</v>
      </c>
      <c r="I22" s="18" t="n">
        <v>0</v>
      </c>
      <c r="J22" s="20" t="n">
        <v>0</v>
      </c>
      <c r="K22" s="18" t="n">
        <v>0.4056488</v>
      </c>
      <c r="L22" s="20" t="n">
        <v>0.29090409</v>
      </c>
      <c r="M22" s="18" t="n">
        <v>0</v>
      </c>
      <c r="N22" s="20" t="n">
        <v>0</v>
      </c>
      <c r="O22" s="18" t="n">
        <v>0</v>
      </c>
      <c r="P22" s="20" t="n">
        <v>0</v>
      </c>
      <c r="Q22" s="18" t="n">
        <v>0.89562425</v>
      </c>
      <c r="R22" s="20" t="n">
        <v>0.35289526</v>
      </c>
    </row>
    <row r="23" spans="1:18">
      <c r="A23" s="15" t="s">
        <v>581</v>
      </c>
      <c r="B23" s="17" t="n">
        <v>11583</v>
      </c>
      <c r="C23" s="18">
        <f>(10320.0/B23*100)</f>
        <v/>
      </c>
      <c r="D23" s="19" t="n">
        <v>1263</v>
      </c>
      <c r="E23" s="18" t="n">
        <v>37.42669919</v>
      </c>
      <c r="F23" s="20" t="n">
        <v>1.94430246</v>
      </c>
      <c r="G23" s="18" t="n">
        <v>62.03693063</v>
      </c>
      <c r="H23" s="20" t="n">
        <v>1.99036423</v>
      </c>
      <c r="I23" s="18" t="n">
        <v>0</v>
      </c>
      <c r="J23" s="20" t="n">
        <v>0</v>
      </c>
      <c r="K23" s="18" t="n">
        <v>0.00221642</v>
      </c>
      <c r="L23" s="20" t="n">
        <v>0.00222729</v>
      </c>
      <c r="M23" s="18" t="n">
        <v>0</v>
      </c>
      <c r="N23" s="20" t="n">
        <v>0</v>
      </c>
      <c r="O23" s="18" t="n">
        <v>0</v>
      </c>
      <c r="P23" s="20" t="n">
        <v>0</v>
      </c>
      <c r="Q23" s="18" t="n">
        <v>0.53415376</v>
      </c>
      <c r="R23" s="20" t="n">
        <v>0.35018592</v>
      </c>
    </row>
    <row r="24" spans="1:18">
      <c r="A24" s="15" t="s">
        <v>582</v>
      </c>
      <c r="B24" s="17" t="n">
        <v>6647</v>
      </c>
      <c r="C24" s="18">
        <f>(5933.0/B24*100)</f>
        <v/>
      </c>
      <c r="D24" s="19" t="n">
        <v>714</v>
      </c>
      <c r="E24" s="18" t="n">
        <v>21.08131683</v>
      </c>
      <c r="F24" s="20" t="n">
        <v>1.55891333</v>
      </c>
      <c r="G24" s="18" t="n">
        <v>78.62957663</v>
      </c>
      <c r="H24" s="20" t="n">
        <v>1.55534554</v>
      </c>
      <c r="I24" s="18" t="n">
        <v>0</v>
      </c>
      <c r="J24" s="20" t="n">
        <v>0</v>
      </c>
      <c r="K24" s="18" t="n">
        <v>0</v>
      </c>
      <c r="L24" s="20" t="n">
        <v>0</v>
      </c>
      <c r="M24" s="18" t="n">
        <v>0</v>
      </c>
      <c r="N24" s="20" t="n">
        <v>0</v>
      </c>
      <c r="O24" s="18" t="n">
        <v>0</v>
      </c>
      <c r="P24" s="20" t="n">
        <v>0</v>
      </c>
      <c r="Q24" s="18" t="n">
        <v>0.28910655</v>
      </c>
      <c r="R24" s="20" t="n">
        <v>0.2068956</v>
      </c>
    </row>
    <row r="25" spans="1:18">
      <c r="A25" s="15" t="s">
        <v>583</v>
      </c>
      <c r="B25" s="17" t="n">
        <v>5581</v>
      </c>
      <c r="C25" s="18">
        <f>(4966.0/B25*100)</f>
        <v/>
      </c>
      <c r="D25" s="19" t="n">
        <v>615</v>
      </c>
      <c r="E25" s="18" t="n">
        <v>42.8082318</v>
      </c>
      <c r="F25" s="20" t="n">
        <v>1.7705414</v>
      </c>
      <c r="G25" s="18" t="n">
        <v>55.83797153</v>
      </c>
      <c r="H25" s="20" t="n">
        <v>1.81067776</v>
      </c>
      <c r="I25" s="18" t="n">
        <v>0</v>
      </c>
      <c r="J25" s="20" t="n">
        <v>0</v>
      </c>
      <c r="K25" s="18" t="n">
        <v>0</v>
      </c>
      <c r="L25" s="20" t="n">
        <v>0</v>
      </c>
      <c r="M25" s="18" t="n">
        <v>0</v>
      </c>
      <c r="N25" s="20" t="n">
        <v>0</v>
      </c>
      <c r="O25" s="18" t="n">
        <v>0</v>
      </c>
      <c r="P25" s="20" t="n">
        <v>0</v>
      </c>
      <c r="Q25" s="18" t="n">
        <v>1.35379667</v>
      </c>
      <c r="R25" s="20" t="n">
        <v>0.45751106</v>
      </c>
    </row>
    <row r="26" spans="1:18">
      <c r="A26" s="15" t="s">
        <v>584</v>
      </c>
      <c r="B26" s="17" t="n">
        <v>4869</v>
      </c>
      <c r="C26" s="18">
        <f>(4307.0/B26*100)</f>
        <v/>
      </c>
      <c r="D26" s="19" t="n">
        <v>562</v>
      </c>
      <c r="E26" s="18" t="n">
        <v>36.208853</v>
      </c>
      <c r="F26" s="20" t="n">
        <v>1.75385952</v>
      </c>
      <c r="G26" s="18" t="n">
        <v>63.16255495</v>
      </c>
      <c r="H26" s="20" t="n">
        <v>1.78870238</v>
      </c>
      <c r="I26" s="18" t="n">
        <v>0</v>
      </c>
      <c r="J26" s="20" t="n">
        <v>0</v>
      </c>
      <c r="K26" s="18" t="n">
        <v>0</v>
      </c>
      <c r="L26" s="20" t="n">
        <v>0</v>
      </c>
      <c r="M26" s="18" t="n">
        <v>0</v>
      </c>
      <c r="N26" s="20" t="n">
        <v>0</v>
      </c>
      <c r="O26" s="18" t="n">
        <v>0</v>
      </c>
      <c r="P26" s="20" t="n">
        <v>0</v>
      </c>
      <c r="Q26" s="18" t="n">
        <v>0.62859205</v>
      </c>
      <c r="R26" s="20" t="n">
        <v>0.33499802</v>
      </c>
    </row>
    <row r="27" spans="1:18">
      <c r="A27" s="15" t="s">
        <v>585</v>
      </c>
      <c r="B27" s="17" t="n">
        <v>5299</v>
      </c>
      <c r="C27" s="18">
        <f>(4686.0/B27*100)</f>
        <v/>
      </c>
      <c r="D27" s="19" t="n">
        <v>613</v>
      </c>
      <c r="E27" s="18" t="n">
        <v>33.84482727</v>
      </c>
      <c r="F27" s="20" t="n">
        <v>1.87364977</v>
      </c>
      <c r="G27" s="18" t="n">
        <v>65.16712302000001</v>
      </c>
      <c r="H27" s="20" t="n">
        <v>1.86799735</v>
      </c>
      <c r="I27" s="18" t="n">
        <v>0</v>
      </c>
      <c r="J27" s="20" t="n">
        <v>0</v>
      </c>
      <c r="K27" s="18" t="n">
        <v>0.32459034</v>
      </c>
      <c r="L27" s="20" t="n">
        <v>0.22893167</v>
      </c>
      <c r="M27" s="18" t="n">
        <v>0</v>
      </c>
      <c r="N27" s="20" t="n">
        <v>0</v>
      </c>
      <c r="O27" s="18" t="n">
        <v>0</v>
      </c>
      <c r="P27" s="20" t="n">
        <v>0</v>
      </c>
      <c r="Q27" s="18" t="n">
        <v>0.6634593600000001</v>
      </c>
      <c r="R27" s="20" t="n">
        <v>0.32743295</v>
      </c>
    </row>
    <row r="28" spans="1:18">
      <c r="A28" s="15" t="s">
        <v>586</v>
      </c>
      <c r="B28" s="17" t="n">
        <v>7568</v>
      </c>
      <c r="C28" s="18">
        <f>(6715.0/B28*100)</f>
        <v/>
      </c>
      <c r="D28" s="19" t="n">
        <v>853</v>
      </c>
      <c r="E28" s="18" t="n">
        <v>46.19651697</v>
      </c>
      <c r="F28" s="20" t="n">
        <v>1.90283179</v>
      </c>
      <c r="G28" s="18" t="n">
        <v>52.49202152</v>
      </c>
      <c r="H28" s="20" t="n">
        <v>1.92977154</v>
      </c>
      <c r="I28" s="18" t="n">
        <v>0</v>
      </c>
      <c r="J28" s="20" t="n">
        <v>0</v>
      </c>
      <c r="K28" s="18" t="n">
        <v>0.0634139</v>
      </c>
      <c r="L28" s="20" t="n">
        <v>0.06249026</v>
      </c>
      <c r="M28" s="18" t="n">
        <v>0</v>
      </c>
      <c r="N28" s="20" t="n">
        <v>0</v>
      </c>
      <c r="O28" s="18" t="n">
        <v>0</v>
      </c>
      <c r="P28" s="20" t="n">
        <v>0</v>
      </c>
      <c r="Q28" s="18" t="n">
        <v>1.24804761</v>
      </c>
      <c r="R28" s="20" t="n">
        <v>0.41520305</v>
      </c>
    </row>
    <row r="29" spans="1:18">
      <c r="A29" s="15" t="s">
        <v>587</v>
      </c>
      <c r="B29" s="17" t="n">
        <v>5385</v>
      </c>
      <c r="C29" s="18">
        <f>(4851.0/B29*100)</f>
        <v/>
      </c>
      <c r="D29" s="19" t="n">
        <v>534</v>
      </c>
      <c r="E29" s="18" t="n">
        <v>34.60457693</v>
      </c>
      <c r="F29" s="20" t="n">
        <v>2.24934738</v>
      </c>
      <c r="G29" s="18" t="n">
        <v>64.78424209000001</v>
      </c>
      <c r="H29" s="20" t="n">
        <v>2.27884812</v>
      </c>
      <c r="I29" s="18" t="n">
        <v>0</v>
      </c>
      <c r="J29" s="20" t="n">
        <v>0</v>
      </c>
      <c r="K29" s="18" t="n">
        <v>0.17061289</v>
      </c>
      <c r="L29" s="20" t="n">
        <v>0.16227445</v>
      </c>
      <c r="M29" s="18" t="n">
        <v>0</v>
      </c>
      <c r="N29" s="20" t="n">
        <v>0</v>
      </c>
      <c r="O29" s="18" t="n">
        <v>0</v>
      </c>
      <c r="P29" s="20" t="n">
        <v>0</v>
      </c>
      <c r="Q29" s="18" t="n">
        <v>0.44056808</v>
      </c>
      <c r="R29" s="20" t="n">
        <v>0.28205463</v>
      </c>
    </row>
    <row r="30" spans="1:18">
      <c r="A30" s="15" t="s">
        <v>588</v>
      </c>
      <c r="B30" s="17" t="n">
        <v>4520</v>
      </c>
      <c r="C30" s="18">
        <f>(4005.0/B30*100)</f>
        <v/>
      </c>
      <c r="D30" s="19" t="n">
        <v>515</v>
      </c>
      <c r="E30" s="18" t="n">
        <v>29.24304214</v>
      </c>
      <c r="F30" s="20" t="n">
        <v>1.71273657</v>
      </c>
      <c r="G30" s="18" t="n">
        <v>69.0569108</v>
      </c>
      <c r="H30" s="20" t="n">
        <v>1.86553881</v>
      </c>
      <c r="I30" s="18" t="n">
        <v>0</v>
      </c>
      <c r="J30" s="20" t="n">
        <v>0</v>
      </c>
      <c r="K30" s="18" t="n">
        <v>0</v>
      </c>
      <c r="L30" s="20" t="n">
        <v>0</v>
      </c>
      <c r="M30" s="18" t="n">
        <v>0</v>
      </c>
      <c r="N30" s="20" t="n">
        <v>0</v>
      </c>
      <c r="O30" s="18" t="n">
        <v>0</v>
      </c>
      <c r="P30" s="20" t="n">
        <v>0</v>
      </c>
      <c r="Q30" s="18" t="n">
        <v>1.70004707</v>
      </c>
      <c r="R30" s="20" t="n">
        <v>0.5594697</v>
      </c>
    </row>
    <row r="31" spans="1:18">
      <c r="A31" s="15" t="s">
        <v>589</v>
      </c>
      <c r="B31" s="17" t="n">
        <v>5456</v>
      </c>
      <c r="C31" s="18">
        <f>(4847.0/B31*100)</f>
        <v/>
      </c>
      <c r="D31" s="19" t="n">
        <v>609</v>
      </c>
      <c r="E31" s="18" t="n">
        <v>32.67418204</v>
      </c>
      <c r="F31" s="20" t="n">
        <v>1.70793005</v>
      </c>
      <c r="G31" s="18" t="n">
        <v>66.8899067</v>
      </c>
      <c r="H31" s="20" t="n">
        <v>1.76207759</v>
      </c>
      <c r="I31" s="18" t="n">
        <v>0</v>
      </c>
      <c r="J31" s="20" t="n">
        <v>0</v>
      </c>
      <c r="K31" s="18" t="n">
        <v>0.12255983</v>
      </c>
      <c r="L31" s="20" t="n">
        <v>0.11800141</v>
      </c>
      <c r="M31" s="18" t="n">
        <v>0</v>
      </c>
      <c r="N31" s="20" t="n">
        <v>0</v>
      </c>
      <c r="O31" s="18" t="n">
        <v>0</v>
      </c>
      <c r="P31" s="20" t="n">
        <v>0</v>
      </c>
      <c r="Q31" s="18" t="n">
        <v>0.31335142</v>
      </c>
      <c r="R31" s="20" t="n">
        <v>0.22054216</v>
      </c>
    </row>
    <row r="32" spans="1:18">
      <c r="A32" s="15" t="s">
        <v>590</v>
      </c>
      <c r="B32" s="17" t="n">
        <v>4478</v>
      </c>
      <c r="C32" s="18">
        <f>(3997.0/B32*100)</f>
        <v/>
      </c>
      <c r="D32" s="19" t="n">
        <v>481</v>
      </c>
      <c r="E32" s="18" t="n">
        <v>32.45718123</v>
      </c>
      <c r="F32" s="20" t="n">
        <v>2.10747952</v>
      </c>
      <c r="G32" s="18" t="n">
        <v>67.34190945</v>
      </c>
      <c r="H32" s="20" t="n">
        <v>2.10528264</v>
      </c>
      <c r="I32" s="18" t="n">
        <v>0</v>
      </c>
      <c r="J32" s="20" t="n">
        <v>0</v>
      </c>
      <c r="K32" s="18" t="n">
        <v>0</v>
      </c>
      <c r="L32" s="20" t="n">
        <v>0</v>
      </c>
      <c r="M32" s="18" t="n">
        <v>0</v>
      </c>
      <c r="N32" s="20" t="n">
        <v>0</v>
      </c>
      <c r="O32" s="18" t="n">
        <v>0</v>
      </c>
      <c r="P32" s="20" t="n">
        <v>0</v>
      </c>
      <c r="Q32" s="18" t="n">
        <v>0.20090931</v>
      </c>
      <c r="R32" s="20" t="n">
        <v>0.21475322</v>
      </c>
    </row>
    <row r="33" spans="1:18">
      <c r="A33" s="15" t="s">
        <v>591</v>
      </c>
      <c r="B33" s="17" t="n">
        <v>7325</v>
      </c>
      <c r="C33" s="18">
        <f>(6496.0/B33*100)</f>
        <v/>
      </c>
      <c r="D33" s="19" t="n">
        <v>829</v>
      </c>
      <c r="E33" s="18" t="n">
        <v>33.55166526</v>
      </c>
      <c r="F33" s="20" t="n">
        <v>1.996898</v>
      </c>
      <c r="G33" s="18" t="n">
        <v>65.76796363</v>
      </c>
      <c r="H33" s="20" t="n">
        <v>1.99895949</v>
      </c>
      <c r="I33" s="18" t="n">
        <v>0</v>
      </c>
      <c r="J33" s="20" t="n">
        <v>0</v>
      </c>
      <c r="K33" s="18" t="n">
        <v>0.2670565</v>
      </c>
      <c r="L33" s="20" t="n">
        <v>0.20005783</v>
      </c>
      <c r="M33" s="18" t="n">
        <v>0</v>
      </c>
      <c r="N33" s="20" t="n">
        <v>0</v>
      </c>
      <c r="O33" s="18" t="n">
        <v>0</v>
      </c>
      <c r="P33" s="20" t="n">
        <v>0</v>
      </c>
      <c r="Q33" s="18" t="n">
        <v>0.41331461</v>
      </c>
      <c r="R33" s="20" t="n">
        <v>0.15867262</v>
      </c>
    </row>
    <row r="34" spans="1:18">
      <c r="A34" s="15" t="s">
        <v>592</v>
      </c>
      <c r="B34" s="17" t="n">
        <v>6350</v>
      </c>
      <c r="C34" s="18">
        <f>(5666.0/B34*100)</f>
        <v/>
      </c>
      <c r="D34" s="19" t="n">
        <v>684</v>
      </c>
      <c r="E34" s="18" t="n">
        <v>45.822515</v>
      </c>
      <c r="F34" s="20" t="n">
        <v>1.88558406</v>
      </c>
      <c r="G34" s="18" t="n">
        <v>52.76844081</v>
      </c>
      <c r="H34" s="20" t="n">
        <v>1.91867094</v>
      </c>
      <c r="I34" s="18" t="n">
        <v>0</v>
      </c>
      <c r="J34" s="20" t="n">
        <v>0</v>
      </c>
      <c r="K34" s="18" t="n">
        <v>0</v>
      </c>
      <c r="L34" s="20" t="n">
        <v>0</v>
      </c>
      <c r="M34" s="18" t="n">
        <v>0</v>
      </c>
      <c r="N34" s="20" t="n">
        <v>0</v>
      </c>
      <c r="O34" s="18" t="n">
        <v>0</v>
      </c>
      <c r="P34" s="20" t="n">
        <v>0</v>
      </c>
      <c r="Q34" s="18" t="n">
        <v>1.40904418</v>
      </c>
      <c r="R34" s="20" t="n">
        <v>0.51409523</v>
      </c>
    </row>
    <row r="35" spans="1:18">
      <c r="A35" s="15" t="s">
        <v>593</v>
      </c>
      <c r="B35" s="17" t="n">
        <v>6406</v>
      </c>
      <c r="C35" s="18">
        <f>(5722.0/B35*100)</f>
        <v/>
      </c>
      <c r="D35" s="19" t="n">
        <v>684</v>
      </c>
      <c r="E35" s="18" t="n">
        <v>40.6897148</v>
      </c>
      <c r="F35" s="20" t="n">
        <v>2.38388821</v>
      </c>
      <c r="G35" s="18" t="n">
        <v>58.53095167</v>
      </c>
      <c r="H35" s="20" t="n">
        <v>2.47262713</v>
      </c>
      <c r="I35" s="18" t="n">
        <v>0</v>
      </c>
      <c r="J35" s="20" t="n">
        <v>0</v>
      </c>
      <c r="K35" s="18" t="n">
        <v>0.08159180000000001</v>
      </c>
      <c r="L35" s="20" t="n">
        <v>0.08112622</v>
      </c>
      <c r="M35" s="18" t="n">
        <v>0</v>
      </c>
      <c r="N35" s="20" t="n">
        <v>0</v>
      </c>
      <c r="O35" s="18" t="n">
        <v>0</v>
      </c>
      <c r="P35" s="20" t="n">
        <v>0</v>
      </c>
      <c r="Q35" s="18" t="n">
        <v>0.69774174</v>
      </c>
      <c r="R35" s="20" t="n">
        <v>0.52457478</v>
      </c>
    </row>
    <row r="36" spans="1:18">
      <c r="A36" s="15" t="s">
        <v>594</v>
      </c>
      <c r="B36" s="17" t="n">
        <v>6736</v>
      </c>
      <c r="C36" s="18">
        <f>(5929.0/B36*100)</f>
        <v/>
      </c>
      <c r="D36" s="19" t="n">
        <v>807</v>
      </c>
      <c r="E36" s="18" t="n">
        <v>33.99131375</v>
      </c>
      <c r="F36" s="20" t="n">
        <v>1.84752616</v>
      </c>
      <c r="G36" s="18" t="n">
        <v>65.00207322999999</v>
      </c>
      <c r="H36" s="20" t="n">
        <v>1.85884499</v>
      </c>
      <c r="I36" s="18" t="n">
        <v>0</v>
      </c>
      <c r="J36" s="20" t="n">
        <v>0</v>
      </c>
      <c r="K36" s="18" t="n">
        <v>0.52942458</v>
      </c>
      <c r="L36" s="20" t="n">
        <v>0.27640057</v>
      </c>
      <c r="M36" s="18" t="n">
        <v>0</v>
      </c>
      <c r="N36" s="20" t="n">
        <v>0</v>
      </c>
      <c r="O36" s="18" t="n">
        <v>0</v>
      </c>
      <c r="P36" s="20" t="n">
        <v>0</v>
      </c>
      <c r="Q36" s="18" t="n">
        <v>0.47718844</v>
      </c>
      <c r="R36" s="20" t="n">
        <v>0.21924791</v>
      </c>
    </row>
    <row r="37" spans="1:18">
      <c r="A37" s="15" t="s">
        <v>595</v>
      </c>
      <c r="B37" s="17" t="n">
        <v>5458</v>
      </c>
      <c r="C37" s="18">
        <f>(4853.0/B37*100)</f>
        <v/>
      </c>
      <c r="D37" s="19" t="n">
        <v>605</v>
      </c>
      <c r="E37" s="18" t="n">
        <v>38.11206861</v>
      </c>
      <c r="F37" s="20" t="n">
        <v>2.08164129</v>
      </c>
      <c r="G37" s="18" t="n">
        <v>60.50206909</v>
      </c>
      <c r="H37" s="20" t="n">
        <v>2.11706718</v>
      </c>
      <c r="I37" s="18" t="n">
        <v>0</v>
      </c>
      <c r="J37" s="20" t="n">
        <v>0</v>
      </c>
      <c r="K37" s="18" t="n">
        <v>0</v>
      </c>
      <c r="L37" s="20" t="n">
        <v>0</v>
      </c>
      <c r="M37" s="18" t="n">
        <v>0</v>
      </c>
      <c r="N37" s="20" t="n">
        <v>0</v>
      </c>
      <c r="O37" s="18" t="n">
        <v>0</v>
      </c>
      <c r="P37" s="20" t="n">
        <v>0</v>
      </c>
      <c r="Q37" s="18" t="n">
        <v>1.3858623</v>
      </c>
      <c r="R37" s="20" t="n">
        <v>0.50668815</v>
      </c>
    </row>
    <row r="38" spans="1:18">
      <c r="A38" s="15" t="s">
        <v>596</v>
      </c>
      <c r="B38" s="17" t="n">
        <v>5860</v>
      </c>
      <c r="C38" s="18">
        <f>(5204.0/B38*100)</f>
        <v/>
      </c>
      <c r="D38" s="19" t="n">
        <v>656</v>
      </c>
      <c r="E38" s="18" t="n">
        <v>31.9039759</v>
      </c>
      <c r="F38" s="20" t="n">
        <v>1.86258814</v>
      </c>
      <c r="G38" s="18" t="n">
        <v>67.25018604</v>
      </c>
      <c r="H38" s="20" t="n">
        <v>1.82868361</v>
      </c>
      <c r="I38" s="18" t="n">
        <v>0</v>
      </c>
      <c r="J38" s="20" t="n">
        <v>0</v>
      </c>
      <c r="K38" s="18" t="n">
        <v>0</v>
      </c>
      <c r="L38" s="20" t="n">
        <v>0</v>
      </c>
      <c r="M38" s="18" t="n">
        <v>0</v>
      </c>
      <c r="N38" s="20" t="n">
        <v>0</v>
      </c>
      <c r="O38" s="18" t="n">
        <v>0</v>
      </c>
      <c r="P38" s="20" t="n">
        <v>0</v>
      </c>
      <c r="Q38" s="18" t="n">
        <v>0.84583807</v>
      </c>
      <c r="R38" s="20" t="n">
        <v>0.39368605</v>
      </c>
    </row>
    <row r="39" spans="1:18">
      <c r="A39" s="15" t="s">
        <v>597</v>
      </c>
      <c r="B39" s="17" t="n">
        <v>5895</v>
      </c>
      <c r="C39" s="18">
        <f>(5279.0/B39*100)</f>
        <v/>
      </c>
      <c r="D39" s="19" t="n">
        <v>616</v>
      </c>
      <c r="E39" s="18" t="n">
        <v>57.25591223</v>
      </c>
      <c r="F39" s="20" t="n">
        <v>2.65874594</v>
      </c>
      <c r="G39" s="18" t="n">
        <v>41.95932491</v>
      </c>
      <c r="H39" s="20" t="n">
        <v>2.67683283</v>
      </c>
      <c r="I39" s="18" t="n">
        <v>0</v>
      </c>
      <c r="J39" s="20" t="n">
        <v>0</v>
      </c>
      <c r="K39" s="18" t="n">
        <v>0</v>
      </c>
      <c r="L39" s="20" t="n">
        <v>0</v>
      </c>
      <c r="M39" s="18" t="n">
        <v>0</v>
      </c>
      <c r="N39" s="20" t="n">
        <v>0</v>
      </c>
      <c r="O39" s="18" t="n">
        <v>0</v>
      </c>
      <c r="P39" s="20" t="n">
        <v>0</v>
      </c>
      <c r="Q39" s="18" t="n">
        <v>0.78476286</v>
      </c>
      <c r="R39" s="20" t="n">
        <v>0.35976664</v>
      </c>
    </row>
    <row r="40" spans="1:18">
      <c r="A40" s="15" t="s">
        <v>598</v>
      </c>
      <c r="B40" s="17" t="n">
        <v>14157</v>
      </c>
      <c r="C40" s="18">
        <f>(12557.0/B40*100)</f>
        <v/>
      </c>
      <c r="D40" s="19" t="n">
        <v>1600</v>
      </c>
      <c r="E40" s="18" t="n">
        <v>30.14611883</v>
      </c>
      <c r="F40" s="20" t="n">
        <v>1.92566956</v>
      </c>
      <c r="G40" s="18" t="n">
        <v>69.14810789000001</v>
      </c>
      <c r="H40" s="20" t="n">
        <v>1.91929355</v>
      </c>
      <c r="I40" s="18" t="n">
        <v>0</v>
      </c>
      <c r="J40" s="20" t="n">
        <v>0</v>
      </c>
      <c r="K40" s="18" t="n">
        <v>0</v>
      </c>
      <c r="L40" s="20" t="n">
        <v>0</v>
      </c>
      <c r="M40" s="18" t="n">
        <v>0</v>
      </c>
      <c r="N40" s="20" t="n">
        <v>0</v>
      </c>
      <c r="O40" s="18" t="n">
        <v>0</v>
      </c>
      <c r="P40" s="20" t="n">
        <v>0</v>
      </c>
      <c r="Q40" s="18" t="n">
        <v>0.70577327</v>
      </c>
      <c r="R40" s="20" t="n">
        <v>0.32964361</v>
      </c>
    </row>
    <row r="41" spans="1:18">
      <c r="A41" s="15" t="s">
        <v>599</v>
      </c>
      <c r="B41" s="17" t="n">
        <v>5712</v>
      </c>
      <c r="C41" s="18">
        <f>(5051.0/B41*100)</f>
        <v/>
      </c>
      <c r="D41" s="19" t="n">
        <v>661</v>
      </c>
      <c r="E41" s="18" t="n">
        <v>33.40800353</v>
      </c>
      <c r="F41" s="20" t="n">
        <v>2.05024899</v>
      </c>
      <c r="G41" s="18" t="n">
        <v>65.73441227000001</v>
      </c>
      <c r="H41" s="20" t="n">
        <v>1.9691693</v>
      </c>
      <c r="I41" s="18" t="n">
        <v>0</v>
      </c>
      <c r="J41" s="20" t="n">
        <v>0</v>
      </c>
      <c r="K41" s="18" t="n">
        <v>0</v>
      </c>
      <c r="L41" s="20" t="n">
        <v>0</v>
      </c>
      <c r="M41" s="18" t="n">
        <v>0</v>
      </c>
      <c r="N41" s="20" t="n">
        <v>0</v>
      </c>
      <c r="O41" s="18" t="n">
        <v>0</v>
      </c>
      <c r="P41" s="20" t="n">
        <v>0</v>
      </c>
      <c r="Q41" s="18" t="n">
        <v>0.8575842</v>
      </c>
      <c r="R41" s="20" t="n">
        <v>0.43788395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(20778.0/B46*100)</f>
        <v/>
      </c>
      <c r="D46" s="19" t="n">
        <v>2363</v>
      </c>
      <c r="E46" s="18" t="n">
        <v>60.22465894</v>
      </c>
      <c r="F46" s="20" t="n">
        <v>1.54273705</v>
      </c>
      <c r="G46" s="18" t="n">
        <v>36.58046763</v>
      </c>
      <c r="H46" s="20" t="n">
        <v>1.50845197</v>
      </c>
      <c r="I46" s="18" t="n">
        <v>0</v>
      </c>
      <c r="J46" s="20" t="n">
        <v>0</v>
      </c>
      <c r="K46" s="18" t="n">
        <v>0.34384524</v>
      </c>
      <c r="L46" s="20" t="n">
        <v>0.14759448</v>
      </c>
      <c r="M46" s="18" t="n">
        <v>0</v>
      </c>
      <c r="N46" s="20" t="n">
        <v>0</v>
      </c>
      <c r="O46" s="18" t="n">
        <v>0</v>
      </c>
      <c r="P46" s="20" t="n">
        <v>0</v>
      </c>
      <c r="Q46" s="18" t="n">
        <v>2.8510282</v>
      </c>
      <c r="R46" s="20" t="n">
        <v>0.42781076</v>
      </c>
    </row>
    <row r="47" spans="1:18">
      <c r="A47" s="15" t="s">
        <v>606</v>
      </c>
      <c r="B47" s="17" t="n">
        <v>5928</v>
      </c>
      <c r="C47" s="18">
        <f>(5267.0/B47*100)</f>
        <v/>
      </c>
      <c r="D47" s="19" t="n">
        <v>661</v>
      </c>
      <c r="E47" s="18" t="n">
        <v>46.28106201</v>
      </c>
      <c r="F47" s="20" t="n">
        <v>1.84054776</v>
      </c>
      <c r="G47" s="18" t="n">
        <v>51.24684512</v>
      </c>
      <c r="H47" s="20" t="n">
        <v>1.87518017</v>
      </c>
      <c r="I47" s="18" t="n">
        <v>0</v>
      </c>
      <c r="J47" s="20" t="n">
        <v>0</v>
      </c>
      <c r="K47" s="18" t="n">
        <v>0.28439858</v>
      </c>
      <c r="L47" s="20" t="n">
        <v>0.21718033</v>
      </c>
      <c r="M47" s="18" t="n">
        <v>0</v>
      </c>
      <c r="N47" s="20" t="n">
        <v>0</v>
      </c>
      <c r="O47" s="18" t="n">
        <v>0</v>
      </c>
      <c r="P47" s="20" t="n">
        <v>0</v>
      </c>
      <c r="Q47" s="18" t="n">
        <v>2.18769428</v>
      </c>
      <c r="R47" s="20" t="n">
        <v>0.7172490500000001</v>
      </c>
    </row>
    <row r="48" spans="1:18">
      <c r="A48" s="15" t="s">
        <v>607</v>
      </c>
      <c r="B48" s="17" t="n">
        <v>9841</v>
      </c>
      <c r="C48" s="18">
        <f>(8742.0/B48*100)</f>
        <v/>
      </c>
      <c r="D48" s="19" t="n">
        <v>1099</v>
      </c>
      <c r="E48" s="18" t="n">
        <v>56.16048506</v>
      </c>
      <c r="F48" s="20" t="n">
        <v>1.7090637</v>
      </c>
      <c r="G48" s="18" t="n">
        <v>42.41810826</v>
      </c>
      <c r="H48" s="20" t="n">
        <v>1.75703383</v>
      </c>
      <c r="I48" s="18" t="n">
        <v>0</v>
      </c>
      <c r="J48" s="20" t="n">
        <v>0</v>
      </c>
      <c r="K48" s="18" t="n">
        <v>0.19026868</v>
      </c>
      <c r="L48" s="20" t="n">
        <v>0.22610984</v>
      </c>
      <c r="M48" s="18" t="n">
        <v>0</v>
      </c>
      <c r="N48" s="20" t="n">
        <v>0</v>
      </c>
      <c r="O48" s="18" t="n">
        <v>0</v>
      </c>
      <c r="P48" s="20" t="n">
        <v>0</v>
      </c>
      <c r="Q48" s="18" t="n">
        <v>1.23113799</v>
      </c>
      <c r="R48" s="20" t="n">
        <v>0.41669695</v>
      </c>
    </row>
    <row r="49" spans="1:18">
      <c r="A49" s="15" t="s">
        <v>608</v>
      </c>
      <c r="B49" s="17" t="n">
        <v>11795</v>
      </c>
      <c r="C49" s="18">
        <f>(10508.0/B49*100)</f>
        <v/>
      </c>
      <c r="D49" s="19" t="n">
        <v>1287</v>
      </c>
      <c r="E49" s="18" t="n">
        <v>41.51910928</v>
      </c>
      <c r="F49" s="20" t="n">
        <v>1.70223352</v>
      </c>
      <c r="G49" s="18" t="n">
        <v>57.31133285</v>
      </c>
      <c r="H49" s="20" t="n">
        <v>1.69139535</v>
      </c>
      <c r="I49" s="18" t="n">
        <v>0</v>
      </c>
      <c r="J49" s="20" t="n">
        <v>0</v>
      </c>
      <c r="K49" s="18" t="n">
        <v>0.36021664</v>
      </c>
      <c r="L49" s="20" t="n">
        <v>0.25855995</v>
      </c>
      <c r="M49" s="18" t="n">
        <v>0</v>
      </c>
      <c r="N49" s="20" t="n">
        <v>0</v>
      </c>
      <c r="O49" s="18" t="n">
        <v>0</v>
      </c>
      <c r="P49" s="20" t="n">
        <v>0</v>
      </c>
      <c r="Q49" s="18" t="n">
        <v>0.80934123</v>
      </c>
      <c r="R49" s="20" t="n">
        <v>0.37146858</v>
      </c>
    </row>
    <row r="50" spans="1:18">
      <c r="A50" s="15" t="s">
        <v>609</v>
      </c>
      <c r="B50" s="17" t="n">
        <v>6866</v>
      </c>
      <c r="C50" s="18">
        <f>(6178.0/B50*100)</f>
        <v/>
      </c>
      <c r="D50" s="19" t="n">
        <v>688</v>
      </c>
      <c r="E50" s="18" t="n">
        <v>41.91980153</v>
      </c>
      <c r="F50" s="20" t="n">
        <v>2.02504441</v>
      </c>
      <c r="G50" s="18" t="n">
        <v>56.19362096</v>
      </c>
      <c r="H50" s="20" t="n">
        <v>2.08559894</v>
      </c>
      <c r="I50" s="18" t="n">
        <v>0</v>
      </c>
      <c r="J50" s="20" t="n">
        <v>0</v>
      </c>
      <c r="K50" s="18" t="n">
        <v>0.29881856</v>
      </c>
      <c r="L50" s="20" t="n">
        <v>0.20895198</v>
      </c>
      <c r="M50" s="18" t="n">
        <v>0</v>
      </c>
      <c r="N50" s="20" t="n">
        <v>0</v>
      </c>
      <c r="O50" s="18" t="n">
        <v>0</v>
      </c>
      <c r="P50" s="20" t="n">
        <v>0</v>
      </c>
      <c r="Q50" s="18" t="n">
        <v>1.58775895</v>
      </c>
      <c r="R50" s="20" t="n">
        <v>0.54430047</v>
      </c>
    </row>
    <row r="51" spans="1:18">
      <c r="A51" s="15" t="s">
        <v>610</v>
      </c>
      <c r="B51" s="17" t="n">
        <v>5809</v>
      </c>
      <c r="C51" s="18">
        <f>(5191.0/B51*100)</f>
        <v/>
      </c>
      <c r="D51" s="19" t="n">
        <v>618</v>
      </c>
      <c r="E51" s="18" t="n">
        <v>47.32359591</v>
      </c>
      <c r="F51" s="20" t="n">
        <v>2.20722229</v>
      </c>
      <c r="G51" s="18" t="n">
        <v>51.67780195</v>
      </c>
      <c r="H51" s="20" t="n">
        <v>2.23112569</v>
      </c>
      <c r="I51" s="18" t="n">
        <v>0</v>
      </c>
      <c r="J51" s="20" t="n">
        <v>0</v>
      </c>
      <c r="K51" s="18" t="n">
        <v>0</v>
      </c>
      <c r="L51" s="20" t="n">
        <v>0</v>
      </c>
      <c r="M51" s="18" t="n">
        <v>0</v>
      </c>
      <c r="N51" s="20" t="n">
        <v>0</v>
      </c>
      <c r="O51" s="18" t="n">
        <v>0</v>
      </c>
      <c r="P51" s="20" t="n">
        <v>0</v>
      </c>
      <c r="Q51" s="18" t="n">
        <v>0.99860214</v>
      </c>
      <c r="R51" s="20" t="n">
        <v>0.40270872</v>
      </c>
    </row>
    <row r="52" spans="1:18">
      <c r="A52" s="15" t="s">
        <v>611</v>
      </c>
      <c r="B52" s="17" t="n">
        <v>5571</v>
      </c>
      <c r="C52" s="18">
        <f>(4946.0/B52*100)</f>
        <v/>
      </c>
      <c r="D52" s="19" t="n">
        <v>625</v>
      </c>
      <c r="E52" s="18" t="n">
        <v>48.62011827</v>
      </c>
      <c r="F52" s="20" t="n">
        <v>1.87374288</v>
      </c>
      <c r="G52" s="18" t="n">
        <v>50.52346163</v>
      </c>
      <c r="H52" s="20" t="n">
        <v>1.91700768</v>
      </c>
      <c r="I52" s="18" t="n">
        <v>0</v>
      </c>
      <c r="J52" s="20" t="n">
        <v>0</v>
      </c>
      <c r="K52" s="18" t="n">
        <v>0.11566062</v>
      </c>
      <c r="L52" s="20" t="n">
        <v>0.11594378</v>
      </c>
      <c r="M52" s="18" t="n">
        <v>0</v>
      </c>
      <c r="N52" s="20" t="n">
        <v>0</v>
      </c>
      <c r="O52" s="18" t="n">
        <v>0</v>
      </c>
      <c r="P52" s="20" t="n">
        <v>0</v>
      </c>
      <c r="Q52" s="18" t="n">
        <v>0.74075949</v>
      </c>
      <c r="R52" s="20" t="n">
        <v>0.37403068</v>
      </c>
    </row>
    <row r="53" spans="1:18">
      <c r="A53" s="15" t="s">
        <v>612</v>
      </c>
      <c r="B53" s="17" t="n">
        <v>4740</v>
      </c>
      <c r="C53" s="18">
        <f>(4217.0/B53*100)</f>
        <v/>
      </c>
      <c r="D53" s="19" t="n">
        <v>523</v>
      </c>
      <c r="E53" s="18" t="n">
        <v>61.74150476</v>
      </c>
      <c r="F53" s="20" t="n">
        <v>2.27810914</v>
      </c>
      <c r="G53" s="18" t="n">
        <v>25.97138142</v>
      </c>
      <c r="H53" s="20" t="n">
        <v>1.83210209</v>
      </c>
      <c r="I53" s="18" t="n">
        <v>0</v>
      </c>
      <c r="J53" s="20" t="n">
        <v>0</v>
      </c>
      <c r="K53" s="18" t="n">
        <v>6.91420157</v>
      </c>
      <c r="L53" s="20" t="n">
        <v>1.39249477</v>
      </c>
      <c r="M53" s="18" t="n">
        <v>0</v>
      </c>
      <c r="N53" s="20" t="n">
        <v>0</v>
      </c>
      <c r="O53" s="18" t="n">
        <v>0</v>
      </c>
      <c r="P53" s="20" t="n">
        <v>0</v>
      </c>
      <c r="Q53" s="18" t="n">
        <v>5.37291225</v>
      </c>
      <c r="R53" s="20" t="n">
        <v>1.26613851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(4794.0/B55*100)</f>
        <v/>
      </c>
      <c r="D55" s="19" t="n">
        <v>565</v>
      </c>
      <c r="E55" s="18" t="n">
        <v>42.64928227</v>
      </c>
      <c r="F55" s="20" t="n">
        <v>1.98526118</v>
      </c>
      <c r="G55" s="18" t="n">
        <v>56.85216638</v>
      </c>
      <c r="H55" s="20" t="n">
        <v>2.00097402</v>
      </c>
      <c r="I55" s="18" t="n">
        <v>0</v>
      </c>
      <c r="J55" s="20" t="n">
        <v>0</v>
      </c>
      <c r="K55" s="18" t="n">
        <v>0</v>
      </c>
      <c r="L55" s="20" t="n">
        <v>0</v>
      </c>
      <c r="M55" s="18" t="n">
        <v>0</v>
      </c>
      <c r="N55" s="20" t="n">
        <v>0</v>
      </c>
      <c r="O55" s="18" t="n">
        <v>0</v>
      </c>
      <c r="P55" s="20" t="n">
        <v>0</v>
      </c>
      <c r="Q55" s="18" t="n">
        <v>0.49855136</v>
      </c>
      <c r="R55" s="20" t="n">
        <v>0.28912136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(5830.0/B61*100)</f>
        <v/>
      </c>
      <c r="D61" s="19" t="n">
        <v>695</v>
      </c>
      <c r="E61" s="18" t="n">
        <v>53.50875682</v>
      </c>
      <c r="F61" s="20" t="n">
        <v>2.15843791</v>
      </c>
      <c r="G61" s="18" t="n">
        <v>45.77962947</v>
      </c>
      <c r="H61" s="20" t="n">
        <v>2.1401454</v>
      </c>
      <c r="I61" s="18" t="n">
        <v>0</v>
      </c>
      <c r="J61" s="20" t="n">
        <v>0</v>
      </c>
      <c r="K61" s="18" t="n">
        <v>0.4136408</v>
      </c>
      <c r="L61" s="20" t="n">
        <v>0.40871508</v>
      </c>
      <c r="M61" s="18" t="n">
        <v>0</v>
      </c>
      <c r="N61" s="20" t="n">
        <v>0</v>
      </c>
      <c r="O61" s="18" t="n">
        <v>0</v>
      </c>
      <c r="P61" s="20" t="n">
        <v>0</v>
      </c>
      <c r="Q61" s="18" t="n">
        <v>0.29797291</v>
      </c>
      <c r="R61" s="20" t="n">
        <v>0.1796247</v>
      </c>
    </row>
    <row r="62" spans="1:18">
      <c r="A62" s="15" t="s">
        <v>622</v>
      </c>
      <c r="B62" s="17" t="n">
        <v>4476</v>
      </c>
      <c r="C62" s="18">
        <f>(3951.0/B62*100)</f>
        <v/>
      </c>
      <c r="D62" s="19" t="n">
        <v>525</v>
      </c>
      <c r="E62" s="18" t="n">
        <v>41.58870867</v>
      </c>
      <c r="F62" s="20" t="n">
        <v>2.01618592</v>
      </c>
      <c r="G62" s="18" t="n">
        <v>58.41129133</v>
      </c>
      <c r="H62" s="20" t="n">
        <v>2.01618592</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(5052.0/B67*100)</f>
        <v/>
      </c>
      <c r="D67" s="19" t="n">
        <v>613</v>
      </c>
      <c r="E67" s="18" t="n">
        <v>58.1385056</v>
      </c>
      <c r="F67" s="20" t="n">
        <v>1.92493517</v>
      </c>
      <c r="G67" s="18" t="n">
        <v>37.8206794</v>
      </c>
      <c r="H67" s="20" t="n">
        <v>1.90747869</v>
      </c>
      <c r="I67" s="18" t="n">
        <v>0</v>
      </c>
      <c r="J67" s="20" t="n">
        <v>0</v>
      </c>
      <c r="K67" s="18" t="n">
        <v>0.35680916</v>
      </c>
      <c r="L67" s="20" t="n">
        <v>0.25419512</v>
      </c>
      <c r="M67" s="18" t="n">
        <v>0</v>
      </c>
      <c r="N67" s="20" t="n">
        <v>0</v>
      </c>
      <c r="O67" s="18" t="n">
        <v>0</v>
      </c>
      <c r="P67" s="20" t="n">
        <v>0</v>
      </c>
      <c r="Q67" s="18" t="n">
        <v>3.68400585</v>
      </c>
      <c r="R67" s="20" t="n">
        <v>0.83848273</v>
      </c>
    </row>
    <row r="68" spans="1:18">
      <c r="A68" s="15" t="s">
        <v>628</v>
      </c>
      <c r="B68" s="17" t="n">
        <v>6971</v>
      </c>
      <c r="C68" s="18">
        <f>(6234.0/B68*100)</f>
        <v/>
      </c>
      <c r="D68" s="19" t="n">
        <v>737</v>
      </c>
      <c r="E68" s="18" t="n">
        <v>43.84384148</v>
      </c>
      <c r="F68" s="20" t="n">
        <v>1.84820988</v>
      </c>
      <c r="G68" s="18" t="n">
        <v>54.19673911</v>
      </c>
      <c r="H68" s="20" t="n">
        <v>1.83281342</v>
      </c>
      <c r="I68" s="18" t="n">
        <v>0</v>
      </c>
      <c r="J68" s="20" t="n">
        <v>0</v>
      </c>
      <c r="K68" s="18" t="n">
        <v>0.17963829</v>
      </c>
      <c r="L68" s="20" t="n">
        <v>0.17919219</v>
      </c>
      <c r="M68" s="18" t="n">
        <v>0</v>
      </c>
      <c r="N68" s="20" t="n">
        <v>0</v>
      </c>
      <c r="O68" s="18" t="n">
        <v>0</v>
      </c>
      <c r="P68" s="20" t="n">
        <v>0</v>
      </c>
      <c r="Q68" s="18" t="n">
        <v>1.77978112</v>
      </c>
      <c r="R68" s="20" t="n">
        <v>0.51395439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(10735.0/B70*100)</f>
        <v/>
      </c>
      <c r="D70" s="19" t="n">
        <v>1348</v>
      </c>
      <c r="E70" s="18" t="n">
        <v>53.89682323</v>
      </c>
      <c r="F70" s="20" t="n">
        <v>1.26683818</v>
      </c>
      <c r="G70" s="18" t="n">
        <v>44.16537103</v>
      </c>
      <c r="H70" s="20" t="n">
        <v>1.30877241</v>
      </c>
      <c r="I70" s="18" t="n">
        <v>0</v>
      </c>
      <c r="J70" s="20" t="n">
        <v>0</v>
      </c>
      <c r="K70" s="18" t="n">
        <v>1.02648814</v>
      </c>
      <c r="L70" s="20" t="n">
        <v>0.32512755</v>
      </c>
      <c r="M70" s="18" t="n">
        <v>0</v>
      </c>
      <c r="N70" s="20" t="n">
        <v>0</v>
      </c>
      <c r="O70" s="18" t="n">
        <v>0</v>
      </c>
      <c r="P70" s="20" t="n">
        <v>0</v>
      </c>
      <c r="Q70" s="18" t="n">
        <v>0.9113175999999999</v>
      </c>
      <c r="R70" s="20" t="n">
        <v>0.26674636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(5386.0/B72*100)</f>
        <v/>
      </c>
      <c r="D72" s="19" t="n">
        <v>650</v>
      </c>
      <c r="E72" s="18" t="n">
        <v>37.33490611</v>
      </c>
      <c r="F72" s="20" t="n">
        <v>2.22006392</v>
      </c>
      <c r="G72" s="18" t="n">
        <v>61.17595631</v>
      </c>
      <c r="H72" s="20" t="n">
        <v>2.26439395</v>
      </c>
      <c r="I72" s="18" t="n">
        <v>0</v>
      </c>
      <c r="J72" s="20" t="n">
        <v>0</v>
      </c>
      <c r="K72" s="18" t="n">
        <v>0</v>
      </c>
      <c r="L72" s="20" t="n">
        <v>0</v>
      </c>
      <c r="M72" s="18" t="n">
        <v>0</v>
      </c>
      <c r="N72" s="20" t="n">
        <v>0</v>
      </c>
      <c r="O72" s="18" t="n">
        <v>0</v>
      </c>
      <c r="P72" s="20" t="n">
        <v>0</v>
      </c>
      <c r="Q72" s="18" t="n">
        <v>1.48913758</v>
      </c>
      <c r="R72" s="20" t="n">
        <v>0.38220751</v>
      </c>
    </row>
    <row r="73" spans="1:18">
      <c r="A73" s="15" t="s">
        <v>633</v>
      </c>
      <c r="B73" s="17" t="n">
        <v>6115</v>
      </c>
      <c r="C73" s="18">
        <f>(5394.0/B73*100)</f>
        <v/>
      </c>
      <c r="D73" s="19" t="n">
        <v>721</v>
      </c>
      <c r="E73" s="18" t="n">
        <v>29.74711039</v>
      </c>
      <c r="F73" s="20" t="n">
        <v>1.85405483</v>
      </c>
      <c r="G73" s="18" t="n">
        <v>70.03194671999999</v>
      </c>
      <c r="H73" s="20" t="n">
        <v>1.86777724</v>
      </c>
      <c r="I73" s="18" t="n">
        <v>0</v>
      </c>
      <c r="J73" s="20" t="n">
        <v>0</v>
      </c>
      <c r="K73" s="18" t="n">
        <v>0</v>
      </c>
      <c r="L73" s="20" t="n">
        <v>0</v>
      </c>
      <c r="M73" s="18" t="n">
        <v>0</v>
      </c>
      <c r="N73" s="20" t="n">
        <v>0</v>
      </c>
      <c r="O73" s="18" t="n">
        <v>0</v>
      </c>
      <c r="P73" s="20" t="n">
        <v>0</v>
      </c>
      <c r="Q73" s="18" t="n">
        <v>0.22094289</v>
      </c>
      <c r="R73" s="20" t="n">
        <v>0.1550406</v>
      </c>
    </row>
    <row r="74" spans="1:18">
      <c r="A74" s="15" t="s">
        <v>634</v>
      </c>
      <c r="B74" s="17" t="n">
        <v>7708</v>
      </c>
      <c r="C74" s="18">
        <f>(6862.0/B74*100)</f>
        <v/>
      </c>
      <c r="D74" s="19" t="n">
        <v>846</v>
      </c>
      <c r="E74" s="18" t="n">
        <v>44.61834942</v>
      </c>
      <c r="F74" s="20" t="n">
        <v>1.75396872</v>
      </c>
      <c r="G74" s="18" t="n">
        <v>54.49584291</v>
      </c>
      <c r="H74" s="20" t="n">
        <v>1.7849052</v>
      </c>
      <c r="I74" s="18" t="n">
        <v>0</v>
      </c>
      <c r="J74" s="20" t="n">
        <v>0</v>
      </c>
      <c r="K74" s="18" t="n">
        <v>0</v>
      </c>
      <c r="L74" s="20" t="n">
        <v>0</v>
      </c>
      <c r="M74" s="18" t="n">
        <v>0</v>
      </c>
      <c r="N74" s="20" t="n">
        <v>0</v>
      </c>
      <c r="O74" s="18" t="n">
        <v>0</v>
      </c>
      <c r="P74" s="20" t="n">
        <v>0</v>
      </c>
      <c r="Q74" s="18" t="n">
        <v>0.88580766</v>
      </c>
      <c r="R74" s="20" t="n">
        <v>0.34569044</v>
      </c>
    </row>
    <row r="75" spans="1:18">
      <c r="A75" s="15" t="s">
        <v>635</v>
      </c>
      <c r="B75" s="17" t="n">
        <v>8249</v>
      </c>
      <c r="C75" s="18">
        <f>(7359.0/B75*100)</f>
        <v/>
      </c>
      <c r="D75" s="19" t="n">
        <v>890</v>
      </c>
      <c r="E75" s="18" t="n">
        <v>48.57454652</v>
      </c>
      <c r="F75" s="20" t="n">
        <v>2.3339476</v>
      </c>
      <c r="G75" s="18" t="n">
        <v>50.87961176</v>
      </c>
      <c r="H75" s="20" t="n">
        <v>2.31607055</v>
      </c>
      <c r="I75" s="18" t="n">
        <v>0</v>
      </c>
      <c r="J75" s="20" t="n">
        <v>0</v>
      </c>
      <c r="K75" s="18" t="n">
        <v>0</v>
      </c>
      <c r="L75" s="20" t="n">
        <v>0</v>
      </c>
      <c r="M75" s="18" t="n">
        <v>0</v>
      </c>
      <c r="N75" s="20" t="n">
        <v>0</v>
      </c>
      <c r="O75" s="18" t="n">
        <v>0</v>
      </c>
      <c r="P75" s="20" t="n">
        <v>0</v>
      </c>
      <c r="Q75" s="18" t="n">
        <v>0.54584172</v>
      </c>
      <c r="R75" s="20" t="n">
        <v>0.32611663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(4804.0/B77*100)</f>
        <v/>
      </c>
      <c r="D77" s="19" t="n">
        <v>571</v>
      </c>
      <c r="E77" s="18" t="n">
        <v>46.70884411</v>
      </c>
      <c r="F77" s="20" t="n">
        <v>2.21918513</v>
      </c>
      <c r="G77" s="18" t="n">
        <v>50.03583203</v>
      </c>
      <c r="H77" s="20" t="n">
        <v>2.32515254</v>
      </c>
      <c r="I77" s="18" t="n">
        <v>0</v>
      </c>
      <c r="J77" s="20" t="n">
        <v>0</v>
      </c>
      <c r="K77" s="18" t="n">
        <v>1.0091015</v>
      </c>
      <c r="L77" s="20" t="n">
        <v>0.43735012</v>
      </c>
      <c r="M77" s="18" t="n">
        <v>0</v>
      </c>
      <c r="N77" s="20" t="n">
        <v>0</v>
      </c>
      <c r="O77" s="18" t="n">
        <v>0</v>
      </c>
      <c r="P77" s="20" t="n">
        <v>0</v>
      </c>
      <c r="Q77" s="18" t="n">
        <v>2.24622236</v>
      </c>
      <c r="R77" s="20" t="n">
        <v>0.72215925</v>
      </c>
    </row>
    <row r="78" spans="1:18">
      <c r="A78" s="15" t="s">
        <v>638</v>
      </c>
      <c r="B78" s="17" t="n">
        <v>14167</v>
      </c>
      <c r="C78" s="18">
        <f>(12609.0/B78*100)</f>
        <v/>
      </c>
      <c r="D78" s="19" t="n">
        <v>1558</v>
      </c>
      <c r="E78" s="18" t="n">
        <v>54.47016239</v>
      </c>
      <c r="F78" s="20" t="n">
        <v>1.31046395</v>
      </c>
      <c r="G78" s="18" t="n">
        <v>44.28691759</v>
      </c>
      <c r="H78" s="20" t="n">
        <v>1.24914843</v>
      </c>
      <c r="I78" s="18" t="n">
        <v>0</v>
      </c>
      <c r="J78" s="20" t="n">
        <v>0</v>
      </c>
      <c r="K78" s="18" t="n">
        <v>0.26510106</v>
      </c>
      <c r="L78" s="20" t="n">
        <v>0.12727893</v>
      </c>
      <c r="M78" s="18" t="n">
        <v>0</v>
      </c>
      <c r="N78" s="20" t="n">
        <v>0</v>
      </c>
      <c r="O78" s="18" t="n">
        <v>0</v>
      </c>
      <c r="P78" s="20" t="n">
        <v>0</v>
      </c>
      <c r="Q78" s="18" t="n">
        <v>0.97781895</v>
      </c>
      <c r="R78" s="20" t="n">
        <v>0.31083773</v>
      </c>
    </row>
    <row r="79" spans="1:18">
      <c r="A79" s="15" t="s">
        <v>639</v>
      </c>
      <c r="B79" s="17" t="n">
        <v>6062</v>
      </c>
      <c r="C79" s="18">
        <f>(5413.0/B79*100)</f>
        <v/>
      </c>
      <c r="D79" s="19" t="n">
        <v>649</v>
      </c>
      <c r="E79" s="18" t="n">
        <v>43.39443481</v>
      </c>
      <c r="F79" s="20" t="n">
        <v>2.16743537</v>
      </c>
      <c r="G79" s="18" t="n">
        <v>53.84574547</v>
      </c>
      <c r="H79" s="20" t="n">
        <v>2.10329272</v>
      </c>
      <c r="I79" s="18" t="n">
        <v>0</v>
      </c>
      <c r="J79" s="20" t="n">
        <v>0</v>
      </c>
      <c r="K79" s="18" t="n">
        <v>0.15120106</v>
      </c>
      <c r="L79" s="20" t="n">
        <v>0.1660913</v>
      </c>
      <c r="M79" s="18" t="n">
        <v>0</v>
      </c>
      <c r="N79" s="20" t="n">
        <v>0</v>
      </c>
      <c r="O79" s="18" t="n">
        <v>0</v>
      </c>
      <c r="P79" s="20" t="n">
        <v>0</v>
      </c>
      <c r="Q79" s="18" t="n">
        <v>2.60861866</v>
      </c>
      <c r="R79" s="20" t="n">
        <v>0.63702051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(28700.0/B82*100)</f>
        <v/>
      </c>
      <c r="D82" s="19" t="n">
        <v>3630</v>
      </c>
      <c r="E82" s="18" t="n">
        <v>33.55724662</v>
      </c>
      <c r="F82" s="20" t="n">
        <v>1.17601278</v>
      </c>
      <c r="G82" s="18" t="n">
        <v>65.56658573</v>
      </c>
      <c r="H82" s="20" t="n">
        <v>1.16485945</v>
      </c>
      <c r="I82" s="18" t="n">
        <v>0</v>
      </c>
      <c r="J82" s="20" t="n">
        <v>0</v>
      </c>
      <c r="K82" s="18" t="n">
        <v>0.11659132</v>
      </c>
      <c r="L82" s="20" t="n">
        <v>0.07227403</v>
      </c>
      <c r="M82" s="18" t="n">
        <v>0</v>
      </c>
      <c r="N82" s="20" t="n">
        <v>0</v>
      </c>
      <c r="O82" s="18" t="n">
        <v>0</v>
      </c>
      <c r="P82" s="20" t="n">
        <v>0</v>
      </c>
      <c r="Q82" s="18" t="n">
        <v>0.75957633</v>
      </c>
      <c r="R82" s="20" t="n">
        <v>0.18857036</v>
      </c>
    </row>
    <row r="83" spans="1:18">
      <c r="A83" s="15" t="s">
        <v>643</v>
      </c>
      <c r="B83" s="17" t="n">
        <v>1652</v>
      </c>
      <c r="C83" s="18">
        <f>(1473.0/B83*100)</f>
        <v/>
      </c>
      <c r="D83" s="19" t="n">
        <v>179</v>
      </c>
      <c r="E83" s="18" t="n">
        <v>33.47594916</v>
      </c>
      <c r="F83" s="20" t="n">
        <v>3.70244125</v>
      </c>
      <c r="G83" s="18" t="n">
        <v>66.52405084</v>
      </c>
      <c r="H83" s="20" t="n">
        <v>3.70244125</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(1686.0/B84*100)</f>
        <v/>
      </c>
      <c r="D84" s="19" t="n">
        <v>201</v>
      </c>
      <c r="E84" s="18" t="n">
        <v>25.70062901</v>
      </c>
      <c r="F84" s="20" t="n">
        <v>3.07597623</v>
      </c>
      <c r="G84" s="18" t="n">
        <v>73.35801404</v>
      </c>
      <c r="H84" s="20" t="n">
        <v>2.97843964</v>
      </c>
      <c r="I84" s="18" t="n">
        <v>0</v>
      </c>
      <c r="J84" s="20" t="n">
        <v>0</v>
      </c>
      <c r="K84" s="18" t="n">
        <v>0</v>
      </c>
      <c r="L84" s="20" t="n">
        <v>0</v>
      </c>
      <c r="M84" s="18" t="n">
        <v>0</v>
      </c>
      <c r="N84" s="20" t="n">
        <v>0</v>
      </c>
      <c r="O84" s="18" t="n">
        <v>0</v>
      </c>
      <c r="P84" s="20" t="n">
        <v>0</v>
      </c>
      <c r="Q84" s="18" t="n">
        <v>0.94135695</v>
      </c>
      <c r="R84" s="20" t="n">
        <v>0.69726397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(12938.0/B7*100)</f>
        <v/>
      </c>
      <c r="D7" s="19" t="n">
        <v>1592</v>
      </c>
      <c r="E7" s="18" t="n">
        <v>35.25613165</v>
      </c>
      <c r="F7" s="20" t="n">
        <v>1.31939697</v>
      </c>
      <c r="G7" s="18" t="n">
        <v>54.53879688</v>
      </c>
      <c r="H7" s="20" t="n">
        <v>1.39574435</v>
      </c>
      <c r="I7" s="18" t="n">
        <v>0</v>
      </c>
      <c r="J7" s="20" t="n">
        <v>0</v>
      </c>
      <c r="K7" s="18" t="n">
        <v>0.09424112</v>
      </c>
      <c r="L7" s="20" t="n">
        <v>0.08711692</v>
      </c>
      <c r="M7" s="18" t="n">
        <v>0.0164295</v>
      </c>
      <c r="N7" s="20" t="n">
        <v>0.01168519</v>
      </c>
      <c r="O7" s="18" t="n">
        <v>0</v>
      </c>
      <c r="P7" s="20" t="n">
        <v>0</v>
      </c>
      <c r="Q7" s="18" t="n">
        <v>10.09440085</v>
      </c>
      <c r="R7" s="20" t="n">
        <v>0.83646982</v>
      </c>
    </row>
    <row r="8" spans="1:18">
      <c r="A8" s="15" t="s">
        <v>566</v>
      </c>
      <c r="B8" s="17" t="n">
        <v>7007</v>
      </c>
      <c r="C8" s="18">
        <f>(6258.0/B8*100)</f>
        <v/>
      </c>
      <c r="D8" s="19" t="n">
        <v>749</v>
      </c>
      <c r="E8" s="18" t="n">
        <v>48.65514638</v>
      </c>
      <c r="F8" s="20" t="n">
        <v>1.9285944</v>
      </c>
      <c r="G8" s="18" t="n">
        <v>25.31674047</v>
      </c>
      <c r="H8" s="20" t="n">
        <v>1.5386305</v>
      </c>
      <c r="I8" s="18" t="n">
        <v>0</v>
      </c>
      <c r="J8" s="20" t="n">
        <v>0</v>
      </c>
      <c r="K8" s="18" t="n">
        <v>0.05034584</v>
      </c>
      <c r="L8" s="20" t="n">
        <v>0.05037408</v>
      </c>
      <c r="M8" s="18" t="n">
        <v>0</v>
      </c>
      <c r="N8" s="20" t="n">
        <v>0</v>
      </c>
      <c r="O8" s="18" t="n">
        <v>0</v>
      </c>
      <c r="P8" s="20" t="n">
        <v>0</v>
      </c>
      <c r="Q8" s="18" t="n">
        <v>25.97776732</v>
      </c>
      <c r="R8" s="20" t="n">
        <v>1.7878729</v>
      </c>
    </row>
    <row r="9" spans="1:18">
      <c r="A9" s="15" t="s">
        <v>567</v>
      </c>
      <c r="B9" s="17" t="n">
        <v>9651</v>
      </c>
      <c r="C9" s="18">
        <f>(8631.0/B9*100)</f>
        <v/>
      </c>
      <c r="D9" s="19" t="n">
        <v>1020</v>
      </c>
      <c r="E9" s="18" t="n">
        <v>42.72081765</v>
      </c>
      <c r="F9" s="20" t="n">
        <v>1.65810206</v>
      </c>
      <c r="G9" s="18" t="n">
        <v>36.81925424</v>
      </c>
      <c r="H9" s="20" t="n">
        <v>1.53948529</v>
      </c>
      <c r="I9" s="18" t="n">
        <v>0</v>
      </c>
      <c r="J9" s="20" t="n">
        <v>0</v>
      </c>
      <c r="K9" s="18" t="n">
        <v>0.08591029</v>
      </c>
      <c r="L9" s="20" t="n">
        <v>0.12543004</v>
      </c>
      <c r="M9" s="18" t="n">
        <v>0.0790604</v>
      </c>
      <c r="N9" s="20" t="n">
        <v>0.07680561</v>
      </c>
      <c r="O9" s="18" t="n">
        <v>0</v>
      </c>
      <c r="P9" s="20" t="n">
        <v>0</v>
      </c>
      <c r="Q9" s="18" t="n">
        <v>20.29495743</v>
      </c>
      <c r="R9" s="20" t="n">
        <v>1.41555367</v>
      </c>
    </row>
    <row r="10" spans="1:18">
      <c r="A10" s="15" t="s">
        <v>568</v>
      </c>
      <c r="B10" s="17" t="n">
        <v>20058</v>
      </c>
      <c r="C10" s="18">
        <f>(17796.0/B10*100)</f>
        <v/>
      </c>
      <c r="D10" s="19" t="n">
        <v>2262</v>
      </c>
      <c r="E10" s="18" t="n">
        <v>43.1863977</v>
      </c>
      <c r="F10" s="20" t="n">
        <v>1.47592279</v>
      </c>
      <c r="G10" s="18" t="n">
        <v>50.43390331</v>
      </c>
      <c r="H10" s="20" t="n">
        <v>1.4752744</v>
      </c>
      <c r="I10" s="18" t="n">
        <v>0</v>
      </c>
      <c r="J10" s="20" t="n">
        <v>0</v>
      </c>
      <c r="K10" s="18" t="n">
        <v>0.17690524</v>
      </c>
      <c r="L10" s="20" t="n">
        <v>0.15518174</v>
      </c>
      <c r="M10" s="18" t="n">
        <v>0</v>
      </c>
      <c r="N10" s="20" t="n">
        <v>0</v>
      </c>
      <c r="O10" s="18" t="n">
        <v>0</v>
      </c>
      <c r="P10" s="20" t="n">
        <v>0</v>
      </c>
      <c r="Q10" s="18" t="n">
        <v>6.20279375</v>
      </c>
      <c r="R10" s="20" t="n">
        <v>0.67572562</v>
      </c>
    </row>
    <row r="11" spans="1:18">
      <c r="A11" s="15" t="s">
        <v>569</v>
      </c>
      <c r="B11" s="17" t="n">
        <v>7053</v>
      </c>
      <c r="C11" s="18">
        <f>(6252.0/B11*100)</f>
        <v/>
      </c>
      <c r="D11" s="19" t="n">
        <v>801</v>
      </c>
      <c r="E11" s="18" t="n">
        <v>50.60585406</v>
      </c>
      <c r="F11" s="20" t="n">
        <v>2.2376911</v>
      </c>
      <c r="G11" s="18" t="n">
        <v>22.37608051</v>
      </c>
      <c r="H11" s="20" t="n">
        <v>1.84349342</v>
      </c>
      <c r="I11" s="18" t="n">
        <v>0</v>
      </c>
      <c r="J11" s="20" t="n">
        <v>0</v>
      </c>
      <c r="K11" s="18" t="n">
        <v>0.8492436</v>
      </c>
      <c r="L11" s="20" t="n">
        <v>0.42389135</v>
      </c>
      <c r="M11" s="18" t="n">
        <v>0.01786488</v>
      </c>
      <c r="N11" s="20" t="n">
        <v>0.01810534</v>
      </c>
      <c r="O11" s="18" t="n">
        <v>0</v>
      </c>
      <c r="P11" s="20" t="n">
        <v>0</v>
      </c>
      <c r="Q11" s="18" t="n">
        <v>26.15095696</v>
      </c>
      <c r="R11" s="20" t="n">
        <v>1.90244385</v>
      </c>
    </row>
    <row r="12" spans="1:18">
      <c r="A12" s="15" t="s">
        <v>570</v>
      </c>
      <c r="B12" s="17" t="n">
        <v>6894</v>
      </c>
      <c r="C12" s="18">
        <f>(6116.0/B12*100)</f>
        <v/>
      </c>
      <c r="D12" s="19" t="n">
        <v>778</v>
      </c>
      <c r="E12" s="18" t="n">
        <v>44.00886179</v>
      </c>
      <c r="F12" s="20" t="n">
        <v>1.91737889</v>
      </c>
      <c r="G12" s="18" t="n">
        <v>28.32966257</v>
      </c>
      <c r="H12" s="20" t="n">
        <v>1.91276492</v>
      </c>
      <c r="I12" s="18" t="n">
        <v>0</v>
      </c>
      <c r="J12" s="20" t="n">
        <v>0</v>
      </c>
      <c r="K12" s="18" t="n">
        <v>0</v>
      </c>
      <c r="L12" s="20" t="n">
        <v>0</v>
      </c>
      <c r="M12" s="18" t="n">
        <v>0.12519885</v>
      </c>
      <c r="N12" s="20" t="n">
        <v>0.12506418</v>
      </c>
      <c r="O12" s="18" t="n">
        <v>0</v>
      </c>
      <c r="P12" s="20" t="n">
        <v>0</v>
      </c>
      <c r="Q12" s="18" t="n">
        <v>27.53627678</v>
      </c>
      <c r="R12" s="20" t="n">
        <v>1.69545932</v>
      </c>
    </row>
    <row r="13" spans="1:18">
      <c r="A13" s="15" t="s">
        <v>571</v>
      </c>
      <c r="B13" s="17" t="n">
        <v>7161</v>
      </c>
      <c r="C13" s="18">
        <f>(6454.0/B13*100)</f>
        <v/>
      </c>
      <c r="D13" s="19" t="n">
        <v>707</v>
      </c>
      <c r="E13" s="18" t="n">
        <v>51.13396749</v>
      </c>
      <c r="F13" s="20" t="n">
        <v>2.19241074</v>
      </c>
      <c r="G13" s="18" t="n">
        <v>34.73366602</v>
      </c>
      <c r="H13" s="20" t="n">
        <v>2.37357734</v>
      </c>
      <c r="I13" s="18" t="n">
        <v>0</v>
      </c>
      <c r="J13" s="20" t="n">
        <v>0</v>
      </c>
      <c r="K13" s="18" t="n">
        <v>0.24932781</v>
      </c>
      <c r="L13" s="20" t="n">
        <v>0.19199786</v>
      </c>
      <c r="M13" s="18" t="n">
        <v>0.03432406</v>
      </c>
      <c r="N13" s="20" t="n">
        <v>0.03447855</v>
      </c>
      <c r="O13" s="18" t="n">
        <v>0</v>
      </c>
      <c r="P13" s="20" t="n">
        <v>0</v>
      </c>
      <c r="Q13" s="18" t="n">
        <v>13.84871462</v>
      </c>
      <c r="R13" s="20" t="n">
        <v>1.86537123</v>
      </c>
    </row>
    <row r="14" spans="1:18">
      <c r="A14" s="15" t="s">
        <v>572</v>
      </c>
      <c r="B14" s="17" t="n">
        <v>5587</v>
      </c>
      <c r="C14" s="18">
        <f>(4938.0/B14*100)</f>
        <v/>
      </c>
      <c r="D14" s="19" t="n">
        <v>649</v>
      </c>
      <c r="E14" s="18" t="n">
        <v>47.73112879</v>
      </c>
      <c r="F14" s="20" t="n">
        <v>2.29602406</v>
      </c>
      <c r="G14" s="18" t="n">
        <v>34.60063831</v>
      </c>
      <c r="H14" s="20" t="n">
        <v>1.86986998</v>
      </c>
      <c r="I14" s="18" t="n">
        <v>0</v>
      </c>
      <c r="J14" s="20" t="n">
        <v>0</v>
      </c>
      <c r="K14" s="18" t="n">
        <v>0</v>
      </c>
      <c r="L14" s="20" t="n">
        <v>0</v>
      </c>
      <c r="M14" s="18" t="n">
        <v>0</v>
      </c>
      <c r="N14" s="20" t="n">
        <v>0</v>
      </c>
      <c r="O14" s="18" t="n">
        <v>0</v>
      </c>
      <c r="P14" s="20" t="n">
        <v>0</v>
      </c>
      <c r="Q14" s="18" t="n">
        <v>17.6682329</v>
      </c>
      <c r="R14" s="20" t="n">
        <v>1.56081548</v>
      </c>
    </row>
    <row r="15" spans="1:18">
      <c r="A15" s="15" t="s">
        <v>573</v>
      </c>
      <c r="B15" s="17" t="n">
        <v>5882</v>
      </c>
      <c r="C15" s="18">
        <f>(5237.0/B15*100)</f>
        <v/>
      </c>
      <c r="D15" s="19" t="n">
        <v>645</v>
      </c>
      <c r="E15" s="18" t="n">
        <v>46.24326937</v>
      </c>
      <c r="F15" s="20" t="n">
        <v>2.09574854</v>
      </c>
      <c r="G15" s="18" t="n">
        <v>42.79697493</v>
      </c>
      <c r="H15" s="20" t="n">
        <v>2.01478635</v>
      </c>
      <c r="I15" s="18" t="n">
        <v>0</v>
      </c>
      <c r="J15" s="20" t="n">
        <v>0</v>
      </c>
      <c r="K15" s="18" t="n">
        <v>0.06558862</v>
      </c>
      <c r="L15" s="20" t="n">
        <v>0.06559719</v>
      </c>
      <c r="M15" s="18" t="n">
        <v>0</v>
      </c>
      <c r="N15" s="20" t="n">
        <v>0</v>
      </c>
      <c r="O15" s="18" t="n">
        <v>0</v>
      </c>
      <c r="P15" s="20" t="n">
        <v>0</v>
      </c>
      <c r="Q15" s="18" t="n">
        <v>10.89416708</v>
      </c>
      <c r="R15" s="20" t="n">
        <v>1.2096673</v>
      </c>
    </row>
    <row r="16" spans="1:18">
      <c r="A16" s="15" t="s">
        <v>574</v>
      </c>
      <c r="B16" s="17" t="n">
        <v>6108</v>
      </c>
      <c r="C16" s="18">
        <f>(5390.0/B16*100)</f>
        <v/>
      </c>
      <c r="D16" s="19" t="n">
        <v>718</v>
      </c>
      <c r="E16" s="18" t="n">
        <v>37.87279557</v>
      </c>
      <c r="F16" s="20" t="n">
        <v>1.61086927</v>
      </c>
      <c r="G16" s="18" t="n">
        <v>37.93065024</v>
      </c>
      <c r="H16" s="20" t="n">
        <v>1.59832481</v>
      </c>
      <c r="I16" s="18" t="n">
        <v>0</v>
      </c>
      <c r="J16" s="20" t="n">
        <v>0</v>
      </c>
      <c r="K16" s="18" t="n">
        <v>0.14124618</v>
      </c>
      <c r="L16" s="20" t="n">
        <v>0.1513781</v>
      </c>
      <c r="M16" s="18" t="n">
        <v>0.23419898</v>
      </c>
      <c r="N16" s="20" t="n">
        <v>0.23011284</v>
      </c>
      <c r="O16" s="18" t="n">
        <v>0</v>
      </c>
      <c r="P16" s="20" t="n">
        <v>0</v>
      </c>
      <c r="Q16" s="18" t="n">
        <v>23.82110903</v>
      </c>
      <c r="R16" s="20" t="n">
        <v>1.57811488</v>
      </c>
    </row>
    <row r="17" spans="1:18">
      <c r="A17" s="15" t="s">
        <v>575</v>
      </c>
      <c r="B17" s="17" t="n">
        <v>6504</v>
      </c>
      <c r="C17" s="18">
        <f>(5823.0/B17*100)</f>
        <v/>
      </c>
      <c r="D17" s="19" t="n">
        <v>681</v>
      </c>
      <c r="E17" s="18" t="n">
        <v>31.06734671</v>
      </c>
      <c r="F17" s="20" t="n">
        <v>1.86979525</v>
      </c>
      <c r="G17" s="18" t="n">
        <v>38.88841199</v>
      </c>
      <c r="H17" s="20" t="n">
        <v>1.97811496</v>
      </c>
      <c r="I17" s="18" t="n">
        <v>0</v>
      </c>
      <c r="J17" s="20" t="n">
        <v>0</v>
      </c>
      <c r="K17" s="18" t="n">
        <v>0.41534474</v>
      </c>
      <c r="L17" s="20" t="n">
        <v>0.208749</v>
      </c>
      <c r="M17" s="18" t="n">
        <v>0</v>
      </c>
      <c r="N17" s="20" t="n">
        <v>0</v>
      </c>
      <c r="O17" s="18" t="n">
        <v>0</v>
      </c>
      <c r="P17" s="20" t="n">
        <v>0</v>
      </c>
      <c r="Q17" s="18" t="n">
        <v>29.62889657</v>
      </c>
      <c r="R17" s="20" t="n">
        <v>1.52991635</v>
      </c>
    </row>
    <row r="18" spans="1:18">
      <c r="A18" s="15" t="s">
        <v>576</v>
      </c>
      <c r="B18" s="17" t="n">
        <v>5532</v>
      </c>
      <c r="C18" s="18">
        <f>(4906.0/B18*100)</f>
        <v/>
      </c>
      <c r="D18" s="19" t="n">
        <v>626</v>
      </c>
      <c r="E18" s="18" t="n">
        <v>54.2322948</v>
      </c>
      <c r="F18" s="20" t="n">
        <v>2.22780813</v>
      </c>
      <c r="G18" s="18" t="n">
        <v>22.81880965</v>
      </c>
      <c r="H18" s="20" t="n">
        <v>1.95355247</v>
      </c>
      <c r="I18" s="18" t="n">
        <v>0</v>
      </c>
      <c r="J18" s="20" t="n">
        <v>0</v>
      </c>
      <c r="K18" s="18" t="n">
        <v>0.26243745</v>
      </c>
      <c r="L18" s="20" t="n">
        <v>0.26029619</v>
      </c>
      <c r="M18" s="18" t="n">
        <v>0</v>
      </c>
      <c r="N18" s="20" t="n">
        <v>0</v>
      </c>
      <c r="O18" s="18" t="n">
        <v>0</v>
      </c>
      <c r="P18" s="20" t="n">
        <v>0</v>
      </c>
      <c r="Q18" s="18" t="n">
        <v>22.68645811</v>
      </c>
      <c r="R18" s="20" t="n">
        <v>2.03055728</v>
      </c>
    </row>
    <row r="19" spans="1:18">
      <c r="A19" s="15" t="s">
        <v>577</v>
      </c>
      <c r="B19" s="17" t="n">
        <v>5658</v>
      </c>
      <c r="C19" s="18">
        <f>(5066.0/B19*100)</f>
        <v/>
      </c>
      <c r="D19" s="19" t="n">
        <v>592</v>
      </c>
      <c r="E19" s="18" t="n">
        <v>33.94422723</v>
      </c>
      <c r="F19" s="20" t="n">
        <v>2.10480357</v>
      </c>
      <c r="G19" s="18" t="n">
        <v>40.29976851</v>
      </c>
      <c r="H19" s="20" t="n">
        <v>2.21807385</v>
      </c>
      <c r="I19" s="18" t="n">
        <v>0</v>
      </c>
      <c r="J19" s="20" t="n">
        <v>0</v>
      </c>
      <c r="K19" s="18" t="n">
        <v>0</v>
      </c>
      <c r="L19" s="20" t="n">
        <v>0</v>
      </c>
      <c r="M19" s="18" t="n">
        <v>0</v>
      </c>
      <c r="N19" s="20" t="n">
        <v>0</v>
      </c>
      <c r="O19" s="18" t="n">
        <v>0</v>
      </c>
      <c r="P19" s="20" t="n">
        <v>0</v>
      </c>
      <c r="Q19" s="18" t="n">
        <v>25.75600426</v>
      </c>
      <c r="R19" s="20" t="n">
        <v>1.98005746</v>
      </c>
    </row>
    <row r="20" spans="1:18">
      <c r="A20" s="15" t="s">
        <v>578</v>
      </c>
      <c r="B20" s="17" t="n">
        <v>3371</v>
      </c>
      <c r="C20" s="18">
        <f>(2998.0/B20*100)</f>
        <v/>
      </c>
      <c r="D20" s="19" t="n">
        <v>373</v>
      </c>
      <c r="E20" s="18" t="n">
        <v>52.02070845</v>
      </c>
      <c r="F20" s="20" t="n">
        <v>2.60780586</v>
      </c>
      <c r="G20" s="18" t="n">
        <v>29.27421927</v>
      </c>
      <c r="H20" s="20" t="n">
        <v>2.50751427</v>
      </c>
      <c r="I20" s="18" t="n">
        <v>0</v>
      </c>
      <c r="J20" s="20" t="n">
        <v>0</v>
      </c>
      <c r="K20" s="18" t="n">
        <v>0.79050318</v>
      </c>
      <c r="L20" s="20" t="n">
        <v>0.45600662</v>
      </c>
      <c r="M20" s="18" t="n">
        <v>1.55164368</v>
      </c>
      <c r="N20" s="20" t="n">
        <v>0.43467888</v>
      </c>
      <c r="O20" s="18" t="n">
        <v>0</v>
      </c>
      <c r="P20" s="20" t="n">
        <v>0</v>
      </c>
      <c r="Q20" s="18" t="n">
        <v>16.36292542</v>
      </c>
      <c r="R20" s="20" t="n">
        <v>1.92894901</v>
      </c>
    </row>
    <row r="21" spans="1:18">
      <c r="A21" s="15" t="s">
        <v>579</v>
      </c>
      <c r="B21" s="17" t="n">
        <v>5741</v>
      </c>
      <c r="C21" s="18">
        <f>(5124.0/B21*100)</f>
        <v/>
      </c>
      <c r="D21" s="19" t="n">
        <v>617</v>
      </c>
      <c r="E21" s="18" t="n">
        <v>29.99540412</v>
      </c>
      <c r="F21" s="20" t="n">
        <v>1.79332634</v>
      </c>
      <c r="G21" s="18" t="n">
        <v>63.27377368</v>
      </c>
      <c r="H21" s="20" t="n">
        <v>1.96172623</v>
      </c>
      <c r="I21" s="18" t="n">
        <v>0</v>
      </c>
      <c r="J21" s="20" t="n">
        <v>0</v>
      </c>
      <c r="K21" s="18" t="n">
        <v>0</v>
      </c>
      <c r="L21" s="20" t="n">
        <v>0</v>
      </c>
      <c r="M21" s="18" t="n">
        <v>0</v>
      </c>
      <c r="N21" s="20" t="n">
        <v>0</v>
      </c>
      <c r="O21" s="18" t="n">
        <v>0</v>
      </c>
      <c r="P21" s="20" t="n">
        <v>0</v>
      </c>
      <c r="Q21" s="18" t="n">
        <v>6.7308222</v>
      </c>
      <c r="R21" s="20" t="n">
        <v>0.97940701</v>
      </c>
    </row>
    <row r="22" spans="1:18">
      <c r="A22" s="15" t="s">
        <v>580</v>
      </c>
      <c r="B22" s="17" t="n">
        <v>6598</v>
      </c>
      <c r="C22" s="18">
        <f>(5899.0/B22*100)</f>
        <v/>
      </c>
      <c r="D22" s="19" t="n">
        <v>699</v>
      </c>
      <c r="E22" s="18" t="n">
        <v>41.46458916</v>
      </c>
      <c r="F22" s="20" t="n">
        <v>1.94148932</v>
      </c>
      <c r="G22" s="18" t="n">
        <v>38.65015848</v>
      </c>
      <c r="H22" s="20" t="n">
        <v>2.09890839</v>
      </c>
      <c r="I22" s="18" t="n">
        <v>0</v>
      </c>
      <c r="J22" s="20" t="n">
        <v>0</v>
      </c>
      <c r="K22" s="18" t="n">
        <v>0.40619029</v>
      </c>
      <c r="L22" s="20" t="n">
        <v>0.2912879</v>
      </c>
      <c r="M22" s="18" t="n">
        <v>0</v>
      </c>
      <c r="N22" s="20" t="n">
        <v>0</v>
      </c>
      <c r="O22" s="18" t="n">
        <v>0</v>
      </c>
      <c r="P22" s="20" t="n">
        <v>0</v>
      </c>
      <c r="Q22" s="18" t="n">
        <v>19.47906208</v>
      </c>
      <c r="R22" s="20" t="n">
        <v>1.78622908</v>
      </c>
    </row>
    <row r="23" spans="1:18">
      <c r="A23" s="15" t="s">
        <v>581</v>
      </c>
      <c r="B23" s="17" t="n">
        <v>11583</v>
      </c>
      <c r="C23" s="18">
        <f>(10320.0/B23*100)</f>
        <v/>
      </c>
      <c r="D23" s="19" t="n">
        <v>1263</v>
      </c>
      <c r="E23" s="18" t="n">
        <v>36.46448974</v>
      </c>
      <c r="F23" s="20" t="n">
        <v>2.01633627</v>
      </c>
      <c r="G23" s="18" t="n">
        <v>28.25228644</v>
      </c>
      <c r="H23" s="20" t="n">
        <v>1.98325646</v>
      </c>
      <c r="I23" s="18" t="n">
        <v>0</v>
      </c>
      <c r="J23" s="20" t="n">
        <v>0</v>
      </c>
      <c r="K23" s="18" t="n">
        <v>0.00221642</v>
      </c>
      <c r="L23" s="20" t="n">
        <v>0.00222729</v>
      </c>
      <c r="M23" s="18" t="n">
        <v>0</v>
      </c>
      <c r="N23" s="20" t="n">
        <v>0</v>
      </c>
      <c r="O23" s="18" t="n">
        <v>0</v>
      </c>
      <c r="P23" s="20" t="n">
        <v>0</v>
      </c>
      <c r="Q23" s="18" t="n">
        <v>35.2810074</v>
      </c>
      <c r="R23" s="20" t="n">
        <v>2.14910626</v>
      </c>
    </row>
    <row r="24" spans="1:18">
      <c r="A24" s="15" t="s">
        <v>582</v>
      </c>
      <c r="B24" s="17" t="n">
        <v>6647</v>
      </c>
      <c r="C24" s="18">
        <f>(5933.0/B24*100)</f>
        <v/>
      </c>
      <c r="D24" s="19" t="n">
        <v>714</v>
      </c>
      <c r="E24" s="18" t="n">
        <v>42.43920611</v>
      </c>
      <c r="F24" s="20" t="n">
        <v>1.79303172</v>
      </c>
      <c r="G24" s="18" t="n">
        <v>37.02829461</v>
      </c>
      <c r="H24" s="20" t="n">
        <v>1.69768338</v>
      </c>
      <c r="I24" s="18" t="n">
        <v>0</v>
      </c>
      <c r="J24" s="20" t="n">
        <v>0</v>
      </c>
      <c r="K24" s="18" t="n">
        <v>0</v>
      </c>
      <c r="L24" s="20" t="n">
        <v>0</v>
      </c>
      <c r="M24" s="18" t="n">
        <v>0</v>
      </c>
      <c r="N24" s="20" t="n">
        <v>0</v>
      </c>
      <c r="O24" s="18" t="n">
        <v>0</v>
      </c>
      <c r="P24" s="20" t="n">
        <v>0</v>
      </c>
      <c r="Q24" s="18" t="n">
        <v>20.53249927</v>
      </c>
      <c r="R24" s="20" t="n">
        <v>1.49968926</v>
      </c>
    </row>
    <row r="25" spans="1:18">
      <c r="A25" s="15" t="s">
        <v>583</v>
      </c>
      <c r="B25" s="17" t="n">
        <v>5581</v>
      </c>
      <c r="C25" s="18">
        <f>(4967.0/B25*100)</f>
        <v/>
      </c>
      <c r="D25" s="19" t="n">
        <v>614</v>
      </c>
      <c r="E25" s="18" t="n">
        <v>62.78656006</v>
      </c>
      <c r="F25" s="20" t="n">
        <v>1.84743433</v>
      </c>
      <c r="G25" s="18" t="n">
        <v>16.14733515</v>
      </c>
      <c r="H25" s="20" t="n">
        <v>1.33271558</v>
      </c>
      <c r="I25" s="18" t="n">
        <v>0</v>
      </c>
      <c r="J25" s="20" t="n">
        <v>0</v>
      </c>
      <c r="K25" s="18" t="n">
        <v>0</v>
      </c>
      <c r="L25" s="20" t="n">
        <v>0</v>
      </c>
      <c r="M25" s="18" t="n">
        <v>0</v>
      </c>
      <c r="N25" s="20" t="n">
        <v>0</v>
      </c>
      <c r="O25" s="18" t="n">
        <v>0</v>
      </c>
      <c r="P25" s="20" t="n">
        <v>0</v>
      </c>
      <c r="Q25" s="18" t="n">
        <v>21.06610479</v>
      </c>
      <c r="R25" s="20" t="n">
        <v>1.64802764</v>
      </c>
    </row>
    <row r="26" spans="1:18">
      <c r="A26" s="15" t="s">
        <v>584</v>
      </c>
      <c r="B26" s="17" t="n">
        <v>4869</v>
      </c>
      <c r="C26" s="18">
        <f>(4307.0/B26*100)</f>
        <v/>
      </c>
      <c r="D26" s="19" t="n">
        <v>562</v>
      </c>
      <c r="E26" s="18" t="n">
        <v>44.40760577</v>
      </c>
      <c r="F26" s="20" t="n">
        <v>2.03207005</v>
      </c>
      <c r="G26" s="18" t="n">
        <v>32.91349188</v>
      </c>
      <c r="H26" s="20" t="n">
        <v>1.72203538</v>
      </c>
      <c r="I26" s="18" t="n">
        <v>0</v>
      </c>
      <c r="J26" s="20" t="n">
        <v>0</v>
      </c>
      <c r="K26" s="18" t="n">
        <v>0</v>
      </c>
      <c r="L26" s="20" t="n">
        <v>0</v>
      </c>
      <c r="M26" s="18" t="n">
        <v>0.16023532</v>
      </c>
      <c r="N26" s="20" t="n">
        <v>0.16093678</v>
      </c>
      <c r="O26" s="18" t="n">
        <v>0</v>
      </c>
      <c r="P26" s="20" t="n">
        <v>0</v>
      </c>
      <c r="Q26" s="18" t="n">
        <v>22.51866704</v>
      </c>
      <c r="R26" s="20" t="n">
        <v>1.63007546</v>
      </c>
    </row>
    <row r="27" spans="1:18">
      <c r="A27" s="15" t="s">
        <v>585</v>
      </c>
      <c r="B27" s="17" t="n">
        <v>5299</v>
      </c>
      <c r="C27" s="18">
        <f>(4686.0/B27*100)</f>
        <v/>
      </c>
      <c r="D27" s="19" t="n">
        <v>613</v>
      </c>
      <c r="E27" s="18" t="n">
        <v>35.50603426</v>
      </c>
      <c r="F27" s="20" t="n">
        <v>1.97990377</v>
      </c>
      <c r="G27" s="18" t="n">
        <v>40.09201689</v>
      </c>
      <c r="H27" s="20" t="n">
        <v>1.6548784</v>
      </c>
      <c r="I27" s="18" t="n">
        <v>0</v>
      </c>
      <c r="J27" s="20" t="n">
        <v>0</v>
      </c>
      <c r="K27" s="18" t="n">
        <v>0.48666969</v>
      </c>
      <c r="L27" s="20" t="n">
        <v>0.28020825</v>
      </c>
      <c r="M27" s="18" t="n">
        <v>0</v>
      </c>
      <c r="N27" s="20" t="n">
        <v>0</v>
      </c>
      <c r="O27" s="18" t="n">
        <v>0</v>
      </c>
      <c r="P27" s="20" t="n">
        <v>0</v>
      </c>
      <c r="Q27" s="18" t="n">
        <v>23.91527915</v>
      </c>
      <c r="R27" s="20" t="n">
        <v>1.59705207</v>
      </c>
    </row>
    <row r="28" spans="1:18">
      <c r="A28" s="15" t="s">
        <v>586</v>
      </c>
      <c r="B28" s="17" t="n">
        <v>7568</v>
      </c>
      <c r="C28" s="18">
        <f>(6724.0/B28*100)</f>
        <v/>
      </c>
      <c r="D28" s="19" t="n">
        <v>844</v>
      </c>
      <c r="E28" s="18" t="n">
        <v>74.97363036</v>
      </c>
      <c r="F28" s="20" t="n">
        <v>1.66957138</v>
      </c>
      <c r="G28" s="18" t="n">
        <v>15.61858481</v>
      </c>
      <c r="H28" s="20" t="n">
        <v>1.32607444</v>
      </c>
      <c r="I28" s="18" t="n">
        <v>0</v>
      </c>
      <c r="J28" s="20" t="n">
        <v>0</v>
      </c>
      <c r="K28" s="18" t="n">
        <v>0.2664074</v>
      </c>
      <c r="L28" s="20" t="n">
        <v>0.22043401</v>
      </c>
      <c r="M28" s="18" t="n">
        <v>0.19098785</v>
      </c>
      <c r="N28" s="20" t="n">
        <v>0.19046652</v>
      </c>
      <c r="O28" s="18" t="n">
        <v>0</v>
      </c>
      <c r="P28" s="20" t="n">
        <v>0</v>
      </c>
      <c r="Q28" s="18" t="n">
        <v>8.95038958</v>
      </c>
      <c r="R28" s="20" t="n">
        <v>1.21844068</v>
      </c>
    </row>
    <row r="29" spans="1:18">
      <c r="A29" s="15" t="s">
        <v>587</v>
      </c>
      <c r="B29" s="17" t="n">
        <v>5385</v>
      </c>
      <c r="C29" s="18">
        <f>(4851.0/B29*100)</f>
        <v/>
      </c>
      <c r="D29" s="19" t="n">
        <v>534</v>
      </c>
      <c r="E29" s="18" t="n">
        <v>55.37953307</v>
      </c>
      <c r="F29" s="20" t="n">
        <v>2.08895799</v>
      </c>
      <c r="G29" s="18" t="n">
        <v>37.41699902</v>
      </c>
      <c r="H29" s="20" t="n">
        <v>1.81956578</v>
      </c>
      <c r="I29" s="18" t="n">
        <v>0</v>
      </c>
      <c r="J29" s="20" t="n">
        <v>0</v>
      </c>
      <c r="K29" s="18" t="n">
        <v>0.17061289</v>
      </c>
      <c r="L29" s="20" t="n">
        <v>0.16227445</v>
      </c>
      <c r="M29" s="18" t="n">
        <v>0</v>
      </c>
      <c r="N29" s="20" t="n">
        <v>0</v>
      </c>
      <c r="O29" s="18" t="n">
        <v>0</v>
      </c>
      <c r="P29" s="20" t="n">
        <v>0</v>
      </c>
      <c r="Q29" s="18" t="n">
        <v>7.03285501</v>
      </c>
      <c r="R29" s="20" t="n">
        <v>1.1223001</v>
      </c>
    </row>
    <row r="30" spans="1:18">
      <c r="A30" s="15" t="s">
        <v>588</v>
      </c>
      <c r="B30" s="17" t="n">
        <v>4520</v>
      </c>
      <c r="C30" s="18">
        <f>(4005.0/B30*100)</f>
        <v/>
      </c>
      <c r="D30" s="19" t="n">
        <v>515</v>
      </c>
      <c r="E30" s="18" t="n">
        <v>35.56913816</v>
      </c>
      <c r="F30" s="20" t="n">
        <v>2.64024666</v>
      </c>
      <c r="G30" s="18" t="n">
        <v>49.57239667</v>
      </c>
      <c r="H30" s="20" t="n">
        <v>2.32218605</v>
      </c>
      <c r="I30" s="18" t="n">
        <v>0</v>
      </c>
      <c r="J30" s="20" t="n">
        <v>0</v>
      </c>
      <c r="K30" s="18" t="n">
        <v>0</v>
      </c>
      <c r="L30" s="20" t="n">
        <v>0</v>
      </c>
      <c r="M30" s="18" t="n">
        <v>0</v>
      </c>
      <c r="N30" s="20" t="n">
        <v>0</v>
      </c>
      <c r="O30" s="18" t="n">
        <v>0</v>
      </c>
      <c r="P30" s="20" t="n">
        <v>0</v>
      </c>
      <c r="Q30" s="18" t="n">
        <v>14.85846516</v>
      </c>
      <c r="R30" s="20" t="n">
        <v>1.67490405</v>
      </c>
    </row>
    <row r="31" spans="1:18">
      <c r="A31" s="15" t="s">
        <v>589</v>
      </c>
      <c r="B31" s="17" t="n">
        <v>5456</v>
      </c>
      <c r="C31" s="18">
        <f>(4847.0/B31*100)</f>
        <v/>
      </c>
      <c r="D31" s="19" t="n">
        <v>609</v>
      </c>
      <c r="E31" s="18" t="n">
        <v>46.575187</v>
      </c>
      <c r="F31" s="20" t="n">
        <v>2.03680159</v>
      </c>
      <c r="G31" s="18" t="n">
        <v>26.43024103</v>
      </c>
      <c r="H31" s="20" t="n">
        <v>1.95503746</v>
      </c>
      <c r="I31" s="18" t="n">
        <v>0</v>
      </c>
      <c r="J31" s="20" t="n">
        <v>0</v>
      </c>
      <c r="K31" s="18" t="n">
        <v>0.12255983</v>
      </c>
      <c r="L31" s="20" t="n">
        <v>0.11800141</v>
      </c>
      <c r="M31" s="18" t="n">
        <v>0.33989557</v>
      </c>
      <c r="N31" s="20" t="n">
        <v>0.36677427</v>
      </c>
      <c r="O31" s="18" t="n">
        <v>0</v>
      </c>
      <c r="P31" s="20" t="n">
        <v>0</v>
      </c>
      <c r="Q31" s="18" t="n">
        <v>26.53211657</v>
      </c>
      <c r="R31" s="20" t="n">
        <v>2.04579549</v>
      </c>
    </row>
    <row r="32" spans="1:18">
      <c r="A32" s="15" t="s">
        <v>590</v>
      </c>
      <c r="B32" s="17" t="n">
        <v>4478</v>
      </c>
      <c r="C32" s="18">
        <f>(3997.0/B32*100)</f>
        <v/>
      </c>
      <c r="D32" s="19" t="n">
        <v>481</v>
      </c>
      <c r="E32" s="18" t="n">
        <v>36.8213447</v>
      </c>
      <c r="F32" s="20" t="n">
        <v>2.37319166</v>
      </c>
      <c r="G32" s="18" t="n">
        <v>37.22501652</v>
      </c>
      <c r="H32" s="20" t="n">
        <v>2.53701365</v>
      </c>
      <c r="I32" s="18" t="n">
        <v>0</v>
      </c>
      <c r="J32" s="20" t="n">
        <v>0</v>
      </c>
      <c r="K32" s="18" t="n">
        <v>0</v>
      </c>
      <c r="L32" s="20" t="n">
        <v>0</v>
      </c>
      <c r="M32" s="18" t="n">
        <v>0</v>
      </c>
      <c r="N32" s="20" t="n">
        <v>0</v>
      </c>
      <c r="O32" s="18" t="n">
        <v>0</v>
      </c>
      <c r="P32" s="20" t="n">
        <v>0</v>
      </c>
      <c r="Q32" s="18" t="n">
        <v>25.95363878</v>
      </c>
      <c r="R32" s="20" t="n">
        <v>2.20328144</v>
      </c>
    </row>
    <row r="33" spans="1:18">
      <c r="A33" s="15" t="s">
        <v>591</v>
      </c>
      <c r="B33" s="17" t="n">
        <v>7325</v>
      </c>
      <c r="C33" s="18">
        <f>(6499.0/B33*100)</f>
        <v/>
      </c>
      <c r="D33" s="19" t="n">
        <v>826</v>
      </c>
      <c r="E33" s="18" t="n">
        <v>45.54731079</v>
      </c>
      <c r="F33" s="20" t="n">
        <v>1.89794955</v>
      </c>
      <c r="G33" s="18" t="n">
        <v>29.54811738</v>
      </c>
      <c r="H33" s="20" t="n">
        <v>1.92238091</v>
      </c>
      <c r="I33" s="18" t="n">
        <v>0</v>
      </c>
      <c r="J33" s="20" t="n">
        <v>0</v>
      </c>
      <c r="K33" s="18" t="n">
        <v>0.26756123</v>
      </c>
      <c r="L33" s="20" t="n">
        <v>0.20046632</v>
      </c>
      <c r="M33" s="18" t="n">
        <v>0.27175048</v>
      </c>
      <c r="N33" s="20" t="n">
        <v>0.2711086</v>
      </c>
      <c r="O33" s="18" t="n">
        <v>0</v>
      </c>
      <c r="P33" s="20" t="n">
        <v>0</v>
      </c>
      <c r="Q33" s="18" t="n">
        <v>24.36526013</v>
      </c>
      <c r="R33" s="20" t="n">
        <v>1.74682275</v>
      </c>
    </row>
    <row r="34" spans="1:18">
      <c r="A34" s="15" t="s">
        <v>592</v>
      </c>
      <c r="B34" s="17" t="n">
        <v>6350</v>
      </c>
      <c r="C34" s="18">
        <f>(5668.0/B34*100)</f>
        <v/>
      </c>
      <c r="D34" s="19" t="n">
        <v>682</v>
      </c>
      <c r="E34" s="18" t="n">
        <v>43.5645244</v>
      </c>
      <c r="F34" s="20" t="n">
        <v>2.23021389</v>
      </c>
      <c r="G34" s="18" t="n">
        <v>38.81704087</v>
      </c>
      <c r="H34" s="20" t="n">
        <v>2.03570681</v>
      </c>
      <c r="I34" s="18" t="n">
        <v>0</v>
      </c>
      <c r="J34" s="20" t="n">
        <v>0</v>
      </c>
      <c r="K34" s="18" t="n">
        <v>0</v>
      </c>
      <c r="L34" s="20" t="n">
        <v>0</v>
      </c>
      <c r="M34" s="18" t="n">
        <v>0.28440317</v>
      </c>
      <c r="N34" s="20" t="n">
        <v>0.19895113</v>
      </c>
      <c r="O34" s="18" t="n">
        <v>0</v>
      </c>
      <c r="P34" s="20" t="n">
        <v>0</v>
      </c>
      <c r="Q34" s="18" t="n">
        <v>17.33403156</v>
      </c>
      <c r="R34" s="20" t="n">
        <v>1.55895117</v>
      </c>
    </row>
    <row r="35" spans="1:18">
      <c r="A35" s="15" t="s">
        <v>593</v>
      </c>
      <c r="B35" s="17" t="n">
        <v>6406</v>
      </c>
      <c r="C35" s="18">
        <f>(5721.0/B35*100)</f>
        <v/>
      </c>
      <c r="D35" s="19" t="n">
        <v>685</v>
      </c>
      <c r="E35" s="18" t="n">
        <v>47.91061603</v>
      </c>
      <c r="F35" s="20" t="n">
        <v>2.06591691</v>
      </c>
      <c r="G35" s="18" t="n">
        <v>35.57047011</v>
      </c>
      <c r="H35" s="20" t="n">
        <v>2.17621762</v>
      </c>
      <c r="I35" s="18" t="n">
        <v>0</v>
      </c>
      <c r="J35" s="20" t="n">
        <v>0</v>
      </c>
      <c r="K35" s="18" t="n">
        <v>0.08144589000000001</v>
      </c>
      <c r="L35" s="20" t="n">
        <v>0.08098076999999999</v>
      </c>
      <c r="M35" s="18" t="n">
        <v>0</v>
      </c>
      <c r="N35" s="20" t="n">
        <v>0</v>
      </c>
      <c r="O35" s="18" t="n">
        <v>0</v>
      </c>
      <c r="P35" s="20" t="n">
        <v>0</v>
      </c>
      <c r="Q35" s="18" t="n">
        <v>16.43746797</v>
      </c>
      <c r="R35" s="20" t="n">
        <v>1.6585199</v>
      </c>
    </row>
    <row r="36" spans="1:18">
      <c r="A36" s="15" t="s">
        <v>594</v>
      </c>
      <c r="B36" s="17" t="n">
        <v>6736</v>
      </c>
      <c r="C36" s="18">
        <f>(5929.0/B36*100)</f>
        <v/>
      </c>
      <c r="D36" s="19" t="n">
        <v>807</v>
      </c>
      <c r="E36" s="18" t="n">
        <v>38.56115626</v>
      </c>
      <c r="F36" s="20" t="n">
        <v>1.70650929</v>
      </c>
      <c r="G36" s="18" t="n">
        <v>42.15911082</v>
      </c>
      <c r="H36" s="20" t="n">
        <v>1.6751722</v>
      </c>
      <c r="I36" s="18" t="n">
        <v>0</v>
      </c>
      <c r="J36" s="20" t="n">
        <v>0</v>
      </c>
      <c r="K36" s="18" t="n">
        <v>0.52942458</v>
      </c>
      <c r="L36" s="20" t="n">
        <v>0.27640057</v>
      </c>
      <c r="M36" s="18" t="n">
        <v>0.11817861</v>
      </c>
      <c r="N36" s="20" t="n">
        <v>0.11703478</v>
      </c>
      <c r="O36" s="18" t="n">
        <v>0</v>
      </c>
      <c r="P36" s="20" t="n">
        <v>0</v>
      </c>
      <c r="Q36" s="18" t="n">
        <v>18.63212973</v>
      </c>
      <c r="R36" s="20" t="n">
        <v>1.54738507</v>
      </c>
    </row>
    <row r="37" spans="1:18">
      <c r="A37" s="15" t="s">
        <v>595</v>
      </c>
      <c r="B37" s="17" t="n">
        <v>5458</v>
      </c>
      <c r="C37" s="18">
        <f>(4853.0/B37*100)</f>
        <v/>
      </c>
      <c r="D37" s="19" t="n">
        <v>605</v>
      </c>
      <c r="E37" s="18" t="n">
        <v>37.02529001</v>
      </c>
      <c r="F37" s="20" t="n">
        <v>2.05628083</v>
      </c>
      <c r="G37" s="18" t="n">
        <v>33.85136615</v>
      </c>
      <c r="H37" s="20" t="n">
        <v>2.51007401</v>
      </c>
      <c r="I37" s="18" t="n">
        <v>0</v>
      </c>
      <c r="J37" s="20" t="n">
        <v>0</v>
      </c>
      <c r="K37" s="18" t="n">
        <v>0</v>
      </c>
      <c r="L37" s="20" t="n">
        <v>0</v>
      </c>
      <c r="M37" s="18" t="n">
        <v>0.27067437</v>
      </c>
      <c r="N37" s="20" t="n">
        <v>0.27428356</v>
      </c>
      <c r="O37" s="18" t="n">
        <v>0</v>
      </c>
      <c r="P37" s="20" t="n">
        <v>0</v>
      </c>
      <c r="Q37" s="18" t="n">
        <v>28.85266947</v>
      </c>
      <c r="R37" s="20" t="n">
        <v>2.27765726</v>
      </c>
    </row>
    <row r="38" spans="1:18">
      <c r="A38" s="15" t="s">
        <v>596</v>
      </c>
      <c r="B38" s="17" t="n">
        <v>5860</v>
      </c>
      <c r="C38" s="18">
        <f>(5204.0/B38*100)</f>
        <v/>
      </c>
      <c r="D38" s="19" t="n">
        <v>656</v>
      </c>
      <c r="E38" s="18" t="n">
        <v>43.21345267</v>
      </c>
      <c r="F38" s="20" t="n">
        <v>1.99790632</v>
      </c>
      <c r="G38" s="18" t="n">
        <v>29.53501704</v>
      </c>
      <c r="H38" s="20" t="n">
        <v>1.80982682</v>
      </c>
      <c r="I38" s="18" t="n">
        <v>0</v>
      </c>
      <c r="J38" s="20" t="n">
        <v>0</v>
      </c>
      <c r="K38" s="18" t="n">
        <v>0</v>
      </c>
      <c r="L38" s="20" t="n">
        <v>0</v>
      </c>
      <c r="M38" s="18" t="n">
        <v>4.61865303</v>
      </c>
      <c r="N38" s="20" t="n">
        <v>0.7495477699999999</v>
      </c>
      <c r="O38" s="18" t="n">
        <v>0</v>
      </c>
      <c r="P38" s="20" t="n">
        <v>0</v>
      </c>
      <c r="Q38" s="18" t="n">
        <v>22.63287725</v>
      </c>
      <c r="R38" s="20" t="n">
        <v>1.46800407</v>
      </c>
    </row>
    <row r="39" spans="1:18">
      <c r="A39" s="15" t="s">
        <v>597</v>
      </c>
      <c r="B39" s="17" t="n">
        <v>5895</v>
      </c>
      <c r="C39" s="18">
        <f>(5279.0/B39*100)</f>
        <v/>
      </c>
      <c r="D39" s="19" t="n">
        <v>616</v>
      </c>
      <c r="E39" s="18" t="n">
        <v>72.06176556</v>
      </c>
      <c r="F39" s="20" t="n">
        <v>2.19611687</v>
      </c>
      <c r="G39" s="18" t="n">
        <v>9.46571271</v>
      </c>
      <c r="H39" s="20" t="n">
        <v>1.47839425</v>
      </c>
      <c r="I39" s="18" t="n">
        <v>0</v>
      </c>
      <c r="J39" s="20" t="n">
        <v>0</v>
      </c>
      <c r="K39" s="18" t="n">
        <v>0</v>
      </c>
      <c r="L39" s="20" t="n">
        <v>0</v>
      </c>
      <c r="M39" s="18" t="n">
        <v>0</v>
      </c>
      <c r="N39" s="20" t="n">
        <v>0</v>
      </c>
      <c r="O39" s="18" t="n">
        <v>0</v>
      </c>
      <c r="P39" s="20" t="n">
        <v>0</v>
      </c>
      <c r="Q39" s="18" t="n">
        <v>18.47252173</v>
      </c>
      <c r="R39" s="20" t="n">
        <v>1.60753393</v>
      </c>
    </row>
    <row r="40" spans="1:18">
      <c r="A40" s="15" t="s">
        <v>598</v>
      </c>
      <c r="B40" s="17" t="n">
        <v>14157</v>
      </c>
      <c r="C40" s="18">
        <f>(12557.0/B40*100)</f>
        <v/>
      </c>
      <c r="D40" s="19" t="n">
        <v>1600</v>
      </c>
      <c r="E40" s="18" t="n">
        <v>24.0306221</v>
      </c>
      <c r="F40" s="20" t="n">
        <v>2.01383209</v>
      </c>
      <c r="G40" s="18" t="n">
        <v>66.06935458</v>
      </c>
      <c r="H40" s="20" t="n">
        <v>2.26573666</v>
      </c>
      <c r="I40" s="18" t="n">
        <v>0</v>
      </c>
      <c r="J40" s="20" t="n">
        <v>0</v>
      </c>
      <c r="K40" s="18" t="n">
        <v>0</v>
      </c>
      <c r="L40" s="20" t="n">
        <v>0</v>
      </c>
      <c r="M40" s="18" t="n">
        <v>0.10137865</v>
      </c>
      <c r="N40" s="20" t="n">
        <v>0.09720602</v>
      </c>
      <c r="O40" s="18" t="n">
        <v>0</v>
      </c>
      <c r="P40" s="20" t="n">
        <v>0</v>
      </c>
      <c r="Q40" s="18" t="n">
        <v>9.79864467</v>
      </c>
      <c r="R40" s="20" t="n">
        <v>1.20901101</v>
      </c>
    </row>
    <row r="41" spans="1:18">
      <c r="A41" s="15" t="s">
        <v>599</v>
      </c>
      <c r="B41" s="17" t="n">
        <v>5712</v>
      </c>
      <c r="C41" s="18">
        <f>(5051.0/B41*100)</f>
        <v/>
      </c>
      <c r="D41" s="19" t="n">
        <v>661</v>
      </c>
      <c r="E41" s="18" t="n">
        <v>45.52514763</v>
      </c>
      <c r="F41" s="20" t="n">
        <v>2.21794564</v>
      </c>
      <c r="G41" s="18" t="n">
        <v>50.69885632</v>
      </c>
      <c r="H41" s="20" t="n">
        <v>2.3910058</v>
      </c>
      <c r="I41" s="18" t="n">
        <v>0</v>
      </c>
      <c r="J41" s="20" t="n">
        <v>0</v>
      </c>
      <c r="K41" s="18" t="n">
        <v>0</v>
      </c>
      <c r="L41" s="20" t="n">
        <v>0</v>
      </c>
      <c r="M41" s="18" t="n">
        <v>0</v>
      </c>
      <c r="N41" s="20" t="n">
        <v>0</v>
      </c>
      <c r="O41" s="18" t="n">
        <v>0</v>
      </c>
      <c r="P41" s="20" t="n">
        <v>0</v>
      </c>
      <c r="Q41" s="18" t="n">
        <v>3.77599606</v>
      </c>
      <c r="R41" s="20" t="n">
        <v>0.77158757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(20834.0/B46*100)</f>
        <v/>
      </c>
      <c r="D46" s="19" t="n">
        <v>2307</v>
      </c>
      <c r="E46" s="18" t="n">
        <v>47.56019299</v>
      </c>
      <c r="F46" s="20" t="n">
        <v>1.51016765</v>
      </c>
      <c r="G46" s="18" t="n">
        <v>21.32619898</v>
      </c>
      <c r="H46" s="20" t="n">
        <v>1.22188462</v>
      </c>
      <c r="I46" s="18" t="n">
        <v>0</v>
      </c>
      <c r="J46" s="20" t="n">
        <v>0</v>
      </c>
      <c r="K46" s="18" t="n">
        <v>0.3494709</v>
      </c>
      <c r="L46" s="20" t="n">
        <v>0.15024115</v>
      </c>
      <c r="M46" s="18" t="n">
        <v>0.29820985</v>
      </c>
      <c r="N46" s="20" t="n">
        <v>0.15685289</v>
      </c>
      <c r="O46" s="18" t="n">
        <v>0</v>
      </c>
      <c r="P46" s="20" t="n">
        <v>0</v>
      </c>
      <c r="Q46" s="18" t="n">
        <v>30.46592728</v>
      </c>
      <c r="R46" s="20" t="n">
        <v>1.46058661</v>
      </c>
    </row>
    <row r="47" spans="1:18">
      <c r="A47" s="15" t="s">
        <v>606</v>
      </c>
      <c r="B47" s="17" t="n">
        <v>5928</v>
      </c>
      <c r="C47" s="18">
        <f>(5268.0/B47*100)</f>
        <v/>
      </c>
      <c r="D47" s="19" t="n">
        <v>660</v>
      </c>
      <c r="E47" s="18" t="n">
        <v>41.47799182</v>
      </c>
      <c r="F47" s="20" t="n">
        <v>2.18799061</v>
      </c>
      <c r="G47" s="18" t="n">
        <v>24.13117203</v>
      </c>
      <c r="H47" s="20" t="n">
        <v>1.70182936</v>
      </c>
      <c r="I47" s="18" t="n">
        <v>0</v>
      </c>
      <c r="J47" s="20" t="n">
        <v>0</v>
      </c>
      <c r="K47" s="18" t="n">
        <v>0.28480972</v>
      </c>
      <c r="L47" s="20" t="n">
        <v>0.21749784</v>
      </c>
      <c r="M47" s="18" t="n">
        <v>0.29402557</v>
      </c>
      <c r="N47" s="20" t="n">
        <v>0.20256162</v>
      </c>
      <c r="O47" s="18" t="n">
        <v>0</v>
      </c>
      <c r="P47" s="20" t="n">
        <v>0</v>
      </c>
      <c r="Q47" s="18" t="n">
        <v>33.81200086</v>
      </c>
      <c r="R47" s="20" t="n">
        <v>2.37685232</v>
      </c>
    </row>
    <row r="48" spans="1:18">
      <c r="A48" s="15" t="s">
        <v>607</v>
      </c>
      <c r="B48" s="17" t="n">
        <v>9841</v>
      </c>
      <c r="C48" s="18">
        <f>(8742.0/B48*100)</f>
        <v/>
      </c>
      <c r="D48" s="19" t="n">
        <v>1099</v>
      </c>
      <c r="E48" s="18" t="n">
        <v>40.41286359</v>
      </c>
      <c r="F48" s="20" t="n">
        <v>2.13813757</v>
      </c>
      <c r="G48" s="18" t="n">
        <v>45.90664748</v>
      </c>
      <c r="H48" s="20" t="n">
        <v>2.17703707</v>
      </c>
      <c r="I48" s="18" t="n">
        <v>0</v>
      </c>
      <c r="J48" s="20" t="n">
        <v>0</v>
      </c>
      <c r="K48" s="18" t="n">
        <v>0.19026868</v>
      </c>
      <c r="L48" s="20" t="n">
        <v>0.22610984</v>
      </c>
      <c r="M48" s="18" t="n">
        <v>0</v>
      </c>
      <c r="N48" s="20" t="n">
        <v>0</v>
      </c>
      <c r="O48" s="18" t="n">
        <v>0</v>
      </c>
      <c r="P48" s="20" t="n">
        <v>0</v>
      </c>
      <c r="Q48" s="18" t="n">
        <v>13.49022025</v>
      </c>
      <c r="R48" s="20" t="n">
        <v>1.5564929</v>
      </c>
    </row>
    <row r="49" spans="1:18">
      <c r="A49" s="15" t="s">
        <v>608</v>
      </c>
      <c r="B49" s="17" t="n">
        <v>11795</v>
      </c>
      <c r="C49" s="18">
        <f>(10512.0/B49*100)</f>
        <v/>
      </c>
      <c r="D49" s="19" t="n">
        <v>1283</v>
      </c>
      <c r="E49" s="18" t="n">
        <v>72.46053042</v>
      </c>
      <c r="F49" s="20" t="n">
        <v>1.5998504</v>
      </c>
      <c r="G49" s="18" t="n">
        <v>19.32346939</v>
      </c>
      <c r="H49" s="20" t="n">
        <v>1.5284053</v>
      </c>
      <c r="I49" s="18" t="n">
        <v>0</v>
      </c>
      <c r="J49" s="20" t="n">
        <v>0</v>
      </c>
      <c r="K49" s="18" t="n">
        <v>0.36130941</v>
      </c>
      <c r="L49" s="20" t="n">
        <v>0.2595008</v>
      </c>
      <c r="M49" s="18" t="n">
        <v>0.00427086</v>
      </c>
      <c r="N49" s="20" t="n">
        <v>0.00428536</v>
      </c>
      <c r="O49" s="18" t="n">
        <v>0</v>
      </c>
      <c r="P49" s="20" t="n">
        <v>0</v>
      </c>
      <c r="Q49" s="18" t="n">
        <v>7.85041991</v>
      </c>
      <c r="R49" s="20" t="n">
        <v>0.84215405</v>
      </c>
    </row>
    <row r="50" spans="1:18">
      <c r="A50" s="15" t="s">
        <v>609</v>
      </c>
      <c r="B50" s="17" t="n">
        <v>6866</v>
      </c>
      <c r="C50" s="18">
        <f>(6181.0/B50*100)</f>
        <v/>
      </c>
      <c r="D50" s="19" t="n">
        <v>685</v>
      </c>
      <c r="E50" s="18" t="n">
        <v>75.23598287</v>
      </c>
      <c r="F50" s="20" t="n">
        <v>1.83238805</v>
      </c>
      <c r="G50" s="18" t="n">
        <v>7.69749446</v>
      </c>
      <c r="H50" s="20" t="n">
        <v>1.16850083</v>
      </c>
      <c r="I50" s="18" t="n">
        <v>0</v>
      </c>
      <c r="J50" s="20" t="n">
        <v>0</v>
      </c>
      <c r="K50" s="18" t="n">
        <v>0.30064884</v>
      </c>
      <c r="L50" s="20" t="n">
        <v>0.21022198</v>
      </c>
      <c r="M50" s="18" t="n">
        <v>0.33088498</v>
      </c>
      <c r="N50" s="20" t="n">
        <v>0.22364489</v>
      </c>
      <c r="O50" s="18" t="n">
        <v>0</v>
      </c>
      <c r="P50" s="20" t="n">
        <v>0</v>
      </c>
      <c r="Q50" s="18" t="n">
        <v>16.43498886</v>
      </c>
      <c r="R50" s="20" t="n">
        <v>1.46677969</v>
      </c>
    </row>
    <row r="51" spans="1:18">
      <c r="A51" s="15" t="s">
        <v>610</v>
      </c>
      <c r="B51" s="17" t="n">
        <v>5809</v>
      </c>
      <c r="C51" s="18">
        <f>(5190.0/B51*100)</f>
        <v/>
      </c>
      <c r="D51" s="19" t="n">
        <v>619</v>
      </c>
      <c r="E51" s="18" t="n">
        <v>45.76036167</v>
      </c>
      <c r="F51" s="20" t="n">
        <v>1.96186712</v>
      </c>
      <c r="G51" s="18" t="n">
        <v>20.69730268</v>
      </c>
      <c r="H51" s="20" t="n">
        <v>1.87101494</v>
      </c>
      <c r="I51" s="18" t="n">
        <v>0</v>
      </c>
      <c r="J51" s="20" t="n">
        <v>0</v>
      </c>
      <c r="K51" s="18" t="n">
        <v>0</v>
      </c>
      <c r="L51" s="20" t="n">
        <v>0</v>
      </c>
      <c r="M51" s="18" t="n">
        <v>0</v>
      </c>
      <c r="N51" s="20" t="n">
        <v>0</v>
      </c>
      <c r="O51" s="18" t="n">
        <v>0</v>
      </c>
      <c r="P51" s="20" t="n">
        <v>0</v>
      </c>
      <c r="Q51" s="18" t="n">
        <v>33.54233565</v>
      </c>
      <c r="R51" s="20" t="n">
        <v>1.8723117</v>
      </c>
    </row>
    <row r="52" spans="1:18">
      <c r="A52" s="15" t="s">
        <v>611</v>
      </c>
      <c r="B52" s="17" t="n">
        <v>5571</v>
      </c>
      <c r="C52" s="18">
        <f>(4945.0/B52*100)</f>
        <v/>
      </c>
      <c r="D52" s="19" t="n">
        <v>626</v>
      </c>
      <c r="E52" s="18" t="n">
        <v>50.848621</v>
      </c>
      <c r="F52" s="20" t="n">
        <v>1.9399227</v>
      </c>
      <c r="G52" s="18" t="n">
        <v>19.80036895</v>
      </c>
      <c r="H52" s="20" t="n">
        <v>1.68506423</v>
      </c>
      <c r="I52" s="18" t="n">
        <v>0</v>
      </c>
      <c r="J52" s="20" t="n">
        <v>0</v>
      </c>
      <c r="K52" s="18" t="n">
        <v>0.11557687</v>
      </c>
      <c r="L52" s="20" t="n">
        <v>0.11586451</v>
      </c>
      <c r="M52" s="18" t="n">
        <v>0</v>
      </c>
      <c r="N52" s="20" t="n">
        <v>0</v>
      </c>
      <c r="O52" s="18" t="n">
        <v>0</v>
      </c>
      <c r="P52" s="20" t="n">
        <v>0</v>
      </c>
      <c r="Q52" s="18" t="n">
        <v>29.23543318</v>
      </c>
      <c r="R52" s="20" t="n">
        <v>1.92323552</v>
      </c>
    </row>
    <row r="53" spans="1:18">
      <c r="A53" s="15" t="s">
        <v>612</v>
      </c>
      <c r="B53" s="17" t="n">
        <v>4740</v>
      </c>
      <c r="C53" s="18">
        <f>(4218.0/B53*100)</f>
        <v/>
      </c>
      <c r="D53" s="19" t="n">
        <v>522</v>
      </c>
      <c r="E53" s="18" t="n">
        <v>62.03328014</v>
      </c>
      <c r="F53" s="20" t="n">
        <v>2.10215854</v>
      </c>
      <c r="G53" s="18" t="n">
        <v>4.95084329</v>
      </c>
      <c r="H53" s="20" t="n">
        <v>0.82532965</v>
      </c>
      <c r="I53" s="18" t="n">
        <v>0</v>
      </c>
      <c r="J53" s="20" t="n">
        <v>0</v>
      </c>
      <c r="K53" s="18" t="n">
        <v>8.32348288</v>
      </c>
      <c r="L53" s="20" t="n">
        <v>1.48285864</v>
      </c>
      <c r="M53" s="18" t="n">
        <v>0.58781803</v>
      </c>
      <c r="N53" s="20" t="n">
        <v>0.47800643</v>
      </c>
      <c r="O53" s="18" t="n">
        <v>0</v>
      </c>
      <c r="P53" s="20" t="n">
        <v>0</v>
      </c>
      <c r="Q53" s="18" t="n">
        <v>24.10457566</v>
      </c>
      <c r="R53" s="20" t="n">
        <v>1.8651703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(4794.0/B55*100)</f>
        <v/>
      </c>
      <c r="D55" s="19" t="n">
        <v>565</v>
      </c>
      <c r="E55" s="18" t="n">
        <v>37.37076966</v>
      </c>
      <c r="F55" s="20" t="n">
        <v>2.16964317</v>
      </c>
      <c r="G55" s="18" t="n">
        <v>55.67990372</v>
      </c>
      <c r="H55" s="20" t="n">
        <v>2.17277904</v>
      </c>
      <c r="I55" s="18" t="n">
        <v>0</v>
      </c>
      <c r="J55" s="20" t="n">
        <v>0</v>
      </c>
      <c r="K55" s="18" t="n">
        <v>0</v>
      </c>
      <c r="L55" s="20" t="n">
        <v>0</v>
      </c>
      <c r="M55" s="18" t="n">
        <v>0</v>
      </c>
      <c r="N55" s="20" t="n">
        <v>0</v>
      </c>
      <c r="O55" s="18" t="n">
        <v>0</v>
      </c>
      <c r="P55" s="20" t="n">
        <v>0</v>
      </c>
      <c r="Q55" s="18" t="n">
        <v>6.94932662</v>
      </c>
      <c r="R55" s="20" t="n">
        <v>0.99708759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(5830.0/B61*100)</f>
        <v/>
      </c>
      <c r="D61" s="19" t="n">
        <v>695</v>
      </c>
      <c r="E61" s="18" t="n">
        <v>41.94931179</v>
      </c>
      <c r="F61" s="20" t="n">
        <v>2.15276131</v>
      </c>
      <c r="G61" s="18" t="n">
        <v>30.10982815</v>
      </c>
      <c r="H61" s="20" t="n">
        <v>2.07383872</v>
      </c>
      <c r="I61" s="18" t="n">
        <v>0</v>
      </c>
      <c r="J61" s="20" t="n">
        <v>0</v>
      </c>
      <c r="K61" s="18" t="n">
        <v>0.4136408</v>
      </c>
      <c r="L61" s="20" t="n">
        <v>0.40871508</v>
      </c>
      <c r="M61" s="18" t="n">
        <v>0</v>
      </c>
      <c r="N61" s="20" t="n">
        <v>0</v>
      </c>
      <c r="O61" s="18" t="n">
        <v>0</v>
      </c>
      <c r="P61" s="20" t="n">
        <v>0</v>
      </c>
      <c r="Q61" s="18" t="n">
        <v>27.52721926</v>
      </c>
      <c r="R61" s="20" t="n">
        <v>1.78766581</v>
      </c>
    </row>
    <row r="62" spans="1:18">
      <c r="A62" s="15" t="s">
        <v>622</v>
      </c>
      <c r="B62" s="17" t="n">
        <v>4476</v>
      </c>
      <c r="C62" s="18">
        <f>(3951.0/B62*100)</f>
        <v/>
      </c>
      <c r="D62" s="19" t="n">
        <v>525</v>
      </c>
      <c r="E62" s="18" t="n">
        <v>50.15318968</v>
      </c>
      <c r="F62" s="20" t="n">
        <v>2.20963849</v>
      </c>
      <c r="G62" s="18" t="n">
        <v>43.35566673</v>
      </c>
      <c r="H62" s="20" t="n">
        <v>2.20991846</v>
      </c>
      <c r="I62" s="18" t="n">
        <v>0</v>
      </c>
      <c r="J62" s="20" t="n">
        <v>0</v>
      </c>
      <c r="K62" s="18" t="n">
        <v>0</v>
      </c>
      <c r="L62" s="20" t="n">
        <v>0</v>
      </c>
      <c r="M62" s="18" t="n">
        <v>0</v>
      </c>
      <c r="N62" s="20" t="n">
        <v>0</v>
      </c>
      <c r="O62" s="18" t="n">
        <v>0</v>
      </c>
      <c r="P62" s="20" t="n">
        <v>0</v>
      </c>
      <c r="Q62" s="18" t="n">
        <v>6.49114359</v>
      </c>
      <c r="R62" s="20" t="n">
        <v>1.10547379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(5055.0/B67*100)</f>
        <v/>
      </c>
      <c r="D67" s="19" t="n">
        <v>610</v>
      </c>
      <c r="E67" s="18" t="n">
        <v>35.25730685</v>
      </c>
      <c r="F67" s="20" t="n">
        <v>2.00672173</v>
      </c>
      <c r="G67" s="18" t="n">
        <v>16.46731257</v>
      </c>
      <c r="H67" s="20" t="n">
        <v>1.55349912</v>
      </c>
      <c r="I67" s="18" t="n">
        <v>0</v>
      </c>
      <c r="J67" s="20" t="n">
        <v>0</v>
      </c>
      <c r="K67" s="18" t="n">
        <v>0.35855784</v>
      </c>
      <c r="L67" s="20" t="n">
        <v>0.25546932</v>
      </c>
      <c r="M67" s="18" t="n">
        <v>0.82247967</v>
      </c>
      <c r="N67" s="20" t="n">
        <v>0.36883155</v>
      </c>
      <c r="O67" s="18" t="n">
        <v>0</v>
      </c>
      <c r="P67" s="20" t="n">
        <v>0</v>
      </c>
      <c r="Q67" s="18" t="n">
        <v>47.09434307</v>
      </c>
      <c r="R67" s="20" t="n">
        <v>2.19608987</v>
      </c>
    </row>
    <row r="68" spans="1:18">
      <c r="A68" s="15" t="s">
        <v>628</v>
      </c>
      <c r="B68" s="17" t="n">
        <v>6971</v>
      </c>
      <c r="C68" s="18">
        <f>(6241.0/B68*100)</f>
        <v/>
      </c>
      <c r="D68" s="19" t="n">
        <v>730</v>
      </c>
      <c r="E68" s="18" t="n">
        <v>73.07143685</v>
      </c>
      <c r="F68" s="20" t="n">
        <v>1.67053133</v>
      </c>
      <c r="G68" s="18" t="n">
        <v>11.73692726</v>
      </c>
      <c r="H68" s="20" t="n">
        <v>1.2632416</v>
      </c>
      <c r="I68" s="18" t="n">
        <v>0</v>
      </c>
      <c r="J68" s="20" t="n">
        <v>0</v>
      </c>
      <c r="K68" s="18" t="n">
        <v>0.18118602</v>
      </c>
      <c r="L68" s="20" t="n">
        <v>0.18072997</v>
      </c>
      <c r="M68" s="18" t="n">
        <v>0.37509532</v>
      </c>
      <c r="N68" s="20" t="n">
        <v>0.2171662</v>
      </c>
      <c r="O68" s="18" t="n">
        <v>0</v>
      </c>
      <c r="P68" s="20" t="n">
        <v>0</v>
      </c>
      <c r="Q68" s="18" t="n">
        <v>14.63535455</v>
      </c>
      <c r="R68" s="20" t="n">
        <v>1.25535513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(10737.0/B70*100)</f>
        <v/>
      </c>
      <c r="D70" s="19" t="n">
        <v>1346</v>
      </c>
      <c r="E70" s="18" t="n">
        <v>58.87238686</v>
      </c>
      <c r="F70" s="20" t="n">
        <v>1.30352005</v>
      </c>
      <c r="G70" s="18" t="n">
        <v>23.8726941</v>
      </c>
      <c r="H70" s="20" t="n">
        <v>1.12918753</v>
      </c>
      <c r="I70" s="18" t="n">
        <v>0</v>
      </c>
      <c r="J70" s="20" t="n">
        <v>0</v>
      </c>
      <c r="K70" s="18" t="n">
        <v>1.02804471</v>
      </c>
      <c r="L70" s="20" t="n">
        <v>0.32563588</v>
      </c>
      <c r="M70" s="18" t="n">
        <v>0</v>
      </c>
      <c r="N70" s="20" t="n">
        <v>0</v>
      </c>
      <c r="O70" s="18" t="n">
        <v>0</v>
      </c>
      <c r="P70" s="20" t="n">
        <v>0</v>
      </c>
      <c r="Q70" s="18" t="n">
        <v>16.22687432</v>
      </c>
      <c r="R70" s="20" t="n">
        <v>0.99245149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(5386.0/B72*100)</f>
        <v/>
      </c>
      <c r="D72" s="19" t="n">
        <v>650</v>
      </c>
      <c r="E72" s="18" t="n">
        <v>59.91014943</v>
      </c>
      <c r="F72" s="20" t="n">
        <v>1.98069313</v>
      </c>
      <c r="G72" s="18" t="n">
        <v>20.6143493</v>
      </c>
      <c r="H72" s="20" t="n">
        <v>1.67462526</v>
      </c>
      <c r="I72" s="18" t="n">
        <v>0</v>
      </c>
      <c r="J72" s="20" t="n">
        <v>0</v>
      </c>
      <c r="K72" s="18" t="n">
        <v>0</v>
      </c>
      <c r="L72" s="20" t="n">
        <v>0</v>
      </c>
      <c r="M72" s="18" t="n">
        <v>0.17291863</v>
      </c>
      <c r="N72" s="20" t="n">
        <v>0.17330473</v>
      </c>
      <c r="O72" s="18" t="n">
        <v>0</v>
      </c>
      <c r="P72" s="20" t="n">
        <v>0</v>
      </c>
      <c r="Q72" s="18" t="n">
        <v>19.30258263</v>
      </c>
      <c r="R72" s="20" t="n">
        <v>2.02632323</v>
      </c>
    </row>
    <row r="73" spans="1:18">
      <c r="A73" s="15" t="s">
        <v>633</v>
      </c>
      <c r="B73" s="17" t="n">
        <v>6115</v>
      </c>
      <c r="C73" s="18">
        <f>(5394.0/B73*100)</f>
        <v/>
      </c>
      <c r="D73" s="19" t="n">
        <v>721</v>
      </c>
      <c r="E73" s="18" t="n">
        <v>25.99908961</v>
      </c>
      <c r="F73" s="20" t="n">
        <v>1.81215747</v>
      </c>
      <c r="G73" s="18" t="n">
        <v>69.28004318000001</v>
      </c>
      <c r="H73" s="20" t="n">
        <v>1.95454579</v>
      </c>
      <c r="I73" s="18" t="n">
        <v>0</v>
      </c>
      <c r="J73" s="20" t="n">
        <v>0</v>
      </c>
      <c r="K73" s="18" t="n">
        <v>0</v>
      </c>
      <c r="L73" s="20" t="n">
        <v>0</v>
      </c>
      <c r="M73" s="18" t="n">
        <v>0.19319694</v>
      </c>
      <c r="N73" s="20" t="n">
        <v>0.19398001</v>
      </c>
      <c r="O73" s="18" t="n">
        <v>0</v>
      </c>
      <c r="P73" s="20" t="n">
        <v>0</v>
      </c>
      <c r="Q73" s="18" t="n">
        <v>4.52767027</v>
      </c>
      <c r="R73" s="20" t="n">
        <v>0.75054331</v>
      </c>
    </row>
    <row r="74" spans="1:18">
      <c r="A74" s="15" t="s">
        <v>634</v>
      </c>
      <c r="B74" s="17" t="n">
        <v>7708</v>
      </c>
      <c r="C74" s="18">
        <f>(6862.0/B74*100)</f>
        <v/>
      </c>
      <c r="D74" s="19" t="n">
        <v>846</v>
      </c>
      <c r="E74" s="18" t="n">
        <v>36.24113301</v>
      </c>
      <c r="F74" s="20" t="n">
        <v>1.80296873</v>
      </c>
      <c r="G74" s="18" t="n">
        <v>50.4666874</v>
      </c>
      <c r="H74" s="20" t="n">
        <v>1.62968614</v>
      </c>
      <c r="I74" s="18" t="n">
        <v>0</v>
      </c>
      <c r="J74" s="20" t="n">
        <v>0</v>
      </c>
      <c r="K74" s="18" t="n">
        <v>0.09812514999999999</v>
      </c>
      <c r="L74" s="20" t="n">
        <v>0.09838803</v>
      </c>
      <c r="M74" s="18" t="n">
        <v>0</v>
      </c>
      <c r="N74" s="20" t="n">
        <v>0</v>
      </c>
      <c r="O74" s="18" t="n">
        <v>0</v>
      </c>
      <c r="P74" s="20" t="n">
        <v>0</v>
      </c>
      <c r="Q74" s="18" t="n">
        <v>13.19405444</v>
      </c>
      <c r="R74" s="20" t="n">
        <v>1.26461862</v>
      </c>
    </row>
    <row r="75" spans="1:18">
      <c r="A75" s="15" t="s">
        <v>635</v>
      </c>
      <c r="B75" s="17" t="n">
        <v>8249</v>
      </c>
      <c r="C75" s="18">
        <f>(7365.0/B75*100)</f>
        <v/>
      </c>
      <c r="D75" s="19" t="n">
        <v>884</v>
      </c>
      <c r="E75" s="18" t="n">
        <v>87.89210887999999</v>
      </c>
      <c r="F75" s="20" t="n">
        <v>1.35206229</v>
      </c>
      <c r="G75" s="18" t="n">
        <v>8.499117350000001</v>
      </c>
      <c r="H75" s="20" t="n">
        <v>1.13592744</v>
      </c>
      <c r="I75" s="18" t="n">
        <v>0</v>
      </c>
      <c r="J75" s="20" t="n">
        <v>0</v>
      </c>
      <c r="K75" s="18" t="n">
        <v>0</v>
      </c>
      <c r="L75" s="20" t="n">
        <v>0</v>
      </c>
      <c r="M75" s="18" t="n">
        <v>0.41660002</v>
      </c>
      <c r="N75" s="20" t="n">
        <v>0.29615748</v>
      </c>
      <c r="O75" s="18" t="n">
        <v>0</v>
      </c>
      <c r="P75" s="20" t="n">
        <v>0</v>
      </c>
      <c r="Q75" s="18" t="n">
        <v>3.19217375</v>
      </c>
      <c r="R75" s="20" t="n">
        <v>0.80334366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(4812.0/B77*100)</f>
        <v/>
      </c>
      <c r="D77" s="19" t="n">
        <v>563</v>
      </c>
      <c r="E77" s="18" t="n">
        <v>57.53732753</v>
      </c>
      <c r="F77" s="20" t="n">
        <v>2.3612385</v>
      </c>
      <c r="G77" s="18" t="n">
        <v>6.99204844</v>
      </c>
      <c r="H77" s="20" t="n">
        <v>1.09707747</v>
      </c>
      <c r="I77" s="18" t="n">
        <v>0</v>
      </c>
      <c r="J77" s="20" t="n">
        <v>0</v>
      </c>
      <c r="K77" s="18" t="n">
        <v>1.27124324</v>
      </c>
      <c r="L77" s="20" t="n">
        <v>0.48973082</v>
      </c>
      <c r="M77" s="18" t="n">
        <v>0.92374483</v>
      </c>
      <c r="N77" s="20" t="n">
        <v>0.4265698</v>
      </c>
      <c r="O77" s="18" t="n">
        <v>0</v>
      </c>
      <c r="P77" s="20" t="n">
        <v>0</v>
      </c>
      <c r="Q77" s="18" t="n">
        <v>33.27563597</v>
      </c>
      <c r="R77" s="20" t="n">
        <v>2.43956648</v>
      </c>
    </row>
    <row r="78" spans="1:18">
      <c r="A78" s="15" t="s">
        <v>638</v>
      </c>
      <c r="B78" s="17" t="n">
        <v>14167</v>
      </c>
      <c r="C78" s="18">
        <f>(12610.0/B78*100)</f>
        <v/>
      </c>
      <c r="D78" s="19" t="n">
        <v>1557</v>
      </c>
      <c r="E78" s="18" t="n">
        <v>64.85782510999999</v>
      </c>
      <c r="F78" s="20" t="n">
        <v>1.72418357</v>
      </c>
      <c r="G78" s="18" t="n">
        <v>25.16964807</v>
      </c>
      <c r="H78" s="20" t="n">
        <v>1.50758289</v>
      </c>
      <c r="I78" s="18" t="n">
        <v>0</v>
      </c>
      <c r="J78" s="20" t="n">
        <v>0</v>
      </c>
      <c r="K78" s="18" t="n">
        <v>0.2652991</v>
      </c>
      <c r="L78" s="20" t="n">
        <v>0.12737447</v>
      </c>
      <c r="M78" s="18" t="n">
        <v>0.11769955</v>
      </c>
      <c r="N78" s="20" t="n">
        <v>0.07271602000000001</v>
      </c>
      <c r="O78" s="18" t="n">
        <v>0</v>
      </c>
      <c r="P78" s="20" t="n">
        <v>0</v>
      </c>
      <c r="Q78" s="18" t="n">
        <v>9.589528169999999</v>
      </c>
      <c r="R78" s="20" t="n">
        <v>0.90975503</v>
      </c>
    </row>
    <row r="79" spans="1:18">
      <c r="A79" s="15" t="s">
        <v>639</v>
      </c>
      <c r="B79" s="17" t="n">
        <v>6062</v>
      </c>
      <c r="C79" s="18">
        <f>(5418.0/B79*100)</f>
        <v/>
      </c>
      <c r="D79" s="19" t="n">
        <v>644</v>
      </c>
      <c r="E79" s="18" t="n">
        <v>40.689197</v>
      </c>
      <c r="F79" s="20" t="n">
        <v>1.68979711</v>
      </c>
      <c r="G79" s="18" t="n">
        <v>25.60470798</v>
      </c>
      <c r="H79" s="20" t="n">
        <v>1.59710194</v>
      </c>
      <c r="I79" s="18" t="n">
        <v>0</v>
      </c>
      <c r="J79" s="20" t="n">
        <v>0</v>
      </c>
      <c r="K79" s="18" t="n">
        <v>0.60607201</v>
      </c>
      <c r="L79" s="20" t="n">
        <v>0.22842612</v>
      </c>
      <c r="M79" s="18" t="n">
        <v>0</v>
      </c>
      <c r="N79" s="20" t="n">
        <v>0</v>
      </c>
      <c r="O79" s="18" t="n">
        <v>0</v>
      </c>
      <c r="P79" s="20" t="n">
        <v>0</v>
      </c>
      <c r="Q79" s="18" t="n">
        <v>33.10002301</v>
      </c>
      <c r="R79" s="20" t="n">
        <v>1.90008926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(28705.0/B82*100)</f>
        <v/>
      </c>
      <c r="D82" s="19" t="n">
        <v>3625</v>
      </c>
      <c r="E82" s="18" t="n">
        <v>39.21075362</v>
      </c>
      <c r="F82" s="20" t="n">
        <v>1.21857733</v>
      </c>
      <c r="G82" s="18" t="n">
        <v>42.04967676</v>
      </c>
      <c r="H82" s="20" t="n">
        <v>1.35400784</v>
      </c>
      <c r="I82" s="18" t="n">
        <v>0</v>
      </c>
      <c r="J82" s="20" t="n">
        <v>0</v>
      </c>
      <c r="K82" s="18" t="n">
        <v>0.11665064</v>
      </c>
      <c r="L82" s="20" t="n">
        <v>0.07231103999999999</v>
      </c>
      <c r="M82" s="18" t="n">
        <v>0.09012029000000001</v>
      </c>
      <c r="N82" s="20" t="n">
        <v>0.08990138</v>
      </c>
      <c r="O82" s="18" t="n">
        <v>0</v>
      </c>
      <c r="P82" s="20" t="n">
        <v>0</v>
      </c>
      <c r="Q82" s="18" t="n">
        <v>18.5327987</v>
      </c>
      <c r="R82" s="20" t="n">
        <v>1.05539142</v>
      </c>
    </row>
    <row r="83" spans="1:18">
      <c r="A83" s="15" t="s">
        <v>643</v>
      </c>
      <c r="B83" s="17" t="n">
        <v>1652</v>
      </c>
      <c r="C83" s="18">
        <f>(1473.0/B83*100)</f>
        <v/>
      </c>
      <c r="D83" s="19" t="n">
        <v>179</v>
      </c>
      <c r="E83" s="18" t="n">
        <v>38.58628984</v>
      </c>
      <c r="F83" s="20" t="n">
        <v>3.43171658</v>
      </c>
      <c r="G83" s="18" t="n">
        <v>57.52306831</v>
      </c>
      <c r="H83" s="20" t="n">
        <v>3.1781864</v>
      </c>
      <c r="I83" s="18" t="n">
        <v>0</v>
      </c>
      <c r="J83" s="20" t="n">
        <v>0</v>
      </c>
      <c r="K83" s="18" t="n">
        <v>0</v>
      </c>
      <c r="L83" s="20" t="n">
        <v>0</v>
      </c>
      <c r="M83" s="18" t="n">
        <v>0</v>
      </c>
      <c r="N83" s="20" t="n">
        <v>0</v>
      </c>
      <c r="O83" s="18" t="n">
        <v>0</v>
      </c>
      <c r="P83" s="20" t="n">
        <v>0</v>
      </c>
      <c r="Q83" s="18" t="n">
        <v>3.89064185</v>
      </c>
      <c r="R83" s="20" t="n">
        <v>1.23776359</v>
      </c>
    </row>
    <row r="84" spans="1:18">
      <c r="A84" s="23" t="s">
        <v>644</v>
      </c>
      <c r="B84" s="24" t="n">
        <v>1887</v>
      </c>
      <c r="C84" s="25">
        <f>(1690.0/B84*100)</f>
        <v/>
      </c>
      <c r="D84" s="19" t="n">
        <v>197</v>
      </c>
      <c r="E84" s="18" t="n">
        <v>43.17447115</v>
      </c>
      <c r="F84" s="20" t="n">
        <v>3.54626899</v>
      </c>
      <c r="G84" s="18" t="n">
        <v>52.28369705</v>
      </c>
      <c r="H84" s="20" t="n">
        <v>4.06028999</v>
      </c>
      <c r="I84" s="18" t="n">
        <v>0</v>
      </c>
      <c r="J84" s="20" t="n">
        <v>0</v>
      </c>
      <c r="K84" s="18" t="n">
        <v>0</v>
      </c>
      <c r="L84" s="20" t="n">
        <v>0</v>
      </c>
      <c r="M84" s="18" t="n">
        <v>0</v>
      </c>
      <c r="N84" s="20" t="n">
        <v>0</v>
      </c>
      <c r="O84" s="18" t="n">
        <v>0</v>
      </c>
      <c r="P84" s="20" t="n">
        <v>0</v>
      </c>
      <c r="Q84" s="18" t="n">
        <v>4.54183179</v>
      </c>
      <c r="R84" s="20" t="n">
        <v>1.62657135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728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(12937.0/B7*100)</f>
        <v/>
      </c>
      <c r="D7" s="19" t="n">
        <v>1593</v>
      </c>
      <c r="E7" s="18" t="n">
        <v>44.70026788</v>
      </c>
      <c r="F7" s="20" t="n">
        <v>1.39818975</v>
      </c>
      <c r="G7" s="18" t="n">
        <v>54.7532758</v>
      </c>
      <c r="H7" s="20" t="n">
        <v>1.41097299</v>
      </c>
      <c r="I7" s="18" t="n">
        <v>0</v>
      </c>
      <c r="J7" s="20" t="n">
        <v>0</v>
      </c>
      <c r="K7" s="18" t="n">
        <v>0.09408269</v>
      </c>
      <c r="L7" s="20" t="n">
        <v>0.08697096999999999</v>
      </c>
      <c r="M7" s="18" t="n">
        <v>0</v>
      </c>
      <c r="N7" s="20" t="n">
        <v>0</v>
      </c>
      <c r="O7" s="18" t="n">
        <v>0</v>
      </c>
      <c r="P7" s="20" t="n">
        <v>0</v>
      </c>
      <c r="Q7" s="18" t="n">
        <v>0.45237363</v>
      </c>
      <c r="R7" s="20" t="n">
        <v>0.14566191</v>
      </c>
    </row>
    <row r="8" spans="1:18">
      <c r="A8" s="15" t="s">
        <v>566</v>
      </c>
      <c r="B8" s="17" t="n">
        <v>7007</v>
      </c>
      <c r="C8" s="18">
        <f>(6257.0/B8*100)</f>
        <v/>
      </c>
      <c r="D8" s="19" t="n">
        <v>750</v>
      </c>
      <c r="E8" s="18" t="n">
        <v>49.15893657</v>
      </c>
      <c r="F8" s="20" t="n">
        <v>1.98039443</v>
      </c>
      <c r="G8" s="18" t="n">
        <v>50.49932184</v>
      </c>
      <c r="H8" s="20" t="n">
        <v>2.00302273</v>
      </c>
      <c r="I8" s="18" t="n">
        <v>0</v>
      </c>
      <c r="J8" s="20" t="n">
        <v>0</v>
      </c>
      <c r="K8" s="18" t="n">
        <v>0.05027497</v>
      </c>
      <c r="L8" s="20" t="n">
        <v>0.05030223</v>
      </c>
      <c r="M8" s="18" t="n">
        <v>0</v>
      </c>
      <c r="N8" s="20" t="n">
        <v>0</v>
      </c>
      <c r="O8" s="18" t="n">
        <v>0</v>
      </c>
      <c r="P8" s="20" t="n">
        <v>0</v>
      </c>
      <c r="Q8" s="18" t="n">
        <v>0.29146662</v>
      </c>
      <c r="R8" s="20" t="n">
        <v>0.20775138</v>
      </c>
    </row>
    <row r="9" spans="1:18">
      <c r="A9" s="15" t="s">
        <v>567</v>
      </c>
      <c r="B9" s="17" t="n">
        <v>9651</v>
      </c>
      <c r="C9" s="18">
        <f>(8631.0/B9*100)</f>
        <v/>
      </c>
      <c r="D9" s="19" t="n">
        <v>1020</v>
      </c>
      <c r="E9" s="18" t="n">
        <v>53.36839616</v>
      </c>
      <c r="F9" s="20" t="n">
        <v>1.73515739</v>
      </c>
      <c r="G9" s="18" t="n">
        <v>46.09023323</v>
      </c>
      <c r="H9" s="20" t="n">
        <v>1.7686194</v>
      </c>
      <c r="I9" s="18" t="n">
        <v>0</v>
      </c>
      <c r="J9" s="20" t="n">
        <v>0</v>
      </c>
      <c r="K9" s="18" t="n">
        <v>0.08591029</v>
      </c>
      <c r="L9" s="20" t="n">
        <v>0.12543004</v>
      </c>
      <c r="M9" s="18" t="n">
        <v>0</v>
      </c>
      <c r="N9" s="20" t="n">
        <v>0</v>
      </c>
      <c r="O9" s="18" t="n">
        <v>0</v>
      </c>
      <c r="P9" s="20" t="n">
        <v>0</v>
      </c>
      <c r="Q9" s="18" t="n">
        <v>0.45546032</v>
      </c>
      <c r="R9" s="20" t="n">
        <v>0.17443167</v>
      </c>
    </row>
    <row r="10" spans="1:18">
      <c r="A10" s="15" t="s">
        <v>568</v>
      </c>
      <c r="B10" s="17" t="n">
        <v>20058</v>
      </c>
      <c r="C10" s="18">
        <f>(17796.0/B10*100)</f>
        <v/>
      </c>
      <c r="D10" s="19" t="n">
        <v>2262</v>
      </c>
      <c r="E10" s="18" t="n">
        <v>39.64625352</v>
      </c>
      <c r="F10" s="20" t="n">
        <v>1.45067938</v>
      </c>
      <c r="G10" s="18" t="n">
        <v>59.92617779</v>
      </c>
      <c r="H10" s="20" t="n">
        <v>1.43879716</v>
      </c>
      <c r="I10" s="18" t="n">
        <v>0</v>
      </c>
      <c r="J10" s="20" t="n">
        <v>0</v>
      </c>
      <c r="K10" s="18" t="n">
        <v>0.17690524</v>
      </c>
      <c r="L10" s="20" t="n">
        <v>0.15518174</v>
      </c>
      <c r="M10" s="18" t="n">
        <v>0</v>
      </c>
      <c r="N10" s="20" t="n">
        <v>0</v>
      </c>
      <c r="O10" s="18" t="n">
        <v>0</v>
      </c>
      <c r="P10" s="20" t="n">
        <v>0</v>
      </c>
      <c r="Q10" s="18" t="n">
        <v>0.25066346</v>
      </c>
      <c r="R10" s="20" t="n">
        <v>0.1615784</v>
      </c>
    </row>
    <row r="11" spans="1:18">
      <c r="A11" s="15" t="s">
        <v>569</v>
      </c>
      <c r="B11" s="17" t="n">
        <v>7053</v>
      </c>
      <c r="C11" s="18">
        <f>(6252.0/B11*100)</f>
        <v/>
      </c>
      <c r="D11" s="19" t="n">
        <v>801</v>
      </c>
      <c r="E11" s="18" t="n">
        <v>50.28100757</v>
      </c>
      <c r="F11" s="20" t="n">
        <v>1.99372033</v>
      </c>
      <c r="G11" s="18" t="n">
        <v>48.16962098</v>
      </c>
      <c r="H11" s="20" t="n">
        <v>2.08800168</v>
      </c>
      <c r="I11" s="18" t="n">
        <v>0</v>
      </c>
      <c r="J11" s="20" t="n">
        <v>0</v>
      </c>
      <c r="K11" s="18" t="n">
        <v>1.02437433</v>
      </c>
      <c r="L11" s="20" t="n">
        <v>0.45623829</v>
      </c>
      <c r="M11" s="18" t="n">
        <v>0</v>
      </c>
      <c r="N11" s="20" t="n">
        <v>0</v>
      </c>
      <c r="O11" s="18" t="n">
        <v>0</v>
      </c>
      <c r="P11" s="20" t="n">
        <v>0</v>
      </c>
      <c r="Q11" s="18" t="n">
        <v>0.52499713</v>
      </c>
      <c r="R11" s="20" t="n">
        <v>0.25350644</v>
      </c>
    </row>
    <row r="12" spans="1:18">
      <c r="A12" s="15" t="s">
        <v>570</v>
      </c>
      <c r="B12" s="17" t="n">
        <v>6894</v>
      </c>
      <c r="C12" s="18">
        <f>(6116.0/B12*100)</f>
        <v/>
      </c>
      <c r="D12" s="19" t="n">
        <v>778</v>
      </c>
      <c r="E12" s="18" t="n">
        <v>49.33249861</v>
      </c>
      <c r="F12" s="20" t="n">
        <v>1.96797333</v>
      </c>
      <c r="G12" s="18" t="n">
        <v>49.97705055</v>
      </c>
      <c r="H12" s="20" t="n">
        <v>1.96884205</v>
      </c>
      <c r="I12" s="18" t="n">
        <v>0</v>
      </c>
      <c r="J12" s="20" t="n">
        <v>0</v>
      </c>
      <c r="K12" s="18" t="n">
        <v>0</v>
      </c>
      <c r="L12" s="20" t="n">
        <v>0</v>
      </c>
      <c r="M12" s="18" t="n">
        <v>0</v>
      </c>
      <c r="N12" s="20" t="n">
        <v>0</v>
      </c>
      <c r="O12" s="18" t="n">
        <v>0</v>
      </c>
      <c r="P12" s="20" t="n">
        <v>0</v>
      </c>
      <c r="Q12" s="18" t="n">
        <v>0.6904508499999999</v>
      </c>
      <c r="R12" s="20" t="n">
        <v>0.3619554</v>
      </c>
    </row>
    <row r="13" spans="1:18">
      <c r="A13" s="15" t="s">
        <v>571</v>
      </c>
      <c r="B13" s="17" t="n">
        <v>7161</v>
      </c>
      <c r="C13" s="18">
        <f>(6454.0/B13*100)</f>
        <v/>
      </c>
      <c r="D13" s="19" t="n">
        <v>707</v>
      </c>
      <c r="E13" s="18" t="n">
        <v>48.8678169</v>
      </c>
      <c r="F13" s="20" t="n">
        <v>2.1807545</v>
      </c>
      <c r="G13" s="18" t="n">
        <v>50.4834927</v>
      </c>
      <c r="H13" s="20" t="n">
        <v>2.20241284</v>
      </c>
      <c r="I13" s="18" t="n">
        <v>0</v>
      </c>
      <c r="J13" s="20" t="n">
        <v>0</v>
      </c>
      <c r="K13" s="18" t="n">
        <v>0.24932781</v>
      </c>
      <c r="L13" s="20" t="n">
        <v>0.19199786</v>
      </c>
      <c r="M13" s="18" t="n">
        <v>0</v>
      </c>
      <c r="N13" s="20" t="n">
        <v>0</v>
      </c>
      <c r="O13" s="18" t="n">
        <v>0</v>
      </c>
      <c r="P13" s="20" t="n">
        <v>0</v>
      </c>
      <c r="Q13" s="18" t="n">
        <v>0.39936259</v>
      </c>
      <c r="R13" s="20" t="n">
        <v>0.31253622</v>
      </c>
    </row>
    <row r="14" spans="1:18">
      <c r="A14" s="15" t="s">
        <v>572</v>
      </c>
      <c r="B14" s="17" t="n">
        <v>5587</v>
      </c>
      <c r="C14" s="18">
        <f>(4938.0/B14*100)</f>
        <v/>
      </c>
      <c r="D14" s="19" t="n">
        <v>649</v>
      </c>
      <c r="E14" s="18" t="n">
        <v>48.79792007</v>
      </c>
      <c r="F14" s="20" t="n">
        <v>1.99449116</v>
      </c>
      <c r="G14" s="18" t="n">
        <v>51.20207993</v>
      </c>
      <c r="H14" s="20" t="n">
        <v>1.99449116</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(5237.0/B15*100)</f>
        <v/>
      </c>
      <c r="D15" s="19" t="n">
        <v>645</v>
      </c>
      <c r="E15" s="18" t="n">
        <v>35.26711119</v>
      </c>
      <c r="F15" s="20" t="n">
        <v>2.13250818</v>
      </c>
      <c r="G15" s="18" t="n">
        <v>64.23044652</v>
      </c>
      <c r="H15" s="20" t="n">
        <v>2.14291904</v>
      </c>
      <c r="I15" s="18" t="n">
        <v>0</v>
      </c>
      <c r="J15" s="20" t="n">
        <v>0</v>
      </c>
      <c r="K15" s="18" t="n">
        <v>0.06558862</v>
      </c>
      <c r="L15" s="20" t="n">
        <v>0.06559719</v>
      </c>
      <c r="M15" s="18" t="n">
        <v>0</v>
      </c>
      <c r="N15" s="20" t="n">
        <v>0</v>
      </c>
      <c r="O15" s="18" t="n">
        <v>0</v>
      </c>
      <c r="P15" s="20" t="n">
        <v>0</v>
      </c>
      <c r="Q15" s="18" t="n">
        <v>0.43685367</v>
      </c>
      <c r="R15" s="20" t="n">
        <v>0.25139399</v>
      </c>
    </row>
    <row r="16" spans="1:18">
      <c r="A16" s="15" t="s">
        <v>574</v>
      </c>
      <c r="B16" s="17" t="n">
        <v>6108</v>
      </c>
      <c r="C16" s="18">
        <f>(5390.0/B16*100)</f>
        <v/>
      </c>
      <c r="D16" s="19" t="n">
        <v>718</v>
      </c>
      <c r="E16" s="18" t="n">
        <v>58.07881404</v>
      </c>
      <c r="F16" s="20" t="n">
        <v>1.79955575</v>
      </c>
      <c r="G16" s="18" t="n">
        <v>40.66027629</v>
      </c>
      <c r="H16" s="20" t="n">
        <v>1.68914553</v>
      </c>
      <c r="I16" s="18" t="n">
        <v>0</v>
      </c>
      <c r="J16" s="20" t="n">
        <v>0</v>
      </c>
      <c r="K16" s="18" t="n">
        <v>0.14124618</v>
      </c>
      <c r="L16" s="20" t="n">
        <v>0.1513781</v>
      </c>
      <c r="M16" s="18" t="n">
        <v>0</v>
      </c>
      <c r="N16" s="20" t="n">
        <v>0</v>
      </c>
      <c r="O16" s="18" t="n">
        <v>0</v>
      </c>
      <c r="P16" s="20" t="n">
        <v>0</v>
      </c>
      <c r="Q16" s="18" t="n">
        <v>1.11966349</v>
      </c>
      <c r="R16" s="20" t="n">
        <v>0.45395557</v>
      </c>
    </row>
    <row r="17" spans="1:18">
      <c r="A17" s="15" t="s">
        <v>575</v>
      </c>
      <c r="B17" s="17" t="n">
        <v>6504</v>
      </c>
      <c r="C17" s="18">
        <f>(5823.0/B17*100)</f>
        <v/>
      </c>
      <c r="D17" s="19" t="n">
        <v>681</v>
      </c>
      <c r="E17" s="18" t="n">
        <v>54.35091129</v>
      </c>
      <c r="F17" s="20" t="n">
        <v>1.98712284</v>
      </c>
      <c r="G17" s="18" t="n">
        <v>44.87279838</v>
      </c>
      <c r="H17" s="20" t="n">
        <v>1.97872277</v>
      </c>
      <c r="I17" s="18" t="n">
        <v>0</v>
      </c>
      <c r="J17" s="20" t="n">
        <v>0</v>
      </c>
      <c r="K17" s="18" t="n">
        <v>0.41534474</v>
      </c>
      <c r="L17" s="20" t="n">
        <v>0.208749</v>
      </c>
      <c r="M17" s="18" t="n">
        <v>0</v>
      </c>
      <c r="N17" s="20" t="n">
        <v>0</v>
      </c>
      <c r="O17" s="18" t="n">
        <v>0</v>
      </c>
      <c r="P17" s="20" t="n">
        <v>0</v>
      </c>
      <c r="Q17" s="18" t="n">
        <v>0.36094559</v>
      </c>
      <c r="R17" s="20" t="n">
        <v>0.22441652</v>
      </c>
    </row>
    <row r="18" spans="1:18">
      <c r="A18" s="15" t="s">
        <v>576</v>
      </c>
      <c r="B18" s="17" t="n">
        <v>5532</v>
      </c>
      <c r="C18" s="18">
        <f>(4906.0/B18*100)</f>
        <v/>
      </c>
      <c r="D18" s="19" t="n">
        <v>626</v>
      </c>
      <c r="E18" s="18" t="n">
        <v>65.153119</v>
      </c>
      <c r="F18" s="20" t="n">
        <v>1.93823157</v>
      </c>
      <c r="G18" s="18" t="n">
        <v>33.69445306</v>
      </c>
      <c r="H18" s="20" t="n">
        <v>1.96495937</v>
      </c>
      <c r="I18" s="18" t="n">
        <v>0</v>
      </c>
      <c r="J18" s="20" t="n">
        <v>0</v>
      </c>
      <c r="K18" s="18" t="n">
        <v>0.26243745</v>
      </c>
      <c r="L18" s="20" t="n">
        <v>0.26029619</v>
      </c>
      <c r="M18" s="18" t="n">
        <v>0</v>
      </c>
      <c r="N18" s="20" t="n">
        <v>0</v>
      </c>
      <c r="O18" s="18" t="n">
        <v>0</v>
      </c>
      <c r="P18" s="20" t="n">
        <v>0</v>
      </c>
      <c r="Q18" s="18" t="n">
        <v>0.88999049</v>
      </c>
      <c r="R18" s="20" t="n">
        <v>0.48320688</v>
      </c>
    </row>
    <row r="19" spans="1:18">
      <c r="A19" s="15" t="s">
        <v>577</v>
      </c>
      <c r="B19" s="17" t="n">
        <v>5658</v>
      </c>
      <c r="C19" s="18">
        <f>(5066.0/B19*100)</f>
        <v/>
      </c>
      <c r="D19" s="19" t="n">
        <v>592</v>
      </c>
      <c r="E19" s="18" t="n">
        <v>54.77154947</v>
      </c>
      <c r="F19" s="20" t="n">
        <v>2.11681474</v>
      </c>
      <c r="G19" s="18" t="n">
        <v>44.88838013</v>
      </c>
      <c r="H19" s="20" t="n">
        <v>2.08388187</v>
      </c>
      <c r="I19" s="18" t="n">
        <v>0</v>
      </c>
      <c r="J19" s="20" t="n">
        <v>0</v>
      </c>
      <c r="K19" s="18" t="n">
        <v>0</v>
      </c>
      <c r="L19" s="20" t="n">
        <v>0</v>
      </c>
      <c r="M19" s="18" t="n">
        <v>0</v>
      </c>
      <c r="N19" s="20" t="n">
        <v>0</v>
      </c>
      <c r="O19" s="18" t="n">
        <v>0</v>
      </c>
      <c r="P19" s="20" t="n">
        <v>0</v>
      </c>
      <c r="Q19" s="18" t="n">
        <v>0.3400704</v>
      </c>
      <c r="R19" s="20" t="n">
        <v>0.21731982</v>
      </c>
    </row>
    <row r="20" spans="1:18">
      <c r="A20" s="15" t="s">
        <v>578</v>
      </c>
      <c r="B20" s="17" t="n">
        <v>3371</v>
      </c>
      <c r="C20" s="18">
        <f>(2998.0/B20*100)</f>
        <v/>
      </c>
      <c r="D20" s="19" t="n">
        <v>373</v>
      </c>
      <c r="E20" s="18" t="n">
        <v>47.92223958</v>
      </c>
      <c r="F20" s="20" t="n">
        <v>2.5295795</v>
      </c>
      <c r="G20" s="18" t="n">
        <v>50.42097536</v>
      </c>
      <c r="H20" s="20" t="n">
        <v>2.56334319</v>
      </c>
      <c r="I20" s="18" t="n">
        <v>0</v>
      </c>
      <c r="J20" s="20" t="n">
        <v>0</v>
      </c>
      <c r="K20" s="18" t="n">
        <v>0.79050318</v>
      </c>
      <c r="L20" s="20" t="n">
        <v>0.45600662</v>
      </c>
      <c r="M20" s="18" t="n">
        <v>0</v>
      </c>
      <c r="N20" s="20" t="n">
        <v>0</v>
      </c>
      <c r="O20" s="18" t="n">
        <v>0</v>
      </c>
      <c r="P20" s="20" t="n">
        <v>0</v>
      </c>
      <c r="Q20" s="18" t="n">
        <v>0.86628187</v>
      </c>
      <c r="R20" s="20" t="n">
        <v>0.50968008</v>
      </c>
    </row>
    <row r="21" spans="1:18">
      <c r="A21" s="15" t="s">
        <v>579</v>
      </c>
      <c r="B21" s="17" t="n">
        <v>5741</v>
      </c>
      <c r="C21" s="18">
        <f>(5124.0/B21*100)</f>
        <v/>
      </c>
      <c r="D21" s="19" t="n">
        <v>617</v>
      </c>
      <c r="E21" s="18" t="n">
        <v>50.84741258</v>
      </c>
      <c r="F21" s="20" t="n">
        <v>1.79831924</v>
      </c>
      <c r="G21" s="18" t="n">
        <v>48.91435688</v>
      </c>
      <c r="H21" s="20" t="n">
        <v>1.80385136</v>
      </c>
      <c r="I21" s="18" t="n">
        <v>0</v>
      </c>
      <c r="J21" s="20" t="n">
        <v>0</v>
      </c>
      <c r="K21" s="18" t="n">
        <v>0</v>
      </c>
      <c r="L21" s="20" t="n">
        <v>0</v>
      </c>
      <c r="M21" s="18" t="n">
        <v>0</v>
      </c>
      <c r="N21" s="20" t="n">
        <v>0</v>
      </c>
      <c r="O21" s="18" t="n">
        <v>0</v>
      </c>
      <c r="P21" s="20" t="n">
        <v>0</v>
      </c>
      <c r="Q21" s="18" t="n">
        <v>0.23823054</v>
      </c>
      <c r="R21" s="20" t="n">
        <v>0.22883945</v>
      </c>
    </row>
    <row r="22" spans="1:18">
      <c r="A22" s="15" t="s">
        <v>580</v>
      </c>
      <c r="B22" s="17" t="n">
        <v>6598</v>
      </c>
      <c r="C22" s="18">
        <f>(5899.0/B22*100)</f>
        <v/>
      </c>
      <c r="D22" s="19" t="n">
        <v>699</v>
      </c>
      <c r="E22" s="18" t="n">
        <v>51.53656634</v>
      </c>
      <c r="F22" s="20" t="n">
        <v>2.12005334</v>
      </c>
      <c r="G22" s="18" t="n">
        <v>46.92261441</v>
      </c>
      <c r="H22" s="20" t="n">
        <v>2.24739233</v>
      </c>
      <c r="I22" s="18" t="n">
        <v>0</v>
      </c>
      <c r="J22" s="20" t="n">
        <v>0</v>
      </c>
      <c r="K22" s="18" t="n">
        <v>0.40619029</v>
      </c>
      <c r="L22" s="20" t="n">
        <v>0.2912879</v>
      </c>
      <c r="M22" s="18" t="n">
        <v>0</v>
      </c>
      <c r="N22" s="20" t="n">
        <v>0</v>
      </c>
      <c r="O22" s="18" t="n">
        <v>0</v>
      </c>
      <c r="P22" s="20" t="n">
        <v>0</v>
      </c>
      <c r="Q22" s="18" t="n">
        <v>1.13462896</v>
      </c>
      <c r="R22" s="20" t="n">
        <v>0.7133008199999999</v>
      </c>
    </row>
    <row r="23" spans="1:18">
      <c r="A23" s="15" t="s">
        <v>581</v>
      </c>
      <c r="B23" s="17" t="n">
        <v>11583</v>
      </c>
      <c r="C23" s="18">
        <f>(10320.0/B23*100)</f>
        <v/>
      </c>
      <c r="D23" s="19" t="n">
        <v>1263</v>
      </c>
      <c r="E23" s="18" t="n">
        <v>66.44408926</v>
      </c>
      <c r="F23" s="20" t="n">
        <v>1.9371658</v>
      </c>
      <c r="G23" s="18" t="n">
        <v>33.28728781</v>
      </c>
      <c r="H23" s="20" t="n">
        <v>1.93176266</v>
      </c>
      <c r="I23" s="18" t="n">
        <v>0</v>
      </c>
      <c r="J23" s="20" t="n">
        <v>0</v>
      </c>
      <c r="K23" s="18" t="n">
        <v>0.00221642</v>
      </c>
      <c r="L23" s="20" t="n">
        <v>0.00222729</v>
      </c>
      <c r="M23" s="18" t="n">
        <v>0</v>
      </c>
      <c r="N23" s="20" t="n">
        <v>0</v>
      </c>
      <c r="O23" s="18" t="n">
        <v>0</v>
      </c>
      <c r="P23" s="20" t="n">
        <v>0</v>
      </c>
      <c r="Q23" s="18" t="n">
        <v>0.26640651</v>
      </c>
      <c r="R23" s="20" t="n">
        <v>0.21556086</v>
      </c>
    </row>
    <row r="24" spans="1:18">
      <c r="A24" s="15" t="s">
        <v>582</v>
      </c>
      <c r="B24" s="17" t="n">
        <v>6647</v>
      </c>
      <c r="C24" s="18">
        <f>(5933.0/B24*100)</f>
        <v/>
      </c>
      <c r="D24" s="19" t="n">
        <v>714</v>
      </c>
      <c r="E24" s="18" t="n">
        <v>37.71603709</v>
      </c>
      <c r="F24" s="20" t="n">
        <v>1.84701185</v>
      </c>
      <c r="G24" s="18" t="n">
        <v>61.99485636</v>
      </c>
      <c r="H24" s="20" t="n">
        <v>1.83825161</v>
      </c>
      <c r="I24" s="18" t="n">
        <v>0</v>
      </c>
      <c r="J24" s="20" t="n">
        <v>0</v>
      </c>
      <c r="K24" s="18" t="n">
        <v>0</v>
      </c>
      <c r="L24" s="20" t="n">
        <v>0</v>
      </c>
      <c r="M24" s="18" t="n">
        <v>0</v>
      </c>
      <c r="N24" s="20" t="n">
        <v>0</v>
      </c>
      <c r="O24" s="18" t="n">
        <v>0</v>
      </c>
      <c r="P24" s="20" t="n">
        <v>0</v>
      </c>
      <c r="Q24" s="18" t="n">
        <v>0.28910655</v>
      </c>
      <c r="R24" s="20" t="n">
        <v>0.2068956</v>
      </c>
    </row>
    <row r="25" spans="1:18">
      <c r="A25" s="15" t="s">
        <v>583</v>
      </c>
      <c r="B25" s="17" t="n">
        <v>5581</v>
      </c>
      <c r="C25" s="18">
        <f>(4967.0/B25*100)</f>
        <v/>
      </c>
      <c r="D25" s="19" t="n">
        <v>614</v>
      </c>
      <c r="E25" s="18" t="n">
        <v>34.71831875</v>
      </c>
      <c r="F25" s="20" t="n">
        <v>2.0095076</v>
      </c>
      <c r="G25" s="18" t="n">
        <v>64.06425222</v>
      </c>
      <c r="H25" s="20" t="n">
        <v>2.09354014</v>
      </c>
      <c r="I25" s="18" t="n">
        <v>0</v>
      </c>
      <c r="J25" s="20" t="n">
        <v>0</v>
      </c>
      <c r="K25" s="18" t="n">
        <v>0</v>
      </c>
      <c r="L25" s="20" t="n">
        <v>0</v>
      </c>
      <c r="M25" s="18" t="n">
        <v>0</v>
      </c>
      <c r="N25" s="20" t="n">
        <v>0</v>
      </c>
      <c r="O25" s="18" t="n">
        <v>0</v>
      </c>
      <c r="P25" s="20" t="n">
        <v>0</v>
      </c>
      <c r="Q25" s="18" t="n">
        <v>1.21742903</v>
      </c>
      <c r="R25" s="20" t="n">
        <v>0.43841828</v>
      </c>
    </row>
    <row r="26" spans="1:18">
      <c r="A26" s="15" t="s">
        <v>584</v>
      </c>
      <c r="B26" s="17" t="n">
        <v>4869</v>
      </c>
      <c r="C26" s="18">
        <f>(4307.0/B26*100)</f>
        <v/>
      </c>
      <c r="D26" s="19" t="n">
        <v>562</v>
      </c>
      <c r="E26" s="18" t="n">
        <v>51.71714413</v>
      </c>
      <c r="F26" s="20" t="n">
        <v>2.55948729</v>
      </c>
      <c r="G26" s="18" t="n">
        <v>48.28285587</v>
      </c>
      <c r="H26" s="20" t="n">
        <v>2.55948729</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(4686.0/B27*100)</f>
        <v/>
      </c>
      <c r="D27" s="19" t="n">
        <v>613</v>
      </c>
      <c r="E27" s="18" t="n">
        <v>60.38117799</v>
      </c>
      <c r="F27" s="20" t="n">
        <v>1.81370889</v>
      </c>
      <c r="G27" s="18" t="n">
        <v>38.96598486</v>
      </c>
      <c r="H27" s="20" t="n">
        <v>1.80365611</v>
      </c>
      <c r="I27" s="18" t="n">
        <v>0</v>
      </c>
      <c r="J27" s="20" t="n">
        <v>0</v>
      </c>
      <c r="K27" s="18" t="n">
        <v>0.48666969</v>
      </c>
      <c r="L27" s="20" t="n">
        <v>0.28020825</v>
      </c>
      <c r="M27" s="18" t="n">
        <v>0</v>
      </c>
      <c r="N27" s="20" t="n">
        <v>0</v>
      </c>
      <c r="O27" s="18" t="n">
        <v>0</v>
      </c>
      <c r="P27" s="20" t="n">
        <v>0</v>
      </c>
      <c r="Q27" s="18" t="n">
        <v>0.16616746</v>
      </c>
      <c r="R27" s="20" t="n">
        <v>0.16605058</v>
      </c>
    </row>
    <row r="28" spans="1:18">
      <c r="A28" s="15" t="s">
        <v>586</v>
      </c>
      <c r="B28" s="17" t="n">
        <v>7568</v>
      </c>
      <c r="C28" s="18">
        <f>(6724.0/B28*100)</f>
        <v/>
      </c>
      <c r="D28" s="19" t="n">
        <v>844</v>
      </c>
      <c r="E28" s="18" t="n">
        <v>65.60476786</v>
      </c>
      <c r="F28" s="20" t="n">
        <v>1.86681582</v>
      </c>
      <c r="G28" s="18" t="n">
        <v>32.98446096</v>
      </c>
      <c r="H28" s="20" t="n">
        <v>1.82398007</v>
      </c>
      <c r="I28" s="18" t="n">
        <v>0</v>
      </c>
      <c r="J28" s="20" t="n">
        <v>0</v>
      </c>
      <c r="K28" s="18" t="n">
        <v>0.2664074</v>
      </c>
      <c r="L28" s="20" t="n">
        <v>0.22043401</v>
      </c>
      <c r="M28" s="18" t="n">
        <v>0</v>
      </c>
      <c r="N28" s="20" t="n">
        <v>0</v>
      </c>
      <c r="O28" s="18" t="n">
        <v>0</v>
      </c>
      <c r="P28" s="20" t="n">
        <v>0</v>
      </c>
      <c r="Q28" s="18" t="n">
        <v>1.14436378</v>
      </c>
      <c r="R28" s="20" t="n">
        <v>0.43506586</v>
      </c>
    </row>
    <row r="29" spans="1:18">
      <c r="A29" s="15" t="s">
        <v>587</v>
      </c>
      <c r="B29" s="17" t="n">
        <v>5385</v>
      </c>
      <c r="C29" s="18">
        <f>(4851.0/B29*100)</f>
        <v/>
      </c>
      <c r="D29" s="19" t="n">
        <v>534</v>
      </c>
      <c r="E29" s="18" t="n">
        <v>47.05723387</v>
      </c>
      <c r="F29" s="20" t="n">
        <v>2.1874773</v>
      </c>
      <c r="G29" s="18" t="n">
        <v>52.06299426</v>
      </c>
      <c r="H29" s="20" t="n">
        <v>2.16913344</v>
      </c>
      <c r="I29" s="18" t="n">
        <v>0</v>
      </c>
      <c r="J29" s="20" t="n">
        <v>0</v>
      </c>
      <c r="K29" s="18" t="n">
        <v>0.17061289</v>
      </c>
      <c r="L29" s="20" t="n">
        <v>0.16227445</v>
      </c>
      <c r="M29" s="18" t="n">
        <v>0</v>
      </c>
      <c r="N29" s="20" t="n">
        <v>0</v>
      </c>
      <c r="O29" s="18" t="n">
        <v>0</v>
      </c>
      <c r="P29" s="20" t="n">
        <v>0</v>
      </c>
      <c r="Q29" s="18" t="n">
        <v>0.7091589700000001</v>
      </c>
      <c r="R29" s="20" t="n">
        <v>0.36993421</v>
      </c>
    </row>
    <row r="30" spans="1:18">
      <c r="A30" s="15" t="s">
        <v>588</v>
      </c>
      <c r="B30" s="17" t="n">
        <v>4520</v>
      </c>
      <c r="C30" s="18">
        <f>(4005.0/B30*100)</f>
        <v/>
      </c>
      <c r="D30" s="19" t="n">
        <v>515</v>
      </c>
      <c r="E30" s="18" t="n">
        <v>42.2823905</v>
      </c>
      <c r="F30" s="20" t="n">
        <v>1.99248146</v>
      </c>
      <c r="G30" s="18" t="n">
        <v>56.22052413</v>
      </c>
      <c r="H30" s="20" t="n">
        <v>2.02072306</v>
      </c>
      <c r="I30" s="18" t="n">
        <v>0</v>
      </c>
      <c r="J30" s="20" t="n">
        <v>0</v>
      </c>
      <c r="K30" s="18" t="n">
        <v>0</v>
      </c>
      <c r="L30" s="20" t="n">
        <v>0</v>
      </c>
      <c r="M30" s="18" t="n">
        <v>0</v>
      </c>
      <c r="N30" s="20" t="n">
        <v>0</v>
      </c>
      <c r="O30" s="18" t="n">
        <v>0</v>
      </c>
      <c r="P30" s="20" t="n">
        <v>0</v>
      </c>
      <c r="Q30" s="18" t="n">
        <v>1.49708537</v>
      </c>
      <c r="R30" s="20" t="n">
        <v>0.44253862</v>
      </c>
    </row>
    <row r="31" spans="1:18">
      <c r="A31" s="15" t="s">
        <v>589</v>
      </c>
      <c r="B31" s="17" t="n">
        <v>5456</v>
      </c>
      <c r="C31" s="18">
        <f>(4847.0/B31*100)</f>
        <v/>
      </c>
      <c r="D31" s="19" t="n">
        <v>609</v>
      </c>
      <c r="E31" s="18" t="n">
        <v>55.19011224</v>
      </c>
      <c r="F31" s="20" t="n">
        <v>1.95628772</v>
      </c>
      <c r="G31" s="18" t="n">
        <v>44.68732792</v>
      </c>
      <c r="H31" s="20" t="n">
        <v>1.94807642</v>
      </c>
      <c r="I31" s="18" t="n">
        <v>0</v>
      </c>
      <c r="J31" s="20" t="n">
        <v>0</v>
      </c>
      <c r="K31" s="18" t="n">
        <v>0.12255983</v>
      </c>
      <c r="L31" s="20" t="n">
        <v>0.11800141</v>
      </c>
      <c r="M31" s="18" t="n">
        <v>0</v>
      </c>
      <c r="N31" s="20" t="n">
        <v>0</v>
      </c>
      <c r="O31" s="18" t="n">
        <v>0</v>
      </c>
      <c r="P31" s="20" t="n">
        <v>0</v>
      </c>
      <c r="Q31" s="18" t="n">
        <v>0</v>
      </c>
      <c r="R31" s="20" t="n">
        <v>0</v>
      </c>
    </row>
    <row r="32" spans="1:18">
      <c r="A32" s="15" t="s">
        <v>590</v>
      </c>
      <c r="B32" s="17" t="n">
        <v>4478</v>
      </c>
      <c r="C32" s="18">
        <f>(3997.0/B32*100)</f>
        <v/>
      </c>
      <c r="D32" s="19" t="n">
        <v>481</v>
      </c>
      <c r="E32" s="18" t="n">
        <v>50.36283437</v>
      </c>
      <c r="F32" s="20" t="n">
        <v>2.30243779</v>
      </c>
      <c r="G32" s="18" t="n">
        <v>49.63716563</v>
      </c>
      <c r="H32" s="20" t="n">
        <v>2.30243779</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(6500.0/B33*100)</f>
        <v/>
      </c>
      <c r="D33" s="19" t="n">
        <v>825</v>
      </c>
      <c r="E33" s="18" t="n">
        <v>66.65473519</v>
      </c>
      <c r="F33" s="20" t="n">
        <v>1.95325274</v>
      </c>
      <c r="G33" s="18" t="n">
        <v>32.57566451</v>
      </c>
      <c r="H33" s="20" t="n">
        <v>1.90399704</v>
      </c>
      <c r="I33" s="18" t="n">
        <v>0</v>
      </c>
      <c r="J33" s="20" t="n">
        <v>0</v>
      </c>
      <c r="K33" s="18" t="n">
        <v>0.26761592</v>
      </c>
      <c r="L33" s="20" t="n">
        <v>0.20050637</v>
      </c>
      <c r="M33" s="18" t="n">
        <v>0</v>
      </c>
      <c r="N33" s="20" t="n">
        <v>0</v>
      </c>
      <c r="O33" s="18" t="n">
        <v>0</v>
      </c>
      <c r="P33" s="20" t="n">
        <v>0</v>
      </c>
      <c r="Q33" s="18" t="n">
        <v>0.50198438</v>
      </c>
      <c r="R33" s="20" t="n">
        <v>0.19011063</v>
      </c>
    </row>
    <row r="34" spans="1:18">
      <c r="A34" s="15" t="s">
        <v>592</v>
      </c>
      <c r="B34" s="17" t="n">
        <v>6350</v>
      </c>
      <c r="C34" s="18">
        <f>(5668.0/B34*100)</f>
        <v/>
      </c>
      <c r="D34" s="19" t="n">
        <v>682</v>
      </c>
      <c r="E34" s="18" t="n">
        <v>54.58435757</v>
      </c>
      <c r="F34" s="20" t="n">
        <v>2.14531684</v>
      </c>
      <c r="G34" s="18" t="n">
        <v>45.12505751</v>
      </c>
      <c r="H34" s="20" t="n">
        <v>2.12373833</v>
      </c>
      <c r="I34" s="18" t="n">
        <v>0</v>
      </c>
      <c r="J34" s="20" t="n">
        <v>0</v>
      </c>
      <c r="K34" s="18" t="n">
        <v>0</v>
      </c>
      <c r="L34" s="20" t="n">
        <v>0</v>
      </c>
      <c r="M34" s="18" t="n">
        <v>0</v>
      </c>
      <c r="N34" s="20" t="n">
        <v>0</v>
      </c>
      <c r="O34" s="18" t="n">
        <v>0</v>
      </c>
      <c r="P34" s="20" t="n">
        <v>0</v>
      </c>
      <c r="Q34" s="18" t="n">
        <v>0.29058492</v>
      </c>
      <c r="R34" s="20" t="n">
        <v>0.17914706</v>
      </c>
    </row>
    <row r="35" spans="1:18">
      <c r="A35" s="15" t="s">
        <v>593</v>
      </c>
      <c r="B35" s="17" t="n">
        <v>6406</v>
      </c>
      <c r="C35" s="18">
        <f>(5721.0/B35*100)</f>
        <v/>
      </c>
      <c r="D35" s="19" t="n">
        <v>685</v>
      </c>
      <c r="E35" s="18" t="n">
        <v>45.5480532</v>
      </c>
      <c r="F35" s="20" t="n">
        <v>2.62758033</v>
      </c>
      <c r="G35" s="18" t="n">
        <v>54.37050091</v>
      </c>
      <c r="H35" s="20" t="n">
        <v>2.61243954</v>
      </c>
      <c r="I35" s="18" t="n">
        <v>0</v>
      </c>
      <c r="J35" s="20" t="n">
        <v>0</v>
      </c>
      <c r="K35" s="18" t="n">
        <v>0.08144589000000001</v>
      </c>
      <c r="L35" s="20" t="n">
        <v>0.08098076999999999</v>
      </c>
      <c r="M35" s="18" t="n">
        <v>0</v>
      </c>
      <c r="N35" s="20" t="n">
        <v>0</v>
      </c>
      <c r="O35" s="18" t="n">
        <v>0</v>
      </c>
      <c r="P35" s="20" t="n">
        <v>0</v>
      </c>
      <c r="Q35" s="18" t="n">
        <v>0</v>
      </c>
      <c r="R35" s="20" t="n">
        <v>0</v>
      </c>
    </row>
    <row r="36" spans="1:18">
      <c r="A36" s="15" t="s">
        <v>594</v>
      </c>
      <c r="B36" s="17" t="n">
        <v>6736</v>
      </c>
      <c r="C36" s="18">
        <f>(5931.0/B36*100)</f>
        <v/>
      </c>
      <c r="D36" s="19" t="n">
        <v>805</v>
      </c>
      <c r="E36" s="18" t="n">
        <v>60.08726965</v>
      </c>
      <c r="F36" s="20" t="n">
        <v>1.57671556</v>
      </c>
      <c r="G36" s="18" t="n">
        <v>38.60054514</v>
      </c>
      <c r="H36" s="20" t="n">
        <v>1.58528202</v>
      </c>
      <c r="I36" s="18" t="n">
        <v>0</v>
      </c>
      <c r="J36" s="20" t="n">
        <v>0</v>
      </c>
      <c r="K36" s="18" t="n">
        <v>0.5307416700000001</v>
      </c>
      <c r="L36" s="20" t="n">
        <v>0.27708441</v>
      </c>
      <c r="M36" s="18" t="n">
        <v>0</v>
      </c>
      <c r="N36" s="20" t="n">
        <v>0</v>
      </c>
      <c r="O36" s="18" t="n">
        <v>0</v>
      </c>
      <c r="P36" s="20" t="n">
        <v>0</v>
      </c>
      <c r="Q36" s="18" t="n">
        <v>0.78144354</v>
      </c>
      <c r="R36" s="20" t="n">
        <v>0.31695636</v>
      </c>
    </row>
    <row r="37" spans="1:18">
      <c r="A37" s="15" t="s">
        <v>595</v>
      </c>
      <c r="B37" s="17" t="n">
        <v>5458</v>
      </c>
      <c r="C37" s="18">
        <f>(4853.0/B37*100)</f>
        <v/>
      </c>
      <c r="D37" s="19" t="n">
        <v>605</v>
      </c>
      <c r="E37" s="18" t="n">
        <v>55.08532799</v>
      </c>
      <c r="F37" s="20" t="n">
        <v>2.11544432</v>
      </c>
      <c r="G37" s="18" t="n">
        <v>43.67261963</v>
      </c>
      <c r="H37" s="20" t="n">
        <v>2.11336864</v>
      </c>
      <c r="I37" s="18" t="n">
        <v>0</v>
      </c>
      <c r="J37" s="20" t="n">
        <v>0</v>
      </c>
      <c r="K37" s="18" t="n">
        <v>0</v>
      </c>
      <c r="L37" s="20" t="n">
        <v>0</v>
      </c>
      <c r="M37" s="18" t="n">
        <v>0</v>
      </c>
      <c r="N37" s="20" t="n">
        <v>0</v>
      </c>
      <c r="O37" s="18" t="n">
        <v>0</v>
      </c>
      <c r="P37" s="20" t="n">
        <v>0</v>
      </c>
      <c r="Q37" s="18" t="n">
        <v>1.24205238</v>
      </c>
      <c r="R37" s="20" t="n">
        <v>0.44484576</v>
      </c>
    </row>
    <row r="38" spans="1:18">
      <c r="A38" s="15" t="s">
        <v>596</v>
      </c>
      <c r="B38" s="17" t="n">
        <v>5860</v>
      </c>
      <c r="C38" s="18">
        <f>(5204.0/B38*100)</f>
        <v/>
      </c>
      <c r="D38" s="19" t="n">
        <v>656</v>
      </c>
      <c r="E38" s="18" t="n">
        <v>57.16407394</v>
      </c>
      <c r="F38" s="20" t="n">
        <v>2.41476412</v>
      </c>
      <c r="G38" s="18" t="n">
        <v>42.48033016</v>
      </c>
      <c r="H38" s="20" t="n">
        <v>2.41430665</v>
      </c>
      <c r="I38" s="18" t="n">
        <v>0</v>
      </c>
      <c r="J38" s="20" t="n">
        <v>0</v>
      </c>
      <c r="K38" s="18" t="n">
        <v>0</v>
      </c>
      <c r="L38" s="20" t="n">
        <v>0</v>
      </c>
      <c r="M38" s="18" t="n">
        <v>0</v>
      </c>
      <c r="N38" s="20" t="n">
        <v>0</v>
      </c>
      <c r="O38" s="18" t="n">
        <v>0</v>
      </c>
      <c r="P38" s="20" t="n">
        <v>0</v>
      </c>
      <c r="Q38" s="18" t="n">
        <v>0.3555959</v>
      </c>
      <c r="R38" s="20" t="n">
        <v>0.2039691</v>
      </c>
    </row>
    <row r="39" spans="1:18">
      <c r="A39" s="15" t="s">
        <v>597</v>
      </c>
      <c r="B39" s="17" t="n">
        <v>5895</v>
      </c>
      <c r="C39" s="18">
        <f>(5279.0/B39*100)</f>
        <v/>
      </c>
      <c r="D39" s="19" t="n">
        <v>616</v>
      </c>
      <c r="E39" s="18" t="n">
        <v>46.04611641</v>
      </c>
      <c r="F39" s="20" t="n">
        <v>2.39776873</v>
      </c>
      <c r="G39" s="18" t="n">
        <v>53.47978311</v>
      </c>
      <c r="H39" s="20" t="n">
        <v>2.33995898</v>
      </c>
      <c r="I39" s="18" t="n">
        <v>0</v>
      </c>
      <c r="J39" s="20" t="n">
        <v>0</v>
      </c>
      <c r="K39" s="18" t="n">
        <v>0</v>
      </c>
      <c r="L39" s="20" t="n">
        <v>0</v>
      </c>
      <c r="M39" s="18" t="n">
        <v>0</v>
      </c>
      <c r="N39" s="20" t="n">
        <v>0</v>
      </c>
      <c r="O39" s="18" t="n">
        <v>0</v>
      </c>
      <c r="P39" s="20" t="n">
        <v>0</v>
      </c>
      <c r="Q39" s="18" t="n">
        <v>0.47410048</v>
      </c>
      <c r="R39" s="20" t="n">
        <v>0.30606233</v>
      </c>
    </row>
    <row r="40" spans="1:18">
      <c r="A40" s="15" t="s">
        <v>598</v>
      </c>
      <c r="B40" s="17" t="n">
        <v>14157</v>
      </c>
      <c r="C40" s="18">
        <f>(12557.0/B40*100)</f>
        <v/>
      </c>
      <c r="D40" s="19" t="n">
        <v>1600</v>
      </c>
      <c r="E40" s="18" t="n">
        <v>51.3818994</v>
      </c>
      <c r="F40" s="20" t="n">
        <v>2.02292378</v>
      </c>
      <c r="G40" s="18" t="n">
        <v>48.19473506</v>
      </c>
      <c r="H40" s="20" t="n">
        <v>2.04246869</v>
      </c>
      <c r="I40" s="18" t="n">
        <v>0</v>
      </c>
      <c r="J40" s="20" t="n">
        <v>0</v>
      </c>
      <c r="K40" s="18" t="n">
        <v>0</v>
      </c>
      <c r="L40" s="20" t="n">
        <v>0</v>
      </c>
      <c r="M40" s="18" t="n">
        <v>0</v>
      </c>
      <c r="N40" s="20" t="n">
        <v>0</v>
      </c>
      <c r="O40" s="18" t="n">
        <v>0</v>
      </c>
      <c r="P40" s="20" t="n">
        <v>0</v>
      </c>
      <c r="Q40" s="18" t="n">
        <v>0.42336554</v>
      </c>
      <c r="R40" s="20" t="n">
        <v>0.25168551</v>
      </c>
    </row>
    <row r="41" spans="1:18">
      <c r="A41" s="15" t="s">
        <v>599</v>
      </c>
      <c r="B41" s="17" t="n">
        <v>5712</v>
      </c>
      <c r="C41" s="18">
        <f>(5051.0/B41*100)</f>
        <v/>
      </c>
      <c r="D41" s="19" t="n">
        <v>661</v>
      </c>
      <c r="E41" s="18" t="n">
        <v>46.56924726</v>
      </c>
      <c r="F41" s="20" t="n">
        <v>1.95843402</v>
      </c>
      <c r="G41" s="18" t="n">
        <v>52.09035997</v>
      </c>
      <c r="H41" s="20" t="n">
        <v>1.96983277</v>
      </c>
      <c r="I41" s="18" t="n">
        <v>0</v>
      </c>
      <c r="J41" s="20" t="n">
        <v>0</v>
      </c>
      <c r="K41" s="18" t="n">
        <v>0</v>
      </c>
      <c r="L41" s="20" t="n">
        <v>0</v>
      </c>
      <c r="M41" s="18" t="n">
        <v>0</v>
      </c>
      <c r="N41" s="20" t="n">
        <v>0</v>
      </c>
      <c r="O41" s="18" t="n">
        <v>0</v>
      </c>
      <c r="P41" s="20" t="n">
        <v>0</v>
      </c>
      <c r="Q41" s="18" t="n">
        <v>1.34039277</v>
      </c>
      <c r="R41" s="20" t="n">
        <v>0.5695236299999999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(20836.0/B46*100)</f>
        <v/>
      </c>
      <c r="D46" s="19" t="n">
        <v>2305</v>
      </c>
      <c r="E46" s="18" t="n">
        <v>65.47890107000001</v>
      </c>
      <c r="F46" s="20" t="n">
        <v>1.25016207</v>
      </c>
      <c r="G46" s="18" t="n">
        <v>31.19264948</v>
      </c>
      <c r="H46" s="20" t="n">
        <v>1.08920177</v>
      </c>
      <c r="I46" s="18" t="n">
        <v>0</v>
      </c>
      <c r="J46" s="20" t="n">
        <v>0</v>
      </c>
      <c r="K46" s="18" t="n">
        <v>0.34968435</v>
      </c>
      <c r="L46" s="20" t="n">
        <v>0.15031284</v>
      </c>
      <c r="M46" s="18" t="n">
        <v>0</v>
      </c>
      <c r="N46" s="20" t="n">
        <v>0</v>
      </c>
      <c r="O46" s="18" t="n">
        <v>0</v>
      </c>
      <c r="P46" s="20" t="n">
        <v>0</v>
      </c>
      <c r="Q46" s="18" t="n">
        <v>2.97876511</v>
      </c>
      <c r="R46" s="20" t="n">
        <v>0.49318741</v>
      </c>
    </row>
    <row r="47" spans="1:18">
      <c r="A47" s="15" t="s">
        <v>606</v>
      </c>
      <c r="B47" s="17" t="n">
        <v>5928</v>
      </c>
      <c r="C47" s="18">
        <f>(5268.0/B47*100)</f>
        <v/>
      </c>
      <c r="D47" s="19" t="n">
        <v>660</v>
      </c>
      <c r="E47" s="18" t="n">
        <v>49.87887062</v>
      </c>
      <c r="F47" s="20" t="n">
        <v>2.08002406</v>
      </c>
      <c r="G47" s="18" t="n">
        <v>48.7869363</v>
      </c>
      <c r="H47" s="20" t="n">
        <v>2.14663704</v>
      </c>
      <c r="I47" s="18" t="n">
        <v>0</v>
      </c>
      <c r="J47" s="20" t="n">
        <v>0</v>
      </c>
      <c r="K47" s="18" t="n">
        <v>0.28480972</v>
      </c>
      <c r="L47" s="20" t="n">
        <v>0.21749784</v>
      </c>
      <c r="M47" s="18" t="n">
        <v>0</v>
      </c>
      <c r="N47" s="20" t="n">
        <v>0</v>
      </c>
      <c r="O47" s="18" t="n">
        <v>0</v>
      </c>
      <c r="P47" s="20" t="n">
        <v>0</v>
      </c>
      <c r="Q47" s="18" t="n">
        <v>1.04938337</v>
      </c>
      <c r="R47" s="20" t="n">
        <v>0.39201762</v>
      </c>
    </row>
    <row r="48" spans="1:18">
      <c r="A48" s="15" t="s">
        <v>607</v>
      </c>
      <c r="B48" s="17" t="n">
        <v>9841</v>
      </c>
      <c r="C48" s="18">
        <f>(8742.0/B48*100)</f>
        <v/>
      </c>
      <c r="D48" s="19" t="n">
        <v>1099</v>
      </c>
      <c r="E48" s="18" t="n">
        <v>42.81029108</v>
      </c>
      <c r="F48" s="20" t="n">
        <v>2.18698198</v>
      </c>
      <c r="G48" s="18" t="n">
        <v>56.22527995</v>
      </c>
      <c r="H48" s="20" t="n">
        <v>2.16649241</v>
      </c>
      <c r="I48" s="18" t="n">
        <v>0</v>
      </c>
      <c r="J48" s="20" t="n">
        <v>0</v>
      </c>
      <c r="K48" s="18" t="n">
        <v>0.19026868</v>
      </c>
      <c r="L48" s="20" t="n">
        <v>0.22610984</v>
      </c>
      <c r="M48" s="18" t="n">
        <v>0</v>
      </c>
      <c r="N48" s="20" t="n">
        <v>0</v>
      </c>
      <c r="O48" s="18" t="n">
        <v>0</v>
      </c>
      <c r="P48" s="20" t="n">
        <v>0</v>
      </c>
      <c r="Q48" s="18" t="n">
        <v>0.77416028</v>
      </c>
      <c r="R48" s="20" t="n">
        <v>0.33687877</v>
      </c>
    </row>
    <row r="49" spans="1:18">
      <c r="A49" s="15" t="s">
        <v>608</v>
      </c>
      <c r="B49" s="17" t="n">
        <v>11795</v>
      </c>
      <c r="C49" s="18">
        <f>(10512.0/B49*100)</f>
        <v/>
      </c>
      <c r="D49" s="19" t="n">
        <v>1283</v>
      </c>
      <c r="E49" s="18" t="n">
        <v>72.23907034</v>
      </c>
      <c r="F49" s="20" t="n">
        <v>1.64571969</v>
      </c>
      <c r="G49" s="18" t="n">
        <v>26.77009731</v>
      </c>
      <c r="H49" s="20" t="n">
        <v>1.59898566</v>
      </c>
      <c r="I49" s="18" t="n">
        <v>0</v>
      </c>
      <c r="J49" s="20" t="n">
        <v>0</v>
      </c>
      <c r="K49" s="18" t="n">
        <v>0.36130941</v>
      </c>
      <c r="L49" s="20" t="n">
        <v>0.2595008</v>
      </c>
      <c r="M49" s="18" t="n">
        <v>0</v>
      </c>
      <c r="N49" s="20" t="n">
        <v>0</v>
      </c>
      <c r="O49" s="18" t="n">
        <v>0</v>
      </c>
      <c r="P49" s="20" t="n">
        <v>0</v>
      </c>
      <c r="Q49" s="18" t="n">
        <v>0.62952294</v>
      </c>
      <c r="R49" s="20" t="n">
        <v>0.32692076</v>
      </c>
    </row>
    <row r="50" spans="1:18">
      <c r="A50" s="15" t="s">
        <v>609</v>
      </c>
      <c r="B50" s="17" t="n">
        <v>6866</v>
      </c>
      <c r="C50" s="18">
        <f>(6181.0/B50*100)</f>
        <v/>
      </c>
      <c r="D50" s="19" t="n">
        <v>685</v>
      </c>
      <c r="E50" s="18" t="n">
        <v>62.78157373</v>
      </c>
      <c r="F50" s="20" t="n">
        <v>2.06235214</v>
      </c>
      <c r="G50" s="18" t="n">
        <v>34.81714603</v>
      </c>
      <c r="H50" s="20" t="n">
        <v>2.04832254</v>
      </c>
      <c r="I50" s="18" t="n">
        <v>0</v>
      </c>
      <c r="J50" s="20" t="n">
        <v>0</v>
      </c>
      <c r="K50" s="18" t="n">
        <v>0.30064884</v>
      </c>
      <c r="L50" s="20" t="n">
        <v>0.21022198</v>
      </c>
      <c r="M50" s="18" t="n">
        <v>0</v>
      </c>
      <c r="N50" s="20" t="n">
        <v>0</v>
      </c>
      <c r="O50" s="18" t="n">
        <v>0</v>
      </c>
      <c r="P50" s="20" t="n">
        <v>0</v>
      </c>
      <c r="Q50" s="18" t="n">
        <v>2.1006314</v>
      </c>
      <c r="R50" s="20" t="n">
        <v>0.48576279</v>
      </c>
    </row>
    <row r="51" spans="1:18">
      <c r="A51" s="15" t="s">
        <v>610</v>
      </c>
      <c r="B51" s="17" t="n">
        <v>5809</v>
      </c>
      <c r="C51" s="18">
        <f>(5190.0/B51*100)</f>
        <v/>
      </c>
      <c r="D51" s="19" t="n">
        <v>619</v>
      </c>
      <c r="E51" s="18" t="n">
        <v>50.07971365</v>
      </c>
      <c r="F51" s="20" t="n">
        <v>1.84860192</v>
      </c>
      <c r="G51" s="18" t="n">
        <v>49.31213785</v>
      </c>
      <c r="H51" s="20" t="n">
        <v>1.81009997</v>
      </c>
      <c r="I51" s="18" t="n">
        <v>0</v>
      </c>
      <c r="J51" s="20" t="n">
        <v>0</v>
      </c>
      <c r="K51" s="18" t="n">
        <v>0</v>
      </c>
      <c r="L51" s="20" t="n">
        <v>0</v>
      </c>
      <c r="M51" s="18" t="n">
        <v>0</v>
      </c>
      <c r="N51" s="20" t="n">
        <v>0</v>
      </c>
      <c r="O51" s="18" t="n">
        <v>0</v>
      </c>
      <c r="P51" s="20" t="n">
        <v>0</v>
      </c>
      <c r="Q51" s="18" t="n">
        <v>0.6081485</v>
      </c>
      <c r="R51" s="20" t="n">
        <v>0.22386787</v>
      </c>
    </row>
    <row r="52" spans="1:18">
      <c r="A52" s="15" t="s">
        <v>611</v>
      </c>
      <c r="B52" s="17" t="n">
        <v>5571</v>
      </c>
      <c r="C52" s="18">
        <f>(4947.0/B52*100)</f>
        <v/>
      </c>
      <c r="D52" s="19" t="n">
        <v>624</v>
      </c>
      <c r="E52" s="18" t="n">
        <v>62.88909929</v>
      </c>
      <c r="F52" s="20" t="n">
        <v>2.00252374</v>
      </c>
      <c r="G52" s="18" t="n">
        <v>35.55964494</v>
      </c>
      <c r="H52" s="20" t="n">
        <v>2.03977285</v>
      </c>
      <c r="I52" s="18" t="n">
        <v>0</v>
      </c>
      <c r="J52" s="20" t="n">
        <v>0</v>
      </c>
      <c r="K52" s="18" t="n">
        <v>0.11587058</v>
      </c>
      <c r="L52" s="20" t="n">
        <v>0.11615437</v>
      </c>
      <c r="M52" s="18" t="n">
        <v>0</v>
      </c>
      <c r="N52" s="20" t="n">
        <v>0</v>
      </c>
      <c r="O52" s="18" t="n">
        <v>0</v>
      </c>
      <c r="P52" s="20" t="n">
        <v>0</v>
      </c>
      <c r="Q52" s="18" t="n">
        <v>1.43538519</v>
      </c>
      <c r="R52" s="20" t="n">
        <v>0.44871649</v>
      </c>
    </row>
    <row r="53" spans="1:18">
      <c r="A53" s="15" t="s">
        <v>612</v>
      </c>
      <c r="B53" s="17" t="n">
        <v>4740</v>
      </c>
      <c r="C53" s="18">
        <f>(4218.0/B53*100)</f>
        <v/>
      </c>
      <c r="D53" s="19" t="n">
        <v>522</v>
      </c>
      <c r="E53" s="18" t="n">
        <v>56.22628055</v>
      </c>
      <c r="F53" s="20" t="n">
        <v>2.50899512</v>
      </c>
      <c r="G53" s="18" t="n">
        <v>31.86858363</v>
      </c>
      <c r="H53" s="20" t="n">
        <v>2.11415119</v>
      </c>
      <c r="I53" s="18" t="n">
        <v>0</v>
      </c>
      <c r="J53" s="20" t="n">
        <v>0</v>
      </c>
      <c r="K53" s="18" t="n">
        <v>9.00963441</v>
      </c>
      <c r="L53" s="20" t="n">
        <v>1.49000088</v>
      </c>
      <c r="M53" s="18" t="n">
        <v>0</v>
      </c>
      <c r="N53" s="20" t="n">
        <v>0</v>
      </c>
      <c r="O53" s="18" t="n">
        <v>0</v>
      </c>
      <c r="P53" s="20" t="n">
        <v>0</v>
      </c>
      <c r="Q53" s="18" t="n">
        <v>2.89550141</v>
      </c>
      <c r="R53" s="20" t="n">
        <v>1.12698319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(4794.0/B55*100)</f>
        <v/>
      </c>
      <c r="D55" s="19" t="n">
        <v>565</v>
      </c>
      <c r="E55" s="18" t="n">
        <v>36.98312969</v>
      </c>
      <c r="F55" s="20" t="n">
        <v>2.28861096</v>
      </c>
      <c r="G55" s="18" t="n">
        <v>62.84665539</v>
      </c>
      <c r="H55" s="20" t="n">
        <v>2.2943443</v>
      </c>
      <c r="I55" s="18" t="n">
        <v>0</v>
      </c>
      <c r="J55" s="20" t="n">
        <v>0</v>
      </c>
      <c r="K55" s="18" t="n">
        <v>0</v>
      </c>
      <c r="L55" s="20" t="n">
        <v>0</v>
      </c>
      <c r="M55" s="18" t="n">
        <v>0</v>
      </c>
      <c r="N55" s="20" t="n">
        <v>0</v>
      </c>
      <c r="O55" s="18" t="n">
        <v>0</v>
      </c>
      <c r="P55" s="20" t="n">
        <v>0</v>
      </c>
      <c r="Q55" s="18" t="n">
        <v>0.17021492</v>
      </c>
      <c r="R55" s="20" t="n">
        <v>0.16984429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(5830.0/B61*100)</f>
        <v/>
      </c>
      <c r="D61" s="19" t="n">
        <v>695</v>
      </c>
      <c r="E61" s="18" t="n">
        <v>55.63980519</v>
      </c>
      <c r="F61" s="20" t="n">
        <v>1.92969334</v>
      </c>
      <c r="G61" s="18" t="n">
        <v>43.77063456</v>
      </c>
      <c r="H61" s="20" t="n">
        <v>1.95735554</v>
      </c>
      <c r="I61" s="18" t="n">
        <v>0</v>
      </c>
      <c r="J61" s="20" t="n">
        <v>0</v>
      </c>
      <c r="K61" s="18" t="n">
        <v>0.4136408</v>
      </c>
      <c r="L61" s="20" t="n">
        <v>0.40871508</v>
      </c>
      <c r="M61" s="18" t="n">
        <v>0</v>
      </c>
      <c r="N61" s="20" t="n">
        <v>0</v>
      </c>
      <c r="O61" s="18" t="n">
        <v>0</v>
      </c>
      <c r="P61" s="20" t="n">
        <v>0</v>
      </c>
      <c r="Q61" s="18" t="n">
        <v>0.17591945</v>
      </c>
      <c r="R61" s="20" t="n">
        <v>0.11565747</v>
      </c>
    </row>
    <row r="62" spans="1:18">
      <c r="A62" s="15" t="s">
        <v>622</v>
      </c>
      <c r="B62" s="17" t="n">
        <v>4476</v>
      </c>
      <c r="C62" s="18">
        <f>(3951.0/B62*100)</f>
        <v/>
      </c>
      <c r="D62" s="19" t="n">
        <v>525</v>
      </c>
      <c r="E62" s="18" t="n">
        <v>43.23278049</v>
      </c>
      <c r="F62" s="20" t="n">
        <v>2.31187952</v>
      </c>
      <c r="G62" s="18" t="n">
        <v>56.76721951</v>
      </c>
      <c r="H62" s="20" t="n">
        <v>2.31187952</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(5054.0/B67*100)</f>
        <v/>
      </c>
      <c r="D67" s="19" t="n">
        <v>611</v>
      </c>
      <c r="E67" s="18" t="n">
        <v>61.3526141</v>
      </c>
      <c r="F67" s="20" t="n">
        <v>1.88788337</v>
      </c>
      <c r="G67" s="18" t="n">
        <v>36.11225901</v>
      </c>
      <c r="H67" s="20" t="n">
        <v>1.81042398</v>
      </c>
      <c r="I67" s="18" t="n">
        <v>0</v>
      </c>
      <c r="J67" s="20" t="n">
        <v>0</v>
      </c>
      <c r="K67" s="18" t="n">
        <v>0.35800056</v>
      </c>
      <c r="L67" s="20" t="n">
        <v>0.2550582</v>
      </c>
      <c r="M67" s="18" t="n">
        <v>0</v>
      </c>
      <c r="N67" s="20" t="n">
        <v>0</v>
      </c>
      <c r="O67" s="18" t="n">
        <v>0</v>
      </c>
      <c r="P67" s="20" t="n">
        <v>0</v>
      </c>
      <c r="Q67" s="18" t="n">
        <v>2.17712633</v>
      </c>
      <c r="R67" s="20" t="n">
        <v>0.57222666</v>
      </c>
    </row>
    <row r="68" spans="1:18">
      <c r="A68" s="15" t="s">
        <v>628</v>
      </c>
      <c r="B68" s="17" t="n">
        <v>6971</v>
      </c>
      <c r="C68" s="18">
        <f>(6241.0/B68*100)</f>
        <v/>
      </c>
      <c r="D68" s="19" t="n">
        <v>730</v>
      </c>
      <c r="E68" s="18" t="n">
        <v>70.86260582</v>
      </c>
      <c r="F68" s="20" t="n">
        <v>1.83837505</v>
      </c>
      <c r="G68" s="18" t="n">
        <v>27.30051321</v>
      </c>
      <c r="H68" s="20" t="n">
        <v>1.80898566</v>
      </c>
      <c r="I68" s="18" t="n">
        <v>0</v>
      </c>
      <c r="J68" s="20" t="n">
        <v>0</v>
      </c>
      <c r="K68" s="18" t="n">
        <v>0.18118602</v>
      </c>
      <c r="L68" s="20" t="n">
        <v>0.18072997</v>
      </c>
      <c r="M68" s="18" t="n">
        <v>0</v>
      </c>
      <c r="N68" s="20" t="n">
        <v>0</v>
      </c>
      <c r="O68" s="18" t="n">
        <v>0</v>
      </c>
      <c r="P68" s="20" t="n">
        <v>0</v>
      </c>
      <c r="Q68" s="18" t="n">
        <v>1.65569495</v>
      </c>
      <c r="R68" s="20" t="n">
        <v>0.51338819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(10735.0/B70*100)</f>
        <v/>
      </c>
      <c r="D70" s="19" t="n">
        <v>1348</v>
      </c>
      <c r="E70" s="18" t="n">
        <v>59.66235781</v>
      </c>
      <c r="F70" s="20" t="n">
        <v>1.51044294</v>
      </c>
      <c r="G70" s="18" t="n">
        <v>38.30883384</v>
      </c>
      <c r="H70" s="20" t="n">
        <v>1.3883046</v>
      </c>
      <c r="I70" s="18" t="n">
        <v>0</v>
      </c>
      <c r="J70" s="20" t="n">
        <v>0</v>
      </c>
      <c r="K70" s="18" t="n">
        <v>1.17559108</v>
      </c>
      <c r="L70" s="20" t="n">
        <v>0.3389676</v>
      </c>
      <c r="M70" s="18" t="n">
        <v>0</v>
      </c>
      <c r="N70" s="20" t="n">
        <v>0</v>
      </c>
      <c r="O70" s="18" t="n">
        <v>0</v>
      </c>
      <c r="P70" s="20" t="n">
        <v>0</v>
      </c>
      <c r="Q70" s="18" t="n">
        <v>0.85321728</v>
      </c>
      <c r="R70" s="20" t="n">
        <v>0.27655566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(5385.0/B72*100)</f>
        <v/>
      </c>
      <c r="D72" s="19" t="n">
        <v>651</v>
      </c>
      <c r="E72" s="18" t="n">
        <v>46.31913592</v>
      </c>
      <c r="F72" s="20" t="n">
        <v>2.20723417</v>
      </c>
      <c r="G72" s="18" t="n">
        <v>52.74495366</v>
      </c>
      <c r="H72" s="20" t="n">
        <v>2.23588209</v>
      </c>
      <c r="I72" s="18" t="n">
        <v>0</v>
      </c>
      <c r="J72" s="20" t="n">
        <v>0</v>
      </c>
      <c r="K72" s="18" t="n">
        <v>0</v>
      </c>
      <c r="L72" s="20" t="n">
        <v>0</v>
      </c>
      <c r="M72" s="18" t="n">
        <v>0</v>
      </c>
      <c r="N72" s="20" t="n">
        <v>0</v>
      </c>
      <c r="O72" s="18" t="n">
        <v>0</v>
      </c>
      <c r="P72" s="20" t="n">
        <v>0</v>
      </c>
      <c r="Q72" s="18" t="n">
        <v>0.93591042</v>
      </c>
      <c r="R72" s="20" t="n">
        <v>0.5281838</v>
      </c>
    </row>
    <row r="73" spans="1:18">
      <c r="A73" s="15" t="s">
        <v>633</v>
      </c>
      <c r="B73" s="17" t="n">
        <v>6115</v>
      </c>
      <c r="C73" s="18">
        <f>(5394.0/B73*100)</f>
        <v/>
      </c>
      <c r="D73" s="19" t="n">
        <v>721</v>
      </c>
      <c r="E73" s="18" t="n">
        <v>26.91628481</v>
      </c>
      <c r="F73" s="20" t="n">
        <v>1.74893373</v>
      </c>
      <c r="G73" s="18" t="n">
        <v>73.08371519000001</v>
      </c>
      <c r="H73" s="20" t="n">
        <v>1.74893373</v>
      </c>
      <c r="I73" s="18" t="n">
        <v>0</v>
      </c>
      <c r="J73" s="20" t="n">
        <v>0</v>
      </c>
      <c r="K73" s="18" t="n">
        <v>0</v>
      </c>
      <c r="L73" s="20" t="n">
        <v>0</v>
      </c>
      <c r="M73" s="18" t="n">
        <v>0</v>
      </c>
      <c r="N73" s="20" t="n">
        <v>0</v>
      </c>
      <c r="O73" s="18" t="n">
        <v>0</v>
      </c>
      <c r="P73" s="20" t="n">
        <v>0</v>
      </c>
      <c r="Q73" s="18" t="n">
        <v>0</v>
      </c>
      <c r="R73" s="20" t="n">
        <v>0</v>
      </c>
    </row>
    <row r="74" spans="1:18">
      <c r="A74" s="15" t="s">
        <v>634</v>
      </c>
      <c r="B74" s="17" t="n">
        <v>7708</v>
      </c>
      <c r="C74" s="18">
        <f>(6862.0/B74*100)</f>
        <v/>
      </c>
      <c r="D74" s="19" t="n">
        <v>846</v>
      </c>
      <c r="E74" s="18" t="n">
        <v>20.54056317</v>
      </c>
      <c r="F74" s="20" t="n">
        <v>1.31108024</v>
      </c>
      <c r="G74" s="18" t="n">
        <v>79.18197906</v>
      </c>
      <c r="H74" s="20" t="n">
        <v>1.30374508</v>
      </c>
      <c r="I74" s="18" t="n">
        <v>0</v>
      </c>
      <c r="J74" s="20" t="n">
        <v>0</v>
      </c>
      <c r="K74" s="18" t="n">
        <v>0.09812514999999999</v>
      </c>
      <c r="L74" s="20" t="n">
        <v>0.09838803</v>
      </c>
      <c r="M74" s="18" t="n">
        <v>0</v>
      </c>
      <c r="N74" s="20" t="n">
        <v>0</v>
      </c>
      <c r="O74" s="18" t="n">
        <v>0</v>
      </c>
      <c r="P74" s="20" t="n">
        <v>0</v>
      </c>
      <c r="Q74" s="18" t="n">
        <v>0.17933261</v>
      </c>
      <c r="R74" s="20" t="n">
        <v>0.17986684</v>
      </c>
    </row>
    <row r="75" spans="1:18">
      <c r="A75" s="15" t="s">
        <v>635</v>
      </c>
      <c r="B75" s="17" t="n">
        <v>8249</v>
      </c>
      <c r="C75" s="18">
        <f>(7365.0/B75*100)</f>
        <v/>
      </c>
      <c r="D75" s="19" t="n">
        <v>884</v>
      </c>
      <c r="E75" s="18" t="n">
        <v>60.70525534</v>
      </c>
      <c r="F75" s="20" t="n">
        <v>2.17293194</v>
      </c>
      <c r="G75" s="18" t="n">
        <v>38.88137127</v>
      </c>
      <c r="H75" s="20" t="n">
        <v>2.15727866</v>
      </c>
      <c r="I75" s="18" t="n">
        <v>0</v>
      </c>
      <c r="J75" s="20" t="n">
        <v>0</v>
      </c>
      <c r="K75" s="18" t="n">
        <v>0</v>
      </c>
      <c r="L75" s="20" t="n">
        <v>0</v>
      </c>
      <c r="M75" s="18" t="n">
        <v>0</v>
      </c>
      <c r="N75" s="20" t="n">
        <v>0</v>
      </c>
      <c r="O75" s="18" t="n">
        <v>0</v>
      </c>
      <c r="P75" s="20" t="n">
        <v>0</v>
      </c>
      <c r="Q75" s="18" t="n">
        <v>0.41337339</v>
      </c>
      <c r="R75" s="20" t="n">
        <v>0.26057166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(4809.0/B77*100)</f>
        <v/>
      </c>
      <c r="D77" s="19" t="n">
        <v>566</v>
      </c>
      <c r="E77" s="18" t="n">
        <v>69.95018849</v>
      </c>
      <c r="F77" s="20" t="n">
        <v>2.21770081</v>
      </c>
      <c r="G77" s="18" t="n">
        <v>27.42933496</v>
      </c>
      <c r="H77" s="20" t="n">
        <v>2.13116553</v>
      </c>
      <c r="I77" s="18" t="n">
        <v>0</v>
      </c>
      <c r="J77" s="20" t="n">
        <v>0</v>
      </c>
      <c r="K77" s="18" t="n">
        <v>1.26470603</v>
      </c>
      <c r="L77" s="20" t="n">
        <v>0.4870879</v>
      </c>
      <c r="M77" s="18" t="n">
        <v>0</v>
      </c>
      <c r="N77" s="20" t="n">
        <v>0</v>
      </c>
      <c r="O77" s="18" t="n">
        <v>0</v>
      </c>
      <c r="P77" s="20" t="n">
        <v>0</v>
      </c>
      <c r="Q77" s="18" t="n">
        <v>1.35577051</v>
      </c>
      <c r="R77" s="20" t="n">
        <v>0.52524628</v>
      </c>
    </row>
    <row r="78" spans="1:18">
      <c r="A78" s="15" t="s">
        <v>638</v>
      </c>
      <c r="B78" s="17" t="n">
        <v>14167</v>
      </c>
      <c r="C78" s="18">
        <f>(12610.0/B78*100)</f>
        <v/>
      </c>
      <c r="D78" s="19" t="n">
        <v>1557</v>
      </c>
      <c r="E78" s="18" t="n">
        <v>56.46233509</v>
      </c>
      <c r="F78" s="20" t="n">
        <v>1.69648642</v>
      </c>
      <c r="G78" s="18" t="n">
        <v>42.51433653</v>
      </c>
      <c r="H78" s="20" t="n">
        <v>1.70381351</v>
      </c>
      <c r="I78" s="18" t="n">
        <v>0</v>
      </c>
      <c r="J78" s="20" t="n">
        <v>0</v>
      </c>
      <c r="K78" s="18" t="n">
        <v>0.2652991</v>
      </c>
      <c r="L78" s="20" t="n">
        <v>0.12737447</v>
      </c>
      <c r="M78" s="18" t="n">
        <v>0</v>
      </c>
      <c r="N78" s="20" t="n">
        <v>0</v>
      </c>
      <c r="O78" s="18" t="n">
        <v>0</v>
      </c>
      <c r="P78" s="20" t="n">
        <v>0</v>
      </c>
      <c r="Q78" s="18" t="n">
        <v>0.75802928</v>
      </c>
      <c r="R78" s="20" t="n">
        <v>0.2836819</v>
      </c>
    </row>
    <row r="79" spans="1:18">
      <c r="A79" s="15" t="s">
        <v>639</v>
      </c>
      <c r="B79" s="17" t="n">
        <v>6062</v>
      </c>
      <c r="C79" s="18">
        <f>(5417.0/B79*100)</f>
        <v/>
      </c>
      <c r="D79" s="19" t="n">
        <v>645</v>
      </c>
      <c r="E79" s="18" t="n">
        <v>65.89231939</v>
      </c>
      <c r="F79" s="20" t="n">
        <v>1.81958328</v>
      </c>
      <c r="G79" s="18" t="n">
        <v>31.02193641</v>
      </c>
      <c r="H79" s="20" t="n">
        <v>1.75281229</v>
      </c>
      <c r="I79" s="18" t="n">
        <v>0</v>
      </c>
      <c r="J79" s="20" t="n">
        <v>0</v>
      </c>
      <c r="K79" s="18" t="n">
        <v>0.77436731</v>
      </c>
      <c r="L79" s="20" t="n">
        <v>0.28419058</v>
      </c>
      <c r="M79" s="18" t="n">
        <v>0</v>
      </c>
      <c r="N79" s="20" t="n">
        <v>0</v>
      </c>
      <c r="O79" s="18" t="n">
        <v>0</v>
      </c>
      <c r="P79" s="20" t="n">
        <v>0</v>
      </c>
      <c r="Q79" s="18" t="n">
        <v>2.31137689</v>
      </c>
      <c r="R79" s="20" t="n">
        <v>0.69543344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(28706.0/B82*100)</f>
        <v/>
      </c>
      <c r="D82" s="19" t="n">
        <v>3624</v>
      </c>
      <c r="E82" s="18" t="n">
        <v>60.81093126</v>
      </c>
      <c r="F82" s="20" t="n">
        <v>1.16392666</v>
      </c>
      <c r="G82" s="18" t="n">
        <v>38.35522684</v>
      </c>
      <c r="H82" s="20" t="n">
        <v>1.22116823</v>
      </c>
      <c r="I82" s="18" t="n">
        <v>0</v>
      </c>
      <c r="J82" s="20" t="n">
        <v>0</v>
      </c>
      <c r="K82" s="18" t="n">
        <v>0.11685027</v>
      </c>
      <c r="L82" s="20" t="n">
        <v>0.07243541000000001</v>
      </c>
      <c r="M82" s="18" t="n">
        <v>0</v>
      </c>
      <c r="N82" s="20" t="n">
        <v>0</v>
      </c>
      <c r="O82" s="18" t="n">
        <v>0</v>
      </c>
      <c r="P82" s="20" t="n">
        <v>0</v>
      </c>
      <c r="Q82" s="18" t="n">
        <v>0.7169916200000001</v>
      </c>
      <c r="R82" s="20" t="n">
        <v>0.22071325</v>
      </c>
    </row>
    <row r="83" spans="1:18">
      <c r="A83" s="15" t="s">
        <v>643</v>
      </c>
      <c r="B83" s="17" t="n">
        <v>1652</v>
      </c>
      <c r="C83" s="18">
        <f>(1473.0/B83*100)</f>
        <v/>
      </c>
      <c r="D83" s="19" t="n">
        <v>179</v>
      </c>
      <c r="E83" s="18" t="n">
        <v>43.14870404</v>
      </c>
      <c r="F83" s="20" t="n">
        <v>2.77402089</v>
      </c>
      <c r="G83" s="18" t="n">
        <v>56.85129596</v>
      </c>
      <c r="H83" s="20" t="n">
        <v>2.77402089</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(1688.0/B84*100)</f>
        <v/>
      </c>
      <c r="D84" s="19" t="n">
        <v>199</v>
      </c>
      <c r="E84" s="18" t="n">
        <v>44.68563888</v>
      </c>
      <c r="F84" s="20" t="n">
        <v>3.6503668</v>
      </c>
      <c r="G84" s="18" t="n">
        <v>54.46383467</v>
      </c>
      <c r="H84" s="20" t="n">
        <v>3.57683523</v>
      </c>
      <c r="I84" s="18" t="n">
        <v>0</v>
      </c>
      <c r="J84" s="20" t="n">
        <v>0</v>
      </c>
      <c r="K84" s="18" t="n">
        <v>0</v>
      </c>
      <c r="L84" s="20" t="n">
        <v>0</v>
      </c>
      <c r="M84" s="18" t="n">
        <v>0</v>
      </c>
      <c r="N84" s="20" t="n">
        <v>0</v>
      </c>
      <c r="O84" s="18" t="n">
        <v>0</v>
      </c>
      <c r="P84" s="20" t="n">
        <v>0</v>
      </c>
      <c r="Q84" s="18" t="n">
        <v>0.85052646</v>
      </c>
      <c r="R84" s="20" t="n">
        <v>0.61382496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68.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729</v>
      </c>
    </row>
    <row customHeight="1" ht="30" r="4" spans="1:20">
      <c r="A4" s="6" t="n"/>
      <c r="B4" s="7" t="s">
        <v>551</v>
      </c>
      <c r="C4" s="7" t="s">
        <v>552</v>
      </c>
      <c r="D4" s="8" t="s">
        <v>551</v>
      </c>
      <c r="E4" s="9" t="s">
        <v>655</v>
      </c>
      <c r="F4" s="10" t="n"/>
      <c r="G4" s="9" t="s">
        <v>657</v>
      </c>
      <c r="H4" s="10" t="n"/>
      <c r="I4" s="9" t="s">
        <v>658</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(12939.0/B7*100)</f>
        <v/>
      </c>
      <c r="D7" s="19" t="n">
        <v>1591</v>
      </c>
      <c r="E7" s="18" t="n">
        <v>54.36536862</v>
      </c>
      <c r="F7" s="20" t="n">
        <v>1.52677757</v>
      </c>
      <c r="G7" s="18" t="n">
        <v>37.48989424</v>
      </c>
      <c r="H7" s="20" t="n">
        <v>1.35239751</v>
      </c>
      <c r="I7" s="18" t="n">
        <v>1.72417912</v>
      </c>
      <c r="J7" s="20" t="n">
        <v>0.32347895</v>
      </c>
      <c r="K7" s="18" t="n">
        <v>0</v>
      </c>
      <c r="L7" s="20" t="n">
        <v>0</v>
      </c>
      <c r="M7" s="18" t="n">
        <v>0.09430638</v>
      </c>
      <c r="N7" s="20" t="n">
        <v>0.08718879</v>
      </c>
      <c r="O7" s="18" t="n">
        <v>0.01644088</v>
      </c>
      <c r="P7" s="20" t="n">
        <v>0.01169839</v>
      </c>
      <c r="Q7" s="18" t="n">
        <v>0</v>
      </c>
      <c r="R7" s="20" t="n">
        <v>0</v>
      </c>
      <c r="S7" s="18" t="n">
        <v>6.30981077</v>
      </c>
      <c r="T7" s="20" t="n">
        <v>0.77003181</v>
      </c>
    </row>
    <row r="8" spans="1:20">
      <c r="A8" s="15" t="s">
        <v>566</v>
      </c>
      <c r="B8" s="17" t="n">
        <v>7007</v>
      </c>
      <c r="C8" s="18">
        <f>(6258.0/B8*100)</f>
        <v/>
      </c>
      <c r="D8" s="19" t="n">
        <v>749</v>
      </c>
      <c r="E8" s="18" t="n">
        <v>40.5533323</v>
      </c>
      <c r="F8" s="20" t="n">
        <v>2.0319331</v>
      </c>
      <c r="G8" s="18" t="n">
        <v>48.85672357</v>
      </c>
      <c r="H8" s="20" t="n">
        <v>2.10435791</v>
      </c>
      <c r="I8" s="18" t="n">
        <v>1.81179202</v>
      </c>
      <c r="J8" s="20" t="n">
        <v>0.51023679</v>
      </c>
      <c r="K8" s="18" t="n">
        <v>0</v>
      </c>
      <c r="L8" s="20" t="n">
        <v>0</v>
      </c>
      <c r="M8" s="18" t="n">
        <v>0.05034584</v>
      </c>
      <c r="N8" s="20" t="n">
        <v>0.05037408</v>
      </c>
      <c r="O8" s="18" t="n">
        <v>0</v>
      </c>
      <c r="P8" s="20" t="n">
        <v>0</v>
      </c>
      <c r="Q8" s="18" t="n">
        <v>0</v>
      </c>
      <c r="R8" s="20" t="n">
        <v>0</v>
      </c>
      <c r="S8" s="18" t="n">
        <v>8.727806279999999</v>
      </c>
      <c r="T8" s="20" t="n">
        <v>1.12028025</v>
      </c>
    </row>
    <row r="9" spans="1:20">
      <c r="A9" s="15" t="s">
        <v>567</v>
      </c>
      <c r="B9" s="17" t="n">
        <v>9651</v>
      </c>
      <c r="C9" s="18">
        <f>(8633.0/B9*100)</f>
        <v/>
      </c>
      <c r="D9" s="19" t="n">
        <v>1018</v>
      </c>
      <c r="E9" s="18" t="n">
        <v>52.02690627</v>
      </c>
      <c r="F9" s="20" t="n">
        <v>1.98469694</v>
      </c>
      <c r="G9" s="18" t="n">
        <v>37.98563785</v>
      </c>
      <c r="H9" s="20" t="n">
        <v>1.77090671</v>
      </c>
      <c r="I9" s="18" t="n">
        <v>2.64599535</v>
      </c>
      <c r="J9" s="20" t="n">
        <v>0.48767304</v>
      </c>
      <c r="K9" s="18" t="n">
        <v>0</v>
      </c>
      <c r="L9" s="20" t="n">
        <v>0</v>
      </c>
      <c r="M9" s="18" t="n">
        <v>0.14881091</v>
      </c>
      <c r="N9" s="20" t="n">
        <v>0.13911617</v>
      </c>
      <c r="O9" s="18" t="n">
        <v>0.07914481</v>
      </c>
      <c r="P9" s="20" t="n">
        <v>0.07688866</v>
      </c>
      <c r="Q9" s="18" t="n">
        <v>0</v>
      </c>
      <c r="R9" s="20" t="n">
        <v>0</v>
      </c>
      <c r="S9" s="18" t="n">
        <v>7.1135048</v>
      </c>
      <c r="T9" s="20" t="n">
        <v>0.99470995</v>
      </c>
    </row>
    <row r="10" spans="1:20">
      <c r="A10" s="15" t="s">
        <v>568</v>
      </c>
      <c r="B10" s="17" t="n">
        <v>20058</v>
      </c>
      <c r="C10" s="18">
        <f>(17796.0/B10*100)</f>
        <v/>
      </c>
      <c r="D10" s="19" t="n">
        <v>2262</v>
      </c>
      <c r="E10" s="18" t="n">
        <v>55.69749077</v>
      </c>
      <c r="F10" s="20" t="n">
        <v>1.63278271</v>
      </c>
      <c r="G10" s="18" t="n">
        <v>38.35126407</v>
      </c>
      <c r="H10" s="20" t="n">
        <v>1.53173408</v>
      </c>
      <c r="I10" s="18" t="n">
        <v>1.98344226</v>
      </c>
      <c r="J10" s="20" t="n">
        <v>0.43697671</v>
      </c>
      <c r="K10" s="18" t="n">
        <v>0</v>
      </c>
      <c r="L10" s="20" t="n">
        <v>0</v>
      </c>
      <c r="M10" s="18" t="n">
        <v>0.21338533</v>
      </c>
      <c r="N10" s="20" t="n">
        <v>0.15513553</v>
      </c>
      <c r="O10" s="18" t="n">
        <v>0</v>
      </c>
      <c r="P10" s="20" t="n">
        <v>0</v>
      </c>
      <c r="Q10" s="18" t="n">
        <v>0</v>
      </c>
      <c r="R10" s="20" t="n">
        <v>0</v>
      </c>
      <c r="S10" s="18" t="n">
        <v>3.75441758</v>
      </c>
      <c r="T10" s="20" t="n">
        <v>0.48921528</v>
      </c>
    </row>
    <row r="11" spans="1:20">
      <c r="A11" s="15" t="s">
        <v>569</v>
      </c>
      <c r="B11" s="17" t="n">
        <v>7053</v>
      </c>
      <c r="C11" s="18">
        <f>(6254.0/B11*100)</f>
        <v/>
      </c>
      <c r="D11" s="19" t="n">
        <v>799</v>
      </c>
      <c r="E11" s="18" t="n">
        <v>57.28655502</v>
      </c>
      <c r="F11" s="20" t="n">
        <v>2.2015894</v>
      </c>
      <c r="G11" s="18" t="n">
        <v>14.01559204</v>
      </c>
      <c r="H11" s="20" t="n">
        <v>1.17875531</v>
      </c>
      <c r="I11" s="18" t="n">
        <v>12.46652857</v>
      </c>
      <c r="J11" s="20" t="n">
        <v>1.22375393</v>
      </c>
      <c r="K11" s="18" t="n">
        <v>0</v>
      </c>
      <c r="L11" s="20" t="n">
        <v>0</v>
      </c>
      <c r="M11" s="18" t="n">
        <v>1.02744827</v>
      </c>
      <c r="N11" s="20" t="n">
        <v>0.45762605</v>
      </c>
      <c r="O11" s="18" t="n">
        <v>0.01791849</v>
      </c>
      <c r="P11" s="20" t="n">
        <v>0.01815959</v>
      </c>
      <c r="Q11" s="18" t="n">
        <v>0</v>
      </c>
      <c r="R11" s="20" t="n">
        <v>0</v>
      </c>
      <c r="S11" s="18" t="n">
        <v>15.18595762</v>
      </c>
      <c r="T11" s="20" t="n">
        <v>1.48625212</v>
      </c>
    </row>
    <row r="12" spans="1:20">
      <c r="A12" s="15" t="s">
        <v>570</v>
      </c>
      <c r="B12" s="17" t="n">
        <v>6894</v>
      </c>
      <c r="C12" s="18">
        <f>(6117.0/B12*100)</f>
        <v/>
      </c>
      <c r="D12" s="19" t="n">
        <v>777</v>
      </c>
      <c r="E12" s="18" t="n">
        <v>46.36205913</v>
      </c>
      <c r="F12" s="20" t="n">
        <v>2.02410199</v>
      </c>
      <c r="G12" s="18" t="n">
        <v>41.96385523</v>
      </c>
      <c r="H12" s="20" t="n">
        <v>1.91018139</v>
      </c>
      <c r="I12" s="18" t="n">
        <v>3.38098529</v>
      </c>
      <c r="J12" s="20" t="n">
        <v>0.76259858</v>
      </c>
      <c r="K12" s="18" t="n">
        <v>0</v>
      </c>
      <c r="L12" s="20" t="n">
        <v>0</v>
      </c>
      <c r="M12" s="18" t="n">
        <v>0</v>
      </c>
      <c r="N12" s="20" t="n">
        <v>0</v>
      </c>
      <c r="O12" s="18" t="n">
        <v>0.12534377</v>
      </c>
      <c r="P12" s="20" t="n">
        <v>0.12521168</v>
      </c>
      <c r="Q12" s="18" t="n">
        <v>0</v>
      </c>
      <c r="R12" s="20" t="n">
        <v>0</v>
      </c>
      <c r="S12" s="18" t="n">
        <v>8.16775659</v>
      </c>
      <c r="T12" s="20" t="n">
        <v>1.06248226</v>
      </c>
    </row>
    <row r="13" spans="1:20">
      <c r="A13" s="15" t="s">
        <v>571</v>
      </c>
      <c r="B13" s="17" t="n">
        <v>7161</v>
      </c>
      <c r="C13" s="18">
        <f>(6455.0/B13*100)</f>
        <v/>
      </c>
      <c r="D13" s="19" t="n">
        <v>706</v>
      </c>
      <c r="E13" s="18" t="n">
        <v>43.14732832</v>
      </c>
      <c r="F13" s="20" t="n">
        <v>2.13974086</v>
      </c>
      <c r="G13" s="18" t="n">
        <v>46.36186893</v>
      </c>
      <c r="H13" s="20" t="n">
        <v>1.98139127</v>
      </c>
      <c r="I13" s="18" t="n">
        <v>3.07170919</v>
      </c>
      <c r="J13" s="20" t="n">
        <v>0.72873425</v>
      </c>
      <c r="K13" s="18" t="n">
        <v>0</v>
      </c>
      <c r="L13" s="20" t="n">
        <v>0</v>
      </c>
      <c r="M13" s="18" t="n">
        <v>0.24980946</v>
      </c>
      <c r="N13" s="20" t="n">
        <v>0.19235534</v>
      </c>
      <c r="O13" s="18" t="n">
        <v>0.03439037</v>
      </c>
      <c r="P13" s="20" t="n">
        <v>0.03454627</v>
      </c>
      <c r="Q13" s="18" t="n">
        <v>0</v>
      </c>
      <c r="R13" s="20" t="n">
        <v>0</v>
      </c>
      <c r="S13" s="18" t="n">
        <v>7.13489373</v>
      </c>
      <c r="T13" s="20" t="n">
        <v>1.15187467</v>
      </c>
    </row>
    <row r="14" spans="1:20">
      <c r="A14" s="15" t="s">
        <v>572</v>
      </c>
      <c r="B14" s="17" t="n">
        <v>5587</v>
      </c>
      <c r="C14" s="18">
        <f>(4938.0/B14*100)</f>
        <v/>
      </c>
      <c r="D14" s="19" t="n">
        <v>649</v>
      </c>
      <c r="E14" s="18" t="n">
        <v>49.35584042</v>
      </c>
      <c r="F14" s="20" t="n">
        <v>2.10752455</v>
      </c>
      <c r="G14" s="18" t="n">
        <v>40.24869256</v>
      </c>
      <c r="H14" s="20" t="n">
        <v>2.10616253</v>
      </c>
      <c r="I14" s="18" t="n">
        <v>6.86953851</v>
      </c>
      <c r="J14" s="20" t="n">
        <v>1.02022461</v>
      </c>
      <c r="K14" s="18" t="n">
        <v>0</v>
      </c>
      <c r="L14" s="20" t="n">
        <v>0</v>
      </c>
      <c r="M14" s="18" t="n">
        <v>0</v>
      </c>
      <c r="N14" s="20" t="n">
        <v>0</v>
      </c>
      <c r="O14" s="18" t="n">
        <v>0</v>
      </c>
      <c r="P14" s="20" t="n">
        <v>0</v>
      </c>
      <c r="Q14" s="18" t="n">
        <v>0</v>
      </c>
      <c r="R14" s="20" t="n">
        <v>0</v>
      </c>
      <c r="S14" s="18" t="n">
        <v>3.52592851</v>
      </c>
      <c r="T14" s="20" t="n">
        <v>0.69337448</v>
      </c>
    </row>
    <row r="15" spans="1:20">
      <c r="A15" s="15" t="s">
        <v>573</v>
      </c>
      <c r="B15" s="17" t="n">
        <v>5882</v>
      </c>
      <c r="C15" s="18">
        <f>(5238.0/B15*100)</f>
        <v/>
      </c>
      <c r="D15" s="19" t="n">
        <v>644</v>
      </c>
      <c r="E15" s="18" t="n">
        <v>41.6950262</v>
      </c>
      <c r="F15" s="20" t="n">
        <v>2.20907115</v>
      </c>
      <c r="G15" s="18" t="n">
        <v>52.53561347</v>
      </c>
      <c r="H15" s="20" t="n">
        <v>2.22213664</v>
      </c>
      <c r="I15" s="18" t="n">
        <v>1.83193362</v>
      </c>
      <c r="J15" s="20" t="n">
        <v>0.52862251</v>
      </c>
      <c r="K15" s="18" t="n">
        <v>0</v>
      </c>
      <c r="L15" s="20" t="n">
        <v>0</v>
      </c>
      <c r="M15" s="18" t="n">
        <v>0.06569068</v>
      </c>
      <c r="N15" s="20" t="n">
        <v>0.06569804999999999</v>
      </c>
      <c r="O15" s="18" t="n">
        <v>0.16865064</v>
      </c>
      <c r="P15" s="20" t="n">
        <v>0.17402783</v>
      </c>
      <c r="Q15" s="18" t="n">
        <v>0</v>
      </c>
      <c r="R15" s="20" t="n">
        <v>0</v>
      </c>
      <c r="S15" s="18" t="n">
        <v>3.70308539</v>
      </c>
      <c r="T15" s="20" t="n">
        <v>0.83790585</v>
      </c>
    </row>
    <row r="16" spans="1:20">
      <c r="A16" s="15" t="s">
        <v>574</v>
      </c>
      <c r="B16" s="17" t="n">
        <v>6108</v>
      </c>
      <c r="C16" s="18">
        <f>(5390.0/B16*100)</f>
        <v/>
      </c>
      <c r="D16" s="19" t="n">
        <v>718</v>
      </c>
      <c r="E16" s="18" t="n">
        <v>48.26321361</v>
      </c>
      <c r="F16" s="20" t="n">
        <v>1.93408235</v>
      </c>
      <c r="G16" s="18" t="n">
        <v>35.04836988</v>
      </c>
      <c r="H16" s="20" t="n">
        <v>1.8456428</v>
      </c>
      <c r="I16" s="18" t="n">
        <v>2.84605127</v>
      </c>
      <c r="J16" s="20" t="n">
        <v>0.58788105</v>
      </c>
      <c r="K16" s="18" t="n">
        <v>0</v>
      </c>
      <c r="L16" s="20" t="n">
        <v>0</v>
      </c>
      <c r="M16" s="18" t="n">
        <v>0.14124618</v>
      </c>
      <c r="N16" s="20" t="n">
        <v>0.1513781</v>
      </c>
      <c r="O16" s="18" t="n">
        <v>0</v>
      </c>
      <c r="P16" s="20" t="n">
        <v>0</v>
      </c>
      <c r="Q16" s="18" t="n">
        <v>0</v>
      </c>
      <c r="R16" s="20" t="n">
        <v>0</v>
      </c>
      <c r="S16" s="18" t="n">
        <v>13.70111906</v>
      </c>
      <c r="T16" s="20" t="n">
        <v>1.43719245</v>
      </c>
    </row>
    <row r="17" spans="1:20">
      <c r="A17" s="15" t="s">
        <v>575</v>
      </c>
      <c r="B17" s="17" t="n">
        <v>6504</v>
      </c>
      <c r="C17" s="18">
        <f>(5824.0/B17*100)</f>
        <v/>
      </c>
      <c r="D17" s="19" t="n">
        <v>680</v>
      </c>
      <c r="E17" s="18" t="n">
        <v>38.01151497</v>
      </c>
      <c r="F17" s="20" t="n">
        <v>1.84802851</v>
      </c>
      <c r="G17" s="18" t="n">
        <v>51.04693724</v>
      </c>
      <c r="H17" s="20" t="n">
        <v>1.84195803</v>
      </c>
      <c r="I17" s="18" t="n">
        <v>0.75567662</v>
      </c>
      <c r="J17" s="20" t="n">
        <v>0.29184978</v>
      </c>
      <c r="K17" s="18" t="n">
        <v>0</v>
      </c>
      <c r="L17" s="20" t="n">
        <v>0</v>
      </c>
      <c r="M17" s="18" t="n">
        <v>0.41586192</v>
      </c>
      <c r="N17" s="20" t="n">
        <v>0.20900097</v>
      </c>
      <c r="O17" s="18" t="n">
        <v>0</v>
      </c>
      <c r="P17" s="20" t="n">
        <v>0</v>
      </c>
      <c r="Q17" s="18" t="n">
        <v>0</v>
      </c>
      <c r="R17" s="20" t="n">
        <v>0</v>
      </c>
      <c r="S17" s="18" t="n">
        <v>9.77000924</v>
      </c>
      <c r="T17" s="20" t="n">
        <v>1.35088755</v>
      </c>
    </row>
    <row r="18" spans="1:20">
      <c r="A18" s="15" t="s">
        <v>576</v>
      </c>
      <c r="B18" s="17" t="n">
        <v>5532</v>
      </c>
      <c r="C18" s="18">
        <f>(4907.0/B18*100)</f>
        <v/>
      </c>
      <c r="D18" s="19" t="n">
        <v>625</v>
      </c>
      <c r="E18" s="18" t="n">
        <v>40.92316521</v>
      </c>
      <c r="F18" s="20" t="n">
        <v>2.06709505</v>
      </c>
      <c r="G18" s="18" t="n">
        <v>31.26421772</v>
      </c>
      <c r="H18" s="20" t="n">
        <v>1.66958601</v>
      </c>
      <c r="I18" s="18" t="n">
        <v>16.0009426</v>
      </c>
      <c r="J18" s="20" t="n">
        <v>1.51887326</v>
      </c>
      <c r="K18" s="18" t="n">
        <v>0</v>
      </c>
      <c r="L18" s="20" t="n">
        <v>0</v>
      </c>
      <c r="M18" s="18" t="n">
        <v>0.26281913</v>
      </c>
      <c r="N18" s="20" t="n">
        <v>0.26066159</v>
      </c>
      <c r="O18" s="18" t="n">
        <v>0</v>
      </c>
      <c r="P18" s="20" t="n">
        <v>0</v>
      </c>
      <c r="Q18" s="18" t="n">
        <v>0</v>
      </c>
      <c r="R18" s="20" t="n">
        <v>0</v>
      </c>
      <c r="S18" s="18" t="n">
        <v>11.54885533</v>
      </c>
      <c r="T18" s="20" t="n">
        <v>1.65293516</v>
      </c>
    </row>
    <row r="19" spans="1:20">
      <c r="A19" s="15" t="s">
        <v>577</v>
      </c>
      <c r="B19" s="17" t="n">
        <v>5658</v>
      </c>
      <c r="C19" s="18">
        <f>(5067.0/B19*100)</f>
        <v/>
      </c>
      <c r="D19" s="19" t="n">
        <v>591</v>
      </c>
      <c r="E19" s="18" t="n">
        <v>52.56086464</v>
      </c>
      <c r="F19" s="20" t="n">
        <v>1.95414815</v>
      </c>
      <c r="G19" s="18" t="n">
        <v>29.438041</v>
      </c>
      <c r="H19" s="20" t="n">
        <v>1.6756863</v>
      </c>
      <c r="I19" s="18" t="n">
        <v>4.21005602</v>
      </c>
      <c r="J19" s="20" t="n">
        <v>0.73944423</v>
      </c>
      <c r="K19" s="18" t="n">
        <v>0</v>
      </c>
      <c r="L19" s="20" t="n">
        <v>0</v>
      </c>
      <c r="M19" s="18" t="n">
        <v>0</v>
      </c>
      <c r="N19" s="20" t="n">
        <v>0</v>
      </c>
      <c r="O19" s="18" t="n">
        <v>0</v>
      </c>
      <c r="P19" s="20" t="n">
        <v>0</v>
      </c>
      <c r="Q19" s="18" t="n">
        <v>0</v>
      </c>
      <c r="R19" s="20" t="n">
        <v>0</v>
      </c>
      <c r="S19" s="18" t="n">
        <v>13.79103835</v>
      </c>
      <c r="T19" s="20" t="n">
        <v>1.529931</v>
      </c>
    </row>
    <row r="20" spans="1:20">
      <c r="A20" s="15" t="s">
        <v>578</v>
      </c>
      <c r="B20" s="17" t="n">
        <v>3371</v>
      </c>
      <c r="C20" s="18">
        <f>(2998.0/B20*100)</f>
        <v/>
      </c>
      <c r="D20" s="19" t="n">
        <v>373</v>
      </c>
      <c r="E20" s="18" t="n">
        <v>57.25249727</v>
      </c>
      <c r="F20" s="20" t="n">
        <v>2.34646805</v>
      </c>
      <c r="G20" s="18" t="n">
        <v>26.33120502</v>
      </c>
      <c r="H20" s="20" t="n">
        <v>2.52724803</v>
      </c>
      <c r="I20" s="18" t="n">
        <v>2.56702151</v>
      </c>
      <c r="J20" s="20" t="n">
        <v>0.87088621</v>
      </c>
      <c r="K20" s="18" t="n">
        <v>0</v>
      </c>
      <c r="L20" s="20" t="n">
        <v>0</v>
      </c>
      <c r="M20" s="18" t="n">
        <v>0.79050318</v>
      </c>
      <c r="N20" s="20" t="n">
        <v>0.45600662</v>
      </c>
      <c r="O20" s="18" t="n">
        <v>1.55164368</v>
      </c>
      <c r="P20" s="20" t="n">
        <v>0.43467888</v>
      </c>
      <c r="Q20" s="18" t="n">
        <v>0</v>
      </c>
      <c r="R20" s="20" t="n">
        <v>0</v>
      </c>
      <c r="S20" s="18" t="n">
        <v>11.50712933</v>
      </c>
      <c r="T20" s="20" t="n">
        <v>1.68365353</v>
      </c>
    </row>
    <row r="21" spans="1:20">
      <c r="A21" s="15" t="s">
        <v>579</v>
      </c>
      <c r="B21" s="17" t="n">
        <v>5741</v>
      </c>
      <c r="C21" s="18">
        <f>(5124.0/B21*100)</f>
        <v/>
      </c>
      <c r="D21" s="19" t="n">
        <v>617</v>
      </c>
      <c r="E21" s="18" t="n">
        <v>65.74253640000001</v>
      </c>
      <c r="F21" s="20" t="n">
        <v>1.85108039</v>
      </c>
      <c r="G21" s="18" t="n">
        <v>28.27912362</v>
      </c>
      <c r="H21" s="20" t="n">
        <v>1.89671482</v>
      </c>
      <c r="I21" s="18" t="n">
        <v>2.77772209</v>
      </c>
      <c r="J21" s="20" t="n">
        <v>0.75878853</v>
      </c>
      <c r="K21" s="18" t="n">
        <v>0</v>
      </c>
      <c r="L21" s="20" t="n">
        <v>0</v>
      </c>
      <c r="M21" s="18" t="n">
        <v>0.13937414</v>
      </c>
      <c r="N21" s="20" t="n">
        <v>0.10116371</v>
      </c>
      <c r="O21" s="18" t="n">
        <v>0</v>
      </c>
      <c r="P21" s="20" t="n">
        <v>0</v>
      </c>
      <c r="Q21" s="18" t="n">
        <v>0</v>
      </c>
      <c r="R21" s="20" t="n">
        <v>0</v>
      </c>
      <c r="S21" s="18" t="n">
        <v>3.06124374</v>
      </c>
      <c r="T21" s="20" t="n">
        <v>0.6555465700000001</v>
      </c>
    </row>
    <row r="22" spans="1:20">
      <c r="A22" s="15" t="s">
        <v>580</v>
      </c>
      <c r="B22" s="17" t="n">
        <v>6598</v>
      </c>
      <c r="C22" s="18">
        <f>(5901.0/B22*100)</f>
        <v/>
      </c>
      <c r="D22" s="19" t="n">
        <v>697</v>
      </c>
      <c r="E22" s="18" t="n">
        <v>47.00335911</v>
      </c>
      <c r="F22" s="20" t="n">
        <v>1.77801158</v>
      </c>
      <c r="G22" s="18" t="n">
        <v>38.87443324</v>
      </c>
      <c r="H22" s="20" t="n">
        <v>1.83912808</v>
      </c>
      <c r="I22" s="18" t="n">
        <v>4.19904195</v>
      </c>
      <c r="J22" s="20" t="n">
        <v>1.03361446</v>
      </c>
      <c r="K22" s="18" t="n">
        <v>0</v>
      </c>
      <c r="L22" s="20" t="n">
        <v>0</v>
      </c>
      <c r="M22" s="18" t="n">
        <v>0.40718928</v>
      </c>
      <c r="N22" s="20" t="n">
        <v>0.29200733</v>
      </c>
      <c r="O22" s="18" t="n">
        <v>0</v>
      </c>
      <c r="P22" s="20" t="n">
        <v>0</v>
      </c>
      <c r="Q22" s="18" t="n">
        <v>0</v>
      </c>
      <c r="R22" s="20" t="n">
        <v>0</v>
      </c>
      <c r="S22" s="18" t="n">
        <v>9.51597643</v>
      </c>
      <c r="T22" s="20" t="n">
        <v>1.29904301</v>
      </c>
    </row>
    <row r="23" spans="1:20">
      <c r="A23" s="15" t="s">
        <v>581</v>
      </c>
      <c r="B23" s="17" t="n">
        <v>11583</v>
      </c>
      <c r="C23" s="18">
        <f>(10320.0/B23*100)</f>
        <v/>
      </c>
      <c r="D23" s="19" t="n">
        <v>1263</v>
      </c>
      <c r="E23" s="18" t="n">
        <v>46.83045126</v>
      </c>
      <c r="F23" s="20" t="n">
        <v>1.99738546</v>
      </c>
      <c r="G23" s="18" t="n">
        <v>28.31476165</v>
      </c>
      <c r="H23" s="20" t="n">
        <v>1.58699279</v>
      </c>
      <c r="I23" s="18" t="n">
        <v>9.40813666</v>
      </c>
      <c r="J23" s="20" t="n">
        <v>1.31377001</v>
      </c>
      <c r="K23" s="18" t="n">
        <v>0</v>
      </c>
      <c r="L23" s="20" t="n">
        <v>0</v>
      </c>
      <c r="M23" s="18" t="n">
        <v>0.00221642</v>
      </c>
      <c r="N23" s="20" t="n">
        <v>0.00222729</v>
      </c>
      <c r="O23" s="18" t="n">
        <v>0</v>
      </c>
      <c r="P23" s="20" t="n">
        <v>0</v>
      </c>
      <c r="Q23" s="18" t="n">
        <v>0</v>
      </c>
      <c r="R23" s="20" t="n">
        <v>0</v>
      </c>
      <c r="S23" s="18" t="n">
        <v>15.44443401</v>
      </c>
      <c r="T23" s="20" t="n">
        <v>1.62265424</v>
      </c>
    </row>
    <row r="24" spans="1:20">
      <c r="A24" s="15" t="s">
        <v>582</v>
      </c>
      <c r="B24" s="17" t="n">
        <v>6647</v>
      </c>
      <c r="C24" s="18">
        <f>(5933.0/B24*100)</f>
        <v/>
      </c>
      <c r="D24" s="19" t="n">
        <v>714</v>
      </c>
      <c r="E24" s="18" t="n">
        <v>49.07276931</v>
      </c>
      <c r="F24" s="20" t="n">
        <v>2.04222502</v>
      </c>
      <c r="G24" s="18" t="n">
        <v>35.14830246</v>
      </c>
      <c r="H24" s="20" t="n">
        <v>1.81113778</v>
      </c>
      <c r="I24" s="18" t="n">
        <v>5.08537092</v>
      </c>
      <c r="J24" s="20" t="n">
        <v>0.8628284899999999</v>
      </c>
      <c r="K24" s="18" t="n">
        <v>0</v>
      </c>
      <c r="L24" s="20" t="n">
        <v>0</v>
      </c>
      <c r="M24" s="18" t="n">
        <v>0</v>
      </c>
      <c r="N24" s="20" t="n">
        <v>0</v>
      </c>
      <c r="O24" s="18" t="n">
        <v>0</v>
      </c>
      <c r="P24" s="20" t="n">
        <v>0</v>
      </c>
      <c r="Q24" s="18" t="n">
        <v>0</v>
      </c>
      <c r="R24" s="20" t="n">
        <v>0</v>
      </c>
      <c r="S24" s="18" t="n">
        <v>10.6935573</v>
      </c>
      <c r="T24" s="20" t="n">
        <v>1.00152146</v>
      </c>
    </row>
    <row r="25" spans="1:20">
      <c r="A25" s="15" t="s">
        <v>583</v>
      </c>
      <c r="B25" s="17" t="n">
        <v>5581</v>
      </c>
      <c r="C25" s="18">
        <f>(4968.0/B25*100)</f>
        <v/>
      </c>
      <c r="D25" s="19" t="n">
        <v>613</v>
      </c>
      <c r="E25" s="18" t="n">
        <v>52.88600902</v>
      </c>
      <c r="F25" s="20" t="n">
        <v>1.95582986</v>
      </c>
      <c r="G25" s="18" t="n">
        <v>27.67952559</v>
      </c>
      <c r="H25" s="20" t="n">
        <v>1.80660409</v>
      </c>
      <c r="I25" s="18" t="n">
        <v>8.07687561</v>
      </c>
      <c r="J25" s="20" t="n">
        <v>1.01088119</v>
      </c>
      <c r="K25" s="18" t="n">
        <v>0</v>
      </c>
      <c r="L25" s="20" t="n">
        <v>0</v>
      </c>
      <c r="M25" s="18" t="n">
        <v>0</v>
      </c>
      <c r="N25" s="20" t="n">
        <v>0</v>
      </c>
      <c r="O25" s="18" t="n">
        <v>0</v>
      </c>
      <c r="P25" s="20" t="n">
        <v>0</v>
      </c>
      <c r="Q25" s="18" t="n">
        <v>0</v>
      </c>
      <c r="R25" s="20" t="n">
        <v>0</v>
      </c>
      <c r="S25" s="18" t="n">
        <v>11.35758978</v>
      </c>
      <c r="T25" s="20" t="n">
        <v>1.46798636</v>
      </c>
    </row>
    <row r="26" spans="1:20">
      <c r="A26" s="15" t="s">
        <v>584</v>
      </c>
      <c r="B26" s="17" t="n">
        <v>4869</v>
      </c>
      <c r="C26" s="18">
        <f>(4307.0/B26*100)</f>
        <v/>
      </c>
      <c r="D26" s="19" t="n">
        <v>562</v>
      </c>
      <c r="E26" s="18" t="n">
        <v>60.62024305</v>
      </c>
      <c r="F26" s="20" t="n">
        <v>2.29340599</v>
      </c>
      <c r="G26" s="18" t="n">
        <v>33.79795745</v>
      </c>
      <c r="H26" s="20" t="n">
        <v>2.31364656</v>
      </c>
      <c r="I26" s="18" t="n">
        <v>1.99770882</v>
      </c>
      <c r="J26" s="20" t="n">
        <v>0.60031101</v>
      </c>
      <c r="K26" s="18" t="n">
        <v>0</v>
      </c>
      <c r="L26" s="20" t="n">
        <v>0</v>
      </c>
      <c r="M26" s="18" t="n">
        <v>0</v>
      </c>
      <c r="N26" s="20" t="n">
        <v>0</v>
      </c>
      <c r="O26" s="18" t="n">
        <v>0.16023532</v>
      </c>
      <c r="P26" s="20" t="n">
        <v>0.16093678</v>
      </c>
      <c r="Q26" s="18" t="n">
        <v>0</v>
      </c>
      <c r="R26" s="20" t="n">
        <v>0</v>
      </c>
      <c r="S26" s="18" t="n">
        <v>3.42385536</v>
      </c>
      <c r="T26" s="20" t="n">
        <v>0.80013279</v>
      </c>
    </row>
    <row r="27" spans="1:20">
      <c r="A27" s="15" t="s">
        <v>585</v>
      </c>
      <c r="B27" s="17" t="n">
        <v>5299</v>
      </c>
      <c r="C27" s="18">
        <f>(4687.0/B27*100)</f>
        <v/>
      </c>
      <c r="D27" s="19" t="n">
        <v>612</v>
      </c>
      <c r="E27" s="18" t="n">
        <v>45.92230439</v>
      </c>
      <c r="F27" s="20" t="n">
        <v>2.09126451</v>
      </c>
      <c r="G27" s="18" t="n">
        <v>40.98134777</v>
      </c>
      <c r="H27" s="20" t="n">
        <v>1.96521115</v>
      </c>
      <c r="I27" s="18" t="n">
        <v>1.62569532</v>
      </c>
      <c r="J27" s="20" t="n">
        <v>0.54716745</v>
      </c>
      <c r="K27" s="18" t="n">
        <v>0</v>
      </c>
      <c r="L27" s="20" t="n">
        <v>0</v>
      </c>
      <c r="M27" s="18" t="n">
        <v>0.48747973</v>
      </c>
      <c r="N27" s="20" t="n">
        <v>0.28021138</v>
      </c>
      <c r="O27" s="18" t="n">
        <v>0</v>
      </c>
      <c r="P27" s="20" t="n">
        <v>0</v>
      </c>
      <c r="Q27" s="18" t="n">
        <v>0</v>
      </c>
      <c r="R27" s="20" t="n">
        <v>0</v>
      </c>
      <c r="S27" s="18" t="n">
        <v>10.98317278</v>
      </c>
      <c r="T27" s="20" t="n">
        <v>1.29937238</v>
      </c>
    </row>
    <row r="28" spans="1:20">
      <c r="A28" s="15" t="s">
        <v>586</v>
      </c>
      <c r="B28" s="17" t="n">
        <v>7568</v>
      </c>
      <c r="C28" s="18">
        <f>(6732.0/B28*100)</f>
        <v/>
      </c>
      <c r="D28" s="19" t="n">
        <v>836</v>
      </c>
      <c r="E28" s="18" t="n">
        <v>82.56322869</v>
      </c>
      <c r="F28" s="20" t="n">
        <v>1.51251291</v>
      </c>
      <c r="G28" s="18" t="n">
        <v>12.1583546</v>
      </c>
      <c r="H28" s="20" t="n">
        <v>1.34100824</v>
      </c>
      <c r="I28" s="18" t="n">
        <v>1.26465071</v>
      </c>
      <c r="J28" s="20" t="n">
        <v>0.42074436</v>
      </c>
      <c r="K28" s="18" t="n">
        <v>0</v>
      </c>
      <c r="L28" s="20" t="n">
        <v>0</v>
      </c>
      <c r="M28" s="18" t="n">
        <v>0.37002185</v>
      </c>
      <c r="N28" s="20" t="n">
        <v>0.24495959</v>
      </c>
      <c r="O28" s="18" t="n">
        <v>0.19335544</v>
      </c>
      <c r="P28" s="20" t="n">
        <v>0.19280325</v>
      </c>
      <c r="Q28" s="18" t="n">
        <v>0</v>
      </c>
      <c r="R28" s="20" t="n">
        <v>0</v>
      </c>
      <c r="S28" s="18" t="n">
        <v>3.45038871</v>
      </c>
      <c r="T28" s="20" t="n">
        <v>0.65793555</v>
      </c>
    </row>
    <row r="29" spans="1:20">
      <c r="A29" s="15" t="s">
        <v>587</v>
      </c>
      <c r="B29" s="17" t="n">
        <v>5385</v>
      </c>
      <c r="C29" s="18">
        <f>(4851.0/B29*100)</f>
        <v/>
      </c>
      <c r="D29" s="19" t="n">
        <v>534</v>
      </c>
      <c r="E29" s="18" t="n">
        <v>43.93430081</v>
      </c>
      <c r="F29" s="20" t="n">
        <v>2.23114999</v>
      </c>
      <c r="G29" s="18" t="n">
        <v>52.83586594</v>
      </c>
      <c r="H29" s="20" t="n">
        <v>2.30091939</v>
      </c>
      <c r="I29" s="18" t="n">
        <v>1.16384862</v>
      </c>
      <c r="J29" s="20" t="n">
        <v>0.38008897</v>
      </c>
      <c r="K29" s="18" t="n">
        <v>0</v>
      </c>
      <c r="L29" s="20" t="n">
        <v>0</v>
      </c>
      <c r="M29" s="18" t="n">
        <v>0.17061289</v>
      </c>
      <c r="N29" s="20" t="n">
        <v>0.16227445</v>
      </c>
      <c r="O29" s="18" t="n">
        <v>0</v>
      </c>
      <c r="P29" s="20" t="n">
        <v>0</v>
      </c>
      <c r="Q29" s="18" t="n">
        <v>0</v>
      </c>
      <c r="R29" s="20" t="n">
        <v>0</v>
      </c>
      <c r="S29" s="18" t="n">
        <v>1.89537174</v>
      </c>
      <c r="T29" s="20" t="n">
        <v>0.5923639000000001</v>
      </c>
    </row>
    <row r="30" spans="1:20">
      <c r="A30" s="15" t="s">
        <v>588</v>
      </c>
      <c r="B30" s="17" t="n">
        <v>4520</v>
      </c>
      <c r="C30" s="18">
        <f>(4008.0/B30*100)</f>
        <v/>
      </c>
      <c r="D30" s="19" t="n">
        <v>512</v>
      </c>
      <c r="E30" s="18" t="n">
        <v>46.92824915</v>
      </c>
      <c r="F30" s="20" t="n">
        <v>2.57399948</v>
      </c>
      <c r="G30" s="18" t="n">
        <v>40.98060465</v>
      </c>
      <c r="H30" s="20" t="n">
        <v>2.45133572</v>
      </c>
      <c r="I30" s="18" t="n">
        <v>1.67907302</v>
      </c>
      <c r="J30" s="20" t="n">
        <v>0.5422051</v>
      </c>
      <c r="K30" s="18" t="n">
        <v>0</v>
      </c>
      <c r="L30" s="20" t="n">
        <v>0</v>
      </c>
      <c r="M30" s="18" t="n">
        <v>0.24621292</v>
      </c>
      <c r="N30" s="20" t="n">
        <v>0.26377963</v>
      </c>
      <c r="O30" s="18" t="n">
        <v>0</v>
      </c>
      <c r="P30" s="20" t="n">
        <v>0</v>
      </c>
      <c r="Q30" s="18" t="n">
        <v>0</v>
      </c>
      <c r="R30" s="20" t="n">
        <v>0</v>
      </c>
      <c r="S30" s="18" t="n">
        <v>10.16586027</v>
      </c>
      <c r="T30" s="20" t="n">
        <v>1.17833534</v>
      </c>
    </row>
    <row r="31" spans="1:20">
      <c r="A31" s="15" t="s">
        <v>589</v>
      </c>
      <c r="B31" s="17" t="n">
        <v>5456</v>
      </c>
      <c r="C31" s="18">
        <f>(4849.0/B31*100)</f>
        <v/>
      </c>
      <c r="D31" s="19" t="n">
        <v>607</v>
      </c>
      <c r="E31" s="18" t="n">
        <v>46.08420614</v>
      </c>
      <c r="F31" s="20" t="n">
        <v>2.10675445</v>
      </c>
      <c r="G31" s="18" t="n">
        <v>40.15367029</v>
      </c>
      <c r="H31" s="20" t="n">
        <v>1.92077905</v>
      </c>
      <c r="I31" s="18" t="n">
        <v>0.9514249</v>
      </c>
      <c r="J31" s="20" t="n">
        <v>0.40593785</v>
      </c>
      <c r="K31" s="18" t="n">
        <v>0</v>
      </c>
      <c r="L31" s="20" t="n">
        <v>0</v>
      </c>
      <c r="M31" s="18" t="n">
        <v>0.26067884</v>
      </c>
      <c r="N31" s="20" t="n">
        <v>0.18418685</v>
      </c>
      <c r="O31" s="18" t="n">
        <v>0.34114717</v>
      </c>
      <c r="P31" s="20" t="n">
        <v>0.36816987</v>
      </c>
      <c r="Q31" s="18" t="n">
        <v>0</v>
      </c>
      <c r="R31" s="20" t="n">
        <v>0</v>
      </c>
      <c r="S31" s="18" t="n">
        <v>12.20887267</v>
      </c>
      <c r="T31" s="20" t="n">
        <v>1.44213734</v>
      </c>
    </row>
    <row r="32" spans="1:20">
      <c r="A32" s="15" t="s">
        <v>590</v>
      </c>
      <c r="B32" s="17" t="n">
        <v>4478</v>
      </c>
      <c r="C32" s="18">
        <f>(3997.0/B32*100)</f>
        <v/>
      </c>
      <c r="D32" s="19" t="n">
        <v>481</v>
      </c>
      <c r="E32" s="18" t="n">
        <v>48.16555803</v>
      </c>
      <c r="F32" s="20" t="n">
        <v>2.39426623</v>
      </c>
      <c r="G32" s="18" t="n">
        <v>41.54040858</v>
      </c>
      <c r="H32" s="20" t="n">
        <v>2.32096774</v>
      </c>
      <c r="I32" s="18" t="n">
        <v>2.05824173</v>
      </c>
      <c r="J32" s="20" t="n">
        <v>0.61318636</v>
      </c>
      <c r="K32" s="18" t="n">
        <v>0</v>
      </c>
      <c r="L32" s="20" t="n">
        <v>0</v>
      </c>
      <c r="M32" s="18" t="n">
        <v>0</v>
      </c>
      <c r="N32" s="20" t="n">
        <v>0</v>
      </c>
      <c r="O32" s="18" t="n">
        <v>0</v>
      </c>
      <c r="P32" s="20" t="n">
        <v>0</v>
      </c>
      <c r="Q32" s="18" t="n">
        <v>0</v>
      </c>
      <c r="R32" s="20" t="n">
        <v>0</v>
      </c>
      <c r="S32" s="18" t="n">
        <v>8.23579166</v>
      </c>
      <c r="T32" s="20" t="n">
        <v>1.26935684</v>
      </c>
    </row>
    <row r="33" spans="1:20">
      <c r="A33" s="15" t="s">
        <v>591</v>
      </c>
      <c r="B33" s="17" t="n">
        <v>7325</v>
      </c>
      <c r="C33" s="18">
        <f>(6502.0/B33*100)</f>
        <v/>
      </c>
      <c r="D33" s="19" t="n">
        <v>823</v>
      </c>
      <c r="E33" s="18" t="n">
        <v>55.27414397</v>
      </c>
      <c r="F33" s="20" t="n">
        <v>2.23658972</v>
      </c>
      <c r="G33" s="18" t="n">
        <v>27.80492412</v>
      </c>
      <c r="H33" s="20" t="n">
        <v>1.96072645</v>
      </c>
      <c r="I33" s="18" t="n">
        <v>2.67089113</v>
      </c>
      <c r="J33" s="20" t="n">
        <v>0.54445275</v>
      </c>
      <c r="K33" s="18" t="n">
        <v>0</v>
      </c>
      <c r="L33" s="20" t="n">
        <v>0</v>
      </c>
      <c r="M33" s="18" t="n">
        <v>0.26881817</v>
      </c>
      <c r="N33" s="20" t="n">
        <v>0.20136863</v>
      </c>
      <c r="O33" s="18" t="n">
        <v>0.2730271</v>
      </c>
      <c r="P33" s="20" t="n">
        <v>0.27235136</v>
      </c>
      <c r="Q33" s="18" t="n">
        <v>0</v>
      </c>
      <c r="R33" s="20" t="n">
        <v>0</v>
      </c>
      <c r="S33" s="18" t="n">
        <v>13.70819551</v>
      </c>
      <c r="T33" s="20" t="n">
        <v>1.16383538</v>
      </c>
    </row>
    <row r="34" spans="1:20">
      <c r="A34" s="15" t="s">
        <v>592</v>
      </c>
      <c r="B34" s="17" t="n">
        <v>6350</v>
      </c>
      <c r="C34" s="18">
        <f>(5668.0/B34*100)</f>
        <v/>
      </c>
      <c r="D34" s="19" t="n">
        <v>682</v>
      </c>
      <c r="E34" s="18" t="n">
        <v>53.33933458</v>
      </c>
      <c r="F34" s="20" t="n">
        <v>1.93130555</v>
      </c>
      <c r="G34" s="18" t="n">
        <v>36.51538218</v>
      </c>
      <c r="H34" s="20" t="n">
        <v>1.70752094</v>
      </c>
      <c r="I34" s="18" t="n">
        <v>2.664364</v>
      </c>
      <c r="J34" s="20" t="n">
        <v>0.8126974</v>
      </c>
      <c r="K34" s="18" t="n">
        <v>0</v>
      </c>
      <c r="L34" s="20" t="n">
        <v>0</v>
      </c>
      <c r="M34" s="18" t="n">
        <v>0</v>
      </c>
      <c r="N34" s="20" t="n">
        <v>0</v>
      </c>
      <c r="O34" s="18" t="n">
        <v>0.28440317</v>
      </c>
      <c r="P34" s="20" t="n">
        <v>0.19895113</v>
      </c>
      <c r="Q34" s="18" t="n">
        <v>0</v>
      </c>
      <c r="R34" s="20" t="n">
        <v>0</v>
      </c>
      <c r="S34" s="18" t="n">
        <v>7.19651608</v>
      </c>
      <c r="T34" s="20" t="n">
        <v>0.87476798</v>
      </c>
    </row>
    <row r="35" spans="1:20">
      <c r="A35" s="15" t="s">
        <v>593</v>
      </c>
      <c r="B35" s="17" t="n">
        <v>6406</v>
      </c>
      <c r="C35" s="18">
        <f>(5721.0/B35*100)</f>
        <v/>
      </c>
      <c r="D35" s="19" t="n">
        <v>685</v>
      </c>
      <c r="E35" s="18" t="n">
        <v>44.83036075</v>
      </c>
      <c r="F35" s="20" t="n">
        <v>2.36346266</v>
      </c>
      <c r="G35" s="18" t="n">
        <v>47.30738168</v>
      </c>
      <c r="H35" s="20" t="n">
        <v>2.31642499</v>
      </c>
      <c r="I35" s="18" t="n">
        <v>3.42315845</v>
      </c>
      <c r="J35" s="20" t="n">
        <v>0.92754064</v>
      </c>
      <c r="K35" s="18" t="n">
        <v>0</v>
      </c>
      <c r="L35" s="20" t="n">
        <v>0</v>
      </c>
      <c r="M35" s="18" t="n">
        <v>0.08144589000000001</v>
      </c>
      <c r="N35" s="20" t="n">
        <v>0.08098076999999999</v>
      </c>
      <c r="O35" s="18" t="n">
        <v>0</v>
      </c>
      <c r="P35" s="20" t="n">
        <v>0</v>
      </c>
      <c r="Q35" s="18" t="n">
        <v>0</v>
      </c>
      <c r="R35" s="20" t="n">
        <v>0</v>
      </c>
      <c r="S35" s="18" t="n">
        <v>4.35765324</v>
      </c>
      <c r="T35" s="20" t="n">
        <v>0.97330173</v>
      </c>
    </row>
    <row r="36" spans="1:20">
      <c r="A36" s="15" t="s">
        <v>594</v>
      </c>
      <c r="B36" s="17" t="n">
        <v>6736</v>
      </c>
      <c r="C36" s="18">
        <f>(5935.0/B36*100)</f>
        <v/>
      </c>
      <c r="D36" s="19" t="n">
        <v>801</v>
      </c>
      <c r="E36" s="18" t="n">
        <v>56.64191089</v>
      </c>
      <c r="F36" s="20" t="n">
        <v>2.07898965</v>
      </c>
      <c r="G36" s="18" t="n">
        <v>25.76848857</v>
      </c>
      <c r="H36" s="20" t="n">
        <v>1.78642618</v>
      </c>
      <c r="I36" s="18" t="n">
        <v>9.359913430000001</v>
      </c>
      <c r="J36" s="20" t="n">
        <v>1.07633166</v>
      </c>
      <c r="K36" s="18" t="n">
        <v>0</v>
      </c>
      <c r="L36" s="20" t="n">
        <v>0</v>
      </c>
      <c r="M36" s="18" t="n">
        <v>0.53331748</v>
      </c>
      <c r="N36" s="20" t="n">
        <v>0.27846592</v>
      </c>
      <c r="O36" s="18" t="n">
        <v>0.11904759</v>
      </c>
      <c r="P36" s="20" t="n">
        <v>0.11789448</v>
      </c>
      <c r="Q36" s="18" t="n">
        <v>0</v>
      </c>
      <c r="R36" s="20" t="n">
        <v>0</v>
      </c>
      <c r="S36" s="18" t="n">
        <v>7.57732204</v>
      </c>
      <c r="T36" s="20" t="n">
        <v>1.10345648</v>
      </c>
    </row>
    <row r="37" spans="1:20">
      <c r="A37" s="15" t="s">
        <v>595</v>
      </c>
      <c r="B37" s="17" t="n">
        <v>5458</v>
      </c>
      <c r="C37" s="18">
        <f>(4857.0/B37*100)</f>
        <v/>
      </c>
      <c r="D37" s="19" t="n">
        <v>601</v>
      </c>
      <c r="E37" s="18" t="n">
        <v>38.00906677</v>
      </c>
      <c r="F37" s="20" t="n">
        <v>2.07754523</v>
      </c>
      <c r="G37" s="18" t="n">
        <v>47.59079448</v>
      </c>
      <c r="H37" s="20" t="n">
        <v>2.32050934</v>
      </c>
      <c r="I37" s="18" t="n">
        <v>2.2440142</v>
      </c>
      <c r="J37" s="20" t="n">
        <v>0.63532585</v>
      </c>
      <c r="K37" s="18" t="n">
        <v>0</v>
      </c>
      <c r="L37" s="20" t="n">
        <v>0</v>
      </c>
      <c r="M37" s="18" t="n">
        <v>0</v>
      </c>
      <c r="N37" s="20" t="n">
        <v>0</v>
      </c>
      <c r="O37" s="18" t="n">
        <v>0.27229178</v>
      </c>
      <c r="P37" s="20" t="n">
        <v>0.2759367</v>
      </c>
      <c r="Q37" s="18" t="n">
        <v>0</v>
      </c>
      <c r="R37" s="20" t="n">
        <v>0</v>
      </c>
      <c r="S37" s="18" t="n">
        <v>11.88383277</v>
      </c>
      <c r="T37" s="20" t="n">
        <v>1.65147</v>
      </c>
    </row>
    <row r="38" spans="1:20">
      <c r="A38" s="15" t="s">
        <v>596</v>
      </c>
      <c r="B38" s="17" t="n">
        <v>5860</v>
      </c>
      <c r="C38" s="18">
        <f>(5205.0/B38*100)</f>
        <v/>
      </c>
      <c r="D38" s="19" t="n">
        <v>655</v>
      </c>
      <c r="E38" s="18" t="n">
        <v>39.19636138</v>
      </c>
      <c r="F38" s="20" t="n">
        <v>2.0870629</v>
      </c>
      <c r="G38" s="18" t="n">
        <v>45.61651605</v>
      </c>
      <c r="H38" s="20" t="n">
        <v>2.20176781</v>
      </c>
      <c r="I38" s="18" t="n">
        <v>2.78682815</v>
      </c>
      <c r="J38" s="20" t="n">
        <v>0.90266708</v>
      </c>
      <c r="K38" s="18" t="n">
        <v>0</v>
      </c>
      <c r="L38" s="20" t="n">
        <v>0</v>
      </c>
      <c r="M38" s="18" t="n">
        <v>0</v>
      </c>
      <c r="N38" s="20" t="n">
        <v>0</v>
      </c>
      <c r="O38" s="18" t="n">
        <v>3.75524482</v>
      </c>
      <c r="P38" s="20" t="n">
        <v>0.78167535</v>
      </c>
      <c r="Q38" s="18" t="n">
        <v>0</v>
      </c>
      <c r="R38" s="20" t="n">
        <v>0</v>
      </c>
      <c r="S38" s="18" t="n">
        <v>8.6450496</v>
      </c>
      <c r="T38" s="20" t="n">
        <v>1.51825231</v>
      </c>
    </row>
    <row r="39" spans="1:20">
      <c r="A39" s="15" t="s">
        <v>597</v>
      </c>
      <c r="B39" s="17" t="n">
        <v>5895</v>
      </c>
      <c r="C39" s="18">
        <f>(5279.0/B39*100)</f>
        <v/>
      </c>
      <c r="D39" s="19" t="n">
        <v>616</v>
      </c>
      <c r="E39" s="18" t="n">
        <v>91.07808826</v>
      </c>
      <c r="F39" s="20" t="n">
        <v>1.26568812</v>
      </c>
      <c r="G39" s="18" t="n">
        <v>3.41685806</v>
      </c>
      <c r="H39" s="20" t="n">
        <v>0.82346471</v>
      </c>
      <c r="I39" s="18" t="n">
        <v>0.91979007</v>
      </c>
      <c r="J39" s="20" t="n">
        <v>0.41070455</v>
      </c>
      <c r="K39" s="18" t="n">
        <v>0</v>
      </c>
      <c r="L39" s="20" t="n">
        <v>0</v>
      </c>
      <c r="M39" s="18" t="n">
        <v>0</v>
      </c>
      <c r="N39" s="20" t="n">
        <v>0</v>
      </c>
      <c r="O39" s="18" t="n">
        <v>0</v>
      </c>
      <c r="P39" s="20" t="n">
        <v>0</v>
      </c>
      <c r="Q39" s="18" t="n">
        <v>0</v>
      </c>
      <c r="R39" s="20" t="n">
        <v>0</v>
      </c>
      <c r="S39" s="18" t="n">
        <v>4.58526361</v>
      </c>
      <c r="T39" s="20" t="n">
        <v>1.02050483</v>
      </c>
    </row>
    <row r="40" spans="1:20">
      <c r="A40" s="15" t="s">
        <v>598</v>
      </c>
      <c r="B40" s="17" t="n">
        <v>14157</v>
      </c>
      <c r="C40" s="18">
        <f>(12557.0/B40*100)</f>
        <v/>
      </c>
      <c r="D40" s="19" t="n">
        <v>1600</v>
      </c>
      <c r="E40" s="18" t="n">
        <v>43.24312923</v>
      </c>
      <c r="F40" s="20" t="n">
        <v>1.90843187</v>
      </c>
      <c r="G40" s="18" t="n">
        <v>46.7018146</v>
      </c>
      <c r="H40" s="20" t="n">
        <v>1.85065304</v>
      </c>
      <c r="I40" s="18" t="n">
        <v>3.10355182</v>
      </c>
      <c r="J40" s="20" t="n">
        <v>0.65824065</v>
      </c>
      <c r="K40" s="18" t="n">
        <v>0</v>
      </c>
      <c r="L40" s="20" t="n">
        <v>0</v>
      </c>
      <c r="M40" s="18" t="n">
        <v>0.0201092</v>
      </c>
      <c r="N40" s="20" t="n">
        <v>0.02349868</v>
      </c>
      <c r="O40" s="18" t="n">
        <v>0.10137865</v>
      </c>
      <c r="P40" s="20" t="n">
        <v>0.09720602</v>
      </c>
      <c r="Q40" s="18" t="n">
        <v>0</v>
      </c>
      <c r="R40" s="20" t="n">
        <v>0</v>
      </c>
      <c r="S40" s="18" t="n">
        <v>6.8300165</v>
      </c>
      <c r="T40" s="20" t="n">
        <v>1.00820842</v>
      </c>
    </row>
    <row r="41" spans="1:20">
      <c r="A41" s="15" t="s">
        <v>599</v>
      </c>
      <c r="B41" s="17" t="n">
        <v>5712</v>
      </c>
      <c r="C41" s="18">
        <f>(5053.0/B41*100)</f>
        <v/>
      </c>
      <c r="D41" s="19" t="n">
        <v>659</v>
      </c>
      <c r="E41" s="18" t="n">
        <v>57.50309487</v>
      </c>
      <c r="F41" s="20" t="n">
        <v>2.63221253</v>
      </c>
      <c r="G41" s="18" t="n">
        <v>34.68560109</v>
      </c>
      <c r="H41" s="20" t="n">
        <v>2.52900599</v>
      </c>
      <c r="I41" s="18" t="n">
        <v>4.12620215</v>
      </c>
      <c r="J41" s="20" t="n">
        <v>0.84647197</v>
      </c>
      <c r="K41" s="18" t="n">
        <v>0</v>
      </c>
      <c r="L41" s="20" t="n">
        <v>0</v>
      </c>
      <c r="M41" s="18" t="n">
        <v>0.1719536</v>
      </c>
      <c r="N41" s="20" t="n">
        <v>0.17407975</v>
      </c>
      <c r="O41" s="18" t="n">
        <v>0</v>
      </c>
      <c r="P41" s="20" t="n">
        <v>0</v>
      </c>
      <c r="Q41" s="18" t="n">
        <v>0</v>
      </c>
      <c r="R41" s="20" t="n">
        <v>0</v>
      </c>
      <c r="S41" s="18" t="n">
        <v>3.51314829</v>
      </c>
      <c r="T41" s="20" t="n">
        <v>0.78642435</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(20892.0/B46*100)</f>
        <v/>
      </c>
      <c r="D46" s="19" t="n">
        <v>2249</v>
      </c>
      <c r="E46" s="18" t="n">
        <v>73.79785348999999</v>
      </c>
      <c r="F46" s="20" t="n">
        <v>1.08368451</v>
      </c>
      <c r="G46" s="18" t="n">
        <v>11.40841019</v>
      </c>
      <c r="H46" s="20" t="n">
        <v>0.73467818</v>
      </c>
      <c r="I46" s="18" t="n">
        <v>0.95338391</v>
      </c>
      <c r="J46" s="20" t="n">
        <v>0.24677031</v>
      </c>
      <c r="K46" s="18" t="n">
        <v>0</v>
      </c>
      <c r="L46" s="20" t="n">
        <v>0</v>
      </c>
      <c r="M46" s="18" t="n">
        <v>0.44008391</v>
      </c>
      <c r="N46" s="20" t="n">
        <v>0.16049141</v>
      </c>
      <c r="O46" s="18" t="n">
        <v>0.30491775</v>
      </c>
      <c r="P46" s="20" t="n">
        <v>0.16039537</v>
      </c>
      <c r="Q46" s="18" t="n">
        <v>0</v>
      </c>
      <c r="R46" s="20" t="n">
        <v>0</v>
      </c>
      <c r="S46" s="18" t="n">
        <v>13.09535075</v>
      </c>
      <c r="T46" s="20" t="n">
        <v>1.04941297</v>
      </c>
    </row>
    <row r="47" spans="1:20">
      <c r="A47" s="15" t="s">
        <v>606</v>
      </c>
      <c r="B47" s="17" t="n">
        <v>5928</v>
      </c>
      <c r="C47" s="18">
        <f>(5270.0/B47*100)</f>
        <v/>
      </c>
      <c r="D47" s="19" t="n">
        <v>658</v>
      </c>
      <c r="E47" s="18" t="n">
        <v>60.93731279</v>
      </c>
      <c r="F47" s="20" t="n">
        <v>1.89203869</v>
      </c>
      <c r="G47" s="18" t="n">
        <v>21.28579398</v>
      </c>
      <c r="H47" s="20" t="n">
        <v>1.58871682</v>
      </c>
      <c r="I47" s="18" t="n">
        <v>2.7105503</v>
      </c>
      <c r="J47" s="20" t="n">
        <v>0.5895965</v>
      </c>
      <c r="K47" s="18" t="n">
        <v>0</v>
      </c>
      <c r="L47" s="20" t="n">
        <v>0</v>
      </c>
      <c r="M47" s="18" t="n">
        <v>0.28569347</v>
      </c>
      <c r="N47" s="20" t="n">
        <v>0.21813054</v>
      </c>
      <c r="O47" s="18" t="n">
        <v>0.29493792</v>
      </c>
      <c r="P47" s="20" t="n">
        <v>0.20282982</v>
      </c>
      <c r="Q47" s="18" t="n">
        <v>0</v>
      </c>
      <c r="R47" s="20" t="n">
        <v>0</v>
      </c>
      <c r="S47" s="18" t="n">
        <v>14.48571155</v>
      </c>
      <c r="T47" s="20" t="n">
        <v>1.50227536</v>
      </c>
    </row>
    <row r="48" spans="1:20">
      <c r="A48" s="15" t="s">
        <v>607</v>
      </c>
      <c r="B48" s="17" t="n">
        <v>9841</v>
      </c>
      <c r="C48" s="18">
        <f>(8743.0/B48*100)</f>
        <v/>
      </c>
      <c r="D48" s="19" t="n">
        <v>1098</v>
      </c>
      <c r="E48" s="18" t="n">
        <v>25.18118761</v>
      </c>
      <c r="F48" s="20" t="n">
        <v>2.00479547</v>
      </c>
      <c r="G48" s="18" t="n">
        <v>50.66203739</v>
      </c>
      <c r="H48" s="20" t="n">
        <v>2.53054118</v>
      </c>
      <c r="I48" s="18" t="n">
        <v>17.9883579</v>
      </c>
      <c r="J48" s="20" t="n">
        <v>1.65083838</v>
      </c>
      <c r="K48" s="18" t="n">
        <v>0</v>
      </c>
      <c r="L48" s="20" t="n">
        <v>0</v>
      </c>
      <c r="M48" s="18" t="n">
        <v>0.19048547</v>
      </c>
      <c r="N48" s="20" t="n">
        <v>0.22636753</v>
      </c>
      <c r="O48" s="18" t="n">
        <v>0</v>
      </c>
      <c r="P48" s="20" t="n">
        <v>0</v>
      </c>
      <c r="Q48" s="18" t="n">
        <v>0</v>
      </c>
      <c r="R48" s="20" t="n">
        <v>0</v>
      </c>
      <c r="S48" s="18" t="n">
        <v>5.97793163</v>
      </c>
      <c r="T48" s="20" t="n">
        <v>0.92606613</v>
      </c>
    </row>
    <row r="49" spans="1:20">
      <c r="A49" s="15" t="s">
        <v>608</v>
      </c>
      <c r="B49" s="17" t="n">
        <v>11795</v>
      </c>
      <c r="C49" s="18">
        <f>(10521.0/B49*100)</f>
        <v/>
      </c>
      <c r="D49" s="19" t="n">
        <v>1274</v>
      </c>
      <c r="E49" s="18" t="n">
        <v>74.9437095</v>
      </c>
      <c r="F49" s="20" t="n">
        <v>1.8130626</v>
      </c>
      <c r="G49" s="18" t="n">
        <v>16.28049934</v>
      </c>
      <c r="H49" s="20" t="n">
        <v>1.55490225</v>
      </c>
      <c r="I49" s="18" t="n">
        <v>4.21057598</v>
      </c>
      <c r="J49" s="20" t="n">
        <v>0.89200395</v>
      </c>
      <c r="K49" s="18" t="n">
        <v>0</v>
      </c>
      <c r="L49" s="20" t="n">
        <v>0</v>
      </c>
      <c r="M49" s="18" t="n">
        <v>0.39116802</v>
      </c>
      <c r="N49" s="20" t="n">
        <v>0.26322366</v>
      </c>
      <c r="O49" s="18" t="n">
        <v>0.00431</v>
      </c>
      <c r="P49" s="20" t="n">
        <v>0.00432481</v>
      </c>
      <c r="Q49" s="18" t="n">
        <v>0</v>
      </c>
      <c r="R49" s="20" t="n">
        <v>0</v>
      </c>
      <c r="S49" s="18" t="n">
        <v>4.16973717</v>
      </c>
      <c r="T49" s="20" t="n">
        <v>0.81834405</v>
      </c>
    </row>
    <row r="50" spans="1:20">
      <c r="A50" s="15" t="s">
        <v>609</v>
      </c>
      <c r="B50" s="17" t="n">
        <v>6866</v>
      </c>
      <c r="C50" s="18">
        <f>(6188.0/B50*100)</f>
        <v/>
      </c>
      <c r="D50" s="19" t="n">
        <v>678</v>
      </c>
      <c r="E50" s="18" t="n">
        <v>76.64918363</v>
      </c>
      <c r="F50" s="20" t="n">
        <v>2.01237421</v>
      </c>
      <c r="G50" s="18" t="n">
        <v>11.83843088</v>
      </c>
      <c r="H50" s="20" t="n">
        <v>1.55977763</v>
      </c>
      <c r="I50" s="18" t="n">
        <v>4.05125727</v>
      </c>
      <c r="J50" s="20" t="n">
        <v>0.79862056</v>
      </c>
      <c r="K50" s="18" t="n">
        <v>0</v>
      </c>
      <c r="L50" s="20" t="n">
        <v>0</v>
      </c>
      <c r="M50" s="18" t="n">
        <v>0.30392176</v>
      </c>
      <c r="N50" s="20" t="n">
        <v>0.21244803</v>
      </c>
      <c r="O50" s="18" t="n">
        <v>0.17606633</v>
      </c>
      <c r="P50" s="20" t="n">
        <v>0.16513565</v>
      </c>
      <c r="Q50" s="18" t="n">
        <v>0</v>
      </c>
      <c r="R50" s="20" t="n">
        <v>0</v>
      </c>
      <c r="S50" s="18" t="n">
        <v>6.98114014</v>
      </c>
      <c r="T50" s="20" t="n">
        <v>1.10222623</v>
      </c>
    </row>
    <row r="51" spans="1:20">
      <c r="A51" s="15" t="s">
        <v>610</v>
      </c>
      <c r="B51" s="17" t="n">
        <v>5809</v>
      </c>
      <c r="C51" s="18">
        <f>(5191.0/B51*100)</f>
        <v/>
      </c>
      <c r="D51" s="19" t="n">
        <v>618</v>
      </c>
      <c r="E51" s="18" t="n">
        <v>65.77790597000001</v>
      </c>
      <c r="F51" s="20" t="n">
        <v>2.00626146</v>
      </c>
      <c r="G51" s="18" t="n">
        <v>21.82503579</v>
      </c>
      <c r="H51" s="20" t="n">
        <v>1.91011175</v>
      </c>
      <c r="I51" s="18" t="n">
        <v>2.45758936</v>
      </c>
      <c r="J51" s="20" t="n">
        <v>0.65049782</v>
      </c>
      <c r="K51" s="18" t="n">
        <v>0</v>
      </c>
      <c r="L51" s="20" t="n">
        <v>0</v>
      </c>
      <c r="M51" s="18" t="n">
        <v>0</v>
      </c>
      <c r="N51" s="20" t="n">
        <v>0</v>
      </c>
      <c r="O51" s="18" t="n">
        <v>0</v>
      </c>
      <c r="P51" s="20" t="n">
        <v>0</v>
      </c>
      <c r="Q51" s="18" t="n">
        <v>0</v>
      </c>
      <c r="R51" s="20" t="n">
        <v>0</v>
      </c>
      <c r="S51" s="18" t="n">
        <v>9.939468870000001</v>
      </c>
      <c r="T51" s="20" t="n">
        <v>1.35875208</v>
      </c>
    </row>
    <row r="52" spans="1:20">
      <c r="A52" s="15" t="s">
        <v>611</v>
      </c>
      <c r="B52" s="17" t="n">
        <v>5571</v>
      </c>
      <c r="C52" s="18">
        <f>(4947.0/B52*100)</f>
        <v/>
      </c>
      <c r="D52" s="19" t="n">
        <v>624</v>
      </c>
      <c r="E52" s="18" t="n">
        <v>48.67595036</v>
      </c>
      <c r="F52" s="20" t="n">
        <v>2.12385169</v>
      </c>
      <c r="G52" s="18" t="n">
        <v>29.00315855</v>
      </c>
      <c r="H52" s="20" t="n">
        <v>1.86583263</v>
      </c>
      <c r="I52" s="18" t="n">
        <v>7.34163591</v>
      </c>
      <c r="J52" s="20" t="n">
        <v>0.98891551</v>
      </c>
      <c r="K52" s="18" t="n">
        <v>0</v>
      </c>
      <c r="L52" s="20" t="n">
        <v>0</v>
      </c>
      <c r="M52" s="18" t="n">
        <v>0.11586091</v>
      </c>
      <c r="N52" s="20" t="n">
        <v>0.11615261</v>
      </c>
      <c r="O52" s="18" t="n">
        <v>0</v>
      </c>
      <c r="P52" s="20" t="n">
        <v>0</v>
      </c>
      <c r="Q52" s="18" t="n">
        <v>0</v>
      </c>
      <c r="R52" s="20" t="n">
        <v>0</v>
      </c>
      <c r="S52" s="18" t="n">
        <v>14.86339427</v>
      </c>
      <c r="T52" s="20" t="n">
        <v>1.28732129</v>
      </c>
    </row>
    <row r="53" spans="1:20">
      <c r="A53" s="15" t="s">
        <v>612</v>
      </c>
      <c r="B53" s="17" t="n">
        <v>4740</v>
      </c>
      <c r="C53" s="18">
        <f>(4218.0/B53*100)</f>
        <v/>
      </c>
      <c r="D53" s="19" t="n">
        <v>522</v>
      </c>
      <c r="E53" s="18" t="n">
        <v>70.11899499</v>
      </c>
      <c r="F53" s="20" t="n">
        <v>2.18779032</v>
      </c>
      <c r="G53" s="18" t="n">
        <v>4.55350889</v>
      </c>
      <c r="H53" s="20" t="n">
        <v>1.06209591</v>
      </c>
      <c r="I53" s="18" t="n">
        <v>0.38885094</v>
      </c>
      <c r="J53" s="20" t="n">
        <v>0.19943782</v>
      </c>
      <c r="K53" s="18" t="n">
        <v>0</v>
      </c>
      <c r="L53" s="20" t="n">
        <v>0</v>
      </c>
      <c r="M53" s="18" t="n">
        <v>9.608978970000001</v>
      </c>
      <c r="N53" s="20" t="n">
        <v>1.5205161</v>
      </c>
      <c r="O53" s="18" t="n">
        <v>0.58781803</v>
      </c>
      <c r="P53" s="20" t="n">
        <v>0.47800643</v>
      </c>
      <c r="Q53" s="18" t="n">
        <v>0</v>
      </c>
      <c r="R53" s="20" t="n">
        <v>0</v>
      </c>
      <c r="S53" s="18" t="n">
        <v>14.74184818</v>
      </c>
      <c r="T53" s="20" t="n">
        <v>1.68586346</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(4794.0/B55*100)</f>
        <v/>
      </c>
      <c r="D55" s="19" t="n">
        <v>565</v>
      </c>
      <c r="E55" s="18" t="n">
        <v>30.91846359</v>
      </c>
      <c r="F55" s="20" t="n">
        <v>1.74308867</v>
      </c>
      <c r="G55" s="18" t="n">
        <v>41.69692437</v>
      </c>
      <c r="H55" s="20" t="n">
        <v>1.99391554</v>
      </c>
      <c r="I55" s="18" t="n">
        <v>23.89822302</v>
      </c>
      <c r="J55" s="20" t="n">
        <v>1.98682679</v>
      </c>
      <c r="K55" s="18" t="n">
        <v>0</v>
      </c>
      <c r="L55" s="20" t="n">
        <v>0</v>
      </c>
      <c r="M55" s="18" t="n">
        <v>0</v>
      </c>
      <c r="N55" s="20" t="n">
        <v>0</v>
      </c>
      <c r="O55" s="18" t="n">
        <v>0</v>
      </c>
      <c r="P55" s="20" t="n">
        <v>0</v>
      </c>
      <c r="Q55" s="18" t="n">
        <v>0</v>
      </c>
      <c r="R55" s="20" t="n">
        <v>0</v>
      </c>
      <c r="S55" s="18" t="n">
        <v>3.48638902</v>
      </c>
      <c r="T55" s="20" t="n">
        <v>0.7700287099999999</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(5830.0/B61*100)</f>
        <v/>
      </c>
      <c r="D61" s="19" t="n">
        <v>695</v>
      </c>
      <c r="E61" s="18" t="n">
        <v>51.44989972</v>
      </c>
      <c r="F61" s="20" t="n">
        <v>1.82054112</v>
      </c>
      <c r="G61" s="18" t="n">
        <v>37.97220057</v>
      </c>
      <c r="H61" s="20" t="n">
        <v>1.71414099</v>
      </c>
      <c r="I61" s="18" t="n">
        <v>2.11074857</v>
      </c>
      <c r="J61" s="20" t="n">
        <v>0.65901478</v>
      </c>
      <c r="K61" s="18" t="n">
        <v>0</v>
      </c>
      <c r="L61" s="20" t="n">
        <v>0</v>
      </c>
      <c r="M61" s="18" t="n">
        <v>0.4136408</v>
      </c>
      <c r="N61" s="20" t="n">
        <v>0.40871508</v>
      </c>
      <c r="O61" s="18" t="n">
        <v>0</v>
      </c>
      <c r="P61" s="20" t="n">
        <v>0</v>
      </c>
      <c r="Q61" s="18" t="n">
        <v>0</v>
      </c>
      <c r="R61" s="20" t="n">
        <v>0</v>
      </c>
      <c r="S61" s="18" t="n">
        <v>8.053510340000001</v>
      </c>
      <c r="T61" s="20" t="n">
        <v>1.17504016</v>
      </c>
    </row>
    <row r="62" spans="1:20">
      <c r="A62" s="15" t="s">
        <v>622</v>
      </c>
      <c r="B62" s="17" t="n">
        <v>4476</v>
      </c>
      <c r="C62" s="18">
        <f>(3951.0/B62*100)</f>
        <v/>
      </c>
      <c r="D62" s="19" t="n">
        <v>525</v>
      </c>
      <c r="E62" s="18" t="n">
        <v>35.62159332</v>
      </c>
      <c r="F62" s="20" t="n">
        <v>2.11083347</v>
      </c>
      <c r="G62" s="18" t="n">
        <v>38.83012652</v>
      </c>
      <c r="H62" s="20" t="n">
        <v>2.16796118</v>
      </c>
      <c r="I62" s="18" t="n">
        <v>24.01910462</v>
      </c>
      <c r="J62" s="20" t="n">
        <v>2.08910165</v>
      </c>
      <c r="K62" s="18" t="n">
        <v>0</v>
      </c>
      <c r="L62" s="20" t="n">
        <v>0</v>
      </c>
      <c r="M62" s="18" t="n">
        <v>0</v>
      </c>
      <c r="N62" s="20" t="n">
        <v>0</v>
      </c>
      <c r="O62" s="18" t="n">
        <v>0</v>
      </c>
      <c r="P62" s="20" t="n">
        <v>0</v>
      </c>
      <c r="Q62" s="18" t="n">
        <v>0</v>
      </c>
      <c r="R62" s="20" t="n">
        <v>0</v>
      </c>
      <c r="S62" s="18" t="n">
        <v>1.52917555</v>
      </c>
      <c r="T62" s="20" t="n">
        <v>0.53455403</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(5056.0/B67*100)</f>
        <v/>
      </c>
      <c r="D67" s="19" t="n">
        <v>609</v>
      </c>
      <c r="E67" s="18" t="n">
        <v>61.36474767</v>
      </c>
      <c r="F67" s="20" t="n">
        <v>2.13638794</v>
      </c>
      <c r="G67" s="18" t="n">
        <v>13.11732819</v>
      </c>
      <c r="H67" s="20" t="n">
        <v>1.44547522</v>
      </c>
      <c r="I67" s="18" t="n">
        <v>2.15278915</v>
      </c>
      <c r="J67" s="20" t="n">
        <v>0.64898711</v>
      </c>
      <c r="K67" s="18" t="n">
        <v>0</v>
      </c>
      <c r="L67" s="20" t="n">
        <v>0</v>
      </c>
      <c r="M67" s="18" t="n">
        <v>0.5257471500000001</v>
      </c>
      <c r="N67" s="20" t="n">
        <v>0.30376377</v>
      </c>
      <c r="O67" s="18" t="n">
        <v>0.6820849</v>
      </c>
      <c r="P67" s="20" t="n">
        <v>0.3411162</v>
      </c>
      <c r="Q67" s="18" t="n">
        <v>0</v>
      </c>
      <c r="R67" s="20" t="n">
        <v>0</v>
      </c>
      <c r="S67" s="18" t="n">
        <v>22.15730295</v>
      </c>
      <c r="T67" s="20" t="n">
        <v>1.78527288</v>
      </c>
    </row>
    <row r="68" spans="1:20">
      <c r="A68" s="15" t="s">
        <v>628</v>
      </c>
      <c r="B68" s="17" t="n">
        <v>6971</v>
      </c>
      <c r="C68" s="18">
        <f>(6250.0/B68*100)</f>
        <v/>
      </c>
      <c r="D68" s="19" t="n">
        <v>721</v>
      </c>
      <c r="E68" s="18" t="n">
        <v>82.81348647</v>
      </c>
      <c r="F68" s="20" t="n">
        <v>1.4527953</v>
      </c>
      <c r="G68" s="18" t="n">
        <v>9.95339427</v>
      </c>
      <c r="H68" s="20" t="n">
        <v>1.10009143</v>
      </c>
      <c r="I68" s="18" t="n">
        <v>0.72822216</v>
      </c>
      <c r="J68" s="20" t="n">
        <v>0.38828859</v>
      </c>
      <c r="K68" s="18" t="n">
        <v>0</v>
      </c>
      <c r="L68" s="20" t="n">
        <v>0</v>
      </c>
      <c r="M68" s="18" t="n">
        <v>0.18360278</v>
      </c>
      <c r="N68" s="20" t="n">
        <v>0.1831406</v>
      </c>
      <c r="O68" s="18" t="n">
        <v>0.38009856</v>
      </c>
      <c r="P68" s="20" t="n">
        <v>0.22002564</v>
      </c>
      <c r="Q68" s="18" t="n">
        <v>0</v>
      </c>
      <c r="R68" s="20" t="n">
        <v>0</v>
      </c>
      <c r="S68" s="18" t="n">
        <v>5.94119576</v>
      </c>
      <c r="T68" s="20" t="n">
        <v>0.93199858</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(10736.0/B70*100)</f>
        <v/>
      </c>
      <c r="D70" s="19" t="n">
        <v>1347</v>
      </c>
      <c r="E70" s="18" t="n">
        <v>68.33811583000001</v>
      </c>
      <c r="F70" s="20" t="n">
        <v>1.23828711</v>
      </c>
      <c r="G70" s="18" t="n">
        <v>17.89345958</v>
      </c>
      <c r="H70" s="20" t="n">
        <v>1.06756115</v>
      </c>
      <c r="I70" s="18" t="n">
        <v>2.40904349</v>
      </c>
      <c r="J70" s="20" t="n">
        <v>0.35389099</v>
      </c>
      <c r="K70" s="18" t="n">
        <v>0</v>
      </c>
      <c r="L70" s="20" t="n">
        <v>0</v>
      </c>
      <c r="M70" s="18" t="n">
        <v>1.32739933</v>
      </c>
      <c r="N70" s="20" t="n">
        <v>0.37203375</v>
      </c>
      <c r="O70" s="18" t="n">
        <v>0.07839972000000001</v>
      </c>
      <c r="P70" s="20" t="n">
        <v>0.07892285</v>
      </c>
      <c r="Q70" s="18" t="n">
        <v>0</v>
      </c>
      <c r="R70" s="20" t="n">
        <v>0</v>
      </c>
      <c r="S70" s="18" t="n">
        <v>9.95358205</v>
      </c>
      <c r="T70" s="20" t="n">
        <v>0.86389877</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(5390.0/B72*100)</f>
        <v/>
      </c>
      <c r="D72" s="19" t="n">
        <v>646</v>
      </c>
      <c r="E72" s="18" t="n">
        <v>69.04266663999999</v>
      </c>
      <c r="F72" s="20" t="n">
        <v>2.06569262</v>
      </c>
      <c r="G72" s="18" t="n">
        <v>21.45340179</v>
      </c>
      <c r="H72" s="20" t="n">
        <v>1.86552385</v>
      </c>
      <c r="I72" s="18" t="n">
        <v>2.86948126</v>
      </c>
      <c r="J72" s="20" t="n">
        <v>0.60018801</v>
      </c>
      <c r="K72" s="18" t="n">
        <v>0</v>
      </c>
      <c r="L72" s="20" t="n">
        <v>0</v>
      </c>
      <c r="M72" s="18" t="n">
        <v>0</v>
      </c>
      <c r="N72" s="20" t="n">
        <v>0</v>
      </c>
      <c r="O72" s="18" t="n">
        <v>0.17434753</v>
      </c>
      <c r="P72" s="20" t="n">
        <v>0.17471844</v>
      </c>
      <c r="Q72" s="18" t="n">
        <v>0</v>
      </c>
      <c r="R72" s="20" t="n">
        <v>0</v>
      </c>
      <c r="S72" s="18" t="n">
        <v>6.46010279</v>
      </c>
      <c r="T72" s="20" t="n">
        <v>1.44239325</v>
      </c>
    </row>
    <row r="73" spans="1:20">
      <c r="A73" s="15" t="s">
        <v>633</v>
      </c>
      <c r="B73" s="17" t="n">
        <v>6115</v>
      </c>
      <c r="C73" s="18">
        <f>(5394.0/B73*100)</f>
        <v/>
      </c>
      <c r="D73" s="19" t="n">
        <v>721</v>
      </c>
      <c r="E73" s="18" t="n">
        <v>33.1729708</v>
      </c>
      <c r="F73" s="20" t="n">
        <v>1.60159221</v>
      </c>
      <c r="G73" s="18" t="n">
        <v>60.80196999</v>
      </c>
      <c r="H73" s="20" t="n">
        <v>1.65854321</v>
      </c>
      <c r="I73" s="18" t="n">
        <v>4.59272034</v>
      </c>
      <c r="J73" s="20" t="n">
        <v>0.82235987</v>
      </c>
      <c r="K73" s="18" t="n">
        <v>0</v>
      </c>
      <c r="L73" s="20" t="n">
        <v>0</v>
      </c>
      <c r="M73" s="18" t="n">
        <v>0</v>
      </c>
      <c r="N73" s="20" t="n">
        <v>0</v>
      </c>
      <c r="O73" s="18" t="n">
        <v>0.19319694</v>
      </c>
      <c r="P73" s="20" t="n">
        <v>0.19398001</v>
      </c>
      <c r="Q73" s="18" t="n">
        <v>0</v>
      </c>
      <c r="R73" s="20" t="n">
        <v>0</v>
      </c>
      <c r="S73" s="18" t="n">
        <v>1.23914194</v>
      </c>
      <c r="T73" s="20" t="n">
        <v>0.37600224</v>
      </c>
    </row>
    <row r="74" spans="1:20">
      <c r="A74" s="15" t="s">
        <v>634</v>
      </c>
      <c r="B74" s="17" t="n">
        <v>7708</v>
      </c>
      <c r="C74" s="18">
        <f>(6862.0/B74*100)</f>
        <v/>
      </c>
      <c r="D74" s="19" t="n">
        <v>846</v>
      </c>
      <c r="E74" s="18" t="n">
        <v>32.65366093</v>
      </c>
      <c r="F74" s="20" t="n">
        <v>1.75947911</v>
      </c>
      <c r="G74" s="18" t="n">
        <v>40.83608184</v>
      </c>
      <c r="H74" s="20" t="n">
        <v>1.6372653</v>
      </c>
      <c r="I74" s="18" t="n">
        <v>21.65164101</v>
      </c>
      <c r="J74" s="20" t="n">
        <v>1.7091027</v>
      </c>
      <c r="K74" s="18" t="n">
        <v>0</v>
      </c>
      <c r="L74" s="20" t="n">
        <v>0</v>
      </c>
      <c r="M74" s="18" t="n">
        <v>0.09812514999999999</v>
      </c>
      <c r="N74" s="20" t="n">
        <v>0.09838803</v>
      </c>
      <c r="O74" s="18" t="n">
        <v>0</v>
      </c>
      <c r="P74" s="20" t="n">
        <v>0</v>
      </c>
      <c r="Q74" s="18" t="n">
        <v>0</v>
      </c>
      <c r="R74" s="20" t="n">
        <v>0</v>
      </c>
      <c r="S74" s="18" t="n">
        <v>4.76049107</v>
      </c>
      <c r="T74" s="20" t="n">
        <v>0.80713475</v>
      </c>
    </row>
    <row r="75" spans="1:20">
      <c r="A75" s="15" t="s">
        <v>635</v>
      </c>
      <c r="B75" s="17" t="n">
        <v>8249</v>
      </c>
      <c r="C75" s="18">
        <f>(7367.0/B75*100)</f>
        <v/>
      </c>
      <c r="D75" s="19" t="n">
        <v>882</v>
      </c>
      <c r="E75" s="18" t="n">
        <v>75.80271980000001</v>
      </c>
      <c r="F75" s="20" t="n">
        <v>2.04062455</v>
      </c>
      <c r="G75" s="18" t="n">
        <v>20.55942041</v>
      </c>
      <c r="H75" s="20" t="n">
        <v>2.04511709</v>
      </c>
      <c r="I75" s="18" t="n">
        <v>1.18820272</v>
      </c>
      <c r="J75" s="20" t="n">
        <v>0.47789656</v>
      </c>
      <c r="K75" s="18" t="n">
        <v>0</v>
      </c>
      <c r="L75" s="20" t="n">
        <v>0</v>
      </c>
      <c r="M75" s="18" t="n">
        <v>0</v>
      </c>
      <c r="N75" s="20" t="n">
        <v>0</v>
      </c>
      <c r="O75" s="18" t="n">
        <v>0.42321333</v>
      </c>
      <c r="P75" s="20" t="n">
        <v>0.29711593</v>
      </c>
      <c r="Q75" s="18" t="n">
        <v>0</v>
      </c>
      <c r="R75" s="20" t="n">
        <v>0</v>
      </c>
      <c r="S75" s="18" t="n">
        <v>2.02644373</v>
      </c>
      <c r="T75" s="20" t="n">
        <v>0.62055233</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(4815.0/B77*100)</f>
        <v/>
      </c>
      <c r="D77" s="19" t="n">
        <v>560</v>
      </c>
      <c r="E77" s="18" t="n">
        <v>70.28892542</v>
      </c>
      <c r="F77" s="20" t="n">
        <v>2.25151634</v>
      </c>
      <c r="G77" s="18" t="n">
        <v>5.14895669</v>
      </c>
      <c r="H77" s="20" t="n">
        <v>0.78583601</v>
      </c>
      <c r="I77" s="18" t="n">
        <v>1.65740775</v>
      </c>
      <c r="J77" s="20" t="n">
        <v>0.45366287</v>
      </c>
      <c r="K77" s="18" t="n">
        <v>0</v>
      </c>
      <c r="L77" s="20" t="n">
        <v>0</v>
      </c>
      <c r="M77" s="18" t="n">
        <v>1.43433096</v>
      </c>
      <c r="N77" s="20" t="n">
        <v>0.5176993</v>
      </c>
      <c r="O77" s="18" t="n">
        <v>0.92824744</v>
      </c>
      <c r="P77" s="20" t="n">
        <v>0.42865896</v>
      </c>
      <c r="Q77" s="18" t="n">
        <v>0</v>
      </c>
      <c r="R77" s="20" t="n">
        <v>0</v>
      </c>
      <c r="S77" s="18" t="n">
        <v>20.54213173</v>
      </c>
      <c r="T77" s="20" t="n">
        <v>2.04980706</v>
      </c>
    </row>
    <row r="78" spans="1:20">
      <c r="A78" s="15" t="s">
        <v>638</v>
      </c>
      <c r="B78" s="17" t="n">
        <v>14167</v>
      </c>
      <c r="C78" s="18">
        <f>(12611.0/B78*100)</f>
        <v/>
      </c>
      <c r="D78" s="19" t="n">
        <v>1556</v>
      </c>
      <c r="E78" s="18" t="n">
        <v>64.27023016</v>
      </c>
      <c r="F78" s="20" t="n">
        <v>1.7008157</v>
      </c>
      <c r="G78" s="18" t="n">
        <v>25.0893589</v>
      </c>
      <c r="H78" s="20" t="n">
        <v>1.49286064</v>
      </c>
      <c r="I78" s="18" t="n">
        <v>4.97230488</v>
      </c>
      <c r="J78" s="20" t="n">
        <v>0.65781741</v>
      </c>
      <c r="K78" s="18" t="n">
        <v>0</v>
      </c>
      <c r="L78" s="20" t="n">
        <v>0</v>
      </c>
      <c r="M78" s="18" t="n">
        <v>0.26536848</v>
      </c>
      <c r="N78" s="20" t="n">
        <v>0.12740926</v>
      </c>
      <c r="O78" s="18" t="n">
        <v>0.11773034</v>
      </c>
      <c r="P78" s="20" t="n">
        <v>0.07273488</v>
      </c>
      <c r="Q78" s="18" t="n">
        <v>0</v>
      </c>
      <c r="R78" s="20" t="n">
        <v>0</v>
      </c>
      <c r="S78" s="18" t="n">
        <v>5.28500724</v>
      </c>
      <c r="T78" s="20" t="n">
        <v>0.57535694</v>
      </c>
    </row>
    <row r="79" spans="1:20">
      <c r="A79" s="15" t="s">
        <v>639</v>
      </c>
      <c r="B79" s="17" t="n">
        <v>6062</v>
      </c>
      <c r="C79" s="18">
        <f>(5422.0/B79*100)</f>
        <v/>
      </c>
      <c r="D79" s="19" t="n">
        <v>640</v>
      </c>
      <c r="E79" s="18" t="n">
        <v>58.78607138</v>
      </c>
      <c r="F79" s="20" t="n">
        <v>2.17855039</v>
      </c>
      <c r="G79" s="18" t="n">
        <v>19.08521743</v>
      </c>
      <c r="H79" s="20" t="n">
        <v>1.8244363</v>
      </c>
      <c r="I79" s="18" t="n">
        <v>2.78243559</v>
      </c>
      <c r="J79" s="20" t="n">
        <v>0.65472934</v>
      </c>
      <c r="K79" s="18" t="n">
        <v>0</v>
      </c>
      <c r="L79" s="20" t="n">
        <v>0</v>
      </c>
      <c r="M79" s="18" t="n">
        <v>0.95042799</v>
      </c>
      <c r="N79" s="20" t="n">
        <v>0.32999548</v>
      </c>
      <c r="O79" s="18" t="n">
        <v>0</v>
      </c>
      <c r="P79" s="20" t="n">
        <v>0</v>
      </c>
      <c r="Q79" s="18" t="n">
        <v>0</v>
      </c>
      <c r="R79" s="20" t="n">
        <v>0</v>
      </c>
      <c r="S79" s="18" t="n">
        <v>18.39584762</v>
      </c>
      <c r="T79" s="20" t="n">
        <v>1.55644386</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(28713.0/B82*100)</f>
        <v/>
      </c>
      <c r="D82" s="19" t="n">
        <v>3617</v>
      </c>
      <c r="E82" s="18" t="n">
        <v>55.03632988</v>
      </c>
      <c r="F82" s="20" t="n">
        <v>1.31302972</v>
      </c>
      <c r="G82" s="18" t="n">
        <v>27.71007398</v>
      </c>
      <c r="H82" s="20" t="n">
        <v>1.21495938</v>
      </c>
      <c r="I82" s="18" t="n">
        <v>9.48288859</v>
      </c>
      <c r="J82" s="20" t="n">
        <v>0.65423413</v>
      </c>
      <c r="K82" s="18" t="n">
        <v>0</v>
      </c>
      <c r="L82" s="20" t="n">
        <v>0</v>
      </c>
      <c r="M82" s="18" t="n">
        <v>0.11717689</v>
      </c>
      <c r="N82" s="20" t="n">
        <v>0.07264316</v>
      </c>
      <c r="O82" s="18" t="n">
        <v>0.09052686</v>
      </c>
      <c r="P82" s="20" t="n">
        <v>0.09030371</v>
      </c>
      <c r="Q82" s="18" t="n">
        <v>0</v>
      </c>
      <c r="R82" s="20" t="n">
        <v>0</v>
      </c>
      <c r="S82" s="18" t="n">
        <v>7.56300379</v>
      </c>
      <c r="T82" s="20" t="n">
        <v>0.70521206</v>
      </c>
    </row>
    <row r="83" spans="1:20">
      <c r="A83" s="15" t="s">
        <v>643</v>
      </c>
      <c r="B83" s="17" t="n">
        <v>1652</v>
      </c>
      <c r="C83" s="18">
        <f>(1473.0/B83*100)</f>
        <v/>
      </c>
      <c r="D83" s="19" t="n">
        <v>179</v>
      </c>
      <c r="E83" s="18" t="n">
        <v>58.50553512</v>
      </c>
      <c r="F83" s="20" t="n">
        <v>3.9726514</v>
      </c>
      <c r="G83" s="18" t="n">
        <v>32.52082237</v>
      </c>
      <c r="H83" s="20" t="n">
        <v>3.92618567</v>
      </c>
      <c r="I83" s="18" t="n">
        <v>5.58508849</v>
      </c>
      <c r="J83" s="20" t="n">
        <v>2.096931</v>
      </c>
      <c r="K83" s="18" t="n">
        <v>0</v>
      </c>
      <c r="L83" s="20" t="n">
        <v>0</v>
      </c>
      <c r="M83" s="18" t="n">
        <v>0</v>
      </c>
      <c r="N83" s="20" t="n">
        <v>0</v>
      </c>
      <c r="O83" s="18" t="n">
        <v>0</v>
      </c>
      <c r="P83" s="20" t="n">
        <v>0</v>
      </c>
      <c r="Q83" s="18" t="n">
        <v>0</v>
      </c>
      <c r="R83" s="20" t="n">
        <v>0</v>
      </c>
      <c r="S83" s="18" t="n">
        <v>3.38855402</v>
      </c>
      <c r="T83" s="20" t="n">
        <v>1.15588592</v>
      </c>
    </row>
    <row r="84" spans="1:20">
      <c r="A84" s="23" t="s">
        <v>644</v>
      </c>
      <c r="B84" s="24" t="n">
        <v>1887</v>
      </c>
      <c r="C84" s="25">
        <f>(1691.0/B84*100)</f>
        <v/>
      </c>
      <c r="D84" s="19" t="n">
        <v>196</v>
      </c>
      <c r="E84" s="18" t="n">
        <v>62.29499537</v>
      </c>
      <c r="F84" s="20" t="n">
        <v>3.93149683</v>
      </c>
      <c r="G84" s="18" t="n">
        <v>30.81806273</v>
      </c>
      <c r="H84" s="20" t="n">
        <v>3.14247085</v>
      </c>
      <c r="I84" s="18" t="n">
        <v>4.1946332</v>
      </c>
      <c r="J84" s="20" t="n">
        <v>1.49849755</v>
      </c>
      <c r="K84" s="18" t="n">
        <v>0</v>
      </c>
      <c r="L84" s="20" t="n">
        <v>0</v>
      </c>
      <c r="M84" s="18" t="n">
        <v>0</v>
      </c>
      <c r="N84" s="20" t="n">
        <v>0</v>
      </c>
      <c r="O84" s="18" t="n">
        <v>0</v>
      </c>
      <c r="P84" s="20" t="n">
        <v>0</v>
      </c>
      <c r="Q84" s="18" t="n">
        <v>0</v>
      </c>
      <c r="R84" s="20" t="n">
        <v>0</v>
      </c>
      <c r="S84" s="18" t="n">
        <v>2.6923087</v>
      </c>
      <c r="T84" s="20" t="n">
        <v>1.23997392</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(12946.0/B7*100)</f>
        <v/>
      </c>
      <c r="D7" s="19" t="n">
        <v>1584</v>
      </c>
      <c r="E7" s="18" t="n">
        <v>32.43785469</v>
      </c>
      <c r="F7" s="20" t="n">
        <v>1.51647412</v>
      </c>
      <c r="G7" s="18" t="n">
        <v>67.25593454</v>
      </c>
      <c r="H7" s="20" t="n">
        <v>1.52036206</v>
      </c>
      <c r="I7" s="18" t="n">
        <v>0</v>
      </c>
      <c r="J7" s="20" t="n">
        <v>0</v>
      </c>
      <c r="K7" s="18" t="n">
        <v>0.11366009</v>
      </c>
      <c r="L7" s="20" t="n">
        <v>0.08982696</v>
      </c>
      <c r="M7" s="18" t="n">
        <v>0</v>
      </c>
      <c r="N7" s="20" t="n">
        <v>0</v>
      </c>
      <c r="O7" s="18" t="n">
        <v>0</v>
      </c>
      <c r="P7" s="20" t="n">
        <v>0</v>
      </c>
      <c r="Q7" s="18" t="n">
        <v>0.19255068</v>
      </c>
      <c r="R7" s="20" t="n">
        <v>0.10301918</v>
      </c>
    </row>
    <row r="8" spans="1:18">
      <c r="A8" s="15" t="s">
        <v>566</v>
      </c>
      <c r="B8" s="17" t="n">
        <v>7007</v>
      </c>
      <c r="C8" s="18">
        <f>(6258.0/B8*100)</f>
        <v/>
      </c>
      <c r="D8" s="19" t="n">
        <v>749</v>
      </c>
      <c r="E8" s="18" t="n">
        <v>29.74468877</v>
      </c>
      <c r="F8" s="20" t="n">
        <v>1.99498202</v>
      </c>
      <c r="G8" s="18" t="n">
        <v>70.00555106</v>
      </c>
      <c r="H8" s="20" t="n">
        <v>2.02818674</v>
      </c>
      <c r="I8" s="18" t="n">
        <v>0</v>
      </c>
      <c r="J8" s="20" t="n">
        <v>0</v>
      </c>
      <c r="K8" s="18" t="n">
        <v>0.05034584</v>
      </c>
      <c r="L8" s="20" t="n">
        <v>0.05037408</v>
      </c>
      <c r="M8" s="18" t="n">
        <v>0</v>
      </c>
      <c r="N8" s="20" t="n">
        <v>0</v>
      </c>
      <c r="O8" s="18" t="n">
        <v>0</v>
      </c>
      <c r="P8" s="20" t="n">
        <v>0</v>
      </c>
      <c r="Q8" s="18" t="n">
        <v>0.19941434</v>
      </c>
      <c r="R8" s="20" t="n">
        <v>0.19922942</v>
      </c>
    </row>
    <row r="9" spans="1:18">
      <c r="A9" s="15" t="s">
        <v>567</v>
      </c>
      <c r="B9" s="17" t="n">
        <v>9651</v>
      </c>
      <c r="C9" s="18">
        <f>(8634.0/B9*100)</f>
        <v/>
      </c>
      <c r="D9" s="19" t="n">
        <v>1017</v>
      </c>
      <c r="E9" s="18" t="n">
        <v>31.04947924</v>
      </c>
      <c r="F9" s="20" t="n">
        <v>1.77583957</v>
      </c>
      <c r="G9" s="18" t="n">
        <v>68.42177765</v>
      </c>
      <c r="H9" s="20" t="n">
        <v>1.75695297</v>
      </c>
      <c r="I9" s="18" t="n">
        <v>0</v>
      </c>
      <c r="J9" s="20" t="n">
        <v>0</v>
      </c>
      <c r="K9" s="18" t="n">
        <v>0.14892803</v>
      </c>
      <c r="L9" s="20" t="n">
        <v>0.13922903</v>
      </c>
      <c r="M9" s="18" t="n">
        <v>0</v>
      </c>
      <c r="N9" s="20" t="n">
        <v>0</v>
      </c>
      <c r="O9" s="18" t="n">
        <v>0</v>
      </c>
      <c r="P9" s="20" t="n">
        <v>0</v>
      </c>
      <c r="Q9" s="18" t="n">
        <v>0.37981509</v>
      </c>
      <c r="R9" s="20" t="n">
        <v>0.20378144</v>
      </c>
    </row>
    <row r="10" spans="1:18">
      <c r="A10" s="15" t="s">
        <v>568</v>
      </c>
      <c r="B10" s="17" t="n">
        <v>20058</v>
      </c>
      <c r="C10" s="18">
        <f>(17800.0/B10*100)</f>
        <v/>
      </c>
      <c r="D10" s="19" t="n">
        <v>2258</v>
      </c>
      <c r="E10" s="18" t="n">
        <v>28.19124164</v>
      </c>
      <c r="F10" s="20" t="n">
        <v>1.31673787</v>
      </c>
      <c r="G10" s="18" t="n">
        <v>71.42597926000001</v>
      </c>
      <c r="H10" s="20" t="n">
        <v>1.33638509</v>
      </c>
      <c r="I10" s="18" t="n">
        <v>0</v>
      </c>
      <c r="J10" s="20" t="n">
        <v>0</v>
      </c>
      <c r="K10" s="18" t="n">
        <v>0.32729356</v>
      </c>
      <c r="L10" s="20" t="n">
        <v>0.16655998</v>
      </c>
      <c r="M10" s="18" t="n">
        <v>0</v>
      </c>
      <c r="N10" s="20" t="n">
        <v>0</v>
      </c>
      <c r="O10" s="18" t="n">
        <v>0</v>
      </c>
      <c r="P10" s="20" t="n">
        <v>0</v>
      </c>
      <c r="Q10" s="18" t="n">
        <v>0.05548555</v>
      </c>
      <c r="R10" s="20" t="n">
        <v>0.043413</v>
      </c>
    </row>
    <row r="11" spans="1:18">
      <c r="A11" s="15" t="s">
        <v>569</v>
      </c>
      <c r="B11" s="17" t="n">
        <v>7053</v>
      </c>
      <c r="C11" s="18">
        <f>(6257.0/B11*100)</f>
        <v/>
      </c>
      <c r="D11" s="19" t="n">
        <v>796</v>
      </c>
      <c r="E11" s="18" t="n">
        <v>47.14027311</v>
      </c>
      <c r="F11" s="20" t="n">
        <v>2.1546824</v>
      </c>
      <c r="G11" s="18" t="n">
        <v>51.26314068</v>
      </c>
      <c r="H11" s="20" t="n">
        <v>2.18365085</v>
      </c>
      <c r="I11" s="18" t="n">
        <v>0</v>
      </c>
      <c r="J11" s="20" t="n">
        <v>0</v>
      </c>
      <c r="K11" s="18" t="n">
        <v>1.0295643</v>
      </c>
      <c r="L11" s="20" t="n">
        <v>0.45860003</v>
      </c>
      <c r="M11" s="18" t="n">
        <v>0</v>
      </c>
      <c r="N11" s="20" t="n">
        <v>0</v>
      </c>
      <c r="O11" s="18" t="n">
        <v>0</v>
      </c>
      <c r="P11" s="20" t="n">
        <v>0</v>
      </c>
      <c r="Q11" s="18" t="n">
        <v>0.56702191</v>
      </c>
      <c r="R11" s="20" t="n">
        <v>0.285962</v>
      </c>
    </row>
    <row r="12" spans="1:18">
      <c r="A12" s="15" t="s">
        <v>570</v>
      </c>
      <c r="B12" s="17" t="n">
        <v>6894</v>
      </c>
      <c r="C12" s="18">
        <f>(6117.0/B12*100)</f>
        <v/>
      </c>
      <c r="D12" s="19" t="n">
        <v>777</v>
      </c>
      <c r="E12" s="18" t="n">
        <v>26.17396883</v>
      </c>
      <c r="F12" s="20" t="n">
        <v>2.02660861</v>
      </c>
      <c r="G12" s="18" t="n">
        <v>73.70238625</v>
      </c>
      <c r="H12" s="20" t="n">
        <v>2.01053423</v>
      </c>
      <c r="I12" s="18" t="n">
        <v>0</v>
      </c>
      <c r="J12" s="20" t="n">
        <v>0</v>
      </c>
      <c r="K12" s="18" t="n">
        <v>0</v>
      </c>
      <c r="L12" s="20" t="n">
        <v>0</v>
      </c>
      <c r="M12" s="18" t="n">
        <v>0</v>
      </c>
      <c r="N12" s="20" t="n">
        <v>0</v>
      </c>
      <c r="O12" s="18" t="n">
        <v>0</v>
      </c>
      <c r="P12" s="20" t="n">
        <v>0</v>
      </c>
      <c r="Q12" s="18" t="n">
        <v>0.12364492</v>
      </c>
      <c r="R12" s="20" t="n">
        <v>0.17910567</v>
      </c>
    </row>
    <row r="13" spans="1:18">
      <c r="A13" s="15" t="s">
        <v>571</v>
      </c>
      <c r="B13" s="17" t="n">
        <v>7161</v>
      </c>
      <c r="C13" s="18">
        <f>(6457.0/B13*100)</f>
        <v/>
      </c>
      <c r="D13" s="19" t="n">
        <v>704</v>
      </c>
      <c r="E13" s="18" t="n">
        <v>27.44926623</v>
      </c>
      <c r="F13" s="20" t="n">
        <v>1.75523936</v>
      </c>
      <c r="G13" s="18" t="n">
        <v>71.91049527</v>
      </c>
      <c r="H13" s="20" t="n">
        <v>1.79172024</v>
      </c>
      <c r="I13" s="18" t="n">
        <v>0</v>
      </c>
      <c r="J13" s="20" t="n">
        <v>0</v>
      </c>
      <c r="K13" s="18" t="n">
        <v>0.40747386</v>
      </c>
      <c r="L13" s="20" t="n">
        <v>0.24607634</v>
      </c>
      <c r="M13" s="18" t="n">
        <v>0</v>
      </c>
      <c r="N13" s="20" t="n">
        <v>0</v>
      </c>
      <c r="O13" s="18" t="n">
        <v>0</v>
      </c>
      <c r="P13" s="20" t="n">
        <v>0</v>
      </c>
      <c r="Q13" s="18" t="n">
        <v>0.23276463</v>
      </c>
      <c r="R13" s="20" t="n">
        <v>0.24814374</v>
      </c>
    </row>
    <row r="14" spans="1:18">
      <c r="A14" s="15" t="s">
        <v>572</v>
      </c>
      <c r="B14" s="17" t="n">
        <v>5587</v>
      </c>
      <c r="C14" s="18">
        <f>(4938.0/B14*100)</f>
        <v/>
      </c>
      <c r="D14" s="19" t="n">
        <v>649</v>
      </c>
      <c r="E14" s="18" t="n">
        <v>22.4822574</v>
      </c>
      <c r="F14" s="20" t="n">
        <v>1.76227149</v>
      </c>
      <c r="G14" s="18" t="n">
        <v>77.51774260000001</v>
      </c>
      <c r="H14" s="20" t="n">
        <v>1.76227149</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(5238.0/B15*100)</f>
        <v/>
      </c>
      <c r="D15" s="19" t="n">
        <v>644</v>
      </c>
      <c r="E15" s="18" t="n">
        <v>13.8031899</v>
      </c>
      <c r="F15" s="20" t="n">
        <v>1.28909647</v>
      </c>
      <c r="G15" s="18" t="n">
        <v>85.98943514</v>
      </c>
      <c r="H15" s="20" t="n">
        <v>1.2918544</v>
      </c>
      <c r="I15" s="18" t="n">
        <v>0</v>
      </c>
      <c r="J15" s="20" t="n">
        <v>0</v>
      </c>
      <c r="K15" s="18" t="n">
        <v>0.06569068</v>
      </c>
      <c r="L15" s="20" t="n">
        <v>0.06569804999999999</v>
      </c>
      <c r="M15" s="18" t="n">
        <v>0</v>
      </c>
      <c r="N15" s="20" t="n">
        <v>0</v>
      </c>
      <c r="O15" s="18" t="n">
        <v>0</v>
      </c>
      <c r="P15" s="20" t="n">
        <v>0</v>
      </c>
      <c r="Q15" s="18" t="n">
        <v>0.14168428</v>
      </c>
      <c r="R15" s="20" t="n">
        <v>0.14219772</v>
      </c>
    </row>
    <row r="16" spans="1:18">
      <c r="A16" s="15" t="s">
        <v>574</v>
      </c>
      <c r="B16" s="17" t="n">
        <v>6108</v>
      </c>
      <c r="C16" s="18">
        <f>(5390.0/B16*100)</f>
        <v/>
      </c>
      <c r="D16" s="19" t="n">
        <v>718</v>
      </c>
      <c r="E16" s="18" t="n">
        <v>34.19375294</v>
      </c>
      <c r="F16" s="20" t="n">
        <v>1.69795841</v>
      </c>
      <c r="G16" s="18" t="n">
        <v>64.56211712</v>
      </c>
      <c r="H16" s="20" t="n">
        <v>1.72021051</v>
      </c>
      <c r="I16" s="18" t="n">
        <v>0</v>
      </c>
      <c r="J16" s="20" t="n">
        <v>0</v>
      </c>
      <c r="K16" s="18" t="n">
        <v>0.14124618</v>
      </c>
      <c r="L16" s="20" t="n">
        <v>0.1513781</v>
      </c>
      <c r="M16" s="18" t="n">
        <v>0</v>
      </c>
      <c r="N16" s="20" t="n">
        <v>0</v>
      </c>
      <c r="O16" s="18" t="n">
        <v>0</v>
      </c>
      <c r="P16" s="20" t="n">
        <v>0</v>
      </c>
      <c r="Q16" s="18" t="n">
        <v>1.10288376</v>
      </c>
      <c r="R16" s="20" t="n">
        <v>0.41135077</v>
      </c>
    </row>
    <row r="17" spans="1:18">
      <c r="A17" s="15" t="s">
        <v>575</v>
      </c>
      <c r="B17" s="17" t="n">
        <v>6504</v>
      </c>
      <c r="C17" s="18">
        <f>(5824.0/B17*100)</f>
        <v/>
      </c>
      <c r="D17" s="19" t="n">
        <v>680</v>
      </c>
      <c r="E17" s="18" t="n">
        <v>29.84472661</v>
      </c>
      <c r="F17" s="20" t="n">
        <v>1.71287665</v>
      </c>
      <c r="G17" s="18" t="n">
        <v>69.34687458000001</v>
      </c>
      <c r="H17" s="20" t="n">
        <v>1.75411313</v>
      </c>
      <c r="I17" s="18" t="n">
        <v>0</v>
      </c>
      <c r="J17" s="20" t="n">
        <v>0</v>
      </c>
      <c r="K17" s="18" t="n">
        <v>0.41586192</v>
      </c>
      <c r="L17" s="20" t="n">
        <v>0.20900097</v>
      </c>
      <c r="M17" s="18" t="n">
        <v>0</v>
      </c>
      <c r="N17" s="20" t="n">
        <v>0</v>
      </c>
      <c r="O17" s="18" t="n">
        <v>0</v>
      </c>
      <c r="P17" s="20" t="n">
        <v>0</v>
      </c>
      <c r="Q17" s="18" t="n">
        <v>0.39253689</v>
      </c>
      <c r="R17" s="20" t="n">
        <v>0.23306743</v>
      </c>
    </row>
    <row r="18" spans="1:18">
      <c r="A18" s="15" t="s">
        <v>576</v>
      </c>
      <c r="B18" s="17" t="n">
        <v>5532</v>
      </c>
      <c r="C18" s="18">
        <f>(4908.0/B18*100)</f>
        <v/>
      </c>
      <c r="D18" s="19" t="n">
        <v>624</v>
      </c>
      <c r="E18" s="18" t="n">
        <v>35.37749968</v>
      </c>
      <c r="F18" s="20" t="n">
        <v>2.27293052</v>
      </c>
      <c r="G18" s="18" t="n">
        <v>64.35923104</v>
      </c>
      <c r="H18" s="20" t="n">
        <v>2.24070209</v>
      </c>
      <c r="I18" s="18" t="n">
        <v>0</v>
      </c>
      <c r="J18" s="20" t="n">
        <v>0</v>
      </c>
      <c r="K18" s="18" t="n">
        <v>0.26326927</v>
      </c>
      <c r="L18" s="20" t="n">
        <v>0.26110776</v>
      </c>
      <c r="M18" s="18" t="n">
        <v>0</v>
      </c>
      <c r="N18" s="20" t="n">
        <v>0</v>
      </c>
      <c r="O18" s="18" t="n">
        <v>0</v>
      </c>
      <c r="P18" s="20" t="n">
        <v>0</v>
      </c>
      <c r="Q18" s="18" t="n">
        <v>0</v>
      </c>
      <c r="R18" s="20" t="n">
        <v>0</v>
      </c>
    </row>
    <row r="19" spans="1:18">
      <c r="A19" s="15" t="s">
        <v>577</v>
      </c>
      <c r="B19" s="17" t="n">
        <v>5658</v>
      </c>
      <c r="C19" s="18">
        <f>(5066.0/B19*100)</f>
        <v/>
      </c>
      <c r="D19" s="19" t="n">
        <v>592</v>
      </c>
      <c r="E19" s="18" t="n">
        <v>15.57524353</v>
      </c>
      <c r="F19" s="20" t="n">
        <v>1.7282571</v>
      </c>
      <c r="G19" s="18" t="n">
        <v>84.42475647000001</v>
      </c>
      <c r="H19" s="20" t="n">
        <v>1.7282571</v>
      </c>
      <c r="I19" s="18" t="n">
        <v>0</v>
      </c>
      <c r="J19" s="20" t="n">
        <v>0</v>
      </c>
      <c r="K19" s="18" t="n">
        <v>0</v>
      </c>
      <c r="L19" s="20" t="n">
        <v>0</v>
      </c>
      <c r="M19" s="18" t="n">
        <v>0</v>
      </c>
      <c r="N19" s="20" t="n">
        <v>0</v>
      </c>
      <c r="O19" s="18" t="n">
        <v>0</v>
      </c>
      <c r="P19" s="20" t="n">
        <v>0</v>
      </c>
      <c r="Q19" s="18" t="n">
        <v>0</v>
      </c>
      <c r="R19" s="20" t="n">
        <v>0</v>
      </c>
    </row>
    <row r="20" spans="1:18">
      <c r="A20" s="15" t="s">
        <v>578</v>
      </c>
      <c r="B20" s="17" t="n">
        <v>3371</v>
      </c>
      <c r="C20" s="18">
        <f>(2999.0/B20*100)</f>
        <v/>
      </c>
      <c r="D20" s="19" t="n">
        <v>372</v>
      </c>
      <c r="E20" s="18" t="n">
        <v>22.75526382</v>
      </c>
      <c r="F20" s="20" t="n">
        <v>2.1008513</v>
      </c>
      <c r="G20" s="18" t="n">
        <v>75.58861643</v>
      </c>
      <c r="H20" s="20" t="n">
        <v>2.0825411</v>
      </c>
      <c r="I20" s="18" t="n">
        <v>0</v>
      </c>
      <c r="J20" s="20" t="n">
        <v>0</v>
      </c>
      <c r="K20" s="18" t="n">
        <v>1.10887817</v>
      </c>
      <c r="L20" s="20" t="n">
        <v>0.5593367</v>
      </c>
      <c r="M20" s="18" t="n">
        <v>0</v>
      </c>
      <c r="N20" s="20" t="n">
        <v>0</v>
      </c>
      <c r="O20" s="18" t="n">
        <v>0</v>
      </c>
      <c r="P20" s="20" t="n">
        <v>0</v>
      </c>
      <c r="Q20" s="18" t="n">
        <v>0.5472415900000001</v>
      </c>
      <c r="R20" s="20" t="n">
        <v>0.37903323</v>
      </c>
    </row>
    <row r="21" spans="1:18">
      <c r="A21" s="15" t="s">
        <v>579</v>
      </c>
      <c r="B21" s="17" t="n">
        <v>5741</v>
      </c>
      <c r="C21" s="18">
        <f>(5126.0/B21*100)</f>
        <v/>
      </c>
      <c r="D21" s="19" t="n">
        <v>615</v>
      </c>
      <c r="E21" s="18" t="n">
        <v>36.92678632</v>
      </c>
      <c r="F21" s="20" t="n">
        <v>2.03879582</v>
      </c>
      <c r="G21" s="18" t="n">
        <v>62.44245985</v>
      </c>
      <c r="H21" s="20" t="n">
        <v>2.02135394</v>
      </c>
      <c r="I21" s="18" t="n">
        <v>0</v>
      </c>
      <c r="J21" s="20" t="n">
        <v>0</v>
      </c>
      <c r="K21" s="18" t="n">
        <v>0.13974576</v>
      </c>
      <c r="L21" s="20" t="n">
        <v>0.1014391</v>
      </c>
      <c r="M21" s="18" t="n">
        <v>0</v>
      </c>
      <c r="N21" s="20" t="n">
        <v>0</v>
      </c>
      <c r="O21" s="18" t="n">
        <v>0</v>
      </c>
      <c r="P21" s="20" t="n">
        <v>0</v>
      </c>
      <c r="Q21" s="18" t="n">
        <v>0.49100807</v>
      </c>
      <c r="R21" s="20" t="n">
        <v>0.31132524</v>
      </c>
    </row>
    <row r="22" spans="1:18">
      <c r="A22" s="15" t="s">
        <v>580</v>
      </c>
      <c r="B22" s="17" t="n">
        <v>6598</v>
      </c>
      <c r="C22" s="18">
        <f>(5902.0/B22*100)</f>
        <v/>
      </c>
      <c r="D22" s="19" t="n">
        <v>696</v>
      </c>
      <c r="E22" s="18" t="n">
        <v>28.02313761</v>
      </c>
      <c r="F22" s="20" t="n">
        <v>1.81569744</v>
      </c>
      <c r="G22" s="18" t="n">
        <v>71.30100034</v>
      </c>
      <c r="H22" s="20" t="n">
        <v>1.82105616</v>
      </c>
      <c r="I22" s="18" t="n">
        <v>0</v>
      </c>
      <c r="J22" s="20" t="n">
        <v>0</v>
      </c>
      <c r="K22" s="18" t="n">
        <v>0.40768962</v>
      </c>
      <c r="L22" s="20" t="n">
        <v>0.29236401</v>
      </c>
      <c r="M22" s="18" t="n">
        <v>0</v>
      </c>
      <c r="N22" s="20" t="n">
        <v>0</v>
      </c>
      <c r="O22" s="18" t="n">
        <v>0</v>
      </c>
      <c r="P22" s="20" t="n">
        <v>0</v>
      </c>
      <c r="Q22" s="18" t="n">
        <v>0.26817242</v>
      </c>
      <c r="R22" s="20" t="n">
        <v>0.1621707</v>
      </c>
    </row>
    <row r="23" spans="1:18">
      <c r="A23" s="15" t="s">
        <v>581</v>
      </c>
      <c r="B23" s="17" t="n">
        <v>11583</v>
      </c>
      <c r="C23" s="18">
        <f>(10320.0/B23*100)</f>
        <v/>
      </c>
      <c r="D23" s="19" t="n">
        <v>1263</v>
      </c>
      <c r="E23" s="18" t="n">
        <v>29.15364879</v>
      </c>
      <c r="F23" s="20" t="n">
        <v>2.16587886</v>
      </c>
      <c r="G23" s="18" t="n">
        <v>70.56967822999999</v>
      </c>
      <c r="H23" s="20" t="n">
        <v>2.16557121</v>
      </c>
      <c r="I23" s="18" t="n">
        <v>0</v>
      </c>
      <c r="J23" s="20" t="n">
        <v>0</v>
      </c>
      <c r="K23" s="18" t="n">
        <v>0.01056931</v>
      </c>
      <c r="L23" s="20" t="n">
        <v>0.00872915</v>
      </c>
      <c r="M23" s="18" t="n">
        <v>0</v>
      </c>
      <c r="N23" s="20" t="n">
        <v>0</v>
      </c>
      <c r="O23" s="18" t="n">
        <v>0</v>
      </c>
      <c r="P23" s="20" t="n">
        <v>0</v>
      </c>
      <c r="Q23" s="18" t="n">
        <v>0.26610367</v>
      </c>
      <c r="R23" s="20" t="n">
        <v>0.16596073</v>
      </c>
    </row>
    <row r="24" spans="1:18">
      <c r="A24" s="15" t="s">
        <v>582</v>
      </c>
      <c r="B24" s="17" t="n">
        <v>6647</v>
      </c>
      <c r="C24" s="18">
        <f>(5934.0/B24*100)</f>
        <v/>
      </c>
      <c r="D24" s="19" t="n">
        <v>713</v>
      </c>
      <c r="E24" s="18" t="n">
        <v>22.56267946</v>
      </c>
      <c r="F24" s="20" t="n">
        <v>1.45970479</v>
      </c>
      <c r="G24" s="18" t="n">
        <v>77.00728012</v>
      </c>
      <c r="H24" s="20" t="n">
        <v>1.4913573</v>
      </c>
      <c r="I24" s="18" t="n">
        <v>0</v>
      </c>
      <c r="J24" s="20" t="n">
        <v>0</v>
      </c>
      <c r="K24" s="18" t="n">
        <v>0</v>
      </c>
      <c r="L24" s="20" t="n">
        <v>0</v>
      </c>
      <c r="M24" s="18" t="n">
        <v>0</v>
      </c>
      <c r="N24" s="20" t="n">
        <v>0</v>
      </c>
      <c r="O24" s="18" t="n">
        <v>0</v>
      </c>
      <c r="P24" s="20" t="n">
        <v>0</v>
      </c>
      <c r="Q24" s="18" t="n">
        <v>0.43004042</v>
      </c>
      <c r="R24" s="20" t="n">
        <v>0.25251179</v>
      </c>
    </row>
    <row r="25" spans="1:18">
      <c r="A25" s="15" t="s">
        <v>583</v>
      </c>
      <c r="B25" s="17" t="n">
        <v>5581</v>
      </c>
      <c r="C25" s="18">
        <f>(4969.0/B25*100)</f>
        <v/>
      </c>
      <c r="D25" s="19" t="n">
        <v>612</v>
      </c>
      <c r="E25" s="18" t="n">
        <v>47.80229249</v>
      </c>
      <c r="F25" s="20" t="n">
        <v>1.90734949</v>
      </c>
      <c r="G25" s="18" t="n">
        <v>51.97146331</v>
      </c>
      <c r="H25" s="20" t="n">
        <v>1.92319105</v>
      </c>
      <c r="I25" s="18" t="n">
        <v>0</v>
      </c>
      <c r="J25" s="20" t="n">
        <v>0</v>
      </c>
      <c r="K25" s="18" t="n">
        <v>0</v>
      </c>
      <c r="L25" s="20" t="n">
        <v>0</v>
      </c>
      <c r="M25" s="18" t="n">
        <v>0</v>
      </c>
      <c r="N25" s="20" t="n">
        <v>0</v>
      </c>
      <c r="O25" s="18" t="n">
        <v>0</v>
      </c>
      <c r="P25" s="20" t="n">
        <v>0</v>
      </c>
      <c r="Q25" s="18" t="n">
        <v>0.22624421</v>
      </c>
      <c r="R25" s="20" t="n">
        <v>0.1621366</v>
      </c>
    </row>
    <row r="26" spans="1:18">
      <c r="A26" s="15" t="s">
        <v>584</v>
      </c>
      <c r="B26" s="17" t="n">
        <v>4869</v>
      </c>
      <c r="C26" s="18">
        <f>(4307.0/B26*100)</f>
        <v/>
      </c>
      <c r="D26" s="19" t="n">
        <v>562</v>
      </c>
      <c r="E26" s="18" t="n">
        <v>25.66010857</v>
      </c>
      <c r="F26" s="20" t="n">
        <v>2.00540731</v>
      </c>
      <c r="G26" s="18" t="n">
        <v>74.33989142999999</v>
      </c>
      <c r="H26" s="20" t="n">
        <v>2.00540731</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(4688.0/B27*100)</f>
        <v/>
      </c>
      <c r="D27" s="19" t="n">
        <v>611</v>
      </c>
      <c r="E27" s="18" t="n">
        <v>33.01099664</v>
      </c>
      <c r="F27" s="20" t="n">
        <v>1.764615</v>
      </c>
      <c r="G27" s="18" t="n">
        <v>66.33627743</v>
      </c>
      <c r="H27" s="20" t="n">
        <v>1.76748966</v>
      </c>
      <c r="I27" s="18" t="n">
        <v>0</v>
      </c>
      <c r="J27" s="20" t="n">
        <v>0</v>
      </c>
      <c r="K27" s="18" t="n">
        <v>0.48827349</v>
      </c>
      <c r="L27" s="20" t="n">
        <v>0.28065721</v>
      </c>
      <c r="M27" s="18" t="n">
        <v>0</v>
      </c>
      <c r="N27" s="20" t="n">
        <v>0</v>
      </c>
      <c r="O27" s="18" t="n">
        <v>0</v>
      </c>
      <c r="P27" s="20" t="n">
        <v>0</v>
      </c>
      <c r="Q27" s="18" t="n">
        <v>0.16445244</v>
      </c>
      <c r="R27" s="20" t="n">
        <v>0.16461458</v>
      </c>
    </row>
    <row r="28" spans="1:18">
      <c r="A28" s="15" t="s">
        <v>586</v>
      </c>
      <c r="B28" s="17" t="n">
        <v>7568</v>
      </c>
      <c r="C28" s="18">
        <f>(6735.0/B28*100)</f>
        <v/>
      </c>
      <c r="D28" s="19" t="n">
        <v>833</v>
      </c>
      <c r="E28" s="18" t="n">
        <v>52.04235393</v>
      </c>
      <c r="F28" s="20" t="n">
        <v>2.19461422</v>
      </c>
      <c r="G28" s="18" t="n">
        <v>47.18087014</v>
      </c>
      <c r="H28" s="20" t="n">
        <v>2.23792621</v>
      </c>
      <c r="I28" s="18" t="n">
        <v>0</v>
      </c>
      <c r="J28" s="20" t="n">
        <v>0</v>
      </c>
      <c r="K28" s="18" t="n">
        <v>0.50643271</v>
      </c>
      <c r="L28" s="20" t="n">
        <v>0.2786006</v>
      </c>
      <c r="M28" s="18" t="n">
        <v>0</v>
      </c>
      <c r="N28" s="20" t="n">
        <v>0</v>
      </c>
      <c r="O28" s="18" t="n">
        <v>0</v>
      </c>
      <c r="P28" s="20" t="n">
        <v>0</v>
      </c>
      <c r="Q28" s="18" t="n">
        <v>0.27034322</v>
      </c>
      <c r="R28" s="20" t="n">
        <v>0.17800499</v>
      </c>
    </row>
    <row r="29" spans="1:18">
      <c r="A29" s="15" t="s">
        <v>587</v>
      </c>
      <c r="B29" s="17" t="n">
        <v>5385</v>
      </c>
      <c r="C29" s="18">
        <f>(4851.0/B29*100)</f>
        <v/>
      </c>
      <c r="D29" s="19" t="n">
        <v>534</v>
      </c>
      <c r="E29" s="18" t="n">
        <v>19.31093045</v>
      </c>
      <c r="F29" s="20" t="n">
        <v>1.62796614</v>
      </c>
      <c r="G29" s="18" t="n">
        <v>80.26496632</v>
      </c>
      <c r="H29" s="20" t="n">
        <v>1.58944791</v>
      </c>
      <c r="I29" s="18" t="n">
        <v>0</v>
      </c>
      <c r="J29" s="20" t="n">
        <v>0</v>
      </c>
      <c r="K29" s="18" t="n">
        <v>0.17061289</v>
      </c>
      <c r="L29" s="20" t="n">
        <v>0.16227445</v>
      </c>
      <c r="M29" s="18" t="n">
        <v>0</v>
      </c>
      <c r="N29" s="20" t="n">
        <v>0</v>
      </c>
      <c r="O29" s="18" t="n">
        <v>0</v>
      </c>
      <c r="P29" s="20" t="n">
        <v>0</v>
      </c>
      <c r="Q29" s="18" t="n">
        <v>0.25349033</v>
      </c>
      <c r="R29" s="20" t="n">
        <v>0.21912474</v>
      </c>
    </row>
    <row r="30" spans="1:18">
      <c r="A30" s="15" t="s">
        <v>588</v>
      </c>
      <c r="B30" s="17" t="n">
        <v>4520</v>
      </c>
      <c r="C30" s="18">
        <f>(4009.0/B30*100)</f>
        <v/>
      </c>
      <c r="D30" s="19" t="n">
        <v>511</v>
      </c>
      <c r="E30" s="18" t="n">
        <v>35.5017725</v>
      </c>
      <c r="F30" s="20" t="n">
        <v>2.18036525</v>
      </c>
      <c r="G30" s="18" t="n">
        <v>63.14745026</v>
      </c>
      <c r="H30" s="20" t="n">
        <v>2.24470517</v>
      </c>
      <c r="I30" s="18" t="n">
        <v>0</v>
      </c>
      <c r="J30" s="20" t="n">
        <v>0</v>
      </c>
      <c r="K30" s="18" t="n">
        <v>0.2466689</v>
      </c>
      <c r="L30" s="20" t="n">
        <v>0.26430037</v>
      </c>
      <c r="M30" s="18" t="n">
        <v>0</v>
      </c>
      <c r="N30" s="20" t="n">
        <v>0</v>
      </c>
      <c r="O30" s="18" t="n">
        <v>0</v>
      </c>
      <c r="P30" s="20" t="n">
        <v>0</v>
      </c>
      <c r="Q30" s="18" t="n">
        <v>1.10410834</v>
      </c>
      <c r="R30" s="20" t="n">
        <v>0.38436286</v>
      </c>
    </row>
    <row r="31" spans="1:18">
      <c r="A31" s="15" t="s">
        <v>589</v>
      </c>
      <c r="B31" s="17" t="n">
        <v>5456</v>
      </c>
      <c r="C31" s="18">
        <f>(4849.0/B31*100)</f>
        <v/>
      </c>
      <c r="D31" s="19" t="n">
        <v>607</v>
      </c>
      <c r="E31" s="18" t="n">
        <v>24.20707985</v>
      </c>
      <c r="F31" s="20" t="n">
        <v>1.76018051</v>
      </c>
      <c r="G31" s="18" t="n">
        <v>75.36422186999999</v>
      </c>
      <c r="H31" s="20" t="n">
        <v>1.79661149</v>
      </c>
      <c r="I31" s="18" t="n">
        <v>0</v>
      </c>
      <c r="J31" s="20" t="n">
        <v>0</v>
      </c>
      <c r="K31" s="18" t="n">
        <v>0.26067884</v>
      </c>
      <c r="L31" s="20" t="n">
        <v>0.18418685</v>
      </c>
      <c r="M31" s="18" t="n">
        <v>0</v>
      </c>
      <c r="N31" s="20" t="n">
        <v>0</v>
      </c>
      <c r="O31" s="18" t="n">
        <v>0</v>
      </c>
      <c r="P31" s="20" t="n">
        <v>0</v>
      </c>
      <c r="Q31" s="18" t="n">
        <v>0.16801944</v>
      </c>
      <c r="R31" s="20" t="n">
        <v>0.1790059</v>
      </c>
    </row>
    <row r="32" spans="1:18">
      <c r="A32" s="15" t="s">
        <v>590</v>
      </c>
      <c r="B32" s="17" t="n">
        <v>4478</v>
      </c>
      <c r="C32" s="18">
        <f>(3997.0/B32*100)</f>
        <v/>
      </c>
      <c r="D32" s="19" t="n">
        <v>481</v>
      </c>
      <c r="E32" s="18" t="n">
        <v>25.75569173</v>
      </c>
      <c r="F32" s="20" t="n">
        <v>1.81360442</v>
      </c>
      <c r="G32" s="18" t="n">
        <v>74.24430827</v>
      </c>
      <c r="H32" s="20" t="n">
        <v>1.81360442</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(6504.0/B33*100)</f>
        <v/>
      </c>
      <c r="D33" s="19" t="n">
        <v>821</v>
      </c>
      <c r="E33" s="18" t="n">
        <v>34.20335296</v>
      </c>
      <c r="F33" s="20" t="n">
        <v>2.06491489</v>
      </c>
      <c r="G33" s="18" t="n">
        <v>65.25615765000001</v>
      </c>
      <c r="H33" s="20" t="n">
        <v>2.12855219</v>
      </c>
      <c r="I33" s="18" t="n">
        <v>0</v>
      </c>
      <c r="J33" s="20" t="n">
        <v>0</v>
      </c>
      <c r="K33" s="18" t="n">
        <v>0.26915414</v>
      </c>
      <c r="L33" s="20" t="n">
        <v>0.20161527</v>
      </c>
      <c r="M33" s="18" t="n">
        <v>0</v>
      </c>
      <c r="N33" s="20" t="n">
        <v>0</v>
      </c>
      <c r="O33" s="18" t="n">
        <v>0</v>
      </c>
      <c r="P33" s="20" t="n">
        <v>0</v>
      </c>
      <c r="Q33" s="18" t="n">
        <v>0.27133525</v>
      </c>
      <c r="R33" s="20" t="n">
        <v>0.16425574</v>
      </c>
    </row>
    <row r="34" spans="1:18">
      <c r="A34" s="15" t="s">
        <v>592</v>
      </c>
      <c r="B34" s="17" t="n">
        <v>6350</v>
      </c>
      <c r="C34" s="18">
        <f>(5669.0/B34*100)</f>
        <v/>
      </c>
      <c r="D34" s="19" t="n">
        <v>681</v>
      </c>
      <c r="E34" s="18" t="n">
        <v>24.93011971</v>
      </c>
      <c r="F34" s="20" t="n">
        <v>1.83218167</v>
      </c>
      <c r="G34" s="18" t="n">
        <v>74.5739514</v>
      </c>
      <c r="H34" s="20" t="n">
        <v>1.86883118</v>
      </c>
      <c r="I34" s="18" t="n">
        <v>0</v>
      </c>
      <c r="J34" s="20" t="n">
        <v>0</v>
      </c>
      <c r="K34" s="18" t="n">
        <v>0</v>
      </c>
      <c r="L34" s="20" t="n">
        <v>0</v>
      </c>
      <c r="M34" s="18" t="n">
        <v>0</v>
      </c>
      <c r="N34" s="20" t="n">
        <v>0</v>
      </c>
      <c r="O34" s="18" t="n">
        <v>0</v>
      </c>
      <c r="P34" s="20" t="n">
        <v>0</v>
      </c>
      <c r="Q34" s="18" t="n">
        <v>0.49592889</v>
      </c>
      <c r="R34" s="20" t="n">
        <v>0.2859285</v>
      </c>
    </row>
    <row r="35" spans="1:18">
      <c r="A35" s="15" t="s">
        <v>593</v>
      </c>
      <c r="B35" s="17" t="n">
        <v>6406</v>
      </c>
      <c r="C35" s="18">
        <f>(5721.0/B35*100)</f>
        <v/>
      </c>
      <c r="D35" s="19" t="n">
        <v>685</v>
      </c>
      <c r="E35" s="18" t="n">
        <v>16.25506526</v>
      </c>
      <c r="F35" s="20" t="n">
        <v>1.54028223</v>
      </c>
      <c r="G35" s="18" t="n">
        <v>83.44969294000001</v>
      </c>
      <c r="H35" s="20" t="n">
        <v>1.56238475</v>
      </c>
      <c r="I35" s="18" t="n">
        <v>0</v>
      </c>
      <c r="J35" s="20" t="n">
        <v>0</v>
      </c>
      <c r="K35" s="18" t="n">
        <v>0.08144589000000001</v>
      </c>
      <c r="L35" s="20" t="n">
        <v>0.08098076999999999</v>
      </c>
      <c r="M35" s="18" t="n">
        <v>0</v>
      </c>
      <c r="N35" s="20" t="n">
        <v>0</v>
      </c>
      <c r="O35" s="18" t="n">
        <v>0</v>
      </c>
      <c r="P35" s="20" t="n">
        <v>0</v>
      </c>
      <c r="Q35" s="18" t="n">
        <v>0.21379592</v>
      </c>
      <c r="R35" s="20" t="n">
        <v>0.21547876</v>
      </c>
    </row>
    <row r="36" spans="1:18">
      <c r="A36" s="15" t="s">
        <v>594</v>
      </c>
      <c r="B36" s="17" t="n">
        <v>6736</v>
      </c>
      <c r="C36" s="18">
        <f>(5935.0/B36*100)</f>
        <v/>
      </c>
      <c r="D36" s="19" t="n">
        <v>801</v>
      </c>
      <c r="E36" s="18" t="n">
        <v>34.1360859</v>
      </c>
      <c r="F36" s="20" t="n">
        <v>1.89383528</v>
      </c>
      <c r="G36" s="18" t="n">
        <v>65.19261413</v>
      </c>
      <c r="H36" s="20" t="n">
        <v>1.87656588</v>
      </c>
      <c r="I36" s="18" t="n">
        <v>0</v>
      </c>
      <c r="J36" s="20" t="n">
        <v>0</v>
      </c>
      <c r="K36" s="18" t="n">
        <v>0.53315276</v>
      </c>
      <c r="L36" s="20" t="n">
        <v>0.27831018</v>
      </c>
      <c r="M36" s="18" t="n">
        <v>0</v>
      </c>
      <c r="N36" s="20" t="n">
        <v>0</v>
      </c>
      <c r="O36" s="18" t="n">
        <v>0</v>
      </c>
      <c r="P36" s="20" t="n">
        <v>0</v>
      </c>
      <c r="Q36" s="18" t="n">
        <v>0.13814721</v>
      </c>
      <c r="R36" s="20" t="n">
        <v>0.10171866</v>
      </c>
    </row>
    <row r="37" spans="1:18">
      <c r="A37" s="15" t="s">
        <v>595</v>
      </c>
      <c r="B37" s="17" t="n">
        <v>5458</v>
      </c>
      <c r="C37" s="18">
        <f>(4858.0/B37*100)</f>
        <v/>
      </c>
      <c r="D37" s="19" t="n">
        <v>600</v>
      </c>
      <c r="E37" s="18" t="n">
        <v>29.08416045</v>
      </c>
      <c r="F37" s="20" t="n">
        <v>1.85439162</v>
      </c>
      <c r="G37" s="18" t="n">
        <v>70.45808986999999</v>
      </c>
      <c r="H37" s="20" t="n">
        <v>1.88574748</v>
      </c>
      <c r="I37" s="18" t="n">
        <v>0</v>
      </c>
      <c r="J37" s="20" t="n">
        <v>0</v>
      </c>
      <c r="K37" s="18" t="n">
        <v>0</v>
      </c>
      <c r="L37" s="20" t="n">
        <v>0</v>
      </c>
      <c r="M37" s="18" t="n">
        <v>0</v>
      </c>
      <c r="N37" s="20" t="n">
        <v>0</v>
      </c>
      <c r="O37" s="18" t="n">
        <v>0</v>
      </c>
      <c r="P37" s="20" t="n">
        <v>0</v>
      </c>
      <c r="Q37" s="18" t="n">
        <v>0.45774968</v>
      </c>
      <c r="R37" s="20" t="n">
        <v>0.33852613</v>
      </c>
    </row>
    <row r="38" spans="1:18">
      <c r="A38" s="15" t="s">
        <v>596</v>
      </c>
      <c r="B38" s="17" t="n">
        <v>5860</v>
      </c>
      <c r="C38" s="18">
        <f>(5209.0/B38*100)</f>
        <v/>
      </c>
      <c r="D38" s="19" t="n">
        <v>651</v>
      </c>
      <c r="E38" s="18" t="n">
        <v>32.34153775</v>
      </c>
      <c r="F38" s="20" t="n">
        <v>2.06314896</v>
      </c>
      <c r="G38" s="18" t="n">
        <v>67.46257018999999</v>
      </c>
      <c r="H38" s="20" t="n">
        <v>2.03412154</v>
      </c>
      <c r="I38" s="18" t="n">
        <v>0</v>
      </c>
      <c r="J38" s="20" t="n">
        <v>0</v>
      </c>
      <c r="K38" s="18" t="n">
        <v>0</v>
      </c>
      <c r="L38" s="20" t="n">
        <v>0</v>
      </c>
      <c r="M38" s="18" t="n">
        <v>0</v>
      </c>
      <c r="N38" s="20" t="n">
        <v>0</v>
      </c>
      <c r="O38" s="18" t="n">
        <v>0</v>
      </c>
      <c r="P38" s="20" t="n">
        <v>0</v>
      </c>
      <c r="Q38" s="18" t="n">
        <v>0.19589206</v>
      </c>
      <c r="R38" s="20" t="n">
        <v>0.17174271</v>
      </c>
    </row>
    <row r="39" spans="1:18">
      <c r="A39" s="15" t="s">
        <v>597</v>
      </c>
      <c r="B39" s="17" t="n">
        <v>5895</v>
      </c>
      <c r="C39" s="18">
        <f>(5279.0/B39*100)</f>
        <v/>
      </c>
      <c r="D39" s="19" t="n">
        <v>616</v>
      </c>
      <c r="E39" s="18" t="n">
        <v>43.73672314</v>
      </c>
      <c r="F39" s="20" t="n">
        <v>2.56502666</v>
      </c>
      <c r="G39" s="18" t="n">
        <v>56.26327686</v>
      </c>
      <c r="H39" s="20" t="n">
        <v>2.56502666</v>
      </c>
      <c r="I39" s="18" t="n">
        <v>0</v>
      </c>
      <c r="J39" s="20" t="n">
        <v>0</v>
      </c>
      <c r="K39" s="18" t="n">
        <v>0</v>
      </c>
      <c r="L39" s="20" t="n">
        <v>0</v>
      </c>
      <c r="M39" s="18" t="n">
        <v>0</v>
      </c>
      <c r="N39" s="20" t="n">
        <v>0</v>
      </c>
      <c r="O39" s="18" t="n">
        <v>0</v>
      </c>
      <c r="P39" s="20" t="n">
        <v>0</v>
      </c>
      <c r="Q39" s="18" t="n">
        <v>0</v>
      </c>
      <c r="R39" s="20" t="n">
        <v>0</v>
      </c>
    </row>
    <row r="40" spans="1:18">
      <c r="A40" s="15" t="s">
        <v>598</v>
      </c>
      <c r="B40" s="17" t="n">
        <v>14157</v>
      </c>
      <c r="C40" s="18">
        <f>(12558.0/B40*100)</f>
        <v/>
      </c>
      <c r="D40" s="19" t="n">
        <v>1599</v>
      </c>
      <c r="E40" s="18" t="n">
        <v>34.72090535</v>
      </c>
      <c r="F40" s="20" t="n">
        <v>2.01714457</v>
      </c>
      <c r="G40" s="18" t="n">
        <v>65.01903127999999</v>
      </c>
      <c r="H40" s="20" t="n">
        <v>2.04638732</v>
      </c>
      <c r="I40" s="18" t="n">
        <v>0</v>
      </c>
      <c r="J40" s="20" t="n">
        <v>0</v>
      </c>
      <c r="K40" s="18" t="n">
        <v>0.02012753</v>
      </c>
      <c r="L40" s="20" t="n">
        <v>0.0235203</v>
      </c>
      <c r="M40" s="18" t="n">
        <v>0</v>
      </c>
      <c r="N40" s="20" t="n">
        <v>0</v>
      </c>
      <c r="O40" s="18" t="n">
        <v>0</v>
      </c>
      <c r="P40" s="20" t="n">
        <v>0</v>
      </c>
      <c r="Q40" s="18" t="n">
        <v>0.23993584</v>
      </c>
      <c r="R40" s="20" t="n">
        <v>0.12288832</v>
      </c>
    </row>
    <row r="41" spans="1:18">
      <c r="A41" s="15" t="s">
        <v>599</v>
      </c>
      <c r="B41" s="17" t="n">
        <v>5712</v>
      </c>
      <c r="C41" s="18">
        <f>(5056.0/B41*100)</f>
        <v/>
      </c>
      <c r="D41" s="19" t="n">
        <v>656</v>
      </c>
      <c r="E41" s="18" t="n">
        <v>40.14175045</v>
      </c>
      <c r="F41" s="20" t="n">
        <v>2.05053896</v>
      </c>
      <c r="G41" s="18" t="n">
        <v>59.1388015</v>
      </c>
      <c r="H41" s="20" t="n">
        <v>2.00459667</v>
      </c>
      <c r="I41" s="18" t="n">
        <v>0</v>
      </c>
      <c r="J41" s="20" t="n">
        <v>0</v>
      </c>
      <c r="K41" s="18" t="n">
        <v>0.17320997</v>
      </c>
      <c r="L41" s="20" t="n">
        <v>0.17533514</v>
      </c>
      <c r="M41" s="18" t="n">
        <v>0</v>
      </c>
      <c r="N41" s="20" t="n">
        <v>0</v>
      </c>
      <c r="O41" s="18" t="n">
        <v>0</v>
      </c>
      <c r="P41" s="20" t="n">
        <v>0</v>
      </c>
      <c r="Q41" s="18" t="n">
        <v>0.54623808</v>
      </c>
      <c r="R41" s="20" t="n">
        <v>0.32226253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(20931.0/B46*100)</f>
        <v/>
      </c>
      <c r="D46" s="19" t="n">
        <v>2210</v>
      </c>
      <c r="E46" s="18" t="n">
        <v>51.91280353</v>
      </c>
      <c r="F46" s="20" t="n">
        <v>1.41577852</v>
      </c>
      <c r="G46" s="18" t="n">
        <v>46.85067117</v>
      </c>
      <c r="H46" s="20" t="n">
        <v>1.40384393</v>
      </c>
      <c r="I46" s="18" t="n">
        <v>0</v>
      </c>
      <c r="J46" s="20" t="n">
        <v>0</v>
      </c>
      <c r="K46" s="18" t="n">
        <v>0.44686793</v>
      </c>
      <c r="L46" s="20" t="n">
        <v>0.16310149</v>
      </c>
      <c r="M46" s="18" t="n">
        <v>0</v>
      </c>
      <c r="N46" s="20" t="n">
        <v>0</v>
      </c>
      <c r="O46" s="18" t="n">
        <v>0</v>
      </c>
      <c r="P46" s="20" t="n">
        <v>0</v>
      </c>
      <c r="Q46" s="18" t="n">
        <v>0.78965738</v>
      </c>
      <c r="R46" s="20" t="n">
        <v>0.24757905</v>
      </c>
    </row>
    <row r="47" spans="1:18">
      <c r="A47" s="15" t="s">
        <v>606</v>
      </c>
      <c r="B47" s="17" t="n">
        <v>5928</v>
      </c>
      <c r="C47" s="18">
        <f>(5272.0/B47*100)</f>
        <v/>
      </c>
      <c r="D47" s="19" t="n">
        <v>656</v>
      </c>
      <c r="E47" s="18" t="n">
        <v>29.77487587</v>
      </c>
      <c r="F47" s="20" t="n">
        <v>2.26266708</v>
      </c>
      <c r="G47" s="18" t="n">
        <v>69.78690829999999</v>
      </c>
      <c r="H47" s="20" t="n">
        <v>2.26124854</v>
      </c>
      <c r="I47" s="18" t="n">
        <v>0</v>
      </c>
      <c r="J47" s="20" t="n">
        <v>0</v>
      </c>
      <c r="K47" s="18" t="n">
        <v>0.28656548</v>
      </c>
      <c r="L47" s="20" t="n">
        <v>0.21880426</v>
      </c>
      <c r="M47" s="18" t="n">
        <v>0</v>
      </c>
      <c r="N47" s="20" t="n">
        <v>0</v>
      </c>
      <c r="O47" s="18" t="n">
        <v>0</v>
      </c>
      <c r="P47" s="20" t="n">
        <v>0</v>
      </c>
      <c r="Q47" s="18" t="n">
        <v>0.15165035</v>
      </c>
      <c r="R47" s="20" t="n">
        <v>0.150797</v>
      </c>
    </row>
    <row r="48" spans="1:18">
      <c r="A48" s="15" t="s">
        <v>607</v>
      </c>
      <c r="B48" s="17" t="n">
        <v>9841</v>
      </c>
      <c r="C48" s="18">
        <f>(8743.0/B48*100)</f>
        <v/>
      </c>
      <c r="D48" s="19" t="n">
        <v>1098</v>
      </c>
      <c r="E48" s="18" t="n">
        <v>15.99714726</v>
      </c>
      <c r="F48" s="20" t="n">
        <v>1.35901509</v>
      </c>
      <c r="G48" s="18" t="n">
        <v>83.43537962000001</v>
      </c>
      <c r="H48" s="20" t="n">
        <v>1.39482049</v>
      </c>
      <c r="I48" s="18" t="n">
        <v>0</v>
      </c>
      <c r="J48" s="20" t="n">
        <v>0</v>
      </c>
      <c r="K48" s="18" t="n">
        <v>0.19048547</v>
      </c>
      <c r="L48" s="20" t="n">
        <v>0.22636753</v>
      </c>
      <c r="M48" s="18" t="n">
        <v>0</v>
      </c>
      <c r="N48" s="20" t="n">
        <v>0</v>
      </c>
      <c r="O48" s="18" t="n">
        <v>0</v>
      </c>
      <c r="P48" s="20" t="n">
        <v>0</v>
      </c>
      <c r="Q48" s="18" t="n">
        <v>0.37698764</v>
      </c>
      <c r="R48" s="20" t="n">
        <v>0.22072377</v>
      </c>
    </row>
    <row r="49" spans="1:18">
      <c r="A49" s="15" t="s">
        <v>608</v>
      </c>
      <c r="B49" s="17" t="n">
        <v>11795</v>
      </c>
      <c r="C49" s="18">
        <f>(10521.0/B49*100)</f>
        <v/>
      </c>
      <c r="D49" s="19" t="n">
        <v>1274</v>
      </c>
      <c r="E49" s="18" t="n">
        <v>54.12743351</v>
      </c>
      <c r="F49" s="20" t="n">
        <v>1.80930071</v>
      </c>
      <c r="G49" s="18" t="n">
        <v>44.60392767</v>
      </c>
      <c r="H49" s="20" t="n">
        <v>1.83572309</v>
      </c>
      <c r="I49" s="18" t="n">
        <v>0</v>
      </c>
      <c r="J49" s="20" t="n">
        <v>0</v>
      </c>
      <c r="K49" s="18" t="n">
        <v>0.6359452799999999</v>
      </c>
      <c r="L49" s="20" t="n">
        <v>0.31508061</v>
      </c>
      <c r="M49" s="18" t="n">
        <v>0</v>
      </c>
      <c r="N49" s="20" t="n">
        <v>0</v>
      </c>
      <c r="O49" s="18" t="n">
        <v>0</v>
      </c>
      <c r="P49" s="20" t="n">
        <v>0</v>
      </c>
      <c r="Q49" s="18" t="n">
        <v>0.63269354</v>
      </c>
      <c r="R49" s="20" t="n">
        <v>0.30983537</v>
      </c>
    </row>
    <row r="50" spans="1:18">
      <c r="A50" s="15" t="s">
        <v>609</v>
      </c>
      <c r="B50" s="17" t="n">
        <v>6866</v>
      </c>
      <c r="C50" s="18">
        <f>(6190.0/B50*100)</f>
        <v/>
      </c>
      <c r="D50" s="19" t="n">
        <v>676</v>
      </c>
      <c r="E50" s="18" t="n">
        <v>54.61136091</v>
      </c>
      <c r="F50" s="20" t="n">
        <v>2.3949642</v>
      </c>
      <c r="G50" s="18" t="n">
        <v>44.15415563</v>
      </c>
      <c r="H50" s="20" t="n">
        <v>2.31239447</v>
      </c>
      <c r="I50" s="18" t="n">
        <v>0</v>
      </c>
      <c r="J50" s="20" t="n">
        <v>0</v>
      </c>
      <c r="K50" s="18" t="n">
        <v>0.46402583</v>
      </c>
      <c r="L50" s="20" t="n">
        <v>0.27087691</v>
      </c>
      <c r="M50" s="18" t="n">
        <v>0</v>
      </c>
      <c r="N50" s="20" t="n">
        <v>0</v>
      </c>
      <c r="O50" s="18" t="n">
        <v>0</v>
      </c>
      <c r="P50" s="20" t="n">
        <v>0</v>
      </c>
      <c r="Q50" s="18" t="n">
        <v>0.77045763</v>
      </c>
      <c r="R50" s="20" t="n">
        <v>0.37658911</v>
      </c>
    </row>
    <row r="51" spans="1:18">
      <c r="A51" s="15" t="s">
        <v>610</v>
      </c>
      <c r="B51" s="17" t="n">
        <v>5809</v>
      </c>
      <c r="C51" s="18">
        <f>(5193.0/B51*100)</f>
        <v/>
      </c>
      <c r="D51" s="19" t="n">
        <v>616</v>
      </c>
      <c r="E51" s="18" t="n">
        <v>28.78922735</v>
      </c>
      <c r="F51" s="20" t="n">
        <v>1.74207621</v>
      </c>
      <c r="G51" s="18" t="n">
        <v>70.5444983</v>
      </c>
      <c r="H51" s="20" t="n">
        <v>1.84189856</v>
      </c>
      <c r="I51" s="18" t="n">
        <v>0</v>
      </c>
      <c r="J51" s="20" t="n">
        <v>0</v>
      </c>
      <c r="K51" s="18" t="n">
        <v>0</v>
      </c>
      <c r="L51" s="20" t="n">
        <v>0</v>
      </c>
      <c r="M51" s="18" t="n">
        <v>0</v>
      </c>
      <c r="N51" s="20" t="n">
        <v>0</v>
      </c>
      <c r="O51" s="18" t="n">
        <v>0</v>
      </c>
      <c r="P51" s="20" t="n">
        <v>0</v>
      </c>
      <c r="Q51" s="18" t="n">
        <v>0.66627435</v>
      </c>
      <c r="R51" s="20" t="n">
        <v>0.3465466</v>
      </c>
    </row>
    <row r="52" spans="1:18">
      <c r="A52" s="15" t="s">
        <v>611</v>
      </c>
      <c r="B52" s="17" t="n">
        <v>5571</v>
      </c>
      <c r="C52" s="18">
        <f>(4950.0/B52*100)</f>
        <v/>
      </c>
      <c r="D52" s="19" t="n">
        <v>621</v>
      </c>
      <c r="E52" s="18" t="n">
        <v>41.37783662</v>
      </c>
      <c r="F52" s="20" t="n">
        <v>1.81684827</v>
      </c>
      <c r="G52" s="18" t="n">
        <v>57.09586073</v>
      </c>
      <c r="H52" s="20" t="n">
        <v>1.81138687</v>
      </c>
      <c r="I52" s="18" t="n">
        <v>0</v>
      </c>
      <c r="J52" s="20" t="n">
        <v>0</v>
      </c>
      <c r="K52" s="18" t="n">
        <v>0.11644255</v>
      </c>
      <c r="L52" s="20" t="n">
        <v>0.11674248</v>
      </c>
      <c r="M52" s="18" t="n">
        <v>0</v>
      </c>
      <c r="N52" s="20" t="n">
        <v>0</v>
      </c>
      <c r="O52" s="18" t="n">
        <v>0</v>
      </c>
      <c r="P52" s="20" t="n">
        <v>0</v>
      </c>
      <c r="Q52" s="18" t="n">
        <v>1.4098601</v>
      </c>
      <c r="R52" s="20" t="n">
        <v>0.47138365</v>
      </c>
    </row>
    <row r="53" spans="1:18">
      <c r="A53" s="15" t="s">
        <v>612</v>
      </c>
      <c r="B53" s="17" t="n">
        <v>4740</v>
      </c>
      <c r="C53" s="18">
        <f>(4218.0/B53*100)</f>
        <v/>
      </c>
      <c r="D53" s="19" t="n">
        <v>522</v>
      </c>
      <c r="E53" s="18" t="n">
        <v>52.36652229</v>
      </c>
      <c r="F53" s="20" t="n">
        <v>2.38824149</v>
      </c>
      <c r="G53" s="18" t="n">
        <v>35.36239135</v>
      </c>
      <c r="H53" s="20" t="n">
        <v>2.26863242</v>
      </c>
      <c r="I53" s="18" t="n">
        <v>0</v>
      </c>
      <c r="J53" s="20" t="n">
        <v>0</v>
      </c>
      <c r="K53" s="18" t="n">
        <v>10.78860455</v>
      </c>
      <c r="L53" s="20" t="n">
        <v>1.65655103</v>
      </c>
      <c r="M53" s="18" t="n">
        <v>0</v>
      </c>
      <c r="N53" s="20" t="n">
        <v>0</v>
      </c>
      <c r="O53" s="18" t="n">
        <v>0</v>
      </c>
      <c r="P53" s="20" t="n">
        <v>0</v>
      </c>
      <c r="Q53" s="18" t="n">
        <v>1.48248182</v>
      </c>
      <c r="R53" s="20" t="n">
        <v>0.62759139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(4794.0/B55*100)</f>
        <v/>
      </c>
      <c r="D55" s="19" t="n">
        <v>565</v>
      </c>
      <c r="E55" s="18" t="n">
        <v>10.82266969</v>
      </c>
      <c r="F55" s="20" t="n">
        <v>1.38705152</v>
      </c>
      <c r="G55" s="18" t="n">
        <v>89.17733031</v>
      </c>
      <c r="H55" s="20" t="n">
        <v>1.38705152</v>
      </c>
      <c r="I55" s="18" t="n">
        <v>0</v>
      </c>
      <c r="J55" s="20" t="n">
        <v>0</v>
      </c>
      <c r="K55" s="18" t="n">
        <v>0</v>
      </c>
      <c r="L55" s="20" t="n">
        <v>0</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(5832.0/B61*100)</f>
        <v/>
      </c>
      <c r="D61" s="19" t="n">
        <v>693</v>
      </c>
      <c r="E61" s="18" t="n">
        <v>27.60545492</v>
      </c>
      <c r="F61" s="20" t="n">
        <v>1.79171984</v>
      </c>
      <c r="G61" s="18" t="n">
        <v>71.92981426999999</v>
      </c>
      <c r="H61" s="20" t="n">
        <v>1.81719935</v>
      </c>
      <c r="I61" s="18" t="n">
        <v>0</v>
      </c>
      <c r="J61" s="20" t="n">
        <v>0</v>
      </c>
      <c r="K61" s="18" t="n">
        <v>0.46473081</v>
      </c>
      <c r="L61" s="20" t="n">
        <v>0.41207725</v>
      </c>
      <c r="M61" s="18" t="n">
        <v>0</v>
      </c>
      <c r="N61" s="20" t="n">
        <v>0</v>
      </c>
      <c r="O61" s="18" t="n">
        <v>0</v>
      </c>
      <c r="P61" s="20" t="n">
        <v>0</v>
      </c>
      <c r="Q61" s="18" t="n">
        <v>0</v>
      </c>
      <c r="R61" s="20" t="n">
        <v>0</v>
      </c>
    </row>
    <row r="62" spans="1:18">
      <c r="A62" s="15" t="s">
        <v>622</v>
      </c>
      <c r="B62" s="17" t="n">
        <v>4476</v>
      </c>
      <c r="C62" s="18">
        <f>(3951.0/B62*100)</f>
        <v/>
      </c>
      <c r="D62" s="19" t="n">
        <v>525</v>
      </c>
      <c r="E62" s="18" t="n">
        <v>20.17193604</v>
      </c>
      <c r="F62" s="20" t="n">
        <v>1.63686668</v>
      </c>
      <c r="G62" s="18" t="n">
        <v>79.63908671999999</v>
      </c>
      <c r="H62" s="20" t="n">
        <v>1.66349707</v>
      </c>
      <c r="I62" s="18" t="n">
        <v>0</v>
      </c>
      <c r="J62" s="20" t="n">
        <v>0</v>
      </c>
      <c r="K62" s="18" t="n">
        <v>0</v>
      </c>
      <c r="L62" s="20" t="n">
        <v>0</v>
      </c>
      <c r="M62" s="18" t="n">
        <v>0</v>
      </c>
      <c r="N62" s="20" t="n">
        <v>0</v>
      </c>
      <c r="O62" s="18" t="n">
        <v>0</v>
      </c>
      <c r="P62" s="20" t="n">
        <v>0</v>
      </c>
      <c r="Q62" s="18" t="n">
        <v>0.18897725</v>
      </c>
      <c r="R62" s="20" t="n">
        <v>0.18934565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(5057.0/B67*100)</f>
        <v/>
      </c>
      <c r="D67" s="19" t="n">
        <v>608</v>
      </c>
      <c r="E67" s="18" t="n">
        <v>47.24670184</v>
      </c>
      <c r="F67" s="20" t="n">
        <v>2.1474067</v>
      </c>
      <c r="G67" s="18" t="n">
        <v>51.26769051</v>
      </c>
      <c r="H67" s="20" t="n">
        <v>2.18557986</v>
      </c>
      <c r="I67" s="18" t="n">
        <v>0</v>
      </c>
      <c r="J67" s="20" t="n">
        <v>0</v>
      </c>
      <c r="K67" s="18" t="n">
        <v>0.52652138</v>
      </c>
      <c r="L67" s="20" t="n">
        <v>0.30398998</v>
      </c>
      <c r="M67" s="18" t="n">
        <v>0</v>
      </c>
      <c r="N67" s="20" t="n">
        <v>0</v>
      </c>
      <c r="O67" s="18" t="n">
        <v>0</v>
      </c>
      <c r="P67" s="20" t="n">
        <v>0</v>
      </c>
      <c r="Q67" s="18" t="n">
        <v>0.95908628</v>
      </c>
      <c r="R67" s="20" t="n">
        <v>0.40019346</v>
      </c>
    </row>
    <row r="68" spans="1:18">
      <c r="A68" s="15" t="s">
        <v>628</v>
      </c>
      <c r="B68" s="17" t="n">
        <v>6971</v>
      </c>
      <c r="C68" s="18">
        <f>(6255.0/B68*100)</f>
        <v/>
      </c>
      <c r="D68" s="19" t="n">
        <v>716</v>
      </c>
      <c r="E68" s="18" t="n">
        <v>51.76832162</v>
      </c>
      <c r="F68" s="20" t="n">
        <v>1.92724345</v>
      </c>
      <c r="G68" s="18" t="n">
        <v>47.44016668</v>
      </c>
      <c r="H68" s="20" t="n">
        <v>1.93315266</v>
      </c>
      <c r="I68" s="18" t="n">
        <v>0</v>
      </c>
      <c r="J68" s="20" t="n">
        <v>0</v>
      </c>
      <c r="K68" s="18" t="n">
        <v>0.18477718</v>
      </c>
      <c r="L68" s="20" t="n">
        <v>0.18429861</v>
      </c>
      <c r="M68" s="18" t="n">
        <v>0</v>
      </c>
      <c r="N68" s="20" t="n">
        <v>0</v>
      </c>
      <c r="O68" s="18" t="n">
        <v>0</v>
      </c>
      <c r="P68" s="20" t="n">
        <v>0</v>
      </c>
      <c r="Q68" s="18" t="n">
        <v>0.60673453</v>
      </c>
      <c r="R68" s="20" t="n">
        <v>0.2735037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(10736.0/B70*100)</f>
        <v/>
      </c>
      <c r="D70" s="19" t="n">
        <v>1347</v>
      </c>
      <c r="E70" s="18" t="n">
        <v>39.13661719</v>
      </c>
      <c r="F70" s="20" t="n">
        <v>1.29394316</v>
      </c>
      <c r="G70" s="18" t="n">
        <v>59.09724498</v>
      </c>
      <c r="H70" s="20" t="n">
        <v>1.4131216</v>
      </c>
      <c r="I70" s="18" t="n">
        <v>0</v>
      </c>
      <c r="J70" s="20" t="n">
        <v>0</v>
      </c>
      <c r="K70" s="18" t="n">
        <v>1.32729312</v>
      </c>
      <c r="L70" s="20" t="n">
        <v>0.37203304</v>
      </c>
      <c r="M70" s="18" t="n">
        <v>0</v>
      </c>
      <c r="N70" s="20" t="n">
        <v>0</v>
      </c>
      <c r="O70" s="18" t="n">
        <v>0</v>
      </c>
      <c r="P70" s="20" t="n">
        <v>0</v>
      </c>
      <c r="Q70" s="18" t="n">
        <v>0.43884472</v>
      </c>
      <c r="R70" s="20" t="n">
        <v>0.17148133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(5393.0/B72*100)</f>
        <v/>
      </c>
      <c r="D72" s="19" t="n">
        <v>643</v>
      </c>
      <c r="E72" s="18" t="n">
        <v>28.44334293</v>
      </c>
      <c r="F72" s="20" t="n">
        <v>2.66815329</v>
      </c>
      <c r="G72" s="18" t="n">
        <v>71.40971639999999</v>
      </c>
      <c r="H72" s="20" t="n">
        <v>2.64692989</v>
      </c>
      <c r="I72" s="18" t="n">
        <v>0</v>
      </c>
      <c r="J72" s="20" t="n">
        <v>0</v>
      </c>
      <c r="K72" s="18" t="n">
        <v>0</v>
      </c>
      <c r="L72" s="20" t="n">
        <v>0</v>
      </c>
      <c r="M72" s="18" t="n">
        <v>0</v>
      </c>
      <c r="N72" s="20" t="n">
        <v>0</v>
      </c>
      <c r="O72" s="18" t="n">
        <v>0</v>
      </c>
      <c r="P72" s="20" t="n">
        <v>0</v>
      </c>
      <c r="Q72" s="18" t="n">
        <v>0.14694067</v>
      </c>
      <c r="R72" s="20" t="n">
        <v>0.10115754</v>
      </c>
    </row>
    <row r="73" spans="1:18">
      <c r="A73" s="15" t="s">
        <v>633</v>
      </c>
      <c r="B73" s="17" t="n">
        <v>6115</v>
      </c>
      <c r="C73" s="18">
        <f>(5394.0/B73*100)</f>
        <v/>
      </c>
      <c r="D73" s="19" t="n">
        <v>721</v>
      </c>
      <c r="E73" s="18" t="n">
        <v>27.75948807</v>
      </c>
      <c r="F73" s="20" t="n">
        <v>1.41789879</v>
      </c>
      <c r="G73" s="18" t="n">
        <v>71.95556969</v>
      </c>
      <c r="H73" s="20" t="n">
        <v>1.43229539</v>
      </c>
      <c r="I73" s="18" t="n">
        <v>0</v>
      </c>
      <c r="J73" s="20" t="n">
        <v>0</v>
      </c>
      <c r="K73" s="18" t="n">
        <v>0</v>
      </c>
      <c r="L73" s="20" t="n">
        <v>0</v>
      </c>
      <c r="M73" s="18" t="n">
        <v>0</v>
      </c>
      <c r="N73" s="20" t="n">
        <v>0</v>
      </c>
      <c r="O73" s="18" t="n">
        <v>0</v>
      </c>
      <c r="P73" s="20" t="n">
        <v>0</v>
      </c>
      <c r="Q73" s="18" t="n">
        <v>0.28494224</v>
      </c>
      <c r="R73" s="20" t="n">
        <v>0.20509511</v>
      </c>
    </row>
    <row r="74" spans="1:18">
      <c r="A74" s="15" t="s">
        <v>634</v>
      </c>
      <c r="B74" s="17" t="n">
        <v>7708</v>
      </c>
      <c r="C74" s="18">
        <f>(6862.0/B74*100)</f>
        <v/>
      </c>
      <c r="D74" s="19" t="n">
        <v>846</v>
      </c>
      <c r="E74" s="18" t="n">
        <v>16.90894159</v>
      </c>
      <c r="F74" s="20" t="n">
        <v>1.49611706</v>
      </c>
      <c r="G74" s="18" t="n">
        <v>82.90326695</v>
      </c>
      <c r="H74" s="20" t="n">
        <v>1.4804543</v>
      </c>
      <c r="I74" s="18" t="n">
        <v>0</v>
      </c>
      <c r="J74" s="20" t="n">
        <v>0</v>
      </c>
      <c r="K74" s="18" t="n">
        <v>0.09812514999999999</v>
      </c>
      <c r="L74" s="20" t="n">
        <v>0.09838803</v>
      </c>
      <c r="M74" s="18" t="n">
        <v>0</v>
      </c>
      <c r="N74" s="20" t="n">
        <v>0</v>
      </c>
      <c r="O74" s="18" t="n">
        <v>0</v>
      </c>
      <c r="P74" s="20" t="n">
        <v>0</v>
      </c>
      <c r="Q74" s="18" t="n">
        <v>0.08966631</v>
      </c>
      <c r="R74" s="20" t="n">
        <v>0.08993342</v>
      </c>
    </row>
    <row r="75" spans="1:18">
      <c r="A75" s="15" t="s">
        <v>635</v>
      </c>
      <c r="B75" s="17" t="n">
        <v>8249</v>
      </c>
      <c r="C75" s="18">
        <f>(7374.0/B75*100)</f>
        <v/>
      </c>
      <c r="D75" s="19" t="n">
        <v>875</v>
      </c>
      <c r="E75" s="18" t="n">
        <v>65.67921036</v>
      </c>
      <c r="F75" s="20" t="n">
        <v>1.96673042</v>
      </c>
      <c r="G75" s="18" t="n">
        <v>34.13334622</v>
      </c>
      <c r="H75" s="20" t="n">
        <v>1.96191944</v>
      </c>
      <c r="I75" s="18" t="n">
        <v>0</v>
      </c>
      <c r="J75" s="20" t="n">
        <v>0</v>
      </c>
      <c r="K75" s="18" t="n">
        <v>0</v>
      </c>
      <c r="L75" s="20" t="n">
        <v>0</v>
      </c>
      <c r="M75" s="18" t="n">
        <v>0</v>
      </c>
      <c r="N75" s="20" t="n">
        <v>0</v>
      </c>
      <c r="O75" s="18" t="n">
        <v>0</v>
      </c>
      <c r="P75" s="20" t="n">
        <v>0</v>
      </c>
      <c r="Q75" s="18" t="n">
        <v>0.18744343</v>
      </c>
      <c r="R75" s="20" t="n">
        <v>0.12383557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(4822.0/B77*100)</f>
        <v/>
      </c>
      <c r="D77" s="19" t="n">
        <v>553</v>
      </c>
      <c r="E77" s="18" t="n">
        <v>28.86530384</v>
      </c>
      <c r="F77" s="20" t="n">
        <v>2.05254701</v>
      </c>
      <c r="G77" s="18" t="n">
        <v>68.55151295</v>
      </c>
      <c r="H77" s="20" t="n">
        <v>2.07751094</v>
      </c>
      <c r="I77" s="18" t="n">
        <v>0</v>
      </c>
      <c r="J77" s="20" t="n">
        <v>0</v>
      </c>
      <c r="K77" s="18" t="n">
        <v>1.69970009</v>
      </c>
      <c r="L77" s="20" t="n">
        <v>0.54394942</v>
      </c>
      <c r="M77" s="18" t="n">
        <v>0</v>
      </c>
      <c r="N77" s="20" t="n">
        <v>0</v>
      </c>
      <c r="O77" s="18" t="n">
        <v>0</v>
      </c>
      <c r="P77" s="20" t="n">
        <v>0</v>
      </c>
      <c r="Q77" s="18" t="n">
        <v>0.88348312</v>
      </c>
      <c r="R77" s="20" t="n">
        <v>0.42010389</v>
      </c>
    </row>
    <row r="78" spans="1:18">
      <c r="A78" s="15" t="s">
        <v>638</v>
      </c>
      <c r="B78" s="17" t="n">
        <v>14167</v>
      </c>
      <c r="C78" s="18">
        <f>(12611.0/B78*100)</f>
        <v/>
      </c>
      <c r="D78" s="19" t="n">
        <v>1556</v>
      </c>
      <c r="E78" s="18" t="n">
        <v>39.38907474</v>
      </c>
      <c r="F78" s="20" t="n">
        <v>1.72016831</v>
      </c>
      <c r="G78" s="18" t="n">
        <v>59.74479785</v>
      </c>
      <c r="H78" s="20" t="n">
        <v>1.73531624</v>
      </c>
      <c r="I78" s="18" t="n">
        <v>0</v>
      </c>
      <c r="J78" s="20" t="n">
        <v>0</v>
      </c>
      <c r="K78" s="18" t="n">
        <v>0.26539013</v>
      </c>
      <c r="L78" s="20" t="n">
        <v>0.12742021</v>
      </c>
      <c r="M78" s="18" t="n">
        <v>0</v>
      </c>
      <c r="N78" s="20" t="n">
        <v>0</v>
      </c>
      <c r="O78" s="18" t="n">
        <v>0</v>
      </c>
      <c r="P78" s="20" t="n">
        <v>0</v>
      </c>
      <c r="Q78" s="18" t="n">
        <v>0.60073727</v>
      </c>
      <c r="R78" s="20" t="n">
        <v>0.22244108</v>
      </c>
    </row>
    <row r="79" spans="1:18">
      <c r="A79" s="15" t="s">
        <v>639</v>
      </c>
      <c r="B79" s="17" t="n">
        <v>6062</v>
      </c>
      <c r="C79" s="18">
        <f>(5426.0/B79*100)</f>
        <v/>
      </c>
      <c r="D79" s="19" t="n">
        <v>636</v>
      </c>
      <c r="E79" s="18" t="n">
        <v>49.87648655</v>
      </c>
      <c r="F79" s="20" t="n">
        <v>2.03717267</v>
      </c>
      <c r="G79" s="18" t="n">
        <v>48.86751534</v>
      </c>
      <c r="H79" s="20" t="n">
        <v>2.0118266</v>
      </c>
      <c r="I79" s="18" t="n">
        <v>0</v>
      </c>
      <c r="J79" s="20" t="n">
        <v>0</v>
      </c>
      <c r="K79" s="18" t="n">
        <v>0.95841686</v>
      </c>
      <c r="L79" s="20" t="n">
        <v>0.33288859</v>
      </c>
      <c r="M79" s="18" t="n">
        <v>0</v>
      </c>
      <c r="N79" s="20" t="n">
        <v>0</v>
      </c>
      <c r="O79" s="18" t="n">
        <v>0</v>
      </c>
      <c r="P79" s="20" t="n">
        <v>0</v>
      </c>
      <c r="Q79" s="18" t="n">
        <v>0.29758125</v>
      </c>
      <c r="R79" s="20" t="n">
        <v>0.20919234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(28715.0/B82*100)</f>
        <v/>
      </c>
      <c r="D82" s="19" t="n">
        <v>3615</v>
      </c>
      <c r="E82" s="18" t="n">
        <v>33.22137375</v>
      </c>
      <c r="F82" s="20" t="n">
        <v>1.22063595</v>
      </c>
      <c r="G82" s="18" t="n">
        <v>66.51894951</v>
      </c>
      <c r="H82" s="20" t="n">
        <v>1.22438458</v>
      </c>
      <c r="I82" s="18" t="n">
        <v>0</v>
      </c>
      <c r="J82" s="20" t="n">
        <v>0</v>
      </c>
      <c r="K82" s="18" t="n">
        <v>0.12900102</v>
      </c>
      <c r="L82" s="20" t="n">
        <v>0.07344568</v>
      </c>
      <c r="M82" s="18" t="n">
        <v>0</v>
      </c>
      <c r="N82" s="20" t="n">
        <v>0</v>
      </c>
      <c r="O82" s="18" t="n">
        <v>0</v>
      </c>
      <c r="P82" s="20" t="n">
        <v>0</v>
      </c>
      <c r="Q82" s="18" t="n">
        <v>0.13067573</v>
      </c>
      <c r="R82" s="20" t="n">
        <v>0.05165204</v>
      </c>
    </row>
    <row r="83" spans="1:18">
      <c r="A83" s="15" t="s">
        <v>643</v>
      </c>
      <c r="B83" s="17" t="n">
        <v>1652</v>
      </c>
      <c r="C83" s="18">
        <f>(1473.0/B83*100)</f>
        <v/>
      </c>
      <c r="D83" s="19" t="n">
        <v>179</v>
      </c>
      <c r="E83" s="18" t="n">
        <v>39.12626835</v>
      </c>
      <c r="F83" s="20" t="n">
        <v>3.19834395</v>
      </c>
      <c r="G83" s="18" t="n">
        <v>60.87373165</v>
      </c>
      <c r="H83" s="20" t="n">
        <v>3.19834395</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(1691.0/B84*100)</f>
        <v/>
      </c>
      <c r="D84" s="19" t="n">
        <v>196</v>
      </c>
      <c r="E84" s="18" t="n">
        <v>40.03668358</v>
      </c>
      <c r="F84" s="20" t="n">
        <v>4.5897259</v>
      </c>
      <c r="G84" s="18" t="n">
        <v>59.96331642</v>
      </c>
      <c r="H84" s="20" t="n">
        <v>4.5897259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(12946.0/B7*100)</f>
        <v/>
      </c>
      <c r="D7" s="19" t="n">
        <v>1584</v>
      </c>
      <c r="E7" s="18" t="n">
        <v>48.35418453</v>
      </c>
      <c r="F7" s="20" t="n">
        <v>1.39814925</v>
      </c>
      <c r="G7" s="18" t="n">
        <v>50.62725207</v>
      </c>
      <c r="H7" s="20" t="n">
        <v>1.45754001</v>
      </c>
      <c r="I7" s="18" t="n">
        <v>0</v>
      </c>
      <c r="J7" s="20" t="n">
        <v>0</v>
      </c>
      <c r="K7" s="18" t="n">
        <v>0.1420794</v>
      </c>
      <c r="L7" s="20" t="n">
        <v>0.09433487</v>
      </c>
      <c r="M7" s="18" t="n">
        <v>0</v>
      </c>
      <c r="N7" s="20" t="n">
        <v>0</v>
      </c>
      <c r="O7" s="18" t="n">
        <v>0</v>
      </c>
      <c r="P7" s="20" t="n">
        <v>0</v>
      </c>
      <c r="Q7" s="18" t="n">
        <v>0.876484</v>
      </c>
      <c r="R7" s="20" t="n">
        <v>0.30023868</v>
      </c>
    </row>
    <row r="8" spans="1:18">
      <c r="A8" s="15" t="s">
        <v>566</v>
      </c>
      <c r="B8" s="17" t="n">
        <v>7007</v>
      </c>
      <c r="C8" s="18">
        <f>(6258.0/B8*100)</f>
        <v/>
      </c>
      <c r="D8" s="19" t="n">
        <v>749</v>
      </c>
      <c r="E8" s="18" t="n">
        <v>46.53522648</v>
      </c>
      <c r="F8" s="20" t="n">
        <v>1.85377711</v>
      </c>
      <c r="G8" s="18" t="n">
        <v>53.29140397</v>
      </c>
      <c r="H8" s="20" t="n">
        <v>1.84621847</v>
      </c>
      <c r="I8" s="18" t="n">
        <v>0</v>
      </c>
      <c r="J8" s="20" t="n">
        <v>0</v>
      </c>
      <c r="K8" s="18" t="n">
        <v>0.05034584</v>
      </c>
      <c r="L8" s="20" t="n">
        <v>0.05037408</v>
      </c>
      <c r="M8" s="18" t="n">
        <v>0</v>
      </c>
      <c r="N8" s="20" t="n">
        <v>0</v>
      </c>
      <c r="O8" s="18" t="n">
        <v>0</v>
      </c>
      <c r="P8" s="20" t="n">
        <v>0</v>
      </c>
      <c r="Q8" s="18" t="n">
        <v>0.12302372</v>
      </c>
      <c r="R8" s="20" t="n">
        <v>0.12366492</v>
      </c>
    </row>
    <row r="9" spans="1:18">
      <c r="A9" s="15" t="s">
        <v>567</v>
      </c>
      <c r="B9" s="17" t="n">
        <v>9651</v>
      </c>
      <c r="C9" s="18">
        <f>(8635.0/B9*100)</f>
        <v/>
      </c>
      <c r="D9" s="19" t="n">
        <v>1016</v>
      </c>
      <c r="E9" s="18" t="n">
        <v>52.96039251</v>
      </c>
      <c r="F9" s="20" t="n">
        <v>1.48635499</v>
      </c>
      <c r="G9" s="18" t="n">
        <v>45.98118338</v>
      </c>
      <c r="H9" s="20" t="n">
        <v>1.39987812</v>
      </c>
      <c r="I9" s="18" t="n">
        <v>0</v>
      </c>
      <c r="J9" s="20" t="n">
        <v>0</v>
      </c>
      <c r="K9" s="18" t="n">
        <v>0.1490679</v>
      </c>
      <c r="L9" s="20" t="n">
        <v>0.13936567</v>
      </c>
      <c r="M9" s="18" t="n">
        <v>0</v>
      </c>
      <c r="N9" s="20" t="n">
        <v>0</v>
      </c>
      <c r="O9" s="18" t="n">
        <v>0</v>
      </c>
      <c r="P9" s="20" t="n">
        <v>0</v>
      </c>
      <c r="Q9" s="18" t="n">
        <v>0.90935621</v>
      </c>
      <c r="R9" s="20" t="n">
        <v>0.31265312</v>
      </c>
    </row>
    <row r="10" spans="1:18">
      <c r="A10" s="15" t="s">
        <v>568</v>
      </c>
      <c r="B10" s="17" t="n">
        <v>20058</v>
      </c>
      <c r="C10" s="18">
        <f>(17800.0/B10*100)</f>
        <v/>
      </c>
      <c r="D10" s="19" t="n">
        <v>2258</v>
      </c>
      <c r="E10" s="18" t="n">
        <v>52.02895514</v>
      </c>
      <c r="F10" s="20" t="n">
        <v>1.26621966</v>
      </c>
      <c r="G10" s="18" t="n">
        <v>47.4180951</v>
      </c>
      <c r="H10" s="20" t="n">
        <v>1.25194788</v>
      </c>
      <c r="I10" s="18" t="n">
        <v>0</v>
      </c>
      <c r="J10" s="20" t="n">
        <v>0</v>
      </c>
      <c r="K10" s="18" t="n">
        <v>0.32729356</v>
      </c>
      <c r="L10" s="20" t="n">
        <v>0.16655998</v>
      </c>
      <c r="M10" s="18" t="n">
        <v>0</v>
      </c>
      <c r="N10" s="20" t="n">
        <v>0</v>
      </c>
      <c r="O10" s="18" t="n">
        <v>0</v>
      </c>
      <c r="P10" s="20" t="n">
        <v>0</v>
      </c>
      <c r="Q10" s="18" t="n">
        <v>0.22565621</v>
      </c>
      <c r="R10" s="20" t="n">
        <v>0.13323352</v>
      </c>
    </row>
    <row r="11" spans="1:18">
      <c r="A11" s="15" t="s">
        <v>569</v>
      </c>
      <c r="B11" s="17" t="n">
        <v>7053</v>
      </c>
      <c r="C11" s="18">
        <f>(6257.0/B11*100)</f>
        <v/>
      </c>
      <c r="D11" s="19" t="n">
        <v>796</v>
      </c>
      <c r="E11" s="18" t="n">
        <v>45.61024163</v>
      </c>
      <c r="F11" s="20" t="n">
        <v>1.78323196</v>
      </c>
      <c r="G11" s="18" t="n">
        <v>52.54434009</v>
      </c>
      <c r="H11" s="20" t="n">
        <v>1.80359167</v>
      </c>
      <c r="I11" s="18" t="n">
        <v>0</v>
      </c>
      <c r="J11" s="20" t="n">
        <v>0</v>
      </c>
      <c r="K11" s="18" t="n">
        <v>1.17130953</v>
      </c>
      <c r="L11" s="20" t="n">
        <v>0.47840636</v>
      </c>
      <c r="M11" s="18" t="n">
        <v>0</v>
      </c>
      <c r="N11" s="20" t="n">
        <v>0</v>
      </c>
      <c r="O11" s="18" t="n">
        <v>0</v>
      </c>
      <c r="P11" s="20" t="n">
        <v>0</v>
      </c>
      <c r="Q11" s="18" t="n">
        <v>0.67410875</v>
      </c>
      <c r="R11" s="20" t="n">
        <v>0.29768778</v>
      </c>
    </row>
    <row r="12" spans="1:18">
      <c r="A12" s="15" t="s">
        <v>570</v>
      </c>
      <c r="B12" s="17" t="n">
        <v>6894</v>
      </c>
      <c r="C12" s="18">
        <f>(6117.0/B12*100)</f>
        <v/>
      </c>
      <c r="D12" s="19" t="n">
        <v>777</v>
      </c>
      <c r="E12" s="18" t="n">
        <v>38.75370751</v>
      </c>
      <c r="F12" s="20" t="n">
        <v>1.93681675</v>
      </c>
      <c r="G12" s="18" t="n">
        <v>61.12264757</v>
      </c>
      <c r="H12" s="20" t="n">
        <v>1.90970323</v>
      </c>
      <c r="I12" s="18" t="n">
        <v>0</v>
      </c>
      <c r="J12" s="20" t="n">
        <v>0</v>
      </c>
      <c r="K12" s="18" t="n">
        <v>0</v>
      </c>
      <c r="L12" s="20" t="n">
        <v>0</v>
      </c>
      <c r="M12" s="18" t="n">
        <v>0</v>
      </c>
      <c r="N12" s="20" t="n">
        <v>0</v>
      </c>
      <c r="O12" s="18" t="n">
        <v>0</v>
      </c>
      <c r="P12" s="20" t="n">
        <v>0</v>
      </c>
      <c r="Q12" s="18" t="n">
        <v>0.12364492</v>
      </c>
      <c r="R12" s="20" t="n">
        <v>0.17910567</v>
      </c>
    </row>
    <row r="13" spans="1:18">
      <c r="A13" s="15" t="s">
        <v>571</v>
      </c>
      <c r="B13" s="17" t="n">
        <v>7161</v>
      </c>
      <c r="C13" s="18">
        <f>(6457.0/B13*100)</f>
        <v/>
      </c>
      <c r="D13" s="19" t="n">
        <v>704</v>
      </c>
      <c r="E13" s="18" t="n">
        <v>46.79318727</v>
      </c>
      <c r="F13" s="20" t="n">
        <v>2.25206762</v>
      </c>
      <c r="G13" s="18" t="n">
        <v>52.62990281</v>
      </c>
      <c r="H13" s="20" t="n">
        <v>2.26633285</v>
      </c>
      <c r="I13" s="18" t="n">
        <v>0</v>
      </c>
      <c r="J13" s="20" t="n">
        <v>0</v>
      </c>
      <c r="K13" s="18" t="n">
        <v>0.40747386</v>
      </c>
      <c r="L13" s="20" t="n">
        <v>0.24607634</v>
      </c>
      <c r="M13" s="18" t="n">
        <v>0</v>
      </c>
      <c r="N13" s="20" t="n">
        <v>0</v>
      </c>
      <c r="O13" s="18" t="n">
        <v>0</v>
      </c>
      <c r="P13" s="20" t="n">
        <v>0</v>
      </c>
      <c r="Q13" s="18" t="n">
        <v>0.16943606</v>
      </c>
      <c r="R13" s="20" t="n">
        <v>0.15187095</v>
      </c>
    </row>
    <row r="14" spans="1:18">
      <c r="A14" s="15" t="s">
        <v>572</v>
      </c>
      <c r="B14" s="17" t="n">
        <v>5587</v>
      </c>
      <c r="C14" s="18">
        <f>(4938.0/B14*100)</f>
        <v/>
      </c>
      <c r="D14" s="19" t="n">
        <v>649</v>
      </c>
      <c r="E14" s="18" t="n">
        <v>47.63364574</v>
      </c>
      <c r="F14" s="20" t="n">
        <v>1.89544507</v>
      </c>
      <c r="G14" s="18" t="n">
        <v>52.36635426</v>
      </c>
      <c r="H14" s="20" t="n">
        <v>1.89544507</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(5238.0/B15*100)</f>
        <v/>
      </c>
      <c r="D15" s="19" t="n">
        <v>644</v>
      </c>
      <c r="E15" s="18" t="n">
        <v>34.95046375</v>
      </c>
      <c r="F15" s="20" t="n">
        <v>2.31066541</v>
      </c>
      <c r="G15" s="18" t="n">
        <v>64.70498567999999</v>
      </c>
      <c r="H15" s="20" t="n">
        <v>2.32417843</v>
      </c>
      <c r="I15" s="18" t="n">
        <v>0</v>
      </c>
      <c r="J15" s="20" t="n">
        <v>0</v>
      </c>
      <c r="K15" s="18" t="n">
        <v>0.06569068</v>
      </c>
      <c r="L15" s="20" t="n">
        <v>0.06569804999999999</v>
      </c>
      <c r="M15" s="18" t="n">
        <v>0</v>
      </c>
      <c r="N15" s="20" t="n">
        <v>0</v>
      </c>
      <c r="O15" s="18" t="n">
        <v>0</v>
      </c>
      <c r="P15" s="20" t="n">
        <v>0</v>
      </c>
      <c r="Q15" s="18" t="n">
        <v>0.27885989</v>
      </c>
      <c r="R15" s="20" t="n">
        <v>0.1993663</v>
      </c>
    </row>
    <row r="16" spans="1:18">
      <c r="A16" s="15" t="s">
        <v>574</v>
      </c>
      <c r="B16" s="17" t="n">
        <v>6108</v>
      </c>
      <c r="C16" s="18">
        <f>(5391.0/B16*100)</f>
        <v/>
      </c>
      <c r="D16" s="19" t="n">
        <v>717</v>
      </c>
      <c r="E16" s="18" t="n">
        <v>44.6939909</v>
      </c>
      <c r="F16" s="20" t="n">
        <v>1.94712232</v>
      </c>
      <c r="G16" s="18" t="n">
        <v>54.2123564</v>
      </c>
      <c r="H16" s="20" t="n">
        <v>1.90925347</v>
      </c>
      <c r="I16" s="18" t="n">
        <v>0</v>
      </c>
      <c r="J16" s="20" t="n">
        <v>0</v>
      </c>
      <c r="K16" s="18" t="n">
        <v>0.32361073</v>
      </c>
      <c r="L16" s="20" t="n">
        <v>0.22014461</v>
      </c>
      <c r="M16" s="18" t="n">
        <v>0</v>
      </c>
      <c r="N16" s="20" t="n">
        <v>0</v>
      </c>
      <c r="O16" s="18" t="n">
        <v>0</v>
      </c>
      <c r="P16" s="20" t="n">
        <v>0</v>
      </c>
      <c r="Q16" s="18" t="n">
        <v>0.77004197</v>
      </c>
      <c r="R16" s="20" t="n">
        <v>0.3290915</v>
      </c>
    </row>
    <row r="17" spans="1:18">
      <c r="A17" s="15" t="s">
        <v>575</v>
      </c>
      <c r="B17" s="17" t="n">
        <v>6504</v>
      </c>
      <c r="C17" s="18">
        <f>(5824.0/B17*100)</f>
        <v/>
      </c>
      <c r="D17" s="19" t="n">
        <v>680</v>
      </c>
      <c r="E17" s="18" t="n">
        <v>52.83792822</v>
      </c>
      <c r="F17" s="20" t="n">
        <v>1.81744152</v>
      </c>
      <c r="G17" s="18" t="n">
        <v>46.47356245</v>
      </c>
      <c r="H17" s="20" t="n">
        <v>1.77470731</v>
      </c>
      <c r="I17" s="18" t="n">
        <v>0</v>
      </c>
      <c r="J17" s="20" t="n">
        <v>0</v>
      </c>
      <c r="K17" s="18" t="n">
        <v>0.41586192</v>
      </c>
      <c r="L17" s="20" t="n">
        <v>0.20900097</v>
      </c>
      <c r="M17" s="18" t="n">
        <v>0</v>
      </c>
      <c r="N17" s="20" t="n">
        <v>0</v>
      </c>
      <c r="O17" s="18" t="n">
        <v>0</v>
      </c>
      <c r="P17" s="20" t="n">
        <v>0</v>
      </c>
      <c r="Q17" s="18" t="n">
        <v>0.27264741</v>
      </c>
      <c r="R17" s="20" t="n">
        <v>0.2829424</v>
      </c>
    </row>
    <row r="18" spans="1:18">
      <c r="A18" s="15" t="s">
        <v>576</v>
      </c>
      <c r="B18" s="17" t="n">
        <v>5532</v>
      </c>
      <c r="C18" s="18">
        <f>(4909.0/B18*100)</f>
        <v/>
      </c>
      <c r="D18" s="19" t="n">
        <v>623</v>
      </c>
      <c r="E18" s="18" t="n">
        <v>49.2250035</v>
      </c>
      <c r="F18" s="20" t="n">
        <v>2.25280493</v>
      </c>
      <c r="G18" s="18" t="n">
        <v>50.03014745</v>
      </c>
      <c r="H18" s="20" t="n">
        <v>2.24344848</v>
      </c>
      <c r="I18" s="18" t="n">
        <v>0</v>
      </c>
      <c r="J18" s="20" t="n">
        <v>0</v>
      </c>
      <c r="K18" s="18" t="n">
        <v>0.26362615</v>
      </c>
      <c r="L18" s="20" t="n">
        <v>0.26146232</v>
      </c>
      <c r="M18" s="18" t="n">
        <v>0</v>
      </c>
      <c r="N18" s="20" t="n">
        <v>0</v>
      </c>
      <c r="O18" s="18" t="n">
        <v>0</v>
      </c>
      <c r="P18" s="20" t="n">
        <v>0</v>
      </c>
      <c r="Q18" s="18" t="n">
        <v>0.4812229</v>
      </c>
      <c r="R18" s="20" t="n">
        <v>0.3635104</v>
      </c>
    </row>
    <row r="19" spans="1:18">
      <c r="A19" s="15" t="s">
        <v>577</v>
      </c>
      <c r="B19" s="17" t="n">
        <v>5658</v>
      </c>
      <c r="C19" s="18">
        <f>(5066.0/B19*100)</f>
        <v/>
      </c>
      <c r="D19" s="19" t="n">
        <v>592</v>
      </c>
      <c r="E19" s="18" t="n">
        <v>40.25760892</v>
      </c>
      <c r="F19" s="20" t="n">
        <v>2.33379115</v>
      </c>
      <c r="G19" s="18" t="n">
        <v>58.68466499</v>
      </c>
      <c r="H19" s="20" t="n">
        <v>2.32953605</v>
      </c>
      <c r="I19" s="18" t="n">
        <v>0</v>
      </c>
      <c r="J19" s="20" t="n">
        <v>0</v>
      </c>
      <c r="K19" s="18" t="n">
        <v>0</v>
      </c>
      <c r="L19" s="20" t="n">
        <v>0</v>
      </c>
      <c r="M19" s="18" t="n">
        <v>0</v>
      </c>
      <c r="N19" s="20" t="n">
        <v>0</v>
      </c>
      <c r="O19" s="18" t="n">
        <v>0</v>
      </c>
      <c r="P19" s="20" t="n">
        <v>0</v>
      </c>
      <c r="Q19" s="18" t="n">
        <v>1.0577261</v>
      </c>
      <c r="R19" s="20" t="n">
        <v>0.39038343</v>
      </c>
    </row>
    <row r="20" spans="1:18">
      <c r="A20" s="15" t="s">
        <v>578</v>
      </c>
      <c r="B20" s="17" t="n">
        <v>3371</v>
      </c>
      <c r="C20" s="18">
        <f>(3000.0/B20*100)</f>
        <v/>
      </c>
      <c r="D20" s="19" t="n">
        <v>371</v>
      </c>
      <c r="E20" s="18" t="n">
        <v>59.87840009</v>
      </c>
      <c r="F20" s="20" t="n">
        <v>2.4829279</v>
      </c>
      <c r="G20" s="18" t="n">
        <v>38.48387853</v>
      </c>
      <c r="H20" s="20" t="n">
        <v>2.45483802</v>
      </c>
      <c r="I20" s="18" t="n">
        <v>0</v>
      </c>
      <c r="J20" s="20" t="n">
        <v>0</v>
      </c>
      <c r="K20" s="18" t="n">
        <v>1.38158017</v>
      </c>
      <c r="L20" s="20" t="n">
        <v>0.6271011399999999</v>
      </c>
      <c r="M20" s="18" t="n">
        <v>0</v>
      </c>
      <c r="N20" s="20" t="n">
        <v>0</v>
      </c>
      <c r="O20" s="18" t="n">
        <v>0</v>
      </c>
      <c r="P20" s="20" t="n">
        <v>0</v>
      </c>
      <c r="Q20" s="18" t="n">
        <v>0.25614121</v>
      </c>
      <c r="R20" s="20" t="n">
        <v>0.25624466</v>
      </c>
    </row>
    <row r="21" spans="1:18">
      <c r="A21" s="15" t="s">
        <v>579</v>
      </c>
      <c r="B21" s="17" t="n">
        <v>5741</v>
      </c>
      <c r="C21" s="18">
        <f>(5125.0/B21*100)</f>
        <v/>
      </c>
      <c r="D21" s="19" t="n">
        <v>616</v>
      </c>
      <c r="E21" s="18" t="n">
        <v>55.048771</v>
      </c>
      <c r="F21" s="20" t="n">
        <v>2.01536868</v>
      </c>
      <c r="G21" s="18" t="n">
        <v>44.0438057</v>
      </c>
      <c r="H21" s="20" t="n">
        <v>2.01828988</v>
      </c>
      <c r="I21" s="18" t="n">
        <v>0</v>
      </c>
      <c r="J21" s="20" t="n">
        <v>0</v>
      </c>
      <c r="K21" s="18" t="n">
        <v>0.13959484</v>
      </c>
      <c r="L21" s="20" t="n">
        <v>0.10132726</v>
      </c>
      <c r="M21" s="18" t="n">
        <v>0</v>
      </c>
      <c r="N21" s="20" t="n">
        <v>0</v>
      </c>
      <c r="O21" s="18" t="n">
        <v>0</v>
      </c>
      <c r="P21" s="20" t="n">
        <v>0</v>
      </c>
      <c r="Q21" s="18" t="n">
        <v>0.76782845</v>
      </c>
      <c r="R21" s="20" t="n">
        <v>0.38464032</v>
      </c>
    </row>
    <row r="22" spans="1:18">
      <c r="A22" s="15" t="s">
        <v>580</v>
      </c>
      <c r="B22" s="17" t="n">
        <v>6598</v>
      </c>
      <c r="C22" s="18">
        <f>(5903.0/B22*100)</f>
        <v/>
      </c>
      <c r="D22" s="19" t="n">
        <v>695</v>
      </c>
      <c r="E22" s="18" t="n">
        <v>56.79547525</v>
      </c>
      <c r="F22" s="20" t="n">
        <v>2.09133027</v>
      </c>
      <c r="G22" s="18" t="n">
        <v>41.78789549</v>
      </c>
      <c r="H22" s="20" t="n">
        <v>2.10041187</v>
      </c>
      <c r="I22" s="18" t="n">
        <v>0</v>
      </c>
      <c r="J22" s="20" t="n">
        <v>0</v>
      </c>
      <c r="K22" s="18" t="n">
        <v>0.40817111</v>
      </c>
      <c r="L22" s="20" t="n">
        <v>0.29273618</v>
      </c>
      <c r="M22" s="18" t="n">
        <v>0</v>
      </c>
      <c r="N22" s="20" t="n">
        <v>0</v>
      </c>
      <c r="O22" s="18" t="n">
        <v>0</v>
      </c>
      <c r="P22" s="20" t="n">
        <v>0</v>
      </c>
      <c r="Q22" s="18" t="n">
        <v>1.00845815</v>
      </c>
      <c r="R22" s="20" t="n">
        <v>0.40653754</v>
      </c>
    </row>
    <row r="23" spans="1:18">
      <c r="A23" s="15" t="s">
        <v>581</v>
      </c>
      <c r="B23" s="17" t="n">
        <v>11583</v>
      </c>
      <c r="C23" s="18">
        <f>(10320.0/B23*100)</f>
        <v/>
      </c>
      <c r="D23" s="19" t="n">
        <v>1263</v>
      </c>
      <c r="E23" s="18" t="n">
        <v>49.25082479</v>
      </c>
      <c r="F23" s="20" t="n">
        <v>2.33210637</v>
      </c>
      <c r="G23" s="18" t="n">
        <v>50.48336361</v>
      </c>
      <c r="H23" s="20" t="n">
        <v>2.25065899</v>
      </c>
      <c r="I23" s="18" t="n">
        <v>0</v>
      </c>
      <c r="J23" s="20" t="n">
        <v>0</v>
      </c>
      <c r="K23" s="18" t="n">
        <v>0.26581161</v>
      </c>
      <c r="L23" s="20" t="n">
        <v>0.25791997</v>
      </c>
      <c r="M23" s="18" t="n">
        <v>0</v>
      </c>
      <c r="N23" s="20" t="n">
        <v>0</v>
      </c>
      <c r="O23" s="18" t="n">
        <v>0</v>
      </c>
      <c r="P23" s="20" t="n">
        <v>0</v>
      </c>
      <c r="Q23" s="18" t="n">
        <v>0</v>
      </c>
      <c r="R23" s="20" t="n">
        <v>0</v>
      </c>
    </row>
    <row r="24" spans="1:18">
      <c r="A24" s="15" t="s">
        <v>582</v>
      </c>
      <c r="B24" s="17" t="n">
        <v>6647</v>
      </c>
      <c r="C24" s="18">
        <f>(5935.0/B24*100)</f>
        <v/>
      </c>
      <c r="D24" s="19" t="n">
        <v>712</v>
      </c>
      <c r="E24" s="18" t="n">
        <v>49.00343997</v>
      </c>
      <c r="F24" s="20" t="n">
        <v>1.8457321</v>
      </c>
      <c r="G24" s="18" t="n">
        <v>50.72552913</v>
      </c>
      <c r="H24" s="20" t="n">
        <v>1.8621109</v>
      </c>
      <c r="I24" s="18" t="n">
        <v>0</v>
      </c>
      <c r="J24" s="20" t="n">
        <v>0</v>
      </c>
      <c r="K24" s="18" t="n">
        <v>0</v>
      </c>
      <c r="L24" s="20" t="n">
        <v>0</v>
      </c>
      <c r="M24" s="18" t="n">
        <v>0</v>
      </c>
      <c r="N24" s="20" t="n">
        <v>0</v>
      </c>
      <c r="O24" s="18" t="n">
        <v>0</v>
      </c>
      <c r="P24" s="20" t="n">
        <v>0</v>
      </c>
      <c r="Q24" s="18" t="n">
        <v>0.2710309</v>
      </c>
      <c r="R24" s="20" t="n">
        <v>0.19180788</v>
      </c>
    </row>
    <row r="25" spans="1:18">
      <c r="A25" s="15" t="s">
        <v>583</v>
      </c>
      <c r="B25" s="17" t="n">
        <v>5581</v>
      </c>
      <c r="C25" s="18">
        <f>(4968.0/B25*100)</f>
        <v/>
      </c>
      <c r="D25" s="19" t="n">
        <v>613</v>
      </c>
      <c r="E25" s="18" t="n">
        <v>47.33757026</v>
      </c>
      <c r="F25" s="20" t="n">
        <v>1.97200447</v>
      </c>
      <c r="G25" s="18" t="n">
        <v>52.25604448</v>
      </c>
      <c r="H25" s="20" t="n">
        <v>1.96906906</v>
      </c>
      <c r="I25" s="18" t="n">
        <v>0</v>
      </c>
      <c r="J25" s="20" t="n">
        <v>0</v>
      </c>
      <c r="K25" s="18" t="n">
        <v>0.30494748</v>
      </c>
      <c r="L25" s="20" t="n">
        <v>0.21841144</v>
      </c>
      <c r="M25" s="18" t="n">
        <v>0</v>
      </c>
      <c r="N25" s="20" t="n">
        <v>0</v>
      </c>
      <c r="O25" s="18" t="n">
        <v>0</v>
      </c>
      <c r="P25" s="20" t="n">
        <v>0</v>
      </c>
      <c r="Q25" s="18" t="n">
        <v>0.10143778</v>
      </c>
      <c r="R25" s="20" t="n">
        <v>0.10185494</v>
      </c>
    </row>
    <row r="26" spans="1:18">
      <c r="A26" s="15" t="s">
        <v>584</v>
      </c>
      <c r="B26" s="17" t="n">
        <v>4869</v>
      </c>
      <c r="C26" s="18">
        <f>(4308.0/B26*100)</f>
        <v/>
      </c>
      <c r="D26" s="19" t="n">
        <v>561</v>
      </c>
      <c r="E26" s="18" t="n">
        <v>61.99520474</v>
      </c>
      <c r="F26" s="20" t="n">
        <v>2.26741702</v>
      </c>
      <c r="G26" s="18" t="n">
        <v>38.00479526</v>
      </c>
      <c r="H26" s="20" t="n">
        <v>2.26741702</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(4689.0/B27*100)</f>
        <v/>
      </c>
      <c r="D27" s="19" t="n">
        <v>610</v>
      </c>
      <c r="E27" s="18" t="n">
        <v>49.29458278</v>
      </c>
      <c r="F27" s="20" t="n">
        <v>1.92424667</v>
      </c>
      <c r="G27" s="18" t="n">
        <v>49.55908958</v>
      </c>
      <c r="H27" s="20" t="n">
        <v>1.95855</v>
      </c>
      <c r="I27" s="18" t="n">
        <v>0</v>
      </c>
      <c r="J27" s="20" t="n">
        <v>0</v>
      </c>
      <c r="K27" s="18" t="n">
        <v>0.48909208</v>
      </c>
      <c r="L27" s="20" t="n">
        <v>0.28108691</v>
      </c>
      <c r="M27" s="18" t="n">
        <v>0</v>
      </c>
      <c r="N27" s="20" t="n">
        <v>0</v>
      </c>
      <c r="O27" s="18" t="n">
        <v>0</v>
      </c>
      <c r="P27" s="20" t="n">
        <v>0</v>
      </c>
      <c r="Q27" s="18" t="n">
        <v>0.6572355600000001</v>
      </c>
      <c r="R27" s="20" t="n">
        <v>0.32040612</v>
      </c>
    </row>
    <row r="28" spans="1:18">
      <c r="A28" s="15" t="s">
        <v>586</v>
      </c>
      <c r="B28" s="17" t="n">
        <v>7568</v>
      </c>
      <c r="C28" s="18">
        <f>(6737.0/B28*100)</f>
        <v/>
      </c>
      <c r="D28" s="19" t="n">
        <v>831</v>
      </c>
      <c r="E28" s="18" t="n">
        <v>59.90702167</v>
      </c>
      <c r="F28" s="20" t="n">
        <v>1.96450208</v>
      </c>
      <c r="G28" s="18" t="n">
        <v>38.93320595</v>
      </c>
      <c r="H28" s="20" t="n">
        <v>1.94266729</v>
      </c>
      <c r="I28" s="18" t="n">
        <v>0</v>
      </c>
      <c r="J28" s="20" t="n">
        <v>0</v>
      </c>
      <c r="K28" s="18" t="n">
        <v>0.80144384</v>
      </c>
      <c r="L28" s="20" t="n">
        <v>0.39304381</v>
      </c>
      <c r="M28" s="18" t="n">
        <v>0</v>
      </c>
      <c r="N28" s="20" t="n">
        <v>0</v>
      </c>
      <c r="O28" s="18" t="n">
        <v>0</v>
      </c>
      <c r="P28" s="20" t="n">
        <v>0</v>
      </c>
      <c r="Q28" s="18" t="n">
        <v>0.35832854</v>
      </c>
      <c r="R28" s="20" t="n">
        <v>0.24039692</v>
      </c>
    </row>
    <row r="29" spans="1:18">
      <c r="A29" s="15" t="s">
        <v>587</v>
      </c>
      <c r="B29" s="17" t="n">
        <v>5385</v>
      </c>
      <c r="C29" s="18">
        <f>(4851.0/B29*100)</f>
        <v/>
      </c>
      <c r="D29" s="19" t="n">
        <v>534</v>
      </c>
      <c r="E29" s="18" t="n">
        <v>44.17067427</v>
      </c>
      <c r="F29" s="20" t="n">
        <v>1.91315618</v>
      </c>
      <c r="G29" s="18" t="n">
        <v>54.79613723</v>
      </c>
      <c r="H29" s="20" t="n">
        <v>2.01708131</v>
      </c>
      <c r="I29" s="18" t="n">
        <v>0</v>
      </c>
      <c r="J29" s="20" t="n">
        <v>0</v>
      </c>
      <c r="K29" s="18" t="n">
        <v>0.17061289</v>
      </c>
      <c r="L29" s="20" t="n">
        <v>0.16227445</v>
      </c>
      <c r="M29" s="18" t="n">
        <v>0</v>
      </c>
      <c r="N29" s="20" t="n">
        <v>0</v>
      </c>
      <c r="O29" s="18" t="n">
        <v>0</v>
      </c>
      <c r="P29" s="20" t="n">
        <v>0</v>
      </c>
      <c r="Q29" s="18" t="n">
        <v>0.86257561</v>
      </c>
      <c r="R29" s="20" t="n">
        <v>0.40007169</v>
      </c>
    </row>
    <row r="30" spans="1:18">
      <c r="A30" s="15" t="s">
        <v>588</v>
      </c>
      <c r="B30" s="17" t="n">
        <v>4520</v>
      </c>
      <c r="C30" s="18">
        <f>(4008.0/B30*100)</f>
        <v/>
      </c>
      <c r="D30" s="19" t="n">
        <v>512</v>
      </c>
      <c r="E30" s="18" t="n">
        <v>49.47186712</v>
      </c>
      <c r="F30" s="20" t="n">
        <v>2.16638467</v>
      </c>
      <c r="G30" s="18" t="n">
        <v>48.67899248</v>
      </c>
      <c r="H30" s="20" t="n">
        <v>2.26466652</v>
      </c>
      <c r="I30" s="18" t="n">
        <v>0</v>
      </c>
      <c r="J30" s="20" t="n">
        <v>0</v>
      </c>
      <c r="K30" s="18" t="n">
        <v>0.24621292</v>
      </c>
      <c r="L30" s="20" t="n">
        <v>0.26377963</v>
      </c>
      <c r="M30" s="18" t="n">
        <v>0</v>
      </c>
      <c r="N30" s="20" t="n">
        <v>0</v>
      </c>
      <c r="O30" s="18" t="n">
        <v>0</v>
      </c>
      <c r="P30" s="20" t="n">
        <v>0</v>
      </c>
      <c r="Q30" s="18" t="n">
        <v>1.60292749</v>
      </c>
      <c r="R30" s="20" t="n">
        <v>0.47420366</v>
      </c>
    </row>
    <row r="31" spans="1:18">
      <c r="A31" s="15" t="s">
        <v>589</v>
      </c>
      <c r="B31" s="17" t="n">
        <v>5456</v>
      </c>
      <c r="C31" s="18">
        <f>(4849.0/B31*100)</f>
        <v/>
      </c>
      <c r="D31" s="19" t="n">
        <v>607</v>
      </c>
      <c r="E31" s="18" t="n">
        <v>45.63046078</v>
      </c>
      <c r="F31" s="20" t="n">
        <v>2.16248326</v>
      </c>
      <c r="G31" s="18" t="n">
        <v>53.30736246</v>
      </c>
      <c r="H31" s="20" t="n">
        <v>2.24073776</v>
      </c>
      <c r="I31" s="18" t="n">
        <v>0</v>
      </c>
      <c r="J31" s="20" t="n">
        <v>0</v>
      </c>
      <c r="K31" s="18" t="n">
        <v>0.43762397</v>
      </c>
      <c r="L31" s="20" t="n">
        <v>0.28175081</v>
      </c>
      <c r="M31" s="18" t="n">
        <v>0</v>
      </c>
      <c r="N31" s="20" t="n">
        <v>0</v>
      </c>
      <c r="O31" s="18" t="n">
        <v>0</v>
      </c>
      <c r="P31" s="20" t="n">
        <v>0</v>
      </c>
      <c r="Q31" s="18" t="n">
        <v>0.62455279</v>
      </c>
      <c r="R31" s="20" t="n">
        <v>0.35595908</v>
      </c>
    </row>
    <row r="32" spans="1:18">
      <c r="A32" s="15" t="s">
        <v>590</v>
      </c>
      <c r="B32" s="17" t="n">
        <v>4478</v>
      </c>
      <c r="C32" s="18">
        <f>(3997.0/B32*100)</f>
        <v/>
      </c>
      <c r="D32" s="19" t="n">
        <v>481</v>
      </c>
      <c r="E32" s="18" t="n">
        <v>48.50639091</v>
      </c>
      <c r="F32" s="20" t="n">
        <v>2.20468201</v>
      </c>
      <c r="G32" s="18" t="n">
        <v>51.49360909</v>
      </c>
      <c r="H32" s="20" t="n">
        <v>2.20468201</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(6505.0/B33*100)</f>
        <v/>
      </c>
      <c r="D33" s="19" t="n">
        <v>820</v>
      </c>
      <c r="E33" s="18" t="n">
        <v>52.49671333</v>
      </c>
      <c r="F33" s="20" t="n">
        <v>2.32961166</v>
      </c>
      <c r="G33" s="18" t="n">
        <v>46.51772971</v>
      </c>
      <c r="H33" s="20" t="n">
        <v>2.26388343</v>
      </c>
      <c r="I33" s="18" t="n">
        <v>0</v>
      </c>
      <c r="J33" s="20" t="n">
        <v>0</v>
      </c>
      <c r="K33" s="18" t="n">
        <v>0.26918087</v>
      </c>
      <c r="L33" s="20" t="n">
        <v>0.20163503</v>
      </c>
      <c r="M33" s="18" t="n">
        <v>0</v>
      </c>
      <c r="N33" s="20" t="n">
        <v>0</v>
      </c>
      <c r="O33" s="18" t="n">
        <v>0</v>
      </c>
      <c r="P33" s="20" t="n">
        <v>0</v>
      </c>
      <c r="Q33" s="18" t="n">
        <v>0.71637609</v>
      </c>
      <c r="R33" s="20" t="n">
        <v>0.33654353</v>
      </c>
    </row>
    <row r="34" spans="1:18">
      <c r="A34" s="15" t="s">
        <v>592</v>
      </c>
      <c r="B34" s="17" t="n">
        <v>6350</v>
      </c>
      <c r="C34" s="18">
        <f>(5670.0/B34*100)</f>
        <v/>
      </c>
      <c r="D34" s="19" t="n">
        <v>680</v>
      </c>
      <c r="E34" s="18" t="n">
        <v>43.55040235</v>
      </c>
      <c r="F34" s="20" t="n">
        <v>2.20462187</v>
      </c>
      <c r="G34" s="18" t="n">
        <v>55.9022826</v>
      </c>
      <c r="H34" s="20" t="n">
        <v>2.26460775</v>
      </c>
      <c r="I34" s="18" t="n">
        <v>0</v>
      </c>
      <c r="J34" s="20" t="n">
        <v>0</v>
      </c>
      <c r="K34" s="18" t="n">
        <v>0</v>
      </c>
      <c r="L34" s="20" t="n">
        <v>0</v>
      </c>
      <c r="M34" s="18" t="n">
        <v>0</v>
      </c>
      <c r="N34" s="20" t="n">
        <v>0</v>
      </c>
      <c r="O34" s="18" t="n">
        <v>0</v>
      </c>
      <c r="P34" s="20" t="n">
        <v>0</v>
      </c>
      <c r="Q34" s="18" t="n">
        <v>0.54731505</v>
      </c>
      <c r="R34" s="20" t="n">
        <v>0.26365766</v>
      </c>
    </row>
    <row r="35" spans="1:18">
      <c r="A35" s="15" t="s">
        <v>593</v>
      </c>
      <c r="B35" s="17" t="n">
        <v>6406</v>
      </c>
      <c r="C35" s="18">
        <f>(5721.0/B35*100)</f>
        <v/>
      </c>
      <c r="D35" s="19" t="n">
        <v>685</v>
      </c>
      <c r="E35" s="18" t="n">
        <v>52.27627613</v>
      </c>
      <c r="F35" s="20" t="n">
        <v>2.4167915</v>
      </c>
      <c r="G35" s="18" t="n">
        <v>47.57488207</v>
      </c>
      <c r="H35" s="20" t="n">
        <v>2.42360827</v>
      </c>
      <c r="I35" s="18" t="n">
        <v>0</v>
      </c>
      <c r="J35" s="20" t="n">
        <v>0</v>
      </c>
      <c r="K35" s="18" t="n">
        <v>0.08144589000000001</v>
      </c>
      <c r="L35" s="20" t="n">
        <v>0.08098076999999999</v>
      </c>
      <c r="M35" s="18" t="n">
        <v>0</v>
      </c>
      <c r="N35" s="20" t="n">
        <v>0</v>
      </c>
      <c r="O35" s="18" t="n">
        <v>0</v>
      </c>
      <c r="P35" s="20" t="n">
        <v>0</v>
      </c>
      <c r="Q35" s="18" t="n">
        <v>0.06739591</v>
      </c>
      <c r="R35" s="20" t="n">
        <v>0.06895540999999999</v>
      </c>
    </row>
    <row r="36" spans="1:18">
      <c r="A36" s="15" t="s">
        <v>594</v>
      </c>
      <c r="B36" s="17" t="n">
        <v>6736</v>
      </c>
      <c r="C36" s="18">
        <f>(5935.0/B36*100)</f>
        <v/>
      </c>
      <c r="D36" s="19" t="n">
        <v>801</v>
      </c>
      <c r="E36" s="18" t="n">
        <v>47.33590171</v>
      </c>
      <c r="F36" s="20" t="n">
        <v>1.92823355</v>
      </c>
      <c r="G36" s="18" t="n">
        <v>51.71538201</v>
      </c>
      <c r="H36" s="20" t="n">
        <v>1.87017691</v>
      </c>
      <c r="I36" s="18" t="n">
        <v>0</v>
      </c>
      <c r="J36" s="20" t="n">
        <v>0</v>
      </c>
      <c r="K36" s="18" t="n">
        <v>0.69256617</v>
      </c>
      <c r="L36" s="20" t="n">
        <v>0.25143928</v>
      </c>
      <c r="M36" s="18" t="n">
        <v>0</v>
      </c>
      <c r="N36" s="20" t="n">
        <v>0</v>
      </c>
      <c r="O36" s="18" t="n">
        <v>0</v>
      </c>
      <c r="P36" s="20" t="n">
        <v>0</v>
      </c>
      <c r="Q36" s="18" t="n">
        <v>0.25615011</v>
      </c>
      <c r="R36" s="20" t="n">
        <v>0.15567287</v>
      </c>
    </row>
    <row r="37" spans="1:18">
      <c r="A37" s="15" t="s">
        <v>595</v>
      </c>
      <c r="B37" s="17" t="n">
        <v>5458</v>
      </c>
      <c r="C37" s="18">
        <f>(4858.0/B37*100)</f>
        <v/>
      </c>
      <c r="D37" s="19" t="n">
        <v>600</v>
      </c>
      <c r="E37" s="18" t="n">
        <v>49.93307084</v>
      </c>
      <c r="F37" s="20" t="n">
        <v>2.04494264</v>
      </c>
      <c r="G37" s="18" t="n">
        <v>49.32191851</v>
      </c>
      <c r="H37" s="20" t="n">
        <v>2.07700231</v>
      </c>
      <c r="I37" s="18" t="n">
        <v>0</v>
      </c>
      <c r="J37" s="20" t="n">
        <v>0</v>
      </c>
      <c r="K37" s="18" t="n">
        <v>0</v>
      </c>
      <c r="L37" s="20" t="n">
        <v>0</v>
      </c>
      <c r="M37" s="18" t="n">
        <v>0</v>
      </c>
      <c r="N37" s="20" t="n">
        <v>0</v>
      </c>
      <c r="O37" s="18" t="n">
        <v>0</v>
      </c>
      <c r="P37" s="20" t="n">
        <v>0</v>
      </c>
      <c r="Q37" s="18" t="n">
        <v>0.74501065</v>
      </c>
      <c r="R37" s="20" t="n">
        <v>0.32727613</v>
      </c>
    </row>
    <row r="38" spans="1:18">
      <c r="A38" s="15" t="s">
        <v>596</v>
      </c>
      <c r="B38" s="17" t="n">
        <v>5860</v>
      </c>
      <c r="C38" s="18">
        <f>(5209.0/B38*100)</f>
        <v/>
      </c>
      <c r="D38" s="19" t="n">
        <v>651</v>
      </c>
      <c r="E38" s="18" t="n">
        <v>50.54119567</v>
      </c>
      <c r="F38" s="20" t="n">
        <v>2.06337954</v>
      </c>
      <c r="G38" s="18" t="n">
        <v>49.29134989</v>
      </c>
      <c r="H38" s="20" t="n">
        <v>2.05419253</v>
      </c>
      <c r="I38" s="18" t="n">
        <v>0</v>
      </c>
      <c r="J38" s="20" t="n">
        <v>0</v>
      </c>
      <c r="K38" s="18" t="n">
        <v>0</v>
      </c>
      <c r="L38" s="20" t="n">
        <v>0</v>
      </c>
      <c r="M38" s="18" t="n">
        <v>0</v>
      </c>
      <c r="N38" s="20" t="n">
        <v>0</v>
      </c>
      <c r="O38" s="18" t="n">
        <v>0</v>
      </c>
      <c r="P38" s="20" t="n">
        <v>0</v>
      </c>
      <c r="Q38" s="18" t="n">
        <v>0.16745444</v>
      </c>
      <c r="R38" s="20" t="n">
        <v>0.16836062</v>
      </c>
    </row>
    <row r="39" spans="1:18">
      <c r="A39" s="15" t="s">
        <v>597</v>
      </c>
      <c r="B39" s="17" t="n">
        <v>5895</v>
      </c>
      <c r="C39" s="18">
        <f>(5279.0/B39*100)</f>
        <v/>
      </c>
      <c r="D39" s="19" t="n">
        <v>616</v>
      </c>
      <c r="E39" s="18" t="n">
        <v>72.82761162</v>
      </c>
      <c r="F39" s="20" t="n">
        <v>1.8880102</v>
      </c>
      <c r="G39" s="18" t="n">
        <v>26.88354075</v>
      </c>
      <c r="H39" s="20" t="n">
        <v>1.90470308</v>
      </c>
      <c r="I39" s="18" t="n">
        <v>0</v>
      </c>
      <c r="J39" s="20" t="n">
        <v>0</v>
      </c>
      <c r="K39" s="18" t="n">
        <v>0</v>
      </c>
      <c r="L39" s="20" t="n">
        <v>0</v>
      </c>
      <c r="M39" s="18" t="n">
        <v>0</v>
      </c>
      <c r="N39" s="20" t="n">
        <v>0</v>
      </c>
      <c r="O39" s="18" t="n">
        <v>0</v>
      </c>
      <c r="P39" s="20" t="n">
        <v>0</v>
      </c>
      <c r="Q39" s="18" t="n">
        <v>0.28884763</v>
      </c>
      <c r="R39" s="20" t="n">
        <v>0.17684102</v>
      </c>
    </row>
    <row r="40" spans="1:18">
      <c r="A40" s="15" t="s">
        <v>598</v>
      </c>
      <c r="B40" s="17" t="n">
        <v>14157</v>
      </c>
      <c r="C40" s="18">
        <f>(12558.0/B40*100)</f>
        <v/>
      </c>
      <c r="D40" s="19" t="n">
        <v>1599</v>
      </c>
      <c r="E40" s="18" t="n">
        <v>49.52814478</v>
      </c>
      <c r="F40" s="20" t="n">
        <v>2.05814665</v>
      </c>
      <c r="G40" s="18" t="n">
        <v>49.95594917</v>
      </c>
      <c r="H40" s="20" t="n">
        <v>1.97713029</v>
      </c>
      <c r="I40" s="18" t="n">
        <v>0</v>
      </c>
      <c r="J40" s="20" t="n">
        <v>0</v>
      </c>
      <c r="K40" s="18" t="n">
        <v>0.02012753</v>
      </c>
      <c r="L40" s="20" t="n">
        <v>0.0235203</v>
      </c>
      <c r="M40" s="18" t="n">
        <v>0</v>
      </c>
      <c r="N40" s="20" t="n">
        <v>0</v>
      </c>
      <c r="O40" s="18" t="n">
        <v>0</v>
      </c>
      <c r="P40" s="20" t="n">
        <v>0</v>
      </c>
      <c r="Q40" s="18" t="n">
        <v>0.49577852</v>
      </c>
      <c r="R40" s="20" t="n">
        <v>0.29764464</v>
      </c>
    </row>
    <row r="41" spans="1:18">
      <c r="A41" s="15" t="s">
        <v>599</v>
      </c>
      <c r="B41" s="17" t="n">
        <v>5712</v>
      </c>
      <c r="C41" s="18">
        <f>(5056.0/B41*100)</f>
        <v/>
      </c>
      <c r="D41" s="19" t="n">
        <v>656</v>
      </c>
      <c r="E41" s="18" t="n">
        <v>49.88843602</v>
      </c>
      <c r="F41" s="20" t="n">
        <v>2.19231494</v>
      </c>
      <c r="G41" s="18" t="n">
        <v>49.25362736</v>
      </c>
      <c r="H41" s="20" t="n">
        <v>2.20313977</v>
      </c>
      <c r="I41" s="18" t="n">
        <v>0</v>
      </c>
      <c r="J41" s="20" t="n">
        <v>0</v>
      </c>
      <c r="K41" s="18" t="n">
        <v>0.35903372</v>
      </c>
      <c r="L41" s="20" t="n">
        <v>0.24297433</v>
      </c>
      <c r="M41" s="18" t="n">
        <v>0</v>
      </c>
      <c r="N41" s="20" t="n">
        <v>0</v>
      </c>
      <c r="O41" s="18" t="n">
        <v>0</v>
      </c>
      <c r="P41" s="20" t="n">
        <v>0</v>
      </c>
      <c r="Q41" s="18" t="n">
        <v>0.4989029</v>
      </c>
      <c r="R41" s="20" t="n">
        <v>0.300769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(20952.0/B46*100)</f>
        <v/>
      </c>
      <c r="D46" s="19" t="n">
        <v>2189</v>
      </c>
      <c r="E46" s="18" t="n">
        <v>58.60029116</v>
      </c>
      <c r="F46" s="20" t="n">
        <v>1.37347741</v>
      </c>
      <c r="G46" s="18" t="n">
        <v>40.34204146</v>
      </c>
      <c r="H46" s="20" t="n">
        <v>1.34431966</v>
      </c>
      <c r="I46" s="18" t="n">
        <v>0</v>
      </c>
      <c r="J46" s="20" t="n">
        <v>0</v>
      </c>
      <c r="K46" s="18" t="n">
        <v>0.54293744</v>
      </c>
      <c r="L46" s="20" t="n">
        <v>0.19014287</v>
      </c>
      <c r="M46" s="18" t="n">
        <v>0</v>
      </c>
      <c r="N46" s="20" t="n">
        <v>0</v>
      </c>
      <c r="O46" s="18" t="n">
        <v>0</v>
      </c>
      <c r="P46" s="20" t="n">
        <v>0</v>
      </c>
      <c r="Q46" s="18" t="n">
        <v>0.5147299400000001</v>
      </c>
      <c r="R46" s="20" t="n">
        <v>0.12471611</v>
      </c>
    </row>
    <row r="47" spans="1:18">
      <c r="A47" s="15" t="s">
        <v>606</v>
      </c>
      <c r="B47" s="17" t="n">
        <v>5928</v>
      </c>
      <c r="C47" s="18">
        <f>(5273.0/B47*100)</f>
        <v/>
      </c>
      <c r="D47" s="19" t="n">
        <v>655</v>
      </c>
      <c r="E47" s="18" t="n">
        <v>63.80907283</v>
      </c>
      <c r="F47" s="20" t="n">
        <v>1.95257596</v>
      </c>
      <c r="G47" s="18" t="n">
        <v>35.90396853</v>
      </c>
      <c r="H47" s="20" t="n">
        <v>1.92523947</v>
      </c>
      <c r="I47" s="18" t="n">
        <v>0</v>
      </c>
      <c r="J47" s="20" t="n">
        <v>0</v>
      </c>
      <c r="K47" s="18" t="n">
        <v>0.28695864</v>
      </c>
      <c r="L47" s="20" t="n">
        <v>0.21910117</v>
      </c>
      <c r="M47" s="18" t="n">
        <v>0</v>
      </c>
      <c r="N47" s="20" t="n">
        <v>0</v>
      </c>
      <c r="O47" s="18" t="n">
        <v>0</v>
      </c>
      <c r="P47" s="20" t="n">
        <v>0</v>
      </c>
      <c r="Q47" s="18" t="n">
        <v>0</v>
      </c>
      <c r="R47" s="20" t="n">
        <v>0</v>
      </c>
    </row>
    <row r="48" spans="1:18">
      <c r="A48" s="15" t="s">
        <v>607</v>
      </c>
      <c r="B48" s="17" t="n">
        <v>9841</v>
      </c>
      <c r="C48" s="18">
        <f>(8744.0/B48*100)</f>
        <v/>
      </c>
      <c r="D48" s="19" t="n">
        <v>1097</v>
      </c>
      <c r="E48" s="18" t="n">
        <v>31.07130831</v>
      </c>
      <c r="F48" s="20" t="n">
        <v>1.90284639</v>
      </c>
      <c r="G48" s="18" t="n">
        <v>68.32319285</v>
      </c>
      <c r="H48" s="20" t="n">
        <v>1.93380707</v>
      </c>
      <c r="I48" s="18" t="n">
        <v>0</v>
      </c>
      <c r="J48" s="20" t="n">
        <v>0</v>
      </c>
      <c r="K48" s="18" t="n">
        <v>0.19077396</v>
      </c>
      <c r="L48" s="20" t="n">
        <v>0.22671189</v>
      </c>
      <c r="M48" s="18" t="n">
        <v>0</v>
      </c>
      <c r="N48" s="20" t="n">
        <v>0</v>
      </c>
      <c r="O48" s="18" t="n">
        <v>0</v>
      </c>
      <c r="P48" s="20" t="n">
        <v>0</v>
      </c>
      <c r="Q48" s="18" t="n">
        <v>0.41472489</v>
      </c>
      <c r="R48" s="20" t="n">
        <v>0.24455952</v>
      </c>
    </row>
    <row r="49" spans="1:18">
      <c r="A49" s="15" t="s">
        <v>608</v>
      </c>
      <c r="B49" s="17" t="n">
        <v>11795</v>
      </c>
      <c r="C49" s="18">
        <f>(10524.0/B49*100)</f>
        <v/>
      </c>
      <c r="D49" s="19" t="n">
        <v>1271</v>
      </c>
      <c r="E49" s="18" t="n">
        <v>58.42993516</v>
      </c>
      <c r="F49" s="20" t="n">
        <v>1.95487077</v>
      </c>
      <c r="G49" s="18" t="n">
        <v>40.16707057</v>
      </c>
      <c r="H49" s="20" t="n">
        <v>1.86491211</v>
      </c>
      <c r="I49" s="18" t="n">
        <v>0</v>
      </c>
      <c r="J49" s="20" t="n">
        <v>0</v>
      </c>
      <c r="K49" s="18" t="n">
        <v>0.63802231</v>
      </c>
      <c r="L49" s="20" t="n">
        <v>0.31579194</v>
      </c>
      <c r="M49" s="18" t="n">
        <v>0</v>
      </c>
      <c r="N49" s="20" t="n">
        <v>0</v>
      </c>
      <c r="O49" s="18" t="n">
        <v>0</v>
      </c>
      <c r="P49" s="20" t="n">
        <v>0</v>
      </c>
      <c r="Q49" s="18" t="n">
        <v>0.76497196</v>
      </c>
      <c r="R49" s="20" t="n">
        <v>0.3159625</v>
      </c>
    </row>
    <row r="50" spans="1:18">
      <c r="A50" s="15" t="s">
        <v>609</v>
      </c>
      <c r="B50" s="17" t="n">
        <v>6866</v>
      </c>
      <c r="C50" s="18">
        <f>(6192.0/B50*100)</f>
        <v/>
      </c>
      <c r="D50" s="19" t="n">
        <v>674</v>
      </c>
      <c r="E50" s="18" t="n">
        <v>56.74040775</v>
      </c>
      <c r="F50" s="20" t="n">
        <v>1.93374462</v>
      </c>
      <c r="G50" s="18" t="n">
        <v>41.70683694</v>
      </c>
      <c r="H50" s="20" t="n">
        <v>2.01852196</v>
      </c>
      <c r="I50" s="18" t="n">
        <v>0</v>
      </c>
      <c r="J50" s="20" t="n">
        <v>0</v>
      </c>
      <c r="K50" s="18" t="n">
        <v>0.60895967</v>
      </c>
      <c r="L50" s="20" t="n">
        <v>0.30587509</v>
      </c>
      <c r="M50" s="18" t="n">
        <v>0</v>
      </c>
      <c r="N50" s="20" t="n">
        <v>0</v>
      </c>
      <c r="O50" s="18" t="n">
        <v>0</v>
      </c>
      <c r="P50" s="20" t="n">
        <v>0</v>
      </c>
      <c r="Q50" s="18" t="n">
        <v>0.94379564</v>
      </c>
      <c r="R50" s="20" t="n">
        <v>0.39699368</v>
      </c>
    </row>
    <row r="51" spans="1:18">
      <c r="A51" s="15" t="s">
        <v>610</v>
      </c>
      <c r="B51" s="17" t="n">
        <v>5809</v>
      </c>
      <c r="C51" s="18">
        <f>(5192.0/B51*100)</f>
        <v/>
      </c>
      <c r="D51" s="19" t="n">
        <v>617</v>
      </c>
      <c r="E51" s="18" t="n">
        <v>51.51796845</v>
      </c>
      <c r="F51" s="20" t="n">
        <v>2.16332156</v>
      </c>
      <c r="G51" s="18" t="n">
        <v>48.33499052</v>
      </c>
      <c r="H51" s="20" t="n">
        <v>2.16895979</v>
      </c>
      <c r="I51" s="18" t="n">
        <v>0</v>
      </c>
      <c r="J51" s="20" t="n">
        <v>0</v>
      </c>
      <c r="K51" s="18" t="n">
        <v>0</v>
      </c>
      <c r="L51" s="20" t="n">
        <v>0</v>
      </c>
      <c r="M51" s="18" t="n">
        <v>0</v>
      </c>
      <c r="N51" s="20" t="n">
        <v>0</v>
      </c>
      <c r="O51" s="18" t="n">
        <v>0</v>
      </c>
      <c r="P51" s="20" t="n">
        <v>0</v>
      </c>
      <c r="Q51" s="18" t="n">
        <v>0.14704103</v>
      </c>
      <c r="R51" s="20" t="n">
        <v>0.14768084</v>
      </c>
    </row>
    <row r="52" spans="1:18">
      <c r="A52" s="15" t="s">
        <v>611</v>
      </c>
      <c r="B52" s="17" t="n">
        <v>5571</v>
      </c>
      <c r="C52" s="18">
        <f>(4950.0/B52*100)</f>
        <v/>
      </c>
      <c r="D52" s="19" t="n">
        <v>621</v>
      </c>
      <c r="E52" s="18" t="n">
        <v>55.98857687</v>
      </c>
      <c r="F52" s="20" t="n">
        <v>1.8825324</v>
      </c>
      <c r="G52" s="18" t="n">
        <v>43.00075267</v>
      </c>
      <c r="H52" s="20" t="n">
        <v>1.86425797</v>
      </c>
      <c r="I52" s="18" t="n">
        <v>0</v>
      </c>
      <c r="J52" s="20" t="n">
        <v>0</v>
      </c>
      <c r="K52" s="18" t="n">
        <v>0.54689771</v>
      </c>
      <c r="L52" s="20" t="n">
        <v>0.32805451</v>
      </c>
      <c r="M52" s="18" t="n">
        <v>0</v>
      </c>
      <c r="N52" s="20" t="n">
        <v>0</v>
      </c>
      <c r="O52" s="18" t="n">
        <v>0</v>
      </c>
      <c r="P52" s="20" t="n">
        <v>0</v>
      </c>
      <c r="Q52" s="18" t="n">
        <v>0.46377275</v>
      </c>
      <c r="R52" s="20" t="n">
        <v>0.27285284</v>
      </c>
    </row>
    <row r="53" spans="1:18">
      <c r="A53" s="15" t="s">
        <v>612</v>
      </c>
      <c r="B53" s="17" t="n">
        <v>4740</v>
      </c>
      <c r="C53" s="18">
        <f>(4218.0/B53*100)</f>
        <v/>
      </c>
      <c r="D53" s="19" t="n">
        <v>522</v>
      </c>
      <c r="E53" s="18" t="n">
        <v>63.79261926</v>
      </c>
      <c r="F53" s="20" t="n">
        <v>1.98207141</v>
      </c>
      <c r="G53" s="18" t="n">
        <v>23.91868848</v>
      </c>
      <c r="H53" s="20" t="n">
        <v>1.66583354</v>
      </c>
      <c r="I53" s="18" t="n">
        <v>0</v>
      </c>
      <c r="J53" s="20" t="n">
        <v>0</v>
      </c>
      <c r="K53" s="18" t="n">
        <v>11.19467784</v>
      </c>
      <c r="L53" s="20" t="n">
        <v>1.69748128</v>
      </c>
      <c r="M53" s="18" t="n">
        <v>0</v>
      </c>
      <c r="N53" s="20" t="n">
        <v>0</v>
      </c>
      <c r="O53" s="18" t="n">
        <v>0</v>
      </c>
      <c r="P53" s="20" t="n">
        <v>0</v>
      </c>
      <c r="Q53" s="18" t="n">
        <v>1.09401442</v>
      </c>
      <c r="R53" s="20" t="n">
        <v>0.44755657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(4794.0/B55*100)</f>
        <v/>
      </c>
      <c r="D55" s="19" t="n">
        <v>565</v>
      </c>
      <c r="E55" s="18" t="n">
        <v>32.95975196</v>
      </c>
      <c r="F55" s="20" t="n">
        <v>2.35630872</v>
      </c>
      <c r="G55" s="18" t="n">
        <v>66.59312491</v>
      </c>
      <c r="H55" s="20" t="n">
        <v>2.31023543</v>
      </c>
      <c r="I55" s="18" t="n">
        <v>0</v>
      </c>
      <c r="J55" s="20" t="n">
        <v>0</v>
      </c>
      <c r="K55" s="18" t="n">
        <v>0</v>
      </c>
      <c r="L55" s="20" t="n">
        <v>0</v>
      </c>
      <c r="M55" s="18" t="n">
        <v>0</v>
      </c>
      <c r="N55" s="20" t="n">
        <v>0</v>
      </c>
      <c r="O55" s="18" t="n">
        <v>0</v>
      </c>
      <c r="P55" s="20" t="n">
        <v>0</v>
      </c>
      <c r="Q55" s="18" t="n">
        <v>0.44712313</v>
      </c>
      <c r="R55" s="20" t="n">
        <v>0.33778401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(5833.0/B61*100)</f>
        <v/>
      </c>
      <c r="D61" s="19" t="n">
        <v>692</v>
      </c>
      <c r="E61" s="18" t="n">
        <v>54.87119673</v>
      </c>
      <c r="F61" s="20" t="n">
        <v>2.01429759</v>
      </c>
      <c r="G61" s="18" t="n">
        <v>44.66381146</v>
      </c>
      <c r="H61" s="20" t="n">
        <v>2.05455717</v>
      </c>
      <c r="I61" s="18" t="n">
        <v>0</v>
      </c>
      <c r="J61" s="20" t="n">
        <v>0</v>
      </c>
      <c r="K61" s="18" t="n">
        <v>0.46499182</v>
      </c>
      <c r="L61" s="20" t="n">
        <v>0.41228965</v>
      </c>
      <c r="M61" s="18" t="n">
        <v>0</v>
      </c>
      <c r="N61" s="20" t="n">
        <v>0</v>
      </c>
      <c r="O61" s="18" t="n">
        <v>0</v>
      </c>
      <c r="P61" s="20" t="n">
        <v>0</v>
      </c>
      <c r="Q61" s="18" t="n">
        <v>0</v>
      </c>
      <c r="R61" s="20" t="n">
        <v>0</v>
      </c>
    </row>
    <row r="62" spans="1:18">
      <c r="A62" s="15" t="s">
        <v>622</v>
      </c>
      <c r="B62" s="17" t="n">
        <v>4476</v>
      </c>
      <c r="C62" s="18">
        <f>(3951.0/B62*100)</f>
        <v/>
      </c>
      <c r="D62" s="19" t="n">
        <v>525</v>
      </c>
      <c r="E62" s="18" t="n">
        <v>44.76539353</v>
      </c>
      <c r="F62" s="20" t="n">
        <v>2.39822242</v>
      </c>
      <c r="G62" s="18" t="n">
        <v>55.23460647</v>
      </c>
      <c r="H62" s="20" t="n">
        <v>2.39822242</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(5057.0/B67*100)</f>
        <v/>
      </c>
      <c r="D67" s="19" t="n">
        <v>608</v>
      </c>
      <c r="E67" s="18" t="n">
        <v>61.93127111</v>
      </c>
      <c r="F67" s="20" t="n">
        <v>1.90904741</v>
      </c>
      <c r="G67" s="18" t="n">
        <v>36.06325588</v>
      </c>
      <c r="H67" s="20" t="n">
        <v>1.85814101</v>
      </c>
      <c r="I67" s="18" t="n">
        <v>0</v>
      </c>
      <c r="J67" s="20" t="n">
        <v>0</v>
      </c>
      <c r="K67" s="18" t="n">
        <v>0.68263986</v>
      </c>
      <c r="L67" s="20" t="n">
        <v>0.34397727</v>
      </c>
      <c r="M67" s="18" t="n">
        <v>0</v>
      </c>
      <c r="N67" s="20" t="n">
        <v>0</v>
      </c>
      <c r="O67" s="18" t="n">
        <v>0</v>
      </c>
      <c r="P67" s="20" t="n">
        <v>0</v>
      </c>
      <c r="Q67" s="18" t="n">
        <v>1.32283316</v>
      </c>
      <c r="R67" s="20" t="n">
        <v>0.43241343</v>
      </c>
    </row>
    <row r="68" spans="1:18">
      <c r="A68" s="15" t="s">
        <v>628</v>
      </c>
      <c r="B68" s="17" t="n">
        <v>6971</v>
      </c>
      <c r="C68" s="18">
        <f>(6257.0/B68*100)</f>
        <v/>
      </c>
      <c r="D68" s="19" t="n">
        <v>714</v>
      </c>
      <c r="E68" s="18" t="n">
        <v>59.54984781</v>
      </c>
      <c r="F68" s="20" t="n">
        <v>1.7771609</v>
      </c>
      <c r="G68" s="18" t="n">
        <v>39.59794924</v>
      </c>
      <c r="H68" s="20" t="n">
        <v>1.75922153</v>
      </c>
      <c r="I68" s="18" t="n">
        <v>0</v>
      </c>
      <c r="J68" s="20" t="n">
        <v>0</v>
      </c>
      <c r="K68" s="18" t="n">
        <v>0.32261282</v>
      </c>
      <c r="L68" s="20" t="n">
        <v>0.2308373</v>
      </c>
      <c r="M68" s="18" t="n">
        <v>0</v>
      </c>
      <c r="N68" s="20" t="n">
        <v>0</v>
      </c>
      <c r="O68" s="18" t="n">
        <v>0</v>
      </c>
      <c r="P68" s="20" t="n">
        <v>0</v>
      </c>
      <c r="Q68" s="18" t="n">
        <v>0.5295901200000001</v>
      </c>
      <c r="R68" s="20" t="n">
        <v>0.26827187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(10735.0/B70*100)</f>
        <v/>
      </c>
      <c r="D70" s="19" t="n">
        <v>1348</v>
      </c>
      <c r="E70" s="18" t="n">
        <v>53.66428154</v>
      </c>
      <c r="F70" s="20" t="n">
        <v>1.54647066</v>
      </c>
      <c r="G70" s="18" t="n">
        <v>44.2098179</v>
      </c>
      <c r="H70" s="20" t="n">
        <v>1.47711454</v>
      </c>
      <c r="I70" s="18" t="n">
        <v>0</v>
      </c>
      <c r="J70" s="20" t="n">
        <v>0</v>
      </c>
      <c r="K70" s="18" t="n">
        <v>1.32637054</v>
      </c>
      <c r="L70" s="20" t="n">
        <v>0.37174136</v>
      </c>
      <c r="M70" s="18" t="n">
        <v>0</v>
      </c>
      <c r="N70" s="20" t="n">
        <v>0</v>
      </c>
      <c r="O70" s="18" t="n">
        <v>0</v>
      </c>
      <c r="P70" s="20" t="n">
        <v>0</v>
      </c>
      <c r="Q70" s="18" t="n">
        <v>0.79953002</v>
      </c>
      <c r="R70" s="20" t="n">
        <v>0.24474282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(5394.0/B72*100)</f>
        <v/>
      </c>
      <c r="D72" s="19" t="n">
        <v>642</v>
      </c>
      <c r="E72" s="18" t="n">
        <v>57.8378636</v>
      </c>
      <c r="F72" s="20" t="n">
        <v>2.45683558</v>
      </c>
      <c r="G72" s="18" t="n">
        <v>42.00990348</v>
      </c>
      <c r="H72" s="20" t="n">
        <v>2.46345739</v>
      </c>
      <c r="I72" s="18" t="n">
        <v>0</v>
      </c>
      <c r="J72" s="20" t="n">
        <v>0</v>
      </c>
      <c r="K72" s="18" t="n">
        <v>0</v>
      </c>
      <c r="L72" s="20" t="n">
        <v>0</v>
      </c>
      <c r="M72" s="18" t="n">
        <v>0</v>
      </c>
      <c r="N72" s="20" t="n">
        <v>0</v>
      </c>
      <c r="O72" s="18" t="n">
        <v>0</v>
      </c>
      <c r="P72" s="20" t="n">
        <v>0</v>
      </c>
      <c r="Q72" s="18" t="n">
        <v>0.15223292</v>
      </c>
      <c r="R72" s="20" t="n">
        <v>0.10479865</v>
      </c>
    </row>
    <row r="73" spans="1:18">
      <c r="A73" s="15" t="s">
        <v>633</v>
      </c>
      <c r="B73" s="17" t="n">
        <v>6115</v>
      </c>
      <c r="C73" s="18">
        <f>(5394.0/B73*100)</f>
        <v/>
      </c>
      <c r="D73" s="19" t="n">
        <v>721</v>
      </c>
      <c r="E73" s="18" t="n">
        <v>41.97089903</v>
      </c>
      <c r="F73" s="20" t="n">
        <v>1.83698852</v>
      </c>
      <c r="G73" s="18" t="n">
        <v>57.53911148</v>
      </c>
      <c r="H73" s="20" t="n">
        <v>1.82810727</v>
      </c>
      <c r="I73" s="18" t="n">
        <v>0</v>
      </c>
      <c r="J73" s="20" t="n">
        <v>0</v>
      </c>
      <c r="K73" s="18" t="n">
        <v>0.09313286</v>
      </c>
      <c r="L73" s="20" t="n">
        <v>0.09290548999999999</v>
      </c>
      <c r="M73" s="18" t="n">
        <v>0</v>
      </c>
      <c r="N73" s="20" t="n">
        <v>0</v>
      </c>
      <c r="O73" s="18" t="n">
        <v>0</v>
      </c>
      <c r="P73" s="20" t="n">
        <v>0</v>
      </c>
      <c r="Q73" s="18" t="n">
        <v>0.39685663</v>
      </c>
      <c r="R73" s="20" t="n">
        <v>0.23938215</v>
      </c>
    </row>
    <row r="74" spans="1:18">
      <c r="A74" s="15" t="s">
        <v>634</v>
      </c>
      <c r="B74" s="17" t="n">
        <v>7708</v>
      </c>
      <c r="C74" s="18">
        <f>(6862.0/B74*100)</f>
        <v/>
      </c>
      <c r="D74" s="19" t="n">
        <v>846</v>
      </c>
      <c r="E74" s="18" t="n">
        <v>32.92070945</v>
      </c>
      <c r="F74" s="20" t="n">
        <v>1.72930006</v>
      </c>
      <c r="G74" s="18" t="n">
        <v>66.5393014</v>
      </c>
      <c r="H74" s="20" t="n">
        <v>1.73406078</v>
      </c>
      <c r="I74" s="18" t="n">
        <v>0</v>
      </c>
      <c r="J74" s="20" t="n">
        <v>0</v>
      </c>
      <c r="K74" s="18" t="n">
        <v>0.09812514999999999</v>
      </c>
      <c r="L74" s="20" t="n">
        <v>0.09838803</v>
      </c>
      <c r="M74" s="18" t="n">
        <v>0</v>
      </c>
      <c r="N74" s="20" t="n">
        <v>0</v>
      </c>
      <c r="O74" s="18" t="n">
        <v>0</v>
      </c>
      <c r="P74" s="20" t="n">
        <v>0</v>
      </c>
      <c r="Q74" s="18" t="n">
        <v>0.44186399</v>
      </c>
      <c r="R74" s="20" t="n">
        <v>0.22441537</v>
      </c>
    </row>
    <row r="75" spans="1:18">
      <c r="A75" s="15" t="s">
        <v>635</v>
      </c>
      <c r="B75" s="17" t="n">
        <v>8249</v>
      </c>
      <c r="C75" s="18">
        <f>(7374.0/B75*100)</f>
        <v/>
      </c>
      <c r="D75" s="19" t="n">
        <v>875</v>
      </c>
      <c r="E75" s="18" t="n">
        <v>60.46109702</v>
      </c>
      <c r="F75" s="20" t="n">
        <v>1.91034858</v>
      </c>
      <c r="G75" s="18" t="n">
        <v>39.53890298</v>
      </c>
      <c r="H75" s="20" t="n">
        <v>1.91034858</v>
      </c>
      <c r="I75" s="18" t="n">
        <v>0</v>
      </c>
      <c r="J75" s="20" t="n">
        <v>0</v>
      </c>
      <c r="K75" s="18" t="n">
        <v>0</v>
      </c>
      <c r="L75" s="20" t="n">
        <v>0</v>
      </c>
      <c r="M75" s="18" t="n">
        <v>0</v>
      </c>
      <c r="N75" s="20" t="n">
        <v>0</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(4820.0/B77*100)</f>
        <v/>
      </c>
      <c r="D77" s="19" t="n">
        <v>555</v>
      </c>
      <c r="E77" s="18" t="n">
        <v>65.94983784999999</v>
      </c>
      <c r="F77" s="20" t="n">
        <v>1.94633357</v>
      </c>
      <c r="G77" s="18" t="n">
        <v>31.58846148</v>
      </c>
      <c r="H77" s="20" t="n">
        <v>1.79685215</v>
      </c>
      <c r="I77" s="18" t="n">
        <v>0</v>
      </c>
      <c r="J77" s="20" t="n">
        <v>0</v>
      </c>
      <c r="K77" s="18" t="n">
        <v>2.07332584</v>
      </c>
      <c r="L77" s="20" t="n">
        <v>0.5527611</v>
      </c>
      <c r="M77" s="18" t="n">
        <v>0</v>
      </c>
      <c r="N77" s="20" t="n">
        <v>0</v>
      </c>
      <c r="O77" s="18" t="n">
        <v>0</v>
      </c>
      <c r="P77" s="20" t="n">
        <v>0</v>
      </c>
      <c r="Q77" s="18" t="n">
        <v>0.38837483</v>
      </c>
      <c r="R77" s="20" t="n">
        <v>0.23677404</v>
      </c>
    </row>
    <row r="78" spans="1:18">
      <c r="A78" s="15" t="s">
        <v>638</v>
      </c>
      <c r="B78" s="17" t="n">
        <v>14167</v>
      </c>
      <c r="C78" s="18">
        <f>(12611.0/B78*100)</f>
        <v/>
      </c>
      <c r="D78" s="19" t="n">
        <v>1556</v>
      </c>
      <c r="E78" s="18" t="n">
        <v>57.79894341</v>
      </c>
      <c r="F78" s="20" t="n">
        <v>1.58436731</v>
      </c>
      <c r="G78" s="18" t="n">
        <v>41.08600204</v>
      </c>
      <c r="H78" s="20" t="n">
        <v>1.52309717</v>
      </c>
      <c r="I78" s="18" t="n">
        <v>0</v>
      </c>
      <c r="J78" s="20" t="n">
        <v>0</v>
      </c>
      <c r="K78" s="18" t="n">
        <v>0.33038102</v>
      </c>
      <c r="L78" s="20" t="n">
        <v>0.12857547</v>
      </c>
      <c r="M78" s="18" t="n">
        <v>0</v>
      </c>
      <c r="N78" s="20" t="n">
        <v>0</v>
      </c>
      <c r="O78" s="18" t="n">
        <v>0</v>
      </c>
      <c r="P78" s="20" t="n">
        <v>0</v>
      </c>
      <c r="Q78" s="18" t="n">
        <v>0.78467353</v>
      </c>
      <c r="R78" s="20" t="n">
        <v>0.23709772</v>
      </c>
    </row>
    <row r="79" spans="1:18">
      <c r="A79" s="15" t="s">
        <v>639</v>
      </c>
      <c r="B79" s="17" t="n">
        <v>6062</v>
      </c>
      <c r="C79" s="18">
        <f>(5426.0/B79*100)</f>
        <v/>
      </c>
      <c r="D79" s="19" t="n">
        <v>636</v>
      </c>
      <c r="E79" s="18" t="n">
        <v>59.53739701</v>
      </c>
      <c r="F79" s="20" t="n">
        <v>1.90233686</v>
      </c>
      <c r="G79" s="18" t="n">
        <v>38.86869937</v>
      </c>
      <c r="H79" s="20" t="n">
        <v>1.94295561</v>
      </c>
      <c r="I79" s="18" t="n">
        <v>0</v>
      </c>
      <c r="J79" s="20" t="n">
        <v>0</v>
      </c>
      <c r="K79" s="18" t="n">
        <v>1.14181519</v>
      </c>
      <c r="L79" s="20" t="n">
        <v>0.36675434</v>
      </c>
      <c r="M79" s="18" t="n">
        <v>0</v>
      </c>
      <c r="N79" s="20" t="n">
        <v>0</v>
      </c>
      <c r="O79" s="18" t="n">
        <v>0</v>
      </c>
      <c r="P79" s="20" t="n">
        <v>0</v>
      </c>
      <c r="Q79" s="18" t="n">
        <v>0.45208844</v>
      </c>
      <c r="R79" s="20" t="n">
        <v>0.35388451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(28717.0/B82*100)</f>
        <v/>
      </c>
      <c r="D82" s="19" t="n">
        <v>3613</v>
      </c>
      <c r="E82" s="18" t="n">
        <v>45.29149383</v>
      </c>
      <c r="F82" s="20" t="n">
        <v>1.27814368</v>
      </c>
      <c r="G82" s="18" t="n">
        <v>54.14260067</v>
      </c>
      <c r="H82" s="20" t="n">
        <v>1.31520977</v>
      </c>
      <c r="I82" s="18" t="n">
        <v>0</v>
      </c>
      <c r="J82" s="20" t="n">
        <v>0</v>
      </c>
      <c r="K82" s="18" t="n">
        <v>0.29639379</v>
      </c>
      <c r="L82" s="20" t="n">
        <v>0.14431004</v>
      </c>
      <c r="M82" s="18" t="n">
        <v>0</v>
      </c>
      <c r="N82" s="20" t="n">
        <v>0</v>
      </c>
      <c r="O82" s="18" t="n">
        <v>0</v>
      </c>
      <c r="P82" s="20" t="n">
        <v>0</v>
      </c>
      <c r="Q82" s="18" t="n">
        <v>0.26951171</v>
      </c>
      <c r="R82" s="20" t="n">
        <v>0.08288766</v>
      </c>
    </row>
    <row r="83" spans="1:18">
      <c r="A83" s="15" t="s">
        <v>643</v>
      </c>
      <c r="B83" s="17" t="n">
        <v>1652</v>
      </c>
      <c r="C83" s="18">
        <f>(1474.0/B83*100)</f>
        <v/>
      </c>
      <c r="D83" s="19" t="n">
        <v>178</v>
      </c>
      <c r="E83" s="18" t="n">
        <v>49.00320725</v>
      </c>
      <c r="F83" s="20" t="n">
        <v>3.32280387</v>
      </c>
      <c r="G83" s="18" t="n">
        <v>50.50408819</v>
      </c>
      <c r="H83" s="20" t="n">
        <v>3.28563215</v>
      </c>
      <c r="I83" s="18" t="n">
        <v>0</v>
      </c>
      <c r="J83" s="20" t="n">
        <v>0</v>
      </c>
      <c r="K83" s="18" t="n">
        <v>0</v>
      </c>
      <c r="L83" s="20" t="n">
        <v>0</v>
      </c>
      <c r="M83" s="18" t="n">
        <v>0</v>
      </c>
      <c r="N83" s="20" t="n">
        <v>0</v>
      </c>
      <c r="O83" s="18" t="n">
        <v>0</v>
      </c>
      <c r="P83" s="20" t="n">
        <v>0</v>
      </c>
      <c r="Q83" s="18" t="n">
        <v>0.49270457</v>
      </c>
      <c r="R83" s="20" t="n">
        <v>0.35575037</v>
      </c>
    </row>
    <row r="84" spans="1:18">
      <c r="A84" s="23" t="s">
        <v>644</v>
      </c>
      <c r="B84" s="24" t="n">
        <v>1887</v>
      </c>
      <c r="C84" s="25">
        <f>(1691.0/B84*100)</f>
        <v/>
      </c>
      <c r="D84" s="19" t="n">
        <v>196</v>
      </c>
      <c r="E84" s="18" t="n">
        <v>44.69194196</v>
      </c>
      <c r="F84" s="20" t="n">
        <v>3.25638983</v>
      </c>
      <c r="G84" s="18" t="n">
        <v>55.30805804</v>
      </c>
      <c r="H84" s="20" t="n">
        <v>3.25638983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(12947.0/B7*100)</f>
        <v/>
      </c>
      <c r="D7" s="19" t="n">
        <v>1583</v>
      </c>
      <c r="E7" s="18" t="n">
        <v>42.8188964</v>
      </c>
      <c r="F7" s="20" t="n">
        <v>1.40395531</v>
      </c>
      <c r="G7" s="18" t="n">
        <v>56.30912932</v>
      </c>
      <c r="H7" s="20" t="n">
        <v>1.38687835</v>
      </c>
      <c r="I7" s="18" t="n">
        <v>0</v>
      </c>
      <c r="J7" s="20" t="n">
        <v>0</v>
      </c>
      <c r="K7" s="18" t="n">
        <v>0.15417258</v>
      </c>
      <c r="L7" s="20" t="n">
        <v>0.095544</v>
      </c>
      <c r="M7" s="18" t="n">
        <v>0</v>
      </c>
      <c r="N7" s="20" t="n">
        <v>0</v>
      </c>
      <c r="O7" s="18" t="n">
        <v>0</v>
      </c>
      <c r="P7" s="20" t="n">
        <v>0</v>
      </c>
      <c r="Q7" s="18" t="n">
        <v>0.7178017</v>
      </c>
      <c r="R7" s="20" t="n">
        <v>0.27914891</v>
      </c>
    </row>
    <row r="8" spans="1:18">
      <c r="A8" s="15" t="s">
        <v>566</v>
      </c>
      <c r="B8" s="17" t="n">
        <v>7007</v>
      </c>
      <c r="C8" s="18">
        <f>(6258.0/B8*100)</f>
        <v/>
      </c>
      <c r="D8" s="19" t="n">
        <v>749</v>
      </c>
      <c r="E8" s="18" t="n">
        <v>42.23258241</v>
      </c>
      <c r="F8" s="20" t="n">
        <v>2.02627973</v>
      </c>
      <c r="G8" s="18" t="n">
        <v>57.44341257</v>
      </c>
      <c r="H8" s="20" t="n">
        <v>2.06282162</v>
      </c>
      <c r="I8" s="18" t="n">
        <v>0</v>
      </c>
      <c r="J8" s="20" t="n">
        <v>0</v>
      </c>
      <c r="K8" s="18" t="n">
        <v>0.05034584</v>
      </c>
      <c r="L8" s="20" t="n">
        <v>0.05037408</v>
      </c>
      <c r="M8" s="18" t="n">
        <v>0</v>
      </c>
      <c r="N8" s="20" t="n">
        <v>0</v>
      </c>
      <c r="O8" s="18" t="n">
        <v>0</v>
      </c>
      <c r="P8" s="20" t="n">
        <v>0</v>
      </c>
      <c r="Q8" s="18" t="n">
        <v>0.27365918</v>
      </c>
      <c r="R8" s="20" t="n">
        <v>0.16570976</v>
      </c>
    </row>
    <row r="9" spans="1:18">
      <c r="A9" s="15" t="s">
        <v>567</v>
      </c>
      <c r="B9" s="17" t="n">
        <v>9651</v>
      </c>
      <c r="C9" s="18">
        <f>(8639.0/B9*100)</f>
        <v/>
      </c>
      <c r="D9" s="19" t="n">
        <v>1012</v>
      </c>
      <c r="E9" s="18" t="n">
        <v>45.1856571</v>
      </c>
      <c r="F9" s="20" t="n">
        <v>1.63257674</v>
      </c>
      <c r="G9" s="18" t="n">
        <v>54.02986726</v>
      </c>
      <c r="H9" s="20" t="n">
        <v>1.62440923</v>
      </c>
      <c r="I9" s="18" t="n">
        <v>0</v>
      </c>
      <c r="J9" s="20" t="n">
        <v>0</v>
      </c>
      <c r="K9" s="18" t="n">
        <v>0.14989204</v>
      </c>
      <c r="L9" s="20" t="n">
        <v>0.14014766</v>
      </c>
      <c r="M9" s="18" t="n">
        <v>0</v>
      </c>
      <c r="N9" s="20" t="n">
        <v>0</v>
      </c>
      <c r="O9" s="18" t="n">
        <v>0</v>
      </c>
      <c r="P9" s="20" t="n">
        <v>0</v>
      </c>
      <c r="Q9" s="18" t="n">
        <v>0.6345836</v>
      </c>
      <c r="R9" s="20" t="n">
        <v>0.28418294</v>
      </c>
    </row>
    <row r="10" spans="1:18">
      <c r="A10" s="15" t="s">
        <v>568</v>
      </c>
      <c r="B10" s="17" t="n">
        <v>20058</v>
      </c>
      <c r="C10" s="18">
        <f>(17800.0/B10*100)</f>
        <v/>
      </c>
      <c r="D10" s="19" t="n">
        <v>2258</v>
      </c>
      <c r="E10" s="18" t="n">
        <v>38.48926935</v>
      </c>
      <c r="F10" s="20" t="n">
        <v>1.66489797</v>
      </c>
      <c r="G10" s="18" t="n">
        <v>60.47422096</v>
      </c>
      <c r="H10" s="20" t="n">
        <v>1.66140048</v>
      </c>
      <c r="I10" s="18" t="n">
        <v>0</v>
      </c>
      <c r="J10" s="20" t="n">
        <v>0</v>
      </c>
      <c r="K10" s="18" t="n">
        <v>0.32729356</v>
      </c>
      <c r="L10" s="20" t="n">
        <v>0.16655998</v>
      </c>
      <c r="M10" s="18" t="n">
        <v>0</v>
      </c>
      <c r="N10" s="20" t="n">
        <v>0</v>
      </c>
      <c r="O10" s="18" t="n">
        <v>0</v>
      </c>
      <c r="P10" s="20" t="n">
        <v>0</v>
      </c>
      <c r="Q10" s="18" t="n">
        <v>0.70921614</v>
      </c>
      <c r="R10" s="20" t="n">
        <v>0.25596242</v>
      </c>
    </row>
    <row r="11" spans="1:18">
      <c r="A11" s="15" t="s">
        <v>569</v>
      </c>
      <c r="B11" s="17" t="n">
        <v>7053</v>
      </c>
      <c r="C11" s="18">
        <f>(6258.0/B11*100)</f>
        <v/>
      </c>
      <c r="D11" s="19" t="n">
        <v>795</v>
      </c>
      <c r="E11" s="18" t="n">
        <v>58.12949244</v>
      </c>
      <c r="F11" s="20" t="n">
        <v>1.90845447</v>
      </c>
      <c r="G11" s="18" t="n">
        <v>39.41895698</v>
      </c>
      <c r="H11" s="20" t="n">
        <v>1.96268964</v>
      </c>
      <c r="I11" s="18" t="n">
        <v>0</v>
      </c>
      <c r="J11" s="20" t="n">
        <v>0</v>
      </c>
      <c r="K11" s="18" t="n">
        <v>1.27254641</v>
      </c>
      <c r="L11" s="20" t="n">
        <v>0.48887603</v>
      </c>
      <c r="M11" s="18" t="n">
        <v>0</v>
      </c>
      <c r="N11" s="20" t="n">
        <v>0</v>
      </c>
      <c r="O11" s="18" t="n">
        <v>0</v>
      </c>
      <c r="P11" s="20" t="n">
        <v>0</v>
      </c>
      <c r="Q11" s="18" t="n">
        <v>1.17900417</v>
      </c>
      <c r="R11" s="20" t="n">
        <v>0.43281919</v>
      </c>
    </row>
    <row r="12" spans="1:18">
      <c r="A12" s="15" t="s">
        <v>570</v>
      </c>
      <c r="B12" s="17" t="n">
        <v>6894</v>
      </c>
      <c r="C12" s="18">
        <f>(6117.0/B12*100)</f>
        <v/>
      </c>
      <c r="D12" s="19" t="n">
        <v>777</v>
      </c>
      <c r="E12" s="18" t="n">
        <v>44.85264275</v>
      </c>
      <c r="F12" s="20" t="n">
        <v>1.65431883</v>
      </c>
      <c r="G12" s="18" t="n">
        <v>54.72294799</v>
      </c>
      <c r="H12" s="20" t="n">
        <v>1.63815122</v>
      </c>
      <c r="I12" s="18" t="n">
        <v>0</v>
      </c>
      <c r="J12" s="20" t="n">
        <v>0</v>
      </c>
      <c r="K12" s="18" t="n">
        <v>0</v>
      </c>
      <c r="L12" s="20" t="n">
        <v>0</v>
      </c>
      <c r="M12" s="18" t="n">
        <v>0</v>
      </c>
      <c r="N12" s="20" t="n">
        <v>0</v>
      </c>
      <c r="O12" s="18" t="n">
        <v>0</v>
      </c>
      <c r="P12" s="20" t="n">
        <v>0</v>
      </c>
      <c r="Q12" s="18" t="n">
        <v>0.42440926</v>
      </c>
      <c r="R12" s="20" t="n">
        <v>0.25371881</v>
      </c>
    </row>
    <row r="13" spans="1:18">
      <c r="A13" s="15" t="s">
        <v>571</v>
      </c>
      <c r="B13" s="17" t="n">
        <v>7161</v>
      </c>
      <c r="C13" s="18">
        <f>(6458.0/B13*100)</f>
        <v/>
      </c>
      <c r="D13" s="19" t="n">
        <v>703</v>
      </c>
      <c r="E13" s="18" t="n">
        <v>46.11085687</v>
      </c>
      <c r="F13" s="20" t="n">
        <v>1.88666519</v>
      </c>
      <c r="G13" s="18" t="n">
        <v>53.00238928</v>
      </c>
      <c r="H13" s="20" t="n">
        <v>1.87725251</v>
      </c>
      <c r="I13" s="18" t="n">
        <v>0</v>
      </c>
      <c r="J13" s="20" t="n">
        <v>0</v>
      </c>
      <c r="K13" s="18" t="n">
        <v>0.64209809</v>
      </c>
      <c r="L13" s="20" t="n">
        <v>0.35000656</v>
      </c>
      <c r="M13" s="18" t="n">
        <v>0</v>
      </c>
      <c r="N13" s="20" t="n">
        <v>0</v>
      </c>
      <c r="O13" s="18" t="n">
        <v>0</v>
      </c>
      <c r="P13" s="20" t="n">
        <v>0</v>
      </c>
      <c r="Q13" s="18" t="n">
        <v>0.24465575</v>
      </c>
      <c r="R13" s="20" t="n">
        <v>0.16469945</v>
      </c>
    </row>
    <row r="14" spans="1:18">
      <c r="A14" s="15" t="s">
        <v>572</v>
      </c>
      <c r="B14" s="17" t="n">
        <v>5587</v>
      </c>
      <c r="C14" s="18">
        <f>(4938.0/B14*100)</f>
        <v/>
      </c>
      <c r="D14" s="19" t="n">
        <v>649</v>
      </c>
      <c r="E14" s="18" t="n">
        <v>42.7447097</v>
      </c>
      <c r="F14" s="20" t="n">
        <v>2.15686206</v>
      </c>
      <c r="G14" s="18" t="n">
        <v>56.7442259</v>
      </c>
      <c r="H14" s="20" t="n">
        <v>2.08142811</v>
      </c>
      <c r="I14" s="18" t="n">
        <v>0</v>
      </c>
      <c r="J14" s="20" t="n">
        <v>0</v>
      </c>
      <c r="K14" s="18" t="n">
        <v>0</v>
      </c>
      <c r="L14" s="20" t="n">
        <v>0</v>
      </c>
      <c r="M14" s="18" t="n">
        <v>0</v>
      </c>
      <c r="N14" s="20" t="n">
        <v>0</v>
      </c>
      <c r="O14" s="18" t="n">
        <v>0</v>
      </c>
      <c r="P14" s="20" t="n">
        <v>0</v>
      </c>
      <c r="Q14" s="18" t="n">
        <v>0.51106439</v>
      </c>
      <c r="R14" s="20" t="n">
        <v>0.38105996</v>
      </c>
    </row>
    <row r="15" spans="1:18">
      <c r="A15" s="15" t="s">
        <v>573</v>
      </c>
      <c r="B15" s="17" t="n">
        <v>5882</v>
      </c>
      <c r="C15" s="18">
        <f>(5238.0/B15*100)</f>
        <v/>
      </c>
      <c r="D15" s="19" t="n">
        <v>644</v>
      </c>
      <c r="E15" s="18" t="n">
        <v>25.48605794</v>
      </c>
      <c r="F15" s="20" t="n">
        <v>1.78524077</v>
      </c>
      <c r="G15" s="18" t="n">
        <v>74.44825138</v>
      </c>
      <c r="H15" s="20" t="n">
        <v>1.78547451</v>
      </c>
      <c r="I15" s="18" t="n">
        <v>0</v>
      </c>
      <c r="J15" s="20" t="n">
        <v>0</v>
      </c>
      <c r="K15" s="18" t="n">
        <v>0.06569068</v>
      </c>
      <c r="L15" s="20" t="n">
        <v>0.06569804999999999</v>
      </c>
      <c r="M15" s="18" t="n">
        <v>0</v>
      </c>
      <c r="N15" s="20" t="n">
        <v>0</v>
      </c>
      <c r="O15" s="18" t="n">
        <v>0</v>
      </c>
      <c r="P15" s="20" t="n">
        <v>0</v>
      </c>
      <c r="Q15" s="18" t="n">
        <v>0</v>
      </c>
      <c r="R15" s="20" t="n">
        <v>0</v>
      </c>
    </row>
    <row r="16" spans="1:18">
      <c r="A16" s="15" t="s">
        <v>574</v>
      </c>
      <c r="B16" s="17" t="n">
        <v>6108</v>
      </c>
      <c r="C16" s="18">
        <f>(5394.0/B16*100)</f>
        <v/>
      </c>
      <c r="D16" s="19" t="n">
        <v>714</v>
      </c>
      <c r="E16" s="18" t="n">
        <v>45.67272016</v>
      </c>
      <c r="F16" s="20" t="n">
        <v>2.02831111</v>
      </c>
      <c r="G16" s="18" t="n">
        <v>52.65139516</v>
      </c>
      <c r="H16" s="20" t="n">
        <v>1.94269441</v>
      </c>
      <c r="I16" s="18" t="n">
        <v>0</v>
      </c>
      <c r="J16" s="20" t="n">
        <v>0</v>
      </c>
      <c r="K16" s="18" t="n">
        <v>0.32495919</v>
      </c>
      <c r="L16" s="20" t="n">
        <v>0.2210991</v>
      </c>
      <c r="M16" s="18" t="n">
        <v>0</v>
      </c>
      <c r="N16" s="20" t="n">
        <v>0</v>
      </c>
      <c r="O16" s="18" t="n">
        <v>0</v>
      </c>
      <c r="P16" s="20" t="n">
        <v>0</v>
      </c>
      <c r="Q16" s="18" t="n">
        <v>1.35092549</v>
      </c>
      <c r="R16" s="20" t="n">
        <v>0.4725428</v>
      </c>
    </row>
    <row r="17" spans="1:18">
      <c r="A17" s="15" t="s">
        <v>575</v>
      </c>
      <c r="B17" s="17" t="n">
        <v>6504</v>
      </c>
      <c r="C17" s="18">
        <f>(5824.0/B17*100)</f>
        <v/>
      </c>
      <c r="D17" s="19" t="n">
        <v>680</v>
      </c>
      <c r="E17" s="18" t="n">
        <v>36.7935122</v>
      </c>
      <c r="F17" s="20" t="n">
        <v>1.74012488</v>
      </c>
      <c r="G17" s="18" t="n">
        <v>62.00742987</v>
      </c>
      <c r="H17" s="20" t="n">
        <v>1.72691514</v>
      </c>
      <c r="I17" s="18" t="n">
        <v>0</v>
      </c>
      <c r="J17" s="20" t="n">
        <v>0</v>
      </c>
      <c r="K17" s="18" t="n">
        <v>0.59019671</v>
      </c>
      <c r="L17" s="20" t="n">
        <v>0.27570303</v>
      </c>
      <c r="M17" s="18" t="n">
        <v>0</v>
      </c>
      <c r="N17" s="20" t="n">
        <v>0</v>
      </c>
      <c r="O17" s="18" t="n">
        <v>0</v>
      </c>
      <c r="P17" s="20" t="n">
        <v>0</v>
      </c>
      <c r="Q17" s="18" t="n">
        <v>0.60886122</v>
      </c>
      <c r="R17" s="20" t="n">
        <v>0.29195167</v>
      </c>
    </row>
    <row r="18" spans="1:18">
      <c r="A18" s="15" t="s">
        <v>576</v>
      </c>
      <c r="B18" s="17" t="n">
        <v>5532</v>
      </c>
      <c r="C18" s="18">
        <f>(4909.0/B18*100)</f>
        <v/>
      </c>
      <c r="D18" s="19" t="n">
        <v>623</v>
      </c>
      <c r="E18" s="18" t="n">
        <v>55.81042901</v>
      </c>
      <c r="F18" s="20" t="n">
        <v>2.14927911</v>
      </c>
      <c r="G18" s="18" t="n">
        <v>42.5512795</v>
      </c>
      <c r="H18" s="20" t="n">
        <v>2.14443767</v>
      </c>
      <c r="I18" s="18" t="n">
        <v>0</v>
      </c>
      <c r="J18" s="20" t="n">
        <v>0</v>
      </c>
      <c r="K18" s="18" t="n">
        <v>0.73391093</v>
      </c>
      <c r="L18" s="20" t="n">
        <v>0.52821274</v>
      </c>
      <c r="M18" s="18" t="n">
        <v>0</v>
      </c>
      <c r="N18" s="20" t="n">
        <v>0</v>
      </c>
      <c r="O18" s="18" t="n">
        <v>0</v>
      </c>
      <c r="P18" s="20" t="n">
        <v>0</v>
      </c>
      <c r="Q18" s="18" t="n">
        <v>0.9043805700000001</v>
      </c>
      <c r="R18" s="20" t="n">
        <v>0.48586414</v>
      </c>
    </row>
    <row r="19" spans="1:18">
      <c r="A19" s="15" t="s">
        <v>577</v>
      </c>
      <c r="B19" s="17" t="n">
        <v>5658</v>
      </c>
      <c r="C19" s="18">
        <f>(5068.0/B19*100)</f>
        <v/>
      </c>
      <c r="D19" s="19" t="n">
        <v>590</v>
      </c>
      <c r="E19" s="18" t="n">
        <v>40.63325947</v>
      </c>
      <c r="F19" s="20" t="n">
        <v>1.87834706</v>
      </c>
      <c r="G19" s="18" t="n">
        <v>58.7648349</v>
      </c>
      <c r="H19" s="20" t="n">
        <v>1.8677497</v>
      </c>
      <c r="I19" s="18" t="n">
        <v>0</v>
      </c>
      <c r="J19" s="20" t="n">
        <v>0</v>
      </c>
      <c r="K19" s="18" t="n">
        <v>0</v>
      </c>
      <c r="L19" s="20" t="n">
        <v>0</v>
      </c>
      <c r="M19" s="18" t="n">
        <v>0</v>
      </c>
      <c r="N19" s="20" t="n">
        <v>0</v>
      </c>
      <c r="O19" s="18" t="n">
        <v>0</v>
      </c>
      <c r="P19" s="20" t="n">
        <v>0</v>
      </c>
      <c r="Q19" s="18" t="n">
        <v>0.60190563</v>
      </c>
      <c r="R19" s="20" t="n">
        <v>0.27670792</v>
      </c>
    </row>
    <row r="20" spans="1:18">
      <c r="A20" s="15" t="s">
        <v>578</v>
      </c>
      <c r="B20" s="17" t="n">
        <v>3371</v>
      </c>
      <c r="C20" s="18">
        <f>(3000.0/B20*100)</f>
        <v/>
      </c>
      <c r="D20" s="19" t="n">
        <v>371</v>
      </c>
      <c r="E20" s="18" t="n">
        <v>41.19469954</v>
      </c>
      <c r="F20" s="20" t="n">
        <v>2.90393368</v>
      </c>
      <c r="G20" s="18" t="n">
        <v>56.67293055</v>
      </c>
      <c r="H20" s="20" t="n">
        <v>2.92817638</v>
      </c>
      <c r="I20" s="18" t="n">
        <v>0</v>
      </c>
      <c r="J20" s="20" t="n">
        <v>0</v>
      </c>
      <c r="K20" s="18" t="n">
        <v>1.38158017</v>
      </c>
      <c r="L20" s="20" t="n">
        <v>0.6271011399999999</v>
      </c>
      <c r="M20" s="18" t="n">
        <v>0</v>
      </c>
      <c r="N20" s="20" t="n">
        <v>0</v>
      </c>
      <c r="O20" s="18" t="n">
        <v>0</v>
      </c>
      <c r="P20" s="20" t="n">
        <v>0</v>
      </c>
      <c r="Q20" s="18" t="n">
        <v>0.75078974</v>
      </c>
      <c r="R20" s="20" t="n">
        <v>0.4533999</v>
      </c>
    </row>
    <row r="21" spans="1:18">
      <c r="A21" s="15" t="s">
        <v>579</v>
      </c>
      <c r="B21" s="17" t="n">
        <v>5741</v>
      </c>
      <c r="C21" s="18">
        <f>(5125.0/B21*100)</f>
        <v/>
      </c>
      <c r="D21" s="19" t="n">
        <v>616</v>
      </c>
      <c r="E21" s="18" t="n">
        <v>57.58303888</v>
      </c>
      <c r="F21" s="20" t="n">
        <v>2.08949991</v>
      </c>
      <c r="G21" s="18" t="n">
        <v>41.8048799</v>
      </c>
      <c r="H21" s="20" t="n">
        <v>2.18571843</v>
      </c>
      <c r="I21" s="18" t="n">
        <v>0</v>
      </c>
      <c r="J21" s="20" t="n">
        <v>0</v>
      </c>
      <c r="K21" s="18" t="n">
        <v>0.13959484</v>
      </c>
      <c r="L21" s="20" t="n">
        <v>0.10132726</v>
      </c>
      <c r="M21" s="18" t="n">
        <v>0</v>
      </c>
      <c r="N21" s="20" t="n">
        <v>0</v>
      </c>
      <c r="O21" s="18" t="n">
        <v>0</v>
      </c>
      <c r="P21" s="20" t="n">
        <v>0</v>
      </c>
      <c r="Q21" s="18" t="n">
        <v>0.47248638</v>
      </c>
      <c r="R21" s="20" t="n">
        <v>0.33248661</v>
      </c>
    </row>
    <row r="22" spans="1:18">
      <c r="A22" s="15" t="s">
        <v>580</v>
      </c>
      <c r="B22" s="17" t="n">
        <v>6598</v>
      </c>
      <c r="C22" s="18">
        <f>(5904.0/B22*100)</f>
        <v/>
      </c>
      <c r="D22" s="19" t="n">
        <v>694</v>
      </c>
      <c r="E22" s="18" t="n">
        <v>54.66959917</v>
      </c>
      <c r="F22" s="20" t="n">
        <v>2.3229928</v>
      </c>
      <c r="G22" s="18" t="n">
        <v>43.95125923</v>
      </c>
      <c r="H22" s="20" t="n">
        <v>2.33798913</v>
      </c>
      <c r="I22" s="18" t="n">
        <v>0</v>
      </c>
      <c r="J22" s="20" t="n">
        <v>0</v>
      </c>
      <c r="K22" s="18" t="n">
        <v>0.5521201100000001</v>
      </c>
      <c r="L22" s="20" t="n">
        <v>0.32754334</v>
      </c>
      <c r="M22" s="18" t="n">
        <v>0</v>
      </c>
      <c r="N22" s="20" t="n">
        <v>0</v>
      </c>
      <c r="O22" s="18" t="n">
        <v>0</v>
      </c>
      <c r="P22" s="20" t="n">
        <v>0</v>
      </c>
      <c r="Q22" s="18" t="n">
        <v>0.82702149</v>
      </c>
      <c r="R22" s="20" t="n">
        <v>0.34813345</v>
      </c>
    </row>
    <row r="23" spans="1:18">
      <c r="A23" s="15" t="s">
        <v>581</v>
      </c>
      <c r="B23" s="17" t="n">
        <v>11583</v>
      </c>
      <c r="C23" s="18">
        <f>(10323.0/B23*100)</f>
        <v/>
      </c>
      <c r="D23" s="19" t="n">
        <v>1260</v>
      </c>
      <c r="E23" s="18" t="n">
        <v>48.11380376</v>
      </c>
      <c r="F23" s="20" t="n">
        <v>2.3658004</v>
      </c>
      <c r="G23" s="18" t="n">
        <v>50.48455317</v>
      </c>
      <c r="H23" s="20" t="n">
        <v>2.31346812</v>
      </c>
      <c r="I23" s="18" t="n">
        <v>0</v>
      </c>
      <c r="J23" s="20" t="n">
        <v>0</v>
      </c>
      <c r="K23" s="18" t="n">
        <v>0.26721751</v>
      </c>
      <c r="L23" s="20" t="n">
        <v>0.2592324</v>
      </c>
      <c r="M23" s="18" t="n">
        <v>0</v>
      </c>
      <c r="N23" s="20" t="n">
        <v>0</v>
      </c>
      <c r="O23" s="18" t="n">
        <v>0</v>
      </c>
      <c r="P23" s="20" t="n">
        <v>0</v>
      </c>
      <c r="Q23" s="18" t="n">
        <v>1.13442556</v>
      </c>
      <c r="R23" s="20" t="n">
        <v>0.45806791</v>
      </c>
    </row>
    <row r="24" spans="1:18">
      <c r="A24" s="15" t="s">
        <v>582</v>
      </c>
      <c r="B24" s="17" t="n">
        <v>6647</v>
      </c>
      <c r="C24" s="18">
        <f>(5935.0/B24*100)</f>
        <v/>
      </c>
      <c r="D24" s="19" t="n">
        <v>712</v>
      </c>
      <c r="E24" s="18" t="n">
        <v>39.74645668</v>
      </c>
      <c r="F24" s="20" t="n">
        <v>1.72372034</v>
      </c>
      <c r="G24" s="18" t="n">
        <v>60.17497853</v>
      </c>
      <c r="H24" s="20" t="n">
        <v>1.73405762</v>
      </c>
      <c r="I24" s="18" t="n">
        <v>0</v>
      </c>
      <c r="J24" s="20" t="n">
        <v>0</v>
      </c>
      <c r="K24" s="18" t="n">
        <v>0</v>
      </c>
      <c r="L24" s="20" t="n">
        <v>0</v>
      </c>
      <c r="M24" s="18" t="n">
        <v>0</v>
      </c>
      <c r="N24" s="20" t="n">
        <v>0</v>
      </c>
      <c r="O24" s="18" t="n">
        <v>0</v>
      </c>
      <c r="P24" s="20" t="n">
        <v>0</v>
      </c>
      <c r="Q24" s="18" t="n">
        <v>0.07856479</v>
      </c>
      <c r="R24" s="20" t="n">
        <v>0.07847630999999999</v>
      </c>
    </row>
    <row r="25" spans="1:18">
      <c r="A25" s="15" t="s">
        <v>583</v>
      </c>
      <c r="B25" s="17" t="n">
        <v>5581</v>
      </c>
      <c r="C25" s="18">
        <f>(4968.0/B25*100)</f>
        <v/>
      </c>
      <c r="D25" s="19" t="n">
        <v>613</v>
      </c>
      <c r="E25" s="18" t="n">
        <v>36.70060605</v>
      </c>
      <c r="F25" s="20" t="n">
        <v>1.93397714</v>
      </c>
      <c r="G25" s="18" t="n">
        <v>62.74672455</v>
      </c>
      <c r="H25" s="20" t="n">
        <v>1.91349891</v>
      </c>
      <c r="I25" s="18" t="n">
        <v>0</v>
      </c>
      <c r="J25" s="20" t="n">
        <v>0</v>
      </c>
      <c r="K25" s="18" t="n">
        <v>0.30494748</v>
      </c>
      <c r="L25" s="20" t="n">
        <v>0.21841144</v>
      </c>
      <c r="M25" s="18" t="n">
        <v>0</v>
      </c>
      <c r="N25" s="20" t="n">
        <v>0</v>
      </c>
      <c r="O25" s="18" t="n">
        <v>0</v>
      </c>
      <c r="P25" s="20" t="n">
        <v>0</v>
      </c>
      <c r="Q25" s="18" t="n">
        <v>0.24772192</v>
      </c>
      <c r="R25" s="20" t="n">
        <v>0.17805765</v>
      </c>
    </row>
    <row r="26" spans="1:18">
      <c r="A26" s="15" t="s">
        <v>584</v>
      </c>
      <c r="B26" s="17" t="n">
        <v>4869</v>
      </c>
      <c r="C26" s="18">
        <f>(4309.0/B26*100)</f>
        <v/>
      </c>
      <c r="D26" s="19" t="n">
        <v>560</v>
      </c>
      <c r="E26" s="18" t="n">
        <v>42.38940404</v>
      </c>
      <c r="F26" s="20" t="n">
        <v>2.05624318</v>
      </c>
      <c r="G26" s="18" t="n">
        <v>57.45931048</v>
      </c>
      <c r="H26" s="20" t="n">
        <v>2.03477106</v>
      </c>
      <c r="I26" s="18" t="n">
        <v>0</v>
      </c>
      <c r="J26" s="20" t="n">
        <v>0</v>
      </c>
      <c r="K26" s="18" t="n">
        <v>0</v>
      </c>
      <c r="L26" s="20" t="n">
        <v>0</v>
      </c>
      <c r="M26" s="18" t="n">
        <v>0</v>
      </c>
      <c r="N26" s="20" t="n">
        <v>0</v>
      </c>
      <c r="O26" s="18" t="n">
        <v>0</v>
      </c>
      <c r="P26" s="20" t="n">
        <v>0</v>
      </c>
      <c r="Q26" s="18" t="n">
        <v>0.15128548</v>
      </c>
      <c r="R26" s="20" t="n">
        <v>0.15766133</v>
      </c>
    </row>
    <row r="27" spans="1:18">
      <c r="A27" s="15" t="s">
        <v>585</v>
      </c>
      <c r="B27" s="17" t="n">
        <v>5299</v>
      </c>
      <c r="C27" s="18">
        <f>(4689.0/B27*100)</f>
        <v/>
      </c>
      <c r="D27" s="19" t="n">
        <v>610</v>
      </c>
      <c r="E27" s="18" t="n">
        <v>46.99849174</v>
      </c>
      <c r="F27" s="20" t="n">
        <v>1.98172629</v>
      </c>
      <c r="G27" s="18" t="n">
        <v>51.69311968</v>
      </c>
      <c r="H27" s="20" t="n">
        <v>2.0512754</v>
      </c>
      <c r="I27" s="18" t="n">
        <v>0</v>
      </c>
      <c r="J27" s="20" t="n">
        <v>0</v>
      </c>
      <c r="K27" s="18" t="n">
        <v>0.48909208</v>
      </c>
      <c r="L27" s="20" t="n">
        <v>0.28108691</v>
      </c>
      <c r="M27" s="18" t="n">
        <v>0</v>
      </c>
      <c r="N27" s="20" t="n">
        <v>0</v>
      </c>
      <c r="O27" s="18" t="n">
        <v>0</v>
      </c>
      <c r="P27" s="20" t="n">
        <v>0</v>
      </c>
      <c r="Q27" s="18" t="n">
        <v>0.8192965</v>
      </c>
      <c r="R27" s="20" t="n">
        <v>0.36075328</v>
      </c>
    </row>
    <row r="28" spans="1:18">
      <c r="A28" s="15" t="s">
        <v>586</v>
      </c>
      <c r="B28" s="17" t="n">
        <v>7568</v>
      </c>
      <c r="C28" s="18">
        <f>(6742.0/B28*100)</f>
        <v/>
      </c>
      <c r="D28" s="19" t="n">
        <v>826</v>
      </c>
      <c r="E28" s="18" t="n">
        <v>79.22569995000001</v>
      </c>
      <c r="F28" s="20" t="n">
        <v>1.38941245</v>
      </c>
      <c r="G28" s="18" t="n">
        <v>18.81102945</v>
      </c>
      <c r="H28" s="20" t="n">
        <v>1.36892925</v>
      </c>
      <c r="I28" s="18" t="n">
        <v>0</v>
      </c>
      <c r="J28" s="20" t="n">
        <v>0</v>
      </c>
      <c r="K28" s="18" t="n">
        <v>0.80591661</v>
      </c>
      <c r="L28" s="20" t="n">
        <v>0.3951314</v>
      </c>
      <c r="M28" s="18" t="n">
        <v>0</v>
      </c>
      <c r="N28" s="20" t="n">
        <v>0</v>
      </c>
      <c r="O28" s="18" t="n">
        <v>0</v>
      </c>
      <c r="P28" s="20" t="n">
        <v>0</v>
      </c>
      <c r="Q28" s="18" t="n">
        <v>1.15735399</v>
      </c>
      <c r="R28" s="20" t="n">
        <v>0.43130721</v>
      </c>
    </row>
    <row r="29" spans="1:18">
      <c r="A29" s="15" t="s">
        <v>587</v>
      </c>
      <c r="B29" s="17" t="n">
        <v>5385</v>
      </c>
      <c r="C29" s="18">
        <f>(4851.0/B29*100)</f>
        <v/>
      </c>
      <c r="D29" s="19" t="n">
        <v>534</v>
      </c>
      <c r="E29" s="18" t="n">
        <v>41.19090527</v>
      </c>
      <c r="F29" s="20" t="n">
        <v>2.3495981</v>
      </c>
      <c r="G29" s="18" t="n">
        <v>58.03860473</v>
      </c>
      <c r="H29" s="20" t="n">
        <v>2.29328818</v>
      </c>
      <c r="I29" s="18" t="n">
        <v>0</v>
      </c>
      <c r="J29" s="20" t="n">
        <v>0</v>
      </c>
      <c r="K29" s="18" t="n">
        <v>0.17061289</v>
      </c>
      <c r="L29" s="20" t="n">
        <v>0.16227445</v>
      </c>
      <c r="M29" s="18" t="n">
        <v>0</v>
      </c>
      <c r="N29" s="20" t="n">
        <v>0</v>
      </c>
      <c r="O29" s="18" t="n">
        <v>0</v>
      </c>
      <c r="P29" s="20" t="n">
        <v>0</v>
      </c>
      <c r="Q29" s="18" t="n">
        <v>0.5998771000000001</v>
      </c>
      <c r="R29" s="20" t="n">
        <v>0.32323153</v>
      </c>
    </row>
    <row r="30" spans="1:18">
      <c r="A30" s="15" t="s">
        <v>588</v>
      </c>
      <c r="B30" s="17" t="n">
        <v>4520</v>
      </c>
      <c r="C30" s="18">
        <f>(4008.0/B30*100)</f>
        <v/>
      </c>
      <c r="D30" s="19" t="n">
        <v>512</v>
      </c>
      <c r="E30" s="18" t="n">
        <v>45.63169301</v>
      </c>
      <c r="F30" s="20" t="n">
        <v>2.11293026</v>
      </c>
      <c r="G30" s="18" t="n">
        <v>52.53807614</v>
      </c>
      <c r="H30" s="20" t="n">
        <v>2.28488724</v>
      </c>
      <c r="I30" s="18" t="n">
        <v>0</v>
      </c>
      <c r="J30" s="20" t="n">
        <v>0</v>
      </c>
      <c r="K30" s="18" t="n">
        <v>0.24621292</v>
      </c>
      <c r="L30" s="20" t="n">
        <v>0.26377963</v>
      </c>
      <c r="M30" s="18" t="n">
        <v>0</v>
      </c>
      <c r="N30" s="20" t="n">
        <v>0</v>
      </c>
      <c r="O30" s="18" t="n">
        <v>0</v>
      </c>
      <c r="P30" s="20" t="n">
        <v>0</v>
      </c>
      <c r="Q30" s="18" t="n">
        <v>1.58401793</v>
      </c>
      <c r="R30" s="20" t="n">
        <v>0.6407279299999999</v>
      </c>
    </row>
    <row r="31" spans="1:18">
      <c r="A31" s="15" t="s">
        <v>589</v>
      </c>
      <c r="B31" s="17" t="n">
        <v>5456</v>
      </c>
      <c r="C31" s="18">
        <f>(4849.0/B31*100)</f>
        <v/>
      </c>
      <c r="D31" s="19" t="n">
        <v>607</v>
      </c>
      <c r="E31" s="18" t="n">
        <v>38.14623829</v>
      </c>
      <c r="F31" s="20" t="n">
        <v>1.92923753</v>
      </c>
      <c r="G31" s="18" t="n">
        <v>60.93981771</v>
      </c>
      <c r="H31" s="20" t="n">
        <v>1.94357874</v>
      </c>
      <c r="I31" s="18" t="n">
        <v>0</v>
      </c>
      <c r="J31" s="20" t="n">
        <v>0</v>
      </c>
      <c r="K31" s="18" t="n">
        <v>0.57075015</v>
      </c>
      <c r="L31" s="20" t="n">
        <v>0.31254174</v>
      </c>
      <c r="M31" s="18" t="n">
        <v>0</v>
      </c>
      <c r="N31" s="20" t="n">
        <v>0</v>
      </c>
      <c r="O31" s="18" t="n">
        <v>0</v>
      </c>
      <c r="P31" s="20" t="n">
        <v>0</v>
      </c>
      <c r="Q31" s="18" t="n">
        <v>0.34319384</v>
      </c>
      <c r="R31" s="20" t="n">
        <v>0.25309709</v>
      </c>
    </row>
    <row r="32" spans="1:18">
      <c r="A32" s="15" t="s">
        <v>590</v>
      </c>
      <c r="B32" s="17" t="n">
        <v>4478</v>
      </c>
      <c r="C32" s="18">
        <f>(3997.0/B32*100)</f>
        <v/>
      </c>
      <c r="D32" s="19" t="n">
        <v>481</v>
      </c>
      <c r="E32" s="18" t="n">
        <v>44.91278531</v>
      </c>
      <c r="F32" s="20" t="n">
        <v>2.27581779</v>
      </c>
      <c r="G32" s="18" t="n">
        <v>54.88982804</v>
      </c>
      <c r="H32" s="20" t="n">
        <v>2.29376311</v>
      </c>
      <c r="I32" s="18" t="n">
        <v>0</v>
      </c>
      <c r="J32" s="20" t="n">
        <v>0</v>
      </c>
      <c r="K32" s="18" t="n">
        <v>0</v>
      </c>
      <c r="L32" s="20" t="n">
        <v>0</v>
      </c>
      <c r="M32" s="18" t="n">
        <v>0</v>
      </c>
      <c r="N32" s="20" t="n">
        <v>0</v>
      </c>
      <c r="O32" s="18" t="n">
        <v>0</v>
      </c>
      <c r="P32" s="20" t="n">
        <v>0</v>
      </c>
      <c r="Q32" s="18" t="n">
        <v>0.19738665</v>
      </c>
      <c r="R32" s="20" t="n">
        <v>0.19693883</v>
      </c>
    </row>
    <row r="33" spans="1:18">
      <c r="A33" s="15" t="s">
        <v>591</v>
      </c>
      <c r="B33" s="17" t="n">
        <v>7325</v>
      </c>
      <c r="C33" s="18">
        <f>(6507.0/B33*100)</f>
        <v/>
      </c>
      <c r="D33" s="19" t="n">
        <v>818</v>
      </c>
      <c r="E33" s="18" t="n">
        <v>63.15331713</v>
      </c>
      <c r="F33" s="20" t="n">
        <v>1.71782072</v>
      </c>
      <c r="G33" s="18" t="n">
        <v>36.14696961</v>
      </c>
      <c r="H33" s="20" t="n">
        <v>1.77337522</v>
      </c>
      <c r="I33" s="18" t="n">
        <v>0</v>
      </c>
      <c r="J33" s="20" t="n">
        <v>0</v>
      </c>
      <c r="K33" s="18" t="n">
        <v>0.27006205</v>
      </c>
      <c r="L33" s="20" t="n">
        <v>0.2023031</v>
      </c>
      <c r="M33" s="18" t="n">
        <v>0</v>
      </c>
      <c r="N33" s="20" t="n">
        <v>0</v>
      </c>
      <c r="O33" s="18" t="n">
        <v>0</v>
      </c>
      <c r="P33" s="20" t="n">
        <v>0</v>
      </c>
      <c r="Q33" s="18" t="n">
        <v>0.42965121</v>
      </c>
      <c r="R33" s="20" t="n">
        <v>0.20232684</v>
      </c>
    </row>
    <row r="34" spans="1:18">
      <c r="A34" s="15" t="s">
        <v>592</v>
      </c>
      <c r="B34" s="17" t="n">
        <v>6350</v>
      </c>
      <c r="C34" s="18">
        <f>(5669.0/B34*100)</f>
        <v/>
      </c>
      <c r="D34" s="19" t="n">
        <v>681</v>
      </c>
      <c r="E34" s="18" t="n">
        <v>60.039959</v>
      </c>
      <c r="F34" s="20" t="n">
        <v>1.90647287</v>
      </c>
      <c r="G34" s="18" t="n">
        <v>39.19768215</v>
      </c>
      <c r="H34" s="20" t="n">
        <v>1.88508615</v>
      </c>
      <c r="I34" s="18" t="n">
        <v>0</v>
      </c>
      <c r="J34" s="20" t="n">
        <v>0</v>
      </c>
      <c r="K34" s="18" t="n">
        <v>0</v>
      </c>
      <c r="L34" s="20" t="n">
        <v>0</v>
      </c>
      <c r="M34" s="18" t="n">
        <v>0</v>
      </c>
      <c r="N34" s="20" t="n">
        <v>0</v>
      </c>
      <c r="O34" s="18" t="n">
        <v>0</v>
      </c>
      <c r="P34" s="20" t="n">
        <v>0</v>
      </c>
      <c r="Q34" s="18" t="n">
        <v>0.76235885</v>
      </c>
      <c r="R34" s="20" t="n">
        <v>0.33906319</v>
      </c>
    </row>
    <row r="35" spans="1:18">
      <c r="A35" s="15" t="s">
        <v>593</v>
      </c>
      <c r="B35" s="17" t="n">
        <v>6406</v>
      </c>
      <c r="C35" s="18">
        <f>(5721.0/B35*100)</f>
        <v/>
      </c>
      <c r="D35" s="19" t="n">
        <v>685</v>
      </c>
      <c r="E35" s="18" t="n">
        <v>46.0677361</v>
      </c>
      <c r="F35" s="20" t="n">
        <v>2.34558031</v>
      </c>
      <c r="G35" s="18" t="n">
        <v>53.78233214</v>
      </c>
      <c r="H35" s="20" t="n">
        <v>2.32515774</v>
      </c>
      <c r="I35" s="18" t="n">
        <v>0</v>
      </c>
      <c r="J35" s="20" t="n">
        <v>0</v>
      </c>
      <c r="K35" s="18" t="n">
        <v>0.08144589000000001</v>
      </c>
      <c r="L35" s="20" t="n">
        <v>0.08098076999999999</v>
      </c>
      <c r="M35" s="18" t="n">
        <v>0</v>
      </c>
      <c r="N35" s="20" t="n">
        <v>0</v>
      </c>
      <c r="O35" s="18" t="n">
        <v>0</v>
      </c>
      <c r="P35" s="20" t="n">
        <v>0</v>
      </c>
      <c r="Q35" s="18" t="n">
        <v>0.06848587</v>
      </c>
      <c r="R35" s="20" t="n">
        <v>0.06556285000000001</v>
      </c>
    </row>
    <row r="36" spans="1:18">
      <c r="A36" s="15" t="s">
        <v>594</v>
      </c>
      <c r="B36" s="17" t="n">
        <v>6736</v>
      </c>
      <c r="C36" s="18">
        <f>(5935.0/B36*100)</f>
        <v/>
      </c>
      <c r="D36" s="19" t="n">
        <v>801</v>
      </c>
      <c r="E36" s="18" t="n">
        <v>53.88019057</v>
      </c>
      <c r="F36" s="20" t="n">
        <v>1.8817812</v>
      </c>
      <c r="G36" s="18" t="n">
        <v>44.45367796</v>
      </c>
      <c r="H36" s="20" t="n">
        <v>1.90126765</v>
      </c>
      <c r="I36" s="18" t="n">
        <v>0</v>
      </c>
      <c r="J36" s="20" t="n">
        <v>0</v>
      </c>
      <c r="K36" s="18" t="n">
        <v>0.76413314</v>
      </c>
      <c r="L36" s="20" t="n">
        <v>0.25998192</v>
      </c>
      <c r="M36" s="18" t="n">
        <v>0</v>
      </c>
      <c r="N36" s="20" t="n">
        <v>0</v>
      </c>
      <c r="O36" s="18" t="n">
        <v>0</v>
      </c>
      <c r="P36" s="20" t="n">
        <v>0</v>
      </c>
      <c r="Q36" s="18" t="n">
        <v>0.90199833</v>
      </c>
      <c r="R36" s="20" t="n">
        <v>0.31960873</v>
      </c>
    </row>
    <row r="37" spans="1:18">
      <c r="A37" s="15" t="s">
        <v>595</v>
      </c>
      <c r="B37" s="17" t="n">
        <v>5458</v>
      </c>
      <c r="C37" s="18">
        <f>(4860.0/B37*100)</f>
        <v/>
      </c>
      <c r="D37" s="19" t="n">
        <v>598</v>
      </c>
      <c r="E37" s="18" t="n">
        <v>37.85528655</v>
      </c>
      <c r="F37" s="20" t="n">
        <v>1.91445912</v>
      </c>
      <c r="G37" s="18" t="n">
        <v>60.90790551</v>
      </c>
      <c r="H37" s="20" t="n">
        <v>1.89119632</v>
      </c>
      <c r="I37" s="18" t="n">
        <v>0</v>
      </c>
      <c r="J37" s="20" t="n">
        <v>0</v>
      </c>
      <c r="K37" s="18" t="n">
        <v>0</v>
      </c>
      <c r="L37" s="20" t="n">
        <v>0</v>
      </c>
      <c r="M37" s="18" t="n">
        <v>0</v>
      </c>
      <c r="N37" s="20" t="n">
        <v>0</v>
      </c>
      <c r="O37" s="18" t="n">
        <v>0</v>
      </c>
      <c r="P37" s="20" t="n">
        <v>0</v>
      </c>
      <c r="Q37" s="18" t="n">
        <v>1.23680794</v>
      </c>
      <c r="R37" s="20" t="n">
        <v>0.52664891</v>
      </c>
    </row>
    <row r="38" spans="1:18">
      <c r="A38" s="15" t="s">
        <v>596</v>
      </c>
      <c r="B38" s="17" t="n">
        <v>5860</v>
      </c>
      <c r="C38" s="18">
        <f>(5209.0/B38*100)</f>
        <v/>
      </c>
      <c r="D38" s="19" t="n">
        <v>651</v>
      </c>
      <c r="E38" s="18" t="n">
        <v>47.86939865</v>
      </c>
      <c r="F38" s="20" t="n">
        <v>2.22875205</v>
      </c>
      <c r="G38" s="18" t="n">
        <v>51.82263331</v>
      </c>
      <c r="H38" s="20" t="n">
        <v>2.23733172</v>
      </c>
      <c r="I38" s="18" t="n">
        <v>0</v>
      </c>
      <c r="J38" s="20" t="n">
        <v>0</v>
      </c>
      <c r="K38" s="18" t="n">
        <v>0</v>
      </c>
      <c r="L38" s="20" t="n">
        <v>0</v>
      </c>
      <c r="M38" s="18" t="n">
        <v>0</v>
      </c>
      <c r="N38" s="20" t="n">
        <v>0</v>
      </c>
      <c r="O38" s="18" t="n">
        <v>0</v>
      </c>
      <c r="P38" s="20" t="n">
        <v>0</v>
      </c>
      <c r="Q38" s="18" t="n">
        <v>0.30796804</v>
      </c>
      <c r="R38" s="20" t="n">
        <v>0.21516552</v>
      </c>
    </row>
    <row r="39" spans="1:18">
      <c r="A39" s="15" t="s">
        <v>597</v>
      </c>
      <c r="B39" s="17" t="n">
        <v>5895</v>
      </c>
      <c r="C39" s="18">
        <f>(5280.0/B39*100)</f>
        <v/>
      </c>
      <c r="D39" s="19" t="n">
        <v>615</v>
      </c>
      <c r="E39" s="18" t="n">
        <v>61.62105658</v>
      </c>
      <c r="F39" s="20" t="n">
        <v>2.38120073</v>
      </c>
      <c r="G39" s="18" t="n">
        <v>38.009784</v>
      </c>
      <c r="H39" s="20" t="n">
        <v>2.4200136</v>
      </c>
      <c r="I39" s="18" t="n">
        <v>0</v>
      </c>
      <c r="J39" s="20" t="n">
        <v>0</v>
      </c>
      <c r="K39" s="18" t="n">
        <v>0</v>
      </c>
      <c r="L39" s="20" t="n">
        <v>0</v>
      </c>
      <c r="M39" s="18" t="n">
        <v>0</v>
      </c>
      <c r="N39" s="20" t="n">
        <v>0</v>
      </c>
      <c r="O39" s="18" t="n">
        <v>0</v>
      </c>
      <c r="P39" s="20" t="n">
        <v>0</v>
      </c>
      <c r="Q39" s="18" t="n">
        <v>0.36915941</v>
      </c>
      <c r="R39" s="20" t="n">
        <v>0.30638183</v>
      </c>
    </row>
    <row r="40" spans="1:18">
      <c r="A40" s="15" t="s">
        <v>598</v>
      </c>
      <c r="B40" s="17" t="n">
        <v>14157</v>
      </c>
      <c r="C40" s="18">
        <f>(12558.0/B40*100)</f>
        <v/>
      </c>
      <c r="D40" s="19" t="n">
        <v>1599</v>
      </c>
      <c r="E40" s="18" t="n">
        <v>52.44967529</v>
      </c>
      <c r="F40" s="20" t="n">
        <v>2.17826659</v>
      </c>
      <c r="G40" s="18" t="n">
        <v>46.58161927</v>
      </c>
      <c r="H40" s="20" t="n">
        <v>2.15327449</v>
      </c>
      <c r="I40" s="18" t="n">
        <v>0</v>
      </c>
      <c r="J40" s="20" t="n">
        <v>0</v>
      </c>
      <c r="K40" s="18" t="n">
        <v>0.06889194999999999</v>
      </c>
      <c r="L40" s="20" t="n">
        <v>0.03804982</v>
      </c>
      <c r="M40" s="18" t="n">
        <v>0</v>
      </c>
      <c r="N40" s="20" t="n">
        <v>0</v>
      </c>
      <c r="O40" s="18" t="n">
        <v>0</v>
      </c>
      <c r="P40" s="20" t="n">
        <v>0</v>
      </c>
      <c r="Q40" s="18" t="n">
        <v>0.8998134800000001</v>
      </c>
      <c r="R40" s="20" t="n">
        <v>0.35726286</v>
      </c>
    </row>
    <row r="41" spans="1:18">
      <c r="A41" s="15" t="s">
        <v>599</v>
      </c>
      <c r="B41" s="17" t="n">
        <v>5712</v>
      </c>
      <c r="C41" s="18">
        <f>(5056.0/B41*100)</f>
        <v/>
      </c>
      <c r="D41" s="19" t="n">
        <v>656</v>
      </c>
      <c r="E41" s="18" t="n">
        <v>53.67658783</v>
      </c>
      <c r="F41" s="20" t="n">
        <v>2.2366883</v>
      </c>
      <c r="G41" s="18" t="n">
        <v>45.28491821</v>
      </c>
      <c r="H41" s="20" t="n">
        <v>2.25578215</v>
      </c>
      <c r="I41" s="18" t="n">
        <v>0</v>
      </c>
      <c r="J41" s="20" t="n">
        <v>0</v>
      </c>
      <c r="K41" s="18" t="n">
        <v>0.35903372</v>
      </c>
      <c r="L41" s="20" t="n">
        <v>0.24297433</v>
      </c>
      <c r="M41" s="18" t="n">
        <v>0</v>
      </c>
      <c r="N41" s="20" t="n">
        <v>0</v>
      </c>
      <c r="O41" s="18" t="n">
        <v>0</v>
      </c>
      <c r="P41" s="20" t="n">
        <v>0</v>
      </c>
      <c r="Q41" s="18" t="n">
        <v>0.67946025</v>
      </c>
      <c r="R41" s="20" t="n">
        <v>0.31533825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(20981.0/B46*100)</f>
        <v/>
      </c>
      <c r="D46" s="19" t="n">
        <v>2160</v>
      </c>
      <c r="E46" s="18" t="n">
        <v>62.23307192</v>
      </c>
      <c r="F46" s="20" t="n">
        <v>1.14244261</v>
      </c>
      <c r="G46" s="18" t="n">
        <v>36.00873309</v>
      </c>
      <c r="H46" s="20" t="n">
        <v>1.106265</v>
      </c>
      <c r="I46" s="18" t="n">
        <v>0</v>
      </c>
      <c r="J46" s="20" t="n">
        <v>0</v>
      </c>
      <c r="K46" s="18" t="n">
        <v>0.83300813</v>
      </c>
      <c r="L46" s="20" t="n">
        <v>0.23252587</v>
      </c>
      <c r="M46" s="18" t="n">
        <v>0</v>
      </c>
      <c r="N46" s="20" t="n">
        <v>0</v>
      </c>
      <c r="O46" s="18" t="n">
        <v>0</v>
      </c>
      <c r="P46" s="20" t="n">
        <v>0</v>
      </c>
      <c r="Q46" s="18" t="n">
        <v>0.92518687</v>
      </c>
      <c r="R46" s="20" t="n">
        <v>0.23297205</v>
      </c>
    </row>
    <row r="47" spans="1:18">
      <c r="A47" s="15" t="s">
        <v>606</v>
      </c>
      <c r="B47" s="17" t="n">
        <v>5928</v>
      </c>
      <c r="C47" s="18">
        <f>(5272.0/B47*100)</f>
        <v/>
      </c>
      <c r="D47" s="19" t="n">
        <v>656</v>
      </c>
      <c r="E47" s="18" t="n">
        <v>56.01136552</v>
      </c>
      <c r="F47" s="20" t="n">
        <v>1.98265611</v>
      </c>
      <c r="G47" s="18" t="n">
        <v>42.93768446</v>
      </c>
      <c r="H47" s="20" t="n">
        <v>2.07568769</v>
      </c>
      <c r="I47" s="18" t="n">
        <v>0</v>
      </c>
      <c r="J47" s="20" t="n">
        <v>0</v>
      </c>
      <c r="K47" s="18" t="n">
        <v>0.28656548</v>
      </c>
      <c r="L47" s="20" t="n">
        <v>0.21880426</v>
      </c>
      <c r="M47" s="18" t="n">
        <v>0</v>
      </c>
      <c r="N47" s="20" t="n">
        <v>0</v>
      </c>
      <c r="O47" s="18" t="n">
        <v>0</v>
      </c>
      <c r="P47" s="20" t="n">
        <v>0</v>
      </c>
      <c r="Q47" s="18" t="n">
        <v>0.7643845500000001</v>
      </c>
      <c r="R47" s="20" t="n">
        <v>0.32255569</v>
      </c>
    </row>
    <row r="48" spans="1:18">
      <c r="A48" s="15" t="s">
        <v>607</v>
      </c>
      <c r="B48" s="17" t="n">
        <v>9841</v>
      </c>
      <c r="C48" s="18">
        <f>(8744.0/B48*100)</f>
        <v/>
      </c>
      <c r="D48" s="19" t="n">
        <v>1097</v>
      </c>
      <c r="E48" s="18" t="n">
        <v>48.9395527</v>
      </c>
      <c r="F48" s="20" t="n">
        <v>2.03455905</v>
      </c>
      <c r="G48" s="18" t="n">
        <v>49.77805225</v>
      </c>
      <c r="H48" s="20" t="n">
        <v>2.07899955</v>
      </c>
      <c r="I48" s="18" t="n">
        <v>0</v>
      </c>
      <c r="J48" s="20" t="n">
        <v>0</v>
      </c>
      <c r="K48" s="18" t="n">
        <v>0.41945406</v>
      </c>
      <c r="L48" s="20" t="n">
        <v>0.2784441</v>
      </c>
      <c r="M48" s="18" t="n">
        <v>0</v>
      </c>
      <c r="N48" s="20" t="n">
        <v>0</v>
      </c>
      <c r="O48" s="18" t="n">
        <v>0</v>
      </c>
      <c r="P48" s="20" t="n">
        <v>0</v>
      </c>
      <c r="Q48" s="18" t="n">
        <v>0.86294099</v>
      </c>
      <c r="R48" s="20" t="n">
        <v>0.33807848</v>
      </c>
    </row>
    <row r="49" spans="1:18">
      <c r="A49" s="15" t="s">
        <v>608</v>
      </c>
      <c r="B49" s="17" t="n">
        <v>11795</v>
      </c>
      <c r="C49" s="18">
        <f>(10525.0/B49*100)</f>
        <v/>
      </c>
      <c r="D49" s="19" t="n">
        <v>1270</v>
      </c>
      <c r="E49" s="18" t="n">
        <v>69.31040651000001</v>
      </c>
      <c r="F49" s="20" t="n">
        <v>1.6006585</v>
      </c>
      <c r="G49" s="18" t="n">
        <v>29.42241717</v>
      </c>
      <c r="H49" s="20" t="n">
        <v>1.65341472</v>
      </c>
      <c r="I49" s="18" t="n">
        <v>0</v>
      </c>
      <c r="J49" s="20" t="n">
        <v>0</v>
      </c>
      <c r="K49" s="18" t="n">
        <v>0.63804832</v>
      </c>
      <c r="L49" s="20" t="n">
        <v>0.3158039</v>
      </c>
      <c r="M49" s="18" t="n">
        <v>0</v>
      </c>
      <c r="N49" s="20" t="n">
        <v>0</v>
      </c>
      <c r="O49" s="18" t="n">
        <v>0</v>
      </c>
      <c r="P49" s="20" t="n">
        <v>0</v>
      </c>
      <c r="Q49" s="18" t="n">
        <v>0.62912801</v>
      </c>
      <c r="R49" s="20" t="n">
        <v>0.24328453</v>
      </c>
    </row>
    <row r="50" spans="1:18">
      <c r="A50" s="15" t="s">
        <v>609</v>
      </c>
      <c r="B50" s="17" t="n">
        <v>6866</v>
      </c>
      <c r="C50" s="18">
        <f>(6194.0/B50*100)</f>
        <v/>
      </c>
      <c r="D50" s="19" t="n">
        <v>672</v>
      </c>
      <c r="E50" s="18" t="n">
        <v>72.35346185</v>
      </c>
      <c r="F50" s="20" t="n">
        <v>1.85134528</v>
      </c>
      <c r="G50" s="18" t="n">
        <v>25.86949143</v>
      </c>
      <c r="H50" s="20" t="n">
        <v>1.95299196</v>
      </c>
      <c r="I50" s="18" t="n">
        <v>0</v>
      </c>
      <c r="J50" s="20" t="n">
        <v>0</v>
      </c>
      <c r="K50" s="18" t="n">
        <v>0.89226171</v>
      </c>
      <c r="L50" s="20" t="n">
        <v>0.35984685</v>
      </c>
      <c r="M50" s="18" t="n">
        <v>0</v>
      </c>
      <c r="N50" s="20" t="n">
        <v>0</v>
      </c>
      <c r="O50" s="18" t="n">
        <v>0</v>
      </c>
      <c r="P50" s="20" t="n">
        <v>0</v>
      </c>
      <c r="Q50" s="18" t="n">
        <v>0.88478501</v>
      </c>
      <c r="R50" s="20" t="n">
        <v>0.47058096</v>
      </c>
    </row>
    <row r="51" spans="1:18">
      <c r="A51" s="15" t="s">
        <v>610</v>
      </c>
      <c r="B51" s="17" t="n">
        <v>5809</v>
      </c>
      <c r="C51" s="18">
        <f>(5192.0/B51*100)</f>
        <v/>
      </c>
      <c r="D51" s="19" t="n">
        <v>617</v>
      </c>
      <c r="E51" s="18" t="n">
        <v>55.7235277</v>
      </c>
      <c r="F51" s="20" t="n">
        <v>2.29767033</v>
      </c>
      <c r="G51" s="18" t="n">
        <v>43.23029107</v>
      </c>
      <c r="H51" s="20" t="n">
        <v>2.27744071</v>
      </c>
      <c r="I51" s="18" t="n">
        <v>0</v>
      </c>
      <c r="J51" s="20" t="n">
        <v>0</v>
      </c>
      <c r="K51" s="18" t="n">
        <v>0</v>
      </c>
      <c r="L51" s="20" t="n">
        <v>0</v>
      </c>
      <c r="M51" s="18" t="n">
        <v>0</v>
      </c>
      <c r="N51" s="20" t="n">
        <v>0</v>
      </c>
      <c r="O51" s="18" t="n">
        <v>0</v>
      </c>
      <c r="P51" s="20" t="n">
        <v>0</v>
      </c>
      <c r="Q51" s="18" t="n">
        <v>1.04618123</v>
      </c>
      <c r="R51" s="20" t="n">
        <v>0.35168672</v>
      </c>
    </row>
    <row r="52" spans="1:18">
      <c r="A52" s="15" t="s">
        <v>611</v>
      </c>
      <c r="B52" s="17" t="n">
        <v>5571</v>
      </c>
      <c r="C52" s="18">
        <f>(4950.0/B52*100)</f>
        <v/>
      </c>
      <c r="D52" s="19" t="n">
        <v>621</v>
      </c>
      <c r="E52" s="18" t="n">
        <v>55.93314202</v>
      </c>
      <c r="F52" s="20" t="n">
        <v>2.20949639</v>
      </c>
      <c r="G52" s="18" t="n">
        <v>42.93371655</v>
      </c>
      <c r="H52" s="20" t="n">
        <v>2.15307234</v>
      </c>
      <c r="I52" s="18" t="n">
        <v>0</v>
      </c>
      <c r="J52" s="20" t="n">
        <v>0</v>
      </c>
      <c r="K52" s="18" t="n">
        <v>0.7228236</v>
      </c>
      <c r="L52" s="20" t="n">
        <v>0.37367654</v>
      </c>
      <c r="M52" s="18" t="n">
        <v>0</v>
      </c>
      <c r="N52" s="20" t="n">
        <v>0</v>
      </c>
      <c r="O52" s="18" t="n">
        <v>0</v>
      </c>
      <c r="P52" s="20" t="n">
        <v>0</v>
      </c>
      <c r="Q52" s="18" t="n">
        <v>0.41031783</v>
      </c>
      <c r="R52" s="20" t="n">
        <v>0.23626622</v>
      </c>
    </row>
    <row r="53" spans="1:18">
      <c r="A53" s="15" t="s">
        <v>612</v>
      </c>
      <c r="B53" s="17" t="n">
        <v>4740</v>
      </c>
      <c r="C53" s="18">
        <f>(4218.0/B53*100)</f>
        <v/>
      </c>
      <c r="D53" s="19" t="n">
        <v>522</v>
      </c>
      <c r="E53" s="18" t="n">
        <v>69.55389628</v>
      </c>
      <c r="F53" s="20" t="n">
        <v>2.4246076</v>
      </c>
      <c r="G53" s="18" t="n">
        <v>15.13568388</v>
      </c>
      <c r="H53" s="20" t="n">
        <v>1.88087145</v>
      </c>
      <c r="I53" s="18" t="n">
        <v>0</v>
      </c>
      <c r="J53" s="20" t="n">
        <v>0</v>
      </c>
      <c r="K53" s="18" t="n">
        <v>12.94535127</v>
      </c>
      <c r="L53" s="20" t="n">
        <v>1.9072305</v>
      </c>
      <c r="M53" s="18" t="n">
        <v>0</v>
      </c>
      <c r="N53" s="20" t="n">
        <v>0</v>
      </c>
      <c r="O53" s="18" t="n">
        <v>0</v>
      </c>
      <c r="P53" s="20" t="n">
        <v>0</v>
      </c>
      <c r="Q53" s="18" t="n">
        <v>2.36506856</v>
      </c>
      <c r="R53" s="20" t="n">
        <v>0.60861435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(4794.0/B55*100)</f>
        <v/>
      </c>
      <c r="D55" s="19" t="n">
        <v>565</v>
      </c>
      <c r="E55" s="18" t="n">
        <v>37.87448554</v>
      </c>
      <c r="F55" s="20" t="n">
        <v>1.86876525</v>
      </c>
      <c r="G55" s="18" t="n">
        <v>62.12551446</v>
      </c>
      <c r="H55" s="20" t="n">
        <v>1.86876525</v>
      </c>
      <c r="I55" s="18" t="n">
        <v>0</v>
      </c>
      <c r="J55" s="20" t="n">
        <v>0</v>
      </c>
      <c r="K55" s="18" t="n">
        <v>0</v>
      </c>
      <c r="L55" s="20" t="n">
        <v>0</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(5833.0/B61*100)</f>
        <v/>
      </c>
      <c r="D61" s="19" t="n">
        <v>692</v>
      </c>
      <c r="E61" s="18" t="n">
        <v>41.87104663</v>
      </c>
      <c r="F61" s="20" t="n">
        <v>2.13036987</v>
      </c>
      <c r="G61" s="18" t="n">
        <v>57.29312687</v>
      </c>
      <c r="H61" s="20" t="n">
        <v>2.05139686</v>
      </c>
      <c r="I61" s="18" t="n">
        <v>0</v>
      </c>
      <c r="J61" s="20" t="n">
        <v>0</v>
      </c>
      <c r="K61" s="18" t="n">
        <v>0.46499182</v>
      </c>
      <c r="L61" s="20" t="n">
        <v>0.41228965</v>
      </c>
      <c r="M61" s="18" t="n">
        <v>0</v>
      </c>
      <c r="N61" s="20" t="n">
        <v>0</v>
      </c>
      <c r="O61" s="18" t="n">
        <v>0</v>
      </c>
      <c r="P61" s="20" t="n">
        <v>0</v>
      </c>
      <c r="Q61" s="18" t="n">
        <v>0.37083469</v>
      </c>
      <c r="R61" s="20" t="n">
        <v>0.24213167</v>
      </c>
    </row>
    <row r="62" spans="1:18">
      <c r="A62" s="15" t="s">
        <v>622</v>
      </c>
      <c r="B62" s="17" t="n">
        <v>4476</v>
      </c>
      <c r="C62" s="18">
        <f>(3952.0/B62*100)</f>
        <v/>
      </c>
      <c r="D62" s="19" t="n">
        <v>524</v>
      </c>
      <c r="E62" s="18" t="n">
        <v>45.0902421</v>
      </c>
      <c r="F62" s="20" t="n">
        <v>2.16890956</v>
      </c>
      <c r="G62" s="18" t="n">
        <v>54.71840833</v>
      </c>
      <c r="H62" s="20" t="n">
        <v>2.17141319</v>
      </c>
      <c r="I62" s="18" t="n">
        <v>0</v>
      </c>
      <c r="J62" s="20" t="n">
        <v>0</v>
      </c>
      <c r="K62" s="18" t="n">
        <v>0</v>
      </c>
      <c r="L62" s="20" t="n">
        <v>0</v>
      </c>
      <c r="M62" s="18" t="n">
        <v>0</v>
      </c>
      <c r="N62" s="20" t="n">
        <v>0</v>
      </c>
      <c r="O62" s="18" t="n">
        <v>0</v>
      </c>
      <c r="P62" s="20" t="n">
        <v>0</v>
      </c>
      <c r="Q62" s="18" t="n">
        <v>0.19134957</v>
      </c>
      <c r="R62" s="20" t="n">
        <v>0.19350428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(5060.0/B67*100)</f>
        <v/>
      </c>
      <c r="D67" s="19" t="n">
        <v>605</v>
      </c>
      <c r="E67" s="18" t="n">
        <v>66.08575724000001</v>
      </c>
      <c r="F67" s="20" t="n">
        <v>1.80756044</v>
      </c>
      <c r="G67" s="18" t="n">
        <v>29.73994391</v>
      </c>
      <c r="H67" s="20" t="n">
        <v>1.77114722</v>
      </c>
      <c r="I67" s="18" t="n">
        <v>0</v>
      </c>
      <c r="J67" s="20" t="n">
        <v>0</v>
      </c>
      <c r="K67" s="18" t="n">
        <v>1.13650927</v>
      </c>
      <c r="L67" s="20" t="n">
        <v>0.42571427</v>
      </c>
      <c r="M67" s="18" t="n">
        <v>0</v>
      </c>
      <c r="N67" s="20" t="n">
        <v>0</v>
      </c>
      <c r="O67" s="18" t="n">
        <v>0</v>
      </c>
      <c r="P67" s="20" t="n">
        <v>0</v>
      </c>
      <c r="Q67" s="18" t="n">
        <v>3.03778958</v>
      </c>
      <c r="R67" s="20" t="n">
        <v>0.71430155</v>
      </c>
    </row>
    <row r="68" spans="1:18">
      <c r="A68" s="15" t="s">
        <v>628</v>
      </c>
      <c r="B68" s="17" t="n">
        <v>6971</v>
      </c>
      <c r="C68" s="18">
        <f>(6262.0/B68*100)</f>
        <v/>
      </c>
      <c r="D68" s="19" t="n">
        <v>709</v>
      </c>
      <c r="E68" s="18" t="n">
        <v>76.74369101000001</v>
      </c>
      <c r="F68" s="20" t="n">
        <v>1.47688641</v>
      </c>
      <c r="G68" s="18" t="n">
        <v>21.72993136</v>
      </c>
      <c r="H68" s="20" t="n">
        <v>1.54097265</v>
      </c>
      <c r="I68" s="18" t="n">
        <v>0</v>
      </c>
      <c r="J68" s="20" t="n">
        <v>0</v>
      </c>
      <c r="K68" s="18" t="n">
        <v>0.46941859</v>
      </c>
      <c r="L68" s="20" t="n">
        <v>0.27434973</v>
      </c>
      <c r="M68" s="18" t="n">
        <v>0</v>
      </c>
      <c r="N68" s="20" t="n">
        <v>0</v>
      </c>
      <c r="O68" s="18" t="n">
        <v>0</v>
      </c>
      <c r="P68" s="20" t="n">
        <v>0</v>
      </c>
      <c r="Q68" s="18" t="n">
        <v>1.05695903</v>
      </c>
      <c r="R68" s="20" t="n">
        <v>0.36916262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(10735.0/B70*100)</f>
        <v/>
      </c>
      <c r="D70" s="19" t="n">
        <v>1348</v>
      </c>
      <c r="E70" s="18" t="n">
        <v>63.57344477</v>
      </c>
      <c r="F70" s="20" t="n">
        <v>1.30398702</v>
      </c>
      <c r="G70" s="18" t="n">
        <v>33.67019375</v>
      </c>
      <c r="H70" s="20" t="n">
        <v>1.36672661</v>
      </c>
      <c r="I70" s="18" t="n">
        <v>0</v>
      </c>
      <c r="J70" s="20" t="n">
        <v>0</v>
      </c>
      <c r="K70" s="18" t="n">
        <v>1.48760888</v>
      </c>
      <c r="L70" s="20" t="n">
        <v>0.40078519</v>
      </c>
      <c r="M70" s="18" t="n">
        <v>0</v>
      </c>
      <c r="N70" s="20" t="n">
        <v>0</v>
      </c>
      <c r="O70" s="18" t="n">
        <v>0</v>
      </c>
      <c r="P70" s="20" t="n">
        <v>0</v>
      </c>
      <c r="Q70" s="18" t="n">
        <v>1.26875261</v>
      </c>
      <c r="R70" s="20" t="n">
        <v>0.30849339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(5395.0/B72*100)</f>
        <v/>
      </c>
      <c r="D72" s="19" t="n">
        <v>641</v>
      </c>
      <c r="E72" s="18" t="n">
        <v>47.12412443</v>
      </c>
      <c r="F72" s="20" t="n">
        <v>2.27172898</v>
      </c>
      <c r="G72" s="18" t="n">
        <v>51.73719809</v>
      </c>
      <c r="H72" s="20" t="n">
        <v>2.24114503</v>
      </c>
      <c r="I72" s="18" t="n">
        <v>0</v>
      </c>
      <c r="J72" s="20" t="n">
        <v>0</v>
      </c>
      <c r="K72" s="18" t="n">
        <v>0</v>
      </c>
      <c r="L72" s="20" t="n">
        <v>0</v>
      </c>
      <c r="M72" s="18" t="n">
        <v>0</v>
      </c>
      <c r="N72" s="20" t="n">
        <v>0</v>
      </c>
      <c r="O72" s="18" t="n">
        <v>0</v>
      </c>
      <c r="P72" s="20" t="n">
        <v>0</v>
      </c>
      <c r="Q72" s="18" t="n">
        <v>1.13867749</v>
      </c>
      <c r="R72" s="20" t="n">
        <v>0.7336843</v>
      </c>
    </row>
    <row r="73" spans="1:18">
      <c r="A73" s="15" t="s">
        <v>633</v>
      </c>
      <c r="B73" s="17" t="n">
        <v>6115</v>
      </c>
      <c r="C73" s="18">
        <f>(5394.0/B73*100)</f>
        <v/>
      </c>
      <c r="D73" s="19" t="n">
        <v>721</v>
      </c>
      <c r="E73" s="18" t="n">
        <v>32.85963531</v>
      </c>
      <c r="F73" s="20" t="n">
        <v>2.04314057</v>
      </c>
      <c r="G73" s="18" t="n">
        <v>66.76747914000001</v>
      </c>
      <c r="H73" s="20" t="n">
        <v>2.07299035</v>
      </c>
      <c r="I73" s="18" t="n">
        <v>0</v>
      </c>
      <c r="J73" s="20" t="n">
        <v>0</v>
      </c>
      <c r="K73" s="18" t="n">
        <v>0.09313286</v>
      </c>
      <c r="L73" s="20" t="n">
        <v>0.09290548999999999</v>
      </c>
      <c r="M73" s="18" t="n">
        <v>0</v>
      </c>
      <c r="N73" s="20" t="n">
        <v>0</v>
      </c>
      <c r="O73" s="18" t="n">
        <v>0</v>
      </c>
      <c r="P73" s="20" t="n">
        <v>0</v>
      </c>
      <c r="Q73" s="18" t="n">
        <v>0.27975268</v>
      </c>
      <c r="R73" s="20" t="n">
        <v>0.19923247</v>
      </c>
    </row>
    <row r="74" spans="1:18">
      <c r="A74" s="15" t="s">
        <v>634</v>
      </c>
      <c r="B74" s="17" t="n">
        <v>7708</v>
      </c>
      <c r="C74" s="18">
        <f>(6862.0/B74*100)</f>
        <v/>
      </c>
      <c r="D74" s="19" t="n">
        <v>846</v>
      </c>
      <c r="E74" s="18" t="n">
        <v>55.13812721</v>
      </c>
      <c r="F74" s="20" t="n">
        <v>1.73457243</v>
      </c>
      <c r="G74" s="18" t="n">
        <v>44.60946145</v>
      </c>
      <c r="H74" s="20" t="n">
        <v>1.75488419</v>
      </c>
      <c r="I74" s="18" t="n">
        <v>0</v>
      </c>
      <c r="J74" s="20" t="n">
        <v>0</v>
      </c>
      <c r="K74" s="18" t="n">
        <v>0.09812514999999999</v>
      </c>
      <c r="L74" s="20" t="n">
        <v>0.09838803</v>
      </c>
      <c r="M74" s="18" t="n">
        <v>0</v>
      </c>
      <c r="N74" s="20" t="n">
        <v>0</v>
      </c>
      <c r="O74" s="18" t="n">
        <v>0</v>
      </c>
      <c r="P74" s="20" t="n">
        <v>0</v>
      </c>
      <c r="Q74" s="18" t="n">
        <v>0.15428618</v>
      </c>
      <c r="R74" s="20" t="n">
        <v>0.15391687</v>
      </c>
    </row>
    <row r="75" spans="1:18">
      <c r="A75" s="15" t="s">
        <v>635</v>
      </c>
      <c r="B75" s="17" t="n">
        <v>8249</v>
      </c>
      <c r="C75" s="18">
        <f>(7374.0/B75*100)</f>
        <v/>
      </c>
      <c r="D75" s="19" t="n">
        <v>875</v>
      </c>
      <c r="E75" s="18" t="n">
        <v>59.01092609</v>
      </c>
      <c r="F75" s="20" t="n">
        <v>2.20662489</v>
      </c>
      <c r="G75" s="18" t="n">
        <v>39.98097006</v>
      </c>
      <c r="H75" s="20" t="n">
        <v>2.19373948</v>
      </c>
      <c r="I75" s="18" t="n">
        <v>0</v>
      </c>
      <c r="J75" s="20" t="n">
        <v>0</v>
      </c>
      <c r="K75" s="18" t="n">
        <v>0.07133154999999999</v>
      </c>
      <c r="L75" s="20" t="n">
        <v>0.07126455</v>
      </c>
      <c r="M75" s="18" t="n">
        <v>0</v>
      </c>
      <c r="N75" s="20" t="n">
        <v>0</v>
      </c>
      <c r="O75" s="18" t="n">
        <v>0</v>
      </c>
      <c r="P75" s="20" t="n">
        <v>0</v>
      </c>
      <c r="Q75" s="18" t="n">
        <v>0.9367723</v>
      </c>
      <c r="R75" s="20" t="n">
        <v>0.47749544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(4821.0/B77*100)</f>
        <v/>
      </c>
      <c r="D77" s="19" t="n">
        <v>554</v>
      </c>
      <c r="E77" s="18" t="n">
        <v>52.36583246</v>
      </c>
      <c r="F77" s="20" t="n">
        <v>2.13116305</v>
      </c>
      <c r="G77" s="18" t="n">
        <v>44.53502112</v>
      </c>
      <c r="H77" s="20" t="n">
        <v>2.27977229</v>
      </c>
      <c r="I77" s="18" t="n">
        <v>0</v>
      </c>
      <c r="J77" s="20" t="n">
        <v>0</v>
      </c>
      <c r="K77" s="18" t="n">
        <v>2.44027915</v>
      </c>
      <c r="L77" s="20" t="n">
        <v>0.58960732</v>
      </c>
      <c r="M77" s="18" t="n">
        <v>0</v>
      </c>
      <c r="N77" s="20" t="n">
        <v>0</v>
      </c>
      <c r="O77" s="18" t="n">
        <v>0</v>
      </c>
      <c r="P77" s="20" t="n">
        <v>0</v>
      </c>
      <c r="Q77" s="18" t="n">
        <v>0.65886727</v>
      </c>
      <c r="R77" s="20" t="n">
        <v>0.37884446</v>
      </c>
    </row>
    <row r="78" spans="1:18">
      <c r="A78" s="15" t="s">
        <v>638</v>
      </c>
      <c r="B78" s="17" t="n">
        <v>14167</v>
      </c>
      <c r="C78" s="18">
        <f>(12612.0/B78*100)</f>
        <v/>
      </c>
      <c r="D78" s="19" t="n">
        <v>1555</v>
      </c>
      <c r="E78" s="18" t="n">
        <v>61.16967048</v>
      </c>
      <c r="F78" s="20" t="n">
        <v>1.41192219</v>
      </c>
      <c r="G78" s="18" t="n">
        <v>37.43170411</v>
      </c>
      <c r="H78" s="20" t="n">
        <v>1.40848921</v>
      </c>
      <c r="I78" s="18" t="n">
        <v>0</v>
      </c>
      <c r="J78" s="20" t="n">
        <v>0</v>
      </c>
      <c r="K78" s="18" t="n">
        <v>0.33077827</v>
      </c>
      <c r="L78" s="20" t="n">
        <v>0.12873501</v>
      </c>
      <c r="M78" s="18" t="n">
        <v>0</v>
      </c>
      <c r="N78" s="20" t="n">
        <v>0</v>
      </c>
      <c r="O78" s="18" t="n">
        <v>0</v>
      </c>
      <c r="P78" s="20" t="n">
        <v>0</v>
      </c>
      <c r="Q78" s="18" t="n">
        <v>1.06784713</v>
      </c>
      <c r="R78" s="20" t="n">
        <v>0.30983114</v>
      </c>
    </row>
    <row r="79" spans="1:18">
      <c r="A79" s="15" t="s">
        <v>639</v>
      </c>
      <c r="B79" s="17" t="n">
        <v>6062</v>
      </c>
      <c r="C79" s="18">
        <f>(5431.0/B79*100)</f>
        <v/>
      </c>
      <c r="D79" s="19" t="n">
        <v>631</v>
      </c>
      <c r="E79" s="18" t="n">
        <v>62.67590147</v>
      </c>
      <c r="F79" s="20" t="n">
        <v>1.83475798</v>
      </c>
      <c r="G79" s="18" t="n">
        <v>35.16627024</v>
      </c>
      <c r="H79" s="20" t="n">
        <v>1.80986617</v>
      </c>
      <c r="I79" s="18" t="n">
        <v>0</v>
      </c>
      <c r="J79" s="20" t="n">
        <v>0</v>
      </c>
      <c r="K79" s="18" t="n">
        <v>1.15007263</v>
      </c>
      <c r="L79" s="20" t="n">
        <v>0.36864402</v>
      </c>
      <c r="M79" s="18" t="n">
        <v>0</v>
      </c>
      <c r="N79" s="20" t="n">
        <v>0</v>
      </c>
      <c r="O79" s="18" t="n">
        <v>0</v>
      </c>
      <c r="P79" s="20" t="n">
        <v>0</v>
      </c>
      <c r="Q79" s="18" t="n">
        <v>1.00775565</v>
      </c>
      <c r="R79" s="20" t="n">
        <v>0.41138159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(28718.0/B82*100)</f>
        <v/>
      </c>
      <c r="D82" s="19" t="n">
        <v>3612</v>
      </c>
      <c r="E82" s="18" t="n">
        <v>53.75392666</v>
      </c>
      <c r="F82" s="20" t="n">
        <v>1.19003739</v>
      </c>
      <c r="G82" s="18" t="n">
        <v>44.90608483</v>
      </c>
      <c r="H82" s="20" t="n">
        <v>1.16418599</v>
      </c>
      <c r="I82" s="18" t="n">
        <v>0</v>
      </c>
      <c r="J82" s="20" t="n">
        <v>0</v>
      </c>
      <c r="K82" s="18" t="n">
        <v>0.36471719</v>
      </c>
      <c r="L82" s="20" t="n">
        <v>0.15988305</v>
      </c>
      <c r="M82" s="18" t="n">
        <v>0</v>
      </c>
      <c r="N82" s="20" t="n">
        <v>0</v>
      </c>
      <c r="O82" s="18" t="n">
        <v>0</v>
      </c>
      <c r="P82" s="20" t="n">
        <v>0</v>
      </c>
      <c r="Q82" s="18" t="n">
        <v>0.9752713200000001</v>
      </c>
      <c r="R82" s="20" t="n">
        <v>0.18022577</v>
      </c>
    </row>
    <row r="83" spans="1:18">
      <c r="A83" s="15" t="s">
        <v>643</v>
      </c>
      <c r="B83" s="17" t="n">
        <v>1652</v>
      </c>
      <c r="C83" s="18">
        <f>(1474.0/B83*100)</f>
        <v/>
      </c>
      <c r="D83" s="19" t="n">
        <v>178</v>
      </c>
      <c r="E83" s="18" t="n">
        <v>41.84217695</v>
      </c>
      <c r="F83" s="20" t="n">
        <v>3.21068187</v>
      </c>
      <c r="G83" s="18" t="n">
        <v>56.62120999</v>
      </c>
      <c r="H83" s="20" t="n">
        <v>3.35700273</v>
      </c>
      <c r="I83" s="18" t="n">
        <v>0</v>
      </c>
      <c r="J83" s="20" t="n">
        <v>0</v>
      </c>
      <c r="K83" s="18" t="n">
        <v>0</v>
      </c>
      <c r="L83" s="20" t="n">
        <v>0</v>
      </c>
      <c r="M83" s="18" t="n">
        <v>0</v>
      </c>
      <c r="N83" s="20" t="n">
        <v>0</v>
      </c>
      <c r="O83" s="18" t="n">
        <v>0</v>
      </c>
      <c r="P83" s="20" t="n">
        <v>0</v>
      </c>
      <c r="Q83" s="18" t="n">
        <v>1.53661306</v>
      </c>
      <c r="R83" s="20" t="n">
        <v>0.79642974</v>
      </c>
    </row>
    <row r="84" spans="1:18">
      <c r="A84" s="23" t="s">
        <v>644</v>
      </c>
      <c r="B84" s="24" t="n">
        <v>1887</v>
      </c>
      <c r="C84" s="25">
        <f>(1691.0/B84*100)</f>
        <v/>
      </c>
      <c r="D84" s="19" t="n">
        <v>196</v>
      </c>
      <c r="E84" s="18" t="n">
        <v>50.12896859</v>
      </c>
      <c r="F84" s="20" t="n">
        <v>4.39651577</v>
      </c>
      <c r="G84" s="18" t="n">
        <v>49.87103141</v>
      </c>
      <c r="H84" s="20" t="n">
        <v>4.39651577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(12949.0/B7*100)</f>
        <v/>
      </c>
      <c r="D7" s="19" t="n">
        <v>1581</v>
      </c>
      <c r="E7" s="18" t="n">
        <v>17.766752</v>
      </c>
      <c r="F7" s="20" t="n">
        <v>1.23791987</v>
      </c>
      <c r="G7" s="18" t="n">
        <v>75.90622268</v>
      </c>
      <c r="H7" s="20" t="n">
        <v>1.40956018</v>
      </c>
      <c r="I7" s="18" t="n">
        <v>0</v>
      </c>
      <c r="J7" s="20" t="n">
        <v>0</v>
      </c>
      <c r="K7" s="18" t="n">
        <v>0.26478084</v>
      </c>
      <c r="L7" s="20" t="n">
        <v>0.0983248</v>
      </c>
      <c r="M7" s="18" t="n">
        <v>0.00797669</v>
      </c>
      <c r="N7" s="20" t="n">
        <v>0.008018880000000001</v>
      </c>
      <c r="O7" s="18" t="n">
        <v>0</v>
      </c>
      <c r="P7" s="20" t="n">
        <v>0</v>
      </c>
      <c r="Q7" s="18" t="n">
        <v>6.0542678</v>
      </c>
      <c r="R7" s="20" t="n">
        <v>0.6909013899999999</v>
      </c>
    </row>
    <row r="8" spans="1:18">
      <c r="A8" s="15" t="s">
        <v>566</v>
      </c>
      <c r="B8" s="17" t="n">
        <v>7007</v>
      </c>
      <c r="C8" s="18">
        <f>(6258.0/B8*100)</f>
        <v/>
      </c>
      <c r="D8" s="19" t="n">
        <v>749</v>
      </c>
      <c r="E8" s="18" t="n">
        <v>11.86738885</v>
      </c>
      <c r="F8" s="20" t="n">
        <v>1.20495242</v>
      </c>
      <c r="G8" s="18" t="n">
        <v>78.95115809000001</v>
      </c>
      <c r="H8" s="20" t="n">
        <v>1.78169163</v>
      </c>
      <c r="I8" s="18" t="n">
        <v>0</v>
      </c>
      <c r="J8" s="20" t="n">
        <v>0</v>
      </c>
      <c r="K8" s="18" t="n">
        <v>0.05034584</v>
      </c>
      <c r="L8" s="20" t="n">
        <v>0.05037408</v>
      </c>
      <c r="M8" s="18" t="n">
        <v>0</v>
      </c>
      <c r="N8" s="20" t="n">
        <v>0</v>
      </c>
      <c r="O8" s="18" t="n">
        <v>0</v>
      </c>
      <c r="P8" s="20" t="n">
        <v>0</v>
      </c>
      <c r="Q8" s="18" t="n">
        <v>9.13110721</v>
      </c>
      <c r="R8" s="20" t="n">
        <v>1.26725611</v>
      </c>
    </row>
    <row r="9" spans="1:18">
      <c r="A9" s="15" t="s">
        <v>567</v>
      </c>
      <c r="B9" s="17" t="n">
        <v>9651</v>
      </c>
      <c r="C9" s="18">
        <f>(8641.0/B9*100)</f>
        <v/>
      </c>
      <c r="D9" s="19" t="n">
        <v>1010</v>
      </c>
      <c r="E9" s="18" t="n">
        <v>14.59486534</v>
      </c>
      <c r="F9" s="20" t="n">
        <v>1.1128478</v>
      </c>
      <c r="G9" s="18" t="n">
        <v>77.1201621</v>
      </c>
      <c r="H9" s="20" t="n">
        <v>1.53319475</v>
      </c>
      <c r="I9" s="18" t="n">
        <v>0</v>
      </c>
      <c r="J9" s="20" t="n">
        <v>0</v>
      </c>
      <c r="K9" s="18" t="n">
        <v>0.15024729</v>
      </c>
      <c r="L9" s="20" t="n">
        <v>0.14047692</v>
      </c>
      <c r="M9" s="18" t="n">
        <v>0.07990875</v>
      </c>
      <c r="N9" s="20" t="n">
        <v>0.07738346</v>
      </c>
      <c r="O9" s="18" t="n">
        <v>0</v>
      </c>
      <c r="P9" s="20" t="n">
        <v>0</v>
      </c>
      <c r="Q9" s="18" t="n">
        <v>8.054816519999999</v>
      </c>
      <c r="R9" s="20" t="n">
        <v>1.06225219</v>
      </c>
    </row>
    <row r="10" spans="1:18">
      <c r="A10" s="15" t="s">
        <v>568</v>
      </c>
      <c r="B10" s="17" t="n">
        <v>20058</v>
      </c>
      <c r="C10" s="18">
        <f>(17799.0/B10*100)</f>
        <v/>
      </c>
      <c r="D10" s="19" t="n">
        <v>2259</v>
      </c>
      <c r="E10" s="18" t="n">
        <v>14.17751779</v>
      </c>
      <c r="F10" s="20" t="n">
        <v>1.15818058</v>
      </c>
      <c r="G10" s="18" t="n">
        <v>82.89471947</v>
      </c>
      <c r="H10" s="20" t="n">
        <v>1.23707031</v>
      </c>
      <c r="I10" s="18" t="n">
        <v>0</v>
      </c>
      <c r="J10" s="20" t="n">
        <v>0</v>
      </c>
      <c r="K10" s="18" t="n">
        <v>0.34324369</v>
      </c>
      <c r="L10" s="20" t="n">
        <v>0.16682643</v>
      </c>
      <c r="M10" s="18" t="n">
        <v>0</v>
      </c>
      <c r="N10" s="20" t="n">
        <v>0</v>
      </c>
      <c r="O10" s="18" t="n">
        <v>0</v>
      </c>
      <c r="P10" s="20" t="n">
        <v>0</v>
      </c>
      <c r="Q10" s="18" t="n">
        <v>2.58451905</v>
      </c>
      <c r="R10" s="20" t="n">
        <v>0.44406866</v>
      </c>
    </row>
    <row r="11" spans="1:18">
      <c r="A11" s="15" t="s">
        <v>569</v>
      </c>
      <c r="B11" s="17" t="n">
        <v>7053</v>
      </c>
      <c r="C11" s="18">
        <f>(6260.0/B11*100)</f>
        <v/>
      </c>
      <c r="D11" s="19" t="n">
        <v>793</v>
      </c>
      <c r="E11" s="18" t="n">
        <v>28.70958628</v>
      </c>
      <c r="F11" s="20" t="n">
        <v>2.12535005</v>
      </c>
      <c r="G11" s="18" t="n">
        <v>53.42507997</v>
      </c>
      <c r="H11" s="20" t="n">
        <v>2.16639669</v>
      </c>
      <c r="I11" s="18" t="n">
        <v>0</v>
      </c>
      <c r="J11" s="20" t="n">
        <v>0</v>
      </c>
      <c r="K11" s="18" t="n">
        <v>1.55029946</v>
      </c>
      <c r="L11" s="20" t="n">
        <v>0.52401666</v>
      </c>
      <c r="M11" s="18" t="n">
        <v>0.01801843</v>
      </c>
      <c r="N11" s="20" t="n">
        <v>0.01826131</v>
      </c>
      <c r="O11" s="18" t="n">
        <v>0</v>
      </c>
      <c r="P11" s="20" t="n">
        <v>0</v>
      </c>
      <c r="Q11" s="18" t="n">
        <v>16.29701587</v>
      </c>
      <c r="R11" s="20" t="n">
        <v>1.35807924</v>
      </c>
    </row>
    <row r="12" spans="1:18">
      <c r="A12" s="15" t="s">
        <v>570</v>
      </c>
      <c r="B12" s="17" t="n">
        <v>6894</v>
      </c>
      <c r="C12" s="18">
        <f>(6117.0/B12*100)</f>
        <v/>
      </c>
      <c r="D12" s="19" t="n">
        <v>777</v>
      </c>
      <c r="E12" s="18" t="n">
        <v>8.79391908</v>
      </c>
      <c r="F12" s="20" t="n">
        <v>1.03234806</v>
      </c>
      <c r="G12" s="18" t="n">
        <v>83.42867748</v>
      </c>
      <c r="H12" s="20" t="n">
        <v>1.17243661</v>
      </c>
      <c r="I12" s="18" t="n">
        <v>0</v>
      </c>
      <c r="J12" s="20" t="n">
        <v>0</v>
      </c>
      <c r="K12" s="18" t="n">
        <v>0.13580078</v>
      </c>
      <c r="L12" s="20" t="n">
        <v>0.14063142</v>
      </c>
      <c r="M12" s="18" t="n">
        <v>0.12534377</v>
      </c>
      <c r="N12" s="20" t="n">
        <v>0.12521168</v>
      </c>
      <c r="O12" s="18" t="n">
        <v>0</v>
      </c>
      <c r="P12" s="20" t="n">
        <v>0</v>
      </c>
      <c r="Q12" s="18" t="n">
        <v>7.51625889</v>
      </c>
      <c r="R12" s="20" t="n">
        <v>0.89764382</v>
      </c>
    </row>
    <row r="13" spans="1:18">
      <c r="A13" s="15" t="s">
        <v>571</v>
      </c>
      <c r="B13" s="17" t="n">
        <v>7161</v>
      </c>
      <c r="C13" s="18">
        <f>(6458.0/B13*100)</f>
        <v/>
      </c>
      <c r="D13" s="19" t="n">
        <v>703</v>
      </c>
      <c r="E13" s="18" t="n">
        <v>9.829661160000001</v>
      </c>
      <c r="F13" s="20" t="n">
        <v>1.28831566</v>
      </c>
      <c r="G13" s="18" t="n">
        <v>82.05687356999999</v>
      </c>
      <c r="H13" s="20" t="n">
        <v>1.72074799</v>
      </c>
      <c r="I13" s="18" t="n">
        <v>0</v>
      </c>
      <c r="J13" s="20" t="n">
        <v>0</v>
      </c>
      <c r="K13" s="18" t="n">
        <v>0.64209809</v>
      </c>
      <c r="L13" s="20" t="n">
        <v>0.35000656</v>
      </c>
      <c r="M13" s="18" t="n">
        <v>0.03459772</v>
      </c>
      <c r="N13" s="20" t="n">
        <v>0.0347568</v>
      </c>
      <c r="O13" s="18" t="n">
        <v>0</v>
      </c>
      <c r="P13" s="20" t="n">
        <v>0</v>
      </c>
      <c r="Q13" s="18" t="n">
        <v>7.43676946</v>
      </c>
      <c r="R13" s="20" t="n">
        <v>1.28630911</v>
      </c>
    </row>
    <row r="14" spans="1:18">
      <c r="A14" s="15" t="s">
        <v>572</v>
      </c>
      <c r="B14" s="17" t="n">
        <v>5587</v>
      </c>
      <c r="C14" s="18">
        <f>(4938.0/B14*100)</f>
        <v/>
      </c>
      <c r="D14" s="19" t="n">
        <v>649</v>
      </c>
      <c r="E14" s="18" t="n">
        <v>7.28283966</v>
      </c>
      <c r="F14" s="20" t="n">
        <v>1.01659829</v>
      </c>
      <c r="G14" s="18" t="n">
        <v>90.01688605</v>
      </c>
      <c r="H14" s="20" t="n">
        <v>1.17254581</v>
      </c>
      <c r="I14" s="18" t="n">
        <v>0</v>
      </c>
      <c r="J14" s="20" t="n">
        <v>0</v>
      </c>
      <c r="K14" s="18" t="n">
        <v>0</v>
      </c>
      <c r="L14" s="20" t="n">
        <v>0</v>
      </c>
      <c r="M14" s="18" t="n">
        <v>0</v>
      </c>
      <c r="N14" s="20" t="n">
        <v>0</v>
      </c>
      <c r="O14" s="18" t="n">
        <v>0</v>
      </c>
      <c r="P14" s="20" t="n">
        <v>0</v>
      </c>
      <c r="Q14" s="18" t="n">
        <v>2.70027429</v>
      </c>
      <c r="R14" s="20" t="n">
        <v>0.61323246</v>
      </c>
    </row>
    <row r="15" spans="1:18">
      <c r="A15" s="15" t="s">
        <v>573</v>
      </c>
      <c r="B15" s="17" t="n">
        <v>5882</v>
      </c>
      <c r="C15" s="18">
        <f>(5239.0/B15*100)</f>
        <v/>
      </c>
      <c r="D15" s="19" t="n">
        <v>643</v>
      </c>
      <c r="E15" s="18" t="n">
        <v>7.7794522</v>
      </c>
      <c r="F15" s="20" t="n">
        <v>1.15280786</v>
      </c>
      <c r="G15" s="18" t="n">
        <v>88.10835339</v>
      </c>
      <c r="H15" s="20" t="n">
        <v>1.37955439</v>
      </c>
      <c r="I15" s="18" t="n">
        <v>0</v>
      </c>
      <c r="J15" s="20" t="n">
        <v>0</v>
      </c>
      <c r="K15" s="18" t="n">
        <v>0.06581592</v>
      </c>
      <c r="L15" s="20" t="n">
        <v>0.06582250000000001</v>
      </c>
      <c r="M15" s="18" t="n">
        <v>0</v>
      </c>
      <c r="N15" s="20" t="n">
        <v>0</v>
      </c>
      <c r="O15" s="18" t="n">
        <v>0</v>
      </c>
      <c r="P15" s="20" t="n">
        <v>0</v>
      </c>
      <c r="Q15" s="18" t="n">
        <v>4.04637848</v>
      </c>
      <c r="R15" s="20" t="n">
        <v>0.74511424</v>
      </c>
    </row>
    <row r="16" spans="1:18">
      <c r="A16" s="15" t="s">
        <v>574</v>
      </c>
      <c r="B16" s="17" t="n">
        <v>6108</v>
      </c>
      <c r="C16" s="18">
        <f>(5395.0/B16*100)</f>
        <v/>
      </c>
      <c r="D16" s="19" t="n">
        <v>713</v>
      </c>
      <c r="E16" s="18" t="n">
        <v>17.31953249</v>
      </c>
      <c r="F16" s="20" t="n">
        <v>1.63892922</v>
      </c>
      <c r="G16" s="18" t="n">
        <v>72.45169199</v>
      </c>
      <c r="H16" s="20" t="n">
        <v>1.98234141</v>
      </c>
      <c r="I16" s="18" t="n">
        <v>0</v>
      </c>
      <c r="J16" s="20" t="n">
        <v>0</v>
      </c>
      <c r="K16" s="18" t="n">
        <v>0.82055352</v>
      </c>
      <c r="L16" s="20" t="n">
        <v>0.40503717</v>
      </c>
      <c r="M16" s="18" t="n">
        <v>0</v>
      </c>
      <c r="N16" s="20" t="n">
        <v>0</v>
      </c>
      <c r="O16" s="18" t="n">
        <v>0</v>
      </c>
      <c r="P16" s="20" t="n">
        <v>0</v>
      </c>
      <c r="Q16" s="18" t="n">
        <v>9.408222</v>
      </c>
      <c r="R16" s="20" t="n">
        <v>1.12317034</v>
      </c>
    </row>
    <row r="17" spans="1:18">
      <c r="A17" s="15" t="s">
        <v>575</v>
      </c>
      <c r="B17" s="17" t="n">
        <v>6504</v>
      </c>
      <c r="C17" s="18">
        <f>(5824.0/B17*100)</f>
        <v/>
      </c>
      <c r="D17" s="19" t="n">
        <v>680</v>
      </c>
      <c r="E17" s="18" t="n">
        <v>12.33492325</v>
      </c>
      <c r="F17" s="20" t="n">
        <v>1.23168792</v>
      </c>
      <c r="G17" s="18" t="n">
        <v>79.9522741</v>
      </c>
      <c r="H17" s="20" t="n">
        <v>1.70627257</v>
      </c>
      <c r="I17" s="18" t="n">
        <v>0</v>
      </c>
      <c r="J17" s="20" t="n">
        <v>0</v>
      </c>
      <c r="K17" s="18" t="n">
        <v>0.76441733</v>
      </c>
      <c r="L17" s="20" t="n">
        <v>0.32431984</v>
      </c>
      <c r="M17" s="18" t="n">
        <v>0</v>
      </c>
      <c r="N17" s="20" t="n">
        <v>0</v>
      </c>
      <c r="O17" s="18" t="n">
        <v>0</v>
      </c>
      <c r="P17" s="20" t="n">
        <v>0</v>
      </c>
      <c r="Q17" s="18" t="n">
        <v>6.94838531</v>
      </c>
      <c r="R17" s="20" t="n">
        <v>1.12157396</v>
      </c>
    </row>
    <row r="18" spans="1:18">
      <c r="A18" s="15" t="s">
        <v>576</v>
      </c>
      <c r="B18" s="17" t="n">
        <v>5532</v>
      </c>
      <c r="C18" s="18">
        <f>(4909.0/B18*100)</f>
        <v/>
      </c>
      <c r="D18" s="19" t="n">
        <v>623</v>
      </c>
      <c r="E18" s="18" t="n">
        <v>24.81962139</v>
      </c>
      <c r="F18" s="20" t="n">
        <v>2.11886737</v>
      </c>
      <c r="G18" s="18" t="n">
        <v>64.10815119999999</v>
      </c>
      <c r="H18" s="20" t="n">
        <v>2.76242614</v>
      </c>
      <c r="I18" s="18" t="n">
        <v>0</v>
      </c>
      <c r="J18" s="20" t="n">
        <v>0</v>
      </c>
      <c r="K18" s="18" t="n">
        <v>0.73391093</v>
      </c>
      <c r="L18" s="20" t="n">
        <v>0.52821274</v>
      </c>
      <c r="M18" s="18" t="n">
        <v>0</v>
      </c>
      <c r="N18" s="20" t="n">
        <v>0</v>
      </c>
      <c r="O18" s="18" t="n">
        <v>0</v>
      </c>
      <c r="P18" s="20" t="n">
        <v>0</v>
      </c>
      <c r="Q18" s="18" t="n">
        <v>10.33831648</v>
      </c>
      <c r="R18" s="20" t="n">
        <v>1.65662715</v>
      </c>
    </row>
    <row r="19" spans="1:18">
      <c r="A19" s="15" t="s">
        <v>577</v>
      </c>
      <c r="B19" s="17" t="n">
        <v>5658</v>
      </c>
      <c r="C19" s="18">
        <f>(5068.0/B19*100)</f>
        <v/>
      </c>
      <c r="D19" s="19" t="n">
        <v>590</v>
      </c>
      <c r="E19" s="18" t="n">
        <v>12.84629347</v>
      </c>
      <c r="F19" s="20" t="n">
        <v>1.38604535</v>
      </c>
      <c r="G19" s="18" t="n">
        <v>75.35652997</v>
      </c>
      <c r="H19" s="20" t="n">
        <v>2.08420202</v>
      </c>
      <c r="I19" s="18" t="n">
        <v>0</v>
      </c>
      <c r="J19" s="20" t="n">
        <v>0</v>
      </c>
      <c r="K19" s="18" t="n">
        <v>0</v>
      </c>
      <c r="L19" s="20" t="n">
        <v>0</v>
      </c>
      <c r="M19" s="18" t="n">
        <v>0</v>
      </c>
      <c r="N19" s="20" t="n">
        <v>0</v>
      </c>
      <c r="O19" s="18" t="n">
        <v>0</v>
      </c>
      <c r="P19" s="20" t="n">
        <v>0</v>
      </c>
      <c r="Q19" s="18" t="n">
        <v>11.79717657</v>
      </c>
      <c r="R19" s="20" t="n">
        <v>1.69439821</v>
      </c>
    </row>
    <row r="20" spans="1:18">
      <c r="A20" s="15" t="s">
        <v>578</v>
      </c>
      <c r="B20" s="17" t="n">
        <v>3371</v>
      </c>
      <c r="C20" s="18">
        <f>(3000.0/B20*100)</f>
        <v/>
      </c>
      <c r="D20" s="19" t="n">
        <v>371</v>
      </c>
      <c r="E20" s="18" t="n">
        <v>13.18033013</v>
      </c>
      <c r="F20" s="20" t="n">
        <v>1.77705826</v>
      </c>
      <c r="G20" s="18" t="n">
        <v>75.45811084</v>
      </c>
      <c r="H20" s="20" t="n">
        <v>2.12621452</v>
      </c>
      <c r="I20" s="18" t="n">
        <v>0</v>
      </c>
      <c r="J20" s="20" t="n">
        <v>0</v>
      </c>
      <c r="K20" s="18" t="n">
        <v>1.38158017</v>
      </c>
      <c r="L20" s="20" t="n">
        <v>0.6271011399999999</v>
      </c>
      <c r="M20" s="18" t="n">
        <v>1.56013678</v>
      </c>
      <c r="N20" s="20" t="n">
        <v>0.43713289</v>
      </c>
      <c r="O20" s="18" t="n">
        <v>0</v>
      </c>
      <c r="P20" s="20" t="n">
        <v>0</v>
      </c>
      <c r="Q20" s="18" t="n">
        <v>8.41984209</v>
      </c>
      <c r="R20" s="20" t="n">
        <v>1.62169237</v>
      </c>
    </row>
    <row r="21" spans="1:18">
      <c r="A21" s="15" t="s">
        <v>579</v>
      </c>
      <c r="B21" s="17" t="n">
        <v>5741</v>
      </c>
      <c r="C21" s="18">
        <f>(5125.0/B21*100)</f>
        <v/>
      </c>
      <c r="D21" s="19" t="n">
        <v>616</v>
      </c>
      <c r="E21" s="18" t="n">
        <v>12.77318807</v>
      </c>
      <c r="F21" s="20" t="n">
        <v>1.40592172</v>
      </c>
      <c r="G21" s="18" t="n">
        <v>82.40587605</v>
      </c>
      <c r="H21" s="20" t="n">
        <v>1.5370083</v>
      </c>
      <c r="I21" s="18" t="n">
        <v>0</v>
      </c>
      <c r="J21" s="20" t="n">
        <v>0</v>
      </c>
      <c r="K21" s="18" t="n">
        <v>0.13959484</v>
      </c>
      <c r="L21" s="20" t="n">
        <v>0.10132726</v>
      </c>
      <c r="M21" s="18" t="n">
        <v>0</v>
      </c>
      <c r="N21" s="20" t="n">
        <v>0</v>
      </c>
      <c r="O21" s="18" t="n">
        <v>0</v>
      </c>
      <c r="P21" s="20" t="n">
        <v>0</v>
      </c>
      <c r="Q21" s="18" t="n">
        <v>4.68134103</v>
      </c>
      <c r="R21" s="20" t="n">
        <v>0.97432942</v>
      </c>
    </row>
    <row r="22" spans="1:18">
      <c r="A22" s="15" t="s">
        <v>580</v>
      </c>
      <c r="B22" s="17" t="n">
        <v>6598</v>
      </c>
      <c r="C22" s="18">
        <f>(5906.0/B22*100)</f>
        <v/>
      </c>
      <c r="D22" s="19" t="n">
        <v>692</v>
      </c>
      <c r="E22" s="18" t="n">
        <v>21.54975592</v>
      </c>
      <c r="F22" s="20" t="n">
        <v>1.57857728</v>
      </c>
      <c r="G22" s="18" t="n">
        <v>66.2152839</v>
      </c>
      <c r="H22" s="20" t="n">
        <v>2.08352059</v>
      </c>
      <c r="I22" s="18" t="n">
        <v>0</v>
      </c>
      <c r="J22" s="20" t="n">
        <v>0</v>
      </c>
      <c r="K22" s="18" t="n">
        <v>0.92082266</v>
      </c>
      <c r="L22" s="20" t="n">
        <v>0.4215928</v>
      </c>
      <c r="M22" s="18" t="n">
        <v>0</v>
      </c>
      <c r="N22" s="20" t="n">
        <v>0</v>
      </c>
      <c r="O22" s="18" t="n">
        <v>0</v>
      </c>
      <c r="P22" s="20" t="n">
        <v>0</v>
      </c>
      <c r="Q22" s="18" t="n">
        <v>11.31413751</v>
      </c>
      <c r="R22" s="20" t="n">
        <v>1.44804039</v>
      </c>
    </row>
    <row r="23" spans="1:18">
      <c r="A23" s="15" t="s">
        <v>581</v>
      </c>
      <c r="B23" s="17" t="n">
        <v>11583</v>
      </c>
      <c r="C23" s="18">
        <f>(10324.0/B23*100)</f>
        <v/>
      </c>
      <c r="D23" s="19" t="n">
        <v>1259</v>
      </c>
      <c r="E23" s="18" t="n">
        <v>16.81041892</v>
      </c>
      <c r="F23" s="20" t="n">
        <v>1.63599819</v>
      </c>
      <c r="G23" s="18" t="n">
        <v>68.47153258</v>
      </c>
      <c r="H23" s="20" t="n">
        <v>1.96849426</v>
      </c>
      <c r="I23" s="18" t="n">
        <v>0</v>
      </c>
      <c r="J23" s="20" t="n">
        <v>0</v>
      </c>
      <c r="K23" s="18" t="n">
        <v>0.63148673</v>
      </c>
      <c r="L23" s="20" t="n">
        <v>0.33047416</v>
      </c>
      <c r="M23" s="18" t="n">
        <v>0</v>
      </c>
      <c r="N23" s="20" t="n">
        <v>0</v>
      </c>
      <c r="O23" s="18" t="n">
        <v>0</v>
      </c>
      <c r="P23" s="20" t="n">
        <v>0</v>
      </c>
      <c r="Q23" s="18" t="n">
        <v>14.08656178</v>
      </c>
      <c r="R23" s="20" t="n">
        <v>1.72603811</v>
      </c>
    </row>
    <row r="24" spans="1:18">
      <c r="A24" s="15" t="s">
        <v>582</v>
      </c>
      <c r="B24" s="17" t="n">
        <v>6647</v>
      </c>
      <c r="C24" s="18">
        <f>(5935.0/B24*100)</f>
        <v/>
      </c>
      <c r="D24" s="19" t="n">
        <v>712</v>
      </c>
      <c r="E24" s="18" t="n">
        <v>16.40472972</v>
      </c>
      <c r="F24" s="20" t="n">
        <v>1.48223335</v>
      </c>
      <c r="G24" s="18" t="n">
        <v>75.39239465</v>
      </c>
      <c r="H24" s="20" t="n">
        <v>1.63911943</v>
      </c>
      <c r="I24" s="18" t="n">
        <v>0</v>
      </c>
      <c r="J24" s="20" t="n">
        <v>0</v>
      </c>
      <c r="K24" s="18" t="n">
        <v>0.13442743</v>
      </c>
      <c r="L24" s="20" t="n">
        <v>0.13483507</v>
      </c>
      <c r="M24" s="18" t="n">
        <v>0</v>
      </c>
      <c r="N24" s="20" t="n">
        <v>0</v>
      </c>
      <c r="O24" s="18" t="n">
        <v>0</v>
      </c>
      <c r="P24" s="20" t="n">
        <v>0</v>
      </c>
      <c r="Q24" s="18" t="n">
        <v>8.068448200000001</v>
      </c>
      <c r="R24" s="20" t="n">
        <v>0.9536911</v>
      </c>
    </row>
    <row r="25" spans="1:18">
      <c r="A25" s="15" t="s">
        <v>583</v>
      </c>
      <c r="B25" s="17" t="n">
        <v>5581</v>
      </c>
      <c r="C25" s="18">
        <f>(4968.0/B25*100)</f>
        <v/>
      </c>
      <c r="D25" s="19" t="n">
        <v>613</v>
      </c>
      <c r="E25" s="18" t="n">
        <v>13.56100107</v>
      </c>
      <c r="F25" s="20" t="n">
        <v>1.22358186</v>
      </c>
      <c r="G25" s="18" t="n">
        <v>77.41455701</v>
      </c>
      <c r="H25" s="20" t="n">
        <v>1.5546716</v>
      </c>
      <c r="I25" s="18" t="n">
        <v>0</v>
      </c>
      <c r="J25" s="20" t="n">
        <v>0</v>
      </c>
      <c r="K25" s="18" t="n">
        <v>0.6528800299999999</v>
      </c>
      <c r="L25" s="20" t="n">
        <v>0.2214799</v>
      </c>
      <c r="M25" s="18" t="n">
        <v>0</v>
      </c>
      <c r="N25" s="20" t="n">
        <v>0</v>
      </c>
      <c r="O25" s="18" t="n">
        <v>0</v>
      </c>
      <c r="P25" s="20" t="n">
        <v>0</v>
      </c>
      <c r="Q25" s="18" t="n">
        <v>8.3715619</v>
      </c>
      <c r="R25" s="20" t="n">
        <v>1.09082434</v>
      </c>
    </row>
    <row r="26" spans="1:18">
      <c r="A26" s="15" t="s">
        <v>584</v>
      </c>
      <c r="B26" s="17" t="n">
        <v>4869</v>
      </c>
      <c r="C26" s="18">
        <f>(4309.0/B26*100)</f>
        <v/>
      </c>
      <c r="D26" s="19" t="n">
        <v>560</v>
      </c>
      <c r="E26" s="18" t="n">
        <v>13.147682</v>
      </c>
      <c r="F26" s="20" t="n">
        <v>1.52839339</v>
      </c>
      <c r="G26" s="18" t="n">
        <v>80.80723976</v>
      </c>
      <c r="H26" s="20" t="n">
        <v>1.97836913</v>
      </c>
      <c r="I26" s="18" t="n">
        <v>0</v>
      </c>
      <c r="J26" s="20" t="n">
        <v>0</v>
      </c>
      <c r="K26" s="18" t="n">
        <v>0</v>
      </c>
      <c r="L26" s="20" t="n">
        <v>0</v>
      </c>
      <c r="M26" s="18" t="n">
        <v>0.16078781</v>
      </c>
      <c r="N26" s="20" t="n">
        <v>0.16149753</v>
      </c>
      <c r="O26" s="18" t="n">
        <v>0</v>
      </c>
      <c r="P26" s="20" t="n">
        <v>0</v>
      </c>
      <c r="Q26" s="18" t="n">
        <v>5.88429043</v>
      </c>
      <c r="R26" s="20" t="n">
        <v>1.17486227</v>
      </c>
    </row>
    <row r="27" spans="1:18">
      <c r="A27" s="15" t="s">
        <v>585</v>
      </c>
      <c r="B27" s="17" t="n">
        <v>5299</v>
      </c>
      <c r="C27" s="18">
        <f>(4691.0/B27*100)</f>
        <v/>
      </c>
      <c r="D27" s="19" t="n">
        <v>608</v>
      </c>
      <c r="E27" s="18" t="n">
        <v>14.05780704</v>
      </c>
      <c r="F27" s="20" t="n">
        <v>1.62228634</v>
      </c>
      <c r="G27" s="18" t="n">
        <v>75.67519168</v>
      </c>
      <c r="H27" s="20" t="n">
        <v>1.85324735</v>
      </c>
      <c r="I27" s="18" t="n">
        <v>0</v>
      </c>
      <c r="J27" s="20" t="n">
        <v>0</v>
      </c>
      <c r="K27" s="18" t="n">
        <v>0.4906758</v>
      </c>
      <c r="L27" s="20" t="n">
        <v>0.28197754</v>
      </c>
      <c r="M27" s="18" t="n">
        <v>0</v>
      </c>
      <c r="N27" s="20" t="n">
        <v>0</v>
      </c>
      <c r="O27" s="18" t="n">
        <v>0</v>
      </c>
      <c r="P27" s="20" t="n">
        <v>0</v>
      </c>
      <c r="Q27" s="18" t="n">
        <v>9.776325480000001</v>
      </c>
      <c r="R27" s="20" t="n">
        <v>1.20689144</v>
      </c>
    </row>
    <row r="28" spans="1:18">
      <c r="A28" s="15" t="s">
        <v>586</v>
      </c>
      <c r="B28" s="17" t="n">
        <v>7568</v>
      </c>
      <c r="C28" s="18">
        <f>(6751.0/B28*100)</f>
        <v/>
      </c>
      <c r="D28" s="19" t="n">
        <v>817</v>
      </c>
      <c r="E28" s="18" t="n">
        <v>50.53410805</v>
      </c>
      <c r="F28" s="20" t="n">
        <v>2.18288638</v>
      </c>
      <c r="G28" s="18" t="n">
        <v>44.65837345</v>
      </c>
      <c r="H28" s="20" t="n">
        <v>2.25087455</v>
      </c>
      <c r="I28" s="18" t="n">
        <v>0</v>
      </c>
      <c r="J28" s="20" t="n">
        <v>0</v>
      </c>
      <c r="K28" s="18" t="n">
        <v>0.81379349</v>
      </c>
      <c r="L28" s="20" t="n">
        <v>0.39824895</v>
      </c>
      <c r="M28" s="18" t="n">
        <v>0.19721999</v>
      </c>
      <c r="N28" s="20" t="n">
        <v>0.19666989</v>
      </c>
      <c r="O28" s="18" t="n">
        <v>0</v>
      </c>
      <c r="P28" s="20" t="n">
        <v>0</v>
      </c>
      <c r="Q28" s="18" t="n">
        <v>3.79650502</v>
      </c>
      <c r="R28" s="20" t="n">
        <v>0.79091313</v>
      </c>
    </row>
    <row r="29" spans="1:18">
      <c r="A29" s="15" t="s">
        <v>587</v>
      </c>
      <c r="B29" s="17" t="n">
        <v>5385</v>
      </c>
      <c r="C29" s="18">
        <f>(4851.0/B29*100)</f>
        <v/>
      </c>
      <c r="D29" s="19" t="n">
        <v>534</v>
      </c>
      <c r="E29" s="18" t="n">
        <v>12.40168935</v>
      </c>
      <c r="F29" s="20" t="n">
        <v>1.37769471</v>
      </c>
      <c r="G29" s="18" t="n">
        <v>84.76826091</v>
      </c>
      <c r="H29" s="20" t="n">
        <v>1.48747812</v>
      </c>
      <c r="I29" s="18" t="n">
        <v>0</v>
      </c>
      <c r="J29" s="20" t="n">
        <v>0</v>
      </c>
      <c r="K29" s="18" t="n">
        <v>0.17061289</v>
      </c>
      <c r="L29" s="20" t="n">
        <v>0.16227445</v>
      </c>
      <c r="M29" s="18" t="n">
        <v>0</v>
      </c>
      <c r="N29" s="20" t="n">
        <v>0</v>
      </c>
      <c r="O29" s="18" t="n">
        <v>0</v>
      </c>
      <c r="P29" s="20" t="n">
        <v>0</v>
      </c>
      <c r="Q29" s="18" t="n">
        <v>2.65943685</v>
      </c>
      <c r="R29" s="20" t="n">
        <v>0.71360399</v>
      </c>
    </row>
    <row r="30" spans="1:18">
      <c r="A30" s="15" t="s">
        <v>588</v>
      </c>
      <c r="B30" s="17" t="n">
        <v>4520</v>
      </c>
      <c r="C30" s="18">
        <f>(4008.0/B30*100)</f>
        <v/>
      </c>
      <c r="D30" s="19" t="n">
        <v>512</v>
      </c>
      <c r="E30" s="18" t="n">
        <v>14.46293151</v>
      </c>
      <c r="F30" s="20" t="n">
        <v>1.43262974</v>
      </c>
      <c r="G30" s="18" t="n">
        <v>75.91527219</v>
      </c>
      <c r="H30" s="20" t="n">
        <v>1.56140576</v>
      </c>
      <c r="I30" s="18" t="n">
        <v>0</v>
      </c>
      <c r="J30" s="20" t="n">
        <v>0</v>
      </c>
      <c r="K30" s="18" t="n">
        <v>0.84206756</v>
      </c>
      <c r="L30" s="20" t="n">
        <v>0.43068008</v>
      </c>
      <c r="M30" s="18" t="n">
        <v>0</v>
      </c>
      <c r="N30" s="20" t="n">
        <v>0</v>
      </c>
      <c r="O30" s="18" t="n">
        <v>0</v>
      </c>
      <c r="P30" s="20" t="n">
        <v>0</v>
      </c>
      <c r="Q30" s="18" t="n">
        <v>8.779728739999999</v>
      </c>
      <c r="R30" s="20" t="n">
        <v>0.98240066</v>
      </c>
    </row>
    <row r="31" spans="1:18">
      <c r="A31" s="15" t="s">
        <v>589</v>
      </c>
      <c r="B31" s="17" t="n">
        <v>5456</v>
      </c>
      <c r="C31" s="18">
        <f>(4849.0/B31*100)</f>
        <v/>
      </c>
      <c r="D31" s="19" t="n">
        <v>607</v>
      </c>
      <c r="E31" s="18" t="n">
        <v>10.65774756</v>
      </c>
      <c r="F31" s="20" t="n">
        <v>1.36689544</v>
      </c>
      <c r="G31" s="18" t="n">
        <v>80.66514888</v>
      </c>
      <c r="H31" s="20" t="n">
        <v>1.67376632</v>
      </c>
      <c r="I31" s="18" t="n">
        <v>0</v>
      </c>
      <c r="J31" s="20" t="n">
        <v>0</v>
      </c>
      <c r="K31" s="18" t="n">
        <v>0.92568734</v>
      </c>
      <c r="L31" s="20" t="n">
        <v>0.41019557</v>
      </c>
      <c r="M31" s="18" t="n">
        <v>0</v>
      </c>
      <c r="N31" s="20" t="n">
        <v>0</v>
      </c>
      <c r="O31" s="18" t="n">
        <v>0</v>
      </c>
      <c r="P31" s="20" t="n">
        <v>0</v>
      </c>
      <c r="Q31" s="18" t="n">
        <v>7.75141622</v>
      </c>
      <c r="R31" s="20" t="n">
        <v>1.15522675</v>
      </c>
    </row>
    <row r="32" spans="1:18">
      <c r="A32" s="15" t="s">
        <v>590</v>
      </c>
      <c r="B32" s="17" t="n">
        <v>4478</v>
      </c>
      <c r="C32" s="18">
        <f>(3997.0/B32*100)</f>
        <v/>
      </c>
      <c r="D32" s="19" t="n">
        <v>481</v>
      </c>
      <c r="E32" s="18" t="n">
        <v>8.37087369</v>
      </c>
      <c r="F32" s="20" t="n">
        <v>1.20598562</v>
      </c>
      <c r="G32" s="18" t="n">
        <v>85.64785575000001</v>
      </c>
      <c r="H32" s="20" t="n">
        <v>1.50623456</v>
      </c>
      <c r="I32" s="18" t="n">
        <v>0</v>
      </c>
      <c r="J32" s="20" t="n">
        <v>0</v>
      </c>
      <c r="K32" s="18" t="n">
        <v>0</v>
      </c>
      <c r="L32" s="20" t="n">
        <v>0</v>
      </c>
      <c r="M32" s="18" t="n">
        <v>0</v>
      </c>
      <c r="N32" s="20" t="n">
        <v>0</v>
      </c>
      <c r="O32" s="18" t="n">
        <v>0</v>
      </c>
      <c r="P32" s="20" t="n">
        <v>0</v>
      </c>
      <c r="Q32" s="18" t="n">
        <v>5.98127056</v>
      </c>
      <c r="R32" s="20" t="n">
        <v>1.14841984</v>
      </c>
    </row>
    <row r="33" spans="1:18">
      <c r="A33" s="15" t="s">
        <v>591</v>
      </c>
      <c r="B33" s="17" t="n">
        <v>7325</v>
      </c>
      <c r="C33" s="18">
        <f>(6512.0/B33*100)</f>
        <v/>
      </c>
      <c r="D33" s="19" t="n">
        <v>813</v>
      </c>
      <c r="E33" s="18" t="n">
        <v>18.28864181</v>
      </c>
      <c r="F33" s="20" t="n">
        <v>2.01054064</v>
      </c>
      <c r="G33" s="18" t="n">
        <v>71.65697161999999</v>
      </c>
      <c r="H33" s="20" t="n">
        <v>2.04110239</v>
      </c>
      <c r="I33" s="18" t="n">
        <v>0</v>
      </c>
      <c r="J33" s="20" t="n">
        <v>0</v>
      </c>
      <c r="K33" s="18" t="n">
        <v>0.27226289</v>
      </c>
      <c r="L33" s="20" t="n">
        <v>0.20386824</v>
      </c>
      <c r="M33" s="18" t="n">
        <v>0.27652576</v>
      </c>
      <c r="N33" s="20" t="n">
        <v>0.27581212</v>
      </c>
      <c r="O33" s="18" t="n">
        <v>0</v>
      </c>
      <c r="P33" s="20" t="n">
        <v>0</v>
      </c>
      <c r="Q33" s="18" t="n">
        <v>9.50559792</v>
      </c>
      <c r="R33" s="20" t="n">
        <v>1.31983454</v>
      </c>
    </row>
    <row r="34" spans="1:18">
      <c r="A34" s="15" t="s">
        <v>592</v>
      </c>
      <c r="B34" s="17" t="n">
        <v>6350</v>
      </c>
      <c r="C34" s="18">
        <f>(5669.0/B34*100)</f>
        <v/>
      </c>
      <c r="D34" s="19" t="n">
        <v>681</v>
      </c>
      <c r="E34" s="18" t="n">
        <v>17.68057441</v>
      </c>
      <c r="F34" s="20" t="n">
        <v>1.37995587</v>
      </c>
      <c r="G34" s="18" t="n">
        <v>72.06855817</v>
      </c>
      <c r="H34" s="20" t="n">
        <v>1.66725969</v>
      </c>
      <c r="I34" s="18" t="n">
        <v>0</v>
      </c>
      <c r="J34" s="20" t="n">
        <v>0</v>
      </c>
      <c r="K34" s="18" t="n">
        <v>0.13042012</v>
      </c>
      <c r="L34" s="20" t="n">
        <v>0.13554475</v>
      </c>
      <c r="M34" s="18" t="n">
        <v>0.28472867</v>
      </c>
      <c r="N34" s="20" t="n">
        <v>0.19916856</v>
      </c>
      <c r="O34" s="18" t="n">
        <v>0</v>
      </c>
      <c r="P34" s="20" t="n">
        <v>0</v>
      </c>
      <c r="Q34" s="18" t="n">
        <v>9.835718630000001</v>
      </c>
      <c r="R34" s="20" t="n">
        <v>1.02501129</v>
      </c>
    </row>
    <row r="35" spans="1:18">
      <c r="A35" s="15" t="s">
        <v>593</v>
      </c>
      <c r="B35" s="17" t="n">
        <v>6406</v>
      </c>
      <c r="C35" s="18">
        <f>(5721.0/B35*100)</f>
        <v/>
      </c>
      <c r="D35" s="19" t="n">
        <v>685</v>
      </c>
      <c r="E35" s="18" t="n">
        <v>10.09809653</v>
      </c>
      <c r="F35" s="20" t="n">
        <v>1.26361045</v>
      </c>
      <c r="G35" s="18" t="n">
        <v>85.77321212</v>
      </c>
      <c r="H35" s="20" t="n">
        <v>1.40572226</v>
      </c>
      <c r="I35" s="18" t="n">
        <v>0</v>
      </c>
      <c r="J35" s="20" t="n">
        <v>0</v>
      </c>
      <c r="K35" s="18" t="n">
        <v>0.08144589000000001</v>
      </c>
      <c r="L35" s="20" t="n">
        <v>0.08098076999999999</v>
      </c>
      <c r="M35" s="18" t="n">
        <v>0</v>
      </c>
      <c r="N35" s="20" t="n">
        <v>0</v>
      </c>
      <c r="O35" s="18" t="n">
        <v>0</v>
      </c>
      <c r="P35" s="20" t="n">
        <v>0</v>
      </c>
      <c r="Q35" s="18" t="n">
        <v>4.04724547</v>
      </c>
      <c r="R35" s="20" t="n">
        <v>0.68006283</v>
      </c>
    </row>
    <row r="36" spans="1:18">
      <c r="A36" s="15" t="s">
        <v>594</v>
      </c>
      <c r="B36" s="17" t="n">
        <v>6736</v>
      </c>
      <c r="C36" s="18">
        <f>(5936.0/B36*100)</f>
        <v/>
      </c>
      <c r="D36" s="19" t="n">
        <v>800</v>
      </c>
      <c r="E36" s="18" t="n">
        <v>23.53261031</v>
      </c>
      <c r="F36" s="20" t="n">
        <v>1.5083124</v>
      </c>
      <c r="G36" s="18" t="n">
        <v>69.16394268000001</v>
      </c>
      <c r="H36" s="20" t="n">
        <v>1.89139077</v>
      </c>
      <c r="I36" s="18" t="n">
        <v>0</v>
      </c>
      <c r="J36" s="20" t="n">
        <v>0</v>
      </c>
      <c r="K36" s="18" t="n">
        <v>0.76525172</v>
      </c>
      <c r="L36" s="20" t="n">
        <v>0.26032363</v>
      </c>
      <c r="M36" s="18" t="n">
        <v>0.11918503</v>
      </c>
      <c r="N36" s="20" t="n">
        <v>0.11803054</v>
      </c>
      <c r="O36" s="18" t="n">
        <v>0</v>
      </c>
      <c r="P36" s="20" t="n">
        <v>0</v>
      </c>
      <c r="Q36" s="18" t="n">
        <v>6.41901025</v>
      </c>
      <c r="R36" s="20" t="n">
        <v>0.93855108</v>
      </c>
    </row>
    <row r="37" spans="1:18">
      <c r="A37" s="15" t="s">
        <v>595</v>
      </c>
      <c r="B37" s="17" t="n">
        <v>5458</v>
      </c>
      <c r="C37" s="18">
        <f>(4861.0/B37*100)</f>
        <v/>
      </c>
      <c r="D37" s="19" t="n">
        <v>597</v>
      </c>
      <c r="E37" s="18" t="n">
        <v>10.14332702</v>
      </c>
      <c r="F37" s="20" t="n">
        <v>0.98600207</v>
      </c>
      <c r="G37" s="18" t="n">
        <v>80.76657476</v>
      </c>
      <c r="H37" s="20" t="n">
        <v>1.54109205</v>
      </c>
      <c r="I37" s="18" t="n">
        <v>0</v>
      </c>
      <c r="J37" s="20" t="n">
        <v>0</v>
      </c>
      <c r="K37" s="18" t="n">
        <v>0.89676856</v>
      </c>
      <c r="L37" s="20" t="n">
        <v>0.35561592</v>
      </c>
      <c r="M37" s="18" t="n">
        <v>0.27409238</v>
      </c>
      <c r="N37" s="20" t="n">
        <v>0.27777779</v>
      </c>
      <c r="O37" s="18" t="n">
        <v>0</v>
      </c>
      <c r="P37" s="20" t="n">
        <v>0</v>
      </c>
      <c r="Q37" s="18" t="n">
        <v>7.91923728</v>
      </c>
      <c r="R37" s="20" t="n">
        <v>1.10157123</v>
      </c>
    </row>
    <row r="38" spans="1:18">
      <c r="A38" s="15" t="s">
        <v>596</v>
      </c>
      <c r="B38" s="17" t="n">
        <v>5860</v>
      </c>
      <c r="C38" s="18">
        <f>(5210.0/B38*100)</f>
        <v/>
      </c>
      <c r="D38" s="19" t="n">
        <v>650</v>
      </c>
      <c r="E38" s="18" t="n">
        <v>9.523030139999999</v>
      </c>
      <c r="F38" s="20" t="n">
        <v>1.41220244</v>
      </c>
      <c r="G38" s="18" t="n">
        <v>76.35605891</v>
      </c>
      <c r="H38" s="20" t="n">
        <v>1.87061266</v>
      </c>
      <c r="I38" s="18" t="n">
        <v>0</v>
      </c>
      <c r="J38" s="20" t="n">
        <v>0</v>
      </c>
      <c r="K38" s="18" t="n">
        <v>0</v>
      </c>
      <c r="L38" s="20" t="n">
        <v>0</v>
      </c>
      <c r="M38" s="18" t="n">
        <v>2.96506796</v>
      </c>
      <c r="N38" s="20" t="n">
        <v>0.66603223</v>
      </c>
      <c r="O38" s="18" t="n">
        <v>0</v>
      </c>
      <c r="P38" s="20" t="n">
        <v>0</v>
      </c>
      <c r="Q38" s="18" t="n">
        <v>11.15584298</v>
      </c>
      <c r="R38" s="20" t="n">
        <v>1.79649503</v>
      </c>
    </row>
    <row r="39" spans="1:18">
      <c r="A39" s="15" t="s">
        <v>597</v>
      </c>
      <c r="B39" s="17" t="n">
        <v>5895</v>
      </c>
      <c r="C39" s="18">
        <f>(5280.0/B39*100)</f>
        <v/>
      </c>
      <c r="D39" s="19" t="n">
        <v>615</v>
      </c>
      <c r="E39" s="18" t="n">
        <v>25.82251025</v>
      </c>
      <c r="F39" s="20" t="n">
        <v>2.79172881</v>
      </c>
      <c r="G39" s="18" t="n">
        <v>66.07267894</v>
      </c>
      <c r="H39" s="20" t="n">
        <v>2.78774534</v>
      </c>
      <c r="I39" s="18" t="n">
        <v>0</v>
      </c>
      <c r="J39" s="20" t="n">
        <v>0</v>
      </c>
      <c r="K39" s="18" t="n">
        <v>0</v>
      </c>
      <c r="L39" s="20" t="n">
        <v>0</v>
      </c>
      <c r="M39" s="18" t="n">
        <v>0</v>
      </c>
      <c r="N39" s="20" t="n">
        <v>0</v>
      </c>
      <c r="O39" s="18" t="n">
        <v>0</v>
      </c>
      <c r="P39" s="20" t="n">
        <v>0</v>
      </c>
      <c r="Q39" s="18" t="n">
        <v>8.104810799999999</v>
      </c>
      <c r="R39" s="20" t="n">
        <v>1.36386859</v>
      </c>
    </row>
    <row r="40" spans="1:18">
      <c r="A40" s="15" t="s">
        <v>598</v>
      </c>
      <c r="B40" s="17" t="n">
        <v>14157</v>
      </c>
      <c r="C40" s="18">
        <f>(12559.0/B40*100)</f>
        <v/>
      </c>
      <c r="D40" s="19" t="n">
        <v>1598</v>
      </c>
      <c r="E40" s="18" t="n">
        <v>15.10724535</v>
      </c>
      <c r="F40" s="20" t="n">
        <v>1.3165481</v>
      </c>
      <c r="G40" s="18" t="n">
        <v>77.73664762999999</v>
      </c>
      <c r="H40" s="20" t="n">
        <v>1.51716201</v>
      </c>
      <c r="I40" s="18" t="n">
        <v>0</v>
      </c>
      <c r="J40" s="20" t="n">
        <v>0</v>
      </c>
      <c r="K40" s="18" t="n">
        <v>0.27213265</v>
      </c>
      <c r="L40" s="20" t="n">
        <v>0.17547729</v>
      </c>
      <c r="M40" s="18" t="n">
        <v>0.10148407</v>
      </c>
      <c r="N40" s="20" t="n">
        <v>0.09730780999999999</v>
      </c>
      <c r="O40" s="18" t="n">
        <v>0</v>
      </c>
      <c r="P40" s="20" t="n">
        <v>0</v>
      </c>
      <c r="Q40" s="18" t="n">
        <v>6.7824903</v>
      </c>
      <c r="R40" s="20" t="n">
        <v>1.28554181</v>
      </c>
    </row>
    <row r="41" spans="1:18">
      <c r="A41" s="15" t="s">
        <v>599</v>
      </c>
      <c r="B41" s="17" t="n">
        <v>5712</v>
      </c>
      <c r="C41" s="18">
        <f>(5058.0/B41*100)</f>
        <v/>
      </c>
      <c r="D41" s="19" t="n">
        <v>654</v>
      </c>
      <c r="E41" s="18" t="n">
        <v>24.98641428</v>
      </c>
      <c r="F41" s="20" t="n">
        <v>1.82397804</v>
      </c>
      <c r="G41" s="18" t="n">
        <v>71.72913325</v>
      </c>
      <c r="H41" s="20" t="n">
        <v>1.93440166</v>
      </c>
      <c r="I41" s="18" t="n">
        <v>0</v>
      </c>
      <c r="J41" s="20" t="n">
        <v>0</v>
      </c>
      <c r="K41" s="18" t="n">
        <v>0.35977369</v>
      </c>
      <c r="L41" s="20" t="n">
        <v>0.24355471</v>
      </c>
      <c r="M41" s="18" t="n">
        <v>0</v>
      </c>
      <c r="N41" s="20" t="n">
        <v>0</v>
      </c>
      <c r="O41" s="18" t="n">
        <v>0</v>
      </c>
      <c r="P41" s="20" t="n">
        <v>0</v>
      </c>
      <c r="Q41" s="18" t="n">
        <v>2.92467878</v>
      </c>
      <c r="R41" s="20" t="n">
        <v>0.70945073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(21029.0/B46*100)</f>
        <v/>
      </c>
      <c r="D46" s="19" t="n">
        <v>2112</v>
      </c>
      <c r="E46" s="18" t="n">
        <v>36.88311127</v>
      </c>
      <c r="F46" s="20" t="n">
        <v>1.31632942</v>
      </c>
      <c r="G46" s="18" t="n">
        <v>42.13733317</v>
      </c>
      <c r="H46" s="20" t="n">
        <v>1.57282683</v>
      </c>
      <c r="I46" s="18" t="n">
        <v>0</v>
      </c>
      <c r="J46" s="20" t="n">
        <v>0</v>
      </c>
      <c r="K46" s="18" t="n">
        <v>1.53082072</v>
      </c>
      <c r="L46" s="20" t="n">
        <v>0.32809721</v>
      </c>
      <c r="M46" s="18" t="n">
        <v>0.20043012</v>
      </c>
      <c r="N46" s="20" t="n">
        <v>0.11366359</v>
      </c>
      <c r="O46" s="18" t="n">
        <v>0</v>
      </c>
      <c r="P46" s="20" t="n">
        <v>0</v>
      </c>
      <c r="Q46" s="18" t="n">
        <v>19.24830472</v>
      </c>
      <c r="R46" s="20" t="n">
        <v>1.01590542</v>
      </c>
    </row>
    <row r="47" spans="1:18">
      <c r="A47" s="15" t="s">
        <v>606</v>
      </c>
      <c r="B47" s="17" t="n">
        <v>5928</v>
      </c>
      <c r="C47" s="18">
        <f>(5274.0/B47*100)</f>
        <v/>
      </c>
      <c r="D47" s="19" t="n">
        <v>654</v>
      </c>
      <c r="E47" s="18" t="n">
        <v>14.06630711</v>
      </c>
      <c r="F47" s="20" t="n">
        <v>1.21817301</v>
      </c>
      <c r="G47" s="18" t="n">
        <v>66.99183943</v>
      </c>
      <c r="H47" s="20" t="n">
        <v>2.21338203</v>
      </c>
      <c r="I47" s="18" t="n">
        <v>0</v>
      </c>
      <c r="J47" s="20" t="n">
        <v>0</v>
      </c>
      <c r="K47" s="18" t="n">
        <v>0.43839499</v>
      </c>
      <c r="L47" s="20" t="n">
        <v>0.2654153</v>
      </c>
      <c r="M47" s="18" t="n">
        <v>0.29716473</v>
      </c>
      <c r="N47" s="20" t="n">
        <v>0.20440668</v>
      </c>
      <c r="O47" s="18" t="n">
        <v>0</v>
      </c>
      <c r="P47" s="20" t="n">
        <v>0</v>
      </c>
      <c r="Q47" s="18" t="n">
        <v>18.20629374</v>
      </c>
      <c r="R47" s="20" t="n">
        <v>1.79565931</v>
      </c>
    </row>
    <row r="48" spans="1:18">
      <c r="A48" s="15" t="s">
        <v>607</v>
      </c>
      <c r="B48" s="17" t="n">
        <v>9841</v>
      </c>
      <c r="C48" s="18">
        <f>(8745.0/B48*100)</f>
        <v/>
      </c>
      <c r="D48" s="19" t="n">
        <v>1096</v>
      </c>
      <c r="E48" s="18" t="n">
        <v>11.15585821</v>
      </c>
      <c r="F48" s="20" t="n">
        <v>1.19874319</v>
      </c>
      <c r="G48" s="18" t="n">
        <v>81.79489226</v>
      </c>
      <c r="H48" s="20" t="n">
        <v>1.61020443</v>
      </c>
      <c r="I48" s="18" t="n">
        <v>0</v>
      </c>
      <c r="J48" s="20" t="n">
        <v>0</v>
      </c>
      <c r="K48" s="18" t="n">
        <v>0.57430279</v>
      </c>
      <c r="L48" s="20" t="n">
        <v>0.3186086</v>
      </c>
      <c r="M48" s="18" t="n">
        <v>0</v>
      </c>
      <c r="N48" s="20" t="n">
        <v>0</v>
      </c>
      <c r="O48" s="18" t="n">
        <v>0</v>
      </c>
      <c r="P48" s="20" t="n">
        <v>0</v>
      </c>
      <c r="Q48" s="18" t="n">
        <v>6.47494674</v>
      </c>
      <c r="R48" s="20" t="n">
        <v>0.87115864</v>
      </c>
    </row>
    <row r="49" spans="1:18">
      <c r="A49" s="15" t="s">
        <v>608</v>
      </c>
      <c r="B49" s="17" t="n">
        <v>11795</v>
      </c>
      <c r="C49" s="18">
        <f>(10531.0/B49*100)</f>
        <v/>
      </c>
      <c r="D49" s="19" t="n">
        <v>1264</v>
      </c>
      <c r="E49" s="18" t="n">
        <v>60.62803213</v>
      </c>
      <c r="F49" s="20" t="n">
        <v>1.68647463</v>
      </c>
      <c r="G49" s="18" t="n">
        <v>32.27566545</v>
      </c>
      <c r="H49" s="20" t="n">
        <v>1.5702785</v>
      </c>
      <c r="I49" s="18" t="n">
        <v>0</v>
      </c>
      <c r="J49" s="20" t="n">
        <v>0</v>
      </c>
      <c r="K49" s="18" t="n">
        <v>0.94123907</v>
      </c>
      <c r="L49" s="20" t="n">
        <v>0.36390638</v>
      </c>
      <c r="M49" s="18" t="n">
        <v>0.00435452</v>
      </c>
      <c r="N49" s="20" t="n">
        <v>0.00436949</v>
      </c>
      <c r="O49" s="18" t="n">
        <v>0</v>
      </c>
      <c r="P49" s="20" t="n">
        <v>0</v>
      </c>
      <c r="Q49" s="18" t="n">
        <v>6.15070882</v>
      </c>
      <c r="R49" s="20" t="n">
        <v>0.9705035</v>
      </c>
    </row>
    <row r="50" spans="1:18">
      <c r="A50" s="15" t="s">
        <v>609</v>
      </c>
      <c r="B50" s="17" t="n">
        <v>6866</v>
      </c>
      <c r="C50" s="18">
        <f>(6198.0/B50*100)</f>
        <v/>
      </c>
      <c r="D50" s="19" t="n">
        <v>668</v>
      </c>
      <c r="E50" s="18" t="n">
        <v>39.64144366</v>
      </c>
      <c r="F50" s="20" t="n">
        <v>2.19801162</v>
      </c>
      <c r="G50" s="18" t="n">
        <v>50.18951521</v>
      </c>
      <c r="H50" s="20" t="n">
        <v>2.13626408</v>
      </c>
      <c r="I50" s="18" t="n">
        <v>0</v>
      </c>
      <c r="J50" s="20" t="n">
        <v>0</v>
      </c>
      <c r="K50" s="18" t="n">
        <v>1.30013681</v>
      </c>
      <c r="L50" s="20" t="n">
        <v>0.42020362</v>
      </c>
      <c r="M50" s="18" t="n">
        <v>0.17830354</v>
      </c>
      <c r="N50" s="20" t="n">
        <v>0.16719931</v>
      </c>
      <c r="O50" s="18" t="n">
        <v>0</v>
      </c>
      <c r="P50" s="20" t="n">
        <v>0</v>
      </c>
      <c r="Q50" s="18" t="n">
        <v>8.69060079</v>
      </c>
      <c r="R50" s="20" t="n">
        <v>1.20212913</v>
      </c>
    </row>
    <row r="51" spans="1:18">
      <c r="A51" s="15" t="s">
        <v>610</v>
      </c>
      <c r="B51" s="17" t="n">
        <v>5809</v>
      </c>
      <c r="C51" s="18">
        <f>(5192.0/B51*100)</f>
        <v/>
      </c>
      <c r="D51" s="19" t="n">
        <v>617</v>
      </c>
      <c r="E51" s="18" t="n">
        <v>6.29956906</v>
      </c>
      <c r="F51" s="20" t="n">
        <v>0.9387731499999999</v>
      </c>
      <c r="G51" s="18" t="n">
        <v>82.92916816</v>
      </c>
      <c r="H51" s="20" t="n">
        <v>1.4164907</v>
      </c>
      <c r="I51" s="18" t="n">
        <v>0</v>
      </c>
      <c r="J51" s="20" t="n">
        <v>0</v>
      </c>
      <c r="K51" s="18" t="n">
        <v>0.12477692</v>
      </c>
      <c r="L51" s="20" t="n">
        <v>0.12478457</v>
      </c>
      <c r="M51" s="18" t="n">
        <v>0</v>
      </c>
      <c r="N51" s="20" t="n">
        <v>0</v>
      </c>
      <c r="O51" s="18" t="n">
        <v>0</v>
      </c>
      <c r="P51" s="20" t="n">
        <v>0</v>
      </c>
      <c r="Q51" s="18" t="n">
        <v>10.64648585</v>
      </c>
      <c r="R51" s="20" t="n">
        <v>1.39570234</v>
      </c>
    </row>
    <row r="52" spans="1:18">
      <c r="A52" s="15" t="s">
        <v>611</v>
      </c>
      <c r="B52" s="17" t="n">
        <v>5571</v>
      </c>
      <c r="C52" s="18">
        <f>(4949.0/B52*100)</f>
        <v/>
      </c>
      <c r="D52" s="19" t="n">
        <v>622</v>
      </c>
      <c r="E52" s="18" t="n">
        <v>25.55639021</v>
      </c>
      <c r="F52" s="20" t="n">
        <v>1.85920225</v>
      </c>
      <c r="G52" s="18" t="n">
        <v>55.9801208</v>
      </c>
      <c r="H52" s="20" t="n">
        <v>1.97238004</v>
      </c>
      <c r="I52" s="18" t="n">
        <v>0</v>
      </c>
      <c r="J52" s="20" t="n">
        <v>0</v>
      </c>
      <c r="K52" s="18" t="n">
        <v>0.95247444</v>
      </c>
      <c r="L52" s="20" t="n">
        <v>0.40358764</v>
      </c>
      <c r="M52" s="18" t="n">
        <v>0.11860141</v>
      </c>
      <c r="N52" s="20" t="n">
        <v>0.11867956</v>
      </c>
      <c r="O52" s="18" t="n">
        <v>0</v>
      </c>
      <c r="P52" s="20" t="n">
        <v>0</v>
      </c>
      <c r="Q52" s="18" t="n">
        <v>17.39241315</v>
      </c>
      <c r="R52" s="20" t="n">
        <v>1.43033808</v>
      </c>
    </row>
    <row r="53" spans="1:18">
      <c r="A53" s="15" t="s">
        <v>612</v>
      </c>
      <c r="B53" s="17" t="n">
        <v>4740</v>
      </c>
      <c r="C53" s="18">
        <f>(4218.0/B53*100)</f>
        <v/>
      </c>
      <c r="D53" s="19" t="n">
        <v>522</v>
      </c>
      <c r="E53" s="18" t="n">
        <v>53.83358415</v>
      </c>
      <c r="F53" s="20" t="n">
        <v>2.50761128</v>
      </c>
      <c r="G53" s="18" t="n">
        <v>14.5505007</v>
      </c>
      <c r="H53" s="20" t="n">
        <v>1.77369547</v>
      </c>
      <c r="I53" s="18" t="n">
        <v>0</v>
      </c>
      <c r="J53" s="20" t="n">
        <v>0</v>
      </c>
      <c r="K53" s="18" t="n">
        <v>14.3990029</v>
      </c>
      <c r="L53" s="20" t="n">
        <v>1.99527524</v>
      </c>
      <c r="M53" s="18" t="n">
        <v>0.58781803</v>
      </c>
      <c r="N53" s="20" t="n">
        <v>0.47800643</v>
      </c>
      <c r="O53" s="18" t="n">
        <v>0</v>
      </c>
      <c r="P53" s="20" t="n">
        <v>0</v>
      </c>
      <c r="Q53" s="18" t="n">
        <v>16.62909422</v>
      </c>
      <c r="R53" s="20" t="n">
        <v>1.65198318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(4794.0/B55*100)</f>
        <v/>
      </c>
      <c r="D55" s="19" t="n">
        <v>565</v>
      </c>
      <c r="E55" s="18" t="n">
        <v>8.615079830000001</v>
      </c>
      <c r="F55" s="20" t="n">
        <v>1.39348119</v>
      </c>
      <c r="G55" s="18" t="n">
        <v>89.30878484</v>
      </c>
      <c r="H55" s="20" t="n">
        <v>1.4691465</v>
      </c>
      <c r="I55" s="18" t="n">
        <v>0</v>
      </c>
      <c r="J55" s="20" t="n">
        <v>0</v>
      </c>
      <c r="K55" s="18" t="n">
        <v>0</v>
      </c>
      <c r="L55" s="20" t="n">
        <v>0</v>
      </c>
      <c r="M55" s="18" t="n">
        <v>0.18043563</v>
      </c>
      <c r="N55" s="20" t="n">
        <v>0.1635103</v>
      </c>
      <c r="O55" s="18" t="n">
        <v>0</v>
      </c>
      <c r="P55" s="20" t="n">
        <v>0</v>
      </c>
      <c r="Q55" s="18" t="n">
        <v>1.89569971</v>
      </c>
      <c r="R55" s="20" t="n">
        <v>0.52930953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(5834.0/B61*100)</f>
        <v/>
      </c>
      <c r="D61" s="19" t="n">
        <v>691</v>
      </c>
      <c r="E61" s="18" t="n">
        <v>12.94238868</v>
      </c>
      <c r="F61" s="20" t="n">
        <v>1.39005958</v>
      </c>
      <c r="G61" s="18" t="n">
        <v>78.25876907</v>
      </c>
      <c r="H61" s="20" t="n">
        <v>1.71109237</v>
      </c>
      <c r="I61" s="18" t="n">
        <v>0</v>
      </c>
      <c r="J61" s="20" t="n">
        <v>0</v>
      </c>
      <c r="K61" s="18" t="n">
        <v>0.46586729</v>
      </c>
      <c r="L61" s="20" t="n">
        <v>0.413062</v>
      </c>
      <c r="M61" s="18" t="n">
        <v>0</v>
      </c>
      <c r="N61" s="20" t="n">
        <v>0</v>
      </c>
      <c r="O61" s="18" t="n">
        <v>0</v>
      </c>
      <c r="P61" s="20" t="n">
        <v>0</v>
      </c>
      <c r="Q61" s="18" t="n">
        <v>8.33297497</v>
      </c>
      <c r="R61" s="20" t="n">
        <v>1.07827525</v>
      </c>
    </row>
    <row r="62" spans="1:18">
      <c r="A62" s="15" t="s">
        <v>622</v>
      </c>
      <c r="B62" s="17" t="n">
        <v>4476</v>
      </c>
      <c r="C62" s="18">
        <f>(3952.0/B62*100)</f>
        <v/>
      </c>
      <c r="D62" s="19" t="n">
        <v>524</v>
      </c>
      <c r="E62" s="18" t="n">
        <v>17.24621336</v>
      </c>
      <c r="F62" s="20" t="n">
        <v>1.56903988</v>
      </c>
      <c r="G62" s="18" t="n">
        <v>80.66435321</v>
      </c>
      <c r="H62" s="20" t="n">
        <v>1.71544627</v>
      </c>
      <c r="I62" s="18" t="n">
        <v>0</v>
      </c>
      <c r="J62" s="20" t="n">
        <v>0</v>
      </c>
      <c r="K62" s="18" t="n">
        <v>0</v>
      </c>
      <c r="L62" s="20" t="n">
        <v>0</v>
      </c>
      <c r="M62" s="18" t="n">
        <v>0</v>
      </c>
      <c r="N62" s="20" t="n">
        <v>0</v>
      </c>
      <c r="O62" s="18" t="n">
        <v>0</v>
      </c>
      <c r="P62" s="20" t="n">
        <v>0</v>
      </c>
      <c r="Q62" s="18" t="n">
        <v>2.08943343</v>
      </c>
      <c r="R62" s="20" t="n">
        <v>0.63642689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(5063.0/B67*100)</f>
        <v/>
      </c>
      <c r="D67" s="19" t="n">
        <v>602</v>
      </c>
      <c r="E67" s="18" t="n">
        <v>17.72396769</v>
      </c>
      <c r="F67" s="20" t="n">
        <v>1.815458</v>
      </c>
      <c r="G67" s="18" t="n">
        <v>48.98037801</v>
      </c>
      <c r="H67" s="20" t="n">
        <v>2.32590495</v>
      </c>
      <c r="I67" s="18" t="n">
        <v>0</v>
      </c>
      <c r="J67" s="20" t="n">
        <v>0</v>
      </c>
      <c r="K67" s="18" t="n">
        <v>2.18365962</v>
      </c>
      <c r="L67" s="20" t="n">
        <v>0.56638489</v>
      </c>
      <c r="M67" s="18" t="n">
        <v>0.52181815</v>
      </c>
      <c r="N67" s="20" t="n">
        <v>0.30301274</v>
      </c>
      <c r="O67" s="18" t="n">
        <v>0</v>
      </c>
      <c r="P67" s="20" t="n">
        <v>0</v>
      </c>
      <c r="Q67" s="18" t="n">
        <v>30.59017653</v>
      </c>
      <c r="R67" s="20" t="n">
        <v>1.8504093</v>
      </c>
    </row>
    <row r="68" spans="1:18">
      <c r="A68" s="15" t="s">
        <v>628</v>
      </c>
      <c r="B68" s="17" t="n">
        <v>6971</v>
      </c>
      <c r="C68" s="18">
        <f>(6270.0/B68*100)</f>
        <v/>
      </c>
      <c r="D68" s="19" t="n">
        <v>701</v>
      </c>
      <c r="E68" s="18" t="n">
        <v>53.03759119</v>
      </c>
      <c r="F68" s="20" t="n">
        <v>1.96569287</v>
      </c>
      <c r="G68" s="18" t="n">
        <v>37.4174973</v>
      </c>
      <c r="H68" s="20" t="n">
        <v>1.82176522</v>
      </c>
      <c r="I68" s="18" t="n">
        <v>0</v>
      </c>
      <c r="J68" s="20" t="n">
        <v>0</v>
      </c>
      <c r="K68" s="18" t="n">
        <v>0.4753893</v>
      </c>
      <c r="L68" s="20" t="n">
        <v>0.27780672</v>
      </c>
      <c r="M68" s="18" t="n">
        <v>0.28275879</v>
      </c>
      <c r="N68" s="20" t="n">
        <v>0.19951197</v>
      </c>
      <c r="O68" s="18" t="n">
        <v>0</v>
      </c>
      <c r="P68" s="20" t="n">
        <v>0</v>
      </c>
      <c r="Q68" s="18" t="n">
        <v>8.78676342</v>
      </c>
      <c r="R68" s="20" t="n">
        <v>1.25926148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(10735.0/B70*100)</f>
        <v/>
      </c>
      <c r="D70" s="19" t="n">
        <v>1348</v>
      </c>
      <c r="E70" s="18" t="n">
        <v>38.87161763</v>
      </c>
      <c r="F70" s="20" t="n">
        <v>1.3483103</v>
      </c>
      <c r="G70" s="18" t="n">
        <v>43.32997559</v>
      </c>
      <c r="H70" s="20" t="n">
        <v>1.18603232</v>
      </c>
      <c r="I70" s="18" t="n">
        <v>0</v>
      </c>
      <c r="J70" s="20" t="n">
        <v>0</v>
      </c>
      <c r="K70" s="18" t="n">
        <v>2.34222327</v>
      </c>
      <c r="L70" s="20" t="n">
        <v>0.47249496</v>
      </c>
      <c r="M70" s="18" t="n">
        <v>0</v>
      </c>
      <c r="N70" s="20" t="n">
        <v>0</v>
      </c>
      <c r="O70" s="18" t="n">
        <v>0</v>
      </c>
      <c r="P70" s="20" t="n">
        <v>0</v>
      </c>
      <c r="Q70" s="18" t="n">
        <v>15.45618352</v>
      </c>
      <c r="R70" s="20" t="n">
        <v>0.95198869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(5398.0/B72*100)</f>
        <v/>
      </c>
      <c r="D72" s="19" t="n">
        <v>638</v>
      </c>
      <c r="E72" s="18" t="n">
        <v>33.00113564</v>
      </c>
      <c r="F72" s="20" t="n">
        <v>3.0455494</v>
      </c>
      <c r="G72" s="18" t="n">
        <v>56.87045644</v>
      </c>
      <c r="H72" s="20" t="n">
        <v>3.71917815</v>
      </c>
      <c r="I72" s="18" t="n">
        <v>0</v>
      </c>
      <c r="J72" s="20" t="n">
        <v>0</v>
      </c>
      <c r="K72" s="18" t="n">
        <v>0.2593079</v>
      </c>
      <c r="L72" s="20" t="n">
        <v>0.18460187</v>
      </c>
      <c r="M72" s="18" t="n">
        <v>0.17697784</v>
      </c>
      <c r="N72" s="20" t="n">
        <v>0.17735447</v>
      </c>
      <c r="O72" s="18" t="n">
        <v>0</v>
      </c>
      <c r="P72" s="20" t="n">
        <v>0</v>
      </c>
      <c r="Q72" s="18" t="n">
        <v>9.69212218</v>
      </c>
      <c r="R72" s="20" t="n">
        <v>1.62148151</v>
      </c>
    </row>
    <row r="73" spans="1:18">
      <c r="A73" s="15" t="s">
        <v>633</v>
      </c>
      <c r="B73" s="17" t="n">
        <v>6115</v>
      </c>
      <c r="C73" s="18">
        <f>(5395.0/B73*100)</f>
        <v/>
      </c>
      <c r="D73" s="19" t="n">
        <v>720</v>
      </c>
      <c r="E73" s="18" t="n">
        <v>19.64575878</v>
      </c>
      <c r="F73" s="20" t="n">
        <v>1.39091019</v>
      </c>
      <c r="G73" s="18" t="n">
        <v>76.22586203</v>
      </c>
      <c r="H73" s="20" t="n">
        <v>1.52389013</v>
      </c>
      <c r="I73" s="18" t="n">
        <v>0</v>
      </c>
      <c r="J73" s="20" t="n">
        <v>0</v>
      </c>
      <c r="K73" s="18" t="n">
        <v>0.09323204</v>
      </c>
      <c r="L73" s="20" t="n">
        <v>0.09300326</v>
      </c>
      <c r="M73" s="18" t="n">
        <v>0.19340267</v>
      </c>
      <c r="N73" s="20" t="n">
        <v>0.19418784</v>
      </c>
      <c r="O73" s="18" t="n">
        <v>0</v>
      </c>
      <c r="P73" s="20" t="n">
        <v>0</v>
      </c>
      <c r="Q73" s="18" t="n">
        <v>3.84174447</v>
      </c>
      <c r="R73" s="20" t="n">
        <v>0.7713057</v>
      </c>
    </row>
    <row r="74" spans="1:18">
      <c r="A74" s="15" t="s">
        <v>634</v>
      </c>
      <c r="B74" s="17" t="n">
        <v>7708</v>
      </c>
      <c r="C74" s="18">
        <f>(6862.0/B74*100)</f>
        <v/>
      </c>
      <c r="D74" s="19" t="n">
        <v>846</v>
      </c>
      <c r="E74" s="18" t="n">
        <v>8.860912150000001</v>
      </c>
      <c r="F74" s="20" t="n">
        <v>1.12523892</v>
      </c>
      <c r="G74" s="18" t="n">
        <v>87.10704032</v>
      </c>
      <c r="H74" s="20" t="n">
        <v>1.20410266</v>
      </c>
      <c r="I74" s="18" t="n">
        <v>0</v>
      </c>
      <c r="J74" s="20" t="n">
        <v>0</v>
      </c>
      <c r="K74" s="18" t="n">
        <v>0.21558159</v>
      </c>
      <c r="L74" s="20" t="n">
        <v>0.21615913</v>
      </c>
      <c r="M74" s="18" t="n">
        <v>0</v>
      </c>
      <c r="N74" s="20" t="n">
        <v>0</v>
      </c>
      <c r="O74" s="18" t="n">
        <v>0</v>
      </c>
      <c r="P74" s="20" t="n">
        <v>0</v>
      </c>
      <c r="Q74" s="18" t="n">
        <v>3.81646594</v>
      </c>
      <c r="R74" s="20" t="n">
        <v>0.68368812</v>
      </c>
    </row>
    <row r="75" spans="1:18">
      <c r="A75" s="15" t="s">
        <v>635</v>
      </c>
      <c r="B75" s="17" t="n">
        <v>8249</v>
      </c>
      <c r="C75" s="18">
        <f>(7377.0/B75*100)</f>
        <v/>
      </c>
      <c r="D75" s="19" t="n">
        <v>872</v>
      </c>
      <c r="E75" s="18" t="n">
        <v>55.78363934</v>
      </c>
      <c r="F75" s="20" t="n">
        <v>2.22183958</v>
      </c>
      <c r="G75" s="18" t="n">
        <v>42.07619154</v>
      </c>
      <c r="H75" s="20" t="n">
        <v>2.27513632</v>
      </c>
      <c r="I75" s="18" t="n">
        <v>0</v>
      </c>
      <c r="J75" s="20" t="n">
        <v>0</v>
      </c>
      <c r="K75" s="18" t="n">
        <v>0.07175201</v>
      </c>
      <c r="L75" s="20" t="n">
        <v>0.07168705</v>
      </c>
      <c r="M75" s="18" t="n">
        <v>0.00557343</v>
      </c>
      <c r="N75" s="20" t="n">
        <v>0.00553593</v>
      </c>
      <c r="O75" s="18" t="n">
        <v>0</v>
      </c>
      <c r="P75" s="20" t="n">
        <v>0</v>
      </c>
      <c r="Q75" s="18" t="n">
        <v>2.06284367</v>
      </c>
      <c r="R75" s="20" t="n">
        <v>0.60965066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(4827.0/B77*100)</f>
        <v/>
      </c>
      <c r="D77" s="19" t="n">
        <v>548</v>
      </c>
      <c r="E77" s="18" t="n">
        <v>35.15412585</v>
      </c>
      <c r="F77" s="20" t="n">
        <v>2.27420938</v>
      </c>
      <c r="G77" s="18" t="n">
        <v>38.23718716</v>
      </c>
      <c r="H77" s="20" t="n">
        <v>2.20377614</v>
      </c>
      <c r="I77" s="18" t="n">
        <v>0</v>
      </c>
      <c r="J77" s="20" t="n">
        <v>0</v>
      </c>
      <c r="K77" s="18" t="n">
        <v>2.72254916</v>
      </c>
      <c r="L77" s="20" t="n">
        <v>0.55901081</v>
      </c>
      <c r="M77" s="18" t="n">
        <v>0.76329594</v>
      </c>
      <c r="N77" s="20" t="n">
        <v>0.3904637</v>
      </c>
      <c r="O77" s="18" t="n">
        <v>0</v>
      </c>
      <c r="P77" s="20" t="n">
        <v>0</v>
      </c>
      <c r="Q77" s="18" t="n">
        <v>23.12284189</v>
      </c>
      <c r="R77" s="20" t="n">
        <v>2.06965261</v>
      </c>
    </row>
    <row r="78" spans="1:18">
      <c r="A78" s="15" t="s">
        <v>638</v>
      </c>
      <c r="B78" s="17" t="n">
        <v>14167</v>
      </c>
      <c r="C78" s="18">
        <f>(12611.0/B78*100)</f>
        <v/>
      </c>
      <c r="D78" s="19" t="n">
        <v>1556</v>
      </c>
      <c r="E78" s="18" t="n">
        <v>45.52581737</v>
      </c>
      <c r="F78" s="20" t="n">
        <v>1.43519421</v>
      </c>
      <c r="G78" s="18" t="n">
        <v>45.29074845</v>
      </c>
      <c r="H78" s="20" t="n">
        <v>1.59735141</v>
      </c>
      <c r="I78" s="18" t="n">
        <v>0</v>
      </c>
      <c r="J78" s="20" t="n">
        <v>0</v>
      </c>
      <c r="K78" s="18" t="n">
        <v>0.49401351</v>
      </c>
      <c r="L78" s="20" t="n">
        <v>0.19087769</v>
      </c>
      <c r="M78" s="18" t="n">
        <v>0.25333569</v>
      </c>
      <c r="N78" s="20" t="n">
        <v>0.23957688</v>
      </c>
      <c r="O78" s="18" t="n">
        <v>0</v>
      </c>
      <c r="P78" s="20" t="n">
        <v>0</v>
      </c>
      <c r="Q78" s="18" t="n">
        <v>8.43608497</v>
      </c>
      <c r="R78" s="20" t="n">
        <v>0.9475617</v>
      </c>
    </row>
    <row r="79" spans="1:18">
      <c r="A79" s="15" t="s">
        <v>639</v>
      </c>
      <c r="B79" s="17" t="n">
        <v>6062</v>
      </c>
      <c r="C79" s="18">
        <f>(5434.0/B79*100)</f>
        <v/>
      </c>
      <c r="D79" s="19" t="n">
        <v>628</v>
      </c>
      <c r="E79" s="18" t="n">
        <v>25.9180307</v>
      </c>
      <c r="F79" s="20" t="n">
        <v>1.79658846</v>
      </c>
      <c r="G79" s="18" t="n">
        <v>52.19152706</v>
      </c>
      <c r="H79" s="20" t="n">
        <v>2.09561371</v>
      </c>
      <c r="I79" s="18" t="n">
        <v>0</v>
      </c>
      <c r="J79" s="20" t="n">
        <v>0</v>
      </c>
      <c r="K79" s="18" t="n">
        <v>2.01322005</v>
      </c>
      <c r="L79" s="20" t="n">
        <v>0.5442338799999999</v>
      </c>
      <c r="M79" s="18" t="n">
        <v>0</v>
      </c>
      <c r="N79" s="20" t="n">
        <v>0</v>
      </c>
      <c r="O79" s="18" t="n">
        <v>0</v>
      </c>
      <c r="P79" s="20" t="n">
        <v>0</v>
      </c>
      <c r="Q79" s="18" t="n">
        <v>19.87722219</v>
      </c>
      <c r="R79" s="20" t="n">
        <v>1.73843464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(28721.0/B82*100)</f>
        <v/>
      </c>
      <c r="D82" s="19" t="n">
        <v>3609</v>
      </c>
      <c r="E82" s="18" t="n">
        <v>21.69867783</v>
      </c>
      <c r="F82" s="20" t="n">
        <v>0.98921549</v>
      </c>
      <c r="G82" s="18" t="n">
        <v>70.66014081</v>
      </c>
      <c r="H82" s="20" t="n">
        <v>1.20593597</v>
      </c>
      <c r="I82" s="18" t="n">
        <v>0</v>
      </c>
      <c r="J82" s="20" t="n">
        <v>0</v>
      </c>
      <c r="K82" s="18" t="n">
        <v>0.384112</v>
      </c>
      <c r="L82" s="20" t="n">
        <v>0.16068517</v>
      </c>
      <c r="M82" s="18" t="n">
        <v>0.09071928</v>
      </c>
      <c r="N82" s="20" t="n">
        <v>0.09050025</v>
      </c>
      <c r="O82" s="18" t="n">
        <v>0</v>
      </c>
      <c r="P82" s="20" t="n">
        <v>0</v>
      </c>
      <c r="Q82" s="18" t="n">
        <v>7.16635008</v>
      </c>
      <c r="R82" s="20" t="n">
        <v>0.68857624</v>
      </c>
    </row>
    <row r="83" spans="1:18">
      <c r="A83" s="15" t="s">
        <v>643</v>
      </c>
      <c r="B83" s="17" t="n">
        <v>1652</v>
      </c>
      <c r="C83" s="18">
        <f>(1474.0/B83*100)</f>
        <v/>
      </c>
      <c r="D83" s="19" t="n">
        <v>178</v>
      </c>
      <c r="E83" s="18" t="n">
        <v>16.60209072</v>
      </c>
      <c r="F83" s="20" t="n">
        <v>3.63358413</v>
      </c>
      <c r="G83" s="18" t="n">
        <v>80.24479465</v>
      </c>
      <c r="H83" s="20" t="n">
        <v>3.882222</v>
      </c>
      <c r="I83" s="18" t="n">
        <v>0</v>
      </c>
      <c r="J83" s="20" t="n">
        <v>0</v>
      </c>
      <c r="K83" s="18" t="n">
        <v>0</v>
      </c>
      <c r="L83" s="20" t="n">
        <v>0</v>
      </c>
      <c r="M83" s="18" t="n">
        <v>0</v>
      </c>
      <c r="N83" s="20" t="n">
        <v>0</v>
      </c>
      <c r="O83" s="18" t="n">
        <v>0</v>
      </c>
      <c r="P83" s="20" t="n">
        <v>0</v>
      </c>
      <c r="Q83" s="18" t="n">
        <v>3.15311463</v>
      </c>
      <c r="R83" s="20" t="n">
        <v>1.34027363</v>
      </c>
    </row>
    <row r="84" spans="1:18">
      <c r="A84" s="23" t="s">
        <v>644</v>
      </c>
      <c r="B84" s="24" t="n">
        <v>1887</v>
      </c>
      <c r="C84" s="25">
        <f>(1692.0/B84*100)</f>
        <v/>
      </c>
      <c r="D84" s="19" t="n">
        <v>195</v>
      </c>
      <c r="E84" s="18" t="n">
        <v>21.99215527</v>
      </c>
      <c r="F84" s="20" t="n">
        <v>3.12083052</v>
      </c>
      <c r="G84" s="18" t="n">
        <v>76.30525332000001</v>
      </c>
      <c r="H84" s="20" t="n">
        <v>3.21166878</v>
      </c>
      <c r="I84" s="18" t="n">
        <v>0</v>
      </c>
      <c r="J84" s="20" t="n">
        <v>0</v>
      </c>
      <c r="K84" s="18" t="n">
        <v>0</v>
      </c>
      <c r="L84" s="20" t="n">
        <v>0</v>
      </c>
      <c r="M84" s="18" t="n">
        <v>0</v>
      </c>
      <c r="N84" s="20" t="n">
        <v>0</v>
      </c>
      <c r="O84" s="18" t="n">
        <v>0</v>
      </c>
      <c r="P84" s="20" t="n">
        <v>0</v>
      </c>
      <c r="Q84" s="18" t="n">
        <v>1.70259141</v>
      </c>
      <c r="R84" s="20" t="n">
        <v>1.04494413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(12974.0/B7*100)</f>
        <v/>
      </c>
      <c r="D7" s="19" t="n">
        <v>1556</v>
      </c>
      <c r="E7" s="18" t="n">
        <v>56.28017878</v>
      </c>
      <c r="F7" s="20" t="n">
        <v>1.82098851</v>
      </c>
      <c r="G7" s="18" t="n">
        <v>35.94122213</v>
      </c>
      <c r="H7" s="20" t="n">
        <v>1.8034792</v>
      </c>
      <c r="I7" s="18" t="n">
        <v>0</v>
      </c>
      <c r="J7" s="20" t="n">
        <v>0</v>
      </c>
      <c r="K7" s="18" t="n">
        <v>0.41760456</v>
      </c>
      <c r="L7" s="20" t="n">
        <v>0.16606881</v>
      </c>
      <c r="M7" s="18" t="n">
        <v>0.008074690000000001</v>
      </c>
      <c r="N7" s="20" t="n">
        <v>0.00811797</v>
      </c>
      <c r="O7" s="18" t="n">
        <v>0</v>
      </c>
      <c r="P7" s="20" t="n">
        <v>0</v>
      </c>
      <c r="Q7" s="18" t="n">
        <v>7.35291984</v>
      </c>
      <c r="R7" s="20" t="n">
        <v>0.72855339</v>
      </c>
    </row>
    <row r="8" spans="1:18">
      <c r="A8" s="15" t="s">
        <v>566</v>
      </c>
      <c r="B8" s="17" t="n">
        <v>7007</v>
      </c>
      <c r="C8" s="18">
        <f>(6261.0/B8*100)</f>
        <v/>
      </c>
      <c r="D8" s="19" t="n">
        <v>746</v>
      </c>
      <c r="E8" s="18" t="n">
        <v>50.96695179</v>
      </c>
      <c r="F8" s="20" t="n">
        <v>1.78181851</v>
      </c>
      <c r="G8" s="18" t="n">
        <v>41.807389</v>
      </c>
      <c r="H8" s="20" t="n">
        <v>2.03561488</v>
      </c>
      <c r="I8" s="18" t="n">
        <v>0</v>
      </c>
      <c r="J8" s="20" t="n">
        <v>0</v>
      </c>
      <c r="K8" s="18" t="n">
        <v>0.05049722</v>
      </c>
      <c r="L8" s="20" t="n">
        <v>0.05052642</v>
      </c>
      <c r="M8" s="18" t="n">
        <v>0</v>
      </c>
      <c r="N8" s="20" t="n">
        <v>0</v>
      </c>
      <c r="O8" s="18" t="n">
        <v>0</v>
      </c>
      <c r="P8" s="20" t="n">
        <v>0</v>
      </c>
      <c r="Q8" s="18" t="n">
        <v>7.17516198</v>
      </c>
      <c r="R8" s="20" t="n">
        <v>1.00392395</v>
      </c>
    </row>
    <row r="9" spans="1:18">
      <c r="A9" s="15" t="s">
        <v>567</v>
      </c>
      <c r="B9" s="17" t="n">
        <v>9651</v>
      </c>
      <c r="C9" s="18">
        <f>(8657.0/B9*100)</f>
        <v/>
      </c>
      <c r="D9" s="19" t="n">
        <v>994</v>
      </c>
      <c r="E9" s="18" t="n">
        <v>56.27297708</v>
      </c>
      <c r="F9" s="20" t="n">
        <v>1.55419863</v>
      </c>
      <c r="G9" s="18" t="n">
        <v>38.27886105</v>
      </c>
      <c r="H9" s="20" t="n">
        <v>1.57220549</v>
      </c>
      <c r="I9" s="18" t="n">
        <v>0</v>
      </c>
      <c r="J9" s="20" t="n">
        <v>0</v>
      </c>
      <c r="K9" s="18" t="n">
        <v>0.1527154</v>
      </c>
      <c r="L9" s="20" t="n">
        <v>0.14285906</v>
      </c>
      <c r="M9" s="18" t="n">
        <v>0.08122140999999999</v>
      </c>
      <c r="N9" s="20" t="n">
        <v>0.07865094</v>
      </c>
      <c r="O9" s="18" t="n">
        <v>0</v>
      </c>
      <c r="P9" s="20" t="n">
        <v>0</v>
      </c>
      <c r="Q9" s="18" t="n">
        <v>5.21422506</v>
      </c>
      <c r="R9" s="20" t="n">
        <v>0.8961949</v>
      </c>
    </row>
    <row r="10" spans="1:18">
      <c r="A10" s="15" t="s">
        <v>568</v>
      </c>
      <c r="B10" s="17" t="n">
        <v>20058</v>
      </c>
      <c r="C10" s="18">
        <f>(17815.0/B10*100)</f>
        <v/>
      </c>
      <c r="D10" s="19" t="n">
        <v>2243</v>
      </c>
      <c r="E10" s="18" t="n">
        <v>57.81542617</v>
      </c>
      <c r="F10" s="20" t="n">
        <v>1.59607717</v>
      </c>
      <c r="G10" s="18" t="n">
        <v>38.72168883</v>
      </c>
      <c r="H10" s="20" t="n">
        <v>1.54886868</v>
      </c>
      <c r="I10" s="18" t="n">
        <v>0</v>
      </c>
      <c r="J10" s="20" t="n">
        <v>0</v>
      </c>
      <c r="K10" s="18" t="n">
        <v>0.35399536</v>
      </c>
      <c r="L10" s="20" t="n">
        <v>0.16792219</v>
      </c>
      <c r="M10" s="18" t="n">
        <v>0</v>
      </c>
      <c r="N10" s="20" t="n">
        <v>0</v>
      </c>
      <c r="O10" s="18" t="n">
        <v>0</v>
      </c>
      <c r="P10" s="20" t="n">
        <v>0</v>
      </c>
      <c r="Q10" s="18" t="n">
        <v>3.10888964</v>
      </c>
      <c r="R10" s="20" t="n">
        <v>0.49750523</v>
      </c>
    </row>
    <row r="11" spans="1:18">
      <c r="A11" s="15" t="s">
        <v>569</v>
      </c>
      <c r="B11" s="17" t="n">
        <v>7053</v>
      </c>
      <c r="C11" s="18">
        <f>(6275.0/B11*100)</f>
        <v/>
      </c>
      <c r="D11" s="19" t="n">
        <v>778</v>
      </c>
      <c r="E11" s="18" t="n">
        <v>63.09593335</v>
      </c>
      <c r="F11" s="20" t="n">
        <v>1.65640451</v>
      </c>
      <c r="G11" s="18" t="n">
        <v>23.82939551</v>
      </c>
      <c r="H11" s="20" t="n">
        <v>1.46798298</v>
      </c>
      <c r="I11" s="18" t="n">
        <v>0</v>
      </c>
      <c r="J11" s="20" t="n">
        <v>0</v>
      </c>
      <c r="K11" s="18" t="n">
        <v>1.77908242</v>
      </c>
      <c r="L11" s="20" t="n">
        <v>0.57298892</v>
      </c>
      <c r="M11" s="18" t="n">
        <v>0.0184705</v>
      </c>
      <c r="N11" s="20" t="n">
        <v>0.01871952</v>
      </c>
      <c r="O11" s="18" t="n">
        <v>0</v>
      </c>
      <c r="P11" s="20" t="n">
        <v>0</v>
      </c>
      <c r="Q11" s="18" t="n">
        <v>11.27711821</v>
      </c>
      <c r="R11" s="20" t="n">
        <v>1.18714159</v>
      </c>
    </row>
    <row r="12" spans="1:18">
      <c r="A12" s="15" t="s">
        <v>570</v>
      </c>
      <c r="B12" s="17" t="n">
        <v>6894</v>
      </c>
      <c r="C12" s="18">
        <f>(6123.0/B12*100)</f>
        <v/>
      </c>
      <c r="D12" s="19" t="n">
        <v>771</v>
      </c>
      <c r="E12" s="18" t="n">
        <v>53.58288247</v>
      </c>
      <c r="F12" s="20" t="n">
        <v>2.12565778</v>
      </c>
      <c r="G12" s="18" t="n">
        <v>36.988233</v>
      </c>
      <c r="H12" s="20" t="n">
        <v>1.92898663</v>
      </c>
      <c r="I12" s="18" t="n">
        <v>0</v>
      </c>
      <c r="J12" s="20" t="n">
        <v>0</v>
      </c>
      <c r="K12" s="18" t="n">
        <v>0.13680138</v>
      </c>
      <c r="L12" s="20" t="n">
        <v>0.1416365</v>
      </c>
      <c r="M12" s="18" t="n">
        <v>0.12626732</v>
      </c>
      <c r="N12" s="20" t="n">
        <v>0.12612329</v>
      </c>
      <c r="O12" s="18" t="n">
        <v>0</v>
      </c>
      <c r="P12" s="20" t="n">
        <v>0</v>
      </c>
      <c r="Q12" s="18" t="n">
        <v>9.16581583</v>
      </c>
      <c r="R12" s="20" t="n">
        <v>1.22023868</v>
      </c>
    </row>
    <row r="13" spans="1:18">
      <c r="A13" s="15" t="s">
        <v>571</v>
      </c>
      <c r="B13" s="17" t="n">
        <v>7161</v>
      </c>
      <c r="C13" s="18">
        <f>(6463.0/B13*100)</f>
        <v/>
      </c>
      <c r="D13" s="19" t="n">
        <v>698</v>
      </c>
      <c r="E13" s="18" t="n">
        <v>47.8431847</v>
      </c>
      <c r="F13" s="20" t="n">
        <v>2.13233081</v>
      </c>
      <c r="G13" s="18" t="n">
        <v>40.15838348</v>
      </c>
      <c r="H13" s="20" t="n">
        <v>2.05735761</v>
      </c>
      <c r="I13" s="18" t="n">
        <v>0</v>
      </c>
      <c r="J13" s="20" t="n">
        <v>0</v>
      </c>
      <c r="K13" s="18" t="n">
        <v>0.7669472000000001</v>
      </c>
      <c r="L13" s="20" t="n">
        <v>0.36349958</v>
      </c>
      <c r="M13" s="18" t="n">
        <v>0.03479473</v>
      </c>
      <c r="N13" s="20" t="n">
        <v>0.03495742</v>
      </c>
      <c r="O13" s="18" t="n">
        <v>0</v>
      </c>
      <c r="P13" s="20" t="n">
        <v>0</v>
      </c>
      <c r="Q13" s="18" t="n">
        <v>11.19668989</v>
      </c>
      <c r="R13" s="20" t="n">
        <v>1.72988692</v>
      </c>
    </row>
    <row r="14" spans="1:18">
      <c r="A14" s="15" t="s">
        <v>572</v>
      </c>
      <c r="B14" s="17" t="n">
        <v>5587</v>
      </c>
      <c r="C14" s="18">
        <f>(4943.0/B14*100)</f>
        <v/>
      </c>
      <c r="D14" s="19" t="n">
        <v>644</v>
      </c>
      <c r="E14" s="18" t="n">
        <v>54.76567736</v>
      </c>
      <c r="F14" s="20" t="n">
        <v>2.28378418</v>
      </c>
      <c r="G14" s="18" t="n">
        <v>42.00594493</v>
      </c>
      <c r="H14" s="20" t="n">
        <v>2.14232337</v>
      </c>
      <c r="I14" s="18" t="n">
        <v>0</v>
      </c>
      <c r="J14" s="20" t="n">
        <v>0</v>
      </c>
      <c r="K14" s="18" t="n">
        <v>0.15481989</v>
      </c>
      <c r="L14" s="20" t="n">
        <v>0.15719005</v>
      </c>
      <c r="M14" s="18" t="n">
        <v>0</v>
      </c>
      <c r="N14" s="20" t="n">
        <v>0</v>
      </c>
      <c r="O14" s="18" t="n">
        <v>0</v>
      </c>
      <c r="P14" s="20" t="n">
        <v>0</v>
      </c>
      <c r="Q14" s="18" t="n">
        <v>3.07355783</v>
      </c>
      <c r="R14" s="20" t="n">
        <v>0.60600015</v>
      </c>
    </row>
    <row r="15" spans="1:18">
      <c r="A15" s="15" t="s">
        <v>573</v>
      </c>
      <c r="B15" s="17" t="n">
        <v>5882</v>
      </c>
      <c r="C15" s="18">
        <f>(5243.0/B15*100)</f>
        <v/>
      </c>
      <c r="D15" s="19" t="n">
        <v>639</v>
      </c>
      <c r="E15" s="18" t="n">
        <v>48.86725401</v>
      </c>
      <c r="F15" s="20" t="n">
        <v>2.08330373</v>
      </c>
      <c r="G15" s="18" t="n">
        <v>48.35956015</v>
      </c>
      <c r="H15" s="20" t="n">
        <v>2.04858709</v>
      </c>
      <c r="I15" s="18" t="n">
        <v>0</v>
      </c>
      <c r="J15" s="20" t="n">
        <v>0</v>
      </c>
      <c r="K15" s="18" t="n">
        <v>0.06640587000000001</v>
      </c>
      <c r="L15" s="20" t="n">
        <v>0.06641054</v>
      </c>
      <c r="M15" s="18" t="n">
        <v>0</v>
      </c>
      <c r="N15" s="20" t="n">
        <v>0</v>
      </c>
      <c r="O15" s="18" t="n">
        <v>0</v>
      </c>
      <c r="P15" s="20" t="n">
        <v>0</v>
      </c>
      <c r="Q15" s="18" t="n">
        <v>2.70677997</v>
      </c>
      <c r="R15" s="20" t="n">
        <v>0.6202764</v>
      </c>
    </row>
    <row r="16" spans="1:18">
      <c r="A16" s="15" t="s">
        <v>574</v>
      </c>
      <c r="B16" s="17" t="n">
        <v>6108</v>
      </c>
      <c r="C16" s="18">
        <f>(5407.0/B16*100)</f>
        <v/>
      </c>
      <c r="D16" s="19" t="n">
        <v>701</v>
      </c>
      <c r="E16" s="18" t="n">
        <v>54.65145562</v>
      </c>
      <c r="F16" s="20" t="n">
        <v>1.73330238</v>
      </c>
      <c r="G16" s="18" t="n">
        <v>35.46603303</v>
      </c>
      <c r="H16" s="20" t="n">
        <v>1.74804743</v>
      </c>
      <c r="I16" s="18" t="n">
        <v>0</v>
      </c>
      <c r="J16" s="20" t="n">
        <v>0</v>
      </c>
      <c r="K16" s="18" t="n">
        <v>0.97589883</v>
      </c>
      <c r="L16" s="20" t="n">
        <v>0.44105323</v>
      </c>
      <c r="M16" s="18" t="n">
        <v>0</v>
      </c>
      <c r="N16" s="20" t="n">
        <v>0</v>
      </c>
      <c r="O16" s="18" t="n">
        <v>0</v>
      </c>
      <c r="P16" s="20" t="n">
        <v>0</v>
      </c>
      <c r="Q16" s="18" t="n">
        <v>8.906612519999999</v>
      </c>
      <c r="R16" s="20" t="n">
        <v>1.1425215</v>
      </c>
    </row>
    <row r="17" spans="1:18">
      <c r="A17" s="15" t="s">
        <v>575</v>
      </c>
      <c r="B17" s="17" t="n">
        <v>6504</v>
      </c>
      <c r="C17" s="18">
        <f>(5833.0/B17*100)</f>
        <v/>
      </c>
      <c r="D17" s="19" t="n">
        <v>671</v>
      </c>
      <c r="E17" s="18" t="n">
        <v>52.44804831</v>
      </c>
      <c r="F17" s="20" t="n">
        <v>2.20484564</v>
      </c>
      <c r="G17" s="18" t="n">
        <v>36.71693093</v>
      </c>
      <c r="H17" s="20" t="n">
        <v>2.04684173</v>
      </c>
      <c r="I17" s="18" t="n">
        <v>0</v>
      </c>
      <c r="J17" s="20" t="n">
        <v>0</v>
      </c>
      <c r="K17" s="18" t="n">
        <v>0.9280948999999999</v>
      </c>
      <c r="L17" s="20" t="n">
        <v>0.36086871</v>
      </c>
      <c r="M17" s="18" t="n">
        <v>0</v>
      </c>
      <c r="N17" s="20" t="n">
        <v>0</v>
      </c>
      <c r="O17" s="18" t="n">
        <v>0</v>
      </c>
      <c r="P17" s="20" t="n">
        <v>0</v>
      </c>
      <c r="Q17" s="18" t="n">
        <v>9.906925859999999</v>
      </c>
      <c r="R17" s="20" t="n">
        <v>1.28241221</v>
      </c>
    </row>
    <row r="18" spans="1:18">
      <c r="A18" s="15" t="s">
        <v>576</v>
      </c>
      <c r="B18" s="17" t="n">
        <v>5532</v>
      </c>
      <c r="C18" s="18">
        <f>(4913.0/B18*100)</f>
        <v/>
      </c>
      <c r="D18" s="19" t="n">
        <v>619</v>
      </c>
      <c r="E18" s="18" t="n">
        <v>57.51340426</v>
      </c>
      <c r="F18" s="20" t="n">
        <v>1.95299021</v>
      </c>
      <c r="G18" s="18" t="n">
        <v>32.61589077</v>
      </c>
      <c r="H18" s="20" t="n">
        <v>2.01765635</v>
      </c>
      <c r="I18" s="18" t="n">
        <v>0</v>
      </c>
      <c r="J18" s="20" t="n">
        <v>0</v>
      </c>
      <c r="K18" s="18" t="n">
        <v>1.21300188</v>
      </c>
      <c r="L18" s="20" t="n">
        <v>0.5946457000000001</v>
      </c>
      <c r="M18" s="18" t="n">
        <v>0</v>
      </c>
      <c r="N18" s="20" t="n">
        <v>0</v>
      </c>
      <c r="O18" s="18" t="n">
        <v>0</v>
      </c>
      <c r="P18" s="20" t="n">
        <v>0</v>
      </c>
      <c r="Q18" s="18" t="n">
        <v>8.657703079999999</v>
      </c>
      <c r="R18" s="20" t="n">
        <v>1.70899395</v>
      </c>
    </row>
    <row r="19" spans="1:18">
      <c r="A19" s="15" t="s">
        <v>577</v>
      </c>
      <c r="B19" s="17" t="n">
        <v>5658</v>
      </c>
      <c r="C19" s="18">
        <f>(5080.0/B19*100)</f>
        <v/>
      </c>
      <c r="D19" s="19" t="n">
        <v>578</v>
      </c>
      <c r="E19" s="18" t="n">
        <v>59.44314712</v>
      </c>
      <c r="F19" s="20" t="n">
        <v>2.32987721</v>
      </c>
      <c r="G19" s="18" t="n">
        <v>29.12285261</v>
      </c>
      <c r="H19" s="20" t="n">
        <v>1.8808291</v>
      </c>
      <c r="I19" s="18" t="n">
        <v>0</v>
      </c>
      <c r="J19" s="20" t="n">
        <v>0</v>
      </c>
      <c r="K19" s="18" t="n">
        <v>0.15334462</v>
      </c>
      <c r="L19" s="20" t="n">
        <v>0.1534494</v>
      </c>
      <c r="M19" s="18" t="n">
        <v>0</v>
      </c>
      <c r="N19" s="20" t="n">
        <v>0</v>
      </c>
      <c r="O19" s="18" t="n">
        <v>0</v>
      </c>
      <c r="P19" s="20" t="n">
        <v>0</v>
      </c>
      <c r="Q19" s="18" t="n">
        <v>11.28065565</v>
      </c>
      <c r="R19" s="20" t="n">
        <v>1.73831492</v>
      </c>
    </row>
    <row r="20" spans="1:18">
      <c r="A20" s="15" t="s">
        <v>578</v>
      </c>
      <c r="B20" s="17" t="n">
        <v>3371</v>
      </c>
      <c r="C20" s="18">
        <f>(3006.0/B20*100)</f>
        <v/>
      </c>
      <c r="D20" s="19" t="n">
        <v>365</v>
      </c>
      <c r="E20" s="18" t="n">
        <v>53.34813956</v>
      </c>
      <c r="F20" s="20" t="n">
        <v>2.65398709</v>
      </c>
      <c r="G20" s="18" t="n">
        <v>35.14228565</v>
      </c>
      <c r="H20" s="20" t="n">
        <v>2.65955836</v>
      </c>
      <c r="I20" s="18" t="n">
        <v>0</v>
      </c>
      <c r="J20" s="20" t="n">
        <v>0</v>
      </c>
      <c r="K20" s="18" t="n">
        <v>1.68218236</v>
      </c>
      <c r="L20" s="20" t="n">
        <v>0.79021709</v>
      </c>
      <c r="M20" s="18" t="n">
        <v>1.58725894</v>
      </c>
      <c r="N20" s="20" t="n">
        <v>0.44557573</v>
      </c>
      <c r="O20" s="18" t="n">
        <v>0</v>
      </c>
      <c r="P20" s="20" t="n">
        <v>0</v>
      </c>
      <c r="Q20" s="18" t="n">
        <v>8.240133500000001</v>
      </c>
      <c r="R20" s="20" t="n">
        <v>1.52452356</v>
      </c>
    </row>
    <row r="21" spans="1:18">
      <c r="A21" s="15" t="s">
        <v>579</v>
      </c>
      <c r="B21" s="17" t="n">
        <v>5741</v>
      </c>
      <c r="C21" s="18">
        <f>(5127.0/B21*100)</f>
        <v/>
      </c>
      <c r="D21" s="19" t="n">
        <v>614</v>
      </c>
      <c r="E21" s="18" t="n">
        <v>56.74631444</v>
      </c>
      <c r="F21" s="20" t="n">
        <v>2.23010938</v>
      </c>
      <c r="G21" s="18" t="n">
        <v>40.8418691</v>
      </c>
      <c r="H21" s="20" t="n">
        <v>2.28103258</v>
      </c>
      <c r="I21" s="18" t="n">
        <v>0</v>
      </c>
      <c r="J21" s="20" t="n">
        <v>0</v>
      </c>
      <c r="K21" s="18" t="n">
        <v>0.14014812</v>
      </c>
      <c r="L21" s="20" t="n">
        <v>0.10172398</v>
      </c>
      <c r="M21" s="18" t="n">
        <v>0</v>
      </c>
      <c r="N21" s="20" t="n">
        <v>0</v>
      </c>
      <c r="O21" s="18" t="n">
        <v>0</v>
      </c>
      <c r="P21" s="20" t="n">
        <v>0</v>
      </c>
      <c r="Q21" s="18" t="n">
        <v>2.27166834</v>
      </c>
      <c r="R21" s="20" t="n">
        <v>0.59176733</v>
      </c>
    </row>
    <row r="22" spans="1:18">
      <c r="A22" s="15" t="s">
        <v>580</v>
      </c>
      <c r="B22" s="17" t="n">
        <v>6598</v>
      </c>
      <c r="C22" s="18">
        <f>(5921.0/B22*100)</f>
        <v/>
      </c>
      <c r="D22" s="19" t="n">
        <v>677</v>
      </c>
      <c r="E22" s="18" t="n">
        <v>55.98410146</v>
      </c>
      <c r="F22" s="20" t="n">
        <v>2.10565991</v>
      </c>
      <c r="G22" s="18" t="n">
        <v>31.51823009</v>
      </c>
      <c r="H22" s="20" t="n">
        <v>2.10224395</v>
      </c>
      <c r="I22" s="18" t="n">
        <v>0</v>
      </c>
      <c r="J22" s="20" t="n">
        <v>0</v>
      </c>
      <c r="K22" s="18" t="n">
        <v>0.9397068200000001</v>
      </c>
      <c r="L22" s="20" t="n">
        <v>0.42992083</v>
      </c>
      <c r="M22" s="18" t="n">
        <v>0</v>
      </c>
      <c r="N22" s="20" t="n">
        <v>0</v>
      </c>
      <c r="O22" s="18" t="n">
        <v>0</v>
      </c>
      <c r="P22" s="20" t="n">
        <v>0</v>
      </c>
      <c r="Q22" s="18" t="n">
        <v>11.55796162</v>
      </c>
      <c r="R22" s="20" t="n">
        <v>1.57812059</v>
      </c>
    </row>
    <row r="23" spans="1:18">
      <c r="A23" s="15" t="s">
        <v>581</v>
      </c>
      <c r="B23" s="17" t="n">
        <v>11583</v>
      </c>
      <c r="C23" s="18">
        <f>(10332.0/B23*100)</f>
        <v/>
      </c>
      <c r="D23" s="19" t="n">
        <v>1251</v>
      </c>
      <c r="E23" s="18" t="n">
        <v>57.53197879</v>
      </c>
      <c r="F23" s="20" t="n">
        <v>2.25406334</v>
      </c>
      <c r="G23" s="18" t="n">
        <v>28.98206638</v>
      </c>
      <c r="H23" s="20" t="n">
        <v>2.01509276</v>
      </c>
      <c r="I23" s="18" t="n">
        <v>0</v>
      </c>
      <c r="J23" s="20" t="n">
        <v>0</v>
      </c>
      <c r="K23" s="18" t="n">
        <v>1.16177269</v>
      </c>
      <c r="L23" s="20" t="n">
        <v>0.47474783</v>
      </c>
      <c r="M23" s="18" t="n">
        <v>0</v>
      </c>
      <c r="N23" s="20" t="n">
        <v>0</v>
      </c>
      <c r="O23" s="18" t="n">
        <v>0</v>
      </c>
      <c r="P23" s="20" t="n">
        <v>0</v>
      </c>
      <c r="Q23" s="18" t="n">
        <v>12.32418214</v>
      </c>
      <c r="R23" s="20" t="n">
        <v>1.84128595</v>
      </c>
    </row>
    <row r="24" spans="1:18">
      <c r="A24" s="15" t="s">
        <v>582</v>
      </c>
      <c r="B24" s="17" t="n">
        <v>6647</v>
      </c>
      <c r="C24" s="18">
        <f>(5944.0/B24*100)</f>
        <v/>
      </c>
      <c r="D24" s="19" t="n">
        <v>703</v>
      </c>
      <c r="E24" s="18" t="n">
        <v>34.50130168</v>
      </c>
      <c r="F24" s="20" t="n">
        <v>1.60180129</v>
      </c>
      <c r="G24" s="18" t="n">
        <v>56.01376583</v>
      </c>
      <c r="H24" s="20" t="n">
        <v>2.05959121</v>
      </c>
      <c r="I24" s="18" t="n">
        <v>0</v>
      </c>
      <c r="J24" s="20" t="n">
        <v>0</v>
      </c>
      <c r="K24" s="18" t="n">
        <v>0.13650266</v>
      </c>
      <c r="L24" s="20" t="n">
        <v>0.13691102</v>
      </c>
      <c r="M24" s="18" t="n">
        <v>0</v>
      </c>
      <c r="N24" s="20" t="n">
        <v>0</v>
      </c>
      <c r="O24" s="18" t="n">
        <v>0</v>
      </c>
      <c r="P24" s="20" t="n">
        <v>0</v>
      </c>
      <c r="Q24" s="18" t="n">
        <v>9.34842982</v>
      </c>
      <c r="R24" s="20" t="n">
        <v>1.21125299</v>
      </c>
    </row>
    <row r="25" spans="1:18">
      <c r="A25" s="15" t="s">
        <v>583</v>
      </c>
      <c r="B25" s="17" t="n">
        <v>5581</v>
      </c>
      <c r="C25" s="18">
        <f>(4968.0/B25*100)</f>
        <v/>
      </c>
      <c r="D25" s="19" t="n">
        <v>613</v>
      </c>
      <c r="E25" s="18" t="n">
        <v>39.08637472</v>
      </c>
      <c r="F25" s="20" t="n">
        <v>1.90816648</v>
      </c>
      <c r="G25" s="18" t="n">
        <v>52.39692214</v>
      </c>
      <c r="H25" s="20" t="n">
        <v>2.03971992</v>
      </c>
      <c r="I25" s="18" t="n">
        <v>0</v>
      </c>
      <c r="J25" s="20" t="n">
        <v>0</v>
      </c>
      <c r="K25" s="18" t="n">
        <v>0.94649626</v>
      </c>
      <c r="L25" s="20" t="n">
        <v>0.29621239</v>
      </c>
      <c r="M25" s="18" t="n">
        <v>0</v>
      </c>
      <c r="N25" s="20" t="n">
        <v>0</v>
      </c>
      <c r="O25" s="18" t="n">
        <v>0</v>
      </c>
      <c r="P25" s="20" t="n">
        <v>0</v>
      </c>
      <c r="Q25" s="18" t="n">
        <v>7.57020688</v>
      </c>
      <c r="R25" s="20" t="n">
        <v>1.07324642</v>
      </c>
    </row>
    <row r="26" spans="1:18">
      <c r="A26" s="15" t="s">
        <v>584</v>
      </c>
      <c r="B26" s="17" t="n">
        <v>4869</v>
      </c>
      <c r="C26" s="18">
        <f>(4312.0/B26*100)</f>
        <v/>
      </c>
      <c r="D26" s="19" t="n">
        <v>557</v>
      </c>
      <c r="E26" s="18" t="n">
        <v>64.08090848000001</v>
      </c>
      <c r="F26" s="20" t="n">
        <v>1.99549319</v>
      </c>
      <c r="G26" s="18" t="n">
        <v>31.14924094</v>
      </c>
      <c r="H26" s="20" t="n">
        <v>2.00167872</v>
      </c>
      <c r="I26" s="18" t="n">
        <v>0</v>
      </c>
      <c r="J26" s="20" t="n">
        <v>0</v>
      </c>
      <c r="K26" s="18" t="n">
        <v>0</v>
      </c>
      <c r="L26" s="20" t="n">
        <v>0</v>
      </c>
      <c r="M26" s="18" t="n">
        <v>0.1616873</v>
      </c>
      <c r="N26" s="20" t="n">
        <v>0.16239461</v>
      </c>
      <c r="O26" s="18" t="n">
        <v>0</v>
      </c>
      <c r="P26" s="20" t="n">
        <v>0</v>
      </c>
      <c r="Q26" s="18" t="n">
        <v>4.60816328</v>
      </c>
      <c r="R26" s="20" t="n">
        <v>1.07889426</v>
      </c>
    </row>
    <row r="27" spans="1:18">
      <c r="A27" s="15" t="s">
        <v>585</v>
      </c>
      <c r="B27" s="17" t="n">
        <v>5299</v>
      </c>
      <c r="C27" s="18">
        <f>(4699.0/B27*100)</f>
        <v/>
      </c>
      <c r="D27" s="19" t="n">
        <v>600</v>
      </c>
      <c r="E27" s="18" t="n">
        <v>54.38706583</v>
      </c>
      <c r="F27" s="20" t="n">
        <v>2.21651843</v>
      </c>
      <c r="G27" s="18" t="n">
        <v>36.04238539</v>
      </c>
      <c r="H27" s="20" t="n">
        <v>2.10676496</v>
      </c>
      <c r="I27" s="18" t="n">
        <v>0</v>
      </c>
      <c r="J27" s="20" t="n">
        <v>0</v>
      </c>
      <c r="K27" s="18" t="n">
        <v>0.69526735</v>
      </c>
      <c r="L27" s="20" t="n">
        <v>0.34683286</v>
      </c>
      <c r="M27" s="18" t="n">
        <v>0</v>
      </c>
      <c r="N27" s="20" t="n">
        <v>0</v>
      </c>
      <c r="O27" s="18" t="n">
        <v>0</v>
      </c>
      <c r="P27" s="20" t="n">
        <v>0</v>
      </c>
      <c r="Q27" s="18" t="n">
        <v>8.875281429999999</v>
      </c>
      <c r="R27" s="20" t="n">
        <v>1.1595994</v>
      </c>
    </row>
    <row r="28" spans="1:18">
      <c r="A28" s="15" t="s">
        <v>586</v>
      </c>
      <c r="B28" s="17" t="n">
        <v>7568</v>
      </c>
      <c r="C28" s="18">
        <f>(6796.0/B28*100)</f>
        <v/>
      </c>
      <c r="D28" s="19" t="n">
        <v>772</v>
      </c>
      <c r="E28" s="18" t="n">
        <v>76.75158623</v>
      </c>
      <c r="F28" s="20" t="n">
        <v>1.53027775</v>
      </c>
      <c r="G28" s="18" t="n">
        <v>18.27458555</v>
      </c>
      <c r="H28" s="20" t="n">
        <v>1.41288001</v>
      </c>
      <c r="I28" s="18" t="n">
        <v>0</v>
      </c>
      <c r="J28" s="20" t="n">
        <v>0</v>
      </c>
      <c r="K28" s="18" t="n">
        <v>0.85858524</v>
      </c>
      <c r="L28" s="20" t="n">
        <v>0.41817959</v>
      </c>
      <c r="M28" s="18" t="n">
        <v>0.20807512</v>
      </c>
      <c r="N28" s="20" t="n">
        <v>0.20727695</v>
      </c>
      <c r="O28" s="18" t="n">
        <v>0</v>
      </c>
      <c r="P28" s="20" t="n">
        <v>0</v>
      </c>
      <c r="Q28" s="18" t="n">
        <v>3.90716786</v>
      </c>
      <c r="R28" s="20" t="n">
        <v>0.909215</v>
      </c>
    </row>
    <row r="29" spans="1:18">
      <c r="A29" s="15" t="s">
        <v>587</v>
      </c>
      <c r="B29" s="17" t="n">
        <v>5385</v>
      </c>
      <c r="C29" s="18">
        <f>(4852.0/B29*100)</f>
        <v/>
      </c>
      <c r="D29" s="19" t="n">
        <v>533</v>
      </c>
      <c r="E29" s="18" t="n">
        <v>58.9085088</v>
      </c>
      <c r="F29" s="20" t="n">
        <v>1.6522386</v>
      </c>
      <c r="G29" s="18" t="n">
        <v>38.12834981</v>
      </c>
      <c r="H29" s="20" t="n">
        <v>1.6901689</v>
      </c>
      <c r="I29" s="18" t="n">
        <v>0</v>
      </c>
      <c r="J29" s="20" t="n">
        <v>0</v>
      </c>
      <c r="K29" s="18" t="n">
        <v>0.17085943</v>
      </c>
      <c r="L29" s="20" t="n">
        <v>0.16250173</v>
      </c>
      <c r="M29" s="18" t="n">
        <v>0</v>
      </c>
      <c r="N29" s="20" t="n">
        <v>0</v>
      </c>
      <c r="O29" s="18" t="n">
        <v>0</v>
      </c>
      <c r="P29" s="20" t="n">
        <v>0</v>
      </c>
      <c r="Q29" s="18" t="n">
        <v>2.79228196</v>
      </c>
      <c r="R29" s="20" t="n">
        <v>0.83857618</v>
      </c>
    </row>
    <row r="30" spans="1:18">
      <c r="A30" s="15" t="s">
        <v>588</v>
      </c>
      <c r="B30" s="17" t="n">
        <v>4520</v>
      </c>
      <c r="C30" s="18">
        <f>(4024.0/B30*100)</f>
        <v/>
      </c>
      <c r="D30" s="19" t="n">
        <v>496</v>
      </c>
      <c r="E30" s="18" t="n">
        <v>42.09686053</v>
      </c>
      <c r="F30" s="20" t="n">
        <v>2.65319777</v>
      </c>
      <c r="G30" s="18" t="n">
        <v>45.94774086</v>
      </c>
      <c r="H30" s="20" t="n">
        <v>2.28003466</v>
      </c>
      <c r="I30" s="18" t="n">
        <v>0</v>
      </c>
      <c r="J30" s="20" t="n">
        <v>0</v>
      </c>
      <c r="K30" s="18" t="n">
        <v>1.1784913</v>
      </c>
      <c r="L30" s="20" t="n">
        <v>0.48456313</v>
      </c>
      <c r="M30" s="18" t="n">
        <v>0</v>
      </c>
      <c r="N30" s="20" t="n">
        <v>0</v>
      </c>
      <c r="O30" s="18" t="n">
        <v>0</v>
      </c>
      <c r="P30" s="20" t="n">
        <v>0</v>
      </c>
      <c r="Q30" s="18" t="n">
        <v>10.7769073</v>
      </c>
      <c r="R30" s="20" t="n">
        <v>1.33775275</v>
      </c>
    </row>
    <row r="31" spans="1:18">
      <c r="A31" s="15" t="s">
        <v>589</v>
      </c>
      <c r="B31" s="17" t="n">
        <v>5456</v>
      </c>
      <c r="C31" s="18">
        <f>(4853.0/B31*100)</f>
        <v/>
      </c>
      <c r="D31" s="19" t="n">
        <v>603</v>
      </c>
      <c r="E31" s="18" t="n">
        <v>42.54275011</v>
      </c>
      <c r="F31" s="20" t="n">
        <v>2.08274749</v>
      </c>
      <c r="G31" s="18" t="n">
        <v>48.16099211</v>
      </c>
      <c r="H31" s="20" t="n">
        <v>1.91580986</v>
      </c>
      <c r="I31" s="18" t="n">
        <v>0</v>
      </c>
      <c r="J31" s="20" t="n">
        <v>0</v>
      </c>
      <c r="K31" s="18" t="n">
        <v>0.93169287</v>
      </c>
      <c r="L31" s="20" t="n">
        <v>0.41302477</v>
      </c>
      <c r="M31" s="18" t="n">
        <v>0</v>
      </c>
      <c r="N31" s="20" t="n">
        <v>0</v>
      </c>
      <c r="O31" s="18" t="n">
        <v>0</v>
      </c>
      <c r="P31" s="20" t="n">
        <v>0</v>
      </c>
      <c r="Q31" s="18" t="n">
        <v>8.36456491</v>
      </c>
      <c r="R31" s="20" t="n">
        <v>1.26265543</v>
      </c>
    </row>
    <row r="32" spans="1:18">
      <c r="A32" s="15" t="s">
        <v>590</v>
      </c>
      <c r="B32" s="17" t="n">
        <v>4478</v>
      </c>
      <c r="C32" s="18">
        <f>(4001.0/B32*100)</f>
        <v/>
      </c>
      <c r="D32" s="19" t="n">
        <v>477</v>
      </c>
      <c r="E32" s="18" t="n">
        <v>56.38274466</v>
      </c>
      <c r="F32" s="20" t="n">
        <v>2.20418</v>
      </c>
      <c r="G32" s="18" t="n">
        <v>36.40995902</v>
      </c>
      <c r="H32" s="20" t="n">
        <v>2.17736696</v>
      </c>
      <c r="I32" s="18" t="n">
        <v>0</v>
      </c>
      <c r="J32" s="20" t="n">
        <v>0</v>
      </c>
      <c r="K32" s="18" t="n">
        <v>0</v>
      </c>
      <c r="L32" s="20" t="n">
        <v>0</v>
      </c>
      <c r="M32" s="18" t="n">
        <v>0</v>
      </c>
      <c r="N32" s="20" t="n">
        <v>0</v>
      </c>
      <c r="O32" s="18" t="n">
        <v>0</v>
      </c>
      <c r="P32" s="20" t="n">
        <v>0</v>
      </c>
      <c r="Q32" s="18" t="n">
        <v>7.20729632</v>
      </c>
      <c r="R32" s="20" t="n">
        <v>1.47858828</v>
      </c>
    </row>
    <row r="33" spans="1:18">
      <c r="A33" s="15" t="s">
        <v>591</v>
      </c>
      <c r="B33" s="17" t="n">
        <v>7325</v>
      </c>
      <c r="C33" s="18">
        <f>(6535.0/B33*100)</f>
        <v/>
      </c>
      <c r="D33" s="19" t="n">
        <v>790</v>
      </c>
      <c r="E33" s="18" t="n">
        <v>59.60495364</v>
      </c>
      <c r="F33" s="20" t="n">
        <v>1.88482931</v>
      </c>
      <c r="G33" s="18" t="n">
        <v>34.73542942</v>
      </c>
      <c r="H33" s="20" t="n">
        <v>1.87807745</v>
      </c>
      <c r="I33" s="18" t="n">
        <v>0</v>
      </c>
      <c r="J33" s="20" t="n">
        <v>0</v>
      </c>
      <c r="K33" s="18" t="n">
        <v>0.30839231</v>
      </c>
      <c r="L33" s="20" t="n">
        <v>0.21094777</v>
      </c>
      <c r="M33" s="18" t="n">
        <v>0.284774</v>
      </c>
      <c r="N33" s="20" t="n">
        <v>0.28389697</v>
      </c>
      <c r="O33" s="18" t="n">
        <v>0</v>
      </c>
      <c r="P33" s="20" t="n">
        <v>0</v>
      </c>
      <c r="Q33" s="18" t="n">
        <v>5.06645062</v>
      </c>
      <c r="R33" s="20" t="n">
        <v>0.81347482</v>
      </c>
    </row>
    <row r="34" spans="1:18">
      <c r="A34" s="15" t="s">
        <v>592</v>
      </c>
      <c r="B34" s="17" t="n">
        <v>6350</v>
      </c>
      <c r="C34" s="18">
        <f>(5677.0/B34*100)</f>
        <v/>
      </c>
      <c r="D34" s="19" t="n">
        <v>673</v>
      </c>
      <c r="E34" s="18" t="n">
        <v>64.79247663</v>
      </c>
      <c r="F34" s="20" t="n">
        <v>1.86121279</v>
      </c>
      <c r="G34" s="18" t="n">
        <v>25.38965698</v>
      </c>
      <c r="H34" s="20" t="n">
        <v>1.65990304</v>
      </c>
      <c r="I34" s="18" t="n">
        <v>0</v>
      </c>
      <c r="J34" s="20" t="n">
        <v>0</v>
      </c>
      <c r="K34" s="18" t="n">
        <v>0.13225258</v>
      </c>
      <c r="L34" s="20" t="n">
        <v>0.13744422</v>
      </c>
      <c r="M34" s="18" t="n">
        <v>0.28872922</v>
      </c>
      <c r="N34" s="20" t="n">
        <v>0.20192955</v>
      </c>
      <c r="O34" s="18" t="n">
        <v>0</v>
      </c>
      <c r="P34" s="20" t="n">
        <v>0</v>
      </c>
      <c r="Q34" s="18" t="n">
        <v>9.396884590000001</v>
      </c>
      <c r="R34" s="20" t="n">
        <v>1.01706766</v>
      </c>
    </row>
    <row r="35" spans="1:18">
      <c r="A35" s="15" t="s">
        <v>593</v>
      </c>
      <c r="B35" s="17" t="n">
        <v>6406</v>
      </c>
      <c r="C35" s="18">
        <f>(5721.0/B35*100)</f>
        <v/>
      </c>
      <c r="D35" s="19" t="n">
        <v>685</v>
      </c>
      <c r="E35" s="18" t="n">
        <v>56.4692672</v>
      </c>
      <c r="F35" s="20" t="n">
        <v>2.1720074</v>
      </c>
      <c r="G35" s="18" t="n">
        <v>40.20876755</v>
      </c>
      <c r="H35" s="20" t="n">
        <v>2.09498943</v>
      </c>
      <c r="I35" s="18" t="n">
        <v>0</v>
      </c>
      <c r="J35" s="20" t="n">
        <v>0</v>
      </c>
      <c r="K35" s="18" t="n">
        <v>0.08144589000000001</v>
      </c>
      <c r="L35" s="20" t="n">
        <v>0.08098076999999999</v>
      </c>
      <c r="M35" s="18" t="n">
        <v>0</v>
      </c>
      <c r="N35" s="20" t="n">
        <v>0</v>
      </c>
      <c r="O35" s="18" t="n">
        <v>0</v>
      </c>
      <c r="P35" s="20" t="n">
        <v>0</v>
      </c>
      <c r="Q35" s="18" t="n">
        <v>3.24051936</v>
      </c>
      <c r="R35" s="20" t="n">
        <v>0.61671706</v>
      </c>
    </row>
    <row r="36" spans="1:18">
      <c r="A36" s="15" t="s">
        <v>594</v>
      </c>
      <c r="B36" s="17" t="n">
        <v>6736</v>
      </c>
      <c r="C36" s="18">
        <f>(5952.0/B36*100)</f>
        <v/>
      </c>
      <c r="D36" s="19" t="n">
        <v>784</v>
      </c>
      <c r="E36" s="18" t="n">
        <v>63.77875628</v>
      </c>
      <c r="F36" s="20" t="n">
        <v>1.98257146</v>
      </c>
      <c r="G36" s="18" t="n">
        <v>31.93658365</v>
      </c>
      <c r="H36" s="20" t="n">
        <v>1.89991865</v>
      </c>
      <c r="I36" s="18" t="n">
        <v>0</v>
      </c>
      <c r="J36" s="20" t="n">
        <v>0</v>
      </c>
      <c r="K36" s="18" t="n">
        <v>1.13143311</v>
      </c>
      <c r="L36" s="20" t="n">
        <v>0.36163387</v>
      </c>
      <c r="M36" s="18" t="n">
        <v>0.12145648</v>
      </c>
      <c r="N36" s="20" t="n">
        <v>0.1202037</v>
      </c>
      <c r="O36" s="18" t="n">
        <v>0</v>
      </c>
      <c r="P36" s="20" t="n">
        <v>0</v>
      </c>
      <c r="Q36" s="18" t="n">
        <v>3.03177048</v>
      </c>
      <c r="R36" s="20" t="n">
        <v>0.71627602</v>
      </c>
    </row>
    <row r="37" spans="1:18">
      <c r="A37" s="15" t="s">
        <v>595</v>
      </c>
      <c r="B37" s="17" t="n">
        <v>5458</v>
      </c>
      <c r="C37" s="18">
        <f>(4874.0/B37*100)</f>
        <v/>
      </c>
      <c r="D37" s="19" t="n">
        <v>584</v>
      </c>
      <c r="E37" s="18" t="n">
        <v>42.3441075</v>
      </c>
      <c r="F37" s="20" t="n">
        <v>1.97097956</v>
      </c>
      <c r="G37" s="18" t="n">
        <v>40.33280725</v>
      </c>
      <c r="H37" s="20" t="n">
        <v>2.17595479</v>
      </c>
      <c r="I37" s="18" t="n">
        <v>0</v>
      </c>
      <c r="J37" s="20" t="n">
        <v>0</v>
      </c>
      <c r="K37" s="18" t="n">
        <v>1.3613466</v>
      </c>
      <c r="L37" s="20" t="n">
        <v>0.44485089</v>
      </c>
      <c r="M37" s="18" t="n">
        <v>0.2798666</v>
      </c>
      <c r="N37" s="20" t="n">
        <v>0.28370395</v>
      </c>
      <c r="O37" s="18" t="n">
        <v>0</v>
      </c>
      <c r="P37" s="20" t="n">
        <v>0</v>
      </c>
      <c r="Q37" s="18" t="n">
        <v>15.68187205</v>
      </c>
      <c r="R37" s="20" t="n">
        <v>1.69440655</v>
      </c>
    </row>
    <row r="38" spans="1:18">
      <c r="A38" s="15" t="s">
        <v>596</v>
      </c>
      <c r="B38" s="17" t="n">
        <v>5860</v>
      </c>
      <c r="C38" s="18">
        <f>(5219.0/B38*100)</f>
        <v/>
      </c>
      <c r="D38" s="19" t="n">
        <v>641</v>
      </c>
      <c r="E38" s="18" t="n">
        <v>47.7724582</v>
      </c>
      <c r="F38" s="20" t="n">
        <v>2.3240781</v>
      </c>
      <c r="G38" s="18" t="n">
        <v>42.70361182</v>
      </c>
      <c r="H38" s="20" t="n">
        <v>2.19732416</v>
      </c>
      <c r="I38" s="18" t="n">
        <v>0</v>
      </c>
      <c r="J38" s="20" t="n">
        <v>0</v>
      </c>
      <c r="K38" s="18" t="n">
        <v>0</v>
      </c>
      <c r="L38" s="20" t="n">
        <v>0</v>
      </c>
      <c r="M38" s="18" t="n">
        <v>2.77812977</v>
      </c>
      <c r="N38" s="20" t="n">
        <v>0.68551216</v>
      </c>
      <c r="O38" s="18" t="n">
        <v>0</v>
      </c>
      <c r="P38" s="20" t="n">
        <v>0</v>
      </c>
      <c r="Q38" s="18" t="n">
        <v>6.74580021</v>
      </c>
      <c r="R38" s="20" t="n">
        <v>1.19055943</v>
      </c>
    </row>
    <row r="39" spans="1:18">
      <c r="A39" s="15" t="s">
        <v>597</v>
      </c>
      <c r="B39" s="17" t="n">
        <v>5895</v>
      </c>
      <c r="C39" s="18">
        <f>(5280.0/B39*100)</f>
        <v/>
      </c>
      <c r="D39" s="19" t="n">
        <v>615</v>
      </c>
      <c r="E39" s="18" t="n">
        <v>74.46458101</v>
      </c>
      <c r="F39" s="20" t="n">
        <v>2.15489667</v>
      </c>
      <c r="G39" s="18" t="n">
        <v>16.67494495</v>
      </c>
      <c r="H39" s="20" t="n">
        <v>1.826141</v>
      </c>
      <c r="I39" s="18" t="n">
        <v>0</v>
      </c>
      <c r="J39" s="20" t="n">
        <v>0</v>
      </c>
      <c r="K39" s="18" t="n">
        <v>0</v>
      </c>
      <c r="L39" s="20" t="n">
        <v>0</v>
      </c>
      <c r="M39" s="18" t="n">
        <v>0</v>
      </c>
      <c r="N39" s="20" t="n">
        <v>0</v>
      </c>
      <c r="O39" s="18" t="n">
        <v>0</v>
      </c>
      <c r="P39" s="20" t="n">
        <v>0</v>
      </c>
      <c r="Q39" s="18" t="n">
        <v>8.860474030000001</v>
      </c>
      <c r="R39" s="20" t="n">
        <v>1.24107549</v>
      </c>
    </row>
    <row r="40" spans="1:18">
      <c r="A40" s="15" t="s">
        <v>598</v>
      </c>
      <c r="B40" s="17" t="n">
        <v>14157</v>
      </c>
      <c r="C40" s="18">
        <f>(12562.0/B40*100)</f>
        <v/>
      </c>
      <c r="D40" s="19" t="n">
        <v>1595</v>
      </c>
      <c r="E40" s="18" t="n">
        <v>59.42316905</v>
      </c>
      <c r="F40" s="20" t="n">
        <v>2.05379426</v>
      </c>
      <c r="G40" s="18" t="n">
        <v>32.12645324</v>
      </c>
      <c r="H40" s="20" t="n">
        <v>1.88953706</v>
      </c>
      <c r="I40" s="18" t="n">
        <v>0</v>
      </c>
      <c r="J40" s="20" t="n">
        <v>0</v>
      </c>
      <c r="K40" s="18" t="n">
        <v>0.72966056</v>
      </c>
      <c r="L40" s="20" t="n">
        <v>0.34666369</v>
      </c>
      <c r="M40" s="18" t="n">
        <v>0.10166719</v>
      </c>
      <c r="N40" s="20" t="n">
        <v>0.09748389</v>
      </c>
      <c r="O40" s="18" t="n">
        <v>0</v>
      </c>
      <c r="P40" s="20" t="n">
        <v>0</v>
      </c>
      <c r="Q40" s="18" t="n">
        <v>7.61904996</v>
      </c>
      <c r="R40" s="20" t="n">
        <v>1.08341929</v>
      </c>
    </row>
    <row r="41" spans="1:18">
      <c r="A41" s="15" t="s">
        <v>599</v>
      </c>
      <c r="B41" s="17" t="n">
        <v>5712</v>
      </c>
      <c r="C41" s="18">
        <f>(5070.0/B41*100)</f>
        <v/>
      </c>
      <c r="D41" s="19" t="n">
        <v>642</v>
      </c>
      <c r="E41" s="18" t="n">
        <v>66.95221366</v>
      </c>
      <c r="F41" s="20" t="n">
        <v>1.94397615</v>
      </c>
      <c r="G41" s="18" t="n">
        <v>28.67898146</v>
      </c>
      <c r="H41" s="20" t="n">
        <v>1.87095017</v>
      </c>
      <c r="I41" s="18" t="n">
        <v>0</v>
      </c>
      <c r="J41" s="20" t="n">
        <v>0</v>
      </c>
      <c r="K41" s="18" t="n">
        <v>0.36465931</v>
      </c>
      <c r="L41" s="20" t="n">
        <v>0.24695213</v>
      </c>
      <c r="M41" s="18" t="n">
        <v>0</v>
      </c>
      <c r="N41" s="20" t="n">
        <v>0</v>
      </c>
      <c r="O41" s="18" t="n">
        <v>0</v>
      </c>
      <c r="P41" s="20" t="n">
        <v>0</v>
      </c>
      <c r="Q41" s="18" t="n">
        <v>4.00414557</v>
      </c>
      <c r="R41" s="20" t="n">
        <v>0.79780951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(21242.0/B46*100)</f>
        <v/>
      </c>
      <c r="D46" s="19" t="n">
        <v>1899</v>
      </c>
      <c r="E46" s="18" t="n">
        <v>72.69330918</v>
      </c>
      <c r="F46" s="20" t="n">
        <v>1.47747835</v>
      </c>
      <c r="G46" s="18" t="n">
        <v>13.57087164</v>
      </c>
      <c r="H46" s="20" t="n">
        <v>1.05571631</v>
      </c>
      <c r="I46" s="18" t="n">
        <v>0</v>
      </c>
      <c r="J46" s="20" t="n">
        <v>0</v>
      </c>
      <c r="K46" s="18" t="n">
        <v>1.87311669</v>
      </c>
      <c r="L46" s="20" t="n">
        <v>0.38586316</v>
      </c>
      <c r="M46" s="18" t="n">
        <v>0.15074785</v>
      </c>
      <c r="N46" s="20" t="n">
        <v>0.10603232</v>
      </c>
      <c r="O46" s="18" t="n">
        <v>0</v>
      </c>
      <c r="P46" s="20" t="n">
        <v>0</v>
      </c>
      <c r="Q46" s="18" t="n">
        <v>11.71195463</v>
      </c>
      <c r="R46" s="20" t="n">
        <v>0.98400553</v>
      </c>
    </row>
    <row r="47" spans="1:18">
      <c r="A47" s="15" t="s">
        <v>606</v>
      </c>
      <c r="B47" s="17" t="n">
        <v>5928</v>
      </c>
      <c r="C47" s="18">
        <f>(5281.0/B47*100)</f>
        <v/>
      </c>
      <c r="D47" s="19" t="n">
        <v>647</v>
      </c>
      <c r="E47" s="18" t="n">
        <v>62.65975187</v>
      </c>
      <c r="F47" s="20" t="n">
        <v>1.76058634</v>
      </c>
      <c r="G47" s="18" t="n">
        <v>19.1464058</v>
      </c>
      <c r="H47" s="20" t="n">
        <v>1.28555205</v>
      </c>
      <c r="I47" s="18" t="n">
        <v>0</v>
      </c>
      <c r="J47" s="20" t="n">
        <v>0</v>
      </c>
      <c r="K47" s="18" t="n">
        <v>0.75112531</v>
      </c>
      <c r="L47" s="20" t="n">
        <v>0.31036476</v>
      </c>
      <c r="M47" s="18" t="n">
        <v>0.30037159</v>
      </c>
      <c r="N47" s="20" t="n">
        <v>0.20655277</v>
      </c>
      <c r="O47" s="18" t="n">
        <v>0</v>
      </c>
      <c r="P47" s="20" t="n">
        <v>0</v>
      </c>
      <c r="Q47" s="18" t="n">
        <v>17.14234543</v>
      </c>
      <c r="R47" s="20" t="n">
        <v>1.65642308</v>
      </c>
    </row>
    <row r="48" spans="1:18">
      <c r="A48" s="15" t="s">
        <v>607</v>
      </c>
      <c r="B48" s="17" t="n">
        <v>9841</v>
      </c>
      <c r="C48" s="18">
        <f>(8752.0/B48*100)</f>
        <v/>
      </c>
      <c r="D48" s="19" t="n">
        <v>1089</v>
      </c>
      <c r="E48" s="18" t="n">
        <v>51.31106922</v>
      </c>
      <c r="F48" s="20" t="n">
        <v>1.91310167</v>
      </c>
      <c r="G48" s="18" t="n">
        <v>40.55074087</v>
      </c>
      <c r="H48" s="20" t="n">
        <v>1.79713747</v>
      </c>
      <c r="I48" s="18" t="n">
        <v>0</v>
      </c>
      <c r="J48" s="20" t="n">
        <v>0</v>
      </c>
      <c r="K48" s="18" t="n">
        <v>0.63426028</v>
      </c>
      <c r="L48" s="20" t="n">
        <v>0.32463509</v>
      </c>
      <c r="M48" s="18" t="n">
        <v>0</v>
      </c>
      <c r="N48" s="20" t="n">
        <v>0</v>
      </c>
      <c r="O48" s="18" t="n">
        <v>0</v>
      </c>
      <c r="P48" s="20" t="n">
        <v>0</v>
      </c>
      <c r="Q48" s="18" t="n">
        <v>7.50392964</v>
      </c>
      <c r="R48" s="20" t="n">
        <v>1.18570828</v>
      </c>
    </row>
    <row r="49" spans="1:18">
      <c r="A49" s="15" t="s">
        <v>608</v>
      </c>
      <c r="B49" s="17" t="n">
        <v>11795</v>
      </c>
      <c r="C49" s="18">
        <f>(10561.0/B49*100)</f>
        <v/>
      </c>
      <c r="D49" s="19" t="n">
        <v>1234</v>
      </c>
      <c r="E49" s="18" t="n">
        <v>80.17438699</v>
      </c>
      <c r="F49" s="20" t="n">
        <v>1.40427249</v>
      </c>
      <c r="G49" s="18" t="n">
        <v>14.63184607</v>
      </c>
      <c r="H49" s="20" t="n">
        <v>1.3763148</v>
      </c>
      <c r="I49" s="18" t="n">
        <v>0</v>
      </c>
      <c r="J49" s="20" t="n">
        <v>0</v>
      </c>
      <c r="K49" s="18" t="n">
        <v>1.24512764</v>
      </c>
      <c r="L49" s="20" t="n">
        <v>0.40159567</v>
      </c>
      <c r="M49" s="18" t="n">
        <v>0.00447506</v>
      </c>
      <c r="N49" s="20" t="n">
        <v>0.00449012</v>
      </c>
      <c r="O49" s="18" t="n">
        <v>0</v>
      </c>
      <c r="P49" s="20" t="n">
        <v>0</v>
      </c>
      <c r="Q49" s="18" t="n">
        <v>3.94416424</v>
      </c>
      <c r="R49" s="20" t="n">
        <v>0.66701222</v>
      </c>
    </row>
    <row r="50" spans="1:18">
      <c r="A50" s="15" t="s">
        <v>609</v>
      </c>
      <c r="B50" s="17" t="n">
        <v>6866</v>
      </c>
      <c r="C50" s="18">
        <f>(6217.0/B50*100)</f>
        <v/>
      </c>
      <c r="D50" s="19" t="n">
        <v>649</v>
      </c>
      <c r="E50" s="18" t="n">
        <v>70.57237603999999</v>
      </c>
      <c r="F50" s="20" t="n">
        <v>1.93830702</v>
      </c>
      <c r="G50" s="18" t="n">
        <v>23.26250807</v>
      </c>
      <c r="H50" s="20" t="n">
        <v>1.87450742</v>
      </c>
      <c r="I50" s="18" t="n">
        <v>0</v>
      </c>
      <c r="J50" s="20" t="n">
        <v>0</v>
      </c>
      <c r="K50" s="18" t="n">
        <v>1.61746865</v>
      </c>
      <c r="L50" s="20" t="n">
        <v>0.47917003</v>
      </c>
      <c r="M50" s="18" t="n">
        <v>0.18267417</v>
      </c>
      <c r="N50" s="20" t="n">
        <v>0.17095571</v>
      </c>
      <c r="O50" s="18" t="n">
        <v>0</v>
      </c>
      <c r="P50" s="20" t="n">
        <v>0</v>
      </c>
      <c r="Q50" s="18" t="n">
        <v>4.36497306</v>
      </c>
      <c r="R50" s="20" t="n">
        <v>0.89950062</v>
      </c>
    </row>
    <row r="51" spans="1:18">
      <c r="A51" s="15" t="s">
        <v>610</v>
      </c>
      <c r="B51" s="17" t="n">
        <v>5809</v>
      </c>
      <c r="C51" s="18">
        <f>(5198.0/B51*100)</f>
        <v/>
      </c>
      <c r="D51" s="19" t="n">
        <v>611</v>
      </c>
      <c r="E51" s="18" t="n">
        <v>60.5405817</v>
      </c>
      <c r="F51" s="20" t="n">
        <v>2.02522781</v>
      </c>
      <c r="G51" s="18" t="n">
        <v>31.93425683</v>
      </c>
      <c r="H51" s="20" t="n">
        <v>1.84075001</v>
      </c>
      <c r="I51" s="18" t="n">
        <v>0</v>
      </c>
      <c r="J51" s="20" t="n">
        <v>0</v>
      </c>
      <c r="K51" s="18" t="n">
        <v>0.12591172</v>
      </c>
      <c r="L51" s="20" t="n">
        <v>0.1259211</v>
      </c>
      <c r="M51" s="18" t="n">
        <v>0</v>
      </c>
      <c r="N51" s="20" t="n">
        <v>0</v>
      </c>
      <c r="O51" s="18" t="n">
        <v>0</v>
      </c>
      <c r="P51" s="20" t="n">
        <v>0</v>
      </c>
      <c r="Q51" s="18" t="n">
        <v>7.39924974</v>
      </c>
      <c r="R51" s="20" t="n">
        <v>1.09872516</v>
      </c>
    </row>
    <row r="52" spans="1:18">
      <c r="A52" s="15" t="s">
        <v>611</v>
      </c>
      <c r="B52" s="17" t="n">
        <v>5571</v>
      </c>
      <c r="C52" s="18">
        <f>(4952.0/B52*100)</f>
        <v/>
      </c>
      <c r="D52" s="19" t="n">
        <v>619</v>
      </c>
      <c r="E52" s="18" t="n">
        <v>64.05934693</v>
      </c>
      <c r="F52" s="20" t="n">
        <v>2.18609489</v>
      </c>
      <c r="G52" s="18" t="n">
        <v>20.16589582</v>
      </c>
      <c r="H52" s="20" t="n">
        <v>1.67499108</v>
      </c>
      <c r="I52" s="18" t="n">
        <v>0</v>
      </c>
      <c r="J52" s="20" t="n">
        <v>0</v>
      </c>
      <c r="K52" s="18" t="n">
        <v>1.06110328</v>
      </c>
      <c r="L52" s="20" t="n">
        <v>0.41809756</v>
      </c>
      <c r="M52" s="18" t="n">
        <v>0.11923552</v>
      </c>
      <c r="N52" s="20" t="n">
        <v>0.11932504</v>
      </c>
      <c r="O52" s="18" t="n">
        <v>0</v>
      </c>
      <c r="P52" s="20" t="n">
        <v>0</v>
      </c>
      <c r="Q52" s="18" t="n">
        <v>14.59441845</v>
      </c>
      <c r="R52" s="20" t="n">
        <v>1.60566147</v>
      </c>
    </row>
    <row r="53" spans="1:18">
      <c r="A53" s="15" t="s">
        <v>612</v>
      </c>
      <c r="B53" s="17" t="n">
        <v>4740</v>
      </c>
      <c r="C53" s="18">
        <f>(4223.0/B53*100)</f>
        <v/>
      </c>
      <c r="D53" s="19" t="n">
        <v>517</v>
      </c>
      <c r="E53" s="18" t="n">
        <v>67.79687493</v>
      </c>
      <c r="F53" s="20" t="n">
        <v>2.34301628</v>
      </c>
      <c r="G53" s="18" t="n">
        <v>4.04768846</v>
      </c>
      <c r="H53" s="20" t="n">
        <v>0.71826837</v>
      </c>
      <c r="I53" s="18" t="n">
        <v>0</v>
      </c>
      <c r="J53" s="20" t="n">
        <v>0</v>
      </c>
      <c r="K53" s="18" t="n">
        <v>16.34441313</v>
      </c>
      <c r="L53" s="20" t="n">
        <v>2.0727488</v>
      </c>
      <c r="M53" s="18" t="n">
        <v>0.59214818</v>
      </c>
      <c r="N53" s="20" t="n">
        <v>0.48048491</v>
      </c>
      <c r="O53" s="18" t="n">
        <v>0</v>
      </c>
      <c r="P53" s="20" t="n">
        <v>0</v>
      </c>
      <c r="Q53" s="18" t="n">
        <v>11.2188753</v>
      </c>
      <c r="R53" s="20" t="n">
        <v>1.68729293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(4800.0/B55*100)</f>
        <v/>
      </c>
      <c r="D55" s="19" t="n">
        <v>559</v>
      </c>
      <c r="E55" s="18" t="n">
        <v>59.79443166</v>
      </c>
      <c r="F55" s="20" t="n">
        <v>2.17359204</v>
      </c>
      <c r="G55" s="18" t="n">
        <v>35.64005194</v>
      </c>
      <c r="H55" s="20" t="n">
        <v>2.05368049</v>
      </c>
      <c r="I55" s="18" t="n">
        <v>0</v>
      </c>
      <c r="J55" s="20" t="n">
        <v>0</v>
      </c>
      <c r="K55" s="18" t="n">
        <v>0</v>
      </c>
      <c r="L55" s="20" t="n">
        <v>0</v>
      </c>
      <c r="M55" s="18" t="n">
        <v>0</v>
      </c>
      <c r="N55" s="20" t="n">
        <v>0</v>
      </c>
      <c r="O55" s="18" t="n">
        <v>0</v>
      </c>
      <c r="P55" s="20" t="n">
        <v>0</v>
      </c>
      <c r="Q55" s="18" t="n">
        <v>4.5655164</v>
      </c>
      <c r="R55" s="20" t="n">
        <v>0.96425824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(5837.0/B61*100)</f>
        <v/>
      </c>
      <c r="D61" s="19" t="n">
        <v>688</v>
      </c>
      <c r="E61" s="18" t="n">
        <v>57.94739826</v>
      </c>
      <c r="F61" s="20" t="n">
        <v>2.40988795</v>
      </c>
      <c r="G61" s="18" t="n">
        <v>32.83942559</v>
      </c>
      <c r="H61" s="20" t="n">
        <v>2.56314932</v>
      </c>
      <c r="I61" s="18" t="n">
        <v>0</v>
      </c>
      <c r="J61" s="20" t="n">
        <v>0</v>
      </c>
      <c r="K61" s="18" t="n">
        <v>0.46723901</v>
      </c>
      <c r="L61" s="20" t="n">
        <v>0.41430288</v>
      </c>
      <c r="M61" s="18" t="n">
        <v>0</v>
      </c>
      <c r="N61" s="20" t="n">
        <v>0</v>
      </c>
      <c r="O61" s="18" t="n">
        <v>0</v>
      </c>
      <c r="P61" s="20" t="n">
        <v>0</v>
      </c>
      <c r="Q61" s="18" t="n">
        <v>8.745937140000001</v>
      </c>
      <c r="R61" s="20" t="n">
        <v>1.14055567</v>
      </c>
    </row>
    <row r="62" spans="1:18">
      <c r="A62" s="15" t="s">
        <v>622</v>
      </c>
      <c r="B62" s="17" t="n">
        <v>4476</v>
      </c>
      <c r="C62" s="18">
        <f>(3970.0/B62*100)</f>
        <v/>
      </c>
      <c r="D62" s="19" t="n">
        <v>506</v>
      </c>
      <c r="E62" s="18" t="n">
        <v>56.926325</v>
      </c>
      <c r="F62" s="20" t="n">
        <v>2.2209249</v>
      </c>
      <c r="G62" s="18" t="n">
        <v>41.49181435</v>
      </c>
      <c r="H62" s="20" t="n">
        <v>2.26654698</v>
      </c>
      <c r="I62" s="18" t="n">
        <v>0</v>
      </c>
      <c r="J62" s="20" t="n">
        <v>0</v>
      </c>
      <c r="K62" s="18" t="n">
        <v>0</v>
      </c>
      <c r="L62" s="20" t="n">
        <v>0</v>
      </c>
      <c r="M62" s="18" t="n">
        <v>0</v>
      </c>
      <c r="N62" s="20" t="n">
        <v>0</v>
      </c>
      <c r="O62" s="18" t="n">
        <v>0</v>
      </c>
      <c r="P62" s="20" t="n">
        <v>0</v>
      </c>
      <c r="Q62" s="18" t="n">
        <v>1.58186066</v>
      </c>
      <c r="R62" s="20" t="n">
        <v>0.6233987600000001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(5068.0/B67*100)</f>
        <v/>
      </c>
      <c r="D67" s="19" t="n">
        <v>597</v>
      </c>
      <c r="E67" s="18" t="n">
        <v>62.21543847</v>
      </c>
      <c r="F67" s="20" t="n">
        <v>1.94992582</v>
      </c>
      <c r="G67" s="18" t="n">
        <v>14.5639263</v>
      </c>
      <c r="H67" s="20" t="n">
        <v>1.40987886</v>
      </c>
      <c r="I67" s="18" t="n">
        <v>0</v>
      </c>
      <c r="J67" s="20" t="n">
        <v>0</v>
      </c>
      <c r="K67" s="18" t="n">
        <v>2.77752157</v>
      </c>
      <c r="L67" s="20" t="n">
        <v>0.62382777</v>
      </c>
      <c r="M67" s="18" t="n">
        <v>0.52687888</v>
      </c>
      <c r="N67" s="20" t="n">
        <v>0.30597564</v>
      </c>
      <c r="O67" s="18" t="n">
        <v>0</v>
      </c>
      <c r="P67" s="20" t="n">
        <v>0</v>
      </c>
      <c r="Q67" s="18" t="n">
        <v>19.91623477</v>
      </c>
      <c r="R67" s="20" t="n">
        <v>1.63778164</v>
      </c>
    </row>
    <row r="68" spans="1:18">
      <c r="A68" s="15" t="s">
        <v>628</v>
      </c>
      <c r="B68" s="17" t="n">
        <v>6971</v>
      </c>
      <c r="C68" s="18">
        <f>(6326.0/B68*100)</f>
        <v/>
      </c>
      <c r="D68" s="19" t="n">
        <v>645</v>
      </c>
      <c r="E68" s="18" t="n">
        <v>78.86290436</v>
      </c>
      <c r="F68" s="20" t="n">
        <v>1.65136113</v>
      </c>
      <c r="G68" s="18" t="n">
        <v>15.45078619</v>
      </c>
      <c r="H68" s="20" t="n">
        <v>1.52272609</v>
      </c>
      <c r="I68" s="18" t="n">
        <v>0</v>
      </c>
      <c r="J68" s="20" t="n">
        <v>0</v>
      </c>
      <c r="K68" s="18" t="n">
        <v>0.68748425</v>
      </c>
      <c r="L68" s="20" t="n">
        <v>0.34580658</v>
      </c>
      <c r="M68" s="18" t="n">
        <v>0.3070503</v>
      </c>
      <c r="N68" s="20" t="n">
        <v>0.21689423</v>
      </c>
      <c r="O68" s="18" t="n">
        <v>0</v>
      </c>
      <c r="P68" s="20" t="n">
        <v>0</v>
      </c>
      <c r="Q68" s="18" t="n">
        <v>4.69177489</v>
      </c>
      <c r="R68" s="20" t="n">
        <v>0.70997753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(10737.0/B70*100)</f>
        <v/>
      </c>
      <c r="D70" s="19" t="n">
        <v>1346</v>
      </c>
      <c r="E70" s="18" t="n">
        <v>69.35813837000001</v>
      </c>
      <c r="F70" s="20" t="n">
        <v>1.2457165</v>
      </c>
      <c r="G70" s="18" t="n">
        <v>18.223082</v>
      </c>
      <c r="H70" s="20" t="n">
        <v>0.94930728</v>
      </c>
      <c r="I70" s="18" t="n">
        <v>0</v>
      </c>
      <c r="J70" s="20" t="n">
        <v>0</v>
      </c>
      <c r="K70" s="18" t="n">
        <v>2.8617567</v>
      </c>
      <c r="L70" s="20" t="n">
        <v>0.57854395</v>
      </c>
      <c r="M70" s="18" t="n">
        <v>0</v>
      </c>
      <c r="N70" s="20" t="n">
        <v>0</v>
      </c>
      <c r="O70" s="18" t="n">
        <v>0</v>
      </c>
      <c r="P70" s="20" t="n">
        <v>0</v>
      </c>
      <c r="Q70" s="18" t="n">
        <v>9.55702293</v>
      </c>
      <c r="R70" s="20" t="n">
        <v>0.83715383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(5416.0/B72*100)</f>
        <v/>
      </c>
      <c r="D72" s="19" t="n">
        <v>620</v>
      </c>
      <c r="E72" s="18" t="n">
        <v>59.58393279</v>
      </c>
      <c r="F72" s="20" t="n">
        <v>2.48652693</v>
      </c>
      <c r="G72" s="18" t="n">
        <v>30.32542497</v>
      </c>
      <c r="H72" s="20" t="n">
        <v>2.04812311</v>
      </c>
      <c r="I72" s="18" t="n">
        <v>0</v>
      </c>
      <c r="J72" s="20" t="n">
        <v>0</v>
      </c>
      <c r="K72" s="18" t="n">
        <v>0.26843019</v>
      </c>
      <c r="L72" s="20" t="n">
        <v>0.19071767</v>
      </c>
      <c r="M72" s="18" t="n">
        <v>0.18320381</v>
      </c>
      <c r="N72" s="20" t="n">
        <v>0.1835266</v>
      </c>
      <c r="O72" s="18" t="n">
        <v>0</v>
      </c>
      <c r="P72" s="20" t="n">
        <v>0</v>
      </c>
      <c r="Q72" s="18" t="n">
        <v>9.639008240000001</v>
      </c>
      <c r="R72" s="20" t="n">
        <v>1.72179038</v>
      </c>
    </row>
    <row r="73" spans="1:18">
      <c r="A73" s="15" t="s">
        <v>633</v>
      </c>
      <c r="B73" s="17" t="n">
        <v>6115</v>
      </c>
      <c r="C73" s="18">
        <f>(5395.0/B73*100)</f>
        <v/>
      </c>
      <c r="D73" s="19" t="n">
        <v>720</v>
      </c>
      <c r="E73" s="18" t="n">
        <v>50.80750112</v>
      </c>
      <c r="F73" s="20" t="n">
        <v>1.73453298</v>
      </c>
      <c r="G73" s="18" t="n">
        <v>46.76507138</v>
      </c>
      <c r="H73" s="20" t="n">
        <v>1.8619999</v>
      </c>
      <c r="I73" s="18" t="n">
        <v>0</v>
      </c>
      <c r="J73" s="20" t="n">
        <v>0</v>
      </c>
      <c r="K73" s="18" t="n">
        <v>0.22745813</v>
      </c>
      <c r="L73" s="20" t="n">
        <v>0.1626846</v>
      </c>
      <c r="M73" s="18" t="n">
        <v>0.19340267</v>
      </c>
      <c r="N73" s="20" t="n">
        <v>0.19418784</v>
      </c>
      <c r="O73" s="18" t="n">
        <v>0</v>
      </c>
      <c r="P73" s="20" t="n">
        <v>0</v>
      </c>
      <c r="Q73" s="18" t="n">
        <v>2.00656671</v>
      </c>
      <c r="R73" s="20" t="n">
        <v>0.59440454</v>
      </c>
    </row>
    <row r="74" spans="1:18">
      <c r="A74" s="15" t="s">
        <v>634</v>
      </c>
      <c r="B74" s="17" t="n">
        <v>7708</v>
      </c>
      <c r="C74" s="18">
        <f>(6862.0/B74*100)</f>
        <v/>
      </c>
      <c r="D74" s="19" t="n">
        <v>846</v>
      </c>
      <c r="E74" s="18" t="n">
        <v>51.73406114</v>
      </c>
      <c r="F74" s="20" t="n">
        <v>1.67966102</v>
      </c>
      <c r="G74" s="18" t="n">
        <v>41.83827926</v>
      </c>
      <c r="H74" s="20" t="n">
        <v>1.74153571</v>
      </c>
      <c r="I74" s="18" t="n">
        <v>0</v>
      </c>
      <c r="J74" s="20" t="n">
        <v>0</v>
      </c>
      <c r="K74" s="18" t="n">
        <v>0.21558159</v>
      </c>
      <c r="L74" s="20" t="n">
        <v>0.21615913</v>
      </c>
      <c r="M74" s="18" t="n">
        <v>0</v>
      </c>
      <c r="N74" s="20" t="n">
        <v>0</v>
      </c>
      <c r="O74" s="18" t="n">
        <v>0</v>
      </c>
      <c r="P74" s="20" t="n">
        <v>0</v>
      </c>
      <c r="Q74" s="18" t="n">
        <v>6.21207801</v>
      </c>
      <c r="R74" s="20" t="n">
        <v>0.94932307</v>
      </c>
    </row>
    <row r="75" spans="1:18">
      <c r="A75" s="15" t="s">
        <v>635</v>
      </c>
      <c r="B75" s="17" t="n">
        <v>8249</v>
      </c>
      <c r="C75" s="18">
        <f>(7406.0/B75*100)</f>
        <v/>
      </c>
      <c r="D75" s="19" t="n">
        <v>843</v>
      </c>
      <c r="E75" s="18" t="n">
        <v>88.22959805000001</v>
      </c>
      <c r="F75" s="20" t="n">
        <v>1.52047815</v>
      </c>
      <c r="G75" s="18" t="n">
        <v>10.06258173</v>
      </c>
      <c r="H75" s="20" t="n">
        <v>1.39110976</v>
      </c>
      <c r="I75" s="18" t="n">
        <v>0</v>
      </c>
      <c r="J75" s="20" t="n">
        <v>0</v>
      </c>
      <c r="K75" s="18" t="n">
        <v>0.24346569</v>
      </c>
      <c r="L75" s="20" t="n">
        <v>0.18655893</v>
      </c>
      <c r="M75" s="18" t="n">
        <v>0.00579885</v>
      </c>
      <c r="N75" s="20" t="n">
        <v>0.00576573</v>
      </c>
      <c r="O75" s="18" t="n">
        <v>0</v>
      </c>
      <c r="P75" s="20" t="n">
        <v>0</v>
      </c>
      <c r="Q75" s="18" t="n">
        <v>1.45855569</v>
      </c>
      <c r="R75" s="20" t="n">
        <v>0.57554675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(4842.0/B77*100)</f>
        <v/>
      </c>
      <c r="D77" s="19" t="n">
        <v>533</v>
      </c>
      <c r="E77" s="18" t="n">
        <v>71.60807004</v>
      </c>
      <c r="F77" s="20" t="n">
        <v>2.03652423</v>
      </c>
      <c r="G77" s="18" t="n">
        <v>8.224488259999999</v>
      </c>
      <c r="H77" s="20" t="n">
        <v>1.12663849</v>
      </c>
      <c r="I77" s="18" t="n">
        <v>0</v>
      </c>
      <c r="J77" s="20" t="n">
        <v>0</v>
      </c>
      <c r="K77" s="18" t="n">
        <v>3.33385557</v>
      </c>
      <c r="L77" s="20" t="n">
        <v>0.69064196</v>
      </c>
      <c r="M77" s="18" t="n">
        <v>0.38246102</v>
      </c>
      <c r="N77" s="20" t="n">
        <v>0.28473106</v>
      </c>
      <c r="O77" s="18" t="n">
        <v>0</v>
      </c>
      <c r="P77" s="20" t="n">
        <v>0</v>
      </c>
      <c r="Q77" s="18" t="n">
        <v>16.45112511</v>
      </c>
      <c r="R77" s="20" t="n">
        <v>1.89461812</v>
      </c>
    </row>
    <row r="78" spans="1:18">
      <c r="A78" s="15" t="s">
        <v>638</v>
      </c>
      <c r="B78" s="17" t="n">
        <v>14167</v>
      </c>
      <c r="C78" s="18">
        <f>(12617.0/B78*100)</f>
        <v/>
      </c>
      <c r="D78" s="19" t="n">
        <v>1550</v>
      </c>
      <c r="E78" s="18" t="n">
        <v>72.24717690999999</v>
      </c>
      <c r="F78" s="20" t="n">
        <v>1.42611692</v>
      </c>
      <c r="G78" s="18" t="n">
        <v>21.33906568</v>
      </c>
      <c r="H78" s="20" t="n">
        <v>1.22790444</v>
      </c>
      <c r="I78" s="18" t="n">
        <v>0</v>
      </c>
      <c r="J78" s="20" t="n">
        <v>0</v>
      </c>
      <c r="K78" s="18" t="n">
        <v>0.5778145</v>
      </c>
      <c r="L78" s="20" t="n">
        <v>0.20451629</v>
      </c>
      <c r="M78" s="18" t="n">
        <v>0.11825793</v>
      </c>
      <c r="N78" s="20" t="n">
        <v>0.07309307</v>
      </c>
      <c r="O78" s="18" t="n">
        <v>0</v>
      </c>
      <c r="P78" s="20" t="n">
        <v>0</v>
      </c>
      <c r="Q78" s="18" t="n">
        <v>5.71768498</v>
      </c>
      <c r="R78" s="20" t="n">
        <v>0.61990597</v>
      </c>
    </row>
    <row r="79" spans="1:18">
      <c r="A79" s="15" t="s">
        <v>639</v>
      </c>
      <c r="B79" s="17" t="n">
        <v>6062</v>
      </c>
      <c r="C79" s="18">
        <f>(5464.0/B79*100)</f>
        <v/>
      </c>
      <c r="D79" s="19" t="n">
        <v>598</v>
      </c>
      <c r="E79" s="18" t="n">
        <v>67.7743017</v>
      </c>
      <c r="F79" s="20" t="n">
        <v>1.8166123</v>
      </c>
      <c r="G79" s="18" t="n">
        <v>16.36553329</v>
      </c>
      <c r="H79" s="20" t="n">
        <v>1.41718181</v>
      </c>
      <c r="I79" s="18" t="n">
        <v>0</v>
      </c>
      <c r="J79" s="20" t="n">
        <v>0</v>
      </c>
      <c r="K79" s="18" t="n">
        <v>2.67124857</v>
      </c>
      <c r="L79" s="20" t="n">
        <v>0.72153197</v>
      </c>
      <c r="M79" s="18" t="n">
        <v>0</v>
      </c>
      <c r="N79" s="20" t="n">
        <v>0</v>
      </c>
      <c r="O79" s="18" t="n">
        <v>0</v>
      </c>
      <c r="P79" s="20" t="n">
        <v>0</v>
      </c>
      <c r="Q79" s="18" t="n">
        <v>13.18891644</v>
      </c>
      <c r="R79" s="20" t="n">
        <v>1.26720715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(28768.0/B82*100)</f>
        <v/>
      </c>
      <c r="D82" s="19" t="n">
        <v>3562</v>
      </c>
      <c r="E82" s="18" t="n">
        <v>63.94071639</v>
      </c>
      <c r="F82" s="20" t="n">
        <v>1.19048768</v>
      </c>
      <c r="G82" s="18" t="n">
        <v>31.5036844</v>
      </c>
      <c r="H82" s="20" t="n">
        <v>1.1848041</v>
      </c>
      <c r="I82" s="18" t="n">
        <v>0</v>
      </c>
      <c r="J82" s="20" t="n">
        <v>0</v>
      </c>
      <c r="K82" s="18" t="n">
        <v>0.60232005</v>
      </c>
      <c r="L82" s="20" t="n">
        <v>0.19788492</v>
      </c>
      <c r="M82" s="18" t="n">
        <v>0.09184806</v>
      </c>
      <c r="N82" s="20" t="n">
        <v>0.09163283999999999</v>
      </c>
      <c r="O82" s="18" t="n">
        <v>0</v>
      </c>
      <c r="P82" s="20" t="n">
        <v>0</v>
      </c>
      <c r="Q82" s="18" t="n">
        <v>3.8614311</v>
      </c>
      <c r="R82" s="20" t="n">
        <v>0.43973894</v>
      </c>
    </row>
    <row r="83" spans="1:18">
      <c r="A83" s="15" t="s">
        <v>643</v>
      </c>
      <c r="B83" s="17" t="n">
        <v>1652</v>
      </c>
      <c r="C83" s="18">
        <f>(1480.0/B83*100)</f>
        <v/>
      </c>
      <c r="D83" s="19" t="n">
        <v>172</v>
      </c>
      <c r="E83" s="18" t="n">
        <v>62.5415033</v>
      </c>
      <c r="F83" s="20" t="n">
        <v>3.62580898</v>
      </c>
      <c r="G83" s="18" t="n">
        <v>34.04994385</v>
      </c>
      <c r="H83" s="20" t="n">
        <v>3.41249206</v>
      </c>
      <c r="I83" s="18" t="n">
        <v>0</v>
      </c>
      <c r="J83" s="20" t="n">
        <v>0</v>
      </c>
      <c r="K83" s="18" t="n">
        <v>0</v>
      </c>
      <c r="L83" s="20" t="n">
        <v>0</v>
      </c>
      <c r="M83" s="18" t="n">
        <v>0</v>
      </c>
      <c r="N83" s="20" t="n">
        <v>0</v>
      </c>
      <c r="O83" s="18" t="n">
        <v>0</v>
      </c>
      <c r="P83" s="20" t="n">
        <v>0</v>
      </c>
      <c r="Q83" s="18" t="n">
        <v>3.40855285</v>
      </c>
      <c r="R83" s="20" t="n">
        <v>1.48975533</v>
      </c>
    </row>
    <row r="84" spans="1:18">
      <c r="A84" s="23" t="s">
        <v>644</v>
      </c>
      <c r="B84" s="24" t="n">
        <v>1887</v>
      </c>
      <c r="C84" s="25">
        <f>(1694.0/B84*100)</f>
        <v/>
      </c>
      <c r="D84" s="19" t="n">
        <v>193</v>
      </c>
      <c r="E84" s="18" t="n">
        <v>68.15901353</v>
      </c>
      <c r="F84" s="20" t="n">
        <v>3.33615749</v>
      </c>
      <c r="G84" s="18" t="n">
        <v>29.03518431</v>
      </c>
      <c r="H84" s="20" t="n">
        <v>3.59398234</v>
      </c>
      <c r="I84" s="18" t="n">
        <v>0</v>
      </c>
      <c r="J84" s="20" t="n">
        <v>0</v>
      </c>
      <c r="K84" s="18" t="n">
        <v>0</v>
      </c>
      <c r="L84" s="20" t="n">
        <v>0</v>
      </c>
      <c r="M84" s="18" t="n">
        <v>0</v>
      </c>
      <c r="N84" s="20" t="n">
        <v>0</v>
      </c>
      <c r="O84" s="18" t="n">
        <v>0</v>
      </c>
      <c r="P84" s="20" t="n">
        <v>0</v>
      </c>
      <c r="Q84" s="18" t="n">
        <v>2.80580216</v>
      </c>
      <c r="R84" s="20" t="n">
        <v>1.19559369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(12961.0/B7*100)</f>
        <v/>
      </c>
      <c r="D7" s="19" t="n">
        <v>1569</v>
      </c>
      <c r="E7" s="18" t="n">
        <v>36.00097935</v>
      </c>
      <c r="F7" s="20" t="n">
        <v>1.40777846</v>
      </c>
      <c r="G7" s="18" t="n">
        <v>62.28253867</v>
      </c>
      <c r="H7" s="20" t="n">
        <v>1.45466998</v>
      </c>
      <c r="I7" s="18" t="n">
        <v>0</v>
      </c>
      <c r="J7" s="20" t="n">
        <v>0</v>
      </c>
      <c r="K7" s="18" t="n">
        <v>0.5043220899999999</v>
      </c>
      <c r="L7" s="20" t="n">
        <v>0.18716927</v>
      </c>
      <c r="M7" s="18" t="n">
        <v>0</v>
      </c>
      <c r="N7" s="20" t="n">
        <v>0</v>
      </c>
      <c r="O7" s="18" t="n">
        <v>0</v>
      </c>
      <c r="P7" s="20" t="n">
        <v>0</v>
      </c>
      <c r="Q7" s="18" t="n">
        <v>1.2121599</v>
      </c>
      <c r="R7" s="20" t="n">
        <v>0.3123934</v>
      </c>
    </row>
    <row r="8" spans="1:18">
      <c r="A8" s="15" t="s">
        <v>566</v>
      </c>
      <c r="B8" s="17" t="n">
        <v>7007</v>
      </c>
      <c r="C8" s="18">
        <f>(6259.0/B8*100)</f>
        <v/>
      </c>
      <c r="D8" s="19" t="n">
        <v>748</v>
      </c>
      <c r="E8" s="18" t="n">
        <v>37.88768805</v>
      </c>
      <c r="F8" s="20" t="n">
        <v>2.12127979</v>
      </c>
      <c r="G8" s="18" t="n">
        <v>61.27038291</v>
      </c>
      <c r="H8" s="20" t="n">
        <v>2.10527275</v>
      </c>
      <c r="I8" s="18" t="n">
        <v>0</v>
      </c>
      <c r="J8" s="20" t="n">
        <v>0</v>
      </c>
      <c r="K8" s="18" t="n">
        <v>0.05037455</v>
      </c>
      <c r="L8" s="20" t="n">
        <v>0.05040375</v>
      </c>
      <c r="M8" s="18" t="n">
        <v>0</v>
      </c>
      <c r="N8" s="20" t="n">
        <v>0</v>
      </c>
      <c r="O8" s="18" t="n">
        <v>0</v>
      </c>
      <c r="P8" s="20" t="n">
        <v>0</v>
      </c>
      <c r="Q8" s="18" t="n">
        <v>0.7915545</v>
      </c>
      <c r="R8" s="20" t="n">
        <v>0.3256631</v>
      </c>
    </row>
    <row r="9" spans="1:18">
      <c r="A9" s="15" t="s">
        <v>567</v>
      </c>
      <c r="B9" s="17" t="n">
        <v>9651</v>
      </c>
      <c r="C9" s="18">
        <f>(8647.0/B9*100)</f>
        <v/>
      </c>
      <c r="D9" s="19" t="n">
        <v>1004</v>
      </c>
      <c r="E9" s="18" t="n">
        <v>34.59668105</v>
      </c>
      <c r="F9" s="20" t="n">
        <v>1.40442457</v>
      </c>
      <c r="G9" s="18" t="n">
        <v>64.49470836</v>
      </c>
      <c r="H9" s="20" t="n">
        <v>1.40875341</v>
      </c>
      <c r="I9" s="18" t="n">
        <v>0</v>
      </c>
      <c r="J9" s="20" t="n">
        <v>0</v>
      </c>
      <c r="K9" s="18" t="n">
        <v>0.24973304</v>
      </c>
      <c r="L9" s="20" t="n">
        <v>0.16093147</v>
      </c>
      <c r="M9" s="18" t="n">
        <v>0</v>
      </c>
      <c r="N9" s="20" t="n">
        <v>0</v>
      </c>
      <c r="O9" s="18" t="n">
        <v>0</v>
      </c>
      <c r="P9" s="20" t="n">
        <v>0</v>
      </c>
      <c r="Q9" s="18" t="n">
        <v>0.65887755</v>
      </c>
      <c r="R9" s="20" t="n">
        <v>0.25356413</v>
      </c>
    </row>
    <row r="10" spans="1:18">
      <c r="A10" s="15" t="s">
        <v>568</v>
      </c>
      <c r="B10" s="17" t="n">
        <v>20058</v>
      </c>
      <c r="C10" s="18">
        <f>(17811.0/B10*100)</f>
        <v/>
      </c>
      <c r="D10" s="19" t="n">
        <v>2247</v>
      </c>
      <c r="E10" s="18" t="n">
        <v>38.66485919</v>
      </c>
      <c r="F10" s="20" t="n">
        <v>1.50871102</v>
      </c>
      <c r="G10" s="18" t="n">
        <v>60.57087178</v>
      </c>
      <c r="H10" s="20" t="n">
        <v>1.49880392</v>
      </c>
      <c r="I10" s="18" t="n">
        <v>0</v>
      </c>
      <c r="J10" s="20" t="n">
        <v>0</v>
      </c>
      <c r="K10" s="18" t="n">
        <v>0.35368434</v>
      </c>
      <c r="L10" s="20" t="n">
        <v>0.16778198</v>
      </c>
      <c r="M10" s="18" t="n">
        <v>0</v>
      </c>
      <c r="N10" s="20" t="n">
        <v>0</v>
      </c>
      <c r="O10" s="18" t="n">
        <v>0</v>
      </c>
      <c r="P10" s="20" t="n">
        <v>0</v>
      </c>
      <c r="Q10" s="18" t="n">
        <v>0.4105847</v>
      </c>
      <c r="R10" s="20" t="n">
        <v>0.21064191</v>
      </c>
    </row>
    <row r="11" spans="1:18">
      <c r="A11" s="15" t="s">
        <v>569</v>
      </c>
      <c r="B11" s="17" t="n">
        <v>7053</v>
      </c>
      <c r="C11" s="18">
        <f>(6267.0/B11*100)</f>
        <v/>
      </c>
      <c r="D11" s="19" t="n">
        <v>786</v>
      </c>
      <c r="E11" s="18" t="n">
        <v>55.04412871</v>
      </c>
      <c r="F11" s="20" t="n">
        <v>1.86371121</v>
      </c>
      <c r="G11" s="18" t="n">
        <v>41.12579399</v>
      </c>
      <c r="H11" s="20" t="n">
        <v>1.94300043</v>
      </c>
      <c r="I11" s="18" t="n">
        <v>0</v>
      </c>
      <c r="J11" s="20" t="n">
        <v>0</v>
      </c>
      <c r="K11" s="18" t="n">
        <v>1.98825299</v>
      </c>
      <c r="L11" s="20" t="n">
        <v>0.69473605</v>
      </c>
      <c r="M11" s="18" t="n">
        <v>0</v>
      </c>
      <c r="N11" s="20" t="n">
        <v>0</v>
      </c>
      <c r="O11" s="18" t="n">
        <v>0</v>
      </c>
      <c r="P11" s="20" t="n">
        <v>0</v>
      </c>
      <c r="Q11" s="18" t="n">
        <v>1.8418243</v>
      </c>
      <c r="R11" s="20" t="n">
        <v>0.57912266</v>
      </c>
    </row>
    <row r="12" spans="1:18">
      <c r="A12" s="15" t="s">
        <v>570</v>
      </c>
      <c r="B12" s="17" t="n">
        <v>6894</v>
      </c>
      <c r="C12" s="18">
        <f>(6118.0/B12*100)</f>
        <v/>
      </c>
      <c r="D12" s="19" t="n">
        <v>776</v>
      </c>
      <c r="E12" s="18" t="n">
        <v>38.49369932</v>
      </c>
      <c r="F12" s="20" t="n">
        <v>2.06242251</v>
      </c>
      <c r="G12" s="18" t="n">
        <v>60.23701948</v>
      </c>
      <c r="H12" s="20" t="n">
        <v>2.01028664</v>
      </c>
      <c r="I12" s="18" t="n">
        <v>0</v>
      </c>
      <c r="J12" s="20" t="n">
        <v>0</v>
      </c>
      <c r="K12" s="18" t="n">
        <v>0.37432535</v>
      </c>
      <c r="L12" s="20" t="n">
        <v>0.26106241</v>
      </c>
      <c r="M12" s="18" t="n">
        <v>0</v>
      </c>
      <c r="N12" s="20" t="n">
        <v>0</v>
      </c>
      <c r="O12" s="18" t="n">
        <v>0</v>
      </c>
      <c r="P12" s="20" t="n">
        <v>0</v>
      </c>
      <c r="Q12" s="18" t="n">
        <v>0.89495585</v>
      </c>
      <c r="R12" s="20" t="n">
        <v>0.33217917</v>
      </c>
    </row>
    <row r="13" spans="1:18">
      <c r="A13" s="15" t="s">
        <v>571</v>
      </c>
      <c r="B13" s="17" t="n">
        <v>7161</v>
      </c>
      <c r="C13" s="18">
        <f>(6462.0/B13*100)</f>
        <v/>
      </c>
      <c r="D13" s="19" t="n">
        <v>699</v>
      </c>
      <c r="E13" s="18" t="n">
        <v>39.74844915</v>
      </c>
      <c r="F13" s="20" t="n">
        <v>2.40606164</v>
      </c>
      <c r="G13" s="18" t="n">
        <v>58.6161918</v>
      </c>
      <c r="H13" s="20" t="n">
        <v>2.34485229</v>
      </c>
      <c r="I13" s="18" t="n">
        <v>0</v>
      </c>
      <c r="J13" s="20" t="n">
        <v>0</v>
      </c>
      <c r="K13" s="18" t="n">
        <v>1.04517992</v>
      </c>
      <c r="L13" s="20" t="n">
        <v>0.47625304</v>
      </c>
      <c r="M13" s="18" t="n">
        <v>0</v>
      </c>
      <c r="N13" s="20" t="n">
        <v>0</v>
      </c>
      <c r="O13" s="18" t="n">
        <v>0</v>
      </c>
      <c r="P13" s="20" t="n">
        <v>0</v>
      </c>
      <c r="Q13" s="18" t="n">
        <v>0.59017913</v>
      </c>
      <c r="R13" s="20" t="n">
        <v>0.36556089</v>
      </c>
    </row>
    <row r="14" spans="1:18">
      <c r="A14" s="15" t="s">
        <v>572</v>
      </c>
      <c r="B14" s="17" t="n">
        <v>5587</v>
      </c>
      <c r="C14" s="18">
        <f>(4939.0/B14*100)</f>
        <v/>
      </c>
      <c r="D14" s="19" t="n">
        <v>648</v>
      </c>
      <c r="E14" s="18" t="n">
        <v>32.50238684</v>
      </c>
      <c r="F14" s="20" t="n">
        <v>2.21567481</v>
      </c>
      <c r="G14" s="18" t="n">
        <v>67.16769868</v>
      </c>
      <c r="H14" s="20" t="n">
        <v>2.20977746</v>
      </c>
      <c r="I14" s="18" t="n">
        <v>0</v>
      </c>
      <c r="J14" s="20" t="n">
        <v>0</v>
      </c>
      <c r="K14" s="18" t="n">
        <v>0.15385401</v>
      </c>
      <c r="L14" s="20" t="n">
        <v>0.15619499</v>
      </c>
      <c r="M14" s="18" t="n">
        <v>0</v>
      </c>
      <c r="N14" s="20" t="n">
        <v>0</v>
      </c>
      <c r="O14" s="18" t="n">
        <v>0</v>
      </c>
      <c r="P14" s="20" t="n">
        <v>0</v>
      </c>
      <c r="Q14" s="18" t="n">
        <v>0.17606047</v>
      </c>
      <c r="R14" s="20" t="n">
        <v>0.17614567</v>
      </c>
    </row>
    <row r="15" spans="1:18">
      <c r="A15" s="15" t="s">
        <v>573</v>
      </c>
      <c r="B15" s="17" t="n">
        <v>5882</v>
      </c>
      <c r="C15" s="18">
        <f>(5240.0/B15*100)</f>
        <v/>
      </c>
      <c r="D15" s="19" t="n">
        <v>642</v>
      </c>
      <c r="E15" s="18" t="n">
        <v>28.7460365</v>
      </c>
      <c r="F15" s="20" t="n">
        <v>2.10924748</v>
      </c>
      <c r="G15" s="18" t="n">
        <v>70.84943414</v>
      </c>
      <c r="H15" s="20" t="n">
        <v>2.1530678</v>
      </c>
      <c r="I15" s="18" t="n">
        <v>0</v>
      </c>
      <c r="J15" s="20" t="n">
        <v>0</v>
      </c>
      <c r="K15" s="18" t="n">
        <v>0.06591292</v>
      </c>
      <c r="L15" s="20" t="n">
        <v>0.06591998</v>
      </c>
      <c r="M15" s="18" t="n">
        <v>0</v>
      </c>
      <c r="N15" s="20" t="n">
        <v>0</v>
      </c>
      <c r="O15" s="18" t="n">
        <v>0</v>
      </c>
      <c r="P15" s="20" t="n">
        <v>0</v>
      </c>
      <c r="Q15" s="18" t="n">
        <v>0.33861645</v>
      </c>
      <c r="R15" s="20" t="n">
        <v>0.24058748</v>
      </c>
    </row>
    <row r="16" spans="1:18">
      <c r="A16" s="15" t="s">
        <v>574</v>
      </c>
      <c r="B16" s="17" t="n">
        <v>6108</v>
      </c>
      <c r="C16" s="18">
        <f>(5402.0/B16*100)</f>
        <v/>
      </c>
      <c r="D16" s="19" t="n">
        <v>706</v>
      </c>
      <c r="E16" s="18" t="n">
        <v>39.9785963</v>
      </c>
      <c r="F16" s="20" t="n">
        <v>1.72539061</v>
      </c>
      <c r="G16" s="18" t="n">
        <v>58.19708876</v>
      </c>
      <c r="H16" s="20" t="n">
        <v>1.84578359</v>
      </c>
      <c r="I16" s="18" t="n">
        <v>0</v>
      </c>
      <c r="J16" s="20" t="n">
        <v>0</v>
      </c>
      <c r="K16" s="18" t="n">
        <v>0.9690403399999999</v>
      </c>
      <c r="L16" s="20" t="n">
        <v>0.4379654</v>
      </c>
      <c r="M16" s="18" t="n">
        <v>0</v>
      </c>
      <c r="N16" s="20" t="n">
        <v>0</v>
      </c>
      <c r="O16" s="18" t="n">
        <v>0</v>
      </c>
      <c r="P16" s="20" t="n">
        <v>0</v>
      </c>
      <c r="Q16" s="18" t="n">
        <v>0.8552746</v>
      </c>
      <c r="R16" s="20" t="n">
        <v>0.33745294</v>
      </c>
    </row>
    <row r="17" spans="1:18">
      <c r="A17" s="15" t="s">
        <v>575</v>
      </c>
      <c r="B17" s="17" t="n">
        <v>6504</v>
      </c>
      <c r="C17" s="18">
        <f>(5825.0/B17*100)</f>
        <v/>
      </c>
      <c r="D17" s="19" t="n">
        <v>679</v>
      </c>
      <c r="E17" s="18" t="n">
        <v>37.34477439</v>
      </c>
      <c r="F17" s="20" t="n">
        <v>1.95881446</v>
      </c>
      <c r="G17" s="18" t="n">
        <v>60.53988114</v>
      </c>
      <c r="H17" s="20" t="n">
        <v>1.92167215</v>
      </c>
      <c r="I17" s="18" t="n">
        <v>0</v>
      </c>
      <c r="J17" s="20" t="n">
        <v>0</v>
      </c>
      <c r="K17" s="18" t="n">
        <v>0.91795622</v>
      </c>
      <c r="L17" s="20" t="n">
        <v>0.3564261</v>
      </c>
      <c r="M17" s="18" t="n">
        <v>0</v>
      </c>
      <c r="N17" s="20" t="n">
        <v>0</v>
      </c>
      <c r="O17" s="18" t="n">
        <v>0</v>
      </c>
      <c r="P17" s="20" t="n">
        <v>0</v>
      </c>
      <c r="Q17" s="18" t="n">
        <v>1.19738826</v>
      </c>
      <c r="R17" s="20" t="n">
        <v>0.31125465</v>
      </c>
    </row>
    <row r="18" spans="1:18">
      <c r="A18" s="15" t="s">
        <v>576</v>
      </c>
      <c r="B18" s="17" t="n">
        <v>5532</v>
      </c>
      <c r="C18" s="18">
        <f>(4912.0/B18*100)</f>
        <v/>
      </c>
      <c r="D18" s="19" t="n">
        <v>620</v>
      </c>
      <c r="E18" s="18" t="n">
        <v>51.90314358</v>
      </c>
      <c r="F18" s="20" t="n">
        <v>1.90230397</v>
      </c>
      <c r="G18" s="18" t="n">
        <v>46.60770721</v>
      </c>
      <c r="H18" s="20" t="n">
        <v>1.86024114</v>
      </c>
      <c r="I18" s="18" t="n">
        <v>0</v>
      </c>
      <c r="J18" s="20" t="n">
        <v>0</v>
      </c>
      <c r="K18" s="18" t="n">
        <v>1.3937311</v>
      </c>
      <c r="L18" s="20" t="n">
        <v>0.62318174</v>
      </c>
      <c r="M18" s="18" t="n">
        <v>0</v>
      </c>
      <c r="N18" s="20" t="n">
        <v>0</v>
      </c>
      <c r="O18" s="18" t="n">
        <v>0</v>
      </c>
      <c r="P18" s="20" t="n">
        <v>0</v>
      </c>
      <c r="Q18" s="18" t="n">
        <v>0.09541811</v>
      </c>
      <c r="R18" s="20" t="n">
        <v>0.09576293</v>
      </c>
    </row>
    <row r="19" spans="1:18">
      <c r="A19" s="15" t="s">
        <v>577</v>
      </c>
      <c r="B19" s="17" t="n">
        <v>5658</v>
      </c>
      <c r="C19" s="18">
        <f>(5074.0/B19*100)</f>
        <v/>
      </c>
      <c r="D19" s="19" t="n">
        <v>584</v>
      </c>
      <c r="E19" s="18" t="n">
        <v>38.44163187</v>
      </c>
      <c r="F19" s="20" t="n">
        <v>2.41385556</v>
      </c>
      <c r="G19" s="18" t="n">
        <v>61.10929615</v>
      </c>
      <c r="H19" s="20" t="n">
        <v>2.39975662</v>
      </c>
      <c r="I19" s="18" t="n">
        <v>0</v>
      </c>
      <c r="J19" s="20" t="n">
        <v>0</v>
      </c>
      <c r="K19" s="18" t="n">
        <v>0.15107847</v>
      </c>
      <c r="L19" s="20" t="n">
        <v>0.1511476</v>
      </c>
      <c r="M19" s="18" t="n">
        <v>0</v>
      </c>
      <c r="N19" s="20" t="n">
        <v>0</v>
      </c>
      <c r="O19" s="18" t="n">
        <v>0</v>
      </c>
      <c r="P19" s="20" t="n">
        <v>0</v>
      </c>
      <c r="Q19" s="18" t="n">
        <v>0.2979935</v>
      </c>
      <c r="R19" s="20" t="n">
        <v>0.17444537</v>
      </c>
    </row>
    <row r="20" spans="1:18">
      <c r="A20" s="15" t="s">
        <v>578</v>
      </c>
      <c r="B20" s="17" t="n">
        <v>3371</v>
      </c>
      <c r="C20" s="18">
        <f>(3002.0/B20*100)</f>
        <v/>
      </c>
      <c r="D20" s="19" t="n">
        <v>369</v>
      </c>
      <c r="E20" s="18" t="n">
        <v>41.82455865</v>
      </c>
      <c r="F20" s="20" t="n">
        <v>2.54361907</v>
      </c>
      <c r="G20" s="18" t="n">
        <v>55.38972456</v>
      </c>
      <c r="H20" s="20" t="n">
        <v>2.65044183</v>
      </c>
      <c r="I20" s="18" t="n">
        <v>0</v>
      </c>
      <c r="J20" s="20" t="n">
        <v>0</v>
      </c>
      <c r="K20" s="18" t="n">
        <v>1.66137091</v>
      </c>
      <c r="L20" s="20" t="n">
        <v>0.7799337200000001</v>
      </c>
      <c r="M20" s="18" t="n">
        <v>0</v>
      </c>
      <c r="N20" s="20" t="n">
        <v>0</v>
      </c>
      <c r="O20" s="18" t="n">
        <v>0</v>
      </c>
      <c r="P20" s="20" t="n">
        <v>0</v>
      </c>
      <c r="Q20" s="18" t="n">
        <v>1.12434588</v>
      </c>
      <c r="R20" s="20" t="n">
        <v>0.5488550800000001</v>
      </c>
    </row>
    <row r="21" spans="1:18">
      <c r="A21" s="15" t="s">
        <v>579</v>
      </c>
      <c r="B21" s="17" t="n">
        <v>5741</v>
      </c>
      <c r="C21" s="18">
        <f>(5125.0/B21*100)</f>
        <v/>
      </c>
      <c r="D21" s="19" t="n">
        <v>616</v>
      </c>
      <c r="E21" s="18" t="n">
        <v>40.55771582</v>
      </c>
      <c r="F21" s="20" t="n">
        <v>2.12961158</v>
      </c>
      <c r="G21" s="18" t="n">
        <v>59.16771781</v>
      </c>
      <c r="H21" s="20" t="n">
        <v>2.11937298</v>
      </c>
      <c r="I21" s="18" t="n">
        <v>0</v>
      </c>
      <c r="J21" s="20" t="n">
        <v>0</v>
      </c>
      <c r="K21" s="18" t="n">
        <v>0.13966468</v>
      </c>
      <c r="L21" s="20" t="n">
        <v>0.1013708</v>
      </c>
      <c r="M21" s="18" t="n">
        <v>0</v>
      </c>
      <c r="N21" s="20" t="n">
        <v>0</v>
      </c>
      <c r="O21" s="18" t="n">
        <v>0</v>
      </c>
      <c r="P21" s="20" t="n">
        <v>0</v>
      </c>
      <c r="Q21" s="18" t="n">
        <v>0.1349017</v>
      </c>
      <c r="R21" s="20" t="n">
        <v>0.13364498</v>
      </c>
    </row>
    <row r="22" spans="1:18">
      <c r="A22" s="15" t="s">
        <v>580</v>
      </c>
      <c r="B22" s="17" t="n">
        <v>6598</v>
      </c>
      <c r="C22" s="18">
        <f>(5913.0/B22*100)</f>
        <v/>
      </c>
      <c r="D22" s="19" t="n">
        <v>685</v>
      </c>
      <c r="E22" s="18" t="n">
        <v>43.32001344</v>
      </c>
      <c r="F22" s="20" t="n">
        <v>2.35346626</v>
      </c>
      <c r="G22" s="18" t="n">
        <v>53.06198182</v>
      </c>
      <c r="H22" s="20" t="n">
        <v>2.49040537</v>
      </c>
      <c r="I22" s="18" t="n">
        <v>0</v>
      </c>
      <c r="J22" s="20" t="n">
        <v>0</v>
      </c>
      <c r="K22" s="18" t="n">
        <v>1.05563935</v>
      </c>
      <c r="L22" s="20" t="n">
        <v>0.4414847</v>
      </c>
      <c r="M22" s="18" t="n">
        <v>0</v>
      </c>
      <c r="N22" s="20" t="n">
        <v>0</v>
      </c>
      <c r="O22" s="18" t="n">
        <v>0</v>
      </c>
      <c r="P22" s="20" t="n">
        <v>0</v>
      </c>
      <c r="Q22" s="18" t="n">
        <v>2.56236539</v>
      </c>
      <c r="R22" s="20" t="n">
        <v>0.92553103</v>
      </c>
    </row>
    <row r="23" spans="1:18">
      <c r="A23" s="15" t="s">
        <v>581</v>
      </c>
      <c r="B23" s="17" t="n">
        <v>11583</v>
      </c>
      <c r="C23" s="18">
        <f>(10330.0/B23*100)</f>
        <v/>
      </c>
      <c r="D23" s="19" t="n">
        <v>1253</v>
      </c>
      <c r="E23" s="18" t="n">
        <v>37.4431507</v>
      </c>
      <c r="F23" s="20" t="n">
        <v>2.04118993</v>
      </c>
      <c r="G23" s="18" t="n">
        <v>59.75501211</v>
      </c>
      <c r="H23" s="20" t="n">
        <v>1.94453756</v>
      </c>
      <c r="I23" s="18" t="n">
        <v>0</v>
      </c>
      <c r="J23" s="20" t="n">
        <v>0</v>
      </c>
      <c r="K23" s="18" t="n">
        <v>1.15704448</v>
      </c>
      <c r="L23" s="20" t="n">
        <v>0.47298918</v>
      </c>
      <c r="M23" s="18" t="n">
        <v>0</v>
      </c>
      <c r="N23" s="20" t="n">
        <v>0</v>
      </c>
      <c r="O23" s="18" t="n">
        <v>0</v>
      </c>
      <c r="P23" s="20" t="n">
        <v>0</v>
      </c>
      <c r="Q23" s="18" t="n">
        <v>1.64479271</v>
      </c>
      <c r="R23" s="20" t="n">
        <v>0.39124511</v>
      </c>
    </row>
    <row r="24" spans="1:18">
      <c r="A24" s="15" t="s">
        <v>582</v>
      </c>
      <c r="B24" s="17" t="n">
        <v>6647</v>
      </c>
      <c r="C24" s="18">
        <f>(5939.0/B24*100)</f>
        <v/>
      </c>
      <c r="D24" s="19" t="n">
        <v>708</v>
      </c>
      <c r="E24" s="18" t="n">
        <v>35.20626846</v>
      </c>
      <c r="F24" s="20" t="n">
        <v>1.83374543</v>
      </c>
      <c r="G24" s="18" t="n">
        <v>64.22741347</v>
      </c>
      <c r="H24" s="20" t="n">
        <v>1.82384152</v>
      </c>
      <c r="I24" s="18" t="n">
        <v>0</v>
      </c>
      <c r="J24" s="20" t="n">
        <v>0</v>
      </c>
      <c r="K24" s="18" t="n">
        <v>0.13552523</v>
      </c>
      <c r="L24" s="20" t="n">
        <v>0.13592226</v>
      </c>
      <c r="M24" s="18" t="n">
        <v>0</v>
      </c>
      <c r="N24" s="20" t="n">
        <v>0</v>
      </c>
      <c r="O24" s="18" t="n">
        <v>0</v>
      </c>
      <c r="P24" s="20" t="n">
        <v>0</v>
      </c>
      <c r="Q24" s="18" t="n">
        <v>0.43079284</v>
      </c>
      <c r="R24" s="20" t="n">
        <v>0.24876558</v>
      </c>
    </row>
    <row r="25" spans="1:18">
      <c r="A25" s="15" t="s">
        <v>583</v>
      </c>
      <c r="B25" s="17" t="n">
        <v>5581</v>
      </c>
      <c r="C25" s="18">
        <f>(4968.0/B25*100)</f>
        <v/>
      </c>
      <c r="D25" s="19" t="n">
        <v>613</v>
      </c>
      <c r="E25" s="18" t="n">
        <v>34.41899869</v>
      </c>
      <c r="F25" s="20" t="n">
        <v>2.16702072</v>
      </c>
      <c r="G25" s="18" t="n">
        <v>64.39708167000001</v>
      </c>
      <c r="H25" s="20" t="n">
        <v>2.17445437</v>
      </c>
      <c r="I25" s="18" t="n">
        <v>0</v>
      </c>
      <c r="J25" s="20" t="n">
        <v>0</v>
      </c>
      <c r="K25" s="18" t="n">
        <v>0.94649626</v>
      </c>
      <c r="L25" s="20" t="n">
        <v>0.29621239</v>
      </c>
      <c r="M25" s="18" t="n">
        <v>0</v>
      </c>
      <c r="N25" s="20" t="n">
        <v>0</v>
      </c>
      <c r="O25" s="18" t="n">
        <v>0</v>
      </c>
      <c r="P25" s="20" t="n">
        <v>0</v>
      </c>
      <c r="Q25" s="18" t="n">
        <v>0.23742338</v>
      </c>
      <c r="R25" s="20" t="n">
        <v>0.1709681</v>
      </c>
    </row>
    <row r="26" spans="1:18">
      <c r="A26" s="15" t="s">
        <v>584</v>
      </c>
      <c r="B26" s="17" t="n">
        <v>4869</v>
      </c>
      <c r="C26" s="18">
        <f>(4310.0/B26*100)</f>
        <v/>
      </c>
      <c r="D26" s="19" t="n">
        <v>559</v>
      </c>
      <c r="E26" s="18" t="n">
        <v>43.31795298</v>
      </c>
      <c r="F26" s="20" t="n">
        <v>2.08590758</v>
      </c>
      <c r="G26" s="18" t="n">
        <v>55.87779684</v>
      </c>
      <c r="H26" s="20" t="n">
        <v>1.98716197</v>
      </c>
      <c r="I26" s="18" t="n">
        <v>0</v>
      </c>
      <c r="J26" s="20" t="n">
        <v>0</v>
      </c>
      <c r="K26" s="18" t="n">
        <v>0</v>
      </c>
      <c r="L26" s="20" t="n">
        <v>0</v>
      </c>
      <c r="M26" s="18" t="n">
        <v>0</v>
      </c>
      <c r="N26" s="20" t="n">
        <v>0</v>
      </c>
      <c r="O26" s="18" t="n">
        <v>0</v>
      </c>
      <c r="P26" s="20" t="n">
        <v>0</v>
      </c>
      <c r="Q26" s="18" t="n">
        <v>0.80425018</v>
      </c>
      <c r="R26" s="20" t="n">
        <v>0.42722059</v>
      </c>
    </row>
    <row r="27" spans="1:18">
      <c r="A27" s="15" t="s">
        <v>585</v>
      </c>
      <c r="B27" s="17" t="n">
        <v>5299</v>
      </c>
      <c r="C27" s="18">
        <f>(4694.0/B27*100)</f>
        <v/>
      </c>
      <c r="D27" s="19" t="n">
        <v>605</v>
      </c>
      <c r="E27" s="18" t="n">
        <v>43.26873691</v>
      </c>
      <c r="F27" s="20" t="n">
        <v>2.20364439</v>
      </c>
      <c r="G27" s="18" t="n">
        <v>55.07473071</v>
      </c>
      <c r="H27" s="20" t="n">
        <v>2.18433472</v>
      </c>
      <c r="I27" s="18" t="n">
        <v>0</v>
      </c>
      <c r="J27" s="20" t="n">
        <v>0</v>
      </c>
      <c r="K27" s="18" t="n">
        <v>0.84813018</v>
      </c>
      <c r="L27" s="20" t="n">
        <v>0.37724478</v>
      </c>
      <c r="M27" s="18" t="n">
        <v>0</v>
      </c>
      <c r="N27" s="20" t="n">
        <v>0</v>
      </c>
      <c r="O27" s="18" t="n">
        <v>0</v>
      </c>
      <c r="P27" s="20" t="n">
        <v>0</v>
      </c>
      <c r="Q27" s="18" t="n">
        <v>0.8084022</v>
      </c>
      <c r="R27" s="20" t="n">
        <v>0.36563124</v>
      </c>
    </row>
    <row r="28" spans="1:18">
      <c r="A28" s="15" t="s">
        <v>586</v>
      </c>
      <c r="B28" s="17" t="n">
        <v>7568</v>
      </c>
      <c r="C28" s="18">
        <f>(6771.0/B28*100)</f>
        <v/>
      </c>
      <c r="D28" s="19" t="n">
        <v>797</v>
      </c>
      <c r="E28" s="18" t="n">
        <v>58.79041545</v>
      </c>
      <c r="F28" s="20" t="n">
        <v>1.93859964</v>
      </c>
      <c r="G28" s="18" t="n">
        <v>39.23944999</v>
      </c>
      <c r="H28" s="20" t="n">
        <v>1.91683844</v>
      </c>
      <c r="I28" s="18" t="n">
        <v>0</v>
      </c>
      <c r="J28" s="20" t="n">
        <v>0</v>
      </c>
      <c r="K28" s="18" t="n">
        <v>0.92324816</v>
      </c>
      <c r="L28" s="20" t="n">
        <v>0.39445075</v>
      </c>
      <c r="M28" s="18" t="n">
        <v>0</v>
      </c>
      <c r="N28" s="20" t="n">
        <v>0</v>
      </c>
      <c r="O28" s="18" t="n">
        <v>0</v>
      </c>
      <c r="P28" s="20" t="n">
        <v>0</v>
      </c>
      <c r="Q28" s="18" t="n">
        <v>1.0468864</v>
      </c>
      <c r="R28" s="20" t="n">
        <v>0.41689781</v>
      </c>
    </row>
    <row r="29" spans="1:18">
      <c r="A29" s="15" t="s">
        <v>587</v>
      </c>
      <c r="B29" s="17" t="n">
        <v>5385</v>
      </c>
      <c r="C29" s="18">
        <f>(4851.0/B29*100)</f>
        <v/>
      </c>
      <c r="D29" s="19" t="n">
        <v>534</v>
      </c>
      <c r="E29" s="18" t="n">
        <v>38.35010592</v>
      </c>
      <c r="F29" s="20" t="n">
        <v>2.16896936</v>
      </c>
      <c r="G29" s="18" t="n">
        <v>61.40778668</v>
      </c>
      <c r="H29" s="20" t="n">
        <v>2.14822383</v>
      </c>
      <c r="I29" s="18" t="n">
        <v>0</v>
      </c>
      <c r="J29" s="20" t="n">
        <v>0</v>
      </c>
      <c r="K29" s="18" t="n">
        <v>0.17061289</v>
      </c>
      <c r="L29" s="20" t="n">
        <v>0.16227445</v>
      </c>
      <c r="M29" s="18" t="n">
        <v>0</v>
      </c>
      <c r="N29" s="20" t="n">
        <v>0</v>
      </c>
      <c r="O29" s="18" t="n">
        <v>0</v>
      </c>
      <c r="P29" s="20" t="n">
        <v>0</v>
      </c>
      <c r="Q29" s="18" t="n">
        <v>0.07149451</v>
      </c>
      <c r="R29" s="20" t="n">
        <v>0.07197117</v>
      </c>
    </row>
    <row r="30" spans="1:18">
      <c r="A30" s="15" t="s">
        <v>588</v>
      </c>
      <c r="B30" s="17" t="n">
        <v>4520</v>
      </c>
      <c r="C30" s="18">
        <f>(4018.0/B30*100)</f>
        <v/>
      </c>
      <c r="D30" s="19" t="n">
        <v>502</v>
      </c>
      <c r="E30" s="18" t="n">
        <v>34.82384629</v>
      </c>
      <c r="F30" s="20" t="n">
        <v>1.91080413</v>
      </c>
      <c r="G30" s="18" t="n">
        <v>62.37872923</v>
      </c>
      <c r="H30" s="20" t="n">
        <v>2.12773451</v>
      </c>
      <c r="I30" s="18" t="n">
        <v>0</v>
      </c>
      <c r="J30" s="20" t="n">
        <v>0</v>
      </c>
      <c r="K30" s="18" t="n">
        <v>1.32635984</v>
      </c>
      <c r="L30" s="20" t="n">
        <v>0.49931859</v>
      </c>
      <c r="M30" s="18" t="n">
        <v>0</v>
      </c>
      <c r="N30" s="20" t="n">
        <v>0</v>
      </c>
      <c r="O30" s="18" t="n">
        <v>0</v>
      </c>
      <c r="P30" s="20" t="n">
        <v>0</v>
      </c>
      <c r="Q30" s="18" t="n">
        <v>1.47106464</v>
      </c>
      <c r="R30" s="20" t="n">
        <v>0.50229816</v>
      </c>
    </row>
    <row r="31" spans="1:18">
      <c r="A31" s="15" t="s">
        <v>589</v>
      </c>
      <c r="B31" s="17" t="n">
        <v>5456</v>
      </c>
      <c r="C31" s="18">
        <f>(4851.0/B31*100)</f>
        <v/>
      </c>
      <c r="D31" s="19" t="n">
        <v>605</v>
      </c>
      <c r="E31" s="18" t="n">
        <v>39.12083042</v>
      </c>
      <c r="F31" s="20" t="n">
        <v>1.79011767</v>
      </c>
      <c r="G31" s="18" t="n">
        <v>59.61691487</v>
      </c>
      <c r="H31" s="20" t="n">
        <v>1.79164566</v>
      </c>
      <c r="I31" s="18" t="n">
        <v>0</v>
      </c>
      <c r="J31" s="20" t="n">
        <v>0</v>
      </c>
      <c r="K31" s="18" t="n">
        <v>0.92860814</v>
      </c>
      <c r="L31" s="20" t="n">
        <v>0.41153271</v>
      </c>
      <c r="M31" s="18" t="n">
        <v>0</v>
      </c>
      <c r="N31" s="20" t="n">
        <v>0</v>
      </c>
      <c r="O31" s="18" t="n">
        <v>0</v>
      </c>
      <c r="P31" s="20" t="n">
        <v>0</v>
      </c>
      <c r="Q31" s="18" t="n">
        <v>0.33364657</v>
      </c>
      <c r="R31" s="20" t="n">
        <v>0.24231786</v>
      </c>
    </row>
    <row r="32" spans="1:18">
      <c r="A32" s="15" t="s">
        <v>590</v>
      </c>
      <c r="B32" s="17" t="n">
        <v>4478</v>
      </c>
      <c r="C32" s="18">
        <f>(3997.0/B32*100)</f>
        <v/>
      </c>
      <c r="D32" s="19" t="n">
        <v>481</v>
      </c>
      <c r="E32" s="18" t="n">
        <v>41.71816531</v>
      </c>
      <c r="F32" s="20" t="n">
        <v>2.45764001</v>
      </c>
      <c r="G32" s="18" t="n">
        <v>57.44920842</v>
      </c>
      <c r="H32" s="20" t="n">
        <v>2.44073558</v>
      </c>
      <c r="I32" s="18" t="n">
        <v>0</v>
      </c>
      <c r="J32" s="20" t="n">
        <v>0</v>
      </c>
      <c r="K32" s="18" t="n">
        <v>0</v>
      </c>
      <c r="L32" s="20" t="n">
        <v>0</v>
      </c>
      <c r="M32" s="18" t="n">
        <v>0</v>
      </c>
      <c r="N32" s="20" t="n">
        <v>0</v>
      </c>
      <c r="O32" s="18" t="n">
        <v>0</v>
      </c>
      <c r="P32" s="20" t="n">
        <v>0</v>
      </c>
      <c r="Q32" s="18" t="n">
        <v>0.83262626</v>
      </c>
      <c r="R32" s="20" t="n">
        <v>0.4213031</v>
      </c>
    </row>
    <row r="33" spans="1:18">
      <c r="A33" s="15" t="s">
        <v>591</v>
      </c>
      <c r="B33" s="17" t="n">
        <v>7325</v>
      </c>
      <c r="C33" s="18">
        <f>(6522.0/B33*100)</f>
        <v/>
      </c>
      <c r="D33" s="19" t="n">
        <v>803</v>
      </c>
      <c r="E33" s="18" t="n">
        <v>46.66202817</v>
      </c>
      <c r="F33" s="20" t="n">
        <v>2.25312959</v>
      </c>
      <c r="G33" s="18" t="n">
        <v>51.86618845</v>
      </c>
      <c r="H33" s="20" t="n">
        <v>2.25376159</v>
      </c>
      <c r="I33" s="18" t="n">
        <v>0</v>
      </c>
      <c r="J33" s="20" t="n">
        <v>0</v>
      </c>
      <c r="K33" s="18" t="n">
        <v>0.30438447</v>
      </c>
      <c r="L33" s="20" t="n">
        <v>0.20833017</v>
      </c>
      <c r="M33" s="18" t="n">
        <v>0</v>
      </c>
      <c r="N33" s="20" t="n">
        <v>0</v>
      </c>
      <c r="O33" s="18" t="n">
        <v>0</v>
      </c>
      <c r="P33" s="20" t="n">
        <v>0</v>
      </c>
      <c r="Q33" s="18" t="n">
        <v>1.16739891</v>
      </c>
      <c r="R33" s="20" t="n">
        <v>0.53390372</v>
      </c>
    </row>
    <row r="34" spans="1:18">
      <c r="A34" s="15" t="s">
        <v>592</v>
      </c>
      <c r="B34" s="17" t="n">
        <v>6350</v>
      </c>
      <c r="C34" s="18">
        <f>(5674.0/B34*100)</f>
        <v/>
      </c>
      <c r="D34" s="19" t="n">
        <v>676</v>
      </c>
      <c r="E34" s="18" t="n">
        <v>48.37279176</v>
      </c>
      <c r="F34" s="20" t="n">
        <v>1.8840524</v>
      </c>
      <c r="G34" s="18" t="n">
        <v>50.67035361</v>
      </c>
      <c r="H34" s="20" t="n">
        <v>1.94357529</v>
      </c>
      <c r="I34" s="18" t="n">
        <v>0</v>
      </c>
      <c r="J34" s="20" t="n">
        <v>0</v>
      </c>
      <c r="K34" s="18" t="n">
        <v>0.1313454</v>
      </c>
      <c r="L34" s="20" t="n">
        <v>0.13650853</v>
      </c>
      <c r="M34" s="18" t="n">
        <v>0</v>
      </c>
      <c r="N34" s="20" t="n">
        <v>0</v>
      </c>
      <c r="O34" s="18" t="n">
        <v>0</v>
      </c>
      <c r="P34" s="20" t="n">
        <v>0</v>
      </c>
      <c r="Q34" s="18" t="n">
        <v>0.82550923</v>
      </c>
      <c r="R34" s="20" t="n">
        <v>0.37582127</v>
      </c>
    </row>
    <row r="35" spans="1:18">
      <c r="A35" s="15" t="s">
        <v>593</v>
      </c>
      <c r="B35" s="17" t="n">
        <v>6406</v>
      </c>
      <c r="C35" s="18">
        <f>(5721.0/B35*100)</f>
        <v/>
      </c>
      <c r="D35" s="19" t="n">
        <v>685</v>
      </c>
      <c r="E35" s="18" t="n">
        <v>38.75416704</v>
      </c>
      <c r="F35" s="20" t="n">
        <v>2.11994545</v>
      </c>
      <c r="G35" s="18" t="n">
        <v>60.52373818</v>
      </c>
      <c r="H35" s="20" t="n">
        <v>2.13875824</v>
      </c>
      <c r="I35" s="18" t="n">
        <v>0</v>
      </c>
      <c r="J35" s="20" t="n">
        <v>0</v>
      </c>
      <c r="K35" s="18" t="n">
        <v>0.08144589000000001</v>
      </c>
      <c r="L35" s="20" t="n">
        <v>0.08098076999999999</v>
      </c>
      <c r="M35" s="18" t="n">
        <v>0</v>
      </c>
      <c r="N35" s="20" t="n">
        <v>0</v>
      </c>
      <c r="O35" s="18" t="n">
        <v>0</v>
      </c>
      <c r="P35" s="20" t="n">
        <v>0</v>
      </c>
      <c r="Q35" s="18" t="n">
        <v>0.6406489</v>
      </c>
      <c r="R35" s="20" t="n">
        <v>0.38514888</v>
      </c>
    </row>
    <row r="36" spans="1:18">
      <c r="A36" s="15" t="s">
        <v>594</v>
      </c>
      <c r="B36" s="17" t="n">
        <v>6736</v>
      </c>
      <c r="C36" s="18">
        <f>(5943.0/B36*100)</f>
        <v/>
      </c>
      <c r="D36" s="19" t="n">
        <v>793</v>
      </c>
      <c r="E36" s="18" t="n">
        <v>45.68798468</v>
      </c>
      <c r="F36" s="20" t="n">
        <v>1.89937222</v>
      </c>
      <c r="G36" s="18" t="n">
        <v>52.55248906</v>
      </c>
      <c r="H36" s="20" t="n">
        <v>1.93949283</v>
      </c>
      <c r="I36" s="18" t="n">
        <v>0</v>
      </c>
      <c r="J36" s="20" t="n">
        <v>0</v>
      </c>
      <c r="K36" s="18" t="n">
        <v>1.12077824</v>
      </c>
      <c r="L36" s="20" t="n">
        <v>0.35811977</v>
      </c>
      <c r="M36" s="18" t="n">
        <v>0</v>
      </c>
      <c r="N36" s="20" t="n">
        <v>0</v>
      </c>
      <c r="O36" s="18" t="n">
        <v>0</v>
      </c>
      <c r="P36" s="20" t="n">
        <v>0</v>
      </c>
      <c r="Q36" s="18" t="n">
        <v>0.63874802</v>
      </c>
      <c r="R36" s="20" t="n">
        <v>0.32272744</v>
      </c>
    </row>
    <row r="37" spans="1:18">
      <c r="A37" s="15" t="s">
        <v>595</v>
      </c>
      <c r="B37" s="17" t="n">
        <v>5458</v>
      </c>
      <c r="C37" s="18">
        <f>(4869.0/B37*100)</f>
        <v/>
      </c>
      <c r="D37" s="19" t="n">
        <v>589</v>
      </c>
      <c r="E37" s="18" t="n">
        <v>37.65785973</v>
      </c>
      <c r="F37" s="20" t="n">
        <v>2.18952571</v>
      </c>
      <c r="G37" s="18" t="n">
        <v>59.13836475</v>
      </c>
      <c r="H37" s="20" t="n">
        <v>2.20007364</v>
      </c>
      <c r="I37" s="18" t="n">
        <v>0</v>
      </c>
      <c r="J37" s="20" t="n">
        <v>0</v>
      </c>
      <c r="K37" s="18" t="n">
        <v>1.66137854</v>
      </c>
      <c r="L37" s="20" t="n">
        <v>0.48770008</v>
      </c>
      <c r="M37" s="18" t="n">
        <v>0</v>
      </c>
      <c r="N37" s="20" t="n">
        <v>0</v>
      </c>
      <c r="O37" s="18" t="n">
        <v>0</v>
      </c>
      <c r="P37" s="20" t="n">
        <v>0</v>
      </c>
      <c r="Q37" s="18" t="n">
        <v>1.54239697</v>
      </c>
      <c r="R37" s="20" t="n">
        <v>0.52275292</v>
      </c>
    </row>
    <row r="38" spans="1:18">
      <c r="A38" s="15" t="s">
        <v>596</v>
      </c>
      <c r="B38" s="17" t="n">
        <v>5860</v>
      </c>
      <c r="C38" s="18">
        <f>(5213.0/B38*100)</f>
        <v/>
      </c>
      <c r="D38" s="19" t="n">
        <v>647</v>
      </c>
      <c r="E38" s="18" t="n">
        <v>35.65034392</v>
      </c>
      <c r="F38" s="20" t="n">
        <v>2.35419949</v>
      </c>
      <c r="G38" s="18" t="n">
        <v>63.30589498</v>
      </c>
      <c r="H38" s="20" t="n">
        <v>2.29723885</v>
      </c>
      <c r="I38" s="18" t="n">
        <v>0</v>
      </c>
      <c r="J38" s="20" t="n">
        <v>0</v>
      </c>
      <c r="K38" s="18" t="n">
        <v>0</v>
      </c>
      <c r="L38" s="20" t="n">
        <v>0</v>
      </c>
      <c r="M38" s="18" t="n">
        <v>0</v>
      </c>
      <c r="N38" s="20" t="n">
        <v>0</v>
      </c>
      <c r="O38" s="18" t="n">
        <v>0</v>
      </c>
      <c r="P38" s="20" t="n">
        <v>0</v>
      </c>
      <c r="Q38" s="18" t="n">
        <v>1.04376111</v>
      </c>
      <c r="R38" s="20" t="n">
        <v>0.47641658</v>
      </c>
    </row>
    <row r="39" spans="1:18">
      <c r="A39" s="15" t="s">
        <v>597</v>
      </c>
      <c r="B39" s="17" t="n">
        <v>5895</v>
      </c>
      <c r="C39" s="18">
        <f>(5280.0/B39*100)</f>
        <v/>
      </c>
      <c r="D39" s="19" t="n">
        <v>615</v>
      </c>
      <c r="E39" s="18" t="n">
        <v>59.6922442</v>
      </c>
      <c r="F39" s="20" t="n">
        <v>2.46778004</v>
      </c>
      <c r="G39" s="18" t="n">
        <v>39.09120625</v>
      </c>
      <c r="H39" s="20" t="n">
        <v>2.42039741</v>
      </c>
      <c r="I39" s="18" t="n">
        <v>0</v>
      </c>
      <c r="J39" s="20" t="n">
        <v>0</v>
      </c>
      <c r="K39" s="18" t="n">
        <v>0</v>
      </c>
      <c r="L39" s="20" t="n">
        <v>0</v>
      </c>
      <c r="M39" s="18" t="n">
        <v>0</v>
      </c>
      <c r="N39" s="20" t="n">
        <v>0</v>
      </c>
      <c r="O39" s="18" t="n">
        <v>0</v>
      </c>
      <c r="P39" s="20" t="n">
        <v>0</v>
      </c>
      <c r="Q39" s="18" t="n">
        <v>1.21654955</v>
      </c>
      <c r="R39" s="20" t="n">
        <v>0.43038882</v>
      </c>
    </row>
    <row r="40" spans="1:18">
      <c r="A40" s="15" t="s">
        <v>598</v>
      </c>
      <c r="B40" s="17" t="n">
        <v>14157</v>
      </c>
      <c r="C40" s="18">
        <f>(12560.0/B40*100)</f>
        <v/>
      </c>
      <c r="D40" s="19" t="n">
        <v>1597</v>
      </c>
      <c r="E40" s="18" t="n">
        <v>41.26105475</v>
      </c>
      <c r="F40" s="20" t="n">
        <v>1.88249775</v>
      </c>
      <c r="G40" s="18" t="n">
        <v>57.26898957</v>
      </c>
      <c r="H40" s="20" t="n">
        <v>1.83308857</v>
      </c>
      <c r="I40" s="18" t="n">
        <v>0</v>
      </c>
      <c r="J40" s="20" t="n">
        <v>0</v>
      </c>
      <c r="K40" s="18" t="n">
        <v>0.7494402999999999</v>
      </c>
      <c r="L40" s="20" t="n">
        <v>0.34590721</v>
      </c>
      <c r="M40" s="18" t="n">
        <v>0</v>
      </c>
      <c r="N40" s="20" t="n">
        <v>0</v>
      </c>
      <c r="O40" s="18" t="n">
        <v>0</v>
      </c>
      <c r="P40" s="20" t="n">
        <v>0</v>
      </c>
      <c r="Q40" s="18" t="n">
        <v>0.72051537</v>
      </c>
      <c r="R40" s="20" t="n">
        <v>0.3557301</v>
      </c>
    </row>
    <row r="41" spans="1:18">
      <c r="A41" s="15" t="s">
        <v>599</v>
      </c>
      <c r="B41" s="17" t="n">
        <v>5712</v>
      </c>
      <c r="C41" s="18">
        <f>(5062.0/B41*100)</f>
        <v/>
      </c>
      <c r="D41" s="19" t="n">
        <v>650</v>
      </c>
      <c r="E41" s="18" t="n">
        <v>47.99670727</v>
      </c>
      <c r="F41" s="20" t="n">
        <v>2.30585184</v>
      </c>
      <c r="G41" s="18" t="n">
        <v>51.44997478</v>
      </c>
      <c r="H41" s="20" t="n">
        <v>2.36509256</v>
      </c>
      <c r="I41" s="18" t="n">
        <v>0</v>
      </c>
      <c r="J41" s="20" t="n">
        <v>0</v>
      </c>
      <c r="K41" s="18" t="n">
        <v>0.36119618</v>
      </c>
      <c r="L41" s="20" t="n">
        <v>0.24458863</v>
      </c>
      <c r="M41" s="18" t="n">
        <v>0</v>
      </c>
      <c r="N41" s="20" t="n">
        <v>0</v>
      </c>
      <c r="O41" s="18" t="n">
        <v>0</v>
      </c>
      <c r="P41" s="20" t="n">
        <v>0</v>
      </c>
      <c r="Q41" s="18" t="n">
        <v>0.19212177</v>
      </c>
      <c r="R41" s="20" t="n">
        <v>0.20110424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(21146.0/B46*100)</f>
        <v/>
      </c>
      <c r="D46" s="19" t="n">
        <v>1995</v>
      </c>
      <c r="E46" s="18" t="n">
        <v>59.72204503</v>
      </c>
      <c r="F46" s="20" t="n">
        <v>1.48107382</v>
      </c>
      <c r="G46" s="18" t="n">
        <v>37.75082892</v>
      </c>
      <c r="H46" s="20" t="n">
        <v>1.45531498</v>
      </c>
      <c r="I46" s="18" t="n">
        <v>0</v>
      </c>
      <c r="J46" s="20" t="n">
        <v>0</v>
      </c>
      <c r="K46" s="18" t="n">
        <v>2.16979069</v>
      </c>
      <c r="L46" s="20" t="n">
        <v>0.44835095</v>
      </c>
      <c r="M46" s="18" t="n">
        <v>0</v>
      </c>
      <c r="N46" s="20" t="n">
        <v>0</v>
      </c>
      <c r="O46" s="18" t="n">
        <v>0</v>
      </c>
      <c r="P46" s="20" t="n">
        <v>0</v>
      </c>
      <c r="Q46" s="18" t="n">
        <v>0.35733535</v>
      </c>
      <c r="R46" s="20" t="n">
        <v>0.13456633</v>
      </c>
    </row>
    <row r="47" spans="1:18">
      <c r="A47" s="15" t="s">
        <v>606</v>
      </c>
      <c r="B47" s="17" t="n">
        <v>5928</v>
      </c>
      <c r="C47" s="18">
        <f>(5278.0/B47*100)</f>
        <v/>
      </c>
      <c r="D47" s="19" t="n">
        <v>650</v>
      </c>
      <c r="E47" s="18" t="n">
        <v>50.56985876</v>
      </c>
      <c r="F47" s="20" t="n">
        <v>1.83392761</v>
      </c>
      <c r="G47" s="18" t="n">
        <v>47.13833791</v>
      </c>
      <c r="H47" s="20" t="n">
        <v>1.87230418</v>
      </c>
      <c r="I47" s="18" t="n">
        <v>0</v>
      </c>
      <c r="J47" s="20" t="n">
        <v>0</v>
      </c>
      <c r="K47" s="18" t="n">
        <v>0.90190132</v>
      </c>
      <c r="L47" s="20" t="n">
        <v>0.34529088</v>
      </c>
      <c r="M47" s="18" t="n">
        <v>0</v>
      </c>
      <c r="N47" s="20" t="n">
        <v>0</v>
      </c>
      <c r="O47" s="18" t="n">
        <v>0</v>
      </c>
      <c r="P47" s="20" t="n">
        <v>0</v>
      </c>
      <c r="Q47" s="18" t="n">
        <v>1.38990201</v>
      </c>
      <c r="R47" s="20" t="n">
        <v>0.51027501</v>
      </c>
    </row>
    <row r="48" spans="1:18">
      <c r="A48" s="15" t="s">
        <v>607</v>
      </c>
      <c r="B48" s="17" t="n">
        <v>9841</v>
      </c>
      <c r="C48" s="18">
        <f>(8749.0/B48*100)</f>
        <v/>
      </c>
      <c r="D48" s="19" t="n">
        <v>1092</v>
      </c>
      <c r="E48" s="18" t="n">
        <v>35.91717944</v>
      </c>
      <c r="F48" s="20" t="n">
        <v>1.85399175</v>
      </c>
      <c r="G48" s="18" t="n">
        <v>62.62560173</v>
      </c>
      <c r="H48" s="20" t="n">
        <v>1.91216385</v>
      </c>
      <c r="I48" s="18" t="n">
        <v>0</v>
      </c>
      <c r="J48" s="20" t="n">
        <v>0</v>
      </c>
      <c r="K48" s="18" t="n">
        <v>0.92800397</v>
      </c>
      <c r="L48" s="20" t="n">
        <v>0.38471207</v>
      </c>
      <c r="M48" s="18" t="n">
        <v>0</v>
      </c>
      <c r="N48" s="20" t="n">
        <v>0</v>
      </c>
      <c r="O48" s="18" t="n">
        <v>0</v>
      </c>
      <c r="P48" s="20" t="n">
        <v>0</v>
      </c>
      <c r="Q48" s="18" t="n">
        <v>0.52921487</v>
      </c>
      <c r="R48" s="20" t="n">
        <v>0.3222951</v>
      </c>
    </row>
    <row r="49" spans="1:18">
      <c r="A49" s="15" t="s">
        <v>608</v>
      </c>
      <c r="B49" s="17" t="n">
        <v>11795</v>
      </c>
      <c r="C49" s="18">
        <f>(10549.0/B49*100)</f>
        <v/>
      </c>
      <c r="D49" s="19" t="n">
        <v>1246</v>
      </c>
      <c r="E49" s="18" t="n">
        <v>63.46034968</v>
      </c>
      <c r="F49" s="20" t="n">
        <v>1.86723093</v>
      </c>
      <c r="G49" s="18" t="n">
        <v>32.91621005</v>
      </c>
      <c r="H49" s="20" t="n">
        <v>1.88460844</v>
      </c>
      <c r="I49" s="18" t="n">
        <v>0</v>
      </c>
      <c r="J49" s="20" t="n">
        <v>0</v>
      </c>
      <c r="K49" s="18" t="n">
        <v>1.97066279</v>
      </c>
      <c r="L49" s="20" t="n">
        <v>0.50350496</v>
      </c>
      <c r="M49" s="18" t="n">
        <v>0</v>
      </c>
      <c r="N49" s="20" t="n">
        <v>0</v>
      </c>
      <c r="O49" s="18" t="n">
        <v>0</v>
      </c>
      <c r="P49" s="20" t="n">
        <v>0</v>
      </c>
      <c r="Q49" s="18" t="n">
        <v>1.65277748</v>
      </c>
      <c r="R49" s="20" t="n">
        <v>0.50378136</v>
      </c>
    </row>
    <row r="50" spans="1:18">
      <c r="A50" s="15" t="s">
        <v>609</v>
      </c>
      <c r="B50" s="17" t="n">
        <v>6866</v>
      </c>
      <c r="C50" s="18">
        <f>(6208.0/B50*100)</f>
        <v/>
      </c>
      <c r="D50" s="19" t="n">
        <v>658</v>
      </c>
      <c r="E50" s="18" t="n">
        <v>52.97672019</v>
      </c>
      <c r="F50" s="20" t="n">
        <v>2.24125888</v>
      </c>
      <c r="G50" s="18" t="n">
        <v>44.00487792</v>
      </c>
      <c r="H50" s="20" t="n">
        <v>2.19576112</v>
      </c>
      <c r="I50" s="18" t="n">
        <v>0</v>
      </c>
      <c r="J50" s="20" t="n">
        <v>0</v>
      </c>
      <c r="K50" s="18" t="n">
        <v>1.76221108</v>
      </c>
      <c r="L50" s="20" t="n">
        <v>0.49102671</v>
      </c>
      <c r="M50" s="18" t="n">
        <v>0</v>
      </c>
      <c r="N50" s="20" t="n">
        <v>0</v>
      </c>
      <c r="O50" s="18" t="n">
        <v>0</v>
      </c>
      <c r="P50" s="20" t="n">
        <v>0</v>
      </c>
      <c r="Q50" s="18" t="n">
        <v>1.2561908</v>
      </c>
      <c r="R50" s="20" t="n">
        <v>0.47965624</v>
      </c>
    </row>
    <row r="51" spans="1:18">
      <c r="A51" s="15" t="s">
        <v>610</v>
      </c>
      <c r="B51" s="17" t="n">
        <v>5809</v>
      </c>
      <c r="C51" s="18">
        <f>(5193.0/B51*100)</f>
        <v/>
      </c>
      <c r="D51" s="19" t="n">
        <v>616</v>
      </c>
      <c r="E51" s="18" t="n">
        <v>44.30237892</v>
      </c>
      <c r="F51" s="20" t="n">
        <v>1.9480925</v>
      </c>
      <c r="G51" s="18" t="n">
        <v>54.89151182</v>
      </c>
      <c r="H51" s="20" t="n">
        <v>1.97769524</v>
      </c>
      <c r="I51" s="18" t="n">
        <v>0</v>
      </c>
      <c r="J51" s="20" t="n">
        <v>0</v>
      </c>
      <c r="K51" s="18" t="n">
        <v>0.32196714</v>
      </c>
      <c r="L51" s="20" t="n">
        <v>0.22980684</v>
      </c>
      <c r="M51" s="18" t="n">
        <v>0</v>
      </c>
      <c r="N51" s="20" t="n">
        <v>0</v>
      </c>
      <c r="O51" s="18" t="n">
        <v>0</v>
      </c>
      <c r="P51" s="20" t="n">
        <v>0</v>
      </c>
      <c r="Q51" s="18" t="n">
        <v>0.48414212</v>
      </c>
      <c r="R51" s="20" t="n">
        <v>0.28516649</v>
      </c>
    </row>
    <row r="52" spans="1:18">
      <c r="A52" s="15" t="s">
        <v>611</v>
      </c>
      <c r="B52" s="17" t="n">
        <v>5571</v>
      </c>
      <c r="C52" s="18">
        <f>(4951.0/B52*100)</f>
        <v/>
      </c>
      <c r="D52" s="19" t="n">
        <v>620</v>
      </c>
      <c r="E52" s="18" t="n">
        <v>54.38757004</v>
      </c>
      <c r="F52" s="20" t="n">
        <v>2.23694725</v>
      </c>
      <c r="G52" s="18" t="n">
        <v>43.57702494</v>
      </c>
      <c r="H52" s="20" t="n">
        <v>2.19036692</v>
      </c>
      <c r="I52" s="18" t="n">
        <v>0</v>
      </c>
      <c r="J52" s="20" t="n">
        <v>0</v>
      </c>
      <c r="K52" s="18" t="n">
        <v>1.05707272</v>
      </c>
      <c r="L52" s="20" t="n">
        <v>0.41648028</v>
      </c>
      <c r="M52" s="18" t="n">
        <v>0</v>
      </c>
      <c r="N52" s="20" t="n">
        <v>0</v>
      </c>
      <c r="O52" s="18" t="n">
        <v>0</v>
      </c>
      <c r="P52" s="20" t="n">
        <v>0</v>
      </c>
      <c r="Q52" s="18" t="n">
        <v>0.9783323</v>
      </c>
      <c r="R52" s="20" t="n">
        <v>0.37556445</v>
      </c>
    </row>
    <row r="53" spans="1:18">
      <c r="A53" s="15" t="s">
        <v>612</v>
      </c>
      <c r="B53" s="17" t="n">
        <v>4740</v>
      </c>
      <c r="C53" s="18">
        <f>(4222.0/B53*100)</f>
        <v/>
      </c>
      <c r="D53" s="19" t="n">
        <v>518</v>
      </c>
      <c r="E53" s="18" t="n">
        <v>54.70078668</v>
      </c>
      <c r="F53" s="20" t="n">
        <v>2.44213082</v>
      </c>
      <c r="G53" s="18" t="n">
        <v>26.59210534</v>
      </c>
      <c r="H53" s="20" t="n">
        <v>2.40671751</v>
      </c>
      <c r="I53" s="18" t="n">
        <v>0</v>
      </c>
      <c r="J53" s="20" t="n">
        <v>0</v>
      </c>
      <c r="K53" s="18" t="n">
        <v>17.2228894</v>
      </c>
      <c r="L53" s="20" t="n">
        <v>2.03815183</v>
      </c>
      <c r="M53" s="18" t="n">
        <v>0</v>
      </c>
      <c r="N53" s="20" t="n">
        <v>0</v>
      </c>
      <c r="O53" s="18" t="n">
        <v>0</v>
      </c>
      <c r="P53" s="20" t="n">
        <v>0</v>
      </c>
      <c r="Q53" s="18" t="n">
        <v>1.48421858</v>
      </c>
      <c r="R53" s="20" t="n">
        <v>0.52811018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(4795.0/B55*100)</f>
        <v/>
      </c>
      <c r="D55" s="19" t="n">
        <v>564</v>
      </c>
      <c r="E55" s="18" t="n">
        <v>33.50940256</v>
      </c>
      <c r="F55" s="20" t="n">
        <v>2.20827688</v>
      </c>
      <c r="G55" s="18" t="n">
        <v>66.16096347</v>
      </c>
      <c r="H55" s="20" t="n">
        <v>2.16928239</v>
      </c>
      <c r="I55" s="18" t="n">
        <v>0</v>
      </c>
      <c r="J55" s="20" t="n">
        <v>0</v>
      </c>
      <c r="K55" s="18" t="n">
        <v>0</v>
      </c>
      <c r="L55" s="20" t="n">
        <v>0</v>
      </c>
      <c r="M55" s="18" t="n">
        <v>0</v>
      </c>
      <c r="N55" s="20" t="n">
        <v>0</v>
      </c>
      <c r="O55" s="18" t="n">
        <v>0</v>
      </c>
      <c r="P55" s="20" t="n">
        <v>0</v>
      </c>
      <c r="Q55" s="18" t="n">
        <v>0.32963397</v>
      </c>
      <c r="R55" s="20" t="n">
        <v>0.37077433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(5836.0/B61*100)</f>
        <v/>
      </c>
      <c r="D61" s="19" t="n">
        <v>689</v>
      </c>
      <c r="E61" s="18" t="n">
        <v>41.11485049</v>
      </c>
      <c r="F61" s="20" t="n">
        <v>2.26883873</v>
      </c>
      <c r="G61" s="18" t="n">
        <v>57.9473439</v>
      </c>
      <c r="H61" s="20" t="n">
        <v>2.30635686</v>
      </c>
      <c r="I61" s="18" t="n">
        <v>0</v>
      </c>
      <c r="J61" s="20" t="n">
        <v>0</v>
      </c>
      <c r="K61" s="18" t="n">
        <v>0.57201591</v>
      </c>
      <c r="L61" s="20" t="n">
        <v>0.4271875</v>
      </c>
      <c r="M61" s="18" t="n">
        <v>0</v>
      </c>
      <c r="N61" s="20" t="n">
        <v>0</v>
      </c>
      <c r="O61" s="18" t="n">
        <v>0</v>
      </c>
      <c r="P61" s="20" t="n">
        <v>0</v>
      </c>
      <c r="Q61" s="18" t="n">
        <v>0.3657897</v>
      </c>
      <c r="R61" s="20" t="n">
        <v>0.23881407</v>
      </c>
    </row>
    <row r="62" spans="1:18">
      <c r="A62" s="15" t="s">
        <v>622</v>
      </c>
      <c r="B62" s="17" t="n">
        <v>4476</v>
      </c>
      <c r="C62" s="18">
        <f>(3956.0/B62*100)</f>
        <v/>
      </c>
      <c r="D62" s="19" t="n">
        <v>520</v>
      </c>
      <c r="E62" s="18" t="n">
        <v>33.62535822</v>
      </c>
      <c r="F62" s="20" t="n">
        <v>1.82319466</v>
      </c>
      <c r="G62" s="18" t="n">
        <v>65.80027217999999</v>
      </c>
      <c r="H62" s="20" t="n">
        <v>1.86081597</v>
      </c>
      <c r="I62" s="18" t="n">
        <v>0</v>
      </c>
      <c r="J62" s="20" t="n">
        <v>0</v>
      </c>
      <c r="K62" s="18" t="n">
        <v>0</v>
      </c>
      <c r="L62" s="20" t="n">
        <v>0</v>
      </c>
      <c r="M62" s="18" t="n">
        <v>0</v>
      </c>
      <c r="N62" s="20" t="n">
        <v>0</v>
      </c>
      <c r="O62" s="18" t="n">
        <v>0</v>
      </c>
      <c r="P62" s="20" t="n">
        <v>0</v>
      </c>
      <c r="Q62" s="18" t="n">
        <v>0.5743696</v>
      </c>
      <c r="R62" s="20" t="n">
        <v>0.33173808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(5067.0/B67*100)</f>
        <v/>
      </c>
      <c r="D67" s="19" t="n">
        <v>598</v>
      </c>
      <c r="E67" s="18" t="n">
        <v>60.78782961</v>
      </c>
      <c r="F67" s="20" t="n">
        <v>1.95804112</v>
      </c>
      <c r="G67" s="18" t="n">
        <v>34.43650844</v>
      </c>
      <c r="H67" s="20" t="n">
        <v>1.90812924</v>
      </c>
      <c r="I67" s="18" t="n">
        <v>0</v>
      </c>
      <c r="J67" s="20" t="n">
        <v>0</v>
      </c>
      <c r="K67" s="18" t="n">
        <v>3.05984519</v>
      </c>
      <c r="L67" s="20" t="n">
        <v>0.65219985</v>
      </c>
      <c r="M67" s="18" t="n">
        <v>0</v>
      </c>
      <c r="N67" s="20" t="n">
        <v>0</v>
      </c>
      <c r="O67" s="18" t="n">
        <v>0</v>
      </c>
      <c r="P67" s="20" t="n">
        <v>0</v>
      </c>
      <c r="Q67" s="18" t="n">
        <v>1.71581675</v>
      </c>
      <c r="R67" s="20" t="n">
        <v>0.55213514</v>
      </c>
    </row>
    <row r="68" spans="1:18">
      <c r="A68" s="15" t="s">
        <v>628</v>
      </c>
      <c r="B68" s="17" t="n">
        <v>6971</v>
      </c>
      <c r="C68" s="18">
        <f>(6295.0/B68*100)</f>
        <v/>
      </c>
      <c r="D68" s="19" t="n">
        <v>676</v>
      </c>
      <c r="E68" s="18" t="n">
        <v>61.29095886</v>
      </c>
      <c r="F68" s="20" t="n">
        <v>1.94198977</v>
      </c>
      <c r="G68" s="18" t="n">
        <v>37.58497651</v>
      </c>
      <c r="H68" s="20" t="n">
        <v>2.00784516</v>
      </c>
      <c r="I68" s="18" t="n">
        <v>0</v>
      </c>
      <c r="J68" s="20" t="n">
        <v>0</v>
      </c>
      <c r="K68" s="18" t="n">
        <v>0.65637531</v>
      </c>
      <c r="L68" s="20" t="n">
        <v>0.33138251</v>
      </c>
      <c r="M68" s="18" t="n">
        <v>0</v>
      </c>
      <c r="N68" s="20" t="n">
        <v>0</v>
      </c>
      <c r="O68" s="18" t="n">
        <v>0</v>
      </c>
      <c r="P68" s="20" t="n">
        <v>0</v>
      </c>
      <c r="Q68" s="18" t="n">
        <v>0.46768933</v>
      </c>
      <c r="R68" s="20" t="n">
        <v>0.25880789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(10736.0/B70*100)</f>
        <v/>
      </c>
      <c r="D70" s="19" t="n">
        <v>1347</v>
      </c>
      <c r="E70" s="18" t="n">
        <v>57.17821641</v>
      </c>
      <c r="F70" s="20" t="n">
        <v>1.31836764</v>
      </c>
      <c r="G70" s="18" t="n">
        <v>38.21770537</v>
      </c>
      <c r="H70" s="20" t="n">
        <v>1.33546363</v>
      </c>
      <c r="I70" s="18" t="n">
        <v>0</v>
      </c>
      <c r="J70" s="20" t="n">
        <v>0</v>
      </c>
      <c r="K70" s="18" t="n">
        <v>3.15506501</v>
      </c>
      <c r="L70" s="20" t="n">
        <v>0.59735717</v>
      </c>
      <c r="M70" s="18" t="n">
        <v>0</v>
      </c>
      <c r="N70" s="20" t="n">
        <v>0</v>
      </c>
      <c r="O70" s="18" t="n">
        <v>0</v>
      </c>
      <c r="P70" s="20" t="n">
        <v>0</v>
      </c>
      <c r="Q70" s="18" t="n">
        <v>1.4490132</v>
      </c>
      <c r="R70" s="20" t="n">
        <v>0.34267636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(5410.0/B72*100)</f>
        <v/>
      </c>
      <c r="D72" s="19" t="n">
        <v>626</v>
      </c>
      <c r="E72" s="18" t="n">
        <v>35.89105758</v>
      </c>
      <c r="F72" s="20" t="n">
        <v>1.87286487</v>
      </c>
      <c r="G72" s="18" t="n">
        <v>62.95381306</v>
      </c>
      <c r="H72" s="20" t="n">
        <v>2.15171392</v>
      </c>
      <c r="I72" s="18" t="n">
        <v>0</v>
      </c>
      <c r="J72" s="20" t="n">
        <v>0</v>
      </c>
      <c r="K72" s="18" t="n">
        <v>0.26361238</v>
      </c>
      <c r="L72" s="20" t="n">
        <v>0.18759939</v>
      </c>
      <c r="M72" s="18" t="n">
        <v>0</v>
      </c>
      <c r="N72" s="20" t="n">
        <v>0</v>
      </c>
      <c r="O72" s="18" t="n">
        <v>0</v>
      </c>
      <c r="P72" s="20" t="n">
        <v>0</v>
      </c>
      <c r="Q72" s="18" t="n">
        <v>0.89151698</v>
      </c>
      <c r="R72" s="20" t="n">
        <v>0.48801502</v>
      </c>
    </row>
    <row r="73" spans="1:18">
      <c r="A73" s="15" t="s">
        <v>633</v>
      </c>
      <c r="B73" s="17" t="n">
        <v>6115</v>
      </c>
      <c r="C73" s="18">
        <f>(5395.0/B73*100)</f>
        <v/>
      </c>
      <c r="D73" s="19" t="n">
        <v>720</v>
      </c>
      <c r="E73" s="18" t="n">
        <v>22.21902951</v>
      </c>
      <c r="F73" s="20" t="n">
        <v>1.48191774</v>
      </c>
      <c r="G73" s="18" t="n">
        <v>77.55351237000001</v>
      </c>
      <c r="H73" s="20" t="n">
        <v>1.52458253</v>
      </c>
      <c r="I73" s="18" t="n">
        <v>0</v>
      </c>
      <c r="J73" s="20" t="n">
        <v>0</v>
      </c>
      <c r="K73" s="18" t="n">
        <v>0.22745813</v>
      </c>
      <c r="L73" s="20" t="n">
        <v>0.1626846</v>
      </c>
      <c r="M73" s="18" t="n">
        <v>0</v>
      </c>
      <c r="N73" s="20" t="n">
        <v>0</v>
      </c>
      <c r="O73" s="18" t="n">
        <v>0</v>
      </c>
      <c r="P73" s="20" t="n">
        <v>0</v>
      </c>
      <c r="Q73" s="18" t="n">
        <v>0</v>
      </c>
      <c r="R73" s="20" t="n">
        <v>0</v>
      </c>
    </row>
    <row r="74" spans="1:18">
      <c r="A74" s="15" t="s">
        <v>634</v>
      </c>
      <c r="B74" s="17" t="n">
        <v>7708</v>
      </c>
      <c r="C74" s="18">
        <f>(6862.0/B74*100)</f>
        <v/>
      </c>
      <c r="D74" s="19" t="n">
        <v>846</v>
      </c>
      <c r="E74" s="18" t="n">
        <v>35.34357979</v>
      </c>
      <c r="F74" s="20" t="n">
        <v>1.76667625</v>
      </c>
      <c r="G74" s="18" t="n">
        <v>64.34240748000001</v>
      </c>
      <c r="H74" s="20" t="n">
        <v>1.76535868</v>
      </c>
      <c r="I74" s="18" t="n">
        <v>0</v>
      </c>
      <c r="J74" s="20" t="n">
        <v>0</v>
      </c>
      <c r="K74" s="18" t="n">
        <v>0.21558159</v>
      </c>
      <c r="L74" s="20" t="n">
        <v>0.21615913</v>
      </c>
      <c r="M74" s="18" t="n">
        <v>0</v>
      </c>
      <c r="N74" s="20" t="n">
        <v>0</v>
      </c>
      <c r="O74" s="18" t="n">
        <v>0</v>
      </c>
      <c r="P74" s="20" t="n">
        <v>0</v>
      </c>
      <c r="Q74" s="18" t="n">
        <v>0.09843114</v>
      </c>
      <c r="R74" s="20" t="n">
        <v>0.09921924999999999</v>
      </c>
    </row>
    <row r="75" spans="1:18">
      <c r="A75" s="15" t="s">
        <v>635</v>
      </c>
      <c r="B75" s="17" t="n">
        <v>8249</v>
      </c>
      <c r="C75" s="18">
        <f>(7395.0/B75*100)</f>
        <v/>
      </c>
      <c r="D75" s="19" t="n">
        <v>854</v>
      </c>
      <c r="E75" s="18" t="n">
        <v>62.12438442</v>
      </c>
      <c r="F75" s="20" t="n">
        <v>2.17890455</v>
      </c>
      <c r="G75" s="18" t="n">
        <v>37.45983799</v>
      </c>
      <c r="H75" s="20" t="n">
        <v>2.1791431</v>
      </c>
      <c r="I75" s="18" t="n">
        <v>0</v>
      </c>
      <c r="J75" s="20" t="n">
        <v>0</v>
      </c>
      <c r="K75" s="18" t="n">
        <v>0.23853498</v>
      </c>
      <c r="L75" s="20" t="n">
        <v>0.18290141</v>
      </c>
      <c r="M75" s="18" t="n">
        <v>0</v>
      </c>
      <c r="N75" s="20" t="n">
        <v>0</v>
      </c>
      <c r="O75" s="18" t="n">
        <v>0</v>
      </c>
      <c r="P75" s="20" t="n">
        <v>0</v>
      </c>
      <c r="Q75" s="18" t="n">
        <v>0.17724262</v>
      </c>
      <c r="R75" s="20" t="n">
        <v>0.16451928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(4835.0/B77*100)</f>
        <v/>
      </c>
      <c r="D77" s="19" t="n">
        <v>540</v>
      </c>
      <c r="E77" s="18" t="n">
        <v>49.33195825</v>
      </c>
      <c r="F77" s="20" t="n">
        <v>2.11651316</v>
      </c>
      <c r="G77" s="18" t="n">
        <v>46.21084807</v>
      </c>
      <c r="H77" s="20" t="n">
        <v>1.9845944</v>
      </c>
      <c r="I77" s="18" t="n">
        <v>0</v>
      </c>
      <c r="J77" s="20" t="n">
        <v>0</v>
      </c>
      <c r="K77" s="18" t="n">
        <v>3.29067495</v>
      </c>
      <c r="L77" s="20" t="n">
        <v>0.68436095</v>
      </c>
      <c r="M77" s="18" t="n">
        <v>0</v>
      </c>
      <c r="N77" s="20" t="n">
        <v>0</v>
      </c>
      <c r="O77" s="18" t="n">
        <v>0</v>
      </c>
      <c r="P77" s="20" t="n">
        <v>0</v>
      </c>
      <c r="Q77" s="18" t="n">
        <v>1.16651873</v>
      </c>
      <c r="R77" s="20" t="n">
        <v>0.55014452</v>
      </c>
    </row>
    <row r="78" spans="1:18">
      <c r="A78" s="15" t="s">
        <v>638</v>
      </c>
      <c r="B78" s="17" t="n">
        <v>14167</v>
      </c>
      <c r="C78" s="18">
        <f>(12614.0/B78*100)</f>
        <v/>
      </c>
      <c r="D78" s="19" t="n">
        <v>1553</v>
      </c>
      <c r="E78" s="18" t="n">
        <v>53.1643649</v>
      </c>
      <c r="F78" s="20" t="n">
        <v>1.68101538</v>
      </c>
      <c r="G78" s="18" t="n">
        <v>44.65723798</v>
      </c>
      <c r="H78" s="20" t="n">
        <v>1.66275064</v>
      </c>
      <c r="I78" s="18" t="n">
        <v>0</v>
      </c>
      <c r="J78" s="20" t="n">
        <v>0</v>
      </c>
      <c r="K78" s="18" t="n">
        <v>0.75421202</v>
      </c>
      <c r="L78" s="20" t="n">
        <v>0.26250095</v>
      </c>
      <c r="M78" s="18" t="n">
        <v>0</v>
      </c>
      <c r="N78" s="20" t="n">
        <v>0</v>
      </c>
      <c r="O78" s="18" t="n">
        <v>0</v>
      </c>
      <c r="P78" s="20" t="n">
        <v>0</v>
      </c>
      <c r="Q78" s="18" t="n">
        <v>1.4241851</v>
      </c>
      <c r="R78" s="20" t="n">
        <v>0.44251919</v>
      </c>
    </row>
    <row r="79" spans="1:18">
      <c r="A79" s="15" t="s">
        <v>639</v>
      </c>
      <c r="B79" s="17" t="n">
        <v>6062</v>
      </c>
      <c r="C79" s="18">
        <f>(5453.0/B79*100)</f>
        <v/>
      </c>
      <c r="D79" s="19" t="n">
        <v>609</v>
      </c>
      <c r="E79" s="18" t="n">
        <v>53.77068815</v>
      </c>
      <c r="F79" s="20" t="n">
        <v>1.98043528</v>
      </c>
      <c r="G79" s="18" t="n">
        <v>42.51544331</v>
      </c>
      <c r="H79" s="20" t="n">
        <v>2.04350874</v>
      </c>
      <c r="I79" s="18" t="n">
        <v>0</v>
      </c>
      <c r="J79" s="20" t="n">
        <v>0</v>
      </c>
      <c r="K79" s="18" t="n">
        <v>2.79821739</v>
      </c>
      <c r="L79" s="20" t="n">
        <v>0.73307897</v>
      </c>
      <c r="M79" s="18" t="n">
        <v>0</v>
      </c>
      <c r="N79" s="20" t="n">
        <v>0</v>
      </c>
      <c r="O79" s="18" t="n">
        <v>0</v>
      </c>
      <c r="P79" s="20" t="n">
        <v>0</v>
      </c>
      <c r="Q79" s="18" t="n">
        <v>0.91565115</v>
      </c>
      <c r="R79" s="20" t="n">
        <v>0.44072513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(28740.0/B82*100)</f>
        <v/>
      </c>
      <c r="D82" s="19" t="n">
        <v>3590</v>
      </c>
      <c r="E82" s="18" t="n">
        <v>45.03698546</v>
      </c>
      <c r="F82" s="20" t="n">
        <v>1.33527524</v>
      </c>
      <c r="G82" s="18" t="n">
        <v>53.65370183</v>
      </c>
      <c r="H82" s="20" t="n">
        <v>1.40101341</v>
      </c>
      <c r="I82" s="18" t="n">
        <v>0</v>
      </c>
      <c r="J82" s="20" t="n">
        <v>0</v>
      </c>
      <c r="K82" s="18" t="n">
        <v>0.59813756</v>
      </c>
      <c r="L82" s="20" t="n">
        <v>0.19665315</v>
      </c>
      <c r="M82" s="18" t="n">
        <v>0</v>
      </c>
      <c r="N82" s="20" t="n">
        <v>0</v>
      </c>
      <c r="O82" s="18" t="n">
        <v>0</v>
      </c>
      <c r="P82" s="20" t="n">
        <v>0</v>
      </c>
      <c r="Q82" s="18" t="n">
        <v>0.71117516</v>
      </c>
      <c r="R82" s="20" t="n">
        <v>0.21197658</v>
      </c>
    </row>
    <row r="83" spans="1:18">
      <c r="A83" s="15" t="s">
        <v>643</v>
      </c>
      <c r="B83" s="17" t="n">
        <v>1652</v>
      </c>
      <c r="C83" s="18">
        <f>(1475.0/B83*100)</f>
        <v/>
      </c>
      <c r="D83" s="19" t="n">
        <v>177</v>
      </c>
      <c r="E83" s="18" t="n">
        <v>47.23909309</v>
      </c>
      <c r="F83" s="20" t="n">
        <v>4.01886638</v>
      </c>
      <c r="G83" s="18" t="n">
        <v>51.69631452</v>
      </c>
      <c r="H83" s="20" t="n">
        <v>3.95653102</v>
      </c>
      <c r="I83" s="18" t="n">
        <v>0</v>
      </c>
      <c r="J83" s="20" t="n">
        <v>0</v>
      </c>
      <c r="K83" s="18" t="n">
        <v>0.55017891</v>
      </c>
      <c r="L83" s="20" t="n">
        <v>0.54837656</v>
      </c>
      <c r="M83" s="18" t="n">
        <v>0</v>
      </c>
      <c r="N83" s="20" t="n">
        <v>0</v>
      </c>
      <c r="O83" s="18" t="n">
        <v>0</v>
      </c>
      <c r="P83" s="20" t="n">
        <v>0</v>
      </c>
      <c r="Q83" s="18" t="n">
        <v>0.51441347</v>
      </c>
      <c r="R83" s="20" t="n">
        <v>0.49866162</v>
      </c>
    </row>
    <row r="84" spans="1:18">
      <c r="A84" s="23" t="s">
        <v>644</v>
      </c>
      <c r="B84" s="24" t="n">
        <v>1887</v>
      </c>
      <c r="C84" s="25">
        <f>(1693.0/B84*100)</f>
        <v/>
      </c>
      <c r="D84" s="19" t="n">
        <v>194</v>
      </c>
      <c r="E84" s="18" t="n">
        <v>43.6564867</v>
      </c>
      <c r="F84" s="20" t="n">
        <v>3.23466922</v>
      </c>
      <c r="G84" s="18" t="n">
        <v>55.3087011</v>
      </c>
      <c r="H84" s="20" t="n">
        <v>3.45470896</v>
      </c>
      <c r="I84" s="18" t="n">
        <v>0</v>
      </c>
      <c r="J84" s="20" t="n">
        <v>0</v>
      </c>
      <c r="K84" s="18" t="n">
        <v>0</v>
      </c>
      <c r="L84" s="20" t="n">
        <v>0</v>
      </c>
      <c r="M84" s="18" t="n">
        <v>0</v>
      </c>
      <c r="N84" s="20" t="n">
        <v>0</v>
      </c>
      <c r="O84" s="18" t="n">
        <v>0</v>
      </c>
      <c r="P84" s="20" t="n">
        <v>0</v>
      </c>
      <c r="Q84" s="18" t="n">
        <v>1.0348122</v>
      </c>
      <c r="R84" s="20" t="n">
        <v>0.7429373500000001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(12973.0/B7*100)</f>
        <v/>
      </c>
      <c r="D7" s="19" t="n">
        <v>1557</v>
      </c>
      <c r="E7" s="18" t="n">
        <v>51.84555445</v>
      </c>
      <c r="F7" s="20" t="n">
        <v>1.46783859</v>
      </c>
      <c r="G7" s="18" t="n">
        <v>30.65266828</v>
      </c>
      <c r="H7" s="20" t="n">
        <v>1.3592393</v>
      </c>
      <c r="I7" s="18" t="n">
        <v>0</v>
      </c>
      <c r="J7" s="20" t="n">
        <v>0</v>
      </c>
      <c r="K7" s="18" t="n">
        <v>2.36557191</v>
      </c>
      <c r="L7" s="20" t="n">
        <v>0.41923412</v>
      </c>
      <c r="M7" s="18" t="n">
        <v>0.008067400000000001</v>
      </c>
      <c r="N7" s="20" t="n">
        <v>0.00811069</v>
      </c>
      <c r="O7" s="18" t="n">
        <v>0</v>
      </c>
      <c r="P7" s="20" t="n">
        <v>0</v>
      </c>
      <c r="Q7" s="18" t="n">
        <v>15.12813796</v>
      </c>
      <c r="R7" s="20" t="n">
        <v>0.9855078900000001</v>
      </c>
    </row>
    <row r="8" spans="1:18">
      <c r="A8" s="15" t="s">
        <v>566</v>
      </c>
      <c r="B8" s="17" t="n">
        <v>7007</v>
      </c>
      <c r="C8" s="18">
        <f>(6261.0/B8*100)</f>
        <v/>
      </c>
      <c r="D8" s="19" t="n">
        <v>746</v>
      </c>
      <c r="E8" s="18" t="n">
        <v>42.37902233</v>
      </c>
      <c r="F8" s="20" t="n">
        <v>1.86366621</v>
      </c>
      <c r="G8" s="18" t="n">
        <v>42.82612091</v>
      </c>
      <c r="H8" s="20" t="n">
        <v>1.96424228</v>
      </c>
      <c r="I8" s="18" t="n">
        <v>0</v>
      </c>
      <c r="J8" s="20" t="n">
        <v>0</v>
      </c>
      <c r="K8" s="18" t="n">
        <v>2.64534874</v>
      </c>
      <c r="L8" s="20" t="n">
        <v>0.6719276199999999</v>
      </c>
      <c r="M8" s="18" t="n">
        <v>0</v>
      </c>
      <c r="N8" s="20" t="n">
        <v>0</v>
      </c>
      <c r="O8" s="18" t="n">
        <v>0</v>
      </c>
      <c r="P8" s="20" t="n">
        <v>0</v>
      </c>
      <c r="Q8" s="18" t="n">
        <v>12.14950802</v>
      </c>
      <c r="R8" s="20" t="n">
        <v>1.27845132</v>
      </c>
    </row>
    <row r="9" spans="1:18">
      <c r="A9" s="15" t="s">
        <v>567</v>
      </c>
      <c r="B9" s="17" t="n">
        <v>9651</v>
      </c>
      <c r="C9" s="18">
        <f>(8657.0/B9*100)</f>
        <v/>
      </c>
      <c r="D9" s="19" t="n">
        <v>994</v>
      </c>
      <c r="E9" s="18" t="n">
        <v>35.71324256</v>
      </c>
      <c r="F9" s="20" t="n">
        <v>1.59502052</v>
      </c>
      <c r="G9" s="18" t="n">
        <v>43.77427399</v>
      </c>
      <c r="H9" s="20" t="n">
        <v>1.6561347</v>
      </c>
      <c r="I9" s="18" t="n">
        <v>0</v>
      </c>
      <c r="J9" s="20" t="n">
        <v>0</v>
      </c>
      <c r="K9" s="18" t="n">
        <v>2.19969039</v>
      </c>
      <c r="L9" s="20" t="n">
        <v>0.49659694</v>
      </c>
      <c r="M9" s="18" t="n">
        <v>0.08122140999999999</v>
      </c>
      <c r="N9" s="20" t="n">
        <v>0.07865094</v>
      </c>
      <c r="O9" s="18" t="n">
        <v>0</v>
      </c>
      <c r="P9" s="20" t="n">
        <v>0</v>
      </c>
      <c r="Q9" s="18" t="n">
        <v>18.23157165</v>
      </c>
      <c r="R9" s="20" t="n">
        <v>1.38402806</v>
      </c>
    </row>
    <row r="10" spans="1:18">
      <c r="A10" s="15" t="s">
        <v>568</v>
      </c>
      <c r="B10" s="17" t="n">
        <v>20058</v>
      </c>
      <c r="C10" s="18">
        <f>(17815.0/B10*100)</f>
        <v/>
      </c>
      <c r="D10" s="19" t="n">
        <v>2243</v>
      </c>
      <c r="E10" s="18" t="n">
        <v>44.53978394</v>
      </c>
      <c r="F10" s="20" t="n">
        <v>1.36126765</v>
      </c>
      <c r="G10" s="18" t="n">
        <v>45.77125544</v>
      </c>
      <c r="H10" s="20" t="n">
        <v>1.45876704</v>
      </c>
      <c r="I10" s="18" t="n">
        <v>0</v>
      </c>
      <c r="J10" s="20" t="n">
        <v>0</v>
      </c>
      <c r="K10" s="18" t="n">
        <v>1.35530772</v>
      </c>
      <c r="L10" s="20" t="n">
        <v>0.31281376</v>
      </c>
      <c r="M10" s="18" t="n">
        <v>0</v>
      </c>
      <c r="N10" s="20" t="n">
        <v>0</v>
      </c>
      <c r="O10" s="18" t="n">
        <v>0</v>
      </c>
      <c r="P10" s="20" t="n">
        <v>0</v>
      </c>
      <c r="Q10" s="18" t="n">
        <v>8.333652900000001</v>
      </c>
      <c r="R10" s="20" t="n">
        <v>0.8202055499999999</v>
      </c>
    </row>
    <row r="11" spans="1:18">
      <c r="A11" s="15" t="s">
        <v>569</v>
      </c>
      <c r="B11" s="17" t="n">
        <v>7053</v>
      </c>
      <c r="C11" s="18">
        <f>(6274.0/B11*100)</f>
        <v/>
      </c>
      <c r="D11" s="19" t="n">
        <v>779</v>
      </c>
      <c r="E11" s="18" t="n">
        <v>44.54856572</v>
      </c>
      <c r="F11" s="20" t="n">
        <v>2.09062957</v>
      </c>
      <c r="G11" s="18" t="n">
        <v>25.63300846</v>
      </c>
      <c r="H11" s="20" t="n">
        <v>1.57445884</v>
      </c>
      <c r="I11" s="18" t="n">
        <v>0</v>
      </c>
      <c r="J11" s="20" t="n">
        <v>0</v>
      </c>
      <c r="K11" s="18" t="n">
        <v>10.36743275</v>
      </c>
      <c r="L11" s="20" t="n">
        <v>1.33510223</v>
      </c>
      <c r="M11" s="18" t="n">
        <v>0.01842755</v>
      </c>
      <c r="N11" s="20" t="n">
        <v>0.01867629</v>
      </c>
      <c r="O11" s="18" t="n">
        <v>0</v>
      </c>
      <c r="P11" s="20" t="n">
        <v>0</v>
      </c>
      <c r="Q11" s="18" t="n">
        <v>19.43256553</v>
      </c>
      <c r="R11" s="20" t="n">
        <v>1.45372822</v>
      </c>
    </row>
    <row r="12" spans="1:18">
      <c r="A12" s="15" t="s">
        <v>570</v>
      </c>
      <c r="B12" s="17" t="n">
        <v>6894</v>
      </c>
      <c r="C12" s="18">
        <f>(6122.0/B12*100)</f>
        <v/>
      </c>
      <c r="D12" s="19" t="n">
        <v>772</v>
      </c>
      <c r="E12" s="18" t="n">
        <v>41.04196102</v>
      </c>
      <c r="F12" s="20" t="n">
        <v>2.21460938</v>
      </c>
      <c r="G12" s="18" t="n">
        <v>33.82516714</v>
      </c>
      <c r="H12" s="20" t="n">
        <v>2.09121518</v>
      </c>
      <c r="I12" s="18" t="n">
        <v>0</v>
      </c>
      <c r="J12" s="20" t="n">
        <v>0</v>
      </c>
      <c r="K12" s="18" t="n">
        <v>2.33651546</v>
      </c>
      <c r="L12" s="20" t="n">
        <v>0.64855607</v>
      </c>
      <c r="M12" s="18" t="n">
        <v>0.12611025</v>
      </c>
      <c r="N12" s="20" t="n">
        <v>0.12596352</v>
      </c>
      <c r="O12" s="18" t="n">
        <v>0</v>
      </c>
      <c r="P12" s="20" t="n">
        <v>0</v>
      </c>
      <c r="Q12" s="18" t="n">
        <v>22.67024613</v>
      </c>
      <c r="R12" s="20" t="n">
        <v>1.83097079</v>
      </c>
    </row>
    <row r="13" spans="1:18">
      <c r="A13" s="15" t="s">
        <v>571</v>
      </c>
      <c r="B13" s="17" t="n">
        <v>7161</v>
      </c>
      <c r="C13" s="18">
        <f>(6463.0/B13*100)</f>
        <v/>
      </c>
      <c r="D13" s="19" t="n">
        <v>698</v>
      </c>
      <c r="E13" s="18" t="n">
        <v>46.24504428</v>
      </c>
      <c r="F13" s="20" t="n">
        <v>2.66711472</v>
      </c>
      <c r="G13" s="18" t="n">
        <v>37.40229073</v>
      </c>
      <c r="H13" s="20" t="n">
        <v>2.15375308</v>
      </c>
      <c r="I13" s="18" t="n">
        <v>0</v>
      </c>
      <c r="J13" s="20" t="n">
        <v>0</v>
      </c>
      <c r="K13" s="18" t="n">
        <v>1.9150859</v>
      </c>
      <c r="L13" s="20" t="n">
        <v>0.61937883</v>
      </c>
      <c r="M13" s="18" t="n">
        <v>0.03479473</v>
      </c>
      <c r="N13" s="20" t="n">
        <v>0.03495742</v>
      </c>
      <c r="O13" s="18" t="n">
        <v>0</v>
      </c>
      <c r="P13" s="20" t="n">
        <v>0</v>
      </c>
      <c r="Q13" s="18" t="n">
        <v>14.40278436</v>
      </c>
      <c r="R13" s="20" t="n">
        <v>1.69889046</v>
      </c>
    </row>
    <row r="14" spans="1:18">
      <c r="A14" s="15" t="s">
        <v>572</v>
      </c>
      <c r="B14" s="17" t="n">
        <v>5587</v>
      </c>
      <c r="C14" s="18">
        <f>(4943.0/B14*100)</f>
        <v/>
      </c>
      <c r="D14" s="19" t="n">
        <v>644</v>
      </c>
      <c r="E14" s="18" t="n">
        <v>44.47077733</v>
      </c>
      <c r="F14" s="20" t="n">
        <v>1.84242704</v>
      </c>
      <c r="G14" s="18" t="n">
        <v>48.20751693</v>
      </c>
      <c r="H14" s="20" t="n">
        <v>1.80243285</v>
      </c>
      <c r="I14" s="18" t="n">
        <v>0</v>
      </c>
      <c r="J14" s="20" t="n">
        <v>0</v>
      </c>
      <c r="K14" s="18" t="n">
        <v>1.10072923</v>
      </c>
      <c r="L14" s="20" t="n">
        <v>0.38262845</v>
      </c>
      <c r="M14" s="18" t="n">
        <v>0</v>
      </c>
      <c r="N14" s="20" t="n">
        <v>0</v>
      </c>
      <c r="O14" s="18" t="n">
        <v>0</v>
      </c>
      <c r="P14" s="20" t="n">
        <v>0</v>
      </c>
      <c r="Q14" s="18" t="n">
        <v>6.2209765</v>
      </c>
      <c r="R14" s="20" t="n">
        <v>0.96622193</v>
      </c>
    </row>
    <row r="15" spans="1:18">
      <c r="A15" s="15" t="s">
        <v>573</v>
      </c>
      <c r="B15" s="17" t="n">
        <v>5882</v>
      </c>
      <c r="C15" s="18">
        <f>(5243.0/B15*100)</f>
        <v/>
      </c>
      <c r="D15" s="19" t="n">
        <v>639</v>
      </c>
      <c r="E15" s="18" t="n">
        <v>39.90567768</v>
      </c>
      <c r="F15" s="20" t="n">
        <v>2.14655101</v>
      </c>
      <c r="G15" s="18" t="n">
        <v>53.14330249</v>
      </c>
      <c r="H15" s="20" t="n">
        <v>2.18370722</v>
      </c>
      <c r="I15" s="18" t="n">
        <v>0</v>
      </c>
      <c r="J15" s="20" t="n">
        <v>0</v>
      </c>
      <c r="K15" s="18" t="n">
        <v>2.07095486</v>
      </c>
      <c r="L15" s="20" t="n">
        <v>0.55969678</v>
      </c>
      <c r="M15" s="18" t="n">
        <v>0.14417331</v>
      </c>
      <c r="N15" s="20" t="n">
        <v>0.14398712</v>
      </c>
      <c r="O15" s="18" t="n">
        <v>0</v>
      </c>
      <c r="P15" s="20" t="n">
        <v>0</v>
      </c>
      <c r="Q15" s="18" t="n">
        <v>4.73589167</v>
      </c>
      <c r="R15" s="20" t="n">
        <v>0.83478037</v>
      </c>
    </row>
    <row r="16" spans="1:18">
      <c r="A16" s="15" t="s">
        <v>574</v>
      </c>
      <c r="B16" s="17" t="n">
        <v>6108</v>
      </c>
      <c r="C16" s="18">
        <f>(5407.0/B16*100)</f>
        <v/>
      </c>
      <c r="D16" s="19" t="n">
        <v>701</v>
      </c>
      <c r="E16" s="18" t="n">
        <v>30.91858038</v>
      </c>
      <c r="F16" s="20" t="n">
        <v>1.81641736</v>
      </c>
      <c r="G16" s="18" t="n">
        <v>42.01618809</v>
      </c>
      <c r="H16" s="20" t="n">
        <v>1.98607171</v>
      </c>
      <c r="I16" s="18" t="n">
        <v>0</v>
      </c>
      <c r="J16" s="20" t="n">
        <v>0</v>
      </c>
      <c r="K16" s="18" t="n">
        <v>5.62124642</v>
      </c>
      <c r="L16" s="20" t="n">
        <v>1.05237194</v>
      </c>
      <c r="M16" s="18" t="n">
        <v>0</v>
      </c>
      <c r="N16" s="20" t="n">
        <v>0</v>
      </c>
      <c r="O16" s="18" t="n">
        <v>0</v>
      </c>
      <c r="P16" s="20" t="n">
        <v>0</v>
      </c>
      <c r="Q16" s="18" t="n">
        <v>21.44398511</v>
      </c>
      <c r="R16" s="20" t="n">
        <v>1.37596762</v>
      </c>
    </row>
    <row r="17" spans="1:18">
      <c r="A17" s="15" t="s">
        <v>575</v>
      </c>
      <c r="B17" s="17" t="n">
        <v>6504</v>
      </c>
      <c r="C17" s="18">
        <f>(5833.0/B17*100)</f>
        <v/>
      </c>
      <c r="D17" s="19" t="n">
        <v>671</v>
      </c>
      <c r="E17" s="18" t="n">
        <v>36.05117365</v>
      </c>
      <c r="F17" s="20" t="n">
        <v>1.5855888</v>
      </c>
      <c r="G17" s="18" t="n">
        <v>47.9493927</v>
      </c>
      <c r="H17" s="20" t="n">
        <v>1.92234296</v>
      </c>
      <c r="I17" s="18" t="n">
        <v>0</v>
      </c>
      <c r="J17" s="20" t="n">
        <v>0</v>
      </c>
      <c r="K17" s="18" t="n">
        <v>2.71293166</v>
      </c>
      <c r="L17" s="20" t="n">
        <v>0.67302571</v>
      </c>
      <c r="M17" s="18" t="n">
        <v>0</v>
      </c>
      <c r="N17" s="20" t="n">
        <v>0</v>
      </c>
      <c r="O17" s="18" t="n">
        <v>0</v>
      </c>
      <c r="P17" s="20" t="n">
        <v>0</v>
      </c>
      <c r="Q17" s="18" t="n">
        <v>13.28650199</v>
      </c>
      <c r="R17" s="20" t="n">
        <v>1.2747291</v>
      </c>
    </row>
    <row r="18" spans="1:18">
      <c r="A18" s="15" t="s">
        <v>576</v>
      </c>
      <c r="B18" s="17" t="n">
        <v>5532</v>
      </c>
      <c r="C18" s="18">
        <f>(4914.0/B18*100)</f>
        <v/>
      </c>
      <c r="D18" s="19" t="n">
        <v>618</v>
      </c>
      <c r="E18" s="18" t="n">
        <v>44.21178865</v>
      </c>
      <c r="F18" s="20" t="n">
        <v>1.78403781</v>
      </c>
      <c r="G18" s="18" t="n">
        <v>30.11269989</v>
      </c>
      <c r="H18" s="20" t="n">
        <v>2.12478822</v>
      </c>
      <c r="I18" s="18" t="n">
        <v>0</v>
      </c>
      <c r="J18" s="20" t="n">
        <v>0</v>
      </c>
      <c r="K18" s="18" t="n">
        <v>3.10384693</v>
      </c>
      <c r="L18" s="20" t="n">
        <v>0.91248166</v>
      </c>
      <c r="M18" s="18" t="n">
        <v>0</v>
      </c>
      <c r="N18" s="20" t="n">
        <v>0</v>
      </c>
      <c r="O18" s="18" t="n">
        <v>0</v>
      </c>
      <c r="P18" s="20" t="n">
        <v>0</v>
      </c>
      <c r="Q18" s="18" t="n">
        <v>22.57166453</v>
      </c>
      <c r="R18" s="20" t="n">
        <v>1.84046793</v>
      </c>
    </row>
    <row r="19" spans="1:18">
      <c r="A19" s="15" t="s">
        <v>577</v>
      </c>
      <c r="B19" s="17" t="n">
        <v>5658</v>
      </c>
      <c r="C19" s="18">
        <f>(5079.0/B19*100)</f>
        <v/>
      </c>
      <c r="D19" s="19" t="n">
        <v>579</v>
      </c>
      <c r="E19" s="18" t="n">
        <v>50.36018057</v>
      </c>
      <c r="F19" s="20" t="n">
        <v>2.17676389</v>
      </c>
      <c r="G19" s="18" t="n">
        <v>32.57709348</v>
      </c>
      <c r="H19" s="20" t="n">
        <v>1.67412236</v>
      </c>
      <c r="I19" s="18" t="n">
        <v>0</v>
      </c>
      <c r="J19" s="20" t="n">
        <v>0</v>
      </c>
      <c r="K19" s="18" t="n">
        <v>1.99707857</v>
      </c>
      <c r="L19" s="20" t="n">
        <v>0.56580566</v>
      </c>
      <c r="M19" s="18" t="n">
        <v>0</v>
      </c>
      <c r="N19" s="20" t="n">
        <v>0</v>
      </c>
      <c r="O19" s="18" t="n">
        <v>0</v>
      </c>
      <c r="P19" s="20" t="n">
        <v>0</v>
      </c>
      <c r="Q19" s="18" t="n">
        <v>15.06564738</v>
      </c>
      <c r="R19" s="20" t="n">
        <v>1.81966291</v>
      </c>
    </row>
    <row r="20" spans="1:18">
      <c r="A20" s="15" t="s">
        <v>578</v>
      </c>
      <c r="B20" s="17" t="n">
        <v>3371</v>
      </c>
      <c r="C20" s="18">
        <f>(3006.0/B20*100)</f>
        <v/>
      </c>
      <c r="D20" s="19" t="n">
        <v>365</v>
      </c>
      <c r="E20" s="18" t="n">
        <v>46.46366055</v>
      </c>
      <c r="F20" s="20" t="n">
        <v>2.35259713</v>
      </c>
      <c r="G20" s="18" t="n">
        <v>32.534209</v>
      </c>
      <c r="H20" s="20" t="n">
        <v>2.36182492</v>
      </c>
      <c r="I20" s="18" t="n">
        <v>0</v>
      </c>
      <c r="J20" s="20" t="n">
        <v>0</v>
      </c>
      <c r="K20" s="18" t="n">
        <v>6.16149834</v>
      </c>
      <c r="L20" s="20" t="n">
        <v>1.210015</v>
      </c>
      <c r="M20" s="18" t="n">
        <v>1.58725894</v>
      </c>
      <c r="N20" s="20" t="n">
        <v>0.44557573</v>
      </c>
      <c r="O20" s="18" t="n">
        <v>0</v>
      </c>
      <c r="P20" s="20" t="n">
        <v>0</v>
      </c>
      <c r="Q20" s="18" t="n">
        <v>13.25337318</v>
      </c>
      <c r="R20" s="20" t="n">
        <v>1.76208236</v>
      </c>
    </row>
    <row r="21" spans="1:18">
      <c r="A21" s="15" t="s">
        <v>579</v>
      </c>
      <c r="B21" s="17" t="n">
        <v>5741</v>
      </c>
      <c r="C21" s="18">
        <f>(5127.0/B21*100)</f>
        <v/>
      </c>
      <c r="D21" s="19" t="n">
        <v>614</v>
      </c>
      <c r="E21" s="18" t="n">
        <v>48.19124765</v>
      </c>
      <c r="F21" s="20" t="n">
        <v>2.11790258</v>
      </c>
      <c r="G21" s="18" t="n">
        <v>39.24714369</v>
      </c>
      <c r="H21" s="20" t="n">
        <v>2.20735319</v>
      </c>
      <c r="I21" s="18" t="n">
        <v>0</v>
      </c>
      <c r="J21" s="20" t="n">
        <v>0</v>
      </c>
      <c r="K21" s="18" t="n">
        <v>1.62484747</v>
      </c>
      <c r="L21" s="20" t="n">
        <v>0.53954487</v>
      </c>
      <c r="M21" s="18" t="n">
        <v>0</v>
      </c>
      <c r="N21" s="20" t="n">
        <v>0</v>
      </c>
      <c r="O21" s="18" t="n">
        <v>0</v>
      </c>
      <c r="P21" s="20" t="n">
        <v>0</v>
      </c>
      <c r="Q21" s="18" t="n">
        <v>10.93676119</v>
      </c>
      <c r="R21" s="20" t="n">
        <v>1.4695355</v>
      </c>
    </row>
    <row r="22" spans="1:18">
      <c r="A22" s="15" t="s">
        <v>580</v>
      </c>
      <c r="B22" s="17" t="n">
        <v>6598</v>
      </c>
      <c r="C22" s="18">
        <f>(5921.0/B22*100)</f>
        <v/>
      </c>
      <c r="D22" s="19" t="n">
        <v>677</v>
      </c>
      <c r="E22" s="18" t="n">
        <v>34.36796801</v>
      </c>
      <c r="F22" s="20" t="n">
        <v>2.42346563</v>
      </c>
      <c r="G22" s="18" t="n">
        <v>46.0926155</v>
      </c>
      <c r="H22" s="20" t="n">
        <v>2.32310905</v>
      </c>
      <c r="I22" s="18" t="n">
        <v>0</v>
      </c>
      <c r="J22" s="20" t="n">
        <v>0</v>
      </c>
      <c r="K22" s="18" t="n">
        <v>3.74406625</v>
      </c>
      <c r="L22" s="20" t="n">
        <v>0.76752347</v>
      </c>
      <c r="M22" s="18" t="n">
        <v>0</v>
      </c>
      <c r="N22" s="20" t="n">
        <v>0</v>
      </c>
      <c r="O22" s="18" t="n">
        <v>0</v>
      </c>
      <c r="P22" s="20" t="n">
        <v>0</v>
      </c>
      <c r="Q22" s="18" t="n">
        <v>15.79535024</v>
      </c>
      <c r="R22" s="20" t="n">
        <v>1.77583706</v>
      </c>
    </row>
    <row r="23" spans="1:18">
      <c r="A23" s="15" t="s">
        <v>581</v>
      </c>
      <c r="B23" s="17" t="n">
        <v>11583</v>
      </c>
      <c r="C23" s="18">
        <f>(10333.0/B23*100)</f>
        <v/>
      </c>
      <c r="D23" s="19" t="n">
        <v>1250</v>
      </c>
      <c r="E23" s="18" t="n">
        <v>39.63224798</v>
      </c>
      <c r="F23" s="20" t="n">
        <v>2.04797015</v>
      </c>
      <c r="G23" s="18" t="n">
        <v>29.98491043</v>
      </c>
      <c r="H23" s="20" t="n">
        <v>1.82956263</v>
      </c>
      <c r="I23" s="18" t="n">
        <v>0</v>
      </c>
      <c r="J23" s="20" t="n">
        <v>0</v>
      </c>
      <c r="K23" s="18" t="n">
        <v>5.86011611</v>
      </c>
      <c r="L23" s="20" t="n">
        <v>0.85289772</v>
      </c>
      <c r="M23" s="18" t="n">
        <v>0</v>
      </c>
      <c r="N23" s="20" t="n">
        <v>0</v>
      </c>
      <c r="O23" s="18" t="n">
        <v>0</v>
      </c>
      <c r="P23" s="20" t="n">
        <v>0</v>
      </c>
      <c r="Q23" s="18" t="n">
        <v>24.52272548</v>
      </c>
      <c r="R23" s="20" t="n">
        <v>2.0649063</v>
      </c>
    </row>
    <row r="24" spans="1:18">
      <c r="A24" s="15" t="s">
        <v>582</v>
      </c>
      <c r="B24" s="17" t="n">
        <v>6647</v>
      </c>
      <c r="C24" s="18">
        <f>(5944.0/B24*100)</f>
        <v/>
      </c>
      <c r="D24" s="19" t="n">
        <v>703</v>
      </c>
      <c r="E24" s="18" t="n">
        <v>45.67413507</v>
      </c>
      <c r="F24" s="20" t="n">
        <v>1.79834494</v>
      </c>
      <c r="G24" s="18" t="n">
        <v>30.5696712</v>
      </c>
      <c r="H24" s="20" t="n">
        <v>1.89878728</v>
      </c>
      <c r="I24" s="18" t="n">
        <v>0</v>
      </c>
      <c r="J24" s="20" t="n">
        <v>0</v>
      </c>
      <c r="K24" s="18" t="n">
        <v>1.01622239</v>
      </c>
      <c r="L24" s="20" t="n">
        <v>0.38993917</v>
      </c>
      <c r="M24" s="18" t="n">
        <v>0</v>
      </c>
      <c r="N24" s="20" t="n">
        <v>0</v>
      </c>
      <c r="O24" s="18" t="n">
        <v>0</v>
      </c>
      <c r="P24" s="20" t="n">
        <v>0</v>
      </c>
      <c r="Q24" s="18" t="n">
        <v>22.73997134</v>
      </c>
      <c r="R24" s="20" t="n">
        <v>1.71790088</v>
      </c>
    </row>
    <row r="25" spans="1:18">
      <c r="A25" s="15" t="s">
        <v>583</v>
      </c>
      <c r="B25" s="17" t="n">
        <v>5581</v>
      </c>
      <c r="C25" s="18">
        <f>(4968.0/B25*100)</f>
        <v/>
      </c>
      <c r="D25" s="19" t="n">
        <v>613</v>
      </c>
      <c r="E25" s="18" t="n">
        <v>44.15956333</v>
      </c>
      <c r="F25" s="20" t="n">
        <v>1.66675694</v>
      </c>
      <c r="G25" s="18" t="n">
        <v>36.75678131</v>
      </c>
      <c r="H25" s="20" t="n">
        <v>2.11823633</v>
      </c>
      <c r="I25" s="18" t="n">
        <v>0</v>
      </c>
      <c r="J25" s="20" t="n">
        <v>0</v>
      </c>
      <c r="K25" s="18" t="n">
        <v>3.5878527</v>
      </c>
      <c r="L25" s="20" t="n">
        <v>0.70423083</v>
      </c>
      <c r="M25" s="18" t="n">
        <v>0</v>
      </c>
      <c r="N25" s="20" t="n">
        <v>0</v>
      </c>
      <c r="O25" s="18" t="n">
        <v>0</v>
      </c>
      <c r="P25" s="20" t="n">
        <v>0</v>
      </c>
      <c r="Q25" s="18" t="n">
        <v>15.49580265</v>
      </c>
      <c r="R25" s="20" t="n">
        <v>1.60226683</v>
      </c>
    </row>
    <row r="26" spans="1:18">
      <c r="A26" s="15" t="s">
        <v>584</v>
      </c>
      <c r="B26" s="17" t="n">
        <v>4869</v>
      </c>
      <c r="C26" s="18">
        <f>(4312.0/B26*100)</f>
        <v/>
      </c>
      <c r="D26" s="19" t="n">
        <v>557</v>
      </c>
      <c r="E26" s="18" t="n">
        <v>55.85394442</v>
      </c>
      <c r="F26" s="20" t="n">
        <v>2.1509324</v>
      </c>
      <c r="G26" s="18" t="n">
        <v>29.66593517</v>
      </c>
      <c r="H26" s="20" t="n">
        <v>1.93318803</v>
      </c>
      <c r="I26" s="18" t="n">
        <v>0</v>
      </c>
      <c r="J26" s="20" t="n">
        <v>0</v>
      </c>
      <c r="K26" s="18" t="n">
        <v>1.00565431</v>
      </c>
      <c r="L26" s="20" t="n">
        <v>0.48498742</v>
      </c>
      <c r="M26" s="18" t="n">
        <v>0.1616873</v>
      </c>
      <c r="N26" s="20" t="n">
        <v>0.16239461</v>
      </c>
      <c r="O26" s="18" t="n">
        <v>0</v>
      </c>
      <c r="P26" s="20" t="n">
        <v>0</v>
      </c>
      <c r="Q26" s="18" t="n">
        <v>13.3127788</v>
      </c>
      <c r="R26" s="20" t="n">
        <v>1.60297268</v>
      </c>
    </row>
    <row r="27" spans="1:18">
      <c r="A27" s="15" t="s">
        <v>585</v>
      </c>
      <c r="B27" s="17" t="n">
        <v>5299</v>
      </c>
      <c r="C27" s="18">
        <f>(4699.0/B27*100)</f>
        <v/>
      </c>
      <c r="D27" s="19" t="n">
        <v>600</v>
      </c>
      <c r="E27" s="18" t="n">
        <v>38.32434727</v>
      </c>
      <c r="F27" s="20" t="n">
        <v>2.45042042</v>
      </c>
      <c r="G27" s="18" t="n">
        <v>36.48813493</v>
      </c>
      <c r="H27" s="20" t="n">
        <v>2.15681625</v>
      </c>
      <c r="I27" s="18" t="n">
        <v>0</v>
      </c>
      <c r="J27" s="20" t="n">
        <v>0</v>
      </c>
      <c r="K27" s="18" t="n">
        <v>2.06340634</v>
      </c>
      <c r="L27" s="20" t="n">
        <v>0.59467337</v>
      </c>
      <c r="M27" s="18" t="n">
        <v>0</v>
      </c>
      <c r="N27" s="20" t="n">
        <v>0</v>
      </c>
      <c r="O27" s="18" t="n">
        <v>0</v>
      </c>
      <c r="P27" s="20" t="n">
        <v>0</v>
      </c>
      <c r="Q27" s="18" t="n">
        <v>23.12411146</v>
      </c>
      <c r="R27" s="20" t="n">
        <v>1.74582784</v>
      </c>
    </row>
    <row r="28" spans="1:18">
      <c r="A28" s="15" t="s">
        <v>586</v>
      </c>
      <c r="B28" s="17" t="n">
        <v>7568</v>
      </c>
      <c r="C28" s="18">
        <f>(6796.0/B28*100)</f>
        <v/>
      </c>
      <c r="D28" s="19" t="n">
        <v>772</v>
      </c>
      <c r="E28" s="18" t="n">
        <v>60.42711515</v>
      </c>
      <c r="F28" s="20" t="n">
        <v>2.33041636</v>
      </c>
      <c r="G28" s="18" t="n">
        <v>29.15227534</v>
      </c>
      <c r="H28" s="20" t="n">
        <v>2.24498313</v>
      </c>
      <c r="I28" s="18" t="n">
        <v>0</v>
      </c>
      <c r="J28" s="20" t="n">
        <v>0</v>
      </c>
      <c r="K28" s="18" t="n">
        <v>1.79001302</v>
      </c>
      <c r="L28" s="20" t="n">
        <v>0.44105463</v>
      </c>
      <c r="M28" s="18" t="n">
        <v>0.20807512</v>
      </c>
      <c r="N28" s="20" t="n">
        <v>0.20727695</v>
      </c>
      <c r="O28" s="18" t="n">
        <v>0</v>
      </c>
      <c r="P28" s="20" t="n">
        <v>0</v>
      </c>
      <c r="Q28" s="18" t="n">
        <v>8.422521379999999</v>
      </c>
      <c r="R28" s="20" t="n">
        <v>1.11419639</v>
      </c>
    </row>
    <row r="29" spans="1:18">
      <c r="A29" s="15" t="s">
        <v>587</v>
      </c>
      <c r="B29" s="17" t="n">
        <v>5385</v>
      </c>
      <c r="C29" s="18">
        <f>(4851.0/B29*100)</f>
        <v/>
      </c>
      <c r="D29" s="19" t="n">
        <v>534</v>
      </c>
      <c r="E29" s="18" t="n">
        <v>51.03580322</v>
      </c>
      <c r="F29" s="20" t="n">
        <v>2.15927986</v>
      </c>
      <c r="G29" s="18" t="n">
        <v>42.3636213</v>
      </c>
      <c r="H29" s="20" t="n">
        <v>2.24114948</v>
      </c>
      <c r="I29" s="18" t="n">
        <v>0</v>
      </c>
      <c r="J29" s="20" t="n">
        <v>0</v>
      </c>
      <c r="K29" s="18" t="n">
        <v>1.01018711</v>
      </c>
      <c r="L29" s="20" t="n">
        <v>0.4116789</v>
      </c>
      <c r="M29" s="18" t="n">
        <v>0</v>
      </c>
      <c r="N29" s="20" t="n">
        <v>0</v>
      </c>
      <c r="O29" s="18" t="n">
        <v>0</v>
      </c>
      <c r="P29" s="20" t="n">
        <v>0</v>
      </c>
      <c r="Q29" s="18" t="n">
        <v>5.59038838</v>
      </c>
      <c r="R29" s="20" t="n">
        <v>0.9842387</v>
      </c>
    </row>
    <row r="30" spans="1:18">
      <c r="A30" s="15" t="s">
        <v>588</v>
      </c>
      <c r="B30" s="17" t="n">
        <v>4520</v>
      </c>
      <c r="C30" s="18">
        <f>(4023.0/B30*100)</f>
        <v/>
      </c>
      <c r="D30" s="19" t="n">
        <v>497</v>
      </c>
      <c r="E30" s="18" t="n">
        <v>45.26382091</v>
      </c>
      <c r="F30" s="20" t="n">
        <v>2.20688907</v>
      </c>
      <c r="G30" s="18" t="n">
        <v>33.12711993</v>
      </c>
      <c r="H30" s="20" t="n">
        <v>2.05055682</v>
      </c>
      <c r="I30" s="18" t="n">
        <v>0</v>
      </c>
      <c r="J30" s="20" t="n">
        <v>0</v>
      </c>
      <c r="K30" s="18" t="n">
        <v>4.06180143</v>
      </c>
      <c r="L30" s="20" t="n">
        <v>0.73173337</v>
      </c>
      <c r="M30" s="18" t="n">
        <v>0</v>
      </c>
      <c r="N30" s="20" t="n">
        <v>0</v>
      </c>
      <c r="O30" s="18" t="n">
        <v>0</v>
      </c>
      <c r="P30" s="20" t="n">
        <v>0</v>
      </c>
      <c r="Q30" s="18" t="n">
        <v>17.54725772</v>
      </c>
      <c r="R30" s="20" t="n">
        <v>1.50707492</v>
      </c>
    </row>
    <row r="31" spans="1:18">
      <c r="A31" s="15" t="s">
        <v>589</v>
      </c>
      <c r="B31" s="17" t="n">
        <v>5456</v>
      </c>
      <c r="C31" s="18">
        <f>(4853.0/B31*100)</f>
        <v/>
      </c>
      <c r="D31" s="19" t="n">
        <v>603</v>
      </c>
      <c r="E31" s="18" t="n">
        <v>35.4584574</v>
      </c>
      <c r="F31" s="20" t="n">
        <v>1.8457715</v>
      </c>
      <c r="G31" s="18" t="n">
        <v>42.43665081</v>
      </c>
      <c r="H31" s="20" t="n">
        <v>2.05452221</v>
      </c>
      <c r="I31" s="18" t="n">
        <v>0</v>
      </c>
      <c r="J31" s="20" t="n">
        <v>0</v>
      </c>
      <c r="K31" s="18" t="n">
        <v>4.39711943</v>
      </c>
      <c r="L31" s="20" t="n">
        <v>0.9012437599999999</v>
      </c>
      <c r="M31" s="18" t="n">
        <v>0</v>
      </c>
      <c r="N31" s="20" t="n">
        <v>0</v>
      </c>
      <c r="O31" s="18" t="n">
        <v>0</v>
      </c>
      <c r="P31" s="20" t="n">
        <v>0</v>
      </c>
      <c r="Q31" s="18" t="n">
        <v>17.70777237</v>
      </c>
      <c r="R31" s="20" t="n">
        <v>1.75730281</v>
      </c>
    </row>
    <row r="32" spans="1:18">
      <c r="A32" s="15" t="s">
        <v>590</v>
      </c>
      <c r="B32" s="17" t="n">
        <v>4478</v>
      </c>
      <c r="C32" s="18">
        <f>(4001.0/B32*100)</f>
        <v/>
      </c>
      <c r="D32" s="19" t="n">
        <v>477</v>
      </c>
      <c r="E32" s="18" t="n">
        <v>45.89615896</v>
      </c>
      <c r="F32" s="20" t="n">
        <v>2.04330288</v>
      </c>
      <c r="G32" s="18" t="n">
        <v>42.63393861</v>
      </c>
      <c r="H32" s="20" t="n">
        <v>2.26381727</v>
      </c>
      <c r="I32" s="18" t="n">
        <v>0</v>
      </c>
      <c r="J32" s="20" t="n">
        <v>0</v>
      </c>
      <c r="K32" s="18" t="n">
        <v>1.23635313</v>
      </c>
      <c r="L32" s="20" t="n">
        <v>0.50431046</v>
      </c>
      <c r="M32" s="18" t="n">
        <v>0</v>
      </c>
      <c r="N32" s="20" t="n">
        <v>0</v>
      </c>
      <c r="O32" s="18" t="n">
        <v>0</v>
      </c>
      <c r="P32" s="20" t="n">
        <v>0</v>
      </c>
      <c r="Q32" s="18" t="n">
        <v>10.23354929</v>
      </c>
      <c r="R32" s="20" t="n">
        <v>1.29731354</v>
      </c>
    </row>
    <row r="33" spans="1:18">
      <c r="A33" s="15" t="s">
        <v>591</v>
      </c>
      <c r="B33" s="17" t="n">
        <v>7325</v>
      </c>
      <c r="C33" s="18">
        <f>(6535.0/B33*100)</f>
        <v/>
      </c>
      <c r="D33" s="19" t="n">
        <v>790</v>
      </c>
      <c r="E33" s="18" t="n">
        <v>39.1694187</v>
      </c>
      <c r="F33" s="20" t="n">
        <v>2.01804466</v>
      </c>
      <c r="G33" s="18" t="n">
        <v>39.61303275</v>
      </c>
      <c r="H33" s="20" t="n">
        <v>1.84807984</v>
      </c>
      <c r="I33" s="18" t="n">
        <v>0</v>
      </c>
      <c r="J33" s="20" t="n">
        <v>0</v>
      </c>
      <c r="K33" s="18" t="n">
        <v>0.80560326</v>
      </c>
      <c r="L33" s="20" t="n">
        <v>0.30735919</v>
      </c>
      <c r="M33" s="18" t="n">
        <v>0.284774</v>
      </c>
      <c r="N33" s="20" t="n">
        <v>0.28389697</v>
      </c>
      <c r="O33" s="18" t="n">
        <v>0</v>
      </c>
      <c r="P33" s="20" t="n">
        <v>0</v>
      </c>
      <c r="Q33" s="18" t="n">
        <v>20.12717128</v>
      </c>
      <c r="R33" s="20" t="n">
        <v>1.52494975</v>
      </c>
    </row>
    <row r="34" spans="1:18">
      <c r="A34" s="15" t="s">
        <v>592</v>
      </c>
      <c r="B34" s="17" t="n">
        <v>6350</v>
      </c>
      <c r="C34" s="18">
        <f>(5677.0/B34*100)</f>
        <v/>
      </c>
      <c r="D34" s="19" t="n">
        <v>673</v>
      </c>
      <c r="E34" s="18" t="n">
        <v>43.73925453</v>
      </c>
      <c r="F34" s="20" t="n">
        <v>1.75070441</v>
      </c>
      <c r="G34" s="18" t="n">
        <v>28.96733382</v>
      </c>
      <c r="H34" s="20" t="n">
        <v>1.72520994</v>
      </c>
      <c r="I34" s="18" t="n">
        <v>0</v>
      </c>
      <c r="J34" s="20" t="n">
        <v>0</v>
      </c>
      <c r="K34" s="18" t="n">
        <v>2.10942889</v>
      </c>
      <c r="L34" s="20" t="n">
        <v>0.65073788</v>
      </c>
      <c r="M34" s="18" t="n">
        <v>0.28872922</v>
      </c>
      <c r="N34" s="20" t="n">
        <v>0.20192955</v>
      </c>
      <c r="O34" s="18" t="n">
        <v>0</v>
      </c>
      <c r="P34" s="20" t="n">
        <v>0</v>
      </c>
      <c r="Q34" s="18" t="n">
        <v>24.89525355</v>
      </c>
      <c r="R34" s="20" t="n">
        <v>1.66953137</v>
      </c>
    </row>
    <row r="35" spans="1:18">
      <c r="A35" s="15" t="s">
        <v>593</v>
      </c>
      <c r="B35" s="17" t="n">
        <v>6406</v>
      </c>
      <c r="C35" s="18">
        <f>(5721.0/B35*100)</f>
        <v/>
      </c>
      <c r="D35" s="19" t="n">
        <v>685</v>
      </c>
      <c r="E35" s="18" t="n">
        <v>43.31210376</v>
      </c>
      <c r="F35" s="20" t="n">
        <v>2.22055242</v>
      </c>
      <c r="G35" s="18" t="n">
        <v>48.16322029</v>
      </c>
      <c r="H35" s="20" t="n">
        <v>2.07511687</v>
      </c>
      <c r="I35" s="18" t="n">
        <v>0</v>
      </c>
      <c r="J35" s="20" t="n">
        <v>0</v>
      </c>
      <c r="K35" s="18" t="n">
        <v>0.89856486</v>
      </c>
      <c r="L35" s="20" t="n">
        <v>0.27890798</v>
      </c>
      <c r="M35" s="18" t="n">
        <v>0</v>
      </c>
      <c r="N35" s="20" t="n">
        <v>0</v>
      </c>
      <c r="O35" s="18" t="n">
        <v>0</v>
      </c>
      <c r="P35" s="20" t="n">
        <v>0</v>
      </c>
      <c r="Q35" s="18" t="n">
        <v>7.62611108</v>
      </c>
      <c r="R35" s="20" t="n">
        <v>1.07884101</v>
      </c>
    </row>
    <row r="36" spans="1:18">
      <c r="A36" s="15" t="s">
        <v>594</v>
      </c>
      <c r="B36" s="17" t="n">
        <v>6736</v>
      </c>
      <c r="C36" s="18">
        <f>(5952.0/B36*100)</f>
        <v/>
      </c>
      <c r="D36" s="19" t="n">
        <v>784</v>
      </c>
      <c r="E36" s="18" t="n">
        <v>47.52845982</v>
      </c>
      <c r="F36" s="20" t="n">
        <v>1.76345475</v>
      </c>
      <c r="G36" s="18" t="n">
        <v>31.90395895</v>
      </c>
      <c r="H36" s="20" t="n">
        <v>1.70344</v>
      </c>
      <c r="I36" s="18" t="n">
        <v>0</v>
      </c>
      <c r="J36" s="20" t="n">
        <v>0</v>
      </c>
      <c r="K36" s="18" t="n">
        <v>2.477165</v>
      </c>
      <c r="L36" s="20" t="n">
        <v>0.62552414</v>
      </c>
      <c r="M36" s="18" t="n">
        <v>0.12145648</v>
      </c>
      <c r="N36" s="20" t="n">
        <v>0.1202037</v>
      </c>
      <c r="O36" s="18" t="n">
        <v>0</v>
      </c>
      <c r="P36" s="20" t="n">
        <v>0</v>
      </c>
      <c r="Q36" s="18" t="n">
        <v>17.96895975</v>
      </c>
      <c r="R36" s="20" t="n">
        <v>1.4757881</v>
      </c>
    </row>
    <row r="37" spans="1:18">
      <c r="A37" s="15" t="s">
        <v>595</v>
      </c>
      <c r="B37" s="17" t="n">
        <v>5458</v>
      </c>
      <c r="C37" s="18">
        <f>(4873.0/B37*100)</f>
        <v/>
      </c>
      <c r="D37" s="19" t="n">
        <v>585</v>
      </c>
      <c r="E37" s="18" t="n">
        <v>36.24418569</v>
      </c>
      <c r="F37" s="20" t="n">
        <v>2.24720651</v>
      </c>
      <c r="G37" s="18" t="n">
        <v>37.4863979</v>
      </c>
      <c r="H37" s="20" t="n">
        <v>2.15369899</v>
      </c>
      <c r="I37" s="18" t="n">
        <v>0</v>
      </c>
      <c r="J37" s="20" t="n">
        <v>0</v>
      </c>
      <c r="K37" s="18" t="n">
        <v>5.84000222</v>
      </c>
      <c r="L37" s="20" t="n">
        <v>1.16234222</v>
      </c>
      <c r="M37" s="18" t="n">
        <v>0.27948199</v>
      </c>
      <c r="N37" s="20" t="n">
        <v>0.28330823</v>
      </c>
      <c r="O37" s="18" t="n">
        <v>0</v>
      </c>
      <c r="P37" s="20" t="n">
        <v>0</v>
      </c>
      <c r="Q37" s="18" t="n">
        <v>20.14993221</v>
      </c>
      <c r="R37" s="20" t="n">
        <v>2.04776313</v>
      </c>
    </row>
    <row r="38" spans="1:18">
      <c r="A38" s="15" t="s">
        <v>596</v>
      </c>
      <c r="B38" s="17" t="n">
        <v>5860</v>
      </c>
      <c r="C38" s="18">
        <f>(5219.0/B38*100)</f>
        <v/>
      </c>
      <c r="D38" s="19" t="n">
        <v>641</v>
      </c>
      <c r="E38" s="18" t="n">
        <v>36.51565327</v>
      </c>
      <c r="F38" s="20" t="n">
        <v>2.34364271</v>
      </c>
      <c r="G38" s="18" t="n">
        <v>38.63103841</v>
      </c>
      <c r="H38" s="20" t="n">
        <v>2.34687532</v>
      </c>
      <c r="I38" s="18" t="n">
        <v>0</v>
      </c>
      <c r="J38" s="20" t="n">
        <v>0</v>
      </c>
      <c r="K38" s="18" t="n">
        <v>2.21962287</v>
      </c>
      <c r="L38" s="20" t="n">
        <v>0.838678</v>
      </c>
      <c r="M38" s="18" t="n">
        <v>3.54026325</v>
      </c>
      <c r="N38" s="20" t="n">
        <v>0.91678701</v>
      </c>
      <c r="O38" s="18" t="n">
        <v>0</v>
      </c>
      <c r="P38" s="20" t="n">
        <v>0</v>
      </c>
      <c r="Q38" s="18" t="n">
        <v>19.0934222</v>
      </c>
      <c r="R38" s="20" t="n">
        <v>2.49495143</v>
      </c>
    </row>
    <row r="39" spans="1:18">
      <c r="A39" s="15" t="s">
        <v>597</v>
      </c>
      <c r="B39" s="17" t="n">
        <v>5895</v>
      </c>
      <c r="C39" s="18">
        <f>(5280.0/B39*100)</f>
        <v/>
      </c>
      <c r="D39" s="19" t="n">
        <v>615</v>
      </c>
      <c r="E39" s="18" t="n">
        <v>69.5484776</v>
      </c>
      <c r="F39" s="20" t="n">
        <v>2.08220084</v>
      </c>
      <c r="G39" s="18" t="n">
        <v>16.99012327</v>
      </c>
      <c r="H39" s="20" t="n">
        <v>1.9207179</v>
      </c>
      <c r="I39" s="18" t="n">
        <v>0</v>
      </c>
      <c r="J39" s="20" t="n">
        <v>0</v>
      </c>
      <c r="K39" s="18" t="n">
        <v>1.77417674</v>
      </c>
      <c r="L39" s="20" t="n">
        <v>0.44048544</v>
      </c>
      <c r="M39" s="18" t="n">
        <v>0</v>
      </c>
      <c r="N39" s="20" t="n">
        <v>0</v>
      </c>
      <c r="O39" s="18" t="n">
        <v>0</v>
      </c>
      <c r="P39" s="20" t="n">
        <v>0</v>
      </c>
      <c r="Q39" s="18" t="n">
        <v>11.68722239</v>
      </c>
      <c r="R39" s="20" t="n">
        <v>1.40643453</v>
      </c>
    </row>
    <row r="40" spans="1:18">
      <c r="A40" s="15" t="s">
        <v>598</v>
      </c>
      <c r="B40" s="17" t="n">
        <v>14157</v>
      </c>
      <c r="C40" s="18">
        <f>(12562.0/B40*100)</f>
        <v/>
      </c>
      <c r="D40" s="19" t="n">
        <v>1595</v>
      </c>
      <c r="E40" s="18" t="n">
        <v>38.30087615</v>
      </c>
      <c r="F40" s="20" t="n">
        <v>1.89263532</v>
      </c>
      <c r="G40" s="18" t="n">
        <v>43.68656903</v>
      </c>
      <c r="H40" s="20" t="n">
        <v>2.30221976</v>
      </c>
      <c r="I40" s="18" t="n">
        <v>0</v>
      </c>
      <c r="J40" s="20" t="n">
        <v>0</v>
      </c>
      <c r="K40" s="18" t="n">
        <v>2.2425993</v>
      </c>
      <c r="L40" s="20" t="n">
        <v>0.53115731</v>
      </c>
      <c r="M40" s="18" t="n">
        <v>0.25841799</v>
      </c>
      <c r="N40" s="20" t="n">
        <v>0.17165972</v>
      </c>
      <c r="O40" s="18" t="n">
        <v>0</v>
      </c>
      <c r="P40" s="20" t="n">
        <v>0</v>
      </c>
      <c r="Q40" s="18" t="n">
        <v>15.51153752</v>
      </c>
      <c r="R40" s="20" t="n">
        <v>1.68523425</v>
      </c>
    </row>
    <row r="41" spans="1:18">
      <c r="A41" s="15" t="s">
        <v>599</v>
      </c>
      <c r="B41" s="17" t="n">
        <v>5712</v>
      </c>
      <c r="C41" s="18">
        <f>(5070.0/B41*100)</f>
        <v/>
      </c>
      <c r="D41" s="19" t="n">
        <v>642</v>
      </c>
      <c r="E41" s="18" t="n">
        <v>62.45087324</v>
      </c>
      <c r="F41" s="20" t="n">
        <v>1.88984564</v>
      </c>
      <c r="G41" s="18" t="n">
        <v>28.63438306</v>
      </c>
      <c r="H41" s="20" t="n">
        <v>1.66513198</v>
      </c>
      <c r="I41" s="18" t="n">
        <v>0</v>
      </c>
      <c r="J41" s="20" t="n">
        <v>0</v>
      </c>
      <c r="K41" s="18" t="n">
        <v>0.62608934</v>
      </c>
      <c r="L41" s="20" t="n">
        <v>0.29888505</v>
      </c>
      <c r="M41" s="18" t="n">
        <v>0</v>
      </c>
      <c r="N41" s="20" t="n">
        <v>0</v>
      </c>
      <c r="O41" s="18" t="n">
        <v>0</v>
      </c>
      <c r="P41" s="20" t="n">
        <v>0</v>
      </c>
      <c r="Q41" s="18" t="n">
        <v>8.288654360000001</v>
      </c>
      <c r="R41" s="20" t="n">
        <v>1.39031712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(21240.0/B46*100)</f>
        <v/>
      </c>
      <c r="D46" s="19" t="n">
        <v>1901</v>
      </c>
      <c r="E46" s="18" t="n">
        <v>54.66098365</v>
      </c>
      <c r="F46" s="20" t="n">
        <v>1.59025996</v>
      </c>
      <c r="G46" s="18" t="n">
        <v>18.27573825</v>
      </c>
      <c r="H46" s="20" t="n">
        <v>1.1373032</v>
      </c>
      <c r="I46" s="18" t="n">
        <v>0</v>
      </c>
      <c r="J46" s="20" t="n">
        <v>0</v>
      </c>
      <c r="K46" s="18" t="n">
        <v>7.82059837</v>
      </c>
      <c r="L46" s="20" t="n">
        <v>0.9340493600000001</v>
      </c>
      <c r="M46" s="18" t="n">
        <v>0.15069025</v>
      </c>
      <c r="N46" s="20" t="n">
        <v>0.10599091</v>
      </c>
      <c r="O46" s="18" t="n">
        <v>0</v>
      </c>
      <c r="P46" s="20" t="n">
        <v>0</v>
      </c>
      <c r="Q46" s="18" t="n">
        <v>19.09198948</v>
      </c>
      <c r="R46" s="20" t="n">
        <v>1.19418732</v>
      </c>
    </row>
    <row r="47" spans="1:18">
      <c r="A47" s="15" t="s">
        <v>606</v>
      </c>
      <c r="B47" s="17" t="n">
        <v>5928</v>
      </c>
      <c r="C47" s="18">
        <f>(5281.0/B47*100)</f>
        <v/>
      </c>
      <c r="D47" s="19" t="n">
        <v>647</v>
      </c>
      <c r="E47" s="18" t="n">
        <v>36.94860612</v>
      </c>
      <c r="F47" s="20" t="n">
        <v>1.96939365</v>
      </c>
      <c r="G47" s="18" t="n">
        <v>33.26309222</v>
      </c>
      <c r="H47" s="20" t="n">
        <v>2.03886087</v>
      </c>
      <c r="I47" s="18" t="n">
        <v>0</v>
      </c>
      <c r="J47" s="20" t="n">
        <v>0</v>
      </c>
      <c r="K47" s="18" t="n">
        <v>5.45657922</v>
      </c>
      <c r="L47" s="20" t="n">
        <v>1.02976645</v>
      </c>
      <c r="M47" s="18" t="n">
        <v>0.30037159</v>
      </c>
      <c r="N47" s="20" t="n">
        <v>0.20655277</v>
      </c>
      <c r="O47" s="18" t="n">
        <v>0</v>
      </c>
      <c r="P47" s="20" t="n">
        <v>0</v>
      </c>
      <c r="Q47" s="18" t="n">
        <v>24.03135085</v>
      </c>
      <c r="R47" s="20" t="n">
        <v>1.88590435</v>
      </c>
    </row>
    <row r="48" spans="1:18">
      <c r="A48" s="15" t="s">
        <v>607</v>
      </c>
      <c r="B48" s="17" t="n">
        <v>9841</v>
      </c>
      <c r="C48" s="18">
        <f>(8752.0/B48*100)</f>
        <v/>
      </c>
      <c r="D48" s="19" t="n">
        <v>1089</v>
      </c>
      <c r="E48" s="18" t="n">
        <v>63.03083602</v>
      </c>
      <c r="F48" s="20" t="n">
        <v>1.92736286</v>
      </c>
      <c r="G48" s="18" t="n">
        <v>24.36408148</v>
      </c>
      <c r="H48" s="20" t="n">
        <v>1.59100167</v>
      </c>
      <c r="I48" s="18" t="n">
        <v>0</v>
      </c>
      <c r="J48" s="20" t="n">
        <v>0</v>
      </c>
      <c r="K48" s="18" t="n">
        <v>2.26894002</v>
      </c>
      <c r="L48" s="20" t="n">
        <v>0.52364486</v>
      </c>
      <c r="M48" s="18" t="n">
        <v>0</v>
      </c>
      <c r="N48" s="20" t="n">
        <v>0</v>
      </c>
      <c r="O48" s="18" t="n">
        <v>0</v>
      </c>
      <c r="P48" s="20" t="n">
        <v>0</v>
      </c>
      <c r="Q48" s="18" t="n">
        <v>10.33614248</v>
      </c>
      <c r="R48" s="20" t="n">
        <v>1.40321515</v>
      </c>
    </row>
    <row r="49" spans="1:18">
      <c r="A49" s="15" t="s">
        <v>608</v>
      </c>
      <c r="B49" s="17" t="n">
        <v>11795</v>
      </c>
      <c r="C49" s="18">
        <f>(10560.0/B49*100)</f>
        <v/>
      </c>
      <c r="D49" s="19" t="n">
        <v>1235</v>
      </c>
      <c r="E49" s="18" t="n">
        <v>64.01708610999999</v>
      </c>
      <c r="F49" s="20" t="n">
        <v>1.4941391</v>
      </c>
      <c r="G49" s="18" t="n">
        <v>21.33473874</v>
      </c>
      <c r="H49" s="20" t="n">
        <v>1.44138006</v>
      </c>
      <c r="I49" s="18" t="n">
        <v>0</v>
      </c>
      <c r="J49" s="20" t="n">
        <v>0</v>
      </c>
      <c r="K49" s="18" t="n">
        <v>3.9945319</v>
      </c>
      <c r="L49" s="20" t="n">
        <v>0.79461189</v>
      </c>
      <c r="M49" s="18" t="n">
        <v>0.00447012</v>
      </c>
      <c r="N49" s="20" t="n">
        <v>0.0044853</v>
      </c>
      <c r="O49" s="18" t="n">
        <v>0</v>
      </c>
      <c r="P49" s="20" t="n">
        <v>0</v>
      </c>
      <c r="Q49" s="18" t="n">
        <v>10.64917313</v>
      </c>
      <c r="R49" s="20" t="n">
        <v>1.15818745</v>
      </c>
    </row>
    <row r="50" spans="1:18">
      <c r="A50" s="15" t="s">
        <v>609</v>
      </c>
      <c r="B50" s="17" t="n">
        <v>6866</v>
      </c>
      <c r="C50" s="18">
        <f>(6215.0/B50*100)</f>
        <v/>
      </c>
      <c r="D50" s="19" t="n">
        <v>651</v>
      </c>
      <c r="E50" s="18" t="n">
        <v>45.46243414</v>
      </c>
      <c r="F50" s="20" t="n">
        <v>2.26829816</v>
      </c>
      <c r="G50" s="18" t="n">
        <v>37.81653347</v>
      </c>
      <c r="H50" s="20" t="n">
        <v>2.28546801</v>
      </c>
      <c r="I50" s="18" t="n">
        <v>0</v>
      </c>
      <c r="J50" s="20" t="n">
        <v>0</v>
      </c>
      <c r="K50" s="18" t="n">
        <v>2.9972182</v>
      </c>
      <c r="L50" s="20" t="n">
        <v>0.74331292</v>
      </c>
      <c r="M50" s="18" t="n">
        <v>0.18228926</v>
      </c>
      <c r="N50" s="20" t="n">
        <v>0.17059568</v>
      </c>
      <c r="O50" s="18" t="n">
        <v>0</v>
      </c>
      <c r="P50" s="20" t="n">
        <v>0</v>
      </c>
      <c r="Q50" s="18" t="n">
        <v>13.54152493</v>
      </c>
      <c r="R50" s="20" t="n">
        <v>1.5568523</v>
      </c>
    </row>
    <row r="51" spans="1:18">
      <c r="A51" s="15" t="s">
        <v>610</v>
      </c>
      <c r="B51" s="17" t="n">
        <v>5809</v>
      </c>
      <c r="C51" s="18">
        <f>(5197.0/B51*100)</f>
        <v/>
      </c>
      <c r="D51" s="19" t="n">
        <v>612</v>
      </c>
      <c r="E51" s="18" t="n">
        <v>40.9523539</v>
      </c>
      <c r="F51" s="20" t="n">
        <v>1.74352831</v>
      </c>
      <c r="G51" s="18" t="n">
        <v>31.55414716</v>
      </c>
      <c r="H51" s="20" t="n">
        <v>1.79078722</v>
      </c>
      <c r="I51" s="18" t="n">
        <v>0</v>
      </c>
      <c r="J51" s="20" t="n">
        <v>0</v>
      </c>
      <c r="K51" s="18" t="n">
        <v>3.53977243</v>
      </c>
      <c r="L51" s="20" t="n">
        <v>0.94626954</v>
      </c>
      <c r="M51" s="18" t="n">
        <v>0</v>
      </c>
      <c r="N51" s="20" t="n">
        <v>0</v>
      </c>
      <c r="O51" s="18" t="n">
        <v>0</v>
      </c>
      <c r="P51" s="20" t="n">
        <v>0</v>
      </c>
      <c r="Q51" s="18" t="n">
        <v>23.95372651</v>
      </c>
      <c r="R51" s="20" t="n">
        <v>1.52655537</v>
      </c>
    </row>
    <row r="52" spans="1:18">
      <c r="A52" s="15" t="s">
        <v>611</v>
      </c>
      <c r="B52" s="17" t="n">
        <v>5571</v>
      </c>
      <c r="C52" s="18">
        <f>(4951.0/B52*100)</f>
        <v/>
      </c>
      <c r="D52" s="19" t="n">
        <v>620</v>
      </c>
      <c r="E52" s="18" t="n">
        <v>42.77538704</v>
      </c>
      <c r="F52" s="20" t="n">
        <v>2.13531098</v>
      </c>
      <c r="G52" s="18" t="n">
        <v>21.79135494</v>
      </c>
      <c r="H52" s="20" t="n">
        <v>1.63398639</v>
      </c>
      <c r="I52" s="18" t="n">
        <v>0</v>
      </c>
      <c r="J52" s="20" t="n">
        <v>0</v>
      </c>
      <c r="K52" s="18" t="n">
        <v>5.1754456</v>
      </c>
      <c r="L52" s="20" t="n">
        <v>0.89908667</v>
      </c>
      <c r="M52" s="18" t="n">
        <v>0</v>
      </c>
      <c r="N52" s="20" t="n">
        <v>0</v>
      </c>
      <c r="O52" s="18" t="n">
        <v>0</v>
      </c>
      <c r="P52" s="20" t="n">
        <v>0</v>
      </c>
      <c r="Q52" s="18" t="n">
        <v>30.25781242</v>
      </c>
      <c r="R52" s="20" t="n">
        <v>1.88873633</v>
      </c>
    </row>
    <row r="53" spans="1:18">
      <c r="A53" s="15" t="s">
        <v>612</v>
      </c>
      <c r="B53" s="17" t="n">
        <v>4740</v>
      </c>
      <c r="C53" s="18">
        <f>(4223.0/B53*100)</f>
        <v/>
      </c>
      <c r="D53" s="19" t="n">
        <v>517</v>
      </c>
      <c r="E53" s="18" t="n">
        <v>41.63811927</v>
      </c>
      <c r="F53" s="20" t="n">
        <v>2.20363669</v>
      </c>
      <c r="G53" s="18" t="n">
        <v>8.42111987</v>
      </c>
      <c r="H53" s="20" t="n">
        <v>1.28410751</v>
      </c>
      <c r="I53" s="18" t="n">
        <v>0</v>
      </c>
      <c r="J53" s="20" t="n">
        <v>0</v>
      </c>
      <c r="K53" s="18" t="n">
        <v>28.67707163</v>
      </c>
      <c r="L53" s="20" t="n">
        <v>2.28885856</v>
      </c>
      <c r="M53" s="18" t="n">
        <v>0.59214818</v>
      </c>
      <c r="N53" s="20" t="n">
        <v>0.48048491</v>
      </c>
      <c r="O53" s="18" t="n">
        <v>0</v>
      </c>
      <c r="P53" s="20" t="n">
        <v>0</v>
      </c>
      <c r="Q53" s="18" t="n">
        <v>20.67154104</v>
      </c>
      <c r="R53" s="20" t="n">
        <v>2.0245629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(4800.0/B55*100)</f>
        <v/>
      </c>
      <c r="D55" s="19" t="n">
        <v>559</v>
      </c>
      <c r="E55" s="18" t="n">
        <v>63.46451986</v>
      </c>
      <c r="F55" s="20" t="n">
        <v>2.30152977</v>
      </c>
      <c r="G55" s="18" t="n">
        <v>30.37046177</v>
      </c>
      <c r="H55" s="20" t="n">
        <v>2.13388721</v>
      </c>
      <c r="I55" s="18" t="n">
        <v>0</v>
      </c>
      <c r="J55" s="20" t="n">
        <v>0</v>
      </c>
      <c r="K55" s="18" t="n">
        <v>0.35655543</v>
      </c>
      <c r="L55" s="20" t="n">
        <v>0.25243898</v>
      </c>
      <c r="M55" s="18" t="n">
        <v>0</v>
      </c>
      <c r="N55" s="20" t="n">
        <v>0</v>
      </c>
      <c r="O55" s="18" t="n">
        <v>0</v>
      </c>
      <c r="P55" s="20" t="n">
        <v>0</v>
      </c>
      <c r="Q55" s="18" t="n">
        <v>5.80846295</v>
      </c>
      <c r="R55" s="20" t="n">
        <v>0.8952763500000001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(5837.0/B61*100)</f>
        <v/>
      </c>
      <c r="D61" s="19" t="n">
        <v>688</v>
      </c>
      <c r="E61" s="18" t="n">
        <v>44.33056413</v>
      </c>
      <c r="F61" s="20" t="n">
        <v>2.16671733</v>
      </c>
      <c r="G61" s="18" t="n">
        <v>31.28827579</v>
      </c>
      <c r="H61" s="20" t="n">
        <v>2.06742123</v>
      </c>
      <c r="I61" s="18" t="n">
        <v>0</v>
      </c>
      <c r="J61" s="20" t="n">
        <v>0</v>
      </c>
      <c r="K61" s="18" t="n">
        <v>2.21441218</v>
      </c>
      <c r="L61" s="20" t="n">
        <v>0.6621827</v>
      </c>
      <c r="M61" s="18" t="n">
        <v>0</v>
      </c>
      <c r="N61" s="20" t="n">
        <v>0</v>
      </c>
      <c r="O61" s="18" t="n">
        <v>0</v>
      </c>
      <c r="P61" s="20" t="n">
        <v>0</v>
      </c>
      <c r="Q61" s="18" t="n">
        <v>22.1667479</v>
      </c>
      <c r="R61" s="20" t="n">
        <v>1.78817753</v>
      </c>
    </row>
    <row r="62" spans="1:18">
      <c r="A62" s="15" t="s">
        <v>622</v>
      </c>
      <c r="B62" s="17" t="n">
        <v>4476</v>
      </c>
      <c r="C62" s="18">
        <f>(3970.0/B62*100)</f>
        <v/>
      </c>
      <c r="D62" s="19" t="n">
        <v>506</v>
      </c>
      <c r="E62" s="18" t="n">
        <v>67.19301591999999</v>
      </c>
      <c r="F62" s="20" t="n">
        <v>2.16604222</v>
      </c>
      <c r="G62" s="18" t="n">
        <v>28.4206837</v>
      </c>
      <c r="H62" s="20" t="n">
        <v>2.00533184</v>
      </c>
      <c r="I62" s="18" t="n">
        <v>0</v>
      </c>
      <c r="J62" s="20" t="n">
        <v>0</v>
      </c>
      <c r="K62" s="18" t="n">
        <v>0.19602132</v>
      </c>
      <c r="L62" s="20" t="n">
        <v>0.1971378</v>
      </c>
      <c r="M62" s="18" t="n">
        <v>0</v>
      </c>
      <c r="N62" s="20" t="n">
        <v>0</v>
      </c>
      <c r="O62" s="18" t="n">
        <v>0</v>
      </c>
      <c r="P62" s="20" t="n">
        <v>0</v>
      </c>
      <c r="Q62" s="18" t="n">
        <v>4.19027907</v>
      </c>
      <c r="R62" s="20" t="n">
        <v>1.07790047</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(5068.0/B67*100)</f>
        <v/>
      </c>
      <c r="D67" s="19" t="n">
        <v>597</v>
      </c>
      <c r="E67" s="18" t="n">
        <v>32.21839686</v>
      </c>
      <c r="F67" s="20" t="n">
        <v>2.0477741</v>
      </c>
      <c r="G67" s="18" t="n">
        <v>16.3166516</v>
      </c>
      <c r="H67" s="20" t="n">
        <v>1.66540284</v>
      </c>
      <c r="I67" s="18" t="n">
        <v>0</v>
      </c>
      <c r="J67" s="20" t="n">
        <v>0</v>
      </c>
      <c r="K67" s="18" t="n">
        <v>13.38872527</v>
      </c>
      <c r="L67" s="20" t="n">
        <v>1.50598923</v>
      </c>
      <c r="M67" s="18" t="n">
        <v>0.52687888</v>
      </c>
      <c r="N67" s="20" t="n">
        <v>0.30597564</v>
      </c>
      <c r="O67" s="18" t="n">
        <v>0</v>
      </c>
      <c r="P67" s="20" t="n">
        <v>0</v>
      </c>
      <c r="Q67" s="18" t="n">
        <v>37.54934739</v>
      </c>
      <c r="R67" s="20" t="n">
        <v>2.26288318</v>
      </c>
    </row>
    <row r="68" spans="1:18">
      <c r="A68" s="15" t="s">
        <v>628</v>
      </c>
      <c r="B68" s="17" t="n">
        <v>6971</v>
      </c>
      <c r="C68" s="18">
        <f>(6326.0/B68*100)</f>
        <v/>
      </c>
      <c r="D68" s="19" t="n">
        <v>645</v>
      </c>
      <c r="E68" s="18" t="n">
        <v>59.39216187</v>
      </c>
      <c r="F68" s="20" t="n">
        <v>2.00973447</v>
      </c>
      <c r="G68" s="18" t="n">
        <v>20.12815291</v>
      </c>
      <c r="H68" s="20" t="n">
        <v>1.65613297</v>
      </c>
      <c r="I68" s="18" t="n">
        <v>0</v>
      </c>
      <c r="J68" s="20" t="n">
        <v>0</v>
      </c>
      <c r="K68" s="18" t="n">
        <v>3.35869183</v>
      </c>
      <c r="L68" s="20" t="n">
        <v>0.78733045</v>
      </c>
      <c r="M68" s="18" t="n">
        <v>0.3070503</v>
      </c>
      <c r="N68" s="20" t="n">
        <v>0.21689423</v>
      </c>
      <c r="O68" s="18" t="n">
        <v>0</v>
      </c>
      <c r="P68" s="20" t="n">
        <v>0</v>
      </c>
      <c r="Q68" s="18" t="n">
        <v>16.81394309</v>
      </c>
      <c r="R68" s="20" t="n">
        <v>1.72054642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(10736.0/B70*100)</f>
        <v/>
      </c>
      <c r="D70" s="19" t="n">
        <v>1347</v>
      </c>
      <c r="E70" s="18" t="n">
        <v>54.71654856</v>
      </c>
      <c r="F70" s="20" t="n">
        <v>1.51354752</v>
      </c>
      <c r="G70" s="18" t="n">
        <v>22.93201209</v>
      </c>
      <c r="H70" s="20" t="n">
        <v>1.10381928</v>
      </c>
      <c r="I70" s="18" t="n">
        <v>0</v>
      </c>
      <c r="J70" s="20" t="n">
        <v>0</v>
      </c>
      <c r="K70" s="18" t="n">
        <v>6.82775975</v>
      </c>
      <c r="L70" s="20" t="n">
        <v>0.7781863</v>
      </c>
      <c r="M70" s="18" t="n">
        <v>0</v>
      </c>
      <c r="N70" s="20" t="n">
        <v>0</v>
      </c>
      <c r="O70" s="18" t="n">
        <v>0</v>
      </c>
      <c r="P70" s="20" t="n">
        <v>0</v>
      </c>
      <c r="Q70" s="18" t="n">
        <v>15.52367959</v>
      </c>
      <c r="R70" s="20" t="n">
        <v>1.02333384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(5416.0/B72*100)</f>
        <v/>
      </c>
      <c r="D72" s="19" t="n">
        <v>620</v>
      </c>
      <c r="E72" s="18" t="n">
        <v>44.66428488</v>
      </c>
      <c r="F72" s="20" t="n">
        <v>2.45612781</v>
      </c>
      <c r="G72" s="18" t="n">
        <v>38.07428491</v>
      </c>
      <c r="H72" s="20" t="n">
        <v>2.01486981</v>
      </c>
      <c r="I72" s="18" t="n">
        <v>0</v>
      </c>
      <c r="J72" s="20" t="n">
        <v>0</v>
      </c>
      <c r="K72" s="18" t="n">
        <v>1.51745647</v>
      </c>
      <c r="L72" s="20" t="n">
        <v>0.54109005</v>
      </c>
      <c r="M72" s="18" t="n">
        <v>0.18320381</v>
      </c>
      <c r="N72" s="20" t="n">
        <v>0.1835266</v>
      </c>
      <c r="O72" s="18" t="n">
        <v>0</v>
      </c>
      <c r="P72" s="20" t="n">
        <v>0</v>
      </c>
      <c r="Q72" s="18" t="n">
        <v>15.56076993</v>
      </c>
      <c r="R72" s="20" t="n">
        <v>2.11894521</v>
      </c>
    </row>
    <row r="73" spans="1:18">
      <c r="A73" s="15" t="s">
        <v>633</v>
      </c>
      <c r="B73" s="17" t="n">
        <v>6115</v>
      </c>
      <c r="C73" s="18">
        <f>(5395.0/B73*100)</f>
        <v/>
      </c>
      <c r="D73" s="19" t="n">
        <v>720</v>
      </c>
      <c r="E73" s="18" t="n">
        <v>46.53291599</v>
      </c>
      <c r="F73" s="20" t="n">
        <v>1.99577182</v>
      </c>
      <c r="G73" s="18" t="n">
        <v>48.25794909</v>
      </c>
      <c r="H73" s="20" t="n">
        <v>1.92175884</v>
      </c>
      <c r="I73" s="18" t="n">
        <v>0</v>
      </c>
      <c r="J73" s="20" t="n">
        <v>0</v>
      </c>
      <c r="K73" s="18" t="n">
        <v>0.22745813</v>
      </c>
      <c r="L73" s="20" t="n">
        <v>0.1626846</v>
      </c>
      <c r="M73" s="18" t="n">
        <v>0.19340267</v>
      </c>
      <c r="N73" s="20" t="n">
        <v>0.19418784</v>
      </c>
      <c r="O73" s="18" t="n">
        <v>0</v>
      </c>
      <c r="P73" s="20" t="n">
        <v>0</v>
      </c>
      <c r="Q73" s="18" t="n">
        <v>4.78827412</v>
      </c>
      <c r="R73" s="20" t="n">
        <v>0.74191623</v>
      </c>
    </row>
    <row r="74" spans="1:18">
      <c r="A74" s="15" t="s">
        <v>634</v>
      </c>
      <c r="B74" s="17" t="n">
        <v>7708</v>
      </c>
      <c r="C74" s="18">
        <f>(6862.0/B74*100)</f>
        <v/>
      </c>
      <c r="D74" s="19" t="n">
        <v>846</v>
      </c>
      <c r="E74" s="18" t="n">
        <v>67.85090461999999</v>
      </c>
      <c r="F74" s="20" t="n">
        <v>1.90259268</v>
      </c>
      <c r="G74" s="18" t="n">
        <v>22.9657888</v>
      </c>
      <c r="H74" s="20" t="n">
        <v>1.69287461</v>
      </c>
      <c r="I74" s="18" t="n">
        <v>0</v>
      </c>
      <c r="J74" s="20" t="n">
        <v>0</v>
      </c>
      <c r="K74" s="18" t="n">
        <v>1.43514815</v>
      </c>
      <c r="L74" s="20" t="n">
        <v>0.4651562</v>
      </c>
      <c r="M74" s="18" t="n">
        <v>0</v>
      </c>
      <c r="N74" s="20" t="n">
        <v>0</v>
      </c>
      <c r="O74" s="18" t="n">
        <v>0</v>
      </c>
      <c r="P74" s="20" t="n">
        <v>0</v>
      </c>
      <c r="Q74" s="18" t="n">
        <v>7.74815843</v>
      </c>
      <c r="R74" s="20" t="n">
        <v>1.06758316</v>
      </c>
    </row>
    <row r="75" spans="1:18">
      <c r="A75" s="15" t="s">
        <v>635</v>
      </c>
      <c r="B75" s="17" t="n">
        <v>8249</v>
      </c>
      <c r="C75" s="18">
        <f>(7406.0/B75*100)</f>
        <v/>
      </c>
      <c r="D75" s="19" t="n">
        <v>843</v>
      </c>
      <c r="E75" s="18" t="n">
        <v>84.97008429</v>
      </c>
      <c r="F75" s="20" t="n">
        <v>1.54131441</v>
      </c>
      <c r="G75" s="18" t="n">
        <v>10.76150251</v>
      </c>
      <c r="H75" s="20" t="n">
        <v>1.41803205</v>
      </c>
      <c r="I75" s="18" t="n">
        <v>0</v>
      </c>
      <c r="J75" s="20" t="n">
        <v>0</v>
      </c>
      <c r="K75" s="18" t="n">
        <v>0.6881947899999999</v>
      </c>
      <c r="L75" s="20" t="n">
        <v>0.36862542</v>
      </c>
      <c r="M75" s="18" t="n">
        <v>0.00579885</v>
      </c>
      <c r="N75" s="20" t="n">
        <v>0.00576573</v>
      </c>
      <c r="O75" s="18" t="n">
        <v>0</v>
      </c>
      <c r="P75" s="20" t="n">
        <v>0</v>
      </c>
      <c r="Q75" s="18" t="n">
        <v>3.57441956</v>
      </c>
      <c r="R75" s="20" t="n">
        <v>0.72657748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(4843.0/B77*100)</f>
        <v/>
      </c>
      <c r="D77" s="19" t="n">
        <v>532</v>
      </c>
      <c r="E77" s="18" t="n">
        <v>51.03394071</v>
      </c>
      <c r="F77" s="20" t="n">
        <v>2.61209563</v>
      </c>
      <c r="G77" s="18" t="n">
        <v>8.26009277</v>
      </c>
      <c r="H77" s="20" t="n">
        <v>1.17525433</v>
      </c>
      <c r="I77" s="18" t="n">
        <v>0</v>
      </c>
      <c r="J77" s="20" t="n">
        <v>0</v>
      </c>
      <c r="K77" s="18" t="n">
        <v>11.61575249</v>
      </c>
      <c r="L77" s="20" t="n">
        <v>1.47239496</v>
      </c>
      <c r="M77" s="18" t="n">
        <v>0.38319652</v>
      </c>
      <c r="N77" s="20" t="n">
        <v>0.28526831</v>
      </c>
      <c r="O77" s="18" t="n">
        <v>0</v>
      </c>
      <c r="P77" s="20" t="n">
        <v>0</v>
      </c>
      <c r="Q77" s="18" t="n">
        <v>28.70701751</v>
      </c>
      <c r="R77" s="20" t="n">
        <v>2.12391661</v>
      </c>
    </row>
    <row r="78" spans="1:18">
      <c r="A78" s="15" t="s">
        <v>638</v>
      </c>
      <c r="B78" s="17" t="n">
        <v>14167</v>
      </c>
      <c r="C78" s="18">
        <f>(12616.0/B78*100)</f>
        <v/>
      </c>
      <c r="D78" s="19" t="n">
        <v>1551</v>
      </c>
      <c r="E78" s="18" t="n">
        <v>61.95311689</v>
      </c>
      <c r="F78" s="20" t="n">
        <v>1.20840759</v>
      </c>
      <c r="G78" s="18" t="n">
        <v>25.12206633</v>
      </c>
      <c r="H78" s="20" t="n">
        <v>1.36573445</v>
      </c>
      <c r="I78" s="18" t="n">
        <v>0</v>
      </c>
      <c r="J78" s="20" t="n">
        <v>0</v>
      </c>
      <c r="K78" s="18" t="n">
        <v>2.28091646</v>
      </c>
      <c r="L78" s="20" t="n">
        <v>0.3804146</v>
      </c>
      <c r="M78" s="18" t="n">
        <v>0.25383513</v>
      </c>
      <c r="N78" s="20" t="n">
        <v>0.24003785</v>
      </c>
      <c r="O78" s="18" t="n">
        <v>0</v>
      </c>
      <c r="P78" s="20" t="n">
        <v>0</v>
      </c>
      <c r="Q78" s="18" t="n">
        <v>10.39006518</v>
      </c>
      <c r="R78" s="20" t="n">
        <v>0.94509409</v>
      </c>
    </row>
    <row r="79" spans="1:18">
      <c r="A79" s="15" t="s">
        <v>639</v>
      </c>
      <c r="B79" s="17" t="n">
        <v>6062</v>
      </c>
      <c r="C79" s="18">
        <f>(5464.0/B79*100)</f>
        <v/>
      </c>
      <c r="D79" s="19" t="n">
        <v>598</v>
      </c>
      <c r="E79" s="18" t="n">
        <v>40.11392976</v>
      </c>
      <c r="F79" s="20" t="n">
        <v>2.25170518</v>
      </c>
      <c r="G79" s="18" t="n">
        <v>27.43599248</v>
      </c>
      <c r="H79" s="20" t="n">
        <v>1.71721484</v>
      </c>
      <c r="I79" s="18" t="n">
        <v>0</v>
      </c>
      <c r="J79" s="20" t="n">
        <v>0</v>
      </c>
      <c r="K79" s="18" t="n">
        <v>9.743813640000001</v>
      </c>
      <c r="L79" s="20" t="n">
        <v>1.53860533</v>
      </c>
      <c r="M79" s="18" t="n">
        <v>0</v>
      </c>
      <c r="N79" s="20" t="n">
        <v>0</v>
      </c>
      <c r="O79" s="18" t="n">
        <v>0</v>
      </c>
      <c r="P79" s="20" t="n">
        <v>0</v>
      </c>
      <c r="Q79" s="18" t="n">
        <v>22.70626413</v>
      </c>
      <c r="R79" s="20" t="n">
        <v>1.73207232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(28767.0/B82*100)</f>
        <v/>
      </c>
      <c r="D82" s="19" t="n">
        <v>3563</v>
      </c>
      <c r="E82" s="18" t="n">
        <v>47.35167269</v>
      </c>
      <c r="F82" s="20" t="n">
        <v>1.12626725</v>
      </c>
      <c r="G82" s="18" t="n">
        <v>33.81229076</v>
      </c>
      <c r="H82" s="20" t="n">
        <v>1.26975636</v>
      </c>
      <c r="I82" s="18" t="n">
        <v>0</v>
      </c>
      <c r="J82" s="20" t="n">
        <v>0</v>
      </c>
      <c r="K82" s="18" t="n">
        <v>2.29558106</v>
      </c>
      <c r="L82" s="20" t="n">
        <v>0.41144007</v>
      </c>
      <c r="M82" s="18" t="n">
        <v>0.09184199999999999</v>
      </c>
      <c r="N82" s="20" t="n">
        <v>0.09162678</v>
      </c>
      <c r="O82" s="18" t="n">
        <v>0</v>
      </c>
      <c r="P82" s="20" t="n">
        <v>0</v>
      </c>
      <c r="Q82" s="18" t="n">
        <v>16.44861349</v>
      </c>
      <c r="R82" s="20" t="n">
        <v>0.90743843</v>
      </c>
    </row>
    <row r="83" spans="1:18">
      <c r="A83" s="15" t="s">
        <v>643</v>
      </c>
      <c r="B83" s="17" t="n">
        <v>1652</v>
      </c>
      <c r="C83" s="18">
        <f>(1480.0/B83*100)</f>
        <v/>
      </c>
      <c r="D83" s="19" t="n">
        <v>172</v>
      </c>
      <c r="E83" s="18" t="n">
        <v>61.05912194</v>
      </c>
      <c r="F83" s="20" t="n">
        <v>3.60916988</v>
      </c>
      <c r="G83" s="18" t="n">
        <v>30.24107243</v>
      </c>
      <c r="H83" s="20" t="n">
        <v>2.82248706</v>
      </c>
      <c r="I83" s="18" t="n">
        <v>0</v>
      </c>
      <c r="J83" s="20" t="n">
        <v>0</v>
      </c>
      <c r="K83" s="18" t="n">
        <v>1.59022219</v>
      </c>
      <c r="L83" s="20" t="n">
        <v>1.12739558</v>
      </c>
      <c r="M83" s="18" t="n">
        <v>0</v>
      </c>
      <c r="N83" s="20" t="n">
        <v>0</v>
      </c>
      <c r="O83" s="18" t="n">
        <v>0</v>
      </c>
      <c r="P83" s="20" t="n">
        <v>0</v>
      </c>
      <c r="Q83" s="18" t="n">
        <v>7.10958345</v>
      </c>
      <c r="R83" s="20" t="n">
        <v>1.41193945</v>
      </c>
    </row>
    <row r="84" spans="1:18">
      <c r="A84" s="23" t="s">
        <v>644</v>
      </c>
      <c r="B84" s="24" t="n">
        <v>1887</v>
      </c>
      <c r="C84" s="25">
        <f>(1694.0/B84*100)</f>
        <v/>
      </c>
      <c r="D84" s="19" t="n">
        <v>193</v>
      </c>
      <c r="E84" s="18" t="n">
        <v>64.58778859</v>
      </c>
      <c r="F84" s="20" t="n">
        <v>4.12520831</v>
      </c>
      <c r="G84" s="18" t="n">
        <v>28.16420443</v>
      </c>
      <c r="H84" s="20" t="n">
        <v>3.73692482</v>
      </c>
      <c r="I84" s="18" t="n">
        <v>0</v>
      </c>
      <c r="J84" s="20" t="n">
        <v>0</v>
      </c>
      <c r="K84" s="18" t="n">
        <v>1.11796686</v>
      </c>
      <c r="L84" s="20" t="n">
        <v>0.78833907</v>
      </c>
      <c r="M84" s="18" t="n">
        <v>0</v>
      </c>
      <c r="N84" s="20" t="n">
        <v>0</v>
      </c>
      <c r="O84" s="18" t="n">
        <v>0</v>
      </c>
      <c r="P84" s="20" t="n">
        <v>0</v>
      </c>
      <c r="Q84" s="18" t="n">
        <v>6.13004012</v>
      </c>
      <c r="R84" s="20" t="n">
        <v>1.6716164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(12973.0/B7*100)</f>
        <v/>
      </c>
      <c r="D7" s="19" t="n">
        <v>1557</v>
      </c>
      <c r="E7" s="18" t="n">
        <v>36.0627322</v>
      </c>
      <c r="F7" s="20" t="n">
        <v>1.50605801</v>
      </c>
      <c r="G7" s="18" t="n">
        <v>45.94172064</v>
      </c>
      <c r="H7" s="20" t="n">
        <v>1.52589613</v>
      </c>
      <c r="I7" s="18" t="n">
        <v>0</v>
      </c>
      <c r="J7" s="20" t="n">
        <v>0</v>
      </c>
      <c r="K7" s="18" t="n">
        <v>2.44791769</v>
      </c>
      <c r="L7" s="20" t="n">
        <v>0.42104788</v>
      </c>
      <c r="M7" s="18" t="n">
        <v>0.008067400000000001</v>
      </c>
      <c r="N7" s="20" t="n">
        <v>0.00811069</v>
      </c>
      <c r="O7" s="18" t="n">
        <v>0</v>
      </c>
      <c r="P7" s="20" t="n">
        <v>0</v>
      </c>
      <c r="Q7" s="18" t="n">
        <v>15.53956206</v>
      </c>
      <c r="R7" s="20" t="n">
        <v>1.03043741</v>
      </c>
    </row>
    <row r="8" spans="1:18">
      <c r="A8" s="15" t="s">
        <v>566</v>
      </c>
      <c r="B8" s="17" t="n">
        <v>7007</v>
      </c>
      <c r="C8" s="18">
        <f>(6261.0/B8*100)</f>
        <v/>
      </c>
      <c r="D8" s="19" t="n">
        <v>746</v>
      </c>
      <c r="E8" s="18" t="n">
        <v>23.45810954</v>
      </c>
      <c r="F8" s="20" t="n">
        <v>2.12679233</v>
      </c>
      <c r="G8" s="18" t="n">
        <v>61.29826423</v>
      </c>
      <c r="H8" s="20" t="n">
        <v>2.18309225</v>
      </c>
      <c r="I8" s="18" t="n">
        <v>0</v>
      </c>
      <c r="J8" s="20" t="n">
        <v>0</v>
      </c>
      <c r="K8" s="18" t="n">
        <v>2.78315807</v>
      </c>
      <c r="L8" s="20" t="n">
        <v>0.68288039</v>
      </c>
      <c r="M8" s="18" t="n">
        <v>0</v>
      </c>
      <c r="N8" s="20" t="n">
        <v>0</v>
      </c>
      <c r="O8" s="18" t="n">
        <v>0</v>
      </c>
      <c r="P8" s="20" t="n">
        <v>0</v>
      </c>
      <c r="Q8" s="18" t="n">
        <v>12.46046816</v>
      </c>
      <c r="R8" s="20" t="n">
        <v>1.28838558</v>
      </c>
    </row>
    <row r="9" spans="1:18">
      <c r="A9" s="15" t="s">
        <v>567</v>
      </c>
      <c r="B9" s="17" t="n">
        <v>9651</v>
      </c>
      <c r="C9" s="18">
        <f>(8657.0/B9*100)</f>
        <v/>
      </c>
      <c r="D9" s="19" t="n">
        <v>994</v>
      </c>
      <c r="E9" s="18" t="n">
        <v>27.09857273</v>
      </c>
      <c r="F9" s="20" t="n">
        <v>1.5187733</v>
      </c>
      <c r="G9" s="18" t="n">
        <v>52.50577528</v>
      </c>
      <c r="H9" s="20" t="n">
        <v>1.69990417</v>
      </c>
      <c r="I9" s="18" t="n">
        <v>0</v>
      </c>
      <c r="J9" s="20" t="n">
        <v>0</v>
      </c>
      <c r="K9" s="18" t="n">
        <v>2.40753239</v>
      </c>
      <c r="L9" s="20" t="n">
        <v>0.51868635</v>
      </c>
      <c r="M9" s="18" t="n">
        <v>0.08122140999999999</v>
      </c>
      <c r="N9" s="20" t="n">
        <v>0.07865094</v>
      </c>
      <c r="O9" s="18" t="n">
        <v>0</v>
      </c>
      <c r="P9" s="20" t="n">
        <v>0</v>
      </c>
      <c r="Q9" s="18" t="n">
        <v>17.9068982</v>
      </c>
      <c r="R9" s="20" t="n">
        <v>1.11005824</v>
      </c>
    </row>
    <row r="10" spans="1:18">
      <c r="A10" s="15" t="s">
        <v>568</v>
      </c>
      <c r="B10" s="17" t="n">
        <v>20058</v>
      </c>
      <c r="C10" s="18">
        <f>(17815.0/B10*100)</f>
        <v/>
      </c>
      <c r="D10" s="19" t="n">
        <v>2243</v>
      </c>
      <c r="E10" s="18" t="n">
        <v>35.10741098</v>
      </c>
      <c r="F10" s="20" t="n">
        <v>1.52958468</v>
      </c>
      <c r="G10" s="18" t="n">
        <v>54.53027136</v>
      </c>
      <c r="H10" s="20" t="n">
        <v>1.61849899</v>
      </c>
      <c r="I10" s="18" t="n">
        <v>0</v>
      </c>
      <c r="J10" s="20" t="n">
        <v>0</v>
      </c>
      <c r="K10" s="18" t="n">
        <v>1.56910321</v>
      </c>
      <c r="L10" s="20" t="n">
        <v>0.3473859</v>
      </c>
      <c r="M10" s="18" t="n">
        <v>0</v>
      </c>
      <c r="N10" s="20" t="n">
        <v>0</v>
      </c>
      <c r="O10" s="18" t="n">
        <v>0</v>
      </c>
      <c r="P10" s="20" t="n">
        <v>0</v>
      </c>
      <c r="Q10" s="18" t="n">
        <v>8.79321446</v>
      </c>
      <c r="R10" s="20" t="n">
        <v>0.90047744</v>
      </c>
    </row>
    <row r="11" spans="1:18">
      <c r="A11" s="15" t="s">
        <v>569</v>
      </c>
      <c r="B11" s="17" t="n">
        <v>7053</v>
      </c>
      <c r="C11" s="18">
        <f>(6274.0/B11*100)</f>
        <v/>
      </c>
      <c r="D11" s="19" t="n">
        <v>779</v>
      </c>
      <c r="E11" s="18" t="n">
        <v>37.7387189</v>
      </c>
      <c r="F11" s="20" t="n">
        <v>1.86155368</v>
      </c>
      <c r="G11" s="18" t="n">
        <v>28.74679151</v>
      </c>
      <c r="H11" s="20" t="n">
        <v>1.70860016</v>
      </c>
      <c r="I11" s="18" t="n">
        <v>0</v>
      </c>
      <c r="J11" s="20" t="n">
        <v>0</v>
      </c>
      <c r="K11" s="18" t="n">
        <v>11.46019227</v>
      </c>
      <c r="L11" s="20" t="n">
        <v>1.43247257</v>
      </c>
      <c r="M11" s="18" t="n">
        <v>0.01842755</v>
      </c>
      <c r="N11" s="20" t="n">
        <v>0.01867629</v>
      </c>
      <c r="O11" s="18" t="n">
        <v>0</v>
      </c>
      <c r="P11" s="20" t="n">
        <v>0</v>
      </c>
      <c r="Q11" s="18" t="n">
        <v>22.03586978</v>
      </c>
      <c r="R11" s="20" t="n">
        <v>1.58997911</v>
      </c>
    </row>
    <row r="12" spans="1:18">
      <c r="A12" s="15" t="s">
        <v>570</v>
      </c>
      <c r="B12" s="17" t="n">
        <v>6894</v>
      </c>
      <c r="C12" s="18">
        <f>(6122.0/B12*100)</f>
        <v/>
      </c>
      <c r="D12" s="19" t="n">
        <v>772</v>
      </c>
      <c r="E12" s="18" t="n">
        <v>26.84501916</v>
      </c>
      <c r="F12" s="20" t="n">
        <v>1.66068223</v>
      </c>
      <c r="G12" s="18" t="n">
        <v>51.17203851</v>
      </c>
      <c r="H12" s="20" t="n">
        <v>2.026658</v>
      </c>
      <c r="I12" s="18" t="n">
        <v>0</v>
      </c>
      <c r="J12" s="20" t="n">
        <v>0</v>
      </c>
      <c r="K12" s="18" t="n">
        <v>2.33651546</v>
      </c>
      <c r="L12" s="20" t="n">
        <v>0.64855607</v>
      </c>
      <c r="M12" s="18" t="n">
        <v>0.12611025</v>
      </c>
      <c r="N12" s="20" t="n">
        <v>0.12596352</v>
      </c>
      <c r="O12" s="18" t="n">
        <v>0</v>
      </c>
      <c r="P12" s="20" t="n">
        <v>0</v>
      </c>
      <c r="Q12" s="18" t="n">
        <v>19.52031663</v>
      </c>
      <c r="R12" s="20" t="n">
        <v>1.52900193</v>
      </c>
    </row>
    <row r="13" spans="1:18">
      <c r="A13" s="15" t="s">
        <v>571</v>
      </c>
      <c r="B13" s="17" t="n">
        <v>7161</v>
      </c>
      <c r="C13" s="18">
        <f>(6463.0/B13*100)</f>
        <v/>
      </c>
      <c r="D13" s="19" t="n">
        <v>698</v>
      </c>
      <c r="E13" s="18" t="n">
        <v>30.53448627</v>
      </c>
      <c r="F13" s="20" t="n">
        <v>2.5018178</v>
      </c>
      <c r="G13" s="18" t="n">
        <v>52.6534075</v>
      </c>
      <c r="H13" s="20" t="n">
        <v>2.55544218</v>
      </c>
      <c r="I13" s="18" t="n">
        <v>0</v>
      </c>
      <c r="J13" s="20" t="n">
        <v>0</v>
      </c>
      <c r="K13" s="18" t="n">
        <v>2.1640824</v>
      </c>
      <c r="L13" s="20" t="n">
        <v>0.66830706</v>
      </c>
      <c r="M13" s="18" t="n">
        <v>0.03479473</v>
      </c>
      <c r="N13" s="20" t="n">
        <v>0.03495742</v>
      </c>
      <c r="O13" s="18" t="n">
        <v>0</v>
      </c>
      <c r="P13" s="20" t="n">
        <v>0</v>
      </c>
      <c r="Q13" s="18" t="n">
        <v>14.61322909</v>
      </c>
      <c r="R13" s="20" t="n">
        <v>1.89919784</v>
      </c>
    </row>
    <row r="14" spans="1:18">
      <c r="A14" s="15" t="s">
        <v>572</v>
      </c>
      <c r="B14" s="17" t="n">
        <v>5587</v>
      </c>
      <c r="C14" s="18">
        <f>(4943.0/B14*100)</f>
        <v/>
      </c>
      <c r="D14" s="19" t="n">
        <v>644</v>
      </c>
      <c r="E14" s="18" t="n">
        <v>27.76501019</v>
      </c>
      <c r="F14" s="20" t="n">
        <v>1.93907106</v>
      </c>
      <c r="G14" s="18" t="n">
        <v>64.55275059</v>
      </c>
      <c r="H14" s="20" t="n">
        <v>2.06016234</v>
      </c>
      <c r="I14" s="18" t="n">
        <v>0</v>
      </c>
      <c r="J14" s="20" t="n">
        <v>0</v>
      </c>
      <c r="K14" s="18" t="n">
        <v>1.10072923</v>
      </c>
      <c r="L14" s="20" t="n">
        <v>0.38262845</v>
      </c>
      <c r="M14" s="18" t="n">
        <v>0</v>
      </c>
      <c r="N14" s="20" t="n">
        <v>0</v>
      </c>
      <c r="O14" s="18" t="n">
        <v>0</v>
      </c>
      <c r="P14" s="20" t="n">
        <v>0</v>
      </c>
      <c r="Q14" s="18" t="n">
        <v>6.58151</v>
      </c>
      <c r="R14" s="20" t="n">
        <v>0.91861529</v>
      </c>
    </row>
    <row r="15" spans="1:18">
      <c r="A15" s="15" t="s">
        <v>573</v>
      </c>
      <c r="B15" s="17" t="n">
        <v>5882</v>
      </c>
      <c r="C15" s="18">
        <f>(5243.0/B15*100)</f>
        <v/>
      </c>
      <c r="D15" s="19" t="n">
        <v>639</v>
      </c>
      <c r="E15" s="18" t="n">
        <v>25.90856918</v>
      </c>
      <c r="F15" s="20" t="n">
        <v>1.70558201</v>
      </c>
      <c r="G15" s="18" t="n">
        <v>67.91486295999999</v>
      </c>
      <c r="H15" s="20" t="n">
        <v>1.89719625</v>
      </c>
      <c r="I15" s="18" t="n">
        <v>0</v>
      </c>
      <c r="J15" s="20" t="n">
        <v>0</v>
      </c>
      <c r="K15" s="18" t="n">
        <v>2.07095486</v>
      </c>
      <c r="L15" s="20" t="n">
        <v>0.55969678</v>
      </c>
      <c r="M15" s="18" t="n">
        <v>0</v>
      </c>
      <c r="N15" s="20" t="n">
        <v>0</v>
      </c>
      <c r="O15" s="18" t="n">
        <v>0</v>
      </c>
      <c r="P15" s="20" t="n">
        <v>0</v>
      </c>
      <c r="Q15" s="18" t="n">
        <v>4.105613</v>
      </c>
      <c r="R15" s="20" t="n">
        <v>0.78566325</v>
      </c>
    </row>
    <row r="16" spans="1:18">
      <c r="A16" s="15" t="s">
        <v>574</v>
      </c>
      <c r="B16" s="17" t="n">
        <v>6108</v>
      </c>
      <c r="C16" s="18">
        <f>(5407.0/B16*100)</f>
        <v/>
      </c>
      <c r="D16" s="19" t="n">
        <v>701</v>
      </c>
      <c r="E16" s="18" t="n">
        <v>25.99123558</v>
      </c>
      <c r="F16" s="20" t="n">
        <v>1.70697985</v>
      </c>
      <c r="G16" s="18" t="n">
        <v>45.83129411</v>
      </c>
      <c r="H16" s="20" t="n">
        <v>2.01679</v>
      </c>
      <c r="I16" s="18" t="n">
        <v>0</v>
      </c>
      <c r="J16" s="20" t="n">
        <v>0</v>
      </c>
      <c r="K16" s="18" t="n">
        <v>6.10624531</v>
      </c>
      <c r="L16" s="20" t="n">
        <v>1.11019055</v>
      </c>
      <c r="M16" s="18" t="n">
        <v>0</v>
      </c>
      <c r="N16" s="20" t="n">
        <v>0</v>
      </c>
      <c r="O16" s="18" t="n">
        <v>0</v>
      </c>
      <c r="P16" s="20" t="n">
        <v>0</v>
      </c>
      <c r="Q16" s="18" t="n">
        <v>22.071225</v>
      </c>
      <c r="R16" s="20" t="n">
        <v>1.35006841</v>
      </c>
    </row>
    <row r="17" spans="1:18">
      <c r="A17" s="15" t="s">
        <v>575</v>
      </c>
      <c r="B17" s="17" t="n">
        <v>6504</v>
      </c>
      <c r="C17" s="18">
        <f>(5833.0/B17*100)</f>
        <v/>
      </c>
      <c r="D17" s="19" t="n">
        <v>671</v>
      </c>
      <c r="E17" s="18" t="n">
        <v>21.98148209</v>
      </c>
      <c r="F17" s="20" t="n">
        <v>1.73467877</v>
      </c>
      <c r="G17" s="18" t="n">
        <v>60.40213888</v>
      </c>
      <c r="H17" s="20" t="n">
        <v>2.09289308</v>
      </c>
      <c r="I17" s="18" t="n">
        <v>0</v>
      </c>
      <c r="J17" s="20" t="n">
        <v>0</v>
      </c>
      <c r="K17" s="18" t="n">
        <v>3.1444091</v>
      </c>
      <c r="L17" s="20" t="n">
        <v>0.72769967</v>
      </c>
      <c r="M17" s="18" t="n">
        <v>0</v>
      </c>
      <c r="N17" s="20" t="n">
        <v>0</v>
      </c>
      <c r="O17" s="18" t="n">
        <v>0</v>
      </c>
      <c r="P17" s="20" t="n">
        <v>0</v>
      </c>
      <c r="Q17" s="18" t="n">
        <v>14.47196993</v>
      </c>
      <c r="R17" s="20" t="n">
        <v>1.3264575</v>
      </c>
    </row>
    <row r="18" spans="1:18">
      <c r="A18" s="15" t="s">
        <v>576</v>
      </c>
      <c r="B18" s="17" t="n">
        <v>5532</v>
      </c>
      <c r="C18" s="18">
        <f>(4913.0/B18*100)</f>
        <v/>
      </c>
      <c r="D18" s="19" t="n">
        <v>619</v>
      </c>
      <c r="E18" s="18" t="n">
        <v>37.73987766</v>
      </c>
      <c r="F18" s="20" t="n">
        <v>1.89202499</v>
      </c>
      <c r="G18" s="18" t="n">
        <v>32.5044871</v>
      </c>
      <c r="H18" s="20" t="n">
        <v>1.98587021</v>
      </c>
      <c r="I18" s="18" t="n">
        <v>0</v>
      </c>
      <c r="J18" s="20" t="n">
        <v>0</v>
      </c>
      <c r="K18" s="18" t="n">
        <v>3.71711947</v>
      </c>
      <c r="L18" s="20" t="n">
        <v>0.9215063999999999</v>
      </c>
      <c r="M18" s="18" t="n">
        <v>0</v>
      </c>
      <c r="N18" s="20" t="n">
        <v>0</v>
      </c>
      <c r="O18" s="18" t="n">
        <v>0</v>
      </c>
      <c r="P18" s="20" t="n">
        <v>0</v>
      </c>
      <c r="Q18" s="18" t="n">
        <v>26.03851577</v>
      </c>
      <c r="R18" s="20" t="n">
        <v>2.07040549</v>
      </c>
    </row>
    <row r="19" spans="1:18">
      <c r="A19" s="15" t="s">
        <v>577</v>
      </c>
      <c r="B19" s="17" t="n">
        <v>5658</v>
      </c>
      <c r="C19" s="18">
        <f>(5079.0/B19*100)</f>
        <v/>
      </c>
      <c r="D19" s="19" t="n">
        <v>579</v>
      </c>
      <c r="E19" s="18" t="n">
        <v>32.27575837</v>
      </c>
      <c r="F19" s="20" t="n">
        <v>2.15319689</v>
      </c>
      <c r="G19" s="18" t="n">
        <v>52.07151706</v>
      </c>
      <c r="H19" s="20" t="n">
        <v>2.17475006</v>
      </c>
      <c r="I19" s="18" t="n">
        <v>0</v>
      </c>
      <c r="J19" s="20" t="n">
        <v>0</v>
      </c>
      <c r="K19" s="18" t="n">
        <v>2.31575386</v>
      </c>
      <c r="L19" s="20" t="n">
        <v>0.60971115</v>
      </c>
      <c r="M19" s="18" t="n">
        <v>0</v>
      </c>
      <c r="N19" s="20" t="n">
        <v>0</v>
      </c>
      <c r="O19" s="18" t="n">
        <v>0</v>
      </c>
      <c r="P19" s="20" t="n">
        <v>0</v>
      </c>
      <c r="Q19" s="18" t="n">
        <v>13.33697071</v>
      </c>
      <c r="R19" s="20" t="n">
        <v>1.53611052</v>
      </c>
    </row>
    <row r="20" spans="1:18">
      <c r="A20" s="15" t="s">
        <v>578</v>
      </c>
      <c r="B20" s="17" t="n">
        <v>3371</v>
      </c>
      <c r="C20" s="18">
        <f>(3006.0/B20*100)</f>
        <v/>
      </c>
      <c r="D20" s="19" t="n">
        <v>365</v>
      </c>
      <c r="E20" s="18" t="n">
        <v>42.75255511</v>
      </c>
      <c r="F20" s="20" t="n">
        <v>2.36098754</v>
      </c>
      <c r="G20" s="18" t="n">
        <v>35.42472795</v>
      </c>
      <c r="H20" s="20" t="n">
        <v>2.47680805</v>
      </c>
      <c r="I20" s="18" t="n">
        <v>0</v>
      </c>
      <c r="J20" s="20" t="n">
        <v>0</v>
      </c>
      <c r="K20" s="18" t="n">
        <v>7.56479406</v>
      </c>
      <c r="L20" s="20" t="n">
        <v>1.39322441</v>
      </c>
      <c r="M20" s="18" t="n">
        <v>1.58725894</v>
      </c>
      <c r="N20" s="20" t="n">
        <v>0.44557573</v>
      </c>
      <c r="O20" s="18" t="n">
        <v>0</v>
      </c>
      <c r="P20" s="20" t="n">
        <v>0</v>
      </c>
      <c r="Q20" s="18" t="n">
        <v>12.67066394</v>
      </c>
      <c r="R20" s="20" t="n">
        <v>1.94508537</v>
      </c>
    </row>
    <row r="21" spans="1:18">
      <c r="A21" s="15" t="s">
        <v>579</v>
      </c>
      <c r="B21" s="17" t="n">
        <v>5741</v>
      </c>
      <c r="C21" s="18">
        <f>(5127.0/B21*100)</f>
        <v/>
      </c>
      <c r="D21" s="19" t="n">
        <v>614</v>
      </c>
      <c r="E21" s="18" t="n">
        <v>31.09335692</v>
      </c>
      <c r="F21" s="20" t="n">
        <v>1.87847317</v>
      </c>
      <c r="G21" s="18" t="n">
        <v>55.67114129</v>
      </c>
      <c r="H21" s="20" t="n">
        <v>2.31830914</v>
      </c>
      <c r="I21" s="18" t="n">
        <v>0</v>
      </c>
      <c r="J21" s="20" t="n">
        <v>0</v>
      </c>
      <c r="K21" s="18" t="n">
        <v>2.22337071</v>
      </c>
      <c r="L21" s="20" t="n">
        <v>0.59760201</v>
      </c>
      <c r="M21" s="18" t="n">
        <v>0</v>
      </c>
      <c r="N21" s="20" t="n">
        <v>0</v>
      </c>
      <c r="O21" s="18" t="n">
        <v>0</v>
      </c>
      <c r="P21" s="20" t="n">
        <v>0</v>
      </c>
      <c r="Q21" s="18" t="n">
        <v>11.01213108</v>
      </c>
      <c r="R21" s="20" t="n">
        <v>1.62059723</v>
      </c>
    </row>
    <row r="22" spans="1:18">
      <c r="A22" s="15" t="s">
        <v>580</v>
      </c>
      <c r="B22" s="17" t="n">
        <v>6598</v>
      </c>
      <c r="C22" s="18">
        <f>(5921.0/B22*100)</f>
        <v/>
      </c>
      <c r="D22" s="19" t="n">
        <v>677</v>
      </c>
      <c r="E22" s="18" t="n">
        <v>28.7168887</v>
      </c>
      <c r="F22" s="20" t="n">
        <v>2.19878579</v>
      </c>
      <c r="G22" s="18" t="n">
        <v>50.32028467</v>
      </c>
      <c r="H22" s="20" t="n">
        <v>2.30054406</v>
      </c>
      <c r="I22" s="18" t="n">
        <v>0</v>
      </c>
      <c r="J22" s="20" t="n">
        <v>0</v>
      </c>
      <c r="K22" s="18" t="n">
        <v>5.23141317</v>
      </c>
      <c r="L22" s="20" t="n">
        <v>0.93398022</v>
      </c>
      <c r="M22" s="18" t="n">
        <v>0</v>
      </c>
      <c r="N22" s="20" t="n">
        <v>0</v>
      </c>
      <c r="O22" s="18" t="n">
        <v>0</v>
      </c>
      <c r="P22" s="20" t="n">
        <v>0</v>
      </c>
      <c r="Q22" s="18" t="n">
        <v>15.73141345</v>
      </c>
      <c r="R22" s="20" t="n">
        <v>1.6898528</v>
      </c>
    </row>
    <row r="23" spans="1:18">
      <c r="A23" s="15" t="s">
        <v>581</v>
      </c>
      <c r="B23" s="17" t="n">
        <v>11583</v>
      </c>
      <c r="C23" s="18">
        <f>(10332.0/B23*100)</f>
        <v/>
      </c>
      <c r="D23" s="19" t="n">
        <v>1251</v>
      </c>
      <c r="E23" s="18" t="n">
        <v>26.13590048</v>
      </c>
      <c r="F23" s="20" t="n">
        <v>2.14611713</v>
      </c>
      <c r="G23" s="18" t="n">
        <v>45.71280052</v>
      </c>
      <c r="H23" s="20" t="n">
        <v>2.03667516</v>
      </c>
      <c r="I23" s="18" t="n">
        <v>0</v>
      </c>
      <c r="J23" s="20" t="n">
        <v>0</v>
      </c>
      <c r="K23" s="18" t="n">
        <v>6.27740109</v>
      </c>
      <c r="L23" s="20" t="n">
        <v>0.89129379</v>
      </c>
      <c r="M23" s="18" t="n">
        <v>0</v>
      </c>
      <c r="N23" s="20" t="n">
        <v>0</v>
      </c>
      <c r="O23" s="18" t="n">
        <v>0</v>
      </c>
      <c r="P23" s="20" t="n">
        <v>0</v>
      </c>
      <c r="Q23" s="18" t="n">
        <v>21.87389791</v>
      </c>
      <c r="R23" s="20" t="n">
        <v>1.75994962</v>
      </c>
    </row>
    <row r="24" spans="1:18">
      <c r="A24" s="15" t="s">
        <v>582</v>
      </c>
      <c r="B24" s="17" t="n">
        <v>6647</v>
      </c>
      <c r="C24" s="18">
        <f>(5944.0/B24*100)</f>
        <v/>
      </c>
      <c r="D24" s="19" t="n">
        <v>703</v>
      </c>
      <c r="E24" s="18" t="n">
        <v>16.02486832</v>
      </c>
      <c r="F24" s="20" t="n">
        <v>1.45923956</v>
      </c>
      <c r="G24" s="18" t="n">
        <v>66.31440583</v>
      </c>
      <c r="H24" s="20" t="n">
        <v>1.80907631</v>
      </c>
      <c r="I24" s="18" t="n">
        <v>0</v>
      </c>
      <c r="J24" s="20" t="n">
        <v>0</v>
      </c>
      <c r="K24" s="18" t="n">
        <v>1.14661073</v>
      </c>
      <c r="L24" s="20" t="n">
        <v>0.46205574</v>
      </c>
      <c r="M24" s="18" t="n">
        <v>0</v>
      </c>
      <c r="N24" s="20" t="n">
        <v>0</v>
      </c>
      <c r="O24" s="18" t="n">
        <v>0</v>
      </c>
      <c r="P24" s="20" t="n">
        <v>0</v>
      </c>
      <c r="Q24" s="18" t="n">
        <v>16.51411513</v>
      </c>
      <c r="R24" s="20" t="n">
        <v>1.49460814</v>
      </c>
    </row>
    <row r="25" spans="1:18">
      <c r="A25" s="15" t="s">
        <v>583</v>
      </c>
      <c r="B25" s="17" t="n">
        <v>5581</v>
      </c>
      <c r="C25" s="18">
        <f>(4968.0/B25*100)</f>
        <v/>
      </c>
      <c r="D25" s="19" t="n">
        <v>613</v>
      </c>
      <c r="E25" s="18" t="n">
        <v>34.9975321</v>
      </c>
      <c r="F25" s="20" t="n">
        <v>1.78578405</v>
      </c>
      <c r="G25" s="18" t="n">
        <v>43.72429773</v>
      </c>
      <c r="H25" s="20" t="n">
        <v>2.08877768</v>
      </c>
      <c r="I25" s="18" t="n">
        <v>0</v>
      </c>
      <c r="J25" s="20" t="n">
        <v>0</v>
      </c>
      <c r="K25" s="18" t="n">
        <v>3.5878527</v>
      </c>
      <c r="L25" s="20" t="n">
        <v>0.70423083</v>
      </c>
      <c r="M25" s="18" t="n">
        <v>0</v>
      </c>
      <c r="N25" s="20" t="n">
        <v>0</v>
      </c>
      <c r="O25" s="18" t="n">
        <v>0</v>
      </c>
      <c r="P25" s="20" t="n">
        <v>0</v>
      </c>
      <c r="Q25" s="18" t="n">
        <v>17.69031746</v>
      </c>
      <c r="R25" s="20" t="n">
        <v>1.72665163</v>
      </c>
    </row>
    <row r="26" spans="1:18">
      <c r="A26" s="15" t="s">
        <v>584</v>
      </c>
      <c r="B26" s="17" t="n">
        <v>4869</v>
      </c>
      <c r="C26" s="18">
        <f>(4312.0/B26*100)</f>
        <v/>
      </c>
      <c r="D26" s="19" t="n">
        <v>557</v>
      </c>
      <c r="E26" s="18" t="n">
        <v>42.2210487</v>
      </c>
      <c r="F26" s="20" t="n">
        <v>2.16144377</v>
      </c>
      <c r="G26" s="18" t="n">
        <v>44.31881053</v>
      </c>
      <c r="H26" s="20" t="n">
        <v>2.28580938</v>
      </c>
      <c r="I26" s="18" t="n">
        <v>0</v>
      </c>
      <c r="J26" s="20" t="n">
        <v>0</v>
      </c>
      <c r="K26" s="18" t="n">
        <v>1.50052657</v>
      </c>
      <c r="L26" s="20" t="n">
        <v>0.5919414</v>
      </c>
      <c r="M26" s="18" t="n">
        <v>0.1616873</v>
      </c>
      <c r="N26" s="20" t="n">
        <v>0.16239461</v>
      </c>
      <c r="O26" s="18" t="n">
        <v>0</v>
      </c>
      <c r="P26" s="20" t="n">
        <v>0</v>
      </c>
      <c r="Q26" s="18" t="n">
        <v>11.7979269</v>
      </c>
      <c r="R26" s="20" t="n">
        <v>1.41287116</v>
      </c>
    </row>
    <row r="27" spans="1:18">
      <c r="A27" s="15" t="s">
        <v>585</v>
      </c>
      <c r="B27" s="17" t="n">
        <v>5299</v>
      </c>
      <c r="C27" s="18">
        <f>(4699.0/B27*100)</f>
        <v/>
      </c>
      <c r="D27" s="19" t="n">
        <v>600</v>
      </c>
      <c r="E27" s="18" t="n">
        <v>26.00267205</v>
      </c>
      <c r="F27" s="20" t="n">
        <v>1.84646302</v>
      </c>
      <c r="G27" s="18" t="n">
        <v>49.71703959</v>
      </c>
      <c r="H27" s="20" t="n">
        <v>2.03468105</v>
      </c>
      <c r="I27" s="18" t="n">
        <v>0</v>
      </c>
      <c r="J27" s="20" t="n">
        <v>0</v>
      </c>
      <c r="K27" s="18" t="n">
        <v>2.23660808</v>
      </c>
      <c r="L27" s="20" t="n">
        <v>0.6212327600000001</v>
      </c>
      <c r="M27" s="18" t="n">
        <v>0</v>
      </c>
      <c r="N27" s="20" t="n">
        <v>0</v>
      </c>
      <c r="O27" s="18" t="n">
        <v>0</v>
      </c>
      <c r="P27" s="20" t="n">
        <v>0</v>
      </c>
      <c r="Q27" s="18" t="n">
        <v>22.04368028</v>
      </c>
      <c r="R27" s="20" t="n">
        <v>1.66112795</v>
      </c>
    </row>
    <row r="28" spans="1:18">
      <c r="A28" s="15" t="s">
        <v>586</v>
      </c>
      <c r="B28" s="17" t="n">
        <v>7568</v>
      </c>
      <c r="C28" s="18">
        <f>(6796.0/B28*100)</f>
        <v/>
      </c>
      <c r="D28" s="19" t="n">
        <v>772</v>
      </c>
      <c r="E28" s="18" t="n">
        <v>70.14123226</v>
      </c>
      <c r="F28" s="20" t="n">
        <v>2.06774002</v>
      </c>
      <c r="G28" s="18" t="n">
        <v>18.54269637</v>
      </c>
      <c r="H28" s="20" t="n">
        <v>1.76163985</v>
      </c>
      <c r="I28" s="18" t="n">
        <v>0</v>
      </c>
      <c r="J28" s="20" t="n">
        <v>0</v>
      </c>
      <c r="K28" s="18" t="n">
        <v>2.73797686</v>
      </c>
      <c r="L28" s="20" t="n">
        <v>0.5171850099999999</v>
      </c>
      <c r="M28" s="18" t="n">
        <v>0.20807512</v>
      </c>
      <c r="N28" s="20" t="n">
        <v>0.20727695</v>
      </c>
      <c r="O28" s="18" t="n">
        <v>0</v>
      </c>
      <c r="P28" s="20" t="n">
        <v>0</v>
      </c>
      <c r="Q28" s="18" t="n">
        <v>8.37001939</v>
      </c>
      <c r="R28" s="20" t="n">
        <v>1.18664347</v>
      </c>
    </row>
    <row r="29" spans="1:18">
      <c r="A29" s="15" t="s">
        <v>587</v>
      </c>
      <c r="B29" s="17" t="n">
        <v>5385</v>
      </c>
      <c r="C29" s="18">
        <f>(4851.0/B29*100)</f>
        <v/>
      </c>
      <c r="D29" s="19" t="n">
        <v>534</v>
      </c>
      <c r="E29" s="18" t="n">
        <v>34.2333999</v>
      </c>
      <c r="F29" s="20" t="n">
        <v>2.41098708</v>
      </c>
      <c r="G29" s="18" t="n">
        <v>60.29332822</v>
      </c>
      <c r="H29" s="20" t="n">
        <v>2.48627699</v>
      </c>
      <c r="I29" s="18" t="n">
        <v>0</v>
      </c>
      <c r="J29" s="20" t="n">
        <v>0</v>
      </c>
      <c r="K29" s="18" t="n">
        <v>1.16884597</v>
      </c>
      <c r="L29" s="20" t="n">
        <v>0.44668703</v>
      </c>
      <c r="M29" s="18" t="n">
        <v>0</v>
      </c>
      <c r="N29" s="20" t="n">
        <v>0</v>
      </c>
      <c r="O29" s="18" t="n">
        <v>0</v>
      </c>
      <c r="P29" s="20" t="n">
        <v>0</v>
      </c>
      <c r="Q29" s="18" t="n">
        <v>4.30442591</v>
      </c>
      <c r="R29" s="20" t="n">
        <v>0.88017173</v>
      </c>
    </row>
    <row r="30" spans="1:18">
      <c r="A30" s="15" t="s">
        <v>588</v>
      </c>
      <c r="B30" s="17" t="n">
        <v>4520</v>
      </c>
      <c r="C30" s="18">
        <f>(4023.0/B30*100)</f>
        <v/>
      </c>
      <c r="D30" s="19" t="n">
        <v>497</v>
      </c>
      <c r="E30" s="18" t="n">
        <v>26.84545295</v>
      </c>
      <c r="F30" s="20" t="n">
        <v>2.05833792</v>
      </c>
      <c r="G30" s="18" t="n">
        <v>50.03780469</v>
      </c>
      <c r="H30" s="20" t="n">
        <v>2.24747778</v>
      </c>
      <c r="I30" s="18" t="n">
        <v>0</v>
      </c>
      <c r="J30" s="20" t="n">
        <v>0</v>
      </c>
      <c r="K30" s="18" t="n">
        <v>4.2814347</v>
      </c>
      <c r="L30" s="20" t="n">
        <v>0.75183461</v>
      </c>
      <c r="M30" s="18" t="n">
        <v>0</v>
      </c>
      <c r="N30" s="20" t="n">
        <v>0</v>
      </c>
      <c r="O30" s="18" t="n">
        <v>0</v>
      </c>
      <c r="P30" s="20" t="n">
        <v>0</v>
      </c>
      <c r="Q30" s="18" t="n">
        <v>18.83530766</v>
      </c>
      <c r="R30" s="20" t="n">
        <v>1.69375987</v>
      </c>
    </row>
    <row r="31" spans="1:18">
      <c r="A31" s="15" t="s">
        <v>589</v>
      </c>
      <c r="B31" s="17" t="n">
        <v>5456</v>
      </c>
      <c r="C31" s="18">
        <f>(4853.0/B31*100)</f>
        <v/>
      </c>
      <c r="D31" s="19" t="n">
        <v>603</v>
      </c>
      <c r="E31" s="18" t="n">
        <v>22.8890727</v>
      </c>
      <c r="F31" s="20" t="n">
        <v>1.72032303</v>
      </c>
      <c r="G31" s="18" t="n">
        <v>52.27016018</v>
      </c>
      <c r="H31" s="20" t="n">
        <v>2.00241276</v>
      </c>
      <c r="I31" s="18" t="n">
        <v>0</v>
      </c>
      <c r="J31" s="20" t="n">
        <v>0</v>
      </c>
      <c r="K31" s="18" t="n">
        <v>4.72162005</v>
      </c>
      <c r="L31" s="20" t="n">
        <v>0.88880959</v>
      </c>
      <c r="M31" s="18" t="n">
        <v>0</v>
      </c>
      <c r="N31" s="20" t="n">
        <v>0</v>
      </c>
      <c r="O31" s="18" t="n">
        <v>0</v>
      </c>
      <c r="P31" s="20" t="n">
        <v>0</v>
      </c>
      <c r="Q31" s="18" t="n">
        <v>20.11914707</v>
      </c>
      <c r="R31" s="20" t="n">
        <v>1.87264131</v>
      </c>
    </row>
    <row r="32" spans="1:18">
      <c r="A32" s="15" t="s">
        <v>590</v>
      </c>
      <c r="B32" s="17" t="n">
        <v>4478</v>
      </c>
      <c r="C32" s="18">
        <f>(4001.0/B32*100)</f>
        <v/>
      </c>
      <c r="D32" s="19" t="n">
        <v>477</v>
      </c>
      <c r="E32" s="18" t="n">
        <v>20.99538682</v>
      </c>
      <c r="F32" s="20" t="n">
        <v>1.83347307</v>
      </c>
      <c r="G32" s="18" t="n">
        <v>65.02578441</v>
      </c>
      <c r="H32" s="20" t="n">
        <v>2.05977121</v>
      </c>
      <c r="I32" s="18" t="n">
        <v>0</v>
      </c>
      <c r="J32" s="20" t="n">
        <v>0</v>
      </c>
      <c r="K32" s="18" t="n">
        <v>1.41970694</v>
      </c>
      <c r="L32" s="20" t="n">
        <v>0.53314595</v>
      </c>
      <c r="M32" s="18" t="n">
        <v>0</v>
      </c>
      <c r="N32" s="20" t="n">
        <v>0</v>
      </c>
      <c r="O32" s="18" t="n">
        <v>0</v>
      </c>
      <c r="P32" s="20" t="n">
        <v>0</v>
      </c>
      <c r="Q32" s="18" t="n">
        <v>12.55912183</v>
      </c>
      <c r="R32" s="20" t="n">
        <v>1.59372819</v>
      </c>
    </row>
    <row r="33" spans="1:18">
      <c r="A33" s="15" t="s">
        <v>591</v>
      </c>
      <c r="B33" s="17" t="n">
        <v>7325</v>
      </c>
      <c r="C33" s="18">
        <f>(6535.0/B33*100)</f>
        <v/>
      </c>
      <c r="D33" s="19" t="n">
        <v>790</v>
      </c>
      <c r="E33" s="18" t="n">
        <v>38.85985583</v>
      </c>
      <c r="F33" s="20" t="n">
        <v>2.26038203</v>
      </c>
      <c r="G33" s="18" t="n">
        <v>41.91679392</v>
      </c>
      <c r="H33" s="20" t="n">
        <v>2.36243319</v>
      </c>
      <c r="I33" s="18" t="n">
        <v>0</v>
      </c>
      <c r="J33" s="20" t="n">
        <v>0</v>
      </c>
      <c r="K33" s="18" t="n">
        <v>0.80560326</v>
      </c>
      <c r="L33" s="20" t="n">
        <v>0.30735919</v>
      </c>
      <c r="M33" s="18" t="n">
        <v>0.284774</v>
      </c>
      <c r="N33" s="20" t="n">
        <v>0.28389697</v>
      </c>
      <c r="O33" s="18" t="n">
        <v>0</v>
      </c>
      <c r="P33" s="20" t="n">
        <v>0</v>
      </c>
      <c r="Q33" s="18" t="n">
        <v>18.13297299</v>
      </c>
      <c r="R33" s="20" t="n">
        <v>1.66479205</v>
      </c>
    </row>
    <row r="34" spans="1:18">
      <c r="A34" s="15" t="s">
        <v>592</v>
      </c>
      <c r="B34" s="17" t="n">
        <v>6350</v>
      </c>
      <c r="C34" s="18">
        <f>(5677.0/B34*100)</f>
        <v/>
      </c>
      <c r="D34" s="19" t="n">
        <v>673</v>
      </c>
      <c r="E34" s="18" t="n">
        <v>41.81819403</v>
      </c>
      <c r="F34" s="20" t="n">
        <v>1.94184513</v>
      </c>
      <c r="G34" s="18" t="n">
        <v>32.69941268</v>
      </c>
      <c r="H34" s="20" t="n">
        <v>1.95159074</v>
      </c>
      <c r="I34" s="18" t="n">
        <v>0</v>
      </c>
      <c r="J34" s="20" t="n">
        <v>0</v>
      </c>
      <c r="K34" s="18" t="n">
        <v>2.56016588</v>
      </c>
      <c r="L34" s="20" t="n">
        <v>0.71085546</v>
      </c>
      <c r="M34" s="18" t="n">
        <v>0.28872922</v>
      </c>
      <c r="N34" s="20" t="n">
        <v>0.20192955</v>
      </c>
      <c r="O34" s="18" t="n">
        <v>0</v>
      </c>
      <c r="P34" s="20" t="n">
        <v>0</v>
      </c>
      <c r="Q34" s="18" t="n">
        <v>22.63349819</v>
      </c>
      <c r="R34" s="20" t="n">
        <v>1.4452497</v>
      </c>
    </row>
    <row r="35" spans="1:18">
      <c r="A35" s="15" t="s">
        <v>593</v>
      </c>
      <c r="B35" s="17" t="n">
        <v>6406</v>
      </c>
      <c r="C35" s="18">
        <f>(5721.0/B35*100)</f>
        <v/>
      </c>
      <c r="D35" s="19" t="n">
        <v>685</v>
      </c>
      <c r="E35" s="18" t="n">
        <v>28.27210685</v>
      </c>
      <c r="F35" s="20" t="n">
        <v>1.66532176</v>
      </c>
      <c r="G35" s="18" t="n">
        <v>63.43683852</v>
      </c>
      <c r="H35" s="20" t="n">
        <v>1.82822335</v>
      </c>
      <c r="I35" s="18" t="n">
        <v>0</v>
      </c>
      <c r="J35" s="20" t="n">
        <v>0</v>
      </c>
      <c r="K35" s="18" t="n">
        <v>1.1173984</v>
      </c>
      <c r="L35" s="20" t="n">
        <v>0.30506611</v>
      </c>
      <c r="M35" s="18" t="n">
        <v>0</v>
      </c>
      <c r="N35" s="20" t="n">
        <v>0</v>
      </c>
      <c r="O35" s="18" t="n">
        <v>0</v>
      </c>
      <c r="P35" s="20" t="n">
        <v>0</v>
      </c>
      <c r="Q35" s="18" t="n">
        <v>7.17365624</v>
      </c>
      <c r="R35" s="20" t="n">
        <v>0.94265922</v>
      </c>
    </row>
    <row r="36" spans="1:18">
      <c r="A36" s="15" t="s">
        <v>594</v>
      </c>
      <c r="B36" s="17" t="n">
        <v>6736</v>
      </c>
      <c r="C36" s="18">
        <f>(5952.0/B36*100)</f>
        <v/>
      </c>
      <c r="D36" s="19" t="n">
        <v>784</v>
      </c>
      <c r="E36" s="18" t="n">
        <v>32.46534619</v>
      </c>
      <c r="F36" s="20" t="n">
        <v>1.80121464</v>
      </c>
      <c r="G36" s="18" t="n">
        <v>50.16494781</v>
      </c>
      <c r="H36" s="20" t="n">
        <v>1.8775523</v>
      </c>
      <c r="I36" s="18" t="n">
        <v>0</v>
      </c>
      <c r="J36" s="20" t="n">
        <v>0</v>
      </c>
      <c r="K36" s="18" t="n">
        <v>2.64651974</v>
      </c>
      <c r="L36" s="20" t="n">
        <v>0.65704071</v>
      </c>
      <c r="M36" s="18" t="n">
        <v>0.12145648</v>
      </c>
      <c r="N36" s="20" t="n">
        <v>0.1202037</v>
      </c>
      <c r="O36" s="18" t="n">
        <v>0</v>
      </c>
      <c r="P36" s="20" t="n">
        <v>0</v>
      </c>
      <c r="Q36" s="18" t="n">
        <v>14.60172978</v>
      </c>
      <c r="R36" s="20" t="n">
        <v>1.50247389</v>
      </c>
    </row>
    <row r="37" spans="1:18">
      <c r="A37" s="15" t="s">
        <v>595</v>
      </c>
      <c r="B37" s="17" t="n">
        <v>5458</v>
      </c>
      <c r="C37" s="18">
        <f>(4873.0/B37*100)</f>
        <v/>
      </c>
      <c r="D37" s="19" t="n">
        <v>585</v>
      </c>
      <c r="E37" s="18" t="n">
        <v>21.9643672</v>
      </c>
      <c r="F37" s="20" t="n">
        <v>1.77139891</v>
      </c>
      <c r="G37" s="18" t="n">
        <v>50.59307429</v>
      </c>
      <c r="H37" s="20" t="n">
        <v>2.17577625</v>
      </c>
      <c r="I37" s="18" t="n">
        <v>0</v>
      </c>
      <c r="J37" s="20" t="n">
        <v>0</v>
      </c>
      <c r="K37" s="18" t="n">
        <v>6.31936902</v>
      </c>
      <c r="L37" s="20" t="n">
        <v>1.16191497</v>
      </c>
      <c r="M37" s="18" t="n">
        <v>0.27948199</v>
      </c>
      <c r="N37" s="20" t="n">
        <v>0.28330823</v>
      </c>
      <c r="O37" s="18" t="n">
        <v>0</v>
      </c>
      <c r="P37" s="20" t="n">
        <v>0</v>
      </c>
      <c r="Q37" s="18" t="n">
        <v>20.8437075</v>
      </c>
      <c r="R37" s="20" t="n">
        <v>1.85834666</v>
      </c>
    </row>
    <row r="38" spans="1:18">
      <c r="A38" s="15" t="s">
        <v>596</v>
      </c>
      <c r="B38" s="17" t="n">
        <v>5860</v>
      </c>
      <c r="C38" s="18">
        <f>(5219.0/B38*100)</f>
        <v/>
      </c>
      <c r="D38" s="19" t="n">
        <v>641</v>
      </c>
      <c r="E38" s="18" t="n">
        <v>22.44467723</v>
      </c>
      <c r="F38" s="20" t="n">
        <v>1.89815847</v>
      </c>
      <c r="G38" s="18" t="n">
        <v>53.86794925</v>
      </c>
      <c r="H38" s="20" t="n">
        <v>2.13400542</v>
      </c>
      <c r="I38" s="18" t="n">
        <v>0</v>
      </c>
      <c r="J38" s="20" t="n">
        <v>0</v>
      </c>
      <c r="K38" s="18" t="n">
        <v>3.22959906</v>
      </c>
      <c r="L38" s="20" t="n">
        <v>1.40130159</v>
      </c>
      <c r="M38" s="18" t="n">
        <v>3.68208402</v>
      </c>
      <c r="N38" s="20" t="n">
        <v>0.7919072</v>
      </c>
      <c r="O38" s="18" t="n">
        <v>0</v>
      </c>
      <c r="P38" s="20" t="n">
        <v>0</v>
      </c>
      <c r="Q38" s="18" t="n">
        <v>16.77569043</v>
      </c>
      <c r="R38" s="20" t="n">
        <v>2.35369355</v>
      </c>
    </row>
    <row r="39" spans="1:18">
      <c r="A39" s="15" t="s">
        <v>597</v>
      </c>
      <c r="B39" s="17" t="n">
        <v>5895</v>
      </c>
      <c r="C39" s="18">
        <f>(5280.0/B39*100)</f>
        <v/>
      </c>
      <c r="D39" s="19" t="n">
        <v>615</v>
      </c>
      <c r="E39" s="18" t="n">
        <v>53.71593571</v>
      </c>
      <c r="F39" s="20" t="n">
        <v>2.64567838</v>
      </c>
      <c r="G39" s="18" t="n">
        <v>30.90480035</v>
      </c>
      <c r="H39" s="20" t="n">
        <v>2.29997661</v>
      </c>
      <c r="I39" s="18" t="n">
        <v>0</v>
      </c>
      <c r="J39" s="20" t="n">
        <v>0</v>
      </c>
      <c r="K39" s="18" t="n">
        <v>2.01878913</v>
      </c>
      <c r="L39" s="20" t="n">
        <v>0.47160557</v>
      </c>
      <c r="M39" s="18" t="n">
        <v>0</v>
      </c>
      <c r="N39" s="20" t="n">
        <v>0</v>
      </c>
      <c r="O39" s="18" t="n">
        <v>0</v>
      </c>
      <c r="P39" s="20" t="n">
        <v>0</v>
      </c>
      <c r="Q39" s="18" t="n">
        <v>13.36047481</v>
      </c>
      <c r="R39" s="20" t="n">
        <v>1.83021273</v>
      </c>
    </row>
    <row r="40" spans="1:18">
      <c r="A40" s="15" t="s">
        <v>598</v>
      </c>
      <c r="B40" s="17" t="n">
        <v>14157</v>
      </c>
      <c r="C40" s="18">
        <f>(12562.0/B40*100)</f>
        <v/>
      </c>
      <c r="D40" s="19" t="n">
        <v>1595</v>
      </c>
      <c r="E40" s="18" t="n">
        <v>28.93123343</v>
      </c>
      <c r="F40" s="20" t="n">
        <v>1.82861383</v>
      </c>
      <c r="G40" s="18" t="n">
        <v>52.88261647</v>
      </c>
      <c r="H40" s="20" t="n">
        <v>2.10652383</v>
      </c>
      <c r="I40" s="18" t="n">
        <v>0</v>
      </c>
      <c r="J40" s="20" t="n">
        <v>0</v>
      </c>
      <c r="K40" s="18" t="n">
        <v>3.0238043</v>
      </c>
      <c r="L40" s="20" t="n">
        <v>0.56639126</v>
      </c>
      <c r="M40" s="18" t="n">
        <v>0.3201091</v>
      </c>
      <c r="N40" s="20" t="n">
        <v>0.24419504</v>
      </c>
      <c r="O40" s="18" t="n">
        <v>0</v>
      </c>
      <c r="P40" s="20" t="n">
        <v>0</v>
      </c>
      <c r="Q40" s="18" t="n">
        <v>14.8422367</v>
      </c>
      <c r="R40" s="20" t="n">
        <v>1.47293315</v>
      </c>
    </row>
    <row r="41" spans="1:18">
      <c r="A41" s="15" t="s">
        <v>599</v>
      </c>
      <c r="B41" s="17" t="n">
        <v>5712</v>
      </c>
      <c r="C41" s="18">
        <f>(5070.0/B41*100)</f>
        <v/>
      </c>
      <c r="D41" s="19" t="n">
        <v>642</v>
      </c>
      <c r="E41" s="18" t="n">
        <v>52.30116797</v>
      </c>
      <c r="F41" s="20" t="n">
        <v>2.44356439</v>
      </c>
      <c r="G41" s="18" t="n">
        <v>38.35241315</v>
      </c>
      <c r="H41" s="20" t="n">
        <v>2.42474724</v>
      </c>
      <c r="I41" s="18" t="n">
        <v>0</v>
      </c>
      <c r="J41" s="20" t="n">
        <v>0</v>
      </c>
      <c r="K41" s="18" t="n">
        <v>1.04617427</v>
      </c>
      <c r="L41" s="20" t="n">
        <v>0.38907015</v>
      </c>
      <c r="M41" s="18" t="n">
        <v>0</v>
      </c>
      <c r="N41" s="20" t="n">
        <v>0</v>
      </c>
      <c r="O41" s="18" t="n">
        <v>0</v>
      </c>
      <c r="P41" s="20" t="n">
        <v>0</v>
      </c>
      <c r="Q41" s="18" t="n">
        <v>8.30024461</v>
      </c>
      <c r="R41" s="20" t="n">
        <v>1.31678043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(21241.0/B46*100)</f>
        <v/>
      </c>
      <c r="D46" s="19" t="n">
        <v>1900</v>
      </c>
      <c r="E46" s="18" t="n">
        <v>53.61507562</v>
      </c>
      <c r="F46" s="20" t="n">
        <v>1.50310434</v>
      </c>
      <c r="G46" s="18" t="n">
        <v>16.1901543</v>
      </c>
      <c r="H46" s="20" t="n">
        <v>1.13953594</v>
      </c>
      <c r="I46" s="18" t="n">
        <v>0</v>
      </c>
      <c r="J46" s="20" t="n">
        <v>0</v>
      </c>
      <c r="K46" s="18" t="n">
        <v>9.24356375</v>
      </c>
      <c r="L46" s="20" t="n">
        <v>0.98342181</v>
      </c>
      <c r="M46" s="18" t="n">
        <v>0.1507286</v>
      </c>
      <c r="N46" s="20" t="n">
        <v>0.10601591</v>
      </c>
      <c r="O46" s="18" t="n">
        <v>0</v>
      </c>
      <c r="P46" s="20" t="n">
        <v>0</v>
      </c>
      <c r="Q46" s="18" t="n">
        <v>20.80047773</v>
      </c>
      <c r="R46" s="20" t="n">
        <v>1.28613442</v>
      </c>
    </row>
    <row r="47" spans="1:18">
      <c r="A47" s="15" t="s">
        <v>606</v>
      </c>
      <c r="B47" s="17" t="n">
        <v>5928</v>
      </c>
      <c r="C47" s="18">
        <f>(5281.0/B47*100)</f>
        <v/>
      </c>
      <c r="D47" s="19" t="n">
        <v>647</v>
      </c>
      <c r="E47" s="18" t="n">
        <v>32.41679625</v>
      </c>
      <c r="F47" s="20" t="n">
        <v>1.98459603</v>
      </c>
      <c r="G47" s="18" t="n">
        <v>37.06460451</v>
      </c>
      <c r="H47" s="20" t="n">
        <v>1.99890349</v>
      </c>
      <c r="I47" s="18" t="n">
        <v>0</v>
      </c>
      <c r="J47" s="20" t="n">
        <v>0</v>
      </c>
      <c r="K47" s="18" t="n">
        <v>5.73183173</v>
      </c>
      <c r="L47" s="20" t="n">
        <v>1.09606716</v>
      </c>
      <c r="M47" s="18" t="n">
        <v>0.30037159</v>
      </c>
      <c r="N47" s="20" t="n">
        <v>0.20655277</v>
      </c>
      <c r="O47" s="18" t="n">
        <v>0</v>
      </c>
      <c r="P47" s="20" t="n">
        <v>0</v>
      </c>
      <c r="Q47" s="18" t="n">
        <v>24.48639592</v>
      </c>
      <c r="R47" s="20" t="n">
        <v>1.89077781</v>
      </c>
    </row>
    <row r="48" spans="1:18">
      <c r="A48" s="15" t="s">
        <v>607</v>
      </c>
      <c r="B48" s="17" t="n">
        <v>9841</v>
      </c>
      <c r="C48" s="18">
        <f>(8752.0/B48*100)</f>
        <v/>
      </c>
      <c r="D48" s="19" t="n">
        <v>1089</v>
      </c>
      <c r="E48" s="18" t="n">
        <v>37.18178592</v>
      </c>
      <c r="F48" s="20" t="n">
        <v>1.98749301</v>
      </c>
      <c r="G48" s="18" t="n">
        <v>50.7094897</v>
      </c>
      <c r="H48" s="20" t="n">
        <v>2.18817471</v>
      </c>
      <c r="I48" s="18" t="n">
        <v>0</v>
      </c>
      <c r="J48" s="20" t="n">
        <v>0</v>
      </c>
      <c r="K48" s="18" t="n">
        <v>2.4246004</v>
      </c>
      <c r="L48" s="20" t="n">
        <v>0.5323909999999999</v>
      </c>
      <c r="M48" s="18" t="n">
        <v>0.16548522</v>
      </c>
      <c r="N48" s="20" t="n">
        <v>0.16257633</v>
      </c>
      <c r="O48" s="18" t="n">
        <v>0</v>
      </c>
      <c r="P48" s="20" t="n">
        <v>0</v>
      </c>
      <c r="Q48" s="18" t="n">
        <v>9.518638770000001</v>
      </c>
      <c r="R48" s="20" t="n">
        <v>1.49860737</v>
      </c>
    </row>
    <row r="49" spans="1:18">
      <c r="A49" s="15" t="s">
        <v>608</v>
      </c>
      <c r="B49" s="17" t="n">
        <v>11795</v>
      </c>
      <c r="C49" s="18">
        <f>(10560.0/B49*100)</f>
        <v/>
      </c>
      <c r="D49" s="19" t="n">
        <v>1235</v>
      </c>
      <c r="E49" s="18" t="n">
        <v>67.80066705999999</v>
      </c>
      <c r="F49" s="20" t="n">
        <v>1.67316935</v>
      </c>
      <c r="G49" s="18" t="n">
        <v>14.64392203</v>
      </c>
      <c r="H49" s="20" t="n">
        <v>1.30255709</v>
      </c>
      <c r="I49" s="18" t="n">
        <v>0</v>
      </c>
      <c r="J49" s="20" t="n">
        <v>0</v>
      </c>
      <c r="K49" s="18" t="n">
        <v>5.75316818</v>
      </c>
      <c r="L49" s="20" t="n">
        <v>0.99358138</v>
      </c>
      <c r="M49" s="18" t="n">
        <v>0.00447012</v>
      </c>
      <c r="N49" s="20" t="n">
        <v>0.0044853</v>
      </c>
      <c r="O49" s="18" t="n">
        <v>0</v>
      </c>
      <c r="P49" s="20" t="n">
        <v>0</v>
      </c>
      <c r="Q49" s="18" t="n">
        <v>11.79777261</v>
      </c>
      <c r="R49" s="20" t="n">
        <v>1.17445411</v>
      </c>
    </row>
    <row r="50" spans="1:18">
      <c r="A50" s="15" t="s">
        <v>609</v>
      </c>
      <c r="B50" s="17" t="n">
        <v>6866</v>
      </c>
      <c r="C50" s="18">
        <f>(6215.0/B50*100)</f>
        <v/>
      </c>
      <c r="D50" s="19" t="n">
        <v>651</v>
      </c>
      <c r="E50" s="18" t="n">
        <v>49.64453922</v>
      </c>
      <c r="F50" s="20" t="n">
        <v>2.13130717</v>
      </c>
      <c r="G50" s="18" t="n">
        <v>31.46078013</v>
      </c>
      <c r="H50" s="20" t="n">
        <v>1.87424095</v>
      </c>
      <c r="I50" s="18" t="n">
        <v>0</v>
      </c>
      <c r="J50" s="20" t="n">
        <v>0</v>
      </c>
      <c r="K50" s="18" t="n">
        <v>3.38355561</v>
      </c>
      <c r="L50" s="20" t="n">
        <v>0.72903638</v>
      </c>
      <c r="M50" s="18" t="n">
        <v>0.18228926</v>
      </c>
      <c r="N50" s="20" t="n">
        <v>0.17059568</v>
      </c>
      <c r="O50" s="18" t="n">
        <v>0</v>
      </c>
      <c r="P50" s="20" t="n">
        <v>0</v>
      </c>
      <c r="Q50" s="18" t="n">
        <v>15.32883579</v>
      </c>
      <c r="R50" s="20" t="n">
        <v>1.44129945</v>
      </c>
    </row>
    <row r="51" spans="1:18">
      <c r="A51" s="15" t="s">
        <v>610</v>
      </c>
      <c r="B51" s="17" t="n">
        <v>5809</v>
      </c>
      <c r="C51" s="18">
        <f>(5197.0/B51*100)</f>
        <v/>
      </c>
      <c r="D51" s="19" t="n">
        <v>612</v>
      </c>
      <c r="E51" s="18" t="n">
        <v>38.03972067</v>
      </c>
      <c r="F51" s="20" t="n">
        <v>2.16294362</v>
      </c>
      <c r="G51" s="18" t="n">
        <v>32.45218995</v>
      </c>
      <c r="H51" s="20" t="n">
        <v>2.02080094</v>
      </c>
      <c r="I51" s="18" t="n">
        <v>0</v>
      </c>
      <c r="J51" s="20" t="n">
        <v>0</v>
      </c>
      <c r="K51" s="18" t="n">
        <v>3.7075601</v>
      </c>
      <c r="L51" s="20" t="n">
        <v>0.9607734</v>
      </c>
      <c r="M51" s="18" t="n">
        <v>0</v>
      </c>
      <c r="N51" s="20" t="n">
        <v>0</v>
      </c>
      <c r="O51" s="18" t="n">
        <v>0</v>
      </c>
      <c r="P51" s="20" t="n">
        <v>0</v>
      </c>
      <c r="Q51" s="18" t="n">
        <v>25.80052928</v>
      </c>
      <c r="R51" s="20" t="n">
        <v>1.77379341</v>
      </c>
    </row>
    <row r="52" spans="1:18">
      <c r="A52" s="15" t="s">
        <v>611</v>
      </c>
      <c r="B52" s="17" t="n">
        <v>5571</v>
      </c>
      <c r="C52" s="18">
        <f>(4951.0/B52*100)</f>
        <v/>
      </c>
      <c r="D52" s="19" t="n">
        <v>620</v>
      </c>
      <c r="E52" s="18" t="n">
        <v>40.4290987</v>
      </c>
      <c r="F52" s="20" t="n">
        <v>2.16537172</v>
      </c>
      <c r="G52" s="18" t="n">
        <v>22.57403438</v>
      </c>
      <c r="H52" s="20" t="n">
        <v>1.58732869</v>
      </c>
      <c r="I52" s="18" t="n">
        <v>0</v>
      </c>
      <c r="J52" s="20" t="n">
        <v>0</v>
      </c>
      <c r="K52" s="18" t="n">
        <v>5.67714804</v>
      </c>
      <c r="L52" s="20" t="n">
        <v>0.96190177</v>
      </c>
      <c r="M52" s="18" t="n">
        <v>0</v>
      </c>
      <c r="N52" s="20" t="n">
        <v>0</v>
      </c>
      <c r="O52" s="18" t="n">
        <v>0</v>
      </c>
      <c r="P52" s="20" t="n">
        <v>0</v>
      </c>
      <c r="Q52" s="18" t="n">
        <v>31.31971888</v>
      </c>
      <c r="R52" s="20" t="n">
        <v>1.84942148</v>
      </c>
    </row>
    <row r="53" spans="1:18">
      <c r="A53" s="15" t="s">
        <v>612</v>
      </c>
      <c r="B53" s="17" t="n">
        <v>4740</v>
      </c>
      <c r="C53" s="18">
        <f>(4223.0/B53*100)</f>
        <v/>
      </c>
      <c r="D53" s="19" t="n">
        <v>517</v>
      </c>
      <c r="E53" s="18" t="n">
        <v>45.11369166</v>
      </c>
      <c r="F53" s="20" t="n">
        <v>1.9082335</v>
      </c>
      <c r="G53" s="18" t="n">
        <v>3.91451032</v>
      </c>
      <c r="H53" s="20" t="n">
        <v>0.94726361</v>
      </c>
      <c r="I53" s="18" t="n">
        <v>0</v>
      </c>
      <c r="J53" s="20" t="n">
        <v>0</v>
      </c>
      <c r="K53" s="18" t="n">
        <v>30.79744356</v>
      </c>
      <c r="L53" s="20" t="n">
        <v>2.22349604</v>
      </c>
      <c r="M53" s="18" t="n">
        <v>0.59214818</v>
      </c>
      <c r="N53" s="20" t="n">
        <v>0.48048491</v>
      </c>
      <c r="O53" s="18" t="n">
        <v>0</v>
      </c>
      <c r="P53" s="20" t="n">
        <v>0</v>
      </c>
      <c r="Q53" s="18" t="n">
        <v>19.58220628</v>
      </c>
      <c r="R53" s="20" t="n">
        <v>1.81826879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(4800.0/B55*100)</f>
        <v/>
      </c>
      <c r="D55" s="19" t="n">
        <v>559</v>
      </c>
      <c r="E55" s="18" t="n">
        <v>30.7526239</v>
      </c>
      <c r="F55" s="20" t="n">
        <v>1.91969117</v>
      </c>
      <c r="G55" s="18" t="n">
        <v>61.33994303</v>
      </c>
      <c r="H55" s="20" t="n">
        <v>1.92028243</v>
      </c>
      <c r="I55" s="18" t="n">
        <v>0</v>
      </c>
      <c r="J55" s="20" t="n">
        <v>0</v>
      </c>
      <c r="K55" s="18" t="n">
        <v>0.59269677</v>
      </c>
      <c r="L55" s="20" t="n">
        <v>0.35218689</v>
      </c>
      <c r="M55" s="18" t="n">
        <v>0.12387956</v>
      </c>
      <c r="N55" s="20" t="n">
        <v>0.12435063</v>
      </c>
      <c r="O55" s="18" t="n">
        <v>0</v>
      </c>
      <c r="P55" s="20" t="n">
        <v>0</v>
      </c>
      <c r="Q55" s="18" t="n">
        <v>7.19085674</v>
      </c>
      <c r="R55" s="20" t="n">
        <v>1.00565802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(5837.0/B61*100)</f>
        <v/>
      </c>
      <c r="D61" s="19" t="n">
        <v>688</v>
      </c>
      <c r="E61" s="18" t="n">
        <v>38.3199201</v>
      </c>
      <c r="F61" s="20" t="n">
        <v>2.25544243</v>
      </c>
      <c r="G61" s="18" t="n">
        <v>40.73599397</v>
      </c>
      <c r="H61" s="20" t="n">
        <v>2.61669059</v>
      </c>
      <c r="I61" s="18" t="n">
        <v>0</v>
      </c>
      <c r="J61" s="20" t="n">
        <v>0</v>
      </c>
      <c r="K61" s="18" t="n">
        <v>2.21441218</v>
      </c>
      <c r="L61" s="20" t="n">
        <v>0.6621827</v>
      </c>
      <c r="M61" s="18" t="n">
        <v>0</v>
      </c>
      <c r="N61" s="20" t="n">
        <v>0</v>
      </c>
      <c r="O61" s="18" t="n">
        <v>0</v>
      </c>
      <c r="P61" s="20" t="n">
        <v>0</v>
      </c>
      <c r="Q61" s="18" t="n">
        <v>18.72967376</v>
      </c>
      <c r="R61" s="20" t="n">
        <v>1.6375024</v>
      </c>
    </row>
    <row r="62" spans="1:18">
      <c r="A62" s="15" t="s">
        <v>622</v>
      </c>
      <c r="B62" s="17" t="n">
        <v>4476</v>
      </c>
      <c r="C62" s="18">
        <f>(3970.0/B62*100)</f>
        <v/>
      </c>
      <c r="D62" s="19" t="n">
        <v>506</v>
      </c>
      <c r="E62" s="18" t="n">
        <v>34.00266315</v>
      </c>
      <c r="F62" s="20" t="n">
        <v>1.95364456</v>
      </c>
      <c r="G62" s="18" t="n">
        <v>61.24491962</v>
      </c>
      <c r="H62" s="20" t="n">
        <v>2.14916304</v>
      </c>
      <c r="I62" s="18" t="n">
        <v>0</v>
      </c>
      <c r="J62" s="20" t="n">
        <v>0</v>
      </c>
      <c r="K62" s="18" t="n">
        <v>0.19602132</v>
      </c>
      <c r="L62" s="20" t="n">
        <v>0.1971378</v>
      </c>
      <c r="M62" s="18" t="n">
        <v>0</v>
      </c>
      <c r="N62" s="20" t="n">
        <v>0</v>
      </c>
      <c r="O62" s="18" t="n">
        <v>0</v>
      </c>
      <c r="P62" s="20" t="n">
        <v>0</v>
      </c>
      <c r="Q62" s="18" t="n">
        <v>4.55639592</v>
      </c>
      <c r="R62" s="20" t="n">
        <v>0.95227952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(5068.0/B67*100)</f>
        <v/>
      </c>
      <c r="D67" s="19" t="n">
        <v>597</v>
      </c>
      <c r="E67" s="18" t="n">
        <v>33.10730003</v>
      </c>
      <c r="F67" s="20" t="n">
        <v>2.24853791</v>
      </c>
      <c r="G67" s="18" t="n">
        <v>18.50595448</v>
      </c>
      <c r="H67" s="20" t="n">
        <v>1.59480143</v>
      </c>
      <c r="I67" s="18" t="n">
        <v>0</v>
      </c>
      <c r="J67" s="20" t="n">
        <v>0</v>
      </c>
      <c r="K67" s="18" t="n">
        <v>14.42106047</v>
      </c>
      <c r="L67" s="20" t="n">
        <v>1.51020235</v>
      </c>
      <c r="M67" s="18" t="n">
        <v>0.52687888</v>
      </c>
      <c r="N67" s="20" t="n">
        <v>0.30597564</v>
      </c>
      <c r="O67" s="18" t="n">
        <v>0</v>
      </c>
      <c r="P67" s="20" t="n">
        <v>0</v>
      </c>
      <c r="Q67" s="18" t="n">
        <v>33.43880614</v>
      </c>
      <c r="R67" s="20" t="n">
        <v>2.12438423</v>
      </c>
    </row>
    <row r="68" spans="1:18">
      <c r="A68" s="15" t="s">
        <v>628</v>
      </c>
      <c r="B68" s="17" t="n">
        <v>6971</v>
      </c>
      <c r="C68" s="18">
        <f>(6326.0/B68*100)</f>
        <v/>
      </c>
      <c r="D68" s="19" t="n">
        <v>645</v>
      </c>
      <c r="E68" s="18" t="n">
        <v>63.22140663</v>
      </c>
      <c r="F68" s="20" t="n">
        <v>2.08431464</v>
      </c>
      <c r="G68" s="18" t="n">
        <v>14.99316081</v>
      </c>
      <c r="H68" s="20" t="n">
        <v>1.58712595</v>
      </c>
      <c r="I68" s="18" t="n">
        <v>0</v>
      </c>
      <c r="J68" s="20" t="n">
        <v>0</v>
      </c>
      <c r="K68" s="18" t="n">
        <v>4.24587906</v>
      </c>
      <c r="L68" s="20" t="n">
        <v>0.8348765</v>
      </c>
      <c r="M68" s="18" t="n">
        <v>0.3070503</v>
      </c>
      <c r="N68" s="20" t="n">
        <v>0.21689423</v>
      </c>
      <c r="O68" s="18" t="n">
        <v>0</v>
      </c>
      <c r="P68" s="20" t="n">
        <v>0</v>
      </c>
      <c r="Q68" s="18" t="n">
        <v>17.2325032</v>
      </c>
      <c r="R68" s="20" t="n">
        <v>1.71876076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(10736.0/B70*100)</f>
        <v/>
      </c>
      <c r="D70" s="19" t="n">
        <v>1347</v>
      </c>
      <c r="E70" s="18" t="n">
        <v>51.56459366</v>
      </c>
      <c r="F70" s="20" t="n">
        <v>1.56922887</v>
      </c>
      <c r="G70" s="18" t="n">
        <v>21.64654222</v>
      </c>
      <c r="H70" s="20" t="n">
        <v>1.30462483</v>
      </c>
      <c r="I70" s="18" t="n">
        <v>0</v>
      </c>
      <c r="J70" s="20" t="n">
        <v>0</v>
      </c>
      <c r="K70" s="18" t="n">
        <v>7.93322379</v>
      </c>
      <c r="L70" s="20" t="n">
        <v>0.83721649</v>
      </c>
      <c r="M70" s="18" t="n">
        <v>0</v>
      </c>
      <c r="N70" s="20" t="n">
        <v>0</v>
      </c>
      <c r="O70" s="18" t="n">
        <v>0</v>
      </c>
      <c r="P70" s="20" t="n">
        <v>0</v>
      </c>
      <c r="Q70" s="18" t="n">
        <v>18.85564033</v>
      </c>
      <c r="R70" s="20" t="n">
        <v>1.03161348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(5417.0/B72*100)</f>
        <v/>
      </c>
      <c r="D72" s="19" t="n">
        <v>619</v>
      </c>
      <c r="E72" s="18" t="n">
        <v>43.33550248</v>
      </c>
      <c r="F72" s="20" t="n">
        <v>2.10816563</v>
      </c>
      <c r="G72" s="18" t="n">
        <v>42.13699962</v>
      </c>
      <c r="H72" s="20" t="n">
        <v>2.69893848</v>
      </c>
      <c r="I72" s="18" t="n">
        <v>0</v>
      </c>
      <c r="J72" s="20" t="n">
        <v>0</v>
      </c>
      <c r="K72" s="18" t="n">
        <v>1.67297768</v>
      </c>
      <c r="L72" s="20" t="n">
        <v>0.56675817</v>
      </c>
      <c r="M72" s="18" t="n">
        <v>0</v>
      </c>
      <c r="N72" s="20" t="n">
        <v>0</v>
      </c>
      <c r="O72" s="18" t="n">
        <v>0</v>
      </c>
      <c r="P72" s="20" t="n">
        <v>0</v>
      </c>
      <c r="Q72" s="18" t="n">
        <v>12.85452022</v>
      </c>
      <c r="R72" s="20" t="n">
        <v>1.85731037</v>
      </c>
    </row>
    <row r="73" spans="1:18">
      <c r="A73" s="15" t="s">
        <v>633</v>
      </c>
      <c r="B73" s="17" t="n">
        <v>6115</v>
      </c>
      <c r="C73" s="18">
        <f>(5395.0/B73*100)</f>
        <v/>
      </c>
      <c r="D73" s="19" t="n">
        <v>720</v>
      </c>
      <c r="E73" s="18" t="n">
        <v>25.49828169</v>
      </c>
      <c r="F73" s="20" t="n">
        <v>1.70063826</v>
      </c>
      <c r="G73" s="18" t="n">
        <v>67.95448707</v>
      </c>
      <c r="H73" s="20" t="n">
        <v>1.87589527</v>
      </c>
      <c r="I73" s="18" t="n">
        <v>0</v>
      </c>
      <c r="J73" s="20" t="n">
        <v>0</v>
      </c>
      <c r="K73" s="18" t="n">
        <v>0.35998091</v>
      </c>
      <c r="L73" s="20" t="n">
        <v>0.20808734</v>
      </c>
      <c r="M73" s="18" t="n">
        <v>0.19340267</v>
      </c>
      <c r="N73" s="20" t="n">
        <v>0.19418784</v>
      </c>
      <c r="O73" s="18" t="n">
        <v>0</v>
      </c>
      <c r="P73" s="20" t="n">
        <v>0</v>
      </c>
      <c r="Q73" s="18" t="n">
        <v>5.99384766</v>
      </c>
      <c r="R73" s="20" t="n">
        <v>0.77686221</v>
      </c>
    </row>
    <row r="74" spans="1:18">
      <c r="A74" s="15" t="s">
        <v>634</v>
      </c>
      <c r="B74" s="17" t="n">
        <v>7708</v>
      </c>
      <c r="C74" s="18">
        <f>(6862.0/B74*100)</f>
        <v/>
      </c>
      <c r="D74" s="19" t="n">
        <v>846</v>
      </c>
      <c r="E74" s="18" t="n">
        <v>40.09786336</v>
      </c>
      <c r="F74" s="20" t="n">
        <v>1.79508055</v>
      </c>
      <c r="G74" s="18" t="n">
        <v>50.99940379</v>
      </c>
      <c r="H74" s="20" t="n">
        <v>1.9280115</v>
      </c>
      <c r="I74" s="18" t="n">
        <v>0</v>
      </c>
      <c r="J74" s="20" t="n">
        <v>0</v>
      </c>
      <c r="K74" s="18" t="n">
        <v>1.43514815</v>
      </c>
      <c r="L74" s="20" t="n">
        <v>0.4651562</v>
      </c>
      <c r="M74" s="18" t="n">
        <v>0</v>
      </c>
      <c r="N74" s="20" t="n">
        <v>0</v>
      </c>
      <c r="O74" s="18" t="n">
        <v>0</v>
      </c>
      <c r="P74" s="20" t="n">
        <v>0</v>
      </c>
      <c r="Q74" s="18" t="n">
        <v>7.4675847</v>
      </c>
      <c r="R74" s="20" t="n">
        <v>0.9561359699999999</v>
      </c>
    </row>
    <row r="75" spans="1:18">
      <c r="A75" s="15" t="s">
        <v>635</v>
      </c>
      <c r="B75" s="17" t="n">
        <v>8249</v>
      </c>
      <c r="C75" s="18">
        <f>(7406.0/B75*100)</f>
        <v/>
      </c>
      <c r="D75" s="19" t="n">
        <v>843</v>
      </c>
      <c r="E75" s="18" t="n">
        <v>69.83605634</v>
      </c>
      <c r="F75" s="20" t="n">
        <v>2.03605102</v>
      </c>
      <c r="G75" s="18" t="n">
        <v>26.08820034</v>
      </c>
      <c r="H75" s="20" t="n">
        <v>1.98006824</v>
      </c>
      <c r="I75" s="18" t="n">
        <v>0</v>
      </c>
      <c r="J75" s="20" t="n">
        <v>0</v>
      </c>
      <c r="K75" s="18" t="n">
        <v>0.6881947899999999</v>
      </c>
      <c r="L75" s="20" t="n">
        <v>0.36862542</v>
      </c>
      <c r="M75" s="18" t="n">
        <v>0.01136879</v>
      </c>
      <c r="N75" s="20" t="n">
        <v>0.0080012</v>
      </c>
      <c r="O75" s="18" t="n">
        <v>0</v>
      </c>
      <c r="P75" s="20" t="n">
        <v>0</v>
      </c>
      <c r="Q75" s="18" t="n">
        <v>3.37617973</v>
      </c>
      <c r="R75" s="20" t="n">
        <v>0.58473535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(4844.0/B77*100)</f>
        <v/>
      </c>
      <c r="D77" s="19" t="n">
        <v>531</v>
      </c>
      <c r="E77" s="18" t="n">
        <v>50.2444105</v>
      </c>
      <c r="F77" s="20" t="n">
        <v>2.27857827</v>
      </c>
      <c r="G77" s="18" t="n">
        <v>11.28428578</v>
      </c>
      <c r="H77" s="20" t="n">
        <v>1.30946038</v>
      </c>
      <c r="I77" s="18" t="n">
        <v>0</v>
      </c>
      <c r="J77" s="20" t="n">
        <v>0</v>
      </c>
      <c r="K77" s="18" t="n">
        <v>12.61455648</v>
      </c>
      <c r="L77" s="20" t="n">
        <v>1.50619694</v>
      </c>
      <c r="M77" s="18" t="n">
        <v>0.16879104</v>
      </c>
      <c r="N77" s="20" t="n">
        <v>0.16838677</v>
      </c>
      <c r="O77" s="18" t="n">
        <v>0</v>
      </c>
      <c r="P77" s="20" t="n">
        <v>0</v>
      </c>
      <c r="Q77" s="18" t="n">
        <v>25.6879562</v>
      </c>
      <c r="R77" s="20" t="n">
        <v>1.61005544</v>
      </c>
    </row>
    <row r="78" spans="1:18">
      <c r="A78" s="15" t="s">
        <v>638</v>
      </c>
      <c r="B78" s="17" t="n">
        <v>14167</v>
      </c>
      <c r="C78" s="18">
        <f>(12616.0/B78*100)</f>
        <v/>
      </c>
      <c r="D78" s="19" t="n">
        <v>1551</v>
      </c>
      <c r="E78" s="18" t="n">
        <v>63.73246112</v>
      </c>
      <c r="F78" s="20" t="n">
        <v>1.46924364</v>
      </c>
      <c r="G78" s="18" t="n">
        <v>22.33784743</v>
      </c>
      <c r="H78" s="20" t="n">
        <v>1.41739881</v>
      </c>
      <c r="I78" s="18" t="n">
        <v>0</v>
      </c>
      <c r="J78" s="20" t="n">
        <v>0</v>
      </c>
      <c r="K78" s="18" t="n">
        <v>2.65392866</v>
      </c>
      <c r="L78" s="20" t="n">
        <v>0.44816946</v>
      </c>
      <c r="M78" s="18" t="n">
        <v>0.11807334</v>
      </c>
      <c r="N78" s="20" t="n">
        <v>0.07295018</v>
      </c>
      <c r="O78" s="18" t="n">
        <v>0</v>
      </c>
      <c r="P78" s="20" t="n">
        <v>0</v>
      </c>
      <c r="Q78" s="18" t="n">
        <v>11.15768945</v>
      </c>
      <c r="R78" s="20" t="n">
        <v>0.8826038899999999</v>
      </c>
    </row>
    <row r="79" spans="1:18">
      <c r="A79" s="15" t="s">
        <v>639</v>
      </c>
      <c r="B79" s="17" t="n">
        <v>6062</v>
      </c>
      <c r="C79" s="18">
        <f>(5464.0/B79*100)</f>
        <v/>
      </c>
      <c r="D79" s="19" t="n">
        <v>598</v>
      </c>
      <c r="E79" s="18" t="n">
        <v>38.30689361</v>
      </c>
      <c r="F79" s="20" t="n">
        <v>2.3686584</v>
      </c>
      <c r="G79" s="18" t="n">
        <v>25.62937357</v>
      </c>
      <c r="H79" s="20" t="n">
        <v>1.86743429</v>
      </c>
      <c r="I79" s="18" t="n">
        <v>0</v>
      </c>
      <c r="J79" s="20" t="n">
        <v>0</v>
      </c>
      <c r="K79" s="18" t="n">
        <v>11.02264694</v>
      </c>
      <c r="L79" s="20" t="n">
        <v>1.54517766</v>
      </c>
      <c r="M79" s="18" t="n">
        <v>0</v>
      </c>
      <c r="N79" s="20" t="n">
        <v>0</v>
      </c>
      <c r="O79" s="18" t="n">
        <v>0</v>
      </c>
      <c r="P79" s="20" t="n">
        <v>0</v>
      </c>
      <c r="Q79" s="18" t="n">
        <v>25.04108587</v>
      </c>
      <c r="R79" s="20" t="n">
        <v>1.72178833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(28767.0/B82*100)</f>
        <v/>
      </c>
      <c r="D82" s="19" t="n">
        <v>3563</v>
      </c>
      <c r="E82" s="18" t="n">
        <v>32.41853145</v>
      </c>
      <c r="F82" s="20" t="n">
        <v>1.07256736</v>
      </c>
      <c r="G82" s="18" t="n">
        <v>52.58449638</v>
      </c>
      <c r="H82" s="20" t="n">
        <v>1.30363683</v>
      </c>
      <c r="I82" s="18" t="n">
        <v>0</v>
      </c>
      <c r="J82" s="20" t="n">
        <v>0</v>
      </c>
      <c r="K82" s="18" t="n">
        <v>2.56779306</v>
      </c>
      <c r="L82" s="20" t="n">
        <v>0.44943879</v>
      </c>
      <c r="M82" s="18" t="n">
        <v>0.09184199999999999</v>
      </c>
      <c r="N82" s="20" t="n">
        <v>0.09162678</v>
      </c>
      <c r="O82" s="18" t="n">
        <v>0</v>
      </c>
      <c r="P82" s="20" t="n">
        <v>0</v>
      </c>
      <c r="Q82" s="18" t="n">
        <v>12.33733712</v>
      </c>
      <c r="R82" s="20" t="n">
        <v>0.80407778</v>
      </c>
    </row>
    <row r="83" spans="1:18">
      <c r="A83" s="15" t="s">
        <v>643</v>
      </c>
      <c r="B83" s="17" t="n">
        <v>1652</v>
      </c>
      <c r="C83" s="18">
        <f>(1480.0/B83*100)</f>
        <v/>
      </c>
      <c r="D83" s="19" t="n">
        <v>172</v>
      </c>
      <c r="E83" s="18" t="n">
        <v>41.42675971</v>
      </c>
      <c r="F83" s="20" t="n">
        <v>3.91062529</v>
      </c>
      <c r="G83" s="18" t="n">
        <v>51.15261072</v>
      </c>
      <c r="H83" s="20" t="n">
        <v>3.71485812</v>
      </c>
      <c r="I83" s="18" t="n">
        <v>0</v>
      </c>
      <c r="J83" s="20" t="n">
        <v>0</v>
      </c>
      <c r="K83" s="18" t="n">
        <v>1.59022219</v>
      </c>
      <c r="L83" s="20" t="n">
        <v>1.12739558</v>
      </c>
      <c r="M83" s="18" t="n">
        <v>0</v>
      </c>
      <c r="N83" s="20" t="n">
        <v>0</v>
      </c>
      <c r="O83" s="18" t="n">
        <v>0</v>
      </c>
      <c r="P83" s="20" t="n">
        <v>0</v>
      </c>
      <c r="Q83" s="18" t="n">
        <v>5.83040738</v>
      </c>
      <c r="R83" s="20" t="n">
        <v>1.13289698</v>
      </c>
    </row>
    <row r="84" spans="1:18">
      <c r="A84" s="23" t="s">
        <v>644</v>
      </c>
      <c r="B84" s="24" t="n">
        <v>1887</v>
      </c>
      <c r="C84" s="25">
        <f>(1694.0/B84*100)</f>
        <v/>
      </c>
      <c r="D84" s="19" t="n">
        <v>193</v>
      </c>
      <c r="E84" s="18" t="n">
        <v>46.44353098</v>
      </c>
      <c r="F84" s="20" t="n">
        <v>3.40430377</v>
      </c>
      <c r="G84" s="18" t="n">
        <v>45.64153973</v>
      </c>
      <c r="H84" s="20" t="n">
        <v>3.89100115</v>
      </c>
      <c r="I84" s="18" t="n">
        <v>0</v>
      </c>
      <c r="J84" s="20" t="n">
        <v>0</v>
      </c>
      <c r="K84" s="18" t="n">
        <v>2.92171401</v>
      </c>
      <c r="L84" s="20" t="n">
        <v>1.17672397</v>
      </c>
      <c r="M84" s="18" t="n">
        <v>0</v>
      </c>
      <c r="N84" s="20" t="n">
        <v>0</v>
      </c>
      <c r="O84" s="18" t="n">
        <v>0</v>
      </c>
      <c r="P84" s="20" t="n">
        <v>0</v>
      </c>
      <c r="Q84" s="18" t="n">
        <v>4.99321527</v>
      </c>
      <c r="R84" s="20" t="n">
        <v>1.43767124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(12985.0/B7*100)</f>
        <v/>
      </c>
      <c r="D7" s="19" t="n">
        <v>1545</v>
      </c>
      <c r="E7" s="18" t="n">
        <v>50.39564024</v>
      </c>
      <c r="F7" s="20" t="n">
        <v>1.46040948</v>
      </c>
      <c r="G7" s="18" t="n">
        <v>45.95729135</v>
      </c>
      <c r="H7" s="20" t="n">
        <v>1.47871217</v>
      </c>
      <c r="I7" s="18" t="n">
        <v>0</v>
      </c>
      <c r="J7" s="20" t="n">
        <v>0</v>
      </c>
      <c r="K7" s="18" t="n">
        <v>3.63895481</v>
      </c>
      <c r="L7" s="20" t="n">
        <v>0.5642587</v>
      </c>
      <c r="M7" s="18" t="n">
        <v>0.0081136</v>
      </c>
      <c r="N7" s="20" t="n">
        <v>0.00815696</v>
      </c>
      <c r="O7" s="18" t="n">
        <v>0</v>
      </c>
      <c r="P7" s="20" t="n">
        <v>0</v>
      </c>
      <c r="Q7" s="18" t="n">
        <v>0</v>
      </c>
      <c r="R7" s="20" t="n">
        <v>0</v>
      </c>
    </row>
    <row r="8" spans="1:18">
      <c r="A8" s="15" t="s">
        <v>566</v>
      </c>
      <c r="B8" s="17" t="n">
        <v>7007</v>
      </c>
      <c r="C8" s="18">
        <f>(6265.0/B8*100)</f>
        <v/>
      </c>
      <c r="D8" s="19" t="n">
        <v>742</v>
      </c>
      <c r="E8" s="18" t="n">
        <v>54.19448006</v>
      </c>
      <c r="F8" s="20" t="n">
        <v>2.00905301</v>
      </c>
      <c r="G8" s="18" t="n">
        <v>40.69869639</v>
      </c>
      <c r="H8" s="20" t="n">
        <v>1.95141821</v>
      </c>
      <c r="I8" s="18" t="n">
        <v>0</v>
      </c>
      <c r="J8" s="20" t="n">
        <v>0</v>
      </c>
      <c r="K8" s="18" t="n">
        <v>5.10682356</v>
      </c>
      <c r="L8" s="20" t="n">
        <v>0.95472611</v>
      </c>
      <c r="M8" s="18" t="n">
        <v>0</v>
      </c>
      <c r="N8" s="20" t="n">
        <v>0</v>
      </c>
      <c r="O8" s="18" t="n">
        <v>0</v>
      </c>
      <c r="P8" s="20" t="n">
        <v>0</v>
      </c>
      <c r="Q8" s="18" t="n">
        <v>0</v>
      </c>
      <c r="R8" s="20" t="n">
        <v>0</v>
      </c>
    </row>
    <row r="9" spans="1:18">
      <c r="A9" s="15" t="s">
        <v>567</v>
      </c>
      <c r="B9" s="17" t="n">
        <v>9651</v>
      </c>
      <c r="C9" s="18">
        <f>(8673.0/B9*100)</f>
        <v/>
      </c>
      <c r="D9" s="19" t="n">
        <v>978</v>
      </c>
      <c r="E9" s="18" t="n">
        <v>55.63103595</v>
      </c>
      <c r="F9" s="20" t="n">
        <v>1.93289266</v>
      </c>
      <c r="G9" s="18" t="n">
        <v>40.90159429</v>
      </c>
      <c r="H9" s="20" t="n">
        <v>1.90929489</v>
      </c>
      <c r="I9" s="18" t="n">
        <v>0</v>
      </c>
      <c r="J9" s="20" t="n">
        <v>0</v>
      </c>
      <c r="K9" s="18" t="n">
        <v>3.38458829</v>
      </c>
      <c r="L9" s="20" t="n">
        <v>0.53796464</v>
      </c>
      <c r="M9" s="18" t="n">
        <v>0.08278146</v>
      </c>
      <c r="N9" s="20" t="n">
        <v>0.08015781</v>
      </c>
      <c r="O9" s="18" t="n">
        <v>0</v>
      </c>
      <c r="P9" s="20" t="n">
        <v>0</v>
      </c>
      <c r="Q9" s="18" t="n">
        <v>0</v>
      </c>
      <c r="R9" s="20" t="n">
        <v>0</v>
      </c>
    </row>
    <row r="10" spans="1:18">
      <c r="A10" s="15" t="s">
        <v>568</v>
      </c>
      <c r="B10" s="17" t="n">
        <v>20058</v>
      </c>
      <c r="C10" s="18">
        <f>(17828.0/B10*100)</f>
        <v/>
      </c>
      <c r="D10" s="19" t="n">
        <v>2230</v>
      </c>
      <c r="E10" s="18" t="n">
        <v>45.52922044</v>
      </c>
      <c r="F10" s="20" t="n">
        <v>1.57541538</v>
      </c>
      <c r="G10" s="18" t="n">
        <v>51.51901273</v>
      </c>
      <c r="H10" s="20" t="n">
        <v>1.65821718</v>
      </c>
      <c r="I10" s="18" t="n">
        <v>0</v>
      </c>
      <c r="J10" s="20" t="n">
        <v>0</v>
      </c>
      <c r="K10" s="18" t="n">
        <v>2.95176683</v>
      </c>
      <c r="L10" s="20" t="n">
        <v>0.5011952200000001</v>
      </c>
      <c r="M10" s="18" t="n">
        <v>0</v>
      </c>
      <c r="N10" s="20" t="n">
        <v>0</v>
      </c>
      <c r="O10" s="18" t="n">
        <v>0</v>
      </c>
      <c r="P10" s="20" t="n">
        <v>0</v>
      </c>
      <c r="Q10" s="18" t="n">
        <v>0</v>
      </c>
      <c r="R10" s="20" t="n">
        <v>0</v>
      </c>
    </row>
    <row r="11" spans="1:18">
      <c r="A11" s="15" t="s">
        <v>569</v>
      </c>
      <c r="B11" s="17" t="n">
        <v>7053</v>
      </c>
      <c r="C11" s="18">
        <f>(6291.0/B11*100)</f>
        <v/>
      </c>
      <c r="D11" s="19" t="n">
        <v>762</v>
      </c>
      <c r="E11" s="18" t="n">
        <v>55.51380217</v>
      </c>
      <c r="F11" s="20" t="n">
        <v>1.79451739</v>
      </c>
      <c r="G11" s="18" t="n">
        <v>30.17292945</v>
      </c>
      <c r="H11" s="20" t="n">
        <v>1.67576925</v>
      </c>
      <c r="I11" s="18" t="n">
        <v>0</v>
      </c>
      <c r="J11" s="20" t="n">
        <v>0</v>
      </c>
      <c r="K11" s="18" t="n">
        <v>14.29453389</v>
      </c>
      <c r="L11" s="20" t="n">
        <v>1.55119398</v>
      </c>
      <c r="M11" s="18" t="n">
        <v>0.0187345</v>
      </c>
      <c r="N11" s="20" t="n">
        <v>0.01900846</v>
      </c>
      <c r="O11" s="18" t="n">
        <v>0</v>
      </c>
      <c r="P11" s="20" t="n">
        <v>0</v>
      </c>
      <c r="Q11" s="18" t="n">
        <v>0</v>
      </c>
      <c r="R11" s="20" t="n">
        <v>0</v>
      </c>
    </row>
    <row r="12" spans="1:18">
      <c r="A12" s="15" t="s">
        <v>570</v>
      </c>
      <c r="B12" s="17" t="n">
        <v>6894</v>
      </c>
      <c r="C12" s="18">
        <f>(6131.0/B12*100)</f>
        <v/>
      </c>
      <c r="D12" s="19" t="n">
        <v>763</v>
      </c>
      <c r="E12" s="18" t="n">
        <v>47.53101299</v>
      </c>
      <c r="F12" s="20" t="n">
        <v>1.99206884</v>
      </c>
      <c r="G12" s="18" t="n">
        <v>48.93749911</v>
      </c>
      <c r="H12" s="20" t="n">
        <v>1.94441278</v>
      </c>
      <c r="I12" s="18" t="n">
        <v>0</v>
      </c>
      <c r="J12" s="20" t="n">
        <v>0</v>
      </c>
      <c r="K12" s="18" t="n">
        <v>3.40355112</v>
      </c>
      <c r="L12" s="20" t="n">
        <v>0.74326423</v>
      </c>
      <c r="M12" s="18" t="n">
        <v>0.12793678</v>
      </c>
      <c r="N12" s="20" t="n">
        <v>0.12777322</v>
      </c>
      <c r="O12" s="18" t="n">
        <v>0</v>
      </c>
      <c r="P12" s="20" t="n">
        <v>0</v>
      </c>
      <c r="Q12" s="18" t="n">
        <v>0</v>
      </c>
      <c r="R12" s="20" t="n">
        <v>0</v>
      </c>
    </row>
    <row r="13" spans="1:18">
      <c r="A13" s="15" t="s">
        <v>571</v>
      </c>
      <c r="B13" s="17" t="n">
        <v>7161</v>
      </c>
      <c r="C13" s="18">
        <f>(6469.0/B13*100)</f>
        <v/>
      </c>
      <c r="D13" s="19" t="n">
        <v>692</v>
      </c>
      <c r="E13" s="18" t="n">
        <v>49.3160709</v>
      </c>
      <c r="F13" s="20" t="n">
        <v>2.14536381</v>
      </c>
      <c r="G13" s="18" t="n">
        <v>47.60996436</v>
      </c>
      <c r="H13" s="20" t="n">
        <v>2.20797357</v>
      </c>
      <c r="I13" s="18" t="n">
        <v>0</v>
      </c>
      <c r="J13" s="20" t="n">
        <v>0</v>
      </c>
      <c r="K13" s="18" t="n">
        <v>3.03889556</v>
      </c>
      <c r="L13" s="20" t="n">
        <v>0.80762341</v>
      </c>
      <c r="M13" s="18" t="n">
        <v>0.03506917</v>
      </c>
      <c r="N13" s="20" t="n">
        <v>0.03523383</v>
      </c>
      <c r="O13" s="18" t="n">
        <v>0</v>
      </c>
      <c r="P13" s="20" t="n">
        <v>0</v>
      </c>
      <c r="Q13" s="18" t="n">
        <v>0</v>
      </c>
      <c r="R13" s="20" t="n">
        <v>0</v>
      </c>
    </row>
    <row r="14" spans="1:18">
      <c r="A14" s="15" t="s">
        <v>572</v>
      </c>
      <c r="B14" s="17" t="n">
        <v>5587</v>
      </c>
      <c r="C14" s="18">
        <f>(4945.0/B14*100)</f>
        <v/>
      </c>
      <c r="D14" s="19" t="n">
        <v>642</v>
      </c>
      <c r="E14" s="18" t="n">
        <v>48.25180365</v>
      </c>
      <c r="F14" s="20" t="n">
        <v>2.14577586</v>
      </c>
      <c r="G14" s="18" t="n">
        <v>49.22691765</v>
      </c>
      <c r="H14" s="20" t="n">
        <v>2.07940428</v>
      </c>
      <c r="I14" s="18" t="n">
        <v>0</v>
      </c>
      <c r="J14" s="20" t="n">
        <v>0</v>
      </c>
      <c r="K14" s="18" t="n">
        <v>2.5212787</v>
      </c>
      <c r="L14" s="20" t="n">
        <v>0.64239601</v>
      </c>
      <c r="M14" s="18" t="n">
        <v>0</v>
      </c>
      <c r="N14" s="20" t="n">
        <v>0</v>
      </c>
      <c r="O14" s="18" t="n">
        <v>0</v>
      </c>
      <c r="P14" s="20" t="n">
        <v>0</v>
      </c>
      <c r="Q14" s="18" t="n">
        <v>0</v>
      </c>
      <c r="R14" s="20" t="n">
        <v>0</v>
      </c>
    </row>
    <row r="15" spans="1:18">
      <c r="A15" s="15" t="s">
        <v>573</v>
      </c>
      <c r="B15" s="17" t="n">
        <v>5882</v>
      </c>
      <c r="C15" s="18">
        <f>(5245.0/B15*100)</f>
        <v/>
      </c>
      <c r="D15" s="19" t="n">
        <v>637</v>
      </c>
      <c r="E15" s="18" t="n">
        <v>42.95442608</v>
      </c>
      <c r="F15" s="20" t="n">
        <v>2.16064851</v>
      </c>
      <c r="G15" s="18" t="n">
        <v>52.62581746</v>
      </c>
      <c r="H15" s="20" t="n">
        <v>2.30195421</v>
      </c>
      <c r="I15" s="18" t="n">
        <v>0</v>
      </c>
      <c r="J15" s="20" t="n">
        <v>0</v>
      </c>
      <c r="K15" s="18" t="n">
        <v>4.41975646</v>
      </c>
      <c r="L15" s="20" t="n">
        <v>0.82088503</v>
      </c>
      <c r="M15" s="18" t="n">
        <v>0</v>
      </c>
      <c r="N15" s="20" t="n">
        <v>0</v>
      </c>
      <c r="O15" s="18" t="n">
        <v>0</v>
      </c>
      <c r="P15" s="20" t="n">
        <v>0</v>
      </c>
      <c r="Q15" s="18" t="n">
        <v>0</v>
      </c>
      <c r="R15" s="20" t="n">
        <v>0</v>
      </c>
    </row>
    <row r="16" spans="1:18">
      <c r="A16" s="15" t="s">
        <v>574</v>
      </c>
      <c r="B16" s="17" t="n">
        <v>6108</v>
      </c>
      <c r="C16" s="18">
        <f>(5417.0/B16*100)</f>
        <v/>
      </c>
      <c r="D16" s="19" t="n">
        <v>691</v>
      </c>
      <c r="E16" s="18" t="n">
        <v>51.38393636</v>
      </c>
      <c r="F16" s="20" t="n">
        <v>1.88975186</v>
      </c>
      <c r="G16" s="18" t="n">
        <v>40.5409309</v>
      </c>
      <c r="H16" s="20" t="n">
        <v>1.79240578</v>
      </c>
      <c r="I16" s="18" t="n">
        <v>0</v>
      </c>
      <c r="J16" s="20" t="n">
        <v>0</v>
      </c>
      <c r="K16" s="18" t="n">
        <v>8.075132740000001</v>
      </c>
      <c r="L16" s="20" t="n">
        <v>1.23866224</v>
      </c>
      <c r="M16" s="18" t="n">
        <v>0</v>
      </c>
      <c r="N16" s="20" t="n">
        <v>0</v>
      </c>
      <c r="O16" s="18" t="n">
        <v>0</v>
      </c>
      <c r="P16" s="20" t="n">
        <v>0</v>
      </c>
      <c r="Q16" s="18" t="n">
        <v>0</v>
      </c>
      <c r="R16" s="20" t="n">
        <v>0</v>
      </c>
    </row>
    <row r="17" spans="1:18">
      <c r="A17" s="15" t="s">
        <v>575</v>
      </c>
      <c r="B17" s="17" t="n">
        <v>6504</v>
      </c>
      <c r="C17" s="18">
        <f>(5838.0/B17*100)</f>
        <v/>
      </c>
      <c r="D17" s="19" t="n">
        <v>666</v>
      </c>
      <c r="E17" s="18" t="n">
        <v>47.96720189</v>
      </c>
      <c r="F17" s="20" t="n">
        <v>2.16425099</v>
      </c>
      <c r="G17" s="18" t="n">
        <v>47.22732973</v>
      </c>
      <c r="H17" s="20" t="n">
        <v>2.31143872</v>
      </c>
      <c r="I17" s="18" t="n">
        <v>0</v>
      </c>
      <c r="J17" s="20" t="n">
        <v>0</v>
      </c>
      <c r="K17" s="18" t="n">
        <v>4.67560598</v>
      </c>
      <c r="L17" s="20" t="n">
        <v>0.93521906</v>
      </c>
      <c r="M17" s="18" t="n">
        <v>0.12986239</v>
      </c>
      <c r="N17" s="20" t="n">
        <v>0.12957236</v>
      </c>
      <c r="O17" s="18" t="n">
        <v>0</v>
      </c>
      <c r="P17" s="20" t="n">
        <v>0</v>
      </c>
      <c r="Q17" s="18" t="n">
        <v>0</v>
      </c>
      <c r="R17" s="20" t="n">
        <v>0</v>
      </c>
    </row>
    <row r="18" spans="1:18">
      <c r="A18" s="15" t="s">
        <v>576</v>
      </c>
      <c r="B18" s="17" t="n">
        <v>5532</v>
      </c>
      <c r="C18" s="18">
        <f>(4915.0/B18*100)</f>
        <v/>
      </c>
      <c r="D18" s="19" t="n">
        <v>617</v>
      </c>
      <c r="E18" s="18" t="n">
        <v>66.24999683</v>
      </c>
      <c r="F18" s="20" t="n">
        <v>2.16350317</v>
      </c>
      <c r="G18" s="18" t="n">
        <v>27.98305912</v>
      </c>
      <c r="H18" s="20" t="n">
        <v>1.97043214</v>
      </c>
      <c r="I18" s="18" t="n">
        <v>0</v>
      </c>
      <c r="J18" s="20" t="n">
        <v>0</v>
      </c>
      <c r="K18" s="18" t="n">
        <v>5.76694405</v>
      </c>
      <c r="L18" s="20" t="n">
        <v>1.41499247</v>
      </c>
      <c r="M18" s="18" t="n">
        <v>0</v>
      </c>
      <c r="N18" s="20" t="n">
        <v>0</v>
      </c>
      <c r="O18" s="18" t="n">
        <v>0</v>
      </c>
      <c r="P18" s="20" t="n">
        <v>0</v>
      </c>
      <c r="Q18" s="18" t="n">
        <v>0</v>
      </c>
      <c r="R18" s="20" t="n">
        <v>0</v>
      </c>
    </row>
    <row r="19" spans="1:18">
      <c r="A19" s="15" t="s">
        <v>577</v>
      </c>
      <c r="B19" s="17" t="n">
        <v>5658</v>
      </c>
      <c r="C19" s="18">
        <f>(5085.0/B19*100)</f>
        <v/>
      </c>
      <c r="D19" s="19" t="n">
        <v>573</v>
      </c>
      <c r="E19" s="18" t="n">
        <v>60.13092772</v>
      </c>
      <c r="F19" s="20" t="n">
        <v>2.18041307</v>
      </c>
      <c r="G19" s="18" t="n">
        <v>34.33047401</v>
      </c>
      <c r="H19" s="20" t="n">
        <v>1.98088734</v>
      </c>
      <c r="I19" s="18" t="n">
        <v>0</v>
      </c>
      <c r="J19" s="20" t="n">
        <v>0</v>
      </c>
      <c r="K19" s="18" t="n">
        <v>5.53859828</v>
      </c>
      <c r="L19" s="20" t="n">
        <v>1.14967328</v>
      </c>
      <c r="M19" s="18" t="n">
        <v>0</v>
      </c>
      <c r="N19" s="20" t="n">
        <v>0</v>
      </c>
      <c r="O19" s="18" t="n">
        <v>0</v>
      </c>
      <c r="P19" s="20" t="n">
        <v>0</v>
      </c>
      <c r="Q19" s="18" t="n">
        <v>0</v>
      </c>
      <c r="R19" s="20" t="n">
        <v>0</v>
      </c>
    </row>
    <row r="20" spans="1:18">
      <c r="A20" s="15" t="s">
        <v>578</v>
      </c>
      <c r="B20" s="17" t="n">
        <v>3371</v>
      </c>
      <c r="C20" s="18">
        <f>(3011.0/B20*100)</f>
        <v/>
      </c>
      <c r="D20" s="19" t="n">
        <v>360</v>
      </c>
      <c r="E20" s="18" t="n">
        <v>45.06271118</v>
      </c>
      <c r="F20" s="20" t="n">
        <v>2.21901552</v>
      </c>
      <c r="G20" s="18" t="n">
        <v>43.03151554</v>
      </c>
      <c r="H20" s="20" t="n">
        <v>2.57411943</v>
      </c>
      <c r="I20" s="18" t="n">
        <v>0</v>
      </c>
      <c r="J20" s="20" t="n">
        <v>0</v>
      </c>
      <c r="K20" s="18" t="n">
        <v>10.29738027</v>
      </c>
      <c r="L20" s="20" t="n">
        <v>1.61251333</v>
      </c>
      <c r="M20" s="18" t="n">
        <v>1.60839302</v>
      </c>
      <c r="N20" s="20" t="n">
        <v>0.45120923</v>
      </c>
      <c r="O20" s="18" t="n">
        <v>0</v>
      </c>
      <c r="P20" s="20" t="n">
        <v>0</v>
      </c>
      <c r="Q20" s="18" t="n">
        <v>0</v>
      </c>
      <c r="R20" s="20" t="n">
        <v>0</v>
      </c>
    </row>
    <row r="21" spans="1:18">
      <c r="A21" s="15" t="s">
        <v>579</v>
      </c>
      <c r="B21" s="17" t="n">
        <v>5741</v>
      </c>
      <c r="C21" s="18">
        <f>(5132.0/B21*100)</f>
        <v/>
      </c>
      <c r="D21" s="19" t="n">
        <v>609</v>
      </c>
      <c r="E21" s="18" t="n">
        <v>55.28794904</v>
      </c>
      <c r="F21" s="20" t="n">
        <v>2.06094796</v>
      </c>
      <c r="G21" s="18" t="n">
        <v>41.31393504</v>
      </c>
      <c r="H21" s="20" t="n">
        <v>2.03156001</v>
      </c>
      <c r="I21" s="18" t="n">
        <v>0</v>
      </c>
      <c r="J21" s="20" t="n">
        <v>0</v>
      </c>
      <c r="K21" s="18" t="n">
        <v>3.39811592</v>
      </c>
      <c r="L21" s="20" t="n">
        <v>0.72866792</v>
      </c>
      <c r="M21" s="18" t="n">
        <v>0</v>
      </c>
      <c r="N21" s="20" t="n">
        <v>0</v>
      </c>
      <c r="O21" s="18" t="n">
        <v>0</v>
      </c>
      <c r="P21" s="20" t="n">
        <v>0</v>
      </c>
      <c r="Q21" s="18" t="n">
        <v>0</v>
      </c>
      <c r="R21" s="20" t="n">
        <v>0</v>
      </c>
    </row>
    <row r="22" spans="1:18">
      <c r="A22" s="15" t="s">
        <v>580</v>
      </c>
      <c r="B22" s="17" t="n">
        <v>6598</v>
      </c>
      <c r="C22" s="18">
        <f>(5939.0/B22*100)</f>
        <v/>
      </c>
      <c r="D22" s="19" t="n">
        <v>659</v>
      </c>
      <c r="E22" s="18" t="n">
        <v>60.07919656</v>
      </c>
      <c r="F22" s="20" t="n">
        <v>1.53138934</v>
      </c>
      <c r="G22" s="18" t="n">
        <v>32.19460912</v>
      </c>
      <c r="H22" s="20" t="n">
        <v>1.89176801</v>
      </c>
      <c r="I22" s="18" t="n">
        <v>0</v>
      </c>
      <c r="J22" s="20" t="n">
        <v>0</v>
      </c>
      <c r="K22" s="18" t="n">
        <v>7.72619432</v>
      </c>
      <c r="L22" s="20" t="n">
        <v>1.21687069</v>
      </c>
      <c r="M22" s="18" t="n">
        <v>0</v>
      </c>
      <c r="N22" s="20" t="n">
        <v>0</v>
      </c>
      <c r="O22" s="18" t="n">
        <v>0</v>
      </c>
      <c r="P22" s="20" t="n">
        <v>0</v>
      </c>
      <c r="Q22" s="18" t="n">
        <v>0</v>
      </c>
      <c r="R22" s="20" t="n">
        <v>0</v>
      </c>
    </row>
    <row r="23" spans="1:18">
      <c r="A23" s="15" t="s">
        <v>581</v>
      </c>
      <c r="B23" s="17" t="n">
        <v>11583</v>
      </c>
      <c r="C23" s="18">
        <f>(10344.0/B23*100)</f>
        <v/>
      </c>
      <c r="D23" s="19" t="n">
        <v>1239</v>
      </c>
      <c r="E23" s="18" t="n">
        <v>50.20571966</v>
      </c>
      <c r="F23" s="20" t="n">
        <v>2.01698598</v>
      </c>
      <c r="G23" s="18" t="n">
        <v>40.84653406</v>
      </c>
      <c r="H23" s="20" t="n">
        <v>2.09357469</v>
      </c>
      <c r="I23" s="18" t="n">
        <v>0</v>
      </c>
      <c r="J23" s="20" t="n">
        <v>0</v>
      </c>
      <c r="K23" s="18" t="n">
        <v>8.94774628</v>
      </c>
      <c r="L23" s="20" t="n">
        <v>1.51140825</v>
      </c>
      <c r="M23" s="18" t="n">
        <v>0</v>
      </c>
      <c r="N23" s="20" t="n">
        <v>0</v>
      </c>
      <c r="O23" s="18" t="n">
        <v>0</v>
      </c>
      <c r="P23" s="20" t="n">
        <v>0</v>
      </c>
      <c r="Q23" s="18" t="n">
        <v>0</v>
      </c>
      <c r="R23" s="20" t="n">
        <v>0</v>
      </c>
    </row>
    <row r="24" spans="1:18">
      <c r="A24" s="15" t="s">
        <v>582</v>
      </c>
      <c r="B24" s="17" t="n">
        <v>6647</v>
      </c>
      <c r="C24" s="18">
        <f>(5951.0/B24*100)</f>
        <v/>
      </c>
      <c r="D24" s="19" t="n">
        <v>696</v>
      </c>
      <c r="E24" s="18" t="n">
        <v>26.09629744</v>
      </c>
      <c r="F24" s="20" t="n">
        <v>1.80086094</v>
      </c>
      <c r="G24" s="18" t="n">
        <v>72.05617365000001</v>
      </c>
      <c r="H24" s="20" t="n">
        <v>1.90784149</v>
      </c>
      <c r="I24" s="18" t="n">
        <v>0</v>
      </c>
      <c r="J24" s="20" t="n">
        <v>0</v>
      </c>
      <c r="K24" s="18" t="n">
        <v>1.84752892</v>
      </c>
      <c r="L24" s="20" t="n">
        <v>0.52128014</v>
      </c>
      <c r="M24" s="18" t="n">
        <v>0</v>
      </c>
      <c r="N24" s="20" t="n">
        <v>0</v>
      </c>
      <c r="O24" s="18" t="n">
        <v>0</v>
      </c>
      <c r="P24" s="20" t="n">
        <v>0</v>
      </c>
      <c r="Q24" s="18" t="n">
        <v>0</v>
      </c>
      <c r="R24" s="20" t="n">
        <v>0</v>
      </c>
    </row>
    <row r="25" spans="1:18">
      <c r="A25" s="15" t="s">
        <v>583</v>
      </c>
      <c r="B25" s="17" t="n">
        <v>5581</v>
      </c>
      <c r="C25" s="18">
        <f>(4968.0/B25*100)</f>
        <v/>
      </c>
      <c r="D25" s="19" t="n">
        <v>613</v>
      </c>
      <c r="E25" s="18" t="n">
        <v>45.93139573</v>
      </c>
      <c r="F25" s="20" t="n">
        <v>1.96211199</v>
      </c>
      <c r="G25" s="18" t="n">
        <v>50.14075613</v>
      </c>
      <c r="H25" s="20" t="n">
        <v>1.85664578</v>
      </c>
      <c r="I25" s="18" t="n">
        <v>0</v>
      </c>
      <c r="J25" s="20" t="n">
        <v>0</v>
      </c>
      <c r="K25" s="18" t="n">
        <v>3.92784814</v>
      </c>
      <c r="L25" s="20" t="n">
        <v>0.74140418</v>
      </c>
      <c r="M25" s="18" t="n">
        <v>0</v>
      </c>
      <c r="N25" s="20" t="n">
        <v>0</v>
      </c>
      <c r="O25" s="18" t="n">
        <v>0</v>
      </c>
      <c r="P25" s="20" t="n">
        <v>0</v>
      </c>
      <c r="Q25" s="18" t="n">
        <v>0</v>
      </c>
      <c r="R25" s="20" t="n">
        <v>0</v>
      </c>
    </row>
    <row r="26" spans="1:18">
      <c r="A26" s="15" t="s">
        <v>584</v>
      </c>
      <c r="B26" s="17" t="n">
        <v>4869</v>
      </c>
      <c r="C26" s="18">
        <f>(4313.0/B26*100)</f>
        <v/>
      </c>
      <c r="D26" s="19" t="n">
        <v>556</v>
      </c>
      <c r="E26" s="18" t="n">
        <v>57.83206753</v>
      </c>
      <c r="F26" s="20" t="n">
        <v>2.44056505</v>
      </c>
      <c r="G26" s="18" t="n">
        <v>39.43785215</v>
      </c>
      <c r="H26" s="20" t="n">
        <v>2.31138636</v>
      </c>
      <c r="I26" s="18" t="n">
        <v>0</v>
      </c>
      <c r="J26" s="20" t="n">
        <v>0</v>
      </c>
      <c r="K26" s="18" t="n">
        <v>2.56814669</v>
      </c>
      <c r="L26" s="20" t="n">
        <v>0.81937929</v>
      </c>
      <c r="M26" s="18" t="n">
        <v>0.16193364</v>
      </c>
      <c r="N26" s="20" t="n">
        <v>0.16264817</v>
      </c>
      <c r="O26" s="18" t="n">
        <v>0</v>
      </c>
      <c r="P26" s="20" t="n">
        <v>0</v>
      </c>
      <c r="Q26" s="18" t="n">
        <v>0</v>
      </c>
      <c r="R26" s="20" t="n">
        <v>0</v>
      </c>
    </row>
    <row r="27" spans="1:18">
      <c r="A27" s="15" t="s">
        <v>585</v>
      </c>
      <c r="B27" s="17" t="n">
        <v>5299</v>
      </c>
      <c r="C27" s="18">
        <f>(4711.0/B27*100)</f>
        <v/>
      </c>
      <c r="D27" s="19" t="n">
        <v>588</v>
      </c>
      <c r="E27" s="18" t="n">
        <v>49.98124755</v>
      </c>
      <c r="F27" s="20" t="n">
        <v>2.01899298</v>
      </c>
      <c r="G27" s="18" t="n">
        <v>46.8922571</v>
      </c>
      <c r="H27" s="20" t="n">
        <v>2.00275872</v>
      </c>
      <c r="I27" s="18" t="n">
        <v>0</v>
      </c>
      <c r="J27" s="20" t="n">
        <v>0</v>
      </c>
      <c r="K27" s="18" t="n">
        <v>3.12649535</v>
      </c>
      <c r="L27" s="20" t="n">
        <v>0.73952823</v>
      </c>
      <c r="M27" s="18" t="n">
        <v>0</v>
      </c>
      <c r="N27" s="20" t="n">
        <v>0</v>
      </c>
      <c r="O27" s="18" t="n">
        <v>0</v>
      </c>
      <c r="P27" s="20" t="n">
        <v>0</v>
      </c>
      <c r="Q27" s="18" t="n">
        <v>0</v>
      </c>
      <c r="R27" s="20" t="n">
        <v>0</v>
      </c>
    </row>
    <row r="28" spans="1:18">
      <c r="A28" s="15" t="s">
        <v>586</v>
      </c>
      <c r="B28" s="17" t="n">
        <v>7568</v>
      </c>
      <c r="C28" s="18">
        <f>(6832.0/B28*100)</f>
        <v/>
      </c>
      <c r="D28" s="19" t="n">
        <v>736</v>
      </c>
      <c r="E28" s="18" t="n">
        <v>69.36968505999999</v>
      </c>
      <c r="F28" s="20" t="n">
        <v>1.62328574</v>
      </c>
      <c r="G28" s="18" t="n">
        <v>25.21806508</v>
      </c>
      <c r="H28" s="20" t="n">
        <v>1.50903748</v>
      </c>
      <c r="I28" s="18" t="n">
        <v>0</v>
      </c>
      <c r="J28" s="20" t="n">
        <v>0</v>
      </c>
      <c r="K28" s="18" t="n">
        <v>5.19295575</v>
      </c>
      <c r="L28" s="20" t="n">
        <v>0.82061481</v>
      </c>
      <c r="M28" s="18" t="n">
        <v>0.21929411</v>
      </c>
      <c r="N28" s="20" t="n">
        <v>0.21840775</v>
      </c>
      <c r="O28" s="18" t="n">
        <v>0</v>
      </c>
      <c r="P28" s="20" t="n">
        <v>0</v>
      </c>
      <c r="Q28" s="18" t="n">
        <v>0</v>
      </c>
      <c r="R28" s="20" t="n">
        <v>0</v>
      </c>
    </row>
    <row r="29" spans="1:18">
      <c r="A29" s="15" t="s">
        <v>587</v>
      </c>
      <c r="B29" s="17" t="n">
        <v>5385</v>
      </c>
      <c r="C29" s="18">
        <f>(4851.0/B29*100)</f>
        <v/>
      </c>
      <c r="D29" s="19" t="n">
        <v>534</v>
      </c>
      <c r="E29" s="18" t="n">
        <v>55.08756178</v>
      </c>
      <c r="F29" s="20" t="n">
        <v>2.15432843</v>
      </c>
      <c r="G29" s="18" t="n">
        <v>42.24928576</v>
      </c>
      <c r="H29" s="20" t="n">
        <v>2.22279406</v>
      </c>
      <c r="I29" s="18" t="n">
        <v>0</v>
      </c>
      <c r="J29" s="20" t="n">
        <v>0</v>
      </c>
      <c r="K29" s="18" t="n">
        <v>2.66315246</v>
      </c>
      <c r="L29" s="20" t="n">
        <v>0.67714916</v>
      </c>
      <c r="M29" s="18" t="n">
        <v>0</v>
      </c>
      <c r="N29" s="20" t="n">
        <v>0</v>
      </c>
      <c r="O29" s="18" t="n">
        <v>0</v>
      </c>
      <c r="P29" s="20" t="n">
        <v>0</v>
      </c>
      <c r="Q29" s="18" t="n">
        <v>0</v>
      </c>
      <c r="R29" s="20" t="n">
        <v>0</v>
      </c>
    </row>
    <row r="30" spans="1:18">
      <c r="A30" s="15" t="s">
        <v>588</v>
      </c>
      <c r="B30" s="17" t="n">
        <v>4520</v>
      </c>
      <c r="C30" s="18">
        <f>(4033.0/B30*100)</f>
        <v/>
      </c>
      <c r="D30" s="19" t="n">
        <v>487</v>
      </c>
      <c r="E30" s="18" t="n">
        <v>50.39515438</v>
      </c>
      <c r="F30" s="20" t="n">
        <v>2.08893144</v>
      </c>
      <c r="G30" s="18" t="n">
        <v>43.44867311</v>
      </c>
      <c r="H30" s="20" t="n">
        <v>1.91385365</v>
      </c>
      <c r="I30" s="18" t="n">
        <v>0</v>
      </c>
      <c r="J30" s="20" t="n">
        <v>0</v>
      </c>
      <c r="K30" s="18" t="n">
        <v>6.15617251</v>
      </c>
      <c r="L30" s="20" t="n">
        <v>1.08049215</v>
      </c>
      <c r="M30" s="18" t="n">
        <v>0</v>
      </c>
      <c r="N30" s="20" t="n">
        <v>0</v>
      </c>
      <c r="O30" s="18" t="n">
        <v>0</v>
      </c>
      <c r="P30" s="20" t="n">
        <v>0</v>
      </c>
      <c r="Q30" s="18" t="n">
        <v>0</v>
      </c>
      <c r="R30" s="20" t="n">
        <v>0</v>
      </c>
    </row>
    <row r="31" spans="1:18">
      <c r="A31" s="15" t="s">
        <v>589</v>
      </c>
      <c r="B31" s="17" t="n">
        <v>5456</v>
      </c>
      <c r="C31" s="18">
        <f>(4860.0/B31*100)</f>
        <v/>
      </c>
      <c r="D31" s="19" t="n">
        <v>596</v>
      </c>
      <c r="E31" s="18" t="n">
        <v>52.70618489</v>
      </c>
      <c r="F31" s="20" t="n">
        <v>2.07757559</v>
      </c>
      <c r="G31" s="18" t="n">
        <v>41.05463245</v>
      </c>
      <c r="H31" s="20" t="n">
        <v>2.12756552</v>
      </c>
      <c r="I31" s="18" t="n">
        <v>0</v>
      </c>
      <c r="J31" s="20" t="n">
        <v>0</v>
      </c>
      <c r="K31" s="18" t="n">
        <v>5.89157547</v>
      </c>
      <c r="L31" s="20" t="n">
        <v>1.01224359</v>
      </c>
      <c r="M31" s="18" t="n">
        <v>0.3476072</v>
      </c>
      <c r="N31" s="20" t="n">
        <v>0.37510426</v>
      </c>
      <c r="O31" s="18" t="n">
        <v>0</v>
      </c>
      <c r="P31" s="20" t="n">
        <v>0</v>
      </c>
      <c r="Q31" s="18" t="n">
        <v>0</v>
      </c>
      <c r="R31" s="20" t="n">
        <v>0</v>
      </c>
    </row>
    <row r="32" spans="1:18">
      <c r="A32" s="15" t="s">
        <v>590</v>
      </c>
      <c r="B32" s="17" t="n">
        <v>4478</v>
      </c>
      <c r="C32" s="18">
        <f>(4004.0/B32*100)</f>
        <v/>
      </c>
      <c r="D32" s="19" t="n">
        <v>474</v>
      </c>
      <c r="E32" s="18" t="n">
        <v>60.71068791</v>
      </c>
      <c r="F32" s="20" t="n">
        <v>2.38731257</v>
      </c>
      <c r="G32" s="18" t="n">
        <v>36.73252617</v>
      </c>
      <c r="H32" s="20" t="n">
        <v>2.26927355</v>
      </c>
      <c r="I32" s="18" t="n">
        <v>0</v>
      </c>
      <c r="J32" s="20" t="n">
        <v>0</v>
      </c>
      <c r="K32" s="18" t="n">
        <v>2.55678592</v>
      </c>
      <c r="L32" s="20" t="n">
        <v>0.68773315</v>
      </c>
      <c r="M32" s="18" t="n">
        <v>0</v>
      </c>
      <c r="N32" s="20" t="n">
        <v>0</v>
      </c>
      <c r="O32" s="18" t="n">
        <v>0</v>
      </c>
      <c r="P32" s="20" t="n">
        <v>0</v>
      </c>
      <c r="Q32" s="18" t="n">
        <v>0</v>
      </c>
      <c r="R32" s="20" t="n">
        <v>0</v>
      </c>
    </row>
    <row r="33" spans="1:18">
      <c r="A33" s="15" t="s">
        <v>591</v>
      </c>
      <c r="B33" s="17" t="n">
        <v>7325</v>
      </c>
      <c r="C33" s="18">
        <f>(6553.0/B33*100)</f>
        <v/>
      </c>
      <c r="D33" s="19" t="n">
        <v>772</v>
      </c>
      <c r="E33" s="18" t="n">
        <v>54.81865388</v>
      </c>
      <c r="F33" s="20" t="n">
        <v>1.90856266</v>
      </c>
      <c r="G33" s="18" t="n">
        <v>43.18847877</v>
      </c>
      <c r="H33" s="20" t="n">
        <v>1.96114083</v>
      </c>
      <c r="I33" s="18" t="n">
        <v>0</v>
      </c>
      <c r="J33" s="20" t="n">
        <v>0</v>
      </c>
      <c r="K33" s="18" t="n">
        <v>1.70149331</v>
      </c>
      <c r="L33" s="20" t="n">
        <v>0.41127118</v>
      </c>
      <c r="M33" s="18" t="n">
        <v>0.29137404</v>
      </c>
      <c r="N33" s="20" t="n">
        <v>0.29011373</v>
      </c>
      <c r="O33" s="18" t="n">
        <v>0</v>
      </c>
      <c r="P33" s="20" t="n">
        <v>0</v>
      </c>
      <c r="Q33" s="18" t="n">
        <v>0</v>
      </c>
      <c r="R33" s="20" t="n">
        <v>0</v>
      </c>
    </row>
    <row r="34" spans="1:18">
      <c r="A34" s="15" t="s">
        <v>592</v>
      </c>
      <c r="B34" s="17" t="n">
        <v>6350</v>
      </c>
      <c r="C34" s="18">
        <f>(5683.0/B34*100)</f>
        <v/>
      </c>
      <c r="D34" s="19" t="n">
        <v>667</v>
      </c>
      <c r="E34" s="18" t="n">
        <v>55.36051042</v>
      </c>
      <c r="F34" s="20" t="n">
        <v>1.95029572</v>
      </c>
      <c r="G34" s="18" t="n">
        <v>40.68338483</v>
      </c>
      <c r="H34" s="20" t="n">
        <v>1.93923708</v>
      </c>
      <c r="I34" s="18" t="n">
        <v>0</v>
      </c>
      <c r="J34" s="20" t="n">
        <v>0</v>
      </c>
      <c r="K34" s="18" t="n">
        <v>3.66463717</v>
      </c>
      <c r="L34" s="20" t="n">
        <v>0.76485865</v>
      </c>
      <c r="M34" s="18" t="n">
        <v>0.29146758</v>
      </c>
      <c r="N34" s="20" t="n">
        <v>0.2034971</v>
      </c>
      <c r="O34" s="18" t="n">
        <v>0</v>
      </c>
      <c r="P34" s="20" t="n">
        <v>0</v>
      </c>
      <c r="Q34" s="18" t="n">
        <v>0</v>
      </c>
      <c r="R34" s="20" t="n">
        <v>0</v>
      </c>
    </row>
    <row r="35" spans="1:18">
      <c r="A35" s="15" t="s">
        <v>593</v>
      </c>
      <c r="B35" s="17" t="n">
        <v>6406</v>
      </c>
      <c r="C35" s="18">
        <f>(5721.0/B35*100)</f>
        <v/>
      </c>
      <c r="D35" s="19" t="n">
        <v>685</v>
      </c>
      <c r="E35" s="18" t="n">
        <v>47.62290037</v>
      </c>
      <c r="F35" s="20" t="n">
        <v>2.14312168</v>
      </c>
      <c r="G35" s="18" t="n">
        <v>50.96190449</v>
      </c>
      <c r="H35" s="20" t="n">
        <v>2.11208692</v>
      </c>
      <c r="I35" s="18" t="n">
        <v>0</v>
      </c>
      <c r="J35" s="20" t="n">
        <v>0</v>
      </c>
      <c r="K35" s="18" t="n">
        <v>1.41519513</v>
      </c>
      <c r="L35" s="20" t="n">
        <v>0.39005983</v>
      </c>
      <c r="M35" s="18" t="n">
        <v>0</v>
      </c>
      <c r="N35" s="20" t="n">
        <v>0</v>
      </c>
      <c r="O35" s="18" t="n">
        <v>0</v>
      </c>
      <c r="P35" s="20" t="n">
        <v>0</v>
      </c>
      <c r="Q35" s="18" t="n">
        <v>0</v>
      </c>
      <c r="R35" s="20" t="n">
        <v>0</v>
      </c>
    </row>
    <row r="36" spans="1:18">
      <c r="A36" s="15" t="s">
        <v>594</v>
      </c>
      <c r="B36" s="17" t="n">
        <v>6736</v>
      </c>
      <c r="C36" s="18">
        <f>(5961.0/B36*100)</f>
        <v/>
      </c>
      <c r="D36" s="19" t="n">
        <v>775</v>
      </c>
      <c r="E36" s="18" t="n">
        <v>54.9822813</v>
      </c>
      <c r="F36" s="20" t="n">
        <v>1.86932574</v>
      </c>
      <c r="G36" s="18" t="n">
        <v>40.54438614</v>
      </c>
      <c r="H36" s="20" t="n">
        <v>1.97178144</v>
      </c>
      <c r="I36" s="18" t="n">
        <v>0</v>
      </c>
      <c r="J36" s="20" t="n">
        <v>0</v>
      </c>
      <c r="K36" s="18" t="n">
        <v>4.3504659</v>
      </c>
      <c r="L36" s="20" t="n">
        <v>0.82486417</v>
      </c>
      <c r="M36" s="18" t="n">
        <v>0.12286667</v>
      </c>
      <c r="N36" s="20" t="n">
        <v>0.1215336</v>
      </c>
      <c r="O36" s="18" t="n">
        <v>0</v>
      </c>
      <c r="P36" s="20" t="n">
        <v>0</v>
      </c>
      <c r="Q36" s="18" t="n">
        <v>0</v>
      </c>
      <c r="R36" s="20" t="n">
        <v>0</v>
      </c>
    </row>
    <row r="37" spans="1:18">
      <c r="A37" s="15" t="s">
        <v>595</v>
      </c>
      <c r="B37" s="17" t="n">
        <v>5458</v>
      </c>
      <c r="C37" s="18">
        <f>(4881.0/B37*100)</f>
        <v/>
      </c>
      <c r="D37" s="19" t="n">
        <v>577</v>
      </c>
      <c r="E37" s="18" t="n">
        <v>48.68261121</v>
      </c>
      <c r="F37" s="20" t="n">
        <v>2.32816229</v>
      </c>
      <c r="G37" s="18" t="n">
        <v>41.8440521</v>
      </c>
      <c r="H37" s="20" t="n">
        <v>2.43517693</v>
      </c>
      <c r="I37" s="18" t="n">
        <v>0</v>
      </c>
      <c r="J37" s="20" t="n">
        <v>0</v>
      </c>
      <c r="K37" s="18" t="n">
        <v>9.189296479999999</v>
      </c>
      <c r="L37" s="20" t="n">
        <v>1.41170419</v>
      </c>
      <c r="M37" s="18" t="n">
        <v>0.2840402</v>
      </c>
      <c r="N37" s="20" t="n">
        <v>0.28804626</v>
      </c>
      <c r="O37" s="18" t="n">
        <v>0</v>
      </c>
      <c r="P37" s="20" t="n">
        <v>0</v>
      </c>
      <c r="Q37" s="18" t="n">
        <v>0</v>
      </c>
      <c r="R37" s="20" t="n">
        <v>0</v>
      </c>
    </row>
    <row r="38" spans="1:18">
      <c r="A38" s="15" t="s">
        <v>596</v>
      </c>
      <c r="B38" s="17" t="n">
        <v>5860</v>
      </c>
      <c r="C38" s="18">
        <f>(5222.0/B38*100)</f>
        <v/>
      </c>
      <c r="D38" s="19" t="n">
        <v>638</v>
      </c>
      <c r="E38" s="18" t="n">
        <v>39.70879621</v>
      </c>
      <c r="F38" s="20" t="n">
        <v>1.93627166</v>
      </c>
      <c r="G38" s="18" t="n">
        <v>50.67770873</v>
      </c>
      <c r="H38" s="20" t="n">
        <v>1.90518978</v>
      </c>
      <c r="I38" s="18" t="n">
        <v>0</v>
      </c>
      <c r="J38" s="20" t="n">
        <v>0</v>
      </c>
      <c r="K38" s="18" t="n">
        <v>4.65124749</v>
      </c>
      <c r="L38" s="20" t="n">
        <v>1.48373608</v>
      </c>
      <c r="M38" s="18" t="n">
        <v>4.96224756</v>
      </c>
      <c r="N38" s="20" t="n">
        <v>0.90330688</v>
      </c>
      <c r="O38" s="18" t="n">
        <v>0</v>
      </c>
      <c r="P38" s="20" t="n">
        <v>0</v>
      </c>
      <c r="Q38" s="18" t="n">
        <v>0</v>
      </c>
      <c r="R38" s="20" t="n">
        <v>0</v>
      </c>
    </row>
    <row r="39" spans="1:18">
      <c r="A39" s="15" t="s">
        <v>597</v>
      </c>
      <c r="B39" s="17" t="n">
        <v>5895</v>
      </c>
      <c r="C39" s="18">
        <f>(5282.0/B39*100)</f>
        <v/>
      </c>
      <c r="D39" s="19" t="n">
        <v>613</v>
      </c>
      <c r="E39" s="18" t="n">
        <v>82.23091175</v>
      </c>
      <c r="F39" s="20" t="n">
        <v>1.84281471</v>
      </c>
      <c r="G39" s="18" t="n">
        <v>12.78722677</v>
      </c>
      <c r="H39" s="20" t="n">
        <v>1.56707356</v>
      </c>
      <c r="I39" s="18" t="n">
        <v>0</v>
      </c>
      <c r="J39" s="20" t="n">
        <v>0</v>
      </c>
      <c r="K39" s="18" t="n">
        <v>4.98186147</v>
      </c>
      <c r="L39" s="20" t="n">
        <v>0.89175159</v>
      </c>
      <c r="M39" s="18" t="n">
        <v>0</v>
      </c>
      <c r="N39" s="20" t="n">
        <v>0</v>
      </c>
      <c r="O39" s="18" t="n">
        <v>0</v>
      </c>
      <c r="P39" s="20" t="n">
        <v>0</v>
      </c>
      <c r="Q39" s="18" t="n">
        <v>0</v>
      </c>
      <c r="R39" s="20" t="n">
        <v>0</v>
      </c>
    </row>
    <row r="40" spans="1:18">
      <c r="A40" s="15" t="s">
        <v>598</v>
      </c>
      <c r="B40" s="17" t="n">
        <v>14157</v>
      </c>
      <c r="C40" s="18">
        <f>(12567.0/B40*100)</f>
        <v/>
      </c>
      <c r="D40" s="19" t="n">
        <v>1590</v>
      </c>
      <c r="E40" s="18" t="n">
        <v>52.01630961</v>
      </c>
      <c r="F40" s="20" t="n">
        <v>2.09291913</v>
      </c>
      <c r="G40" s="18" t="n">
        <v>43.26226318</v>
      </c>
      <c r="H40" s="20" t="n">
        <v>1.98782207</v>
      </c>
      <c r="I40" s="18" t="n">
        <v>0</v>
      </c>
      <c r="J40" s="20" t="n">
        <v>0</v>
      </c>
      <c r="K40" s="18" t="n">
        <v>4.44997791</v>
      </c>
      <c r="L40" s="20" t="n">
        <v>0.78074735</v>
      </c>
      <c r="M40" s="18" t="n">
        <v>0.2714493</v>
      </c>
      <c r="N40" s="20" t="n">
        <v>0.1963812</v>
      </c>
      <c r="O40" s="18" t="n">
        <v>0</v>
      </c>
      <c r="P40" s="20" t="n">
        <v>0</v>
      </c>
      <c r="Q40" s="18" t="n">
        <v>0</v>
      </c>
      <c r="R40" s="20" t="n">
        <v>0</v>
      </c>
    </row>
    <row r="41" spans="1:18">
      <c r="A41" s="15" t="s">
        <v>599</v>
      </c>
      <c r="B41" s="17" t="n">
        <v>5712</v>
      </c>
      <c r="C41" s="18">
        <f>(5073.0/B41*100)</f>
        <v/>
      </c>
      <c r="D41" s="19" t="n">
        <v>639</v>
      </c>
      <c r="E41" s="18" t="n">
        <v>53.82568084</v>
      </c>
      <c r="F41" s="20" t="n">
        <v>2.1895525</v>
      </c>
      <c r="G41" s="18" t="n">
        <v>44.65247417</v>
      </c>
      <c r="H41" s="20" t="n">
        <v>2.3051531</v>
      </c>
      <c r="I41" s="18" t="n">
        <v>0</v>
      </c>
      <c r="J41" s="20" t="n">
        <v>0</v>
      </c>
      <c r="K41" s="18" t="n">
        <v>1.52184499</v>
      </c>
      <c r="L41" s="20" t="n">
        <v>0.47942075</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(21332.0/B46*100)</f>
        <v/>
      </c>
      <c r="D46" s="19" t="n">
        <v>1809</v>
      </c>
      <c r="E46" s="18" t="n">
        <v>74.1393747</v>
      </c>
      <c r="F46" s="20" t="n">
        <v>1.4929396</v>
      </c>
      <c r="G46" s="18" t="n">
        <v>12.46593543</v>
      </c>
      <c r="H46" s="20" t="n">
        <v>1.11318269</v>
      </c>
      <c r="I46" s="18" t="n">
        <v>0</v>
      </c>
      <c r="J46" s="20" t="n">
        <v>0</v>
      </c>
      <c r="K46" s="18" t="n">
        <v>13.23733798</v>
      </c>
      <c r="L46" s="20" t="n">
        <v>1.09479626</v>
      </c>
      <c r="M46" s="18" t="n">
        <v>0.15735188</v>
      </c>
      <c r="N46" s="20" t="n">
        <v>0.11061145</v>
      </c>
      <c r="O46" s="18" t="n">
        <v>0</v>
      </c>
      <c r="P46" s="20" t="n">
        <v>0</v>
      </c>
      <c r="Q46" s="18" t="n">
        <v>0</v>
      </c>
      <c r="R46" s="20" t="n">
        <v>0</v>
      </c>
    </row>
    <row r="47" spans="1:18">
      <c r="A47" s="15" t="s">
        <v>606</v>
      </c>
      <c r="B47" s="17" t="n">
        <v>5928</v>
      </c>
      <c r="C47" s="18">
        <f>(5290.0/B47*100)</f>
        <v/>
      </c>
      <c r="D47" s="19" t="n">
        <v>638</v>
      </c>
      <c r="E47" s="18" t="n">
        <v>59.8835683</v>
      </c>
      <c r="F47" s="20" t="n">
        <v>2.17167187</v>
      </c>
      <c r="G47" s="18" t="n">
        <v>33.07573263</v>
      </c>
      <c r="H47" s="20" t="n">
        <v>2.30390453</v>
      </c>
      <c r="I47" s="18" t="n">
        <v>0</v>
      </c>
      <c r="J47" s="20" t="n">
        <v>0</v>
      </c>
      <c r="K47" s="18" t="n">
        <v>6.88367468</v>
      </c>
      <c r="L47" s="20" t="n">
        <v>1.16560166</v>
      </c>
      <c r="M47" s="18" t="n">
        <v>0.15702438</v>
      </c>
      <c r="N47" s="20" t="n">
        <v>0.15039183</v>
      </c>
      <c r="O47" s="18" t="n">
        <v>0</v>
      </c>
      <c r="P47" s="20" t="n">
        <v>0</v>
      </c>
      <c r="Q47" s="18" t="n">
        <v>0</v>
      </c>
      <c r="R47" s="20" t="n">
        <v>0</v>
      </c>
    </row>
    <row r="48" spans="1:18">
      <c r="A48" s="15" t="s">
        <v>607</v>
      </c>
      <c r="B48" s="17" t="n">
        <v>9841</v>
      </c>
      <c r="C48" s="18">
        <f>(8759.0/B48*100)</f>
        <v/>
      </c>
      <c r="D48" s="19" t="n">
        <v>1082</v>
      </c>
      <c r="E48" s="18" t="n">
        <v>63.3914424</v>
      </c>
      <c r="F48" s="20" t="n">
        <v>2.28425999</v>
      </c>
      <c r="G48" s="18" t="n">
        <v>31.85310649</v>
      </c>
      <c r="H48" s="20" t="n">
        <v>2.17676134</v>
      </c>
      <c r="I48" s="18" t="n">
        <v>0</v>
      </c>
      <c r="J48" s="20" t="n">
        <v>0</v>
      </c>
      <c r="K48" s="18" t="n">
        <v>4.75545111</v>
      </c>
      <c r="L48" s="20" t="n">
        <v>0.84393321</v>
      </c>
      <c r="M48" s="18" t="n">
        <v>0</v>
      </c>
      <c r="N48" s="20" t="n">
        <v>0</v>
      </c>
      <c r="O48" s="18" t="n">
        <v>0</v>
      </c>
      <c r="P48" s="20" t="n">
        <v>0</v>
      </c>
      <c r="Q48" s="18" t="n">
        <v>0</v>
      </c>
      <c r="R48" s="20" t="n">
        <v>0</v>
      </c>
    </row>
    <row r="49" spans="1:18">
      <c r="A49" s="15" t="s">
        <v>608</v>
      </c>
      <c r="B49" s="17" t="n">
        <v>11795</v>
      </c>
      <c r="C49" s="18">
        <f>(10583.0/B49*100)</f>
        <v/>
      </c>
      <c r="D49" s="19" t="n">
        <v>1212</v>
      </c>
      <c r="E49" s="18" t="n">
        <v>74.96842624999999</v>
      </c>
      <c r="F49" s="20" t="n">
        <v>1.7394104</v>
      </c>
      <c r="G49" s="18" t="n">
        <v>16.5287158</v>
      </c>
      <c r="H49" s="20" t="n">
        <v>1.52059828</v>
      </c>
      <c r="I49" s="18" t="n">
        <v>0</v>
      </c>
      <c r="J49" s="20" t="n">
        <v>0</v>
      </c>
      <c r="K49" s="18" t="n">
        <v>8.498284419999999</v>
      </c>
      <c r="L49" s="20" t="n">
        <v>1.15362005</v>
      </c>
      <c r="M49" s="18" t="n">
        <v>0.00457352</v>
      </c>
      <c r="N49" s="20" t="n">
        <v>0.00458403</v>
      </c>
      <c r="O49" s="18" t="n">
        <v>0</v>
      </c>
      <c r="P49" s="20" t="n">
        <v>0</v>
      </c>
      <c r="Q49" s="18" t="n">
        <v>0</v>
      </c>
      <c r="R49" s="20" t="n">
        <v>0</v>
      </c>
    </row>
    <row r="50" spans="1:18">
      <c r="A50" s="15" t="s">
        <v>609</v>
      </c>
      <c r="B50" s="17" t="n">
        <v>6866</v>
      </c>
      <c r="C50" s="18">
        <f>(6233.0/B50*100)</f>
        <v/>
      </c>
      <c r="D50" s="19" t="n">
        <v>633</v>
      </c>
      <c r="E50" s="18" t="n">
        <v>65.19575211</v>
      </c>
      <c r="F50" s="20" t="n">
        <v>1.93094074</v>
      </c>
      <c r="G50" s="18" t="n">
        <v>28.63727616</v>
      </c>
      <c r="H50" s="20" t="n">
        <v>2.01598081</v>
      </c>
      <c r="I50" s="18" t="n">
        <v>0</v>
      </c>
      <c r="J50" s="20" t="n">
        <v>0</v>
      </c>
      <c r="K50" s="18" t="n">
        <v>5.97968406</v>
      </c>
      <c r="L50" s="20" t="n">
        <v>0.99373994</v>
      </c>
      <c r="M50" s="18" t="n">
        <v>0.18728766</v>
      </c>
      <c r="N50" s="20" t="n">
        <v>0.17475934</v>
      </c>
      <c r="O50" s="18" t="n">
        <v>0</v>
      </c>
      <c r="P50" s="20" t="n">
        <v>0</v>
      </c>
      <c r="Q50" s="18" t="n">
        <v>0</v>
      </c>
      <c r="R50" s="20" t="n">
        <v>0</v>
      </c>
    </row>
    <row r="51" spans="1:18">
      <c r="A51" s="15" t="s">
        <v>610</v>
      </c>
      <c r="B51" s="17" t="n">
        <v>5809</v>
      </c>
      <c r="C51" s="18">
        <f>(5203.0/B51*100)</f>
        <v/>
      </c>
      <c r="D51" s="19" t="n">
        <v>606</v>
      </c>
      <c r="E51" s="18" t="n">
        <v>59.33062997</v>
      </c>
      <c r="F51" s="20" t="n">
        <v>2.04844945</v>
      </c>
      <c r="G51" s="18" t="n">
        <v>34.26085629</v>
      </c>
      <c r="H51" s="20" t="n">
        <v>1.99150637</v>
      </c>
      <c r="I51" s="18" t="n">
        <v>0</v>
      </c>
      <c r="J51" s="20" t="n">
        <v>0</v>
      </c>
      <c r="K51" s="18" t="n">
        <v>6.40851375</v>
      </c>
      <c r="L51" s="20" t="n">
        <v>1.1442026</v>
      </c>
      <c r="M51" s="18" t="n">
        <v>0</v>
      </c>
      <c r="N51" s="20" t="n">
        <v>0</v>
      </c>
      <c r="O51" s="18" t="n">
        <v>0</v>
      </c>
      <c r="P51" s="20" t="n">
        <v>0</v>
      </c>
      <c r="Q51" s="18" t="n">
        <v>0</v>
      </c>
      <c r="R51" s="20" t="n">
        <v>0</v>
      </c>
    </row>
    <row r="52" spans="1:18">
      <c r="A52" s="15" t="s">
        <v>611</v>
      </c>
      <c r="B52" s="17" t="n">
        <v>5571</v>
      </c>
      <c r="C52" s="18">
        <f>(4955.0/B52*100)</f>
        <v/>
      </c>
      <c r="D52" s="19" t="n">
        <v>616</v>
      </c>
      <c r="E52" s="18" t="n">
        <v>62.73515407</v>
      </c>
      <c r="F52" s="20" t="n">
        <v>1.69448711</v>
      </c>
      <c r="G52" s="18" t="n">
        <v>30.75901323</v>
      </c>
      <c r="H52" s="20" t="n">
        <v>1.75177583</v>
      </c>
      <c r="I52" s="18" t="n">
        <v>0</v>
      </c>
      <c r="J52" s="20" t="n">
        <v>0</v>
      </c>
      <c r="K52" s="18" t="n">
        <v>6.50583271</v>
      </c>
      <c r="L52" s="20" t="n">
        <v>1.0747512</v>
      </c>
      <c r="M52" s="18" t="n">
        <v>0</v>
      </c>
      <c r="N52" s="20" t="n">
        <v>0</v>
      </c>
      <c r="O52" s="18" t="n">
        <v>0</v>
      </c>
      <c r="P52" s="20" t="n">
        <v>0</v>
      </c>
      <c r="Q52" s="18" t="n">
        <v>0</v>
      </c>
      <c r="R52" s="20" t="n">
        <v>0</v>
      </c>
    </row>
    <row r="53" spans="1:18">
      <c r="A53" s="15" t="s">
        <v>612</v>
      </c>
      <c r="B53" s="17" t="n">
        <v>4740</v>
      </c>
      <c r="C53" s="18">
        <f>(4224.0/B53*100)</f>
        <v/>
      </c>
      <c r="D53" s="19" t="n">
        <v>516</v>
      </c>
      <c r="E53" s="18" t="n">
        <v>52.72908321</v>
      </c>
      <c r="F53" s="20" t="n">
        <v>2.74349609</v>
      </c>
      <c r="G53" s="18" t="n">
        <v>9.012892750000001</v>
      </c>
      <c r="H53" s="20" t="n">
        <v>1.06833127</v>
      </c>
      <c r="I53" s="18" t="n">
        <v>0</v>
      </c>
      <c r="J53" s="20" t="n">
        <v>0</v>
      </c>
      <c r="K53" s="18" t="n">
        <v>37.66457093</v>
      </c>
      <c r="L53" s="20" t="n">
        <v>2.46405607</v>
      </c>
      <c r="M53" s="18" t="n">
        <v>0.59345311</v>
      </c>
      <c r="N53" s="20" t="n">
        <v>0.48154016</v>
      </c>
      <c r="O53" s="18" t="n">
        <v>0</v>
      </c>
      <c r="P53" s="20" t="n">
        <v>0</v>
      </c>
      <c r="Q53" s="18" t="n">
        <v>0</v>
      </c>
      <c r="R53" s="20" t="n">
        <v>0</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(4803.0/B55*100)</f>
        <v/>
      </c>
      <c r="D55" s="19" t="n">
        <v>556</v>
      </c>
      <c r="E55" s="18" t="n">
        <v>53.64458888</v>
      </c>
      <c r="F55" s="20" t="n">
        <v>2.20822286</v>
      </c>
      <c r="G55" s="18" t="n">
        <v>44.24933154</v>
      </c>
      <c r="H55" s="20" t="n">
        <v>1.90865187</v>
      </c>
      <c r="I55" s="18" t="n">
        <v>0</v>
      </c>
      <c r="J55" s="20" t="n">
        <v>0</v>
      </c>
      <c r="K55" s="18" t="n">
        <v>2.10607959</v>
      </c>
      <c r="L55" s="20" t="n">
        <v>0.89034471</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(5842.0/B61*100)</f>
        <v/>
      </c>
      <c r="D61" s="19" t="n">
        <v>683</v>
      </c>
      <c r="E61" s="18" t="n">
        <v>62.10947602</v>
      </c>
      <c r="F61" s="20" t="n">
        <v>2.24844645</v>
      </c>
      <c r="G61" s="18" t="n">
        <v>34.42150764</v>
      </c>
      <c r="H61" s="20" t="n">
        <v>2.07069788</v>
      </c>
      <c r="I61" s="18" t="n">
        <v>0</v>
      </c>
      <c r="J61" s="20" t="n">
        <v>0</v>
      </c>
      <c r="K61" s="18" t="n">
        <v>3.46901634</v>
      </c>
      <c r="L61" s="20" t="n">
        <v>0.88339446</v>
      </c>
      <c r="M61" s="18" t="n">
        <v>0</v>
      </c>
      <c r="N61" s="20" t="n">
        <v>0</v>
      </c>
      <c r="O61" s="18" t="n">
        <v>0</v>
      </c>
      <c r="P61" s="20" t="n">
        <v>0</v>
      </c>
      <c r="Q61" s="18" t="n">
        <v>0</v>
      </c>
      <c r="R61" s="20" t="n">
        <v>0</v>
      </c>
    </row>
    <row r="62" spans="1:18">
      <c r="A62" s="15" t="s">
        <v>622</v>
      </c>
      <c r="B62" s="17" t="n">
        <v>4476</v>
      </c>
      <c r="C62" s="18">
        <f>(3988.0/B62*100)</f>
        <v/>
      </c>
      <c r="D62" s="19" t="n">
        <v>488</v>
      </c>
      <c r="E62" s="18" t="n">
        <v>50.64796462</v>
      </c>
      <c r="F62" s="20" t="n">
        <v>1.92797358</v>
      </c>
      <c r="G62" s="18" t="n">
        <v>48.7292815</v>
      </c>
      <c r="H62" s="20" t="n">
        <v>1.93030534</v>
      </c>
      <c r="I62" s="18" t="n">
        <v>0</v>
      </c>
      <c r="J62" s="20" t="n">
        <v>0</v>
      </c>
      <c r="K62" s="18" t="n">
        <v>0.62275387</v>
      </c>
      <c r="L62" s="20" t="n">
        <v>0.35659526</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(5074.0/B67*100)</f>
        <v/>
      </c>
      <c r="D67" s="19" t="n">
        <v>591</v>
      </c>
      <c r="E67" s="18" t="n">
        <v>64.51653725</v>
      </c>
      <c r="F67" s="20" t="n">
        <v>2.21706189</v>
      </c>
      <c r="G67" s="18" t="n">
        <v>18.28157696</v>
      </c>
      <c r="H67" s="20" t="n">
        <v>1.65735933</v>
      </c>
      <c r="I67" s="18" t="n">
        <v>0</v>
      </c>
      <c r="J67" s="20" t="n">
        <v>0</v>
      </c>
      <c r="K67" s="18" t="n">
        <v>16.66912978</v>
      </c>
      <c r="L67" s="20" t="n">
        <v>1.6304827</v>
      </c>
      <c r="M67" s="18" t="n">
        <v>0.5327560099999999</v>
      </c>
      <c r="N67" s="20" t="n">
        <v>0.30930854</v>
      </c>
      <c r="O67" s="18" t="n">
        <v>0</v>
      </c>
      <c r="P67" s="20" t="n">
        <v>0</v>
      </c>
      <c r="Q67" s="18" t="n">
        <v>0</v>
      </c>
      <c r="R67" s="20" t="n">
        <v>0</v>
      </c>
    </row>
    <row r="68" spans="1:18">
      <c r="A68" s="15" t="s">
        <v>628</v>
      </c>
      <c r="B68" s="17" t="n">
        <v>6971</v>
      </c>
      <c r="C68" s="18">
        <f>(6358.0/B68*100)</f>
        <v/>
      </c>
      <c r="D68" s="19" t="n">
        <v>613</v>
      </c>
      <c r="E68" s="18" t="n">
        <v>71.54287775</v>
      </c>
      <c r="F68" s="20" t="n">
        <v>2.02118393</v>
      </c>
      <c r="G68" s="18" t="n">
        <v>20.69121189</v>
      </c>
      <c r="H68" s="20" t="n">
        <v>1.8472265</v>
      </c>
      <c r="I68" s="18" t="n">
        <v>0</v>
      </c>
      <c r="J68" s="20" t="n">
        <v>0</v>
      </c>
      <c r="K68" s="18" t="n">
        <v>7.60090074</v>
      </c>
      <c r="L68" s="20" t="n">
        <v>1.1703473</v>
      </c>
      <c r="M68" s="18" t="n">
        <v>0.16500962</v>
      </c>
      <c r="N68" s="20" t="n">
        <v>0.16498645</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(10737.0/B70*100)</f>
        <v/>
      </c>
      <c r="D70" s="19" t="n">
        <v>1346</v>
      </c>
      <c r="E70" s="18" t="n">
        <v>65.14620115</v>
      </c>
      <c r="F70" s="20" t="n">
        <v>1.18962643</v>
      </c>
      <c r="G70" s="18" t="n">
        <v>24.80046813</v>
      </c>
      <c r="H70" s="20" t="n">
        <v>1.15873322</v>
      </c>
      <c r="I70" s="18" t="n">
        <v>0</v>
      </c>
      <c r="J70" s="20" t="n">
        <v>0</v>
      </c>
      <c r="K70" s="18" t="n">
        <v>10.05333072</v>
      </c>
      <c r="L70" s="20" t="n">
        <v>0.92641064</v>
      </c>
      <c r="M70" s="18" t="n">
        <v>0</v>
      </c>
      <c r="N70" s="20" t="n">
        <v>0</v>
      </c>
      <c r="O70" s="18" t="n">
        <v>0</v>
      </c>
      <c r="P70" s="20" t="n">
        <v>0</v>
      </c>
      <c r="Q70" s="18" t="n">
        <v>0</v>
      </c>
      <c r="R70" s="20" t="n">
        <v>0</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(5426.0/B72*100)</f>
        <v/>
      </c>
      <c r="D72" s="19" t="n">
        <v>610</v>
      </c>
      <c r="E72" s="18" t="n">
        <v>57.37528854</v>
      </c>
      <c r="F72" s="20" t="n">
        <v>2.02679695</v>
      </c>
      <c r="G72" s="18" t="n">
        <v>40.10648474</v>
      </c>
      <c r="H72" s="20" t="n">
        <v>2.01408519</v>
      </c>
      <c r="I72" s="18" t="n">
        <v>0</v>
      </c>
      <c r="J72" s="20" t="n">
        <v>0</v>
      </c>
      <c r="K72" s="18" t="n">
        <v>2.51822671</v>
      </c>
      <c r="L72" s="20" t="n">
        <v>0.69458567</v>
      </c>
      <c r="M72" s="18" t="n">
        <v>0</v>
      </c>
      <c r="N72" s="20" t="n">
        <v>0</v>
      </c>
      <c r="O72" s="18" t="n">
        <v>0</v>
      </c>
      <c r="P72" s="20" t="n">
        <v>0</v>
      </c>
      <c r="Q72" s="18" t="n">
        <v>0</v>
      </c>
      <c r="R72" s="20" t="n">
        <v>0</v>
      </c>
    </row>
    <row r="73" spans="1:18">
      <c r="A73" s="15" t="s">
        <v>633</v>
      </c>
      <c r="B73" s="17" t="n">
        <v>6115</v>
      </c>
      <c r="C73" s="18">
        <f>(5402.0/B73*100)</f>
        <v/>
      </c>
      <c r="D73" s="19" t="n">
        <v>713</v>
      </c>
      <c r="E73" s="18" t="n">
        <v>47.41150828</v>
      </c>
      <c r="F73" s="20" t="n">
        <v>1.87469794</v>
      </c>
      <c r="G73" s="18" t="n">
        <v>51.4665264</v>
      </c>
      <c r="H73" s="20" t="n">
        <v>1.97346383</v>
      </c>
      <c r="I73" s="18" t="n">
        <v>0</v>
      </c>
      <c r="J73" s="20" t="n">
        <v>0</v>
      </c>
      <c r="K73" s="18" t="n">
        <v>0.9270356199999999</v>
      </c>
      <c r="L73" s="20" t="n">
        <v>0.35198033</v>
      </c>
      <c r="M73" s="18" t="n">
        <v>0.1949297</v>
      </c>
      <c r="N73" s="20" t="n">
        <v>0.19572961</v>
      </c>
      <c r="O73" s="18" t="n">
        <v>0</v>
      </c>
      <c r="P73" s="20" t="n">
        <v>0</v>
      </c>
      <c r="Q73" s="18" t="n">
        <v>0</v>
      </c>
      <c r="R73" s="20" t="n">
        <v>0</v>
      </c>
    </row>
    <row r="74" spans="1:18">
      <c r="A74" s="15" t="s">
        <v>634</v>
      </c>
      <c r="B74" s="17" t="n">
        <v>7708</v>
      </c>
      <c r="C74" s="18">
        <f>(6864.0/B74*100)</f>
        <v/>
      </c>
      <c r="D74" s="19" t="n">
        <v>844</v>
      </c>
      <c r="E74" s="18" t="n">
        <v>36.08493738</v>
      </c>
      <c r="F74" s="20" t="n">
        <v>1.4732348</v>
      </c>
      <c r="G74" s="18" t="n">
        <v>62.18330808</v>
      </c>
      <c r="H74" s="20" t="n">
        <v>1.45087559</v>
      </c>
      <c r="I74" s="18" t="n">
        <v>0</v>
      </c>
      <c r="J74" s="20" t="n">
        <v>0</v>
      </c>
      <c r="K74" s="18" t="n">
        <v>1.73175454</v>
      </c>
      <c r="L74" s="20" t="n">
        <v>0.55561375</v>
      </c>
      <c r="M74" s="18" t="n">
        <v>0</v>
      </c>
      <c r="N74" s="20" t="n">
        <v>0</v>
      </c>
      <c r="O74" s="18" t="n">
        <v>0</v>
      </c>
      <c r="P74" s="20" t="n">
        <v>0</v>
      </c>
      <c r="Q74" s="18" t="n">
        <v>0</v>
      </c>
      <c r="R74" s="20" t="n">
        <v>0</v>
      </c>
    </row>
    <row r="75" spans="1:18">
      <c r="A75" s="15" t="s">
        <v>635</v>
      </c>
      <c r="B75" s="17" t="n">
        <v>8249</v>
      </c>
      <c r="C75" s="18">
        <f>(7426.0/B75*100)</f>
        <v/>
      </c>
      <c r="D75" s="19" t="n">
        <v>823</v>
      </c>
      <c r="E75" s="18" t="n">
        <v>70.38425654</v>
      </c>
      <c r="F75" s="20" t="n">
        <v>2.23063087</v>
      </c>
      <c r="G75" s="18" t="n">
        <v>27.38254093</v>
      </c>
      <c r="H75" s="20" t="n">
        <v>2.18857882</v>
      </c>
      <c r="I75" s="18" t="n">
        <v>0</v>
      </c>
      <c r="J75" s="20" t="n">
        <v>0</v>
      </c>
      <c r="K75" s="18" t="n">
        <v>2.22728956</v>
      </c>
      <c r="L75" s="20" t="n">
        <v>0.62788205</v>
      </c>
      <c r="M75" s="18" t="n">
        <v>0.00591297</v>
      </c>
      <c r="N75" s="20" t="n">
        <v>0.0058783</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(4852.0/B77*100)</f>
        <v/>
      </c>
      <c r="D77" s="19" t="n">
        <v>523</v>
      </c>
      <c r="E77" s="18" t="n">
        <v>0</v>
      </c>
      <c r="F77" s="20" t="n">
        <v>0</v>
      </c>
      <c r="G77" s="18" t="n">
        <v>0</v>
      </c>
      <c r="H77" s="20" t="n">
        <v>0</v>
      </c>
      <c r="I77" s="18" t="n">
        <v>0</v>
      </c>
      <c r="J77" s="20" t="n">
        <v>0</v>
      </c>
      <c r="K77" s="18" t="n">
        <v>0</v>
      </c>
      <c r="L77" s="20" t="n">
        <v>0</v>
      </c>
      <c r="M77" s="18" t="n">
        <v>100</v>
      </c>
      <c r="N77" s="20" t="n">
        <v>0</v>
      </c>
      <c r="O77" s="18" t="n">
        <v>0</v>
      </c>
      <c r="P77" s="20" t="n">
        <v>0</v>
      </c>
      <c r="Q77" s="18" t="n">
        <v>0</v>
      </c>
      <c r="R77" s="20" t="n">
        <v>0</v>
      </c>
    </row>
    <row r="78" spans="1:18">
      <c r="A78" s="15" t="s">
        <v>638</v>
      </c>
      <c r="B78" s="17" t="n">
        <v>14167</v>
      </c>
      <c r="C78" s="18">
        <f>(12622.0/B78*100)</f>
        <v/>
      </c>
      <c r="D78" s="19" t="n">
        <v>1545</v>
      </c>
      <c r="E78" s="18" t="n">
        <v>63.73515694</v>
      </c>
      <c r="F78" s="20" t="n">
        <v>1.63542155</v>
      </c>
      <c r="G78" s="18" t="n">
        <v>32.47394331</v>
      </c>
      <c r="H78" s="20" t="n">
        <v>1.65573885</v>
      </c>
      <c r="I78" s="18" t="n">
        <v>0</v>
      </c>
      <c r="J78" s="20" t="n">
        <v>0</v>
      </c>
      <c r="K78" s="18" t="n">
        <v>3.6722931</v>
      </c>
      <c r="L78" s="20" t="n">
        <v>0.5333587400000001</v>
      </c>
      <c r="M78" s="18" t="n">
        <v>0.11860665</v>
      </c>
      <c r="N78" s="20" t="n">
        <v>0.07327723</v>
      </c>
      <c r="O78" s="18" t="n">
        <v>0</v>
      </c>
      <c r="P78" s="20" t="n">
        <v>0</v>
      </c>
      <c r="Q78" s="18" t="n">
        <v>0</v>
      </c>
      <c r="R78" s="20" t="n">
        <v>0</v>
      </c>
    </row>
    <row r="79" spans="1:18">
      <c r="A79" s="15" t="s">
        <v>639</v>
      </c>
      <c r="B79" s="17" t="n">
        <v>6062</v>
      </c>
      <c r="C79" s="18">
        <f>(5470.0/B79*100)</f>
        <v/>
      </c>
      <c r="D79" s="19" t="n">
        <v>592</v>
      </c>
      <c r="E79" s="18" t="n">
        <v>61.83691619</v>
      </c>
      <c r="F79" s="20" t="n">
        <v>2.02122963</v>
      </c>
      <c r="G79" s="18" t="n">
        <v>25.39975968</v>
      </c>
      <c r="H79" s="20" t="n">
        <v>1.77873516</v>
      </c>
      <c r="I79" s="18" t="n">
        <v>0</v>
      </c>
      <c r="J79" s="20" t="n">
        <v>0</v>
      </c>
      <c r="K79" s="18" t="n">
        <v>12.76332413</v>
      </c>
      <c r="L79" s="20" t="n">
        <v>1.68174166</v>
      </c>
      <c r="M79" s="18" t="n">
        <v>0</v>
      </c>
      <c r="N79" s="20" t="n">
        <v>0</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(28808.0/B82*100)</f>
        <v/>
      </c>
      <c r="D82" s="19" t="n">
        <v>3522</v>
      </c>
      <c r="E82" s="18" t="n">
        <v>53.54097029</v>
      </c>
      <c r="F82" s="20" t="n">
        <v>1.1996683</v>
      </c>
      <c r="G82" s="18" t="n">
        <v>41.9329323</v>
      </c>
      <c r="H82" s="20" t="n">
        <v>1.403052</v>
      </c>
      <c r="I82" s="18" t="n">
        <v>0</v>
      </c>
      <c r="J82" s="20" t="n">
        <v>0</v>
      </c>
      <c r="K82" s="18" t="n">
        <v>4.43320188</v>
      </c>
      <c r="L82" s="20" t="n">
        <v>0.64585142</v>
      </c>
      <c r="M82" s="18" t="n">
        <v>0.09289552</v>
      </c>
      <c r="N82" s="20" t="n">
        <v>0.09267942999999999</v>
      </c>
      <c r="O82" s="18" t="n">
        <v>0</v>
      </c>
      <c r="P82" s="20" t="n">
        <v>0</v>
      </c>
      <c r="Q82" s="18" t="n">
        <v>0</v>
      </c>
      <c r="R82" s="20" t="n">
        <v>0</v>
      </c>
    </row>
    <row r="83" spans="1:18">
      <c r="A83" s="15" t="s">
        <v>643</v>
      </c>
      <c r="B83" s="17" t="n">
        <v>1652</v>
      </c>
      <c r="C83" s="18">
        <f>(1481.0/B83*100)</f>
        <v/>
      </c>
      <c r="D83" s="19" t="n">
        <v>171</v>
      </c>
      <c r="E83" s="18" t="n">
        <v>37.82310674</v>
      </c>
      <c r="F83" s="20" t="n">
        <v>4.16497377</v>
      </c>
      <c r="G83" s="18" t="n">
        <v>58.63339876</v>
      </c>
      <c r="H83" s="20" t="n">
        <v>4.28170691</v>
      </c>
      <c r="I83" s="18" t="n">
        <v>0</v>
      </c>
      <c r="J83" s="20" t="n">
        <v>0</v>
      </c>
      <c r="K83" s="18" t="n">
        <v>3.54349451</v>
      </c>
      <c r="L83" s="20" t="n">
        <v>1.58191662</v>
      </c>
      <c r="M83" s="18" t="n">
        <v>0</v>
      </c>
      <c r="N83" s="20" t="n">
        <v>0</v>
      </c>
      <c r="O83" s="18" t="n">
        <v>0</v>
      </c>
      <c r="P83" s="20" t="n">
        <v>0</v>
      </c>
      <c r="Q83" s="18" t="n">
        <v>0</v>
      </c>
      <c r="R83" s="20" t="n">
        <v>0</v>
      </c>
    </row>
    <row r="84" spans="1:18">
      <c r="A84" s="23" t="s">
        <v>644</v>
      </c>
      <c r="B84" s="24" t="n">
        <v>1887</v>
      </c>
      <c r="C84" s="25">
        <f>(1694.0/B84*100)</f>
        <v/>
      </c>
      <c r="D84" s="19" t="n">
        <v>193</v>
      </c>
      <c r="E84" s="18" t="n">
        <v>49.93289986</v>
      </c>
      <c r="F84" s="20" t="n">
        <v>3.71623319</v>
      </c>
      <c r="G84" s="18" t="n">
        <v>46.16063379</v>
      </c>
      <c r="H84" s="20" t="n">
        <v>3.66355387</v>
      </c>
      <c r="I84" s="18" t="n">
        <v>0</v>
      </c>
      <c r="J84" s="20" t="n">
        <v>0</v>
      </c>
      <c r="K84" s="18" t="n">
        <v>3.90646635</v>
      </c>
      <c r="L84" s="20" t="n">
        <v>1.33440543</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739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(12935.0/B7*100)</f>
        <v/>
      </c>
      <c r="D7" s="19" t="n">
        <v>1595</v>
      </c>
      <c r="E7" s="18" t="n">
        <v>80.47281058999999</v>
      </c>
      <c r="F7" s="20" t="n">
        <v>1.27087474</v>
      </c>
      <c r="G7" s="18" t="n">
        <v>10.02625014</v>
      </c>
      <c r="H7" s="20" t="n">
        <v>0.93148799</v>
      </c>
      <c r="I7" s="18" t="n">
        <v>0</v>
      </c>
      <c r="J7" s="20" t="n">
        <v>0</v>
      </c>
      <c r="K7" s="18" t="n">
        <v>0.15587452</v>
      </c>
      <c r="L7" s="20" t="n">
        <v>0.10627288</v>
      </c>
      <c r="M7" s="18" t="n">
        <v>0.06003894</v>
      </c>
      <c r="N7" s="20" t="n">
        <v>0.03998907</v>
      </c>
      <c r="O7" s="18" t="n">
        <v>0</v>
      </c>
      <c r="P7" s="20" t="n">
        <v>0</v>
      </c>
      <c r="Q7" s="18" t="n">
        <v>9.28502581</v>
      </c>
      <c r="R7" s="20" t="n">
        <v>0.84727418</v>
      </c>
    </row>
    <row r="8" spans="1:18">
      <c r="A8" s="15" t="s">
        <v>566</v>
      </c>
      <c r="B8" s="17" t="n">
        <v>7007</v>
      </c>
      <c r="C8" s="18">
        <f>(6222.0/B8*100)</f>
        <v/>
      </c>
      <c r="D8" s="19" t="n">
        <v>785</v>
      </c>
      <c r="E8" s="18" t="n">
        <v>75.59302483</v>
      </c>
      <c r="F8" s="20" t="n">
        <v>1.69907248</v>
      </c>
      <c r="G8" s="18" t="n">
        <v>9.88337669</v>
      </c>
      <c r="H8" s="20" t="n">
        <v>1.18354052</v>
      </c>
      <c r="I8" s="18" t="n">
        <v>0</v>
      </c>
      <c r="J8" s="20" t="n">
        <v>0</v>
      </c>
      <c r="K8" s="18" t="n">
        <v>0</v>
      </c>
      <c r="L8" s="20" t="n">
        <v>0</v>
      </c>
      <c r="M8" s="18" t="n">
        <v>0</v>
      </c>
      <c r="N8" s="20" t="n">
        <v>0</v>
      </c>
      <c r="O8" s="18" t="n">
        <v>0</v>
      </c>
      <c r="P8" s="20" t="n">
        <v>0</v>
      </c>
      <c r="Q8" s="18" t="n">
        <v>14.52359848</v>
      </c>
      <c r="R8" s="20" t="n">
        <v>1.32591389</v>
      </c>
    </row>
    <row r="9" spans="1:18">
      <c r="A9" s="15" t="s">
        <v>567</v>
      </c>
      <c r="B9" s="17" t="n">
        <v>9651</v>
      </c>
      <c r="C9" s="18">
        <f>(8587.0/B9*100)</f>
        <v/>
      </c>
      <c r="D9" s="19" t="n">
        <v>1064</v>
      </c>
      <c r="E9" s="18" t="n">
        <v>76.30109634999999</v>
      </c>
      <c r="F9" s="20" t="n">
        <v>1.33660551</v>
      </c>
      <c r="G9" s="18" t="n">
        <v>12.62738585</v>
      </c>
      <c r="H9" s="20" t="n">
        <v>1.06116916</v>
      </c>
      <c r="I9" s="18" t="n">
        <v>0</v>
      </c>
      <c r="J9" s="20" t="n">
        <v>0</v>
      </c>
      <c r="K9" s="18" t="n">
        <v>0.08404099</v>
      </c>
      <c r="L9" s="20" t="n">
        <v>0.08118359999999999</v>
      </c>
      <c r="M9" s="18" t="n">
        <v>0.24622254</v>
      </c>
      <c r="N9" s="20" t="n">
        <v>0.14703367</v>
      </c>
      <c r="O9" s="18" t="n">
        <v>0</v>
      </c>
      <c r="P9" s="20" t="n">
        <v>0</v>
      </c>
      <c r="Q9" s="18" t="n">
        <v>10.74125427</v>
      </c>
      <c r="R9" s="20" t="n">
        <v>0.92591641</v>
      </c>
    </row>
    <row r="10" spans="1:18">
      <c r="A10" s="15" t="s">
        <v>568</v>
      </c>
      <c r="B10" s="17" t="n">
        <v>20058</v>
      </c>
      <c r="C10" s="18">
        <f>(17860.0/B10*100)</f>
        <v/>
      </c>
      <c r="D10" s="19" t="n">
        <v>2198</v>
      </c>
      <c r="E10" s="18" t="n">
        <v>76.58059059999999</v>
      </c>
      <c r="F10" s="20" t="n">
        <v>1.35219767</v>
      </c>
      <c r="G10" s="18" t="n">
        <v>18.87690541</v>
      </c>
      <c r="H10" s="20" t="n">
        <v>1.18775807</v>
      </c>
      <c r="I10" s="18" t="n">
        <v>0</v>
      </c>
      <c r="J10" s="20" t="n">
        <v>0</v>
      </c>
      <c r="K10" s="18" t="n">
        <v>0.014428</v>
      </c>
      <c r="L10" s="20" t="n">
        <v>0.01446123</v>
      </c>
      <c r="M10" s="18" t="n">
        <v>0</v>
      </c>
      <c r="N10" s="20" t="n">
        <v>0</v>
      </c>
      <c r="O10" s="18" t="n">
        <v>0</v>
      </c>
      <c r="P10" s="20" t="n">
        <v>0</v>
      </c>
      <c r="Q10" s="18" t="n">
        <v>4.52807599</v>
      </c>
      <c r="R10" s="20" t="n">
        <v>0.8431283899999999</v>
      </c>
    </row>
    <row r="11" spans="1:18">
      <c r="A11" s="15" t="s">
        <v>569</v>
      </c>
      <c r="B11" s="17" t="n">
        <v>7053</v>
      </c>
      <c r="C11" s="18">
        <f>(6262.0/B11*100)</f>
        <v/>
      </c>
      <c r="D11" s="19" t="n">
        <v>791</v>
      </c>
      <c r="E11" s="18" t="n">
        <v>80.20088522</v>
      </c>
      <c r="F11" s="20" t="n">
        <v>1.76557384</v>
      </c>
      <c r="G11" s="18" t="n">
        <v>6.42364498</v>
      </c>
      <c r="H11" s="20" t="n">
        <v>1.05181568</v>
      </c>
      <c r="I11" s="18" t="n">
        <v>0</v>
      </c>
      <c r="J11" s="20" t="n">
        <v>0</v>
      </c>
      <c r="K11" s="18" t="n">
        <v>0</v>
      </c>
      <c r="L11" s="20" t="n">
        <v>0</v>
      </c>
      <c r="M11" s="18" t="n">
        <v>0.01253294</v>
      </c>
      <c r="N11" s="20" t="n">
        <v>0.01255048</v>
      </c>
      <c r="O11" s="18" t="n">
        <v>0</v>
      </c>
      <c r="P11" s="20" t="n">
        <v>0</v>
      </c>
      <c r="Q11" s="18" t="n">
        <v>13.36293686</v>
      </c>
      <c r="R11" s="20" t="n">
        <v>1.57000731</v>
      </c>
    </row>
    <row r="12" spans="1:18">
      <c r="A12" s="15" t="s">
        <v>570</v>
      </c>
      <c r="B12" s="17" t="n">
        <v>6894</v>
      </c>
      <c r="C12" s="18">
        <f>(6095.0/B12*100)</f>
        <v/>
      </c>
      <c r="D12" s="19" t="n">
        <v>799</v>
      </c>
      <c r="E12" s="18" t="n">
        <v>79.06419959999999</v>
      </c>
      <c r="F12" s="20" t="n">
        <v>1.86972769</v>
      </c>
      <c r="G12" s="18" t="n">
        <v>8.16680386</v>
      </c>
      <c r="H12" s="20" t="n">
        <v>0.91075893</v>
      </c>
      <c r="I12" s="18" t="n">
        <v>0</v>
      </c>
      <c r="J12" s="20" t="n">
        <v>0</v>
      </c>
      <c r="K12" s="18" t="n">
        <v>0</v>
      </c>
      <c r="L12" s="20" t="n">
        <v>0</v>
      </c>
      <c r="M12" s="18" t="n">
        <v>0</v>
      </c>
      <c r="N12" s="20" t="n">
        <v>0</v>
      </c>
      <c r="O12" s="18" t="n">
        <v>0</v>
      </c>
      <c r="P12" s="20" t="n">
        <v>0</v>
      </c>
      <c r="Q12" s="18" t="n">
        <v>12.76899654</v>
      </c>
      <c r="R12" s="20" t="n">
        <v>1.66751218</v>
      </c>
    </row>
    <row r="13" spans="1:18">
      <c r="A13" s="15" t="s">
        <v>571</v>
      </c>
      <c r="B13" s="17" t="n">
        <v>7161</v>
      </c>
      <c r="C13" s="18">
        <f>(6402.0/B13*100)</f>
        <v/>
      </c>
      <c r="D13" s="19" t="n">
        <v>759</v>
      </c>
      <c r="E13" s="18" t="n">
        <v>68.78578123</v>
      </c>
      <c r="F13" s="20" t="n">
        <v>1.94033596</v>
      </c>
      <c r="G13" s="18" t="n">
        <v>24.62237123</v>
      </c>
      <c r="H13" s="20" t="n">
        <v>1.87547768</v>
      </c>
      <c r="I13" s="18" t="n">
        <v>0</v>
      </c>
      <c r="J13" s="20" t="n">
        <v>0</v>
      </c>
      <c r="K13" s="18" t="n">
        <v>0.11220137</v>
      </c>
      <c r="L13" s="20" t="n">
        <v>0.06488843</v>
      </c>
      <c r="M13" s="18" t="n">
        <v>0</v>
      </c>
      <c r="N13" s="20" t="n">
        <v>0</v>
      </c>
      <c r="O13" s="18" t="n">
        <v>0</v>
      </c>
      <c r="P13" s="20" t="n">
        <v>0</v>
      </c>
      <c r="Q13" s="18" t="n">
        <v>6.47964617</v>
      </c>
      <c r="R13" s="20" t="n">
        <v>1.06471549</v>
      </c>
    </row>
    <row r="14" spans="1:18">
      <c r="A14" s="15" t="s">
        <v>572</v>
      </c>
      <c r="B14" s="17" t="n">
        <v>5587</v>
      </c>
      <c r="C14" s="18">
        <f>(4971.0/B14*100)</f>
        <v/>
      </c>
      <c r="D14" s="19" t="n">
        <v>616</v>
      </c>
      <c r="E14" s="18" t="n">
        <v>66.18395439</v>
      </c>
      <c r="F14" s="20" t="n">
        <v>2.39859832</v>
      </c>
      <c r="G14" s="18" t="n">
        <v>26.90766367</v>
      </c>
      <c r="H14" s="20" t="n">
        <v>2.21606816</v>
      </c>
      <c r="I14" s="18" t="n">
        <v>0</v>
      </c>
      <c r="J14" s="20" t="n">
        <v>0</v>
      </c>
      <c r="K14" s="18" t="n">
        <v>0</v>
      </c>
      <c r="L14" s="20" t="n">
        <v>0</v>
      </c>
      <c r="M14" s="18" t="n">
        <v>0</v>
      </c>
      <c r="N14" s="20" t="n">
        <v>0</v>
      </c>
      <c r="O14" s="18" t="n">
        <v>0</v>
      </c>
      <c r="P14" s="20" t="n">
        <v>0</v>
      </c>
      <c r="Q14" s="18" t="n">
        <v>6.90838193</v>
      </c>
      <c r="R14" s="20" t="n">
        <v>1.22890081</v>
      </c>
    </row>
    <row r="15" spans="1:18">
      <c r="A15" s="15" t="s">
        <v>573</v>
      </c>
      <c r="B15" s="17" t="n">
        <v>5882</v>
      </c>
      <c r="C15" s="18">
        <f>(5223.0/B15*100)</f>
        <v/>
      </c>
      <c r="D15" s="19" t="n">
        <v>659</v>
      </c>
      <c r="E15" s="18" t="n">
        <v>74.01664194999999</v>
      </c>
      <c r="F15" s="20" t="n">
        <v>1.77976388</v>
      </c>
      <c r="G15" s="18" t="n">
        <v>19.01689725</v>
      </c>
      <c r="H15" s="20" t="n">
        <v>1.45691335</v>
      </c>
      <c r="I15" s="18" t="n">
        <v>0</v>
      </c>
      <c r="J15" s="20" t="n">
        <v>0</v>
      </c>
      <c r="K15" s="18" t="n">
        <v>0</v>
      </c>
      <c r="L15" s="20" t="n">
        <v>0</v>
      </c>
      <c r="M15" s="18" t="n">
        <v>0</v>
      </c>
      <c r="N15" s="20" t="n">
        <v>0</v>
      </c>
      <c r="O15" s="18" t="n">
        <v>0</v>
      </c>
      <c r="P15" s="20" t="n">
        <v>0</v>
      </c>
      <c r="Q15" s="18" t="n">
        <v>6.9664608</v>
      </c>
      <c r="R15" s="20" t="n">
        <v>1.06685514</v>
      </c>
    </row>
    <row r="16" spans="1:18">
      <c r="A16" s="15" t="s">
        <v>574</v>
      </c>
      <c r="B16" s="17" t="n">
        <v>6108</v>
      </c>
      <c r="C16" s="18">
        <f>(5433.0/B16*100)</f>
        <v/>
      </c>
      <c r="D16" s="19" t="n">
        <v>675</v>
      </c>
      <c r="E16" s="18" t="n">
        <v>78.27387770999999</v>
      </c>
      <c r="F16" s="20" t="n">
        <v>1.69059702</v>
      </c>
      <c r="G16" s="18" t="n">
        <v>6.49187655</v>
      </c>
      <c r="H16" s="20" t="n">
        <v>1.033401</v>
      </c>
      <c r="I16" s="18" t="n">
        <v>0</v>
      </c>
      <c r="J16" s="20" t="n">
        <v>0</v>
      </c>
      <c r="K16" s="18" t="n">
        <v>0.35241433</v>
      </c>
      <c r="L16" s="20" t="n">
        <v>0.38188962</v>
      </c>
      <c r="M16" s="18" t="n">
        <v>0.14356722</v>
      </c>
      <c r="N16" s="20" t="n">
        <v>0.12918451</v>
      </c>
      <c r="O16" s="18" t="n">
        <v>0</v>
      </c>
      <c r="P16" s="20" t="n">
        <v>0</v>
      </c>
      <c r="Q16" s="18" t="n">
        <v>14.73826419</v>
      </c>
      <c r="R16" s="20" t="n">
        <v>1.52221484</v>
      </c>
    </row>
    <row r="17" spans="1:18">
      <c r="A17" s="15" t="s">
        <v>575</v>
      </c>
      <c r="B17" s="17" t="n">
        <v>6504</v>
      </c>
      <c r="C17" s="18">
        <f>(5767.0/B17*100)</f>
        <v/>
      </c>
      <c r="D17" s="19" t="n">
        <v>737</v>
      </c>
      <c r="E17" s="18" t="n">
        <v>74.60065482</v>
      </c>
      <c r="F17" s="20" t="n">
        <v>1.61320225</v>
      </c>
      <c r="G17" s="18" t="n">
        <v>11.36009306</v>
      </c>
      <c r="H17" s="20" t="n">
        <v>1.31155887</v>
      </c>
      <c r="I17" s="18" t="n">
        <v>0</v>
      </c>
      <c r="J17" s="20" t="n">
        <v>0</v>
      </c>
      <c r="K17" s="18" t="n">
        <v>0.60666933</v>
      </c>
      <c r="L17" s="20" t="n">
        <v>0.345912</v>
      </c>
      <c r="M17" s="18" t="n">
        <v>0</v>
      </c>
      <c r="N17" s="20" t="n">
        <v>0</v>
      </c>
      <c r="O17" s="18" t="n">
        <v>0</v>
      </c>
      <c r="P17" s="20" t="n">
        <v>0</v>
      </c>
      <c r="Q17" s="18" t="n">
        <v>13.43258278</v>
      </c>
      <c r="R17" s="20" t="n">
        <v>1.20439379</v>
      </c>
    </row>
    <row r="18" spans="1:18">
      <c r="A18" s="15" t="s">
        <v>576</v>
      </c>
      <c r="B18" s="17" t="n">
        <v>5532</v>
      </c>
      <c r="C18" s="18">
        <f>(4911.0/B18*100)</f>
        <v/>
      </c>
      <c r="D18" s="19" t="n">
        <v>621</v>
      </c>
      <c r="E18" s="18" t="n">
        <v>76.97971006</v>
      </c>
      <c r="F18" s="20" t="n">
        <v>1.95536645</v>
      </c>
      <c r="G18" s="18" t="n">
        <v>6.15129871</v>
      </c>
      <c r="H18" s="20" t="n">
        <v>0.90910112</v>
      </c>
      <c r="I18" s="18" t="n">
        <v>0</v>
      </c>
      <c r="J18" s="20" t="n">
        <v>0</v>
      </c>
      <c r="K18" s="18" t="n">
        <v>0.34095125</v>
      </c>
      <c r="L18" s="20" t="n">
        <v>0.22287095</v>
      </c>
      <c r="M18" s="18" t="n">
        <v>0</v>
      </c>
      <c r="N18" s="20" t="n">
        <v>0</v>
      </c>
      <c r="O18" s="18" t="n">
        <v>0</v>
      </c>
      <c r="P18" s="20" t="n">
        <v>0</v>
      </c>
      <c r="Q18" s="18" t="n">
        <v>16.52803998</v>
      </c>
      <c r="R18" s="20" t="n">
        <v>1.9404049</v>
      </c>
    </row>
    <row r="19" spans="1:18">
      <c r="A19" s="15" t="s">
        <v>577</v>
      </c>
      <c r="B19" s="17" t="n">
        <v>5658</v>
      </c>
      <c r="C19" s="18">
        <f>(5019.0/B19*100)</f>
        <v/>
      </c>
      <c r="D19" s="19" t="n">
        <v>639</v>
      </c>
      <c r="E19" s="18" t="n">
        <v>79.80880415999999</v>
      </c>
      <c r="F19" s="20" t="n">
        <v>1.78580011</v>
      </c>
      <c r="G19" s="18" t="n">
        <v>3.38337856</v>
      </c>
      <c r="H19" s="20" t="n">
        <v>0.77812178</v>
      </c>
      <c r="I19" s="18" t="n">
        <v>0</v>
      </c>
      <c r="J19" s="20" t="n">
        <v>0</v>
      </c>
      <c r="K19" s="18" t="n">
        <v>0</v>
      </c>
      <c r="L19" s="20" t="n">
        <v>0</v>
      </c>
      <c r="M19" s="18" t="n">
        <v>0</v>
      </c>
      <c r="N19" s="20" t="n">
        <v>0</v>
      </c>
      <c r="O19" s="18" t="n">
        <v>0</v>
      </c>
      <c r="P19" s="20" t="n">
        <v>0</v>
      </c>
      <c r="Q19" s="18" t="n">
        <v>16.80781728</v>
      </c>
      <c r="R19" s="20" t="n">
        <v>1.76877583</v>
      </c>
    </row>
    <row r="20" spans="1:18">
      <c r="A20" s="15" t="s">
        <v>578</v>
      </c>
      <c r="B20" s="17" t="n">
        <v>3371</v>
      </c>
      <c r="C20" s="18">
        <f>(3004.0/B20*100)</f>
        <v/>
      </c>
      <c r="D20" s="19" t="n">
        <v>367</v>
      </c>
      <c r="E20" s="18" t="n">
        <v>80.37594692</v>
      </c>
      <c r="F20" s="20" t="n">
        <v>2.15539027</v>
      </c>
      <c r="G20" s="18" t="n">
        <v>9.76013916</v>
      </c>
      <c r="H20" s="20" t="n">
        <v>1.47063307</v>
      </c>
      <c r="I20" s="18" t="n">
        <v>0</v>
      </c>
      <c r="J20" s="20" t="n">
        <v>0</v>
      </c>
      <c r="K20" s="18" t="n">
        <v>0.2321064</v>
      </c>
      <c r="L20" s="20" t="n">
        <v>0.23227043</v>
      </c>
      <c r="M20" s="18" t="n">
        <v>0</v>
      </c>
      <c r="N20" s="20" t="n">
        <v>0</v>
      </c>
      <c r="O20" s="18" t="n">
        <v>0</v>
      </c>
      <c r="P20" s="20" t="n">
        <v>0</v>
      </c>
      <c r="Q20" s="18" t="n">
        <v>9.63180753</v>
      </c>
      <c r="R20" s="20" t="n">
        <v>1.59047631</v>
      </c>
    </row>
    <row r="21" spans="1:18">
      <c r="A21" s="15" t="s">
        <v>579</v>
      </c>
      <c r="B21" s="17" t="n">
        <v>5741</v>
      </c>
      <c r="C21" s="18">
        <f>(5105.0/B21*100)</f>
        <v/>
      </c>
      <c r="D21" s="19" t="n">
        <v>636</v>
      </c>
      <c r="E21" s="18" t="n">
        <v>79.07724622000001</v>
      </c>
      <c r="F21" s="20" t="n">
        <v>1.59702781</v>
      </c>
      <c r="G21" s="18" t="n">
        <v>14.74629819</v>
      </c>
      <c r="H21" s="20" t="n">
        <v>1.38725302</v>
      </c>
      <c r="I21" s="18" t="n">
        <v>0</v>
      </c>
      <c r="J21" s="20" t="n">
        <v>0</v>
      </c>
      <c r="K21" s="18" t="n">
        <v>0</v>
      </c>
      <c r="L21" s="20" t="n">
        <v>0</v>
      </c>
      <c r="M21" s="18" t="n">
        <v>0</v>
      </c>
      <c r="N21" s="20" t="n">
        <v>0</v>
      </c>
      <c r="O21" s="18" t="n">
        <v>0</v>
      </c>
      <c r="P21" s="20" t="n">
        <v>0</v>
      </c>
      <c r="Q21" s="18" t="n">
        <v>6.17645559</v>
      </c>
      <c r="R21" s="20" t="n">
        <v>1.0635955</v>
      </c>
    </row>
    <row r="22" spans="1:18">
      <c r="A22" s="15" t="s">
        <v>580</v>
      </c>
      <c r="B22" s="17" t="n">
        <v>6598</v>
      </c>
      <c r="C22" s="18">
        <f>(5933.0/B22*100)</f>
        <v/>
      </c>
      <c r="D22" s="19" t="n">
        <v>665</v>
      </c>
      <c r="E22" s="18" t="n">
        <v>72.32304526999999</v>
      </c>
      <c r="F22" s="20" t="n">
        <v>1.87002676</v>
      </c>
      <c r="G22" s="18" t="n">
        <v>8.65846599</v>
      </c>
      <c r="H22" s="20" t="n">
        <v>1.27109497</v>
      </c>
      <c r="I22" s="18" t="n">
        <v>0</v>
      </c>
      <c r="J22" s="20" t="n">
        <v>0</v>
      </c>
      <c r="K22" s="18" t="n">
        <v>0</v>
      </c>
      <c r="L22" s="20" t="n">
        <v>0</v>
      </c>
      <c r="M22" s="18" t="n">
        <v>0.23411377</v>
      </c>
      <c r="N22" s="20" t="n">
        <v>0.23474924</v>
      </c>
      <c r="O22" s="18" t="n">
        <v>0</v>
      </c>
      <c r="P22" s="20" t="n">
        <v>0</v>
      </c>
      <c r="Q22" s="18" t="n">
        <v>18.78437498</v>
      </c>
      <c r="R22" s="20" t="n">
        <v>1.70102948</v>
      </c>
    </row>
    <row r="23" spans="1:18">
      <c r="A23" s="15" t="s">
        <v>581</v>
      </c>
      <c r="B23" s="17" t="n">
        <v>11583</v>
      </c>
      <c r="C23" s="18">
        <f>(10330.0/B23*100)</f>
        <v/>
      </c>
      <c r="D23" s="19" t="n">
        <v>1253</v>
      </c>
      <c r="E23" s="18" t="n">
        <v>75.52176197</v>
      </c>
      <c r="F23" s="20" t="n">
        <v>1.83739988</v>
      </c>
      <c r="G23" s="18" t="n">
        <v>8.62360629</v>
      </c>
      <c r="H23" s="20" t="n">
        <v>1.0722264</v>
      </c>
      <c r="I23" s="18" t="n">
        <v>0</v>
      </c>
      <c r="J23" s="20" t="n">
        <v>0</v>
      </c>
      <c r="K23" s="18" t="n">
        <v>0.29250859</v>
      </c>
      <c r="L23" s="20" t="n">
        <v>0.24748342</v>
      </c>
      <c r="M23" s="18" t="n">
        <v>0</v>
      </c>
      <c r="N23" s="20" t="n">
        <v>0</v>
      </c>
      <c r="O23" s="18" t="n">
        <v>0</v>
      </c>
      <c r="P23" s="20" t="n">
        <v>0</v>
      </c>
      <c r="Q23" s="18" t="n">
        <v>15.56212315</v>
      </c>
      <c r="R23" s="20" t="n">
        <v>1.62707361</v>
      </c>
    </row>
    <row r="24" spans="1:18">
      <c r="A24" s="15" t="s">
        <v>582</v>
      </c>
      <c r="B24" s="17" t="n">
        <v>6647</v>
      </c>
      <c r="C24" s="18">
        <f>(5884.0/B24*100)</f>
        <v/>
      </c>
      <c r="D24" s="19" t="n">
        <v>763</v>
      </c>
      <c r="E24" s="18" t="n">
        <v>75.49315</v>
      </c>
      <c r="F24" s="20" t="n">
        <v>1.69648266</v>
      </c>
      <c r="G24" s="18" t="n">
        <v>11.87565204</v>
      </c>
      <c r="H24" s="20" t="n">
        <v>1.28186354</v>
      </c>
      <c r="I24" s="18" t="n">
        <v>0</v>
      </c>
      <c r="J24" s="20" t="n">
        <v>0</v>
      </c>
      <c r="K24" s="18" t="n">
        <v>0.12634354</v>
      </c>
      <c r="L24" s="20" t="n">
        <v>0.12658687</v>
      </c>
      <c r="M24" s="18" t="n">
        <v>0</v>
      </c>
      <c r="N24" s="20" t="n">
        <v>0</v>
      </c>
      <c r="O24" s="18" t="n">
        <v>0</v>
      </c>
      <c r="P24" s="20" t="n">
        <v>0</v>
      </c>
      <c r="Q24" s="18" t="n">
        <v>12.50485441</v>
      </c>
      <c r="R24" s="20" t="n">
        <v>1.20399297</v>
      </c>
    </row>
    <row r="25" spans="1:18">
      <c r="A25" s="15" t="s">
        <v>583</v>
      </c>
      <c r="B25" s="17" t="n">
        <v>5581</v>
      </c>
      <c r="C25" s="18">
        <f>(4962.0/B25*100)</f>
        <v/>
      </c>
      <c r="D25" s="19" t="n">
        <v>619</v>
      </c>
      <c r="E25" s="18" t="n">
        <v>73.61683039</v>
      </c>
      <c r="F25" s="20" t="n">
        <v>1.84352659</v>
      </c>
      <c r="G25" s="18" t="n">
        <v>12.71139646</v>
      </c>
      <c r="H25" s="20" t="n">
        <v>1.48658069</v>
      </c>
      <c r="I25" s="18" t="n">
        <v>0</v>
      </c>
      <c r="J25" s="20" t="n">
        <v>0</v>
      </c>
      <c r="K25" s="18" t="n">
        <v>0</v>
      </c>
      <c r="L25" s="20" t="n">
        <v>0</v>
      </c>
      <c r="M25" s="18" t="n">
        <v>0</v>
      </c>
      <c r="N25" s="20" t="n">
        <v>0</v>
      </c>
      <c r="O25" s="18" t="n">
        <v>0</v>
      </c>
      <c r="P25" s="20" t="n">
        <v>0</v>
      </c>
      <c r="Q25" s="18" t="n">
        <v>13.67177315</v>
      </c>
      <c r="R25" s="20" t="n">
        <v>1.50226296</v>
      </c>
    </row>
    <row r="26" spans="1:18">
      <c r="A26" s="15" t="s">
        <v>584</v>
      </c>
      <c r="B26" s="17" t="n">
        <v>4869</v>
      </c>
      <c r="C26" s="18">
        <f>(4334.0/B26*100)</f>
        <v/>
      </c>
      <c r="D26" s="19" t="n">
        <v>535</v>
      </c>
      <c r="E26" s="18" t="n">
        <v>69.76203604</v>
      </c>
      <c r="F26" s="20" t="n">
        <v>2.10435295</v>
      </c>
      <c r="G26" s="18" t="n">
        <v>25.48863394</v>
      </c>
      <c r="H26" s="20" t="n">
        <v>2.09778003</v>
      </c>
      <c r="I26" s="18" t="n">
        <v>0</v>
      </c>
      <c r="J26" s="20" t="n">
        <v>0</v>
      </c>
      <c r="K26" s="18" t="n">
        <v>0</v>
      </c>
      <c r="L26" s="20" t="n">
        <v>0</v>
      </c>
      <c r="M26" s="18" t="n">
        <v>0</v>
      </c>
      <c r="N26" s="20" t="n">
        <v>0</v>
      </c>
      <c r="O26" s="18" t="n">
        <v>0</v>
      </c>
      <c r="P26" s="20" t="n">
        <v>0</v>
      </c>
      <c r="Q26" s="18" t="n">
        <v>4.74933003</v>
      </c>
      <c r="R26" s="20" t="n">
        <v>0.81034688</v>
      </c>
    </row>
    <row r="27" spans="1:18">
      <c r="A27" s="15" t="s">
        <v>585</v>
      </c>
      <c r="B27" s="17" t="n">
        <v>5299</v>
      </c>
      <c r="C27" s="18">
        <f>(4741.0/B27*100)</f>
        <v/>
      </c>
      <c r="D27" s="19" t="n">
        <v>558</v>
      </c>
      <c r="E27" s="18" t="n">
        <v>74.90431233</v>
      </c>
      <c r="F27" s="20" t="n">
        <v>1.64766832</v>
      </c>
      <c r="G27" s="18" t="n">
        <v>11.90703925</v>
      </c>
      <c r="H27" s="20" t="n">
        <v>1.19161518</v>
      </c>
      <c r="I27" s="18" t="n">
        <v>0</v>
      </c>
      <c r="J27" s="20" t="n">
        <v>0</v>
      </c>
      <c r="K27" s="18" t="n">
        <v>0.17761446</v>
      </c>
      <c r="L27" s="20" t="n">
        <v>0.17467285</v>
      </c>
      <c r="M27" s="18" t="n">
        <v>0</v>
      </c>
      <c r="N27" s="20" t="n">
        <v>0</v>
      </c>
      <c r="O27" s="18" t="n">
        <v>0</v>
      </c>
      <c r="P27" s="20" t="n">
        <v>0</v>
      </c>
      <c r="Q27" s="18" t="n">
        <v>13.01103396</v>
      </c>
      <c r="R27" s="20" t="n">
        <v>1.40942669</v>
      </c>
    </row>
    <row r="28" spans="1:18">
      <c r="A28" s="15" t="s">
        <v>586</v>
      </c>
      <c r="B28" s="17" t="n">
        <v>7568</v>
      </c>
      <c r="C28" s="18">
        <f>(6771.0/B28*100)</f>
        <v/>
      </c>
      <c r="D28" s="19" t="n">
        <v>797</v>
      </c>
      <c r="E28" s="18" t="n">
        <v>90.85140504</v>
      </c>
      <c r="F28" s="20" t="n">
        <v>1.29704099</v>
      </c>
      <c r="G28" s="18" t="n">
        <v>3.77528938</v>
      </c>
      <c r="H28" s="20" t="n">
        <v>0.69339588</v>
      </c>
      <c r="I28" s="18" t="n">
        <v>0</v>
      </c>
      <c r="J28" s="20" t="n">
        <v>0</v>
      </c>
      <c r="K28" s="18" t="n">
        <v>0.41461615</v>
      </c>
      <c r="L28" s="20" t="n">
        <v>0.31457103</v>
      </c>
      <c r="M28" s="18" t="n">
        <v>0</v>
      </c>
      <c r="N28" s="20" t="n">
        <v>0</v>
      </c>
      <c r="O28" s="18" t="n">
        <v>0</v>
      </c>
      <c r="P28" s="20" t="n">
        <v>0</v>
      </c>
      <c r="Q28" s="18" t="n">
        <v>4.95868942</v>
      </c>
      <c r="R28" s="20" t="n">
        <v>0.9671030900000001</v>
      </c>
    </row>
    <row r="29" spans="1:18">
      <c r="A29" s="15" t="s">
        <v>587</v>
      </c>
      <c r="B29" s="17" t="n">
        <v>5385</v>
      </c>
      <c r="C29" s="18">
        <f>(4788.0/B29*100)</f>
        <v/>
      </c>
      <c r="D29" s="19" t="n">
        <v>597</v>
      </c>
      <c r="E29" s="18" t="n">
        <v>85.62544939999999</v>
      </c>
      <c r="F29" s="20" t="n">
        <v>1.3565171</v>
      </c>
      <c r="G29" s="18" t="n">
        <v>12.40971154</v>
      </c>
      <c r="H29" s="20" t="n">
        <v>1.26327717</v>
      </c>
      <c r="I29" s="18" t="n">
        <v>0</v>
      </c>
      <c r="J29" s="20" t="n">
        <v>0</v>
      </c>
      <c r="K29" s="18" t="n">
        <v>0</v>
      </c>
      <c r="L29" s="20" t="n">
        <v>0</v>
      </c>
      <c r="M29" s="18" t="n">
        <v>0</v>
      </c>
      <c r="N29" s="20" t="n">
        <v>0</v>
      </c>
      <c r="O29" s="18" t="n">
        <v>0</v>
      </c>
      <c r="P29" s="20" t="n">
        <v>0</v>
      </c>
      <c r="Q29" s="18" t="n">
        <v>1.96483906</v>
      </c>
      <c r="R29" s="20" t="n">
        <v>0.5907975</v>
      </c>
    </row>
    <row r="30" spans="1:18">
      <c r="A30" s="15" t="s">
        <v>588</v>
      </c>
      <c r="B30" s="17" t="n">
        <v>4520</v>
      </c>
      <c r="C30" s="18">
        <f>(4028.0/B30*100)</f>
        <v/>
      </c>
      <c r="D30" s="19" t="n">
        <v>492</v>
      </c>
      <c r="E30" s="18" t="n">
        <v>73.43487727999999</v>
      </c>
      <c r="F30" s="20" t="n">
        <v>1.99434397</v>
      </c>
      <c r="G30" s="18" t="n">
        <v>17.67491957</v>
      </c>
      <c r="H30" s="20" t="n">
        <v>1.69892816</v>
      </c>
      <c r="I30" s="18" t="n">
        <v>0</v>
      </c>
      <c r="J30" s="20" t="n">
        <v>0</v>
      </c>
      <c r="K30" s="18" t="n">
        <v>0.2096544</v>
      </c>
      <c r="L30" s="20" t="n">
        <v>0.20180854</v>
      </c>
      <c r="M30" s="18" t="n">
        <v>0</v>
      </c>
      <c r="N30" s="20" t="n">
        <v>0</v>
      </c>
      <c r="O30" s="18" t="n">
        <v>0</v>
      </c>
      <c r="P30" s="20" t="n">
        <v>0</v>
      </c>
      <c r="Q30" s="18" t="n">
        <v>8.68054875</v>
      </c>
      <c r="R30" s="20" t="n">
        <v>1.1703727</v>
      </c>
    </row>
    <row r="31" spans="1:18">
      <c r="A31" s="15" t="s">
        <v>589</v>
      </c>
      <c r="B31" s="17" t="n">
        <v>5456</v>
      </c>
      <c r="C31" s="18">
        <f>(4876.0/B31*100)</f>
        <v/>
      </c>
      <c r="D31" s="19" t="n">
        <v>580</v>
      </c>
      <c r="E31" s="18" t="n">
        <v>71.86145959</v>
      </c>
      <c r="F31" s="20" t="n">
        <v>1.68497571</v>
      </c>
      <c r="G31" s="18" t="n">
        <v>19.8628359</v>
      </c>
      <c r="H31" s="20" t="n">
        <v>1.63119697</v>
      </c>
      <c r="I31" s="18" t="n">
        <v>0</v>
      </c>
      <c r="J31" s="20" t="n">
        <v>0</v>
      </c>
      <c r="K31" s="18" t="n">
        <v>0.1713069</v>
      </c>
      <c r="L31" s="20" t="n">
        <v>0.18449113</v>
      </c>
      <c r="M31" s="18" t="n">
        <v>0</v>
      </c>
      <c r="N31" s="20" t="n">
        <v>0</v>
      </c>
      <c r="O31" s="18" t="n">
        <v>0</v>
      </c>
      <c r="P31" s="20" t="n">
        <v>0</v>
      </c>
      <c r="Q31" s="18" t="n">
        <v>8.104397609999999</v>
      </c>
      <c r="R31" s="20" t="n">
        <v>1.1265565</v>
      </c>
    </row>
    <row r="32" spans="1:18">
      <c r="A32" s="15" t="s">
        <v>590</v>
      </c>
      <c r="B32" s="17" t="n">
        <v>4478</v>
      </c>
      <c r="C32" s="18">
        <f>(3985.0/B32*100)</f>
        <v/>
      </c>
      <c r="D32" s="19" t="n">
        <v>493</v>
      </c>
      <c r="E32" s="18" t="n">
        <v>81.79355391</v>
      </c>
      <c r="F32" s="20" t="n">
        <v>1.79899464</v>
      </c>
      <c r="G32" s="18" t="n">
        <v>6.34909705</v>
      </c>
      <c r="H32" s="20" t="n">
        <v>1.03721451</v>
      </c>
      <c r="I32" s="18" t="n">
        <v>0</v>
      </c>
      <c r="J32" s="20" t="n">
        <v>0</v>
      </c>
      <c r="K32" s="18" t="n">
        <v>0</v>
      </c>
      <c r="L32" s="20" t="n">
        <v>0</v>
      </c>
      <c r="M32" s="18" t="n">
        <v>0</v>
      </c>
      <c r="N32" s="20" t="n">
        <v>0</v>
      </c>
      <c r="O32" s="18" t="n">
        <v>0</v>
      </c>
      <c r="P32" s="20" t="n">
        <v>0</v>
      </c>
      <c r="Q32" s="18" t="n">
        <v>11.85734903</v>
      </c>
      <c r="R32" s="20" t="n">
        <v>1.3751091</v>
      </c>
    </row>
    <row r="33" spans="1:18">
      <c r="A33" s="15" t="s">
        <v>591</v>
      </c>
      <c r="B33" s="17" t="n">
        <v>7325</v>
      </c>
      <c r="C33" s="18">
        <f>(6533.0/B33*100)</f>
        <v/>
      </c>
      <c r="D33" s="19" t="n">
        <v>792</v>
      </c>
      <c r="E33" s="18" t="n">
        <v>80.84935973</v>
      </c>
      <c r="F33" s="20" t="n">
        <v>1.53747784</v>
      </c>
      <c r="G33" s="18" t="n">
        <v>4.55271282</v>
      </c>
      <c r="H33" s="20" t="n">
        <v>0.88492896</v>
      </c>
      <c r="I33" s="18" t="n">
        <v>0</v>
      </c>
      <c r="J33" s="20" t="n">
        <v>0</v>
      </c>
      <c r="K33" s="18" t="n">
        <v>0</v>
      </c>
      <c r="L33" s="20" t="n">
        <v>0</v>
      </c>
      <c r="M33" s="18" t="n">
        <v>0.18330628</v>
      </c>
      <c r="N33" s="20" t="n">
        <v>0.13780396</v>
      </c>
      <c r="O33" s="18" t="n">
        <v>0</v>
      </c>
      <c r="P33" s="20" t="n">
        <v>0</v>
      </c>
      <c r="Q33" s="18" t="n">
        <v>14.41462116</v>
      </c>
      <c r="R33" s="20" t="n">
        <v>1.37544828</v>
      </c>
    </row>
    <row r="34" spans="1:18">
      <c r="A34" s="15" t="s">
        <v>592</v>
      </c>
      <c r="B34" s="17" t="n">
        <v>6350</v>
      </c>
      <c r="C34" s="18">
        <f>(5659.0/B34*100)</f>
        <v/>
      </c>
      <c r="D34" s="19" t="n">
        <v>691</v>
      </c>
      <c r="E34" s="18" t="n">
        <v>66.11498666999999</v>
      </c>
      <c r="F34" s="20" t="n">
        <v>1.77353767</v>
      </c>
      <c r="G34" s="18" t="n">
        <v>22.30197001</v>
      </c>
      <c r="H34" s="20" t="n">
        <v>1.95882492</v>
      </c>
      <c r="I34" s="18" t="n">
        <v>0</v>
      </c>
      <c r="J34" s="20" t="n">
        <v>0</v>
      </c>
      <c r="K34" s="18" t="n">
        <v>0.1810374</v>
      </c>
      <c r="L34" s="20" t="n">
        <v>0.17894231</v>
      </c>
      <c r="M34" s="18" t="n">
        <v>0</v>
      </c>
      <c r="N34" s="20" t="n">
        <v>0</v>
      </c>
      <c r="O34" s="18" t="n">
        <v>0</v>
      </c>
      <c r="P34" s="20" t="n">
        <v>0</v>
      </c>
      <c r="Q34" s="18" t="n">
        <v>11.40200592</v>
      </c>
      <c r="R34" s="20" t="n">
        <v>1.08705608</v>
      </c>
    </row>
    <row r="35" spans="1:18">
      <c r="A35" s="15" t="s">
        <v>593</v>
      </c>
      <c r="B35" s="17" t="n">
        <v>6406</v>
      </c>
      <c r="C35" s="18">
        <f>(5688.0/B35*100)</f>
        <v/>
      </c>
      <c r="D35" s="19" t="n">
        <v>718</v>
      </c>
      <c r="E35" s="18" t="n">
        <v>78.38219504</v>
      </c>
      <c r="F35" s="20" t="n">
        <v>2.04718314</v>
      </c>
      <c r="G35" s="18" t="n">
        <v>14.83602889</v>
      </c>
      <c r="H35" s="20" t="n">
        <v>1.79900968</v>
      </c>
      <c r="I35" s="18" t="n">
        <v>0</v>
      </c>
      <c r="J35" s="20" t="n">
        <v>0</v>
      </c>
      <c r="K35" s="18" t="n">
        <v>0.08001219</v>
      </c>
      <c r="L35" s="20" t="n">
        <v>0.08028144</v>
      </c>
      <c r="M35" s="18" t="n">
        <v>0.4633248</v>
      </c>
      <c r="N35" s="20" t="n">
        <v>0.31629629</v>
      </c>
      <c r="O35" s="18" t="n">
        <v>0</v>
      </c>
      <c r="P35" s="20" t="n">
        <v>0</v>
      </c>
      <c r="Q35" s="18" t="n">
        <v>6.23843908</v>
      </c>
      <c r="R35" s="20" t="n">
        <v>0.98025249</v>
      </c>
    </row>
    <row r="36" spans="1:18">
      <c r="A36" s="15" t="s">
        <v>594</v>
      </c>
      <c r="B36" s="17" t="n">
        <v>6736</v>
      </c>
      <c r="C36" s="18">
        <f>(6036.0/B36*100)</f>
        <v/>
      </c>
      <c r="D36" s="19" t="n">
        <v>700</v>
      </c>
      <c r="E36" s="18" t="n">
        <v>76.03330181</v>
      </c>
      <c r="F36" s="20" t="n">
        <v>1.5986972</v>
      </c>
      <c r="G36" s="18" t="n">
        <v>15.62733346</v>
      </c>
      <c r="H36" s="20" t="n">
        <v>1.26080761</v>
      </c>
      <c r="I36" s="18" t="n">
        <v>0</v>
      </c>
      <c r="J36" s="20" t="n">
        <v>0</v>
      </c>
      <c r="K36" s="18" t="n">
        <v>0.43442158</v>
      </c>
      <c r="L36" s="20" t="n">
        <v>0.3413401</v>
      </c>
      <c r="M36" s="18" t="n">
        <v>0</v>
      </c>
      <c r="N36" s="20" t="n">
        <v>0</v>
      </c>
      <c r="O36" s="18" t="n">
        <v>0</v>
      </c>
      <c r="P36" s="20" t="n">
        <v>0</v>
      </c>
      <c r="Q36" s="18" t="n">
        <v>7.90494314</v>
      </c>
      <c r="R36" s="20" t="n">
        <v>1.04951451</v>
      </c>
    </row>
    <row r="37" spans="1:18">
      <c r="A37" s="15" t="s">
        <v>595</v>
      </c>
      <c r="B37" s="17" t="n">
        <v>5458</v>
      </c>
      <c r="C37" s="18">
        <f>(4833.0/B37*100)</f>
        <v/>
      </c>
      <c r="D37" s="19" t="n">
        <v>625</v>
      </c>
      <c r="E37" s="18" t="n">
        <v>75.35429554</v>
      </c>
      <c r="F37" s="20" t="n">
        <v>1.75971742</v>
      </c>
      <c r="G37" s="18" t="n">
        <v>11.24997207</v>
      </c>
      <c r="H37" s="20" t="n">
        <v>1.43379307</v>
      </c>
      <c r="I37" s="18" t="n">
        <v>0</v>
      </c>
      <c r="J37" s="20" t="n">
        <v>0</v>
      </c>
      <c r="K37" s="18" t="n">
        <v>0.15053297</v>
      </c>
      <c r="L37" s="20" t="n">
        <v>0.15122318</v>
      </c>
      <c r="M37" s="18" t="n">
        <v>0</v>
      </c>
      <c r="N37" s="20" t="n">
        <v>0</v>
      </c>
      <c r="O37" s="18" t="n">
        <v>0</v>
      </c>
      <c r="P37" s="20" t="n">
        <v>0</v>
      </c>
      <c r="Q37" s="18" t="n">
        <v>13.24519943</v>
      </c>
      <c r="R37" s="20" t="n">
        <v>1.42726259</v>
      </c>
    </row>
    <row r="38" spans="1:18">
      <c r="A38" s="15" t="s">
        <v>596</v>
      </c>
      <c r="B38" s="17" t="n">
        <v>5860</v>
      </c>
      <c r="C38" s="18">
        <f>(5236.0/B38*100)</f>
        <v/>
      </c>
      <c r="D38" s="19" t="n">
        <v>624</v>
      </c>
      <c r="E38" s="18" t="n">
        <v>75.90204779</v>
      </c>
      <c r="F38" s="20" t="n">
        <v>2.02509136</v>
      </c>
      <c r="G38" s="18" t="n">
        <v>12.09627441</v>
      </c>
      <c r="H38" s="20" t="n">
        <v>1.61935684</v>
      </c>
      <c r="I38" s="18" t="n">
        <v>0</v>
      </c>
      <c r="J38" s="20" t="n">
        <v>0</v>
      </c>
      <c r="K38" s="18" t="n">
        <v>0</v>
      </c>
      <c r="L38" s="20" t="n">
        <v>0</v>
      </c>
      <c r="M38" s="18" t="n">
        <v>3.23726071</v>
      </c>
      <c r="N38" s="20" t="n">
        <v>0.90535551</v>
      </c>
      <c r="O38" s="18" t="n">
        <v>0</v>
      </c>
      <c r="P38" s="20" t="n">
        <v>0</v>
      </c>
      <c r="Q38" s="18" t="n">
        <v>8.76441709</v>
      </c>
      <c r="R38" s="20" t="n">
        <v>1.26424502</v>
      </c>
    </row>
    <row r="39" spans="1:18">
      <c r="A39" s="15" t="s">
        <v>597</v>
      </c>
      <c r="B39" s="17" t="n">
        <v>5895</v>
      </c>
      <c r="C39" s="18">
        <f>(5250.0/B39*100)</f>
        <v/>
      </c>
      <c r="D39" s="19" t="n">
        <v>645</v>
      </c>
      <c r="E39" s="18" t="n">
        <v>77.20290048</v>
      </c>
      <c r="F39" s="20" t="n">
        <v>2.06752388</v>
      </c>
      <c r="G39" s="18" t="n">
        <v>10.54607849</v>
      </c>
      <c r="H39" s="20" t="n">
        <v>1.60205507</v>
      </c>
      <c r="I39" s="18" t="n">
        <v>0</v>
      </c>
      <c r="J39" s="20" t="n">
        <v>0</v>
      </c>
      <c r="K39" s="18" t="n">
        <v>0</v>
      </c>
      <c r="L39" s="20" t="n">
        <v>0</v>
      </c>
      <c r="M39" s="18" t="n">
        <v>0.07018409</v>
      </c>
      <c r="N39" s="20" t="n">
        <v>0.07124377</v>
      </c>
      <c r="O39" s="18" t="n">
        <v>0</v>
      </c>
      <c r="P39" s="20" t="n">
        <v>0</v>
      </c>
      <c r="Q39" s="18" t="n">
        <v>12.18083694</v>
      </c>
      <c r="R39" s="20" t="n">
        <v>1.45055379</v>
      </c>
    </row>
    <row r="40" spans="1:18">
      <c r="A40" s="15" t="s">
        <v>598</v>
      </c>
      <c r="B40" s="17" t="n">
        <v>14157</v>
      </c>
      <c r="C40" s="18">
        <f>(12576.0/B40*100)</f>
        <v/>
      </c>
      <c r="D40" s="19" t="n">
        <v>1581</v>
      </c>
      <c r="E40" s="18" t="n">
        <v>66.34064075000001</v>
      </c>
      <c r="F40" s="20" t="n">
        <v>1.65434069</v>
      </c>
      <c r="G40" s="18" t="n">
        <v>24.1265561</v>
      </c>
      <c r="H40" s="20" t="n">
        <v>1.81984074</v>
      </c>
      <c r="I40" s="18" t="n">
        <v>0</v>
      </c>
      <c r="J40" s="20" t="n">
        <v>0</v>
      </c>
      <c r="K40" s="18" t="n">
        <v>0.39435155</v>
      </c>
      <c r="L40" s="20" t="n">
        <v>0.30063045</v>
      </c>
      <c r="M40" s="18" t="n">
        <v>0.05007863</v>
      </c>
      <c r="N40" s="20" t="n">
        <v>0.04814143</v>
      </c>
      <c r="O40" s="18" t="n">
        <v>0</v>
      </c>
      <c r="P40" s="20" t="n">
        <v>0</v>
      </c>
      <c r="Q40" s="18" t="n">
        <v>9.088372980000001</v>
      </c>
      <c r="R40" s="20" t="n">
        <v>1.02611943</v>
      </c>
    </row>
    <row r="41" spans="1:18">
      <c r="A41" s="15" t="s">
        <v>599</v>
      </c>
      <c r="B41" s="17" t="n">
        <v>5712</v>
      </c>
      <c r="C41" s="18">
        <f>(5100.0/B41*100)</f>
        <v/>
      </c>
      <c r="D41" s="19" t="n">
        <v>612</v>
      </c>
      <c r="E41" s="18" t="n">
        <v>88.09372306</v>
      </c>
      <c r="F41" s="20" t="n">
        <v>1.33726639</v>
      </c>
      <c r="G41" s="18" t="n">
        <v>9.259364229999999</v>
      </c>
      <c r="H41" s="20" t="n">
        <v>1.25912549</v>
      </c>
      <c r="I41" s="18" t="n">
        <v>0</v>
      </c>
      <c r="J41" s="20" t="n">
        <v>0</v>
      </c>
      <c r="K41" s="18" t="n">
        <v>0.20593679</v>
      </c>
      <c r="L41" s="20" t="n">
        <v>0.20873206</v>
      </c>
      <c r="M41" s="18" t="n">
        <v>0</v>
      </c>
      <c r="N41" s="20" t="n">
        <v>0</v>
      </c>
      <c r="O41" s="18" t="n">
        <v>0</v>
      </c>
      <c r="P41" s="20" t="n">
        <v>0</v>
      </c>
      <c r="Q41" s="18" t="n">
        <v>2.44097592</v>
      </c>
      <c r="R41" s="20" t="n">
        <v>0.5987176400000001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(20821.0/B46*100)</f>
        <v/>
      </c>
      <c r="D46" s="19" t="n">
        <v>2320</v>
      </c>
      <c r="E46" s="18" t="n">
        <v>71.84167517</v>
      </c>
      <c r="F46" s="20" t="n">
        <v>1.44138843</v>
      </c>
      <c r="G46" s="18" t="n">
        <v>9.549094200000001</v>
      </c>
      <c r="H46" s="20" t="n">
        <v>0.82897953</v>
      </c>
      <c r="I46" s="18" t="n">
        <v>0</v>
      </c>
      <c r="J46" s="20" t="n">
        <v>0</v>
      </c>
      <c r="K46" s="18" t="n">
        <v>0.8312882</v>
      </c>
      <c r="L46" s="20" t="n">
        <v>0.22257036</v>
      </c>
      <c r="M46" s="18" t="n">
        <v>0.2131859</v>
      </c>
      <c r="N46" s="20" t="n">
        <v>0.18165374</v>
      </c>
      <c r="O46" s="18" t="n">
        <v>0</v>
      </c>
      <c r="P46" s="20" t="n">
        <v>0</v>
      </c>
      <c r="Q46" s="18" t="n">
        <v>17.56475653</v>
      </c>
      <c r="R46" s="20" t="n">
        <v>1.23910729</v>
      </c>
    </row>
    <row r="47" spans="1:18">
      <c r="A47" s="15" t="s">
        <v>606</v>
      </c>
      <c r="B47" s="17" t="n">
        <v>5928</v>
      </c>
      <c r="C47" s="18">
        <f>(5274.0/B47*100)</f>
        <v/>
      </c>
      <c r="D47" s="19" t="n">
        <v>654</v>
      </c>
      <c r="E47" s="18" t="n">
        <v>66.35435647</v>
      </c>
      <c r="F47" s="20" t="n">
        <v>1.87437849</v>
      </c>
      <c r="G47" s="18" t="n">
        <v>9.578609</v>
      </c>
      <c r="H47" s="20" t="n">
        <v>1.41082706</v>
      </c>
      <c r="I47" s="18" t="n">
        <v>0</v>
      </c>
      <c r="J47" s="20" t="n">
        <v>0</v>
      </c>
      <c r="K47" s="18" t="n">
        <v>0.46331174</v>
      </c>
      <c r="L47" s="20" t="n">
        <v>0.25454135</v>
      </c>
      <c r="M47" s="18" t="n">
        <v>0</v>
      </c>
      <c r="N47" s="20" t="n">
        <v>0</v>
      </c>
      <c r="O47" s="18" t="n">
        <v>0</v>
      </c>
      <c r="P47" s="20" t="n">
        <v>0</v>
      </c>
      <c r="Q47" s="18" t="n">
        <v>23.60372278</v>
      </c>
      <c r="R47" s="20" t="n">
        <v>1.71083721</v>
      </c>
    </row>
    <row r="48" spans="1:18">
      <c r="A48" s="15" t="s">
        <v>607</v>
      </c>
      <c r="B48" s="17" t="n">
        <v>9841</v>
      </c>
      <c r="C48" s="18">
        <f>(8746.0/B48*100)</f>
        <v/>
      </c>
      <c r="D48" s="19" t="n">
        <v>1095</v>
      </c>
      <c r="E48" s="18" t="n">
        <v>64.05097465999999</v>
      </c>
      <c r="F48" s="20" t="n">
        <v>1.55057131</v>
      </c>
      <c r="G48" s="18" t="n">
        <v>26.76237053</v>
      </c>
      <c r="H48" s="20" t="n">
        <v>1.63084057</v>
      </c>
      <c r="I48" s="18" t="n">
        <v>0</v>
      </c>
      <c r="J48" s="20" t="n">
        <v>0</v>
      </c>
      <c r="K48" s="18" t="n">
        <v>0.77961671</v>
      </c>
      <c r="L48" s="20" t="n">
        <v>0.27314197</v>
      </c>
      <c r="M48" s="18" t="n">
        <v>0.06806433000000001</v>
      </c>
      <c r="N48" s="20" t="n">
        <v>0.05174072</v>
      </c>
      <c r="O48" s="18" t="n">
        <v>0</v>
      </c>
      <c r="P48" s="20" t="n">
        <v>0</v>
      </c>
      <c r="Q48" s="18" t="n">
        <v>8.338973770000001</v>
      </c>
      <c r="R48" s="20" t="n">
        <v>1.24863486</v>
      </c>
    </row>
    <row r="49" spans="1:18">
      <c r="A49" s="15" t="s">
        <v>608</v>
      </c>
      <c r="B49" s="17" t="n">
        <v>11795</v>
      </c>
      <c r="C49" s="18">
        <f>(10510.0/B49*100)</f>
        <v/>
      </c>
      <c r="D49" s="19" t="n">
        <v>1285</v>
      </c>
      <c r="E49" s="18" t="n">
        <v>87.9391483</v>
      </c>
      <c r="F49" s="20" t="n">
        <v>1.35731374</v>
      </c>
      <c r="G49" s="18" t="n">
        <v>6.04862803</v>
      </c>
      <c r="H49" s="20" t="n">
        <v>0.90818775</v>
      </c>
      <c r="I49" s="18" t="n">
        <v>0</v>
      </c>
      <c r="J49" s="20" t="n">
        <v>0</v>
      </c>
      <c r="K49" s="18" t="n">
        <v>0.27860689</v>
      </c>
      <c r="L49" s="20" t="n">
        <v>0.14402094</v>
      </c>
      <c r="M49" s="18" t="n">
        <v>0.10703727</v>
      </c>
      <c r="N49" s="20" t="n">
        <v>0.06067073</v>
      </c>
      <c r="O49" s="18" t="n">
        <v>0</v>
      </c>
      <c r="P49" s="20" t="n">
        <v>0</v>
      </c>
      <c r="Q49" s="18" t="n">
        <v>5.62657951</v>
      </c>
      <c r="R49" s="20" t="n">
        <v>1.0451056</v>
      </c>
    </row>
    <row r="50" spans="1:18">
      <c r="A50" s="15" t="s">
        <v>609</v>
      </c>
      <c r="B50" s="17" t="n">
        <v>6866</v>
      </c>
      <c r="C50" s="18">
        <f>(6180.0/B50*100)</f>
        <v/>
      </c>
      <c r="D50" s="19" t="n">
        <v>686</v>
      </c>
      <c r="E50" s="18" t="n">
        <v>90.56480645000001</v>
      </c>
      <c r="F50" s="20" t="n">
        <v>1.10208738</v>
      </c>
      <c r="G50" s="18" t="n">
        <v>1.88901804</v>
      </c>
      <c r="H50" s="20" t="n">
        <v>0.5016308900000001</v>
      </c>
      <c r="I50" s="18" t="n">
        <v>0</v>
      </c>
      <c r="J50" s="20" t="n">
        <v>0</v>
      </c>
      <c r="K50" s="18" t="n">
        <v>0</v>
      </c>
      <c r="L50" s="20" t="n">
        <v>0</v>
      </c>
      <c r="M50" s="18" t="n">
        <v>0</v>
      </c>
      <c r="N50" s="20" t="n">
        <v>0</v>
      </c>
      <c r="O50" s="18" t="n">
        <v>0</v>
      </c>
      <c r="P50" s="20" t="n">
        <v>0</v>
      </c>
      <c r="Q50" s="18" t="n">
        <v>7.54617551</v>
      </c>
      <c r="R50" s="20" t="n">
        <v>1.06476315</v>
      </c>
    </row>
    <row r="51" spans="1:18">
      <c r="A51" s="15" t="s">
        <v>610</v>
      </c>
      <c r="B51" s="17" t="n">
        <v>5809</v>
      </c>
      <c r="C51" s="18">
        <f>(5168.0/B51*100)</f>
        <v/>
      </c>
      <c r="D51" s="19" t="n">
        <v>641</v>
      </c>
      <c r="E51" s="18" t="n">
        <v>77.82152557000001</v>
      </c>
      <c r="F51" s="20" t="n">
        <v>1.57685124</v>
      </c>
      <c r="G51" s="18" t="n">
        <v>6.80489652</v>
      </c>
      <c r="H51" s="20" t="n">
        <v>0.9943019</v>
      </c>
      <c r="I51" s="18" t="n">
        <v>0</v>
      </c>
      <c r="J51" s="20" t="n">
        <v>0</v>
      </c>
      <c r="K51" s="18" t="n">
        <v>0</v>
      </c>
      <c r="L51" s="20" t="n">
        <v>0</v>
      </c>
      <c r="M51" s="18" t="n">
        <v>0</v>
      </c>
      <c r="N51" s="20" t="n">
        <v>0</v>
      </c>
      <c r="O51" s="18" t="n">
        <v>0</v>
      </c>
      <c r="P51" s="20" t="n">
        <v>0</v>
      </c>
      <c r="Q51" s="18" t="n">
        <v>15.37357791</v>
      </c>
      <c r="R51" s="20" t="n">
        <v>1.54835302</v>
      </c>
    </row>
    <row r="52" spans="1:18">
      <c r="A52" s="15" t="s">
        <v>611</v>
      </c>
      <c r="B52" s="17" t="n">
        <v>5571</v>
      </c>
      <c r="C52" s="18">
        <f>(4973.0/B52*100)</f>
        <v/>
      </c>
      <c r="D52" s="19" t="n">
        <v>598</v>
      </c>
      <c r="E52" s="18" t="n">
        <v>70.8092801</v>
      </c>
      <c r="F52" s="20" t="n">
        <v>2.03221259</v>
      </c>
      <c r="G52" s="18" t="n">
        <v>6.09622301</v>
      </c>
      <c r="H52" s="20" t="n">
        <v>1.05637011</v>
      </c>
      <c r="I52" s="18" t="n">
        <v>0</v>
      </c>
      <c r="J52" s="20" t="n">
        <v>0</v>
      </c>
      <c r="K52" s="18" t="n">
        <v>0.16024188</v>
      </c>
      <c r="L52" s="20" t="n">
        <v>0.1597454</v>
      </c>
      <c r="M52" s="18" t="n">
        <v>0</v>
      </c>
      <c r="N52" s="20" t="n">
        <v>0</v>
      </c>
      <c r="O52" s="18" t="n">
        <v>0</v>
      </c>
      <c r="P52" s="20" t="n">
        <v>0</v>
      </c>
      <c r="Q52" s="18" t="n">
        <v>22.93425501</v>
      </c>
      <c r="R52" s="20" t="n">
        <v>1.83570609</v>
      </c>
    </row>
    <row r="53" spans="1:18">
      <c r="A53" s="15" t="s">
        <v>612</v>
      </c>
      <c r="B53" s="17" t="n">
        <v>4740</v>
      </c>
      <c r="C53" s="18">
        <f>(4220.0/B53*100)</f>
        <v/>
      </c>
      <c r="D53" s="19" t="n">
        <v>520</v>
      </c>
      <c r="E53" s="18" t="n">
        <v>75.00314014999999</v>
      </c>
      <c r="F53" s="20" t="n">
        <v>1.97068651</v>
      </c>
      <c r="G53" s="18" t="n">
        <v>1.25331195</v>
      </c>
      <c r="H53" s="20" t="n">
        <v>0.45989842</v>
      </c>
      <c r="I53" s="18" t="n">
        <v>0</v>
      </c>
      <c r="J53" s="20" t="n">
        <v>0</v>
      </c>
      <c r="K53" s="18" t="n">
        <v>5.96782911</v>
      </c>
      <c r="L53" s="20" t="n">
        <v>1.29861277</v>
      </c>
      <c r="M53" s="18" t="n">
        <v>0.55680433</v>
      </c>
      <c r="N53" s="20" t="n">
        <v>0.41215793</v>
      </c>
      <c r="O53" s="18" t="n">
        <v>0</v>
      </c>
      <c r="P53" s="20" t="n">
        <v>0</v>
      </c>
      <c r="Q53" s="18" t="n">
        <v>17.21891446</v>
      </c>
      <c r="R53" s="20" t="n">
        <v>1.87844151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(4768.0/B55*100)</f>
        <v/>
      </c>
      <c r="D55" s="19" t="n">
        <v>591</v>
      </c>
      <c r="E55" s="18" t="n">
        <v>69.32713749</v>
      </c>
      <c r="F55" s="20" t="n">
        <v>1.85263243</v>
      </c>
      <c r="G55" s="18" t="n">
        <v>21.44565916</v>
      </c>
      <c r="H55" s="20" t="n">
        <v>1.72177563</v>
      </c>
      <c r="I55" s="18" t="n">
        <v>0</v>
      </c>
      <c r="J55" s="20" t="n">
        <v>0</v>
      </c>
      <c r="K55" s="18" t="n">
        <v>0.38256107</v>
      </c>
      <c r="L55" s="20" t="n">
        <v>0.28726062</v>
      </c>
      <c r="M55" s="18" t="n">
        <v>0.15167422</v>
      </c>
      <c r="N55" s="20" t="n">
        <v>0.15297727</v>
      </c>
      <c r="O55" s="18" t="n">
        <v>0</v>
      </c>
      <c r="P55" s="20" t="n">
        <v>0</v>
      </c>
      <c r="Q55" s="18" t="n">
        <v>8.69296806</v>
      </c>
      <c r="R55" s="20" t="n">
        <v>1.30664822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(5829.0/B61*100)</f>
        <v/>
      </c>
      <c r="D61" s="19" t="n">
        <v>696</v>
      </c>
      <c r="E61" s="18" t="n">
        <v>74.14165776999999</v>
      </c>
      <c r="F61" s="20" t="n">
        <v>1.64466519</v>
      </c>
      <c r="G61" s="18" t="n">
        <v>14.89864318</v>
      </c>
      <c r="H61" s="20" t="n">
        <v>1.47487281</v>
      </c>
      <c r="I61" s="18" t="n">
        <v>0</v>
      </c>
      <c r="J61" s="20" t="n">
        <v>0</v>
      </c>
      <c r="K61" s="18" t="n">
        <v>0</v>
      </c>
      <c r="L61" s="20" t="n">
        <v>0</v>
      </c>
      <c r="M61" s="18" t="n">
        <v>0</v>
      </c>
      <c r="N61" s="20" t="n">
        <v>0</v>
      </c>
      <c r="O61" s="18" t="n">
        <v>0</v>
      </c>
      <c r="P61" s="20" t="n">
        <v>0</v>
      </c>
      <c r="Q61" s="18" t="n">
        <v>10.95969905</v>
      </c>
      <c r="R61" s="20" t="n">
        <v>1.24761566</v>
      </c>
    </row>
    <row r="62" spans="1:18">
      <c r="A62" s="15" t="s">
        <v>622</v>
      </c>
      <c r="B62" s="17" t="n">
        <v>4476</v>
      </c>
      <c r="C62" s="18">
        <f>(3964.0/B62*100)</f>
        <v/>
      </c>
      <c r="D62" s="19" t="n">
        <v>512</v>
      </c>
      <c r="E62" s="18" t="n">
        <v>69.5785952</v>
      </c>
      <c r="F62" s="20" t="n">
        <v>2.24368848</v>
      </c>
      <c r="G62" s="18" t="n">
        <v>27.10044853</v>
      </c>
      <c r="H62" s="20" t="n">
        <v>2.21285201</v>
      </c>
      <c r="I62" s="18" t="n">
        <v>0</v>
      </c>
      <c r="J62" s="20" t="n">
        <v>0</v>
      </c>
      <c r="K62" s="18" t="n">
        <v>0</v>
      </c>
      <c r="L62" s="20" t="n">
        <v>0</v>
      </c>
      <c r="M62" s="18" t="n">
        <v>0</v>
      </c>
      <c r="N62" s="20" t="n">
        <v>0</v>
      </c>
      <c r="O62" s="18" t="n">
        <v>0</v>
      </c>
      <c r="P62" s="20" t="n">
        <v>0</v>
      </c>
      <c r="Q62" s="18" t="n">
        <v>3.32095627</v>
      </c>
      <c r="R62" s="20" t="n">
        <v>0.77145684</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(5042.0/B67*100)</f>
        <v/>
      </c>
      <c r="D67" s="19" t="n">
        <v>623</v>
      </c>
      <c r="E67" s="18" t="n">
        <v>55.77159362</v>
      </c>
      <c r="F67" s="20" t="n">
        <v>1.97009929</v>
      </c>
      <c r="G67" s="18" t="n">
        <v>7.78338202</v>
      </c>
      <c r="H67" s="20" t="n">
        <v>1.05682754</v>
      </c>
      <c r="I67" s="18" t="n">
        <v>0</v>
      </c>
      <c r="J67" s="20" t="n">
        <v>0</v>
      </c>
      <c r="K67" s="18" t="n">
        <v>0.8054909099999999</v>
      </c>
      <c r="L67" s="20" t="n">
        <v>0.36415165</v>
      </c>
      <c r="M67" s="18" t="n">
        <v>0.14234973</v>
      </c>
      <c r="N67" s="20" t="n">
        <v>0.14208584</v>
      </c>
      <c r="O67" s="18" t="n">
        <v>0</v>
      </c>
      <c r="P67" s="20" t="n">
        <v>0</v>
      </c>
      <c r="Q67" s="18" t="n">
        <v>35.49718372</v>
      </c>
      <c r="R67" s="20" t="n">
        <v>2.0201607</v>
      </c>
    </row>
    <row r="68" spans="1:18">
      <c r="A68" s="15" t="s">
        <v>628</v>
      </c>
      <c r="B68" s="17" t="n">
        <v>6971</v>
      </c>
      <c r="C68" s="18">
        <f>(6247.0/B68*100)</f>
        <v/>
      </c>
      <c r="D68" s="19" t="n">
        <v>724</v>
      </c>
      <c r="E68" s="18" t="n">
        <v>87.02276259</v>
      </c>
      <c r="F68" s="20" t="n">
        <v>1.24789259</v>
      </c>
      <c r="G68" s="18" t="n">
        <v>3.22929304</v>
      </c>
      <c r="H68" s="20" t="n">
        <v>0.58591428</v>
      </c>
      <c r="I68" s="18" t="n">
        <v>0</v>
      </c>
      <c r="J68" s="20" t="n">
        <v>0</v>
      </c>
      <c r="K68" s="18" t="n">
        <v>0</v>
      </c>
      <c r="L68" s="20" t="n">
        <v>0</v>
      </c>
      <c r="M68" s="18" t="n">
        <v>0.25312607</v>
      </c>
      <c r="N68" s="20" t="n">
        <v>0.22694167</v>
      </c>
      <c r="O68" s="18" t="n">
        <v>0</v>
      </c>
      <c r="P68" s="20" t="n">
        <v>0</v>
      </c>
      <c r="Q68" s="18" t="n">
        <v>9.494818309999999</v>
      </c>
      <c r="R68" s="20" t="n">
        <v>1.14737076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(10708.0/B70*100)</f>
        <v/>
      </c>
      <c r="D70" s="19" t="n">
        <v>1375</v>
      </c>
      <c r="E70" s="18" t="n">
        <v>71.38060089</v>
      </c>
      <c r="F70" s="20" t="n">
        <v>1.21180476</v>
      </c>
      <c r="G70" s="18" t="n">
        <v>15.04931132</v>
      </c>
      <c r="H70" s="20" t="n">
        <v>0.82446502</v>
      </c>
      <c r="I70" s="18" t="n">
        <v>0</v>
      </c>
      <c r="J70" s="20" t="n">
        <v>0</v>
      </c>
      <c r="K70" s="18" t="n">
        <v>0.66268998</v>
      </c>
      <c r="L70" s="20" t="n">
        <v>0.22357483</v>
      </c>
      <c r="M70" s="18" t="n">
        <v>0.14785027</v>
      </c>
      <c r="N70" s="20" t="n">
        <v>0.10468854</v>
      </c>
      <c r="O70" s="18" t="n">
        <v>0</v>
      </c>
      <c r="P70" s="20" t="n">
        <v>0</v>
      </c>
      <c r="Q70" s="18" t="n">
        <v>12.75954754</v>
      </c>
      <c r="R70" s="20" t="n">
        <v>1.02754409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(5402.0/B72*100)</f>
        <v/>
      </c>
      <c r="D72" s="19" t="n">
        <v>634</v>
      </c>
      <c r="E72" s="18" t="n">
        <v>72.45260906999999</v>
      </c>
      <c r="F72" s="20" t="n">
        <v>2.31672324</v>
      </c>
      <c r="G72" s="18" t="n">
        <v>18.92053888</v>
      </c>
      <c r="H72" s="20" t="n">
        <v>1.98977708</v>
      </c>
      <c r="I72" s="18" t="n">
        <v>0</v>
      </c>
      <c r="J72" s="20" t="n">
        <v>0</v>
      </c>
      <c r="K72" s="18" t="n">
        <v>0.28950961</v>
      </c>
      <c r="L72" s="20" t="n">
        <v>0.21670059</v>
      </c>
      <c r="M72" s="18" t="n">
        <v>0</v>
      </c>
      <c r="N72" s="20" t="n">
        <v>0</v>
      </c>
      <c r="O72" s="18" t="n">
        <v>0</v>
      </c>
      <c r="P72" s="20" t="n">
        <v>0</v>
      </c>
      <c r="Q72" s="18" t="n">
        <v>8.33734243</v>
      </c>
      <c r="R72" s="20" t="n">
        <v>1.21850261</v>
      </c>
    </row>
    <row r="73" spans="1:18">
      <c r="A73" s="15" t="s">
        <v>633</v>
      </c>
      <c r="B73" s="17" t="n">
        <v>6115</v>
      </c>
      <c r="C73" s="18">
        <f>(5463.0/B73*100)</f>
        <v/>
      </c>
      <c r="D73" s="19" t="n">
        <v>652</v>
      </c>
      <c r="E73" s="18" t="n">
        <v>68.51529361999999</v>
      </c>
      <c r="F73" s="20" t="n">
        <v>2.03756168</v>
      </c>
      <c r="G73" s="18" t="n">
        <v>27.89054504</v>
      </c>
      <c r="H73" s="20" t="n">
        <v>1.95655503</v>
      </c>
      <c r="I73" s="18" t="n">
        <v>0</v>
      </c>
      <c r="J73" s="20" t="n">
        <v>0</v>
      </c>
      <c r="K73" s="18" t="n">
        <v>0.22835887</v>
      </c>
      <c r="L73" s="20" t="n">
        <v>0.16535304</v>
      </c>
      <c r="M73" s="18" t="n">
        <v>0</v>
      </c>
      <c r="N73" s="20" t="n">
        <v>0</v>
      </c>
      <c r="O73" s="18" t="n">
        <v>0</v>
      </c>
      <c r="P73" s="20" t="n">
        <v>0</v>
      </c>
      <c r="Q73" s="18" t="n">
        <v>3.36580246</v>
      </c>
      <c r="R73" s="20" t="n">
        <v>0.80280505</v>
      </c>
    </row>
    <row r="74" spans="1:18">
      <c r="A74" s="15" t="s">
        <v>634</v>
      </c>
      <c r="B74" s="17" t="n">
        <v>7708</v>
      </c>
      <c r="C74" s="18">
        <f>(6867.0/B74*100)</f>
        <v/>
      </c>
      <c r="D74" s="19" t="n">
        <v>841</v>
      </c>
      <c r="E74" s="18" t="n">
        <v>53.69123609</v>
      </c>
      <c r="F74" s="20" t="n">
        <v>1.68965365</v>
      </c>
      <c r="G74" s="18" t="n">
        <v>37.0796132</v>
      </c>
      <c r="H74" s="20" t="n">
        <v>1.85561985</v>
      </c>
      <c r="I74" s="18" t="n">
        <v>0</v>
      </c>
      <c r="J74" s="20" t="n">
        <v>0</v>
      </c>
      <c r="K74" s="18" t="n">
        <v>0.1424305</v>
      </c>
      <c r="L74" s="20" t="n">
        <v>0.10383134</v>
      </c>
      <c r="M74" s="18" t="n">
        <v>0.09659144</v>
      </c>
      <c r="N74" s="20" t="n">
        <v>0.09681892</v>
      </c>
      <c r="O74" s="18" t="n">
        <v>0</v>
      </c>
      <c r="P74" s="20" t="n">
        <v>0</v>
      </c>
      <c r="Q74" s="18" t="n">
        <v>8.99012877</v>
      </c>
      <c r="R74" s="20" t="n">
        <v>1.16290656</v>
      </c>
    </row>
    <row r="75" spans="1:18">
      <c r="A75" s="15" t="s">
        <v>635</v>
      </c>
      <c r="B75" s="17" t="n">
        <v>8249</v>
      </c>
      <c r="C75" s="18">
        <f>(7333.0/B75*100)</f>
        <v/>
      </c>
      <c r="D75" s="19" t="n">
        <v>916</v>
      </c>
      <c r="E75" s="18" t="n">
        <v>92.50199166</v>
      </c>
      <c r="F75" s="20" t="n">
        <v>0.96728866</v>
      </c>
      <c r="G75" s="18" t="n">
        <v>4.49404494</v>
      </c>
      <c r="H75" s="20" t="n">
        <v>0.7557229</v>
      </c>
      <c r="I75" s="18" t="n">
        <v>0</v>
      </c>
      <c r="J75" s="20" t="n">
        <v>0</v>
      </c>
      <c r="K75" s="18" t="n">
        <v>0.23335606</v>
      </c>
      <c r="L75" s="20" t="n">
        <v>0.17287061</v>
      </c>
      <c r="M75" s="18" t="n">
        <v>0</v>
      </c>
      <c r="N75" s="20" t="n">
        <v>0</v>
      </c>
      <c r="O75" s="18" t="n">
        <v>0</v>
      </c>
      <c r="P75" s="20" t="n">
        <v>0</v>
      </c>
      <c r="Q75" s="18" t="n">
        <v>2.77060734</v>
      </c>
      <c r="R75" s="20" t="n">
        <v>0.61767262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(4812.0/B77*100)</f>
        <v/>
      </c>
      <c r="D77" s="19" t="n">
        <v>563</v>
      </c>
      <c r="E77" s="18" t="n">
        <v>56.641375</v>
      </c>
      <c r="F77" s="20" t="n">
        <v>2.24565166</v>
      </c>
      <c r="G77" s="18" t="n">
        <v>13.86856887</v>
      </c>
      <c r="H77" s="20" t="n">
        <v>1.56189086</v>
      </c>
      <c r="I77" s="18" t="n">
        <v>0</v>
      </c>
      <c r="J77" s="20" t="n">
        <v>0</v>
      </c>
      <c r="K77" s="18" t="n">
        <v>1.13469869</v>
      </c>
      <c r="L77" s="20" t="n">
        <v>0.53073612</v>
      </c>
      <c r="M77" s="18" t="n">
        <v>0.21337485</v>
      </c>
      <c r="N77" s="20" t="n">
        <v>0.21251292</v>
      </c>
      <c r="O77" s="18" t="n">
        <v>0</v>
      </c>
      <c r="P77" s="20" t="n">
        <v>0</v>
      </c>
      <c r="Q77" s="18" t="n">
        <v>28.14198259</v>
      </c>
      <c r="R77" s="20" t="n">
        <v>2.22622583</v>
      </c>
    </row>
    <row r="78" spans="1:18">
      <c r="A78" s="15" t="s">
        <v>638</v>
      </c>
      <c r="B78" s="17" t="n">
        <v>14167</v>
      </c>
      <c r="C78" s="18">
        <f>(12600.0/B78*100)</f>
        <v/>
      </c>
      <c r="D78" s="19" t="n">
        <v>1567</v>
      </c>
      <c r="E78" s="18" t="n">
        <v>75.49550682</v>
      </c>
      <c r="F78" s="20" t="n">
        <v>1.59664496</v>
      </c>
      <c r="G78" s="18" t="n">
        <v>16.33438462</v>
      </c>
      <c r="H78" s="20" t="n">
        <v>1.54086578</v>
      </c>
      <c r="I78" s="18" t="n">
        <v>0</v>
      </c>
      <c r="J78" s="20" t="n">
        <v>0</v>
      </c>
      <c r="K78" s="18" t="n">
        <v>0.62804237</v>
      </c>
      <c r="L78" s="20" t="n">
        <v>0.22311938</v>
      </c>
      <c r="M78" s="18" t="n">
        <v>0.24643413</v>
      </c>
      <c r="N78" s="20" t="n">
        <v>0.15659552</v>
      </c>
      <c r="O78" s="18" t="n">
        <v>0</v>
      </c>
      <c r="P78" s="20" t="n">
        <v>0</v>
      </c>
      <c r="Q78" s="18" t="n">
        <v>7.29563206</v>
      </c>
      <c r="R78" s="20" t="n">
        <v>0.72845967</v>
      </c>
    </row>
    <row r="79" spans="1:18">
      <c r="A79" s="15" t="s">
        <v>639</v>
      </c>
      <c r="B79" s="17" t="n">
        <v>6062</v>
      </c>
      <c r="C79" s="18">
        <f>(5403.0/B79*100)</f>
        <v/>
      </c>
      <c r="D79" s="19" t="n">
        <v>659</v>
      </c>
      <c r="E79" s="18" t="n">
        <v>68.93747077</v>
      </c>
      <c r="F79" s="20" t="n">
        <v>2.12473297</v>
      </c>
      <c r="G79" s="18" t="n">
        <v>8.142230919999999</v>
      </c>
      <c r="H79" s="20" t="n">
        <v>1.13088456</v>
      </c>
      <c r="I79" s="18" t="n">
        <v>0</v>
      </c>
      <c r="J79" s="20" t="n">
        <v>0</v>
      </c>
      <c r="K79" s="18" t="n">
        <v>0.71558461</v>
      </c>
      <c r="L79" s="20" t="n">
        <v>0.32148255</v>
      </c>
      <c r="M79" s="18" t="n">
        <v>0.34997144</v>
      </c>
      <c r="N79" s="20" t="n">
        <v>0.25477792</v>
      </c>
      <c r="O79" s="18" t="n">
        <v>0</v>
      </c>
      <c r="P79" s="20" t="n">
        <v>0</v>
      </c>
      <c r="Q79" s="18" t="n">
        <v>21.85474226</v>
      </c>
      <c r="R79" s="20" t="n">
        <v>1.77446426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(28752.0/B82*100)</f>
        <v/>
      </c>
      <c r="D82" s="19" t="n">
        <v>3578</v>
      </c>
      <c r="E82" s="18" t="n">
        <v>74.72259441</v>
      </c>
      <c r="F82" s="20" t="n">
        <v>1.34378694</v>
      </c>
      <c r="G82" s="18" t="n">
        <v>15.20273642</v>
      </c>
      <c r="H82" s="20" t="n">
        <v>0.90924452</v>
      </c>
      <c r="I82" s="18" t="n">
        <v>0</v>
      </c>
      <c r="J82" s="20" t="n">
        <v>0</v>
      </c>
      <c r="K82" s="18" t="n">
        <v>0.26158767</v>
      </c>
      <c r="L82" s="20" t="n">
        <v>0.18896245</v>
      </c>
      <c r="M82" s="18" t="n">
        <v>0.1229005</v>
      </c>
      <c r="N82" s="20" t="n">
        <v>0.08321375</v>
      </c>
      <c r="O82" s="18" t="n">
        <v>0</v>
      </c>
      <c r="P82" s="20" t="n">
        <v>0</v>
      </c>
      <c r="Q82" s="18" t="n">
        <v>9.690181000000001</v>
      </c>
      <c r="R82" s="20" t="n">
        <v>0.8949707099999999</v>
      </c>
    </row>
    <row r="83" spans="1:18">
      <c r="A83" s="15" t="s">
        <v>643</v>
      </c>
      <c r="B83" s="17" t="n">
        <v>1652</v>
      </c>
      <c r="C83" s="18">
        <f>(1469.0/B83*100)</f>
        <v/>
      </c>
      <c r="D83" s="19" t="n">
        <v>183</v>
      </c>
      <c r="E83" s="18" t="n">
        <v>84.5586644</v>
      </c>
      <c r="F83" s="20" t="n">
        <v>3.50806319</v>
      </c>
      <c r="G83" s="18" t="n">
        <v>13.94495374</v>
      </c>
      <c r="H83" s="20" t="n">
        <v>3.42858566</v>
      </c>
      <c r="I83" s="18" t="n">
        <v>0</v>
      </c>
      <c r="J83" s="20" t="n">
        <v>0</v>
      </c>
      <c r="K83" s="18" t="n">
        <v>0</v>
      </c>
      <c r="L83" s="20" t="n">
        <v>0</v>
      </c>
      <c r="M83" s="18" t="n">
        <v>0</v>
      </c>
      <c r="N83" s="20" t="n">
        <v>0</v>
      </c>
      <c r="O83" s="18" t="n">
        <v>0</v>
      </c>
      <c r="P83" s="20" t="n">
        <v>0</v>
      </c>
      <c r="Q83" s="18" t="n">
        <v>1.49638186</v>
      </c>
      <c r="R83" s="20" t="n">
        <v>0.87950182</v>
      </c>
    </row>
    <row r="84" spans="1:18">
      <c r="A84" s="23" t="s">
        <v>644</v>
      </c>
      <c r="B84" s="24" t="n">
        <v>1887</v>
      </c>
      <c r="C84" s="25">
        <f>(1685.0/B84*100)</f>
        <v/>
      </c>
      <c r="D84" s="19" t="n">
        <v>202</v>
      </c>
      <c r="E84" s="18" t="n">
        <v>91.45695478</v>
      </c>
      <c r="F84" s="20" t="n">
        <v>2.83873466</v>
      </c>
      <c r="G84" s="18" t="n">
        <v>6.44352882</v>
      </c>
      <c r="H84" s="20" t="n">
        <v>1.98691305</v>
      </c>
      <c r="I84" s="18" t="n">
        <v>0</v>
      </c>
      <c r="J84" s="20" t="n">
        <v>0</v>
      </c>
      <c r="K84" s="18" t="n">
        <v>0</v>
      </c>
      <c r="L84" s="20" t="n">
        <v>0</v>
      </c>
      <c r="M84" s="18" t="n">
        <v>0</v>
      </c>
      <c r="N84" s="20" t="n">
        <v>0</v>
      </c>
      <c r="O84" s="18" t="n">
        <v>0</v>
      </c>
      <c r="P84" s="20" t="n">
        <v>0</v>
      </c>
      <c r="Q84" s="18" t="n">
        <v>2.0995164</v>
      </c>
      <c r="R84" s="20" t="n">
        <v>1.09169189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(12931.0/B7*100)</f>
        <v/>
      </c>
      <c r="D7" s="19" t="n">
        <v>1599</v>
      </c>
      <c r="E7" s="18" t="n">
        <v>37.73728202</v>
      </c>
      <c r="F7" s="20" t="n">
        <v>1.53874116</v>
      </c>
      <c r="G7" s="18" t="n">
        <v>61.7211557</v>
      </c>
      <c r="H7" s="20" t="n">
        <v>1.50553626</v>
      </c>
      <c r="I7" s="18" t="n">
        <v>0</v>
      </c>
      <c r="J7" s="20" t="n">
        <v>0</v>
      </c>
      <c r="K7" s="18" t="n">
        <v>0.16860992</v>
      </c>
      <c r="L7" s="20" t="n">
        <v>0.10700423</v>
      </c>
      <c r="M7" s="18" t="n">
        <v>0</v>
      </c>
      <c r="N7" s="20" t="n">
        <v>0</v>
      </c>
      <c r="O7" s="18" t="n">
        <v>0</v>
      </c>
      <c r="P7" s="20" t="n">
        <v>0</v>
      </c>
      <c r="Q7" s="18" t="n">
        <v>0.37295236</v>
      </c>
      <c r="R7" s="20" t="n">
        <v>0.18857076</v>
      </c>
    </row>
    <row r="8" spans="1:18">
      <c r="A8" s="15" t="s">
        <v>566</v>
      </c>
      <c r="B8" s="17" t="n">
        <v>7007</v>
      </c>
      <c r="C8" s="18">
        <f>(6222.0/B8*100)</f>
        <v/>
      </c>
      <c r="D8" s="19" t="n">
        <v>785</v>
      </c>
      <c r="E8" s="18" t="n">
        <v>59.69594509</v>
      </c>
      <c r="F8" s="20" t="n">
        <v>1.77471084</v>
      </c>
      <c r="G8" s="18" t="n">
        <v>39.98445876</v>
      </c>
      <c r="H8" s="20" t="n">
        <v>1.77487657</v>
      </c>
      <c r="I8" s="18" t="n">
        <v>0</v>
      </c>
      <c r="J8" s="20" t="n">
        <v>0</v>
      </c>
      <c r="K8" s="18" t="n">
        <v>0</v>
      </c>
      <c r="L8" s="20" t="n">
        <v>0</v>
      </c>
      <c r="M8" s="18" t="n">
        <v>0</v>
      </c>
      <c r="N8" s="20" t="n">
        <v>0</v>
      </c>
      <c r="O8" s="18" t="n">
        <v>0</v>
      </c>
      <c r="P8" s="20" t="n">
        <v>0</v>
      </c>
      <c r="Q8" s="18" t="n">
        <v>0.31959615</v>
      </c>
      <c r="R8" s="20" t="n">
        <v>0.17005706</v>
      </c>
    </row>
    <row r="9" spans="1:18">
      <c r="A9" s="15" t="s">
        <v>567</v>
      </c>
      <c r="B9" s="17" t="n">
        <v>9651</v>
      </c>
      <c r="C9" s="18">
        <f>(8587.0/B9*100)</f>
        <v/>
      </c>
      <c r="D9" s="19" t="n">
        <v>1064</v>
      </c>
      <c r="E9" s="18" t="n">
        <v>53.94938973</v>
      </c>
      <c r="F9" s="20" t="n">
        <v>1.48512269</v>
      </c>
      <c r="G9" s="18" t="n">
        <v>45.20773952</v>
      </c>
      <c r="H9" s="20" t="n">
        <v>1.48621859</v>
      </c>
      <c r="I9" s="18" t="n">
        <v>0</v>
      </c>
      <c r="J9" s="20" t="n">
        <v>0</v>
      </c>
      <c r="K9" s="18" t="n">
        <v>0.08404099</v>
      </c>
      <c r="L9" s="20" t="n">
        <v>0.08118359999999999</v>
      </c>
      <c r="M9" s="18" t="n">
        <v>0</v>
      </c>
      <c r="N9" s="20" t="n">
        <v>0</v>
      </c>
      <c r="O9" s="18" t="n">
        <v>0</v>
      </c>
      <c r="P9" s="20" t="n">
        <v>0</v>
      </c>
      <c r="Q9" s="18" t="n">
        <v>0.75882976</v>
      </c>
      <c r="R9" s="20" t="n">
        <v>0.3065274</v>
      </c>
    </row>
    <row r="10" spans="1:18">
      <c r="A10" s="15" t="s">
        <v>568</v>
      </c>
      <c r="B10" s="17" t="n">
        <v>20058</v>
      </c>
      <c r="C10" s="18">
        <f>(17860.0/B10*100)</f>
        <v/>
      </c>
      <c r="D10" s="19" t="n">
        <v>2198</v>
      </c>
      <c r="E10" s="18" t="n">
        <v>39.93163695</v>
      </c>
      <c r="F10" s="20" t="n">
        <v>1.52601571</v>
      </c>
      <c r="G10" s="18" t="n">
        <v>59.58657084</v>
      </c>
      <c r="H10" s="20" t="n">
        <v>1.55149798</v>
      </c>
      <c r="I10" s="18" t="n">
        <v>0</v>
      </c>
      <c r="J10" s="20" t="n">
        <v>0</v>
      </c>
      <c r="K10" s="18" t="n">
        <v>0.014428</v>
      </c>
      <c r="L10" s="20" t="n">
        <v>0.01446123</v>
      </c>
      <c r="M10" s="18" t="n">
        <v>0</v>
      </c>
      <c r="N10" s="20" t="n">
        <v>0</v>
      </c>
      <c r="O10" s="18" t="n">
        <v>0</v>
      </c>
      <c r="P10" s="20" t="n">
        <v>0</v>
      </c>
      <c r="Q10" s="18" t="n">
        <v>0.46736421</v>
      </c>
      <c r="R10" s="20" t="n">
        <v>0.17144289</v>
      </c>
    </row>
    <row r="11" spans="1:18">
      <c r="A11" s="15" t="s">
        <v>569</v>
      </c>
      <c r="B11" s="17" t="n">
        <v>7053</v>
      </c>
      <c r="C11" s="18">
        <f>(6262.0/B11*100)</f>
        <v/>
      </c>
      <c r="D11" s="19" t="n">
        <v>791</v>
      </c>
      <c r="E11" s="18" t="n">
        <v>48.31763402</v>
      </c>
      <c r="F11" s="20" t="n">
        <v>2.08696658</v>
      </c>
      <c r="G11" s="18" t="n">
        <v>50.30893454</v>
      </c>
      <c r="H11" s="20" t="n">
        <v>2.02656619</v>
      </c>
      <c r="I11" s="18" t="n">
        <v>0</v>
      </c>
      <c r="J11" s="20" t="n">
        <v>0</v>
      </c>
      <c r="K11" s="18" t="n">
        <v>0.29444804</v>
      </c>
      <c r="L11" s="20" t="n">
        <v>0.18525017</v>
      </c>
      <c r="M11" s="18" t="n">
        <v>0</v>
      </c>
      <c r="N11" s="20" t="n">
        <v>0</v>
      </c>
      <c r="O11" s="18" t="n">
        <v>0</v>
      </c>
      <c r="P11" s="20" t="n">
        <v>0</v>
      </c>
      <c r="Q11" s="18" t="n">
        <v>1.0789834</v>
      </c>
      <c r="R11" s="20" t="n">
        <v>0.40836146</v>
      </c>
    </row>
    <row r="12" spans="1:18">
      <c r="A12" s="15" t="s">
        <v>570</v>
      </c>
      <c r="B12" s="17" t="n">
        <v>6894</v>
      </c>
      <c r="C12" s="18">
        <f>(6095.0/B12*100)</f>
        <v/>
      </c>
      <c r="D12" s="19" t="n">
        <v>799</v>
      </c>
      <c r="E12" s="18" t="n">
        <v>47.51260493</v>
      </c>
      <c r="F12" s="20" t="n">
        <v>2.13473011</v>
      </c>
      <c r="G12" s="18" t="n">
        <v>51.91855571</v>
      </c>
      <c r="H12" s="20" t="n">
        <v>2.13612185</v>
      </c>
      <c r="I12" s="18" t="n">
        <v>0</v>
      </c>
      <c r="J12" s="20" t="n">
        <v>0</v>
      </c>
      <c r="K12" s="18" t="n">
        <v>0</v>
      </c>
      <c r="L12" s="20" t="n">
        <v>0</v>
      </c>
      <c r="M12" s="18" t="n">
        <v>0</v>
      </c>
      <c r="N12" s="20" t="n">
        <v>0</v>
      </c>
      <c r="O12" s="18" t="n">
        <v>0</v>
      </c>
      <c r="P12" s="20" t="n">
        <v>0</v>
      </c>
      <c r="Q12" s="18" t="n">
        <v>0.56883936</v>
      </c>
      <c r="R12" s="20" t="n">
        <v>0.21052453</v>
      </c>
    </row>
    <row r="13" spans="1:18">
      <c r="A13" s="15" t="s">
        <v>571</v>
      </c>
      <c r="B13" s="17" t="n">
        <v>7161</v>
      </c>
      <c r="C13" s="18">
        <f>(6402.0/B13*100)</f>
        <v/>
      </c>
      <c r="D13" s="19" t="n">
        <v>759</v>
      </c>
      <c r="E13" s="18" t="n">
        <v>53.63915371</v>
      </c>
      <c r="F13" s="20" t="n">
        <v>2.4247732</v>
      </c>
      <c r="G13" s="18" t="n">
        <v>45.60037199</v>
      </c>
      <c r="H13" s="20" t="n">
        <v>2.3753272</v>
      </c>
      <c r="I13" s="18" t="n">
        <v>0</v>
      </c>
      <c r="J13" s="20" t="n">
        <v>0</v>
      </c>
      <c r="K13" s="18" t="n">
        <v>0.11220137</v>
      </c>
      <c r="L13" s="20" t="n">
        <v>0.06488843</v>
      </c>
      <c r="M13" s="18" t="n">
        <v>0</v>
      </c>
      <c r="N13" s="20" t="n">
        <v>0</v>
      </c>
      <c r="O13" s="18" t="n">
        <v>0</v>
      </c>
      <c r="P13" s="20" t="n">
        <v>0</v>
      </c>
      <c r="Q13" s="18" t="n">
        <v>0.64827292</v>
      </c>
      <c r="R13" s="20" t="n">
        <v>0.29230668</v>
      </c>
    </row>
    <row r="14" spans="1:18">
      <c r="A14" s="15" t="s">
        <v>572</v>
      </c>
      <c r="B14" s="17" t="n">
        <v>5587</v>
      </c>
      <c r="C14" s="18">
        <f>(4970.0/B14*100)</f>
        <v/>
      </c>
      <c r="D14" s="19" t="n">
        <v>617</v>
      </c>
      <c r="E14" s="18" t="n">
        <v>50.05827115</v>
      </c>
      <c r="F14" s="20" t="n">
        <v>2.16689701</v>
      </c>
      <c r="G14" s="18" t="n">
        <v>49.94172885</v>
      </c>
      <c r="H14" s="20" t="n">
        <v>2.16689701</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(5223.0/B15*100)</f>
        <v/>
      </c>
      <c r="D15" s="19" t="n">
        <v>659</v>
      </c>
      <c r="E15" s="18" t="n">
        <v>38.63428281</v>
      </c>
      <c r="F15" s="20" t="n">
        <v>1.87473781</v>
      </c>
      <c r="G15" s="18" t="n">
        <v>61.36571719</v>
      </c>
      <c r="H15" s="20" t="n">
        <v>1.87473781</v>
      </c>
      <c r="I15" s="18" t="n">
        <v>0</v>
      </c>
      <c r="J15" s="20" t="n">
        <v>0</v>
      </c>
      <c r="K15" s="18" t="n">
        <v>0</v>
      </c>
      <c r="L15" s="20" t="n">
        <v>0</v>
      </c>
      <c r="M15" s="18" t="n">
        <v>0</v>
      </c>
      <c r="N15" s="20" t="n">
        <v>0</v>
      </c>
      <c r="O15" s="18" t="n">
        <v>0</v>
      </c>
      <c r="P15" s="20" t="n">
        <v>0</v>
      </c>
      <c r="Q15" s="18" t="n">
        <v>0</v>
      </c>
      <c r="R15" s="20" t="n">
        <v>0</v>
      </c>
    </row>
    <row r="16" spans="1:18">
      <c r="A16" s="15" t="s">
        <v>574</v>
      </c>
      <c r="B16" s="17" t="n">
        <v>6108</v>
      </c>
      <c r="C16" s="18">
        <f>(5433.0/B16*100)</f>
        <v/>
      </c>
      <c r="D16" s="19" t="n">
        <v>675</v>
      </c>
      <c r="E16" s="18" t="n">
        <v>45.65080083</v>
      </c>
      <c r="F16" s="20" t="n">
        <v>2.0858181</v>
      </c>
      <c r="G16" s="18" t="n">
        <v>52.46662402</v>
      </c>
      <c r="H16" s="20" t="n">
        <v>2.09631041</v>
      </c>
      <c r="I16" s="18" t="n">
        <v>0</v>
      </c>
      <c r="J16" s="20" t="n">
        <v>0</v>
      </c>
      <c r="K16" s="18" t="n">
        <v>0.35241433</v>
      </c>
      <c r="L16" s="20" t="n">
        <v>0.38188962</v>
      </c>
      <c r="M16" s="18" t="n">
        <v>0</v>
      </c>
      <c r="N16" s="20" t="n">
        <v>0</v>
      </c>
      <c r="O16" s="18" t="n">
        <v>0</v>
      </c>
      <c r="P16" s="20" t="n">
        <v>0</v>
      </c>
      <c r="Q16" s="18" t="n">
        <v>1.53016082</v>
      </c>
      <c r="R16" s="20" t="n">
        <v>0.52044888</v>
      </c>
    </row>
    <row r="17" spans="1:18">
      <c r="A17" s="15" t="s">
        <v>575</v>
      </c>
      <c r="B17" s="17" t="n">
        <v>6504</v>
      </c>
      <c r="C17" s="18">
        <f>(5767.0/B17*100)</f>
        <v/>
      </c>
      <c r="D17" s="19" t="n">
        <v>737</v>
      </c>
      <c r="E17" s="18" t="n">
        <v>47.94292493</v>
      </c>
      <c r="F17" s="20" t="n">
        <v>1.88504043</v>
      </c>
      <c r="G17" s="18" t="n">
        <v>50.68186758</v>
      </c>
      <c r="H17" s="20" t="n">
        <v>1.99547658</v>
      </c>
      <c r="I17" s="18" t="n">
        <v>0</v>
      </c>
      <c r="J17" s="20" t="n">
        <v>0</v>
      </c>
      <c r="K17" s="18" t="n">
        <v>0.60666933</v>
      </c>
      <c r="L17" s="20" t="n">
        <v>0.345912</v>
      </c>
      <c r="M17" s="18" t="n">
        <v>0</v>
      </c>
      <c r="N17" s="20" t="n">
        <v>0</v>
      </c>
      <c r="O17" s="18" t="n">
        <v>0</v>
      </c>
      <c r="P17" s="20" t="n">
        <v>0</v>
      </c>
      <c r="Q17" s="18" t="n">
        <v>0.76853817</v>
      </c>
      <c r="R17" s="20" t="n">
        <v>0.30162524</v>
      </c>
    </row>
    <row r="18" spans="1:18">
      <c r="A18" s="15" t="s">
        <v>576</v>
      </c>
      <c r="B18" s="17" t="n">
        <v>5532</v>
      </c>
      <c r="C18" s="18">
        <f>(4911.0/B18*100)</f>
        <v/>
      </c>
      <c r="D18" s="19" t="n">
        <v>621</v>
      </c>
      <c r="E18" s="18" t="n">
        <v>58.2236102</v>
      </c>
      <c r="F18" s="20" t="n">
        <v>2.02494947</v>
      </c>
      <c r="G18" s="18" t="n">
        <v>40.91147465</v>
      </c>
      <c r="H18" s="20" t="n">
        <v>1.97845826</v>
      </c>
      <c r="I18" s="18" t="n">
        <v>0</v>
      </c>
      <c r="J18" s="20" t="n">
        <v>0</v>
      </c>
      <c r="K18" s="18" t="n">
        <v>0.52743781</v>
      </c>
      <c r="L18" s="20" t="n">
        <v>0.28818611</v>
      </c>
      <c r="M18" s="18" t="n">
        <v>0</v>
      </c>
      <c r="N18" s="20" t="n">
        <v>0</v>
      </c>
      <c r="O18" s="18" t="n">
        <v>0</v>
      </c>
      <c r="P18" s="20" t="n">
        <v>0</v>
      </c>
      <c r="Q18" s="18" t="n">
        <v>0.33747733</v>
      </c>
      <c r="R18" s="20" t="n">
        <v>0.23527729</v>
      </c>
    </row>
    <row r="19" spans="1:18">
      <c r="A19" s="15" t="s">
        <v>577</v>
      </c>
      <c r="B19" s="17" t="n">
        <v>5658</v>
      </c>
      <c r="C19" s="18">
        <f>(5019.0/B19*100)</f>
        <v/>
      </c>
      <c r="D19" s="19" t="n">
        <v>639</v>
      </c>
      <c r="E19" s="18" t="n">
        <v>48.23622555</v>
      </c>
      <c r="F19" s="20" t="n">
        <v>2.35338144</v>
      </c>
      <c r="G19" s="18" t="n">
        <v>51.30923629</v>
      </c>
      <c r="H19" s="20" t="n">
        <v>2.32180519</v>
      </c>
      <c r="I19" s="18" t="n">
        <v>0</v>
      </c>
      <c r="J19" s="20" t="n">
        <v>0</v>
      </c>
      <c r="K19" s="18" t="n">
        <v>0</v>
      </c>
      <c r="L19" s="20" t="n">
        <v>0</v>
      </c>
      <c r="M19" s="18" t="n">
        <v>0</v>
      </c>
      <c r="N19" s="20" t="n">
        <v>0</v>
      </c>
      <c r="O19" s="18" t="n">
        <v>0</v>
      </c>
      <c r="P19" s="20" t="n">
        <v>0</v>
      </c>
      <c r="Q19" s="18" t="n">
        <v>0.45453816</v>
      </c>
      <c r="R19" s="20" t="n">
        <v>0.36300225</v>
      </c>
    </row>
    <row r="20" spans="1:18">
      <c r="A20" s="15" t="s">
        <v>578</v>
      </c>
      <c r="B20" s="17" t="n">
        <v>3371</v>
      </c>
      <c r="C20" s="18">
        <f>(3004.0/B20*100)</f>
        <v/>
      </c>
      <c r="D20" s="19" t="n">
        <v>367</v>
      </c>
      <c r="E20" s="18" t="n">
        <v>46.84981536</v>
      </c>
      <c r="F20" s="20" t="n">
        <v>2.37259296</v>
      </c>
      <c r="G20" s="18" t="n">
        <v>52.35462494</v>
      </c>
      <c r="H20" s="20" t="n">
        <v>2.32448601</v>
      </c>
      <c r="I20" s="18" t="n">
        <v>0</v>
      </c>
      <c r="J20" s="20" t="n">
        <v>0</v>
      </c>
      <c r="K20" s="18" t="n">
        <v>0.23198218</v>
      </c>
      <c r="L20" s="20" t="n">
        <v>0.23214469</v>
      </c>
      <c r="M20" s="18" t="n">
        <v>0</v>
      </c>
      <c r="N20" s="20" t="n">
        <v>0</v>
      </c>
      <c r="O20" s="18" t="n">
        <v>0</v>
      </c>
      <c r="P20" s="20" t="n">
        <v>0</v>
      </c>
      <c r="Q20" s="18" t="n">
        <v>0.56357751</v>
      </c>
      <c r="R20" s="20" t="n">
        <v>0.40267857</v>
      </c>
    </row>
    <row r="21" spans="1:18">
      <c r="A21" s="15" t="s">
        <v>579</v>
      </c>
      <c r="B21" s="17" t="n">
        <v>5741</v>
      </c>
      <c r="C21" s="18">
        <f>(5105.0/B21*100)</f>
        <v/>
      </c>
      <c r="D21" s="19" t="n">
        <v>636</v>
      </c>
      <c r="E21" s="18" t="n">
        <v>40.85602356</v>
      </c>
      <c r="F21" s="20" t="n">
        <v>1.9854055</v>
      </c>
      <c r="G21" s="18" t="n">
        <v>59.02359098</v>
      </c>
      <c r="H21" s="20" t="n">
        <v>1.97093257</v>
      </c>
      <c r="I21" s="18" t="n">
        <v>0</v>
      </c>
      <c r="J21" s="20" t="n">
        <v>0</v>
      </c>
      <c r="K21" s="18" t="n">
        <v>0</v>
      </c>
      <c r="L21" s="20" t="n">
        <v>0</v>
      </c>
      <c r="M21" s="18" t="n">
        <v>0</v>
      </c>
      <c r="N21" s="20" t="n">
        <v>0</v>
      </c>
      <c r="O21" s="18" t="n">
        <v>0</v>
      </c>
      <c r="P21" s="20" t="n">
        <v>0</v>
      </c>
      <c r="Q21" s="18" t="n">
        <v>0.12038546</v>
      </c>
      <c r="R21" s="20" t="n">
        <v>0.1208016</v>
      </c>
    </row>
    <row r="22" spans="1:18">
      <c r="A22" s="15" t="s">
        <v>580</v>
      </c>
      <c r="B22" s="17" t="n">
        <v>6598</v>
      </c>
      <c r="C22" s="18">
        <f>(5932.0/B22*100)</f>
        <v/>
      </c>
      <c r="D22" s="19" t="n">
        <v>666</v>
      </c>
      <c r="E22" s="18" t="n">
        <v>53.39941453</v>
      </c>
      <c r="F22" s="20" t="n">
        <v>1.75479195</v>
      </c>
      <c r="G22" s="18" t="n">
        <v>44.6628462</v>
      </c>
      <c r="H22" s="20" t="n">
        <v>1.81535968</v>
      </c>
      <c r="I22" s="18" t="n">
        <v>0</v>
      </c>
      <c r="J22" s="20" t="n">
        <v>0</v>
      </c>
      <c r="K22" s="18" t="n">
        <v>0</v>
      </c>
      <c r="L22" s="20" t="n">
        <v>0</v>
      </c>
      <c r="M22" s="18" t="n">
        <v>0</v>
      </c>
      <c r="N22" s="20" t="n">
        <v>0</v>
      </c>
      <c r="O22" s="18" t="n">
        <v>0</v>
      </c>
      <c r="P22" s="20" t="n">
        <v>0</v>
      </c>
      <c r="Q22" s="18" t="n">
        <v>1.93773927</v>
      </c>
      <c r="R22" s="20" t="n">
        <v>0.54984261</v>
      </c>
    </row>
    <row r="23" spans="1:18">
      <c r="A23" s="15" t="s">
        <v>581</v>
      </c>
      <c r="B23" s="17" t="n">
        <v>11583</v>
      </c>
      <c r="C23" s="18">
        <f>(10329.0/B23*100)</f>
        <v/>
      </c>
      <c r="D23" s="19" t="n">
        <v>1254</v>
      </c>
      <c r="E23" s="18" t="n">
        <v>38.96339038</v>
      </c>
      <c r="F23" s="20" t="n">
        <v>1.95433736</v>
      </c>
      <c r="G23" s="18" t="n">
        <v>59.36100977</v>
      </c>
      <c r="H23" s="20" t="n">
        <v>1.99426681</v>
      </c>
      <c r="I23" s="18" t="n">
        <v>0</v>
      </c>
      <c r="J23" s="20" t="n">
        <v>0</v>
      </c>
      <c r="K23" s="18" t="n">
        <v>0.29195357</v>
      </c>
      <c r="L23" s="20" t="n">
        <v>0.24700405</v>
      </c>
      <c r="M23" s="18" t="n">
        <v>0</v>
      </c>
      <c r="N23" s="20" t="n">
        <v>0</v>
      </c>
      <c r="O23" s="18" t="n">
        <v>0</v>
      </c>
      <c r="P23" s="20" t="n">
        <v>0</v>
      </c>
      <c r="Q23" s="18" t="n">
        <v>1.38364628</v>
      </c>
      <c r="R23" s="20" t="n">
        <v>0.37383239</v>
      </c>
    </row>
    <row r="24" spans="1:18">
      <c r="A24" s="15" t="s">
        <v>582</v>
      </c>
      <c r="B24" s="17" t="n">
        <v>6647</v>
      </c>
      <c r="C24" s="18">
        <f>(5883.0/B24*100)</f>
        <v/>
      </c>
      <c r="D24" s="19" t="n">
        <v>764</v>
      </c>
      <c r="E24" s="18" t="n">
        <v>42.241039</v>
      </c>
      <c r="F24" s="20" t="n">
        <v>1.92042501</v>
      </c>
      <c r="G24" s="18" t="n">
        <v>57.50746132</v>
      </c>
      <c r="H24" s="20" t="n">
        <v>1.9115849</v>
      </c>
      <c r="I24" s="18" t="n">
        <v>0</v>
      </c>
      <c r="J24" s="20" t="n">
        <v>0</v>
      </c>
      <c r="K24" s="18" t="n">
        <v>0.12618904</v>
      </c>
      <c r="L24" s="20" t="n">
        <v>0.12643146</v>
      </c>
      <c r="M24" s="18" t="n">
        <v>0</v>
      </c>
      <c r="N24" s="20" t="n">
        <v>0</v>
      </c>
      <c r="O24" s="18" t="n">
        <v>0</v>
      </c>
      <c r="P24" s="20" t="n">
        <v>0</v>
      </c>
      <c r="Q24" s="18" t="n">
        <v>0.12531064</v>
      </c>
      <c r="R24" s="20" t="n">
        <v>0.12589267</v>
      </c>
    </row>
    <row r="25" spans="1:18">
      <c r="A25" s="15" t="s">
        <v>583</v>
      </c>
      <c r="B25" s="17" t="n">
        <v>5581</v>
      </c>
      <c r="C25" s="18">
        <f>(4962.0/B25*100)</f>
        <v/>
      </c>
      <c r="D25" s="19" t="n">
        <v>619</v>
      </c>
      <c r="E25" s="18" t="n">
        <v>56.23658017</v>
      </c>
      <c r="F25" s="20" t="n">
        <v>2.08241183</v>
      </c>
      <c r="G25" s="18" t="n">
        <v>43.42811426</v>
      </c>
      <c r="H25" s="20" t="n">
        <v>2.09459284</v>
      </c>
      <c r="I25" s="18" t="n">
        <v>0</v>
      </c>
      <c r="J25" s="20" t="n">
        <v>0</v>
      </c>
      <c r="K25" s="18" t="n">
        <v>0</v>
      </c>
      <c r="L25" s="20" t="n">
        <v>0</v>
      </c>
      <c r="M25" s="18" t="n">
        <v>0</v>
      </c>
      <c r="N25" s="20" t="n">
        <v>0</v>
      </c>
      <c r="O25" s="18" t="n">
        <v>0</v>
      </c>
      <c r="P25" s="20" t="n">
        <v>0</v>
      </c>
      <c r="Q25" s="18" t="n">
        <v>0.33530556</v>
      </c>
      <c r="R25" s="20" t="n">
        <v>0.23830724</v>
      </c>
    </row>
    <row r="26" spans="1:18">
      <c r="A26" s="15" t="s">
        <v>584</v>
      </c>
      <c r="B26" s="17" t="n">
        <v>4869</v>
      </c>
      <c r="C26" s="18">
        <f>(4334.0/B26*100)</f>
        <v/>
      </c>
      <c r="D26" s="19" t="n">
        <v>535</v>
      </c>
      <c r="E26" s="18" t="n">
        <v>60.29897698</v>
      </c>
      <c r="F26" s="20" t="n">
        <v>2.5183038</v>
      </c>
      <c r="G26" s="18" t="n">
        <v>39.43572821</v>
      </c>
      <c r="H26" s="20" t="n">
        <v>2.51860927</v>
      </c>
      <c r="I26" s="18" t="n">
        <v>0</v>
      </c>
      <c r="J26" s="20" t="n">
        <v>0</v>
      </c>
      <c r="K26" s="18" t="n">
        <v>0</v>
      </c>
      <c r="L26" s="20" t="n">
        <v>0</v>
      </c>
      <c r="M26" s="18" t="n">
        <v>0</v>
      </c>
      <c r="N26" s="20" t="n">
        <v>0</v>
      </c>
      <c r="O26" s="18" t="n">
        <v>0</v>
      </c>
      <c r="P26" s="20" t="n">
        <v>0</v>
      </c>
      <c r="Q26" s="18" t="n">
        <v>0.26529481</v>
      </c>
      <c r="R26" s="20" t="n">
        <v>0.18675375</v>
      </c>
    </row>
    <row r="27" spans="1:18">
      <c r="A27" s="15" t="s">
        <v>585</v>
      </c>
      <c r="B27" s="17" t="n">
        <v>5299</v>
      </c>
      <c r="C27" s="18">
        <f>(4741.0/B27*100)</f>
        <v/>
      </c>
      <c r="D27" s="19" t="n">
        <v>558</v>
      </c>
      <c r="E27" s="18" t="n">
        <v>54.84720747</v>
      </c>
      <c r="F27" s="20" t="n">
        <v>1.86929954</v>
      </c>
      <c r="G27" s="18" t="n">
        <v>43.70372181</v>
      </c>
      <c r="H27" s="20" t="n">
        <v>1.92113451</v>
      </c>
      <c r="I27" s="18" t="n">
        <v>0</v>
      </c>
      <c r="J27" s="20" t="n">
        <v>0</v>
      </c>
      <c r="K27" s="18" t="n">
        <v>0.17761446</v>
      </c>
      <c r="L27" s="20" t="n">
        <v>0.17467285</v>
      </c>
      <c r="M27" s="18" t="n">
        <v>0</v>
      </c>
      <c r="N27" s="20" t="n">
        <v>0</v>
      </c>
      <c r="O27" s="18" t="n">
        <v>0</v>
      </c>
      <c r="P27" s="20" t="n">
        <v>0</v>
      </c>
      <c r="Q27" s="18" t="n">
        <v>1.27145626</v>
      </c>
      <c r="R27" s="20" t="n">
        <v>0.48215045</v>
      </c>
    </row>
    <row r="28" spans="1:18">
      <c r="A28" s="15" t="s">
        <v>586</v>
      </c>
      <c r="B28" s="17" t="n">
        <v>7568</v>
      </c>
      <c r="C28" s="18">
        <f>(6770.0/B28*100)</f>
        <v/>
      </c>
      <c r="D28" s="19" t="n">
        <v>798</v>
      </c>
      <c r="E28" s="18" t="n">
        <v>62.7973745</v>
      </c>
      <c r="F28" s="20" t="n">
        <v>1.88626942</v>
      </c>
      <c r="G28" s="18" t="n">
        <v>36.35286291</v>
      </c>
      <c r="H28" s="20" t="n">
        <v>1.92237932</v>
      </c>
      <c r="I28" s="18" t="n">
        <v>0</v>
      </c>
      <c r="J28" s="20" t="n">
        <v>0</v>
      </c>
      <c r="K28" s="18" t="n">
        <v>0.41422688</v>
      </c>
      <c r="L28" s="20" t="n">
        <v>0.31427334</v>
      </c>
      <c r="M28" s="18" t="n">
        <v>0</v>
      </c>
      <c r="N28" s="20" t="n">
        <v>0</v>
      </c>
      <c r="O28" s="18" t="n">
        <v>0</v>
      </c>
      <c r="P28" s="20" t="n">
        <v>0</v>
      </c>
      <c r="Q28" s="18" t="n">
        <v>0.43553571</v>
      </c>
      <c r="R28" s="20" t="n">
        <v>0.33074215</v>
      </c>
    </row>
    <row r="29" spans="1:18">
      <c r="A29" s="15" t="s">
        <v>587</v>
      </c>
      <c r="B29" s="17" t="n">
        <v>5385</v>
      </c>
      <c r="C29" s="18">
        <f>(4788.0/B29*100)</f>
        <v/>
      </c>
      <c r="D29" s="19" t="n">
        <v>597</v>
      </c>
      <c r="E29" s="18" t="n">
        <v>73.8242801</v>
      </c>
      <c r="F29" s="20" t="n">
        <v>2.22125165</v>
      </c>
      <c r="G29" s="18" t="n">
        <v>26.1757199</v>
      </c>
      <c r="H29" s="20" t="n">
        <v>2.22125165</v>
      </c>
      <c r="I29" s="18" t="n">
        <v>0</v>
      </c>
      <c r="J29" s="20" t="n">
        <v>0</v>
      </c>
      <c r="K29" s="18" t="n">
        <v>0</v>
      </c>
      <c r="L29" s="20" t="n">
        <v>0</v>
      </c>
      <c r="M29" s="18" t="n">
        <v>0</v>
      </c>
      <c r="N29" s="20" t="n">
        <v>0</v>
      </c>
      <c r="O29" s="18" t="n">
        <v>0</v>
      </c>
      <c r="P29" s="20" t="n">
        <v>0</v>
      </c>
      <c r="Q29" s="18" t="n">
        <v>0</v>
      </c>
      <c r="R29" s="20" t="n">
        <v>0</v>
      </c>
    </row>
    <row r="30" spans="1:18">
      <c r="A30" s="15" t="s">
        <v>588</v>
      </c>
      <c r="B30" s="17" t="n">
        <v>4520</v>
      </c>
      <c r="C30" s="18">
        <f>(4028.0/B30*100)</f>
        <v/>
      </c>
      <c r="D30" s="19" t="n">
        <v>492</v>
      </c>
      <c r="E30" s="18" t="n">
        <v>40.77277598</v>
      </c>
      <c r="F30" s="20" t="n">
        <v>2.22798756</v>
      </c>
      <c r="G30" s="18" t="n">
        <v>58.83749808</v>
      </c>
      <c r="H30" s="20" t="n">
        <v>2.26648953</v>
      </c>
      <c r="I30" s="18" t="n">
        <v>0</v>
      </c>
      <c r="J30" s="20" t="n">
        <v>0</v>
      </c>
      <c r="K30" s="18" t="n">
        <v>0.2096544</v>
      </c>
      <c r="L30" s="20" t="n">
        <v>0.20180854</v>
      </c>
      <c r="M30" s="18" t="n">
        <v>0</v>
      </c>
      <c r="N30" s="20" t="n">
        <v>0</v>
      </c>
      <c r="O30" s="18" t="n">
        <v>0</v>
      </c>
      <c r="P30" s="20" t="n">
        <v>0</v>
      </c>
      <c r="Q30" s="18" t="n">
        <v>0.18007154</v>
      </c>
      <c r="R30" s="20" t="n">
        <v>0.18119332</v>
      </c>
    </row>
    <row r="31" spans="1:18">
      <c r="A31" s="15" t="s">
        <v>589</v>
      </c>
      <c r="B31" s="17" t="n">
        <v>5456</v>
      </c>
      <c r="C31" s="18">
        <f>(4876.0/B31*100)</f>
        <v/>
      </c>
      <c r="D31" s="19" t="n">
        <v>580</v>
      </c>
      <c r="E31" s="18" t="n">
        <v>56.27439068</v>
      </c>
      <c r="F31" s="20" t="n">
        <v>1.76009825</v>
      </c>
      <c r="G31" s="18" t="n">
        <v>42.23521774</v>
      </c>
      <c r="H31" s="20" t="n">
        <v>1.85376164</v>
      </c>
      <c r="I31" s="18" t="n">
        <v>0</v>
      </c>
      <c r="J31" s="20" t="n">
        <v>0</v>
      </c>
      <c r="K31" s="18" t="n">
        <v>0.1713069</v>
      </c>
      <c r="L31" s="20" t="n">
        <v>0.18449113</v>
      </c>
      <c r="M31" s="18" t="n">
        <v>0</v>
      </c>
      <c r="N31" s="20" t="n">
        <v>0</v>
      </c>
      <c r="O31" s="18" t="n">
        <v>0</v>
      </c>
      <c r="P31" s="20" t="n">
        <v>0</v>
      </c>
      <c r="Q31" s="18" t="n">
        <v>1.31908468</v>
      </c>
      <c r="R31" s="20" t="n">
        <v>0.46708894</v>
      </c>
    </row>
    <row r="32" spans="1:18">
      <c r="A32" s="15" t="s">
        <v>590</v>
      </c>
      <c r="B32" s="17" t="n">
        <v>4478</v>
      </c>
      <c r="C32" s="18">
        <f>(3984.0/B32*100)</f>
        <v/>
      </c>
      <c r="D32" s="19" t="n">
        <v>494</v>
      </c>
      <c r="E32" s="18" t="n">
        <v>39.63185918</v>
      </c>
      <c r="F32" s="20" t="n">
        <v>2.29074161</v>
      </c>
      <c r="G32" s="18" t="n">
        <v>59.8392412</v>
      </c>
      <c r="H32" s="20" t="n">
        <v>2.32624248</v>
      </c>
      <c r="I32" s="18" t="n">
        <v>0</v>
      </c>
      <c r="J32" s="20" t="n">
        <v>0</v>
      </c>
      <c r="K32" s="18" t="n">
        <v>0</v>
      </c>
      <c r="L32" s="20" t="n">
        <v>0</v>
      </c>
      <c r="M32" s="18" t="n">
        <v>0</v>
      </c>
      <c r="N32" s="20" t="n">
        <v>0</v>
      </c>
      <c r="O32" s="18" t="n">
        <v>0</v>
      </c>
      <c r="P32" s="20" t="n">
        <v>0</v>
      </c>
      <c r="Q32" s="18" t="n">
        <v>0.52889961</v>
      </c>
      <c r="R32" s="20" t="n">
        <v>0.38117825</v>
      </c>
    </row>
    <row r="33" spans="1:18">
      <c r="A33" s="15" t="s">
        <v>591</v>
      </c>
      <c r="B33" s="17" t="n">
        <v>7325</v>
      </c>
      <c r="C33" s="18">
        <f>(6533.0/B33*100)</f>
        <v/>
      </c>
      <c r="D33" s="19" t="n">
        <v>792</v>
      </c>
      <c r="E33" s="18" t="n">
        <v>45.56360923</v>
      </c>
      <c r="F33" s="20" t="n">
        <v>1.8532751</v>
      </c>
      <c r="G33" s="18" t="n">
        <v>53.64880456</v>
      </c>
      <c r="H33" s="20" t="n">
        <v>1.84173255</v>
      </c>
      <c r="I33" s="18" t="n">
        <v>0</v>
      </c>
      <c r="J33" s="20" t="n">
        <v>0</v>
      </c>
      <c r="K33" s="18" t="n">
        <v>0</v>
      </c>
      <c r="L33" s="20" t="n">
        <v>0</v>
      </c>
      <c r="M33" s="18" t="n">
        <v>0</v>
      </c>
      <c r="N33" s="20" t="n">
        <v>0</v>
      </c>
      <c r="O33" s="18" t="n">
        <v>0</v>
      </c>
      <c r="P33" s="20" t="n">
        <v>0</v>
      </c>
      <c r="Q33" s="18" t="n">
        <v>0.78758621</v>
      </c>
      <c r="R33" s="20" t="n">
        <v>0.33075046</v>
      </c>
    </row>
    <row r="34" spans="1:18">
      <c r="A34" s="15" t="s">
        <v>592</v>
      </c>
      <c r="B34" s="17" t="n">
        <v>6350</v>
      </c>
      <c r="C34" s="18">
        <f>(5659.0/B34*100)</f>
        <v/>
      </c>
      <c r="D34" s="19" t="n">
        <v>691</v>
      </c>
      <c r="E34" s="18" t="n">
        <v>48.73403962</v>
      </c>
      <c r="F34" s="20" t="n">
        <v>2.13040082</v>
      </c>
      <c r="G34" s="18" t="n">
        <v>49.99376543</v>
      </c>
      <c r="H34" s="20" t="n">
        <v>2.23824268</v>
      </c>
      <c r="I34" s="18" t="n">
        <v>0</v>
      </c>
      <c r="J34" s="20" t="n">
        <v>0</v>
      </c>
      <c r="K34" s="18" t="n">
        <v>0.1810374</v>
      </c>
      <c r="L34" s="20" t="n">
        <v>0.17894231</v>
      </c>
      <c r="M34" s="18" t="n">
        <v>0</v>
      </c>
      <c r="N34" s="20" t="n">
        <v>0</v>
      </c>
      <c r="O34" s="18" t="n">
        <v>0</v>
      </c>
      <c r="P34" s="20" t="n">
        <v>0</v>
      </c>
      <c r="Q34" s="18" t="n">
        <v>1.09115755</v>
      </c>
      <c r="R34" s="20" t="n">
        <v>0.46531712</v>
      </c>
    </row>
    <row r="35" spans="1:18">
      <c r="A35" s="15" t="s">
        <v>593</v>
      </c>
      <c r="B35" s="17" t="n">
        <v>6406</v>
      </c>
      <c r="C35" s="18">
        <f>(5688.0/B35*100)</f>
        <v/>
      </c>
      <c r="D35" s="19" t="n">
        <v>718</v>
      </c>
      <c r="E35" s="18" t="n">
        <v>50.6813223</v>
      </c>
      <c r="F35" s="20" t="n">
        <v>1.90584983</v>
      </c>
      <c r="G35" s="18" t="n">
        <v>48.73525348</v>
      </c>
      <c r="H35" s="20" t="n">
        <v>1.92922891</v>
      </c>
      <c r="I35" s="18" t="n">
        <v>0</v>
      </c>
      <c r="J35" s="20" t="n">
        <v>0</v>
      </c>
      <c r="K35" s="18" t="n">
        <v>0.08001219</v>
      </c>
      <c r="L35" s="20" t="n">
        <v>0.08028144</v>
      </c>
      <c r="M35" s="18" t="n">
        <v>0</v>
      </c>
      <c r="N35" s="20" t="n">
        <v>0</v>
      </c>
      <c r="O35" s="18" t="n">
        <v>0</v>
      </c>
      <c r="P35" s="20" t="n">
        <v>0</v>
      </c>
      <c r="Q35" s="18" t="n">
        <v>0.50341203</v>
      </c>
      <c r="R35" s="20" t="n">
        <v>0.25575373</v>
      </c>
    </row>
    <row r="36" spans="1:18">
      <c r="A36" s="15" t="s">
        <v>594</v>
      </c>
      <c r="B36" s="17" t="n">
        <v>6736</v>
      </c>
      <c r="C36" s="18">
        <f>(6036.0/B36*100)</f>
        <v/>
      </c>
      <c r="D36" s="19" t="n">
        <v>700</v>
      </c>
      <c r="E36" s="18" t="n">
        <v>41.2730073</v>
      </c>
      <c r="F36" s="20" t="n">
        <v>1.856606</v>
      </c>
      <c r="G36" s="18" t="n">
        <v>58.1400017</v>
      </c>
      <c r="H36" s="20" t="n">
        <v>1.85049258</v>
      </c>
      <c r="I36" s="18" t="n">
        <v>0</v>
      </c>
      <c r="J36" s="20" t="n">
        <v>0</v>
      </c>
      <c r="K36" s="18" t="n">
        <v>0.43442158</v>
      </c>
      <c r="L36" s="20" t="n">
        <v>0.3413401</v>
      </c>
      <c r="M36" s="18" t="n">
        <v>0</v>
      </c>
      <c r="N36" s="20" t="n">
        <v>0</v>
      </c>
      <c r="O36" s="18" t="n">
        <v>0</v>
      </c>
      <c r="P36" s="20" t="n">
        <v>0</v>
      </c>
      <c r="Q36" s="18" t="n">
        <v>0.15256942</v>
      </c>
      <c r="R36" s="20" t="n">
        <v>0.10673792</v>
      </c>
    </row>
    <row r="37" spans="1:18">
      <c r="A37" s="15" t="s">
        <v>595</v>
      </c>
      <c r="B37" s="17" t="n">
        <v>5458</v>
      </c>
      <c r="C37" s="18">
        <f>(4833.0/B37*100)</f>
        <v/>
      </c>
      <c r="D37" s="19" t="n">
        <v>625</v>
      </c>
      <c r="E37" s="18" t="n">
        <v>52.34648457</v>
      </c>
      <c r="F37" s="20" t="n">
        <v>1.78222106</v>
      </c>
      <c r="G37" s="18" t="n">
        <v>46.08926482</v>
      </c>
      <c r="H37" s="20" t="n">
        <v>1.91290124</v>
      </c>
      <c r="I37" s="18" t="n">
        <v>0</v>
      </c>
      <c r="J37" s="20" t="n">
        <v>0</v>
      </c>
      <c r="K37" s="18" t="n">
        <v>0.15053297</v>
      </c>
      <c r="L37" s="20" t="n">
        <v>0.15122318</v>
      </c>
      <c r="M37" s="18" t="n">
        <v>0</v>
      </c>
      <c r="N37" s="20" t="n">
        <v>0</v>
      </c>
      <c r="O37" s="18" t="n">
        <v>0</v>
      </c>
      <c r="P37" s="20" t="n">
        <v>0</v>
      </c>
      <c r="Q37" s="18" t="n">
        <v>1.41371764</v>
      </c>
      <c r="R37" s="20" t="n">
        <v>0.47159511</v>
      </c>
    </row>
    <row r="38" spans="1:18">
      <c r="A38" s="15" t="s">
        <v>596</v>
      </c>
      <c r="B38" s="17" t="n">
        <v>5860</v>
      </c>
      <c r="C38" s="18">
        <f>(5236.0/B38*100)</f>
        <v/>
      </c>
      <c r="D38" s="19" t="n">
        <v>624</v>
      </c>
      <c r="E38" s="18" t="n">
        <v>51.88263725</v>
      </c>
      <c r="F38" s="20" t="n">
        <v>2.6336274</v>
      </c>
      <c r="G38" s="18" t="n">
        <v>47.56241757</v>
      </c>
      <c r="H38" s="20" t="n">
        <v>2.62197634</v>
      </c>
      <c r="I38" s="18" t="n">
        <v>0</v>
      </c>
      <c r="J38" s="20" t="n">
        <v>0</v>
      </c>
      <c r="K38" s="18" t="n">
        <v>0</v>
      </c>
      <c r="L38" s="20" t="n">
        <v>0</v>
      </c>
      <c r="M38" s="18" t="n">
        <v>0</v>
      </c>
      <c r="N38" s="20" t="n">
        <v>0</v>
      </c>
      <c r="O38" s="18" t="n">
        <v>0</v>
      </c>
      <c r="P38" s="20" t="n">
        <v>0</v>
      </c>
      <c r="Q38" s="18" t="n">
        <v>0.55494518</v>
      </c>
      <c r="R38" s="20" t="n">
        <v>0.31655265</v>
      </c>
    </row>
    <row r="39" spans="1:18">
      <c r="A39" s="15" t="s">
        <v>597</v>
      </c>
      <c r="B39" s="17" t="n">
        <v>5895</v>
      </c>
      <c r="C39" s="18">
        <f>(5250.0/B39*100)</f>
        <v/>
      </c>
      <c r="D39" s="19" t="n">
        <v>645</v>
      </c>
      <c r="E39" s="18" t="n">
        <v>56.6724224</v>
      </c>
      <c r="F39" s="20" t="n">
        <v>2.41393401</v>
      </c>
      <c r="G39" s="18" t="n">
        <v>42.31974828</v>
      </c>
      <c r="H39" s="20" t="n">
        <v>2.35426231</v>
      </c>
      <c r="I39" s="18" t="n">
        <v>0</v>
      </c>
      <c r="J39" s="20" t="n">
        <v>0</v>
      </c>
      <c r="K39" s="18" t="n">
        <v>0</v>
      </c>
      <c r="L39" s="20" t="n">
        <v>0</v>
      </c>
      <c r="M39" s="18" t="n">
        <v>0</v>
      </c>
      <c r="N39" s="20" t="n">
        <v>0</v>
      </c>
      <c r="O39" s="18" t="n">
        <v>0</v>
      </c>
      <c r="P39" s="20" t="n">
        <v>0</v>
      </c>
      <c r="Q39" s="18" t="n">
        <v>1.00782932</v>
      </c>
      <c r="R39" s="20" t="n">
        <v>0.50868452</v>
      </c>
    </row>
    <row r="40" spans="1:18">
      <c r="A40" s="15" t="s">
        <v>598</v>
      </c>
      <c r="B40" s="17" t="n">
        <v>14157</v>
      </c>
      <c r="C40" s="18">
        <f>(12576.0/B40*100)</f>
        <v/>
      </c>
      <c r="D40" s="19" t="n">
        <v>1581</v>
      </c>
      <c r="E40" s="18" t="n">
        <v>43.0497889</v>
      </c>
      <c r="F40" s="20" t="n">
        <v>1.86401726</v>
      </c>
      <c r="G40" s="18" t="n">
        <v>55.55849456</v>
      </c>
      <c r="H40" s="20" t="n">
        <v>1.86521844</v>
      </c>
      <c r="I40" s="18" t="n">
        <v>0</v>
      </c>
      <c r="J40" s="20" t="n">
        <v>0</v>
      </c>
      <c r="K40" s="18" t="n">
        <v>0.39435155</v>
      </c>
      <c r="L40" s="20" t="n">
        <v>0.30063045</v>
      </c>
      <c r="M40" s="18" t="n">
        <v>0</v>
      </c>
      <c r="N40" s="20" t="n">
        <v>0</v>
      </c>
      <c r="O40" s="18" t="n">
        <v>0</v>
      </c>
      <c r="P40" s="20" t="n">
        <v>0</v>
      </c>
      <c r="Q40" s="18" t="n">
        <v>0.99736499</v>
      </c>
      <c r="R40" s="20" t="n">
        <v>0.36859013</v>
      </c>
    </row>
    <row r="41" spans="1:18">
      <c r="A41" s="15" t="s">
        <v>599</v>
      </c>
      <c r="B41" s="17" t="n">
        <v>5712</v>
      </c>
      <c r="C41" s="18">
        <f>(5100.0/B41*100)</f>
        <v/>
      </c>
      <c r="D41" s="19" t="n">
        <v>612</v>
      </c>
      <c r="E41" s="18" t="n">
        <v>44.38378441</v>
      </c>
      <c r="F41" s="20" t="n">
        <v>2.52308826</v>
      </c>
      <c r="G41" s="18" t="n">
        <v>54.94626237</v>
      </c>
      <c r="H41" s="20" t="n">
        <v>2.53472933</v>
      </c>
      <c r="I41" s="18" t="n">
        <v>0</v>
      </c>
      <c r="J41" s="20" t="n">
        <v>0</v>
      </c>
      <c r="K41" s="18" t="n">
        <v>0.20593679</v>
      </c>
      <c r="L41" s="20" t="n">
        <v>0.20873206</v>
      </c>
      <c r="M41" s="18" t="n">
        <v>0</v>
      </c>
      <c r="N41" s="20" t="n">
        <v>0</v>
      </c>
      <c r="O41" s="18" t="n">
        <v>0</v>
      </c>
      <c r="P41" s="20" t="n">
        <v>0</v>
      </c>
      <c r="Q41" s="18" t="n">
        <v>0.46401643</v>
      </c>
      <c r="R41" s="20" t="n">
        <v>0.26001355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(20818.0/B46*100)</f>
        <v/>
      </c>
      <c r="D46" s="19" t="n">
        <v>2323</v>
      </c>
      <c r="E46" s="18" t="n">
        <v>71.26120040000001</v>
      </c>
      <c r="F46" s="20" t="n">
        <v>1.17509444</v>
      </c>
      <c r="G46" s="18" t="n">
        <v>25.65645767</v>
      </c>
      <c r="H46" s="20" t="n">
        <v>1.10754509</v>
      </c>
      <c r="I46" s="18" t="n">
        <v>0</v>
      </c>
      <c r="J46" s="20" t="n">
        <v>0</v>
      </c>
      <c r="K46" s="18" t="n">
        <v>1.0896005</v>
      </c>
      <c r="L46" s="20" t="n">
        <v>0.26726631</v>
      </c>
      <c r="M46" s="18" t="n">
        <v>0</v>
      </c>
      <c r="N46" s="20" t="n">
        <v>0</v>
      </c>
      <c r="O46" s="18" t="n">
        <v>0</v>
      </c>
      <c r="P46" s="20" t="n">
        <v>0</v>
      </c>
      <c r="Q46" s="18" t="n">
        <v>1.99274144</v>
      </c>
      <c r="R46" s="20" t="n">
        <v>0.34446335</v>
      </c>
    </row>
    <row r="47" spans="1:18">
      <c r="A47" s="15" t="s">
        <v>606</v>
      </c>
      <c r="B47" s="17" t="n">
        <v>5928</v>
      </c>
      <c r="C47" s="18">
        <f>(5274.0/B47*100)</f>
        <v/>
      </c>
      <c r="D47" s="19" t="n">
        <v>654</v>
      </c>
      <c r="E47" s="18" t="n">
        <v>64.44963797</v>
      </c>
      <c r="F47" s="20" t="n">
        <v>2.01607198</v>
      </c>
      <c r="G47" s="18" t="n">
        <v>33.22630789</v>
      </c>
      <c r="H47" s="20" t="n">
        <v>2.07376634</v>
      </c>
      <c r="I47" s="18" t="n">
        <v>0</v>
      </c>
      <c r="J47" s="20" t="n">
        <v>0</v>
      </c>
      <c r="K47" s="18" t="n">
        <v>0.46331174</v>
      </c>
      <c r="L47" s="20" t="n">
        <v>0.25454135</v>
      </c>
      <c r="M47" s="18" t="n">
        <v>0</v>
      </c>
      <c r="N47" s="20" t="n">
        <v>0</v>
      </c>
      <c r="O47" s="18" t="n">
        <v>0</v>
      </c>
      <c r="P47" s="20" t="n">
        <v>0</v>
      </c>
      <c r="Q47" s="18" t="n">
        <v>1.8607424</v>
      </c>
      <c r="R47" s="20" t="n">
        <v>0.62076316</v>
      </c>
    </row>
    <row r="48" spans="1:18">
      <c r="A48" s="15" t="s">
        <v>607</v>
      </c>
      <c r="B48" s="17" t="n">
        <v>9841</v>
      </c>
      <c r="C48" s="18">
        <f>(8746.0/B48*100)</f>
        <v/>
      </c>
      <c r="D48" s="19" t="n">
        <v>1095</v>
      </c>
      <c r="E48" s="18" t="n">
        <v>49.84964009</v>
      </c>
      <c r="F48" s="20" t="n">
        <v>2.56655358</v>
      </c>
      <c r="G48" s="18" t="n">
        <v>48.8388102</v>
      </c>
      <c r="H48" s="20" t="n">
        <v>2.64171754</v>
      </c>
      <c r="I48" s="18" t="n">
        <v>0</v>
      </c>
      <c r="J48" s="20" t="n">
        <v>0</v>
      </c>
      <c r="K48" s="18" t="n">
        <v>0.94177983</v>
      </c>
      <c r="L48" s="20" t="n">
        <v>0.1820608</v>
      </c>
      <c r="M48" s="18" t="n">
        <v>0</v>
      </c>
      <c r="N48" s="20" t="n">
        <v>0</v>
      </c>
      <c r="O48" s="18" t="n">
        <v>0</v>
      </c>
      <c r="P48" s="20" t="n">
        <v>0</v>
      </c>
      <c r="Q48" s="18" t="n">
        <v>0.36976988</v>
      </c>
      <c r="R48" s="20" t="n">
        <v>0.21599716</v>
      </c>
    </row>
    <row r="49" spans="1:18">
      <c r="A49" s="15" t="s">
        <v>608</v>
      </c>
      <c r="B49" s="17" t="n">
        <v>11795</v>
      </c>
      <c r="C49" s="18">
        <f>(10510.0/B49*100)</f>
        <v/>
      </c>
      <c r="D49" s="19" t="n">
        <v>1285</v>
      </c>
      <c r="E49" s="18" t="n">
        <v>57.77209617</v>
      </c>
      <c r="F49" s="20" t="n">
        <v>1.90190844</v>
      </c>
      <c r="G49" s="18" t="n">
        <v>40.94790575</v>
      </c>
      <c r="H49" s="20" t="n">
        <v>1.78464253</v>
      </c>
      <c r="I49" s="18" t="n">
        <v>0</v>
      </c>
      <c r="J49" s="20" t="n">
        <v>0</v>
      </c>
      <c r="K49" s="18" t="n">
        <v>0.27860689</v>
      </c>
      <c r="L49" s="20" t="n">
        <v>0.14402094</v>
      </c>
      <c r="M49" s="18" t="n">
        <v>0</v>
      </c>
      <c r="N49" s="20" t="n">
        <v>0</v>
      </c>
      <c r="O49" s="18" t="n">
        <v>0</v>
      </c>
      <c r="P49" s="20" t="n">
        <v>0</v>
      </c>
      <c r="Q49" s="18" t="n">
        <v>1.00139119</v>
      </c>
      <c r="R49" s="20" t="n">
        <v>0.3660488</v>
      </c>
    </row>
    <row r="50" spans="1:18">
      <c r="A50" s="15" t="s">
        <v>609</v>
      </c>
      <c r="B50" s="17" t="n">
        <v>6866</v>
      </c>
      <c r="C50" s="18">
        <f>(6180.0/B50*100)</f>
        <v/>
      </c>
      <c r="D50" s="19" t="n">
        <v>686</v>
      </c>
      <c r="E50" s="18" t="n">
        <v>64.34818539</v>
      </c>
      <c r="F50" s="20" t="n">
        <v>2.07309279</v>
      </c>
      <c r="G50" s="18" t="n">
        <v>34.66615804</v>
      </c>
      <c r="H50" s="20" t="n">
        <v>2.02535541</v>
      </c>
      <c r="I50" s="18" t="n">
        <v>0</v>
      </c>
      <c r="J50" s="20" t="n">
        <v>0</v>
      </c>
      <c r="K50" s="18" t="n">
        <v>0</v>
      </c>
      <c r="L50" s="20" t="n">
        <v>0</v>
      </c>
      <c r="M50" s="18" t="n">
        <v>0</v>
      </c>
      <c r="N50" s="20" t="n">
        <v>0</v>
      </c>
      <c r="O50" s="18" t="n">
        <v>0</v>
      </c>
      <c r="P50" s="20" t="n">
        <v>0</v>
      </c>
      <c r="Q50" s="18" t="n">
        <v>0.98565657</v>
      </c>
      <c r="R50" s="20" t="n">
        <v>0.40682981</v>
      </c>
    </row>
    <row r="51" spans="1:18">
      <c r="A51" s="15" t="s">
        <v>610</v>
      </c>
      <c r="B51" s="17" t="n">
        <v>5809</v>
      </c>
      <c r="C51" s="18">
        <f>(5168.0/B51*100)</f>
        <v/>
      </c>
      <c r="D51" s="19" t="n">
        <v>641</v>
      </c>
      <c r="E51" s="18" t="n">
        <v>44.8365901</v>
      </c>
      <c r="F51" s="20" t="n">
        <v>2.21014469</v>
      </c>
      <c r="G51" s="18" t="n">
        <v>54.80667707</v>
      </c>
      <c r="H51" s="20" t="n">
        <v>2.18065133</v>
      </c>
      <c r="I51" s="18" t="n">
        <v>0</v>
      </c>
      <c r="J51" s="20" t="n">
        <v>0</v>
      </c>
      <c r="K51" s="18" t="n">
        <v>0</v>
      </c>
      <c r="L51" s="20" t="n">
        <v>0</v>
      </c>
      <c r="M51" s="18" t="n">
        <v>0</v>
      </c>
      <c r="N51" s="20" t="n">
        <v>0</v>
      </c>
      <c r="O51" s="18" t="n">
        <v>0</v>
      </c>
      <c r="P51" s="20" t="n">
        <v>0</v>
      </c>
      <c r="Q51" s="18" t="n">
        <v>0.35673283</v>
      </c>
      <c r="R51" s="20" t="n">
        <v>0.25212441</v>
      </c>
    </row>
    <row r="52" spans="1:18">
      <c r="A52" s="15" t="s">
        <v>611</v>
      </c>
      <c r="B52" s="17" t="n">
        <v>5571</v>
      </c>
      <c r="C52" s="18">
        <f>(4975.0/B52*100)</f>
        <v/>
      </c>
      <c r="D52" s="19" t="n">
        <v>596</v>
      </c>
      <c r="E52" s="18" t="n">
        <v>70.54484437000001</v>
      </c>
      <c r="F52" s="20" t="n">
        <v>2.21870545</v>
      </c>
      <c r="G52" s="18" t="n">
        <v>28.42553964</v>
      </c>
      <c r="H52" s="20" t="n">
        <v>2.15936796</v>
      </c>
      <c r="I52" s="18" t="n">
        <v>0</v>
      </c>
      <c r="J52" s="20" t="n">
        <v>0</v>
      </c>
      <c r="K52" s="18" t="n">
        <v>0.1607818</v>
      </c>
      <c r="L52" s="20" t="n">
        <v>0.16028713</v>
      </c>
      <c r="M52" s="18" t="n">
        <v>0</v>
      </c>
      <c r="N52" s="20" t="n">
        <v>0</v>
      </c>
      <c r="O52" s="18" t="n">
        <v>0</v>
      </c>
      <c r="P52" s="20" t="n">
        <v>0</v>
      </c>
      <c r="Q52" s="18" t="n">
        <v>0.86883419</v>
      </c>
      <c r="R52" s="20" t="n">
        <v>0.35858334</v>
      </c>
    </row>
    <row r="53" spans="1:18">
      <c r="A53" s="15" t="s">
        <v>612</v>
      </c>
      <c r="B53" s="17" t="n">
        <v>4740</v>
      </c>
      <c r="C53" s="18">
        <f>(4220.0/B53*100)</f>
        <v/>
      </c>
      <c r="D53" s="19" t="n">
        <v>520</v>
      </c>
      <c r="E53" s="18" t="n">
        <v>60.64444081</v>
      </c>
      <c r="F53" s="20" t="n">
        <v>2.53233</v>
      </c>
      <c r="G53" s="18" t="n">
        <v>27.51449384</v>
      </c>
      <c r="H53" s="20" t="n">
        <v>2.33075766</v>
      </c>
      <c r="I53" s="18" t="n">
        <v>0</v>
      </c>
      <c r="J53" s="20" t="n">
        <v>0</v>
      </c>
      <c r="K53" s="18" t="n">
        <v>6.63221817</v>
      </c>
      <c r="L53" s="20" t="n">
        <v>1.35065127</v>
      </c>
      <c r="M53" s="18" t="n">
        <v>0</v>
      </c>
      <c r="N53" s="20" t="n">
        <v>0</v>
      </c>
      <c r="O53" s="18" t="n">
        <v>0</v>
      </c>
      <c r="P53" s="20" t="n">
        <v>0</v>
      </c>
      <c r="Q53" s="18" t="n">
        <v>5.20884718</v>
      </c>
      <c r="R53" s="20" t="n">
        <v>1.13150856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(4768.0/B55*100)</f>
        <v/>
      </c>
      <c r="D55" s="19" t="n">
        <v>591</v>
      </c>
      <c r="E55" s="18" t="n">
        <v>48.40612926</v>
      </c>
      <c r="F55" s="20" t="n">
        <v>2.1697043</v>
      </c>
      <c r="G55" s="18" t="n">
        <v>51.21130967</v>
      </c>
      <c r="H55" s="20" t="n">
        <v>2.11384848</v>
      </c>
      <c r="I55" s="18" t="n">
        <v>0</v>
      </c>
      <c r="J55" s="20" t="n">
        <v>0</v>
      </c>
      <c r="K55" s="18" t="n">
        <v>0.38256107</v>
      </c>
      <c r="L55" s="20" t="n">
        <v>0.28726062</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(5828.0/B61*100)</f>
        <v/>
      </c>
      <c r="D61" s="19" t="n">
        <v>697</v>
      </c>
      <c r="E61" s="18" t="n">
        <v>55.38179497</v>
      </c>
      <c r="F61" s="20" t="n">
        <v>2.18869119</v>
      </c>
      <c r="G61" s="18" t="n">
        <v>44.05933111</v>
      </c>
      <c r="H61" s="20" t="n">
        <v>2.17129031</v>
      </c>
      <c r="I61" s="18" t="n">
        <v>0</v>
      </c>
      <c r="J61" s="20" t="n">
        <v>0</v>
      </c>
      <c r="K61" s="18" t="n">
        <v>0.17137484</v>
      </c>
      <c r="L61" s="20" t="n">
        <v>0.17209541</v>
      </c>
      <c r="M61" s="18" t="n">
        <v>0</v>
      </c>
      <c r="N61" s="20" t="n">
        <v>0</v>
      </c>
      <c r="O61" s="18" t="n">
        <v>0</v>
      </c>
      <c r="P61" s="20" t="n">
        <v>0</v>
      </c>
      <c r="Q61" s="18" t="n">
        <v>0.38749908</v>
      </c>
      <c r="R61" s="20" t="n">
        <v>0.23509947</v>
      </c>
    </row>
    <row r="62" spans="1:18">
      <c r="A62" s="15" t="s">
        <v>622</v>
      </c>
      <c r="B62" s="17" t="n">
        <v>4476</v>
      </c>
      <c r="C62" s="18">
        <f>(3964.0/B62*100)</f>
        <v/>
      </c>
      <c r="D62" s="19" t="n">
        <v>512</v>
      </c>
      <c r="E62" s="18" t="n">
        <v>51.44601408</v>
      </c>
      <c r="F62" s="20" t="n">
        <v>2.41467771</v>
      </c>
      <c r="G62" s="18" t="n">
        <v>48.55398592</v>
      </c>
      <c r="H62" s="20" t="n">
        <v>2.41467771</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(5040.0/B67*100)</f>
        <v/>
      </c>
      <c r="D67" s="19" t="n">
        <v>625</v>
      </c>
      <c r="E67" s="18" t="n">
        <v>64.02780341</v>
      </c>
      <c r="F67" s="20" t="n">
        <v>2.30439852</v>
      </c>
      <c r="G67" s="18" t="n">
        <v>33.07652688</v>
      </c>
      <c r="H67" s="20" t="n">
        <v>2.22865936</v>
      </c>
      <c r="I67" s="18" t="n">
        <v>0</v>
      </c>
      <c r="J67" s="20" t="n">
        <v>0</v>
      </c>
      <c r="K67" s="18" t="n">
        <v>0.80313471</v>
      </c>
      <c r="L67" s="20" t="n">
        <v>0.36248446</v>
      </c>
      <c r="M67" s="18" t="n">
        <v>0</v>
      </c>
      <c r="N67" s="20" t="n">
        <v>0</v>
      </c>
      <c r="O67" s="18" t="n">
        <v>0</v>
      </c>
      <c r="P67" s="20" t="n">
        <v>0</v>
      </c>
      <c r="Q67" s="18" t="n">
        <v>2.092535</v>
      </c>
      <c r="R67" s="20" t="n">
        <v>0.56518874</v>
      </c>
    </row>
    <row r="68" spans="1:18">
      <c r="A68" s="15" t="s">
        <v>628</v>
      </c>
      <c r="B68" s="17" t="n">
        <v>6971</v>
      </c>
      <c r="C68" s="18">
        <f>(6247.0/B68*100)</f>
        <v/>
      </c>
      <c r="D68" s="19" t="n">
        <v>724</v>
      </c>
      <c r="E68" s="18" t="n">
        <v>64.64022408</v>
      </c>
      <c r="F68" s="20" t="n">
        <v>1.69226985</v>
      </c>
      <c r="G68" s="18" t="n">
        <v>34.45391425</v>
      </c>
      <c r="H68" s="20" t="n">
        <v>1.66661534</v>
      </c>
      <c r="I68" s="18" t="n">
        <v>0</v>
      </c>
      <c r="J68" s="20" t="n">
        <v>0</v>
      </c>
      <c r="K68" s="18" t="n">
        <v>0</v>
      </c>
      <c r="L68" s="20" t="n">
        <v>0</v>
      </c>
      <c r="M68" s="18" t="n">
        <v>0</v>
      </c>
      <c r="N68" s="20" t="n">
        <v>0</v>
      </c>
      <c r="O68" s="18" t="n">
        <v>0</v>
      </c>
      <c r="P68" s="20" t="n">
        <v>0</v>
      </c>
      <c r="Q68" s="18" t="n">
        <v>0.90586167</v>
      </c>
      <c r="R68" s="20" t="n">
        <v>0.3520193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(10708.0/B70*100)</f>
        <v/>
      </c>
      <c r="D70" s="19" t="n">
        <v>1375</v>
      </c>
      <c r="E70" s="18" t="n">
        <v>60.82535411</v>
      </c>
      <c r="F70" s="20" t="n">
        <v>1.31730581</v>
      </c>
      <c r="G70" s="18" t="n">
        <v>36.69396666</v>
      </c>
      <c r="H70" s="20" t="n">
        <v>1.33349166</v>
      </c>
      <c r="I70" s="18" t="n">
        <v>0</v>
      </c>
      <c r="J70" s="20" t="n">
        <v>0</v>
      </c>
      <c r="K70" s="18" t="n">
        <v>0.80815917</v>
      </c>
      <c r="L70" s="20" t="n">
        <v>0.24670061</v>
      </c>
      <c r="M70" s="18" t="n">
        <v>0</v>
      </c>
      <c r="N70" s="20" t="n">
        <v>0</v>
      </c>
      <c r="O70" s="18" t="n">
        <v>0</v>
      </c>
      <c r="P70" s="20" t="n">
        <v>0</v>
      </c>
      <c r="Q70" s="18" t="n">
        <v>1.67252006</v>
      </c>
      <c r="R70" s="20" t="n">
        <v>0.34518859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(5402.0/B72*100)</f>
        <v/>
      </c>
      <c r="D72" s="19" t="n">
        <v>634</v>
      </c>
      <c r="E72" s="18" t="n">
        <v>66.3694971</v>
      </c>
      <c r="F72" s="20" t="n">
        <v>2.11592702</v>
      </c>
      <c r="G72" s="18" t="n">
        <v>32.79235502</v>
      </c>
      <c r="H72" s="20" t="n">
        <v>1.98794751</v>
      </c>
      <c r="I72" s="18" t="n">
        <v>0</v>
      </c>
      <c r="J72" s="20" t="n">
        <v>0</v>
      </c>
      <c r="K72" s="18" t="n">
        <v>0.42073325</v>
      </c>
      <c r="L72" s="20" t="n">
        <v>0.28988558</v>
      </c>
      <c r="M72" s="18" t="n">
        <v>0</v>
      </c>
      <c r="N72" s="20" t="n">
        <v>0</v>
      </c>
      <c r="O72" s="18" t="n">
        <v>0</v>
      </c>
      <c r="P72" s="20" t="n">
        <v>0</v>
      </c>
      <c r="Q72" s="18" t="n">
        <v>0.41741463</v>
      </c>
      <c r="R72" s="20" t="n">
        <v>0.19275641</v>
      </c>
    </row>
    <row r="73" spans="1:18">
      <c r="A73" s="15" t="s">
        <v>633</v>
      </c>
      <c r="B73" s="17" t="n">
        <v>6115</v>
      </c>
      <c r="C73" s="18">
        <f>(5463.0/B73*100)</f>
        <v/>
      </c>
      <c r="D73" s="19" t="n">
        <v>652</v>
      </c>
      <c r="E73" s="18" t="n">
        <v>50.27305453</v>
      </c>
      <c r="F73" s="20" t="n">
        <v>1.86656909</v>
      </c>
      <c r="G73" s="18" t="n">
        <v>49.20340154</v>
      </c>
      <c r="H73" s="20" t="n">
        <v>1.92410706</v>
      </c>
      <c r="I73" s="18" t="n">
        <v>0</v>
      </c>
      <c r="J73" s="20" t="n">
        <v>0</v>
      </c>
      <c r="K73" s="18" t="n">
        <v>0.22835887</v>
      </c>
      <c r="L73" s="20" t="n">
        <v>0.16535304</v>
      </c>
      <c r="M73" s="18" t="n">
        <v>0</v>
      </c>
      <c r="N73" s="20" t="n">
        <v>0</v>
      </c>
      <c r="O73" s="18" t="n">
        <v>0</v>
      </c>
      <c r="P73" s="20" t="n">
        <v>0</v>
      </c>
      <c r="Q73" s="18" t="n">
        <v>0.29518506</v>
      </c>
      <c r="R73" s="20" t="n">
        <v>0.21266697</v>
      </c>
    </row>
    <row r="74" spans="1:18">
      <c r="A74" s="15" t="s">
        <v>634</v>
      </c>
      <c r="B74" s="17" t="n">
        <v>7708</v>
      </c>
      <c r="C74" s="18">
        <f>(6867.0/B74*100)</f>
        <v/>
      </c>
      <c r="D74" s="19" t="n">
        <v>841</v>
      </c>
      <c r="E74" s="18" t="n">
        <v>61.11000951</v>
      </c>
      <c r="F74" s="20" t="n">
        <v>1.60417482</v>
      </c>
      <c r="G74" s="18" t="n">
        <v>38.19350283</v>
      </c>
      <c r="H74" s="20" t="n">
        <v>1.53442076</v>
      </c>
      <c r="I74" s="18" t="n">
        <v>0</v>
      </c>
      <c r="J74" s="20" t="n">
        <v>0</v>
      </c>
      <c r="K74" s="18" t="n">
        <v>0.1424305</v>
      </c>
      <c r="L74" s="20" t="n">
        <v>0.10383134</v>
      </c>
      <c r="M74" s="18" t="n">
        <v>0</v>
      </c>
      <c r="N74" s="20" t="n">
        <v>0</v>
      </c>
      <c r="O74" s="18" t="n">
        <v>0</v>
      </c>
      <c r="P74" s="20" t="n">
        <v>0</v>
      </c>
      <c r="Q74" s="18" t="n">
        <v>0.55405715</v>
      </c>
      <c r="R74" s="20" t="n">
        <v>0.28512717</v>
      </c>
    </row>
    <row r="75" spans="1:18">
      <c r="A75" s="15" t="s">
        <v>635</v>
      </c>
      <c r="B75" s="17" t="n">
        <v>8249</v>
      </c>
      <c r="C75" s="18">
        <f>(7333.0/B75*100)</f>
        <v/>
      </c>
      <c r="D75" s="19" t="n">
        <v>916</v>
      </c>
      <c r="E75" s="18" t="n">
        <v>70.90791058000001</v>
      </c>
      <c r="F75" s="20" t="n">
        <v>2.03891469</v>
      </c>
      <c r="G75" s="18" t="n">
        <v>28.55835711</v>
      </c>
      <c r="H75" s="20" t="n">
        <v>2.00481922</v>
      </c>
      <c r="I75" s="18" t="n">
        <v>0</v>
      </c>
      <c r="J75" s="20" t="n">
        <v>0</v>
      </c>
      <c r="K75" s="18" t="n">
        <v>0.23335606</v>
      </c>
      <c r="L75" s="20" t="n">
        <v>0.17287061</v>
      </c>
      <c r="M75" s="18" t="n">
        <v>0</v>
      </c>
      <c r="N75" s="20" t="n">
        <v>0</v>
      </c>
      <c r="O75" s="18" t="n">
        <v>0</v>
      </c>
      <c r="P75" s="20" t="n">
        <v>0</v>
      </c>
      <c r="Q75" s="18" t="n">
        <v>0.30037626</v>
      </c>
      <c r="R75" s="20" t="n">
        <v>0.19263512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(4812.0/B77*100)</f>
        <v/>
      </c>
      <c r="D77" s="19" t="n">
        <v>563</v>
      </c>
      <c r="E77" s="18" t="n">
        <v>72.81248352</v>
      </c>
      <c r="F77" s="20" t="n">
        <v>1.95886575</v>
      </c>
      <c r="G77" s="18" t="n">
        <v>24.2568302</v>
      </c>
      <c r="H77" s="20" t="n">
        <v>1.91472416</v>
      </c>
      <c r="I77" s="18" t="n">
        <v>0</v>
      </c>
      <c r="J77" s="20" t="n">
        <v>0</v>
      </c>
      <c r="K77" s="18" t="n">
        <v>1.50988743</v>
      </c>
      <c r="L77" s="20" t="n">
        <v>0.70567256</v>
      </c>
      <c r="M77" s="18" t="n">
        <v>0</v>
      </c>
      <c r="N77" s="20" t="n">
        <v>0</v>
      </c>
      <c r="O77" s="18" t="n">
        <v>0</v>
      </c>
      <c r="P77" s="20" t="n">
        <v>0</v>
      </c>
      <c r="Q77" s="18" t="n">
        <v>1.42079886</v>
      </c>
      <c r="R77" s="20" t="n">
        <v>0.51781481</v>
      </c>
    </row>
    <row r="78" spans="1:18">
      <c r="A78" s="15" t="s">
        <v>638</v>
      </c>
      <c r="B78" s="17" t="n">
        <v>14167</v>
      </c>
      <c r="C78" s="18">
        <f>(12600.0/B78*100)</f>
        <v/>
      </c>
      <c r="D78" s="19" t="n">
        <v>1567</v>
      </c>
      <c r="E78" s="18" t="n">
        <v>59.94951085</v>
      </c>
      <c r="F78" s="20" t="n">
        <v>1.27898306</v>
      </c>
      <c r="G78" s="18" t="n">
        <v>37.68636115</v>
      </c>
      <c r="H78" s="20" t="n">
        <v>1.31554093</v>
      </c>
      <c r="I78" s="18" t="n">
        <v>0</v>
      </c>
      <c r="J78" s="20" t="n">
        <v>0</v>
      </c>
      <c r="K78" s="18" t="n">
        <v>0.71551387</v>
      </c>
      <c r="L78" s="20" t="n">
        <v>0.23926986</v>
      </c>
      <c r="M78" s="18" t="n">
        <v>0</v>
      </c>
      <c r="N78" s="20" t="n">
        <v>0</v>
      </c>
      <c r="O78" s="18" t="n">
        <v>0</v>
      </c>
      <c r="P78" s="20" t="n">
        <v>0</v>
      </c>
      <c r="Q78" s="18" t="n">
        <v>1.64861413</v>
      </c>
      <c r="R78" s="20" t="n">
        <v>0.41783221</v>
      </c>
    </row>
    <row r="79" spans="1:18">
      <c r="A79" s="15" t="s">
        <v>639</v>
      </c>
      <c r="B79" s="17" t="n">
        <v>6062</v>
      </c>
      <c r="C79" s="18">
        <f>(5403.0/B79*100)</f>
        <v/>
      </c>
      <c r="D79" s="19" t="n">
        <v>659</v>
      </c>
      <c r="E79" s="18" t="n">
        <v>57.39620062</v>
      </c>
      <c r="F79" s="20" t="n">
        <v>1.75795695</v>
      </c>
      <c r="G79" s="18" t="n">
        <v>39.61704729</v>
      </c>
      <c r="H79" s="20" t="n">
        <v>1.63552834</v>
      </c>
      <c r="I79" s="18" t="n">
        <v>0</v>
      </c>
      <c r="J79" s="20" t="n">
        <v>0</v>
      </c>
      <c r="K79" s="18" t="n">
        <v>0.71558461</v>
      </c>
      <c r="L79" s="20" t="n">
        <v>0.32148255</v>
      </c>
      <c r="M79" s="18" t="n">
        <v>0</v>
      </c>
      <c r="N79" s="20" t="n">
        <v>0</v>
      </c>
      <c r="O79" s="18" t="n">
        <v>0</v>
      </c>
      <c r="P79" s="20" t="n">
        <v>0</v>
      </c>
      <c r="Q79" s="18" t="n">
        <v>2.27116747</v>
      </c>
      <c r="R79" s="20" t="n">
        <v>0.6748039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(28752.0/B82*100)</f>
        <v/>
      </c>
      <c r="D82" s="19" t="n">
        <v>3578</v>
      </c>
      <c r="E82" s="18" t="n">
        <v>42.39645886</v>
      </c>
      <c r="F82" s="20" t="n">
        <v>1.15677189</v>
      </c>
      <c r="G82" s="18" t="n">
        <v>57.12009142</v>
      </c>
      <c r="H82" s="20" t="n">
        <v>1.13305114</v>
      </c>
      <c r="I82" s="18" t="n">
        <v>0</v>
      </c>
      <c r="J82" s="20" t="n">
        <v>0</v>
      </c>
      <c r="K82" s="18" t="n">
        <v>0.26158767</v>
      </c>
      <c r="L82" s="20" t="n">
        <v>0.18896245</v>
      </c>
      <c r="M82" s="18" t="n">
        <v>0</v>
      </c>
      <c r="N82" s="20" t="n">
        <v>0</v>
      </c>
      <c r="O82" s="18" t="n">
        <v>0</v>
      </c>
      <c r="P82" s="20" t="n">
        <v>0</v>
      </c>
      <c r="Q82" s="18" t="n">
        <v>0.22186204</v>
      </c>
      <c r="R82" s="20" t="n">
        <v>0.09977335</v>
      </c>
    </row>
    <row r="83" spans="1:18">
      <c r="A83" s="15" t="s">
        <v>643</v>
      </c>
      <c r="B83" s="17" t="n">
        <v>1652</v>
      </c>
      <c r="C83" s="18">
        <f>(1469.0/B83*100)</f>
        <v/>
      </c>
      <c r="D83" s="19" t="n">
        <v>183</v>
      </c>
      <c r="E83" s="18" t="n">
        <v>33.62854269</v>
      </c>
      <c r="F83" s="20" t="n">
        <v>3.28556949</v>
      </c>
      <c r="G83" s="18" t="n">
        <v>66.37145731</v>
      </c>
      <c r="H83" s="20" t="n">
        <v>3.28556949</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(1685.0/B84*100)</f>
        <v/>
      </c>
      <c r="D84" s="19" t="n">
        <v>202</v>
      </c>
      <c r="E84" s="18" t="n">
        <v>37.44723251</v>
      </c>
      <c r="F84" s="20" t="n">
        <v>4.58384899</v>
      </c>
      <c r="G84" s="18" t="n">
        <v>62.55276749</v>
      </c>
      <c r="H84" s="20" t="n">
        <v>4.58384899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(12935.0/B7*100)</f>
        <v/>
      </c>
      <c r="D7" s="19" t="n">
        <v>1595</v>
      </c>
      <c r="E7" s="18" t="n">
        <v>54.16761325</v>
      </c>
      <c r="F7" s="20" t="n">
        <v>1.4136519</v>
      </c>
      <c r="G7" s="18" t="n">
        <v>44.71732149</v>
      </c>
      <c r="H7" s="20" t="n">
        <v>1.4507001</v>
      </c>
      <c r="I7" s="18" t="n">
        <v>0</v>
      </c>
      <c r="J7" s="20" t="n">
        <v>0</v>
      </c>
      <c r="K7" s="18" t="n">
        <v>0.2802278</v>
      </c>
      <c r="L7" s="20" t="n">
        <v>0.14661842</v>
      </c>
      <c r="M7" s="18" t="n">
        <v>0</v>
      </c>
      <c r="N7" s="20" t="n">
        <v>0</v>
      </c>
      <c r="O7" s="18" t="n">
        <v>0</v>
      </c>
      <c r="P7" s="20" t="n">
        <v>0</v>
      </c>
      <c r="Q7" s="18" t="n">
        <v>0.83483746</v>
      </c>
      <c r="R7" s="20" t="n">
        <v>0.25802875</v>
      </c>
    </row>
    <row r="8" spans="1:18">
      <c r="A8" s="15" t="s">
        <v>566</v>
      </c>
      <c r="B8" s="17" t="n">
        <v>7007</v>
      </c>
      <c r="C8" s="18">
        <f>(6208.0/B8*100)</f>
        <v/>
      </c>
      <c r="D8" s="19" t="n">
        <v>799</v>
      </c>
      <c r="E8" s="18" t="n">
        <v>63.51732987</v>
      </c>
      <c r="F8" s="20" t="n">
        <v>1.70876782</v>
      </c>
      <c r="G8" s="18" t="n">
        <v>35.91289211</v>
      </c>
      <c r="H8" s="20" t="n">
        <v>1.67972597</v>
      </c>
      <c r="I8" s="18" t="n">
        <v>0</v>
      </c>
      <c r="J8" s="20" t="n">
        <v>0</v>
      </c>
      <c r="K8" s="18" t="n">
        <v>0</v>
      </c>
      <c r="L8" s="20" t="n">
        <v>0</v>
      </c>
      <c r="M8" s="18" t="n">
        <v>0</v>
      </c>
      <c r="N8" s="20" t="n">
        <v>0</v>
      </c>
      <c r="O8" s="18" t="n">
        <v>0</v>
      </c>
      <c r="P8" s="20" t="n">
        <v>0</v>
      </c>
      <c r="Q8" s="18" t="n">
        <v>0.56977802</v>
      </c>
      <c r="R8" s="20" t="n">
        <v>0.33937832</v>
      </c>
    </row>
    <row r="9" spans="1:18">
      <c r="A9" s="15" t="s">
        <v>567</v>
      </c>
      <c r="B9" s="17" t="n">
        <v>9651</v>
      </c>
      <c r="C9" s="18">
        <f>(8345.0/B9*100)</f>
        <v/>
      </c>
      <c r="D9" s="19" t="n">
        <v>1306</v>
      </c>
      <c r="E9" s="18" t="n">
        <v>56.4848423</v>
      </c>
      <c r="F9" s="20" t="n">
        <v>1.79158536</v>
      </c>
      <c r="G9" s="18" t="n">
        <v>41.61176089</v>
      </c>
      <c r="H9" s="20" t="n">
        <v>1.92641779</v>
      </c>
      <c r="I9" s="18" t="n">
        <v>0</v>
      </c>
      <c r="J9" s="20" t="n">
        <v>0</v>
      </c>
      <c r="K9" s="18" t="n">
        <v>0.82169637</v>
      </c>
      <c r="L9" s="20" t="n">
        <v>0.4298518</v>
      </c>
      <c r="M9" s="18" t="n">
        <v>0</v>
      </c>
      <c r="N9" s="20" t="n">
        <v>0</v>
      </c>
      <c r="O9" s="18" t="n">
        <v>0</v>
      </c>
      <c r="P9" s="20" t="n">
        <v>0</v>
      </c>
      <c r="Q9" s="18" t="n">
        <v>1.08170044</v>
      </c>
      <c r="R9" s="20" t="n">
        <v>0.28058674</v>
      </c>
    </row>
    <row r="10" spans="1:18">
      <c r="A10" s="15" t="s">
        <v>568</v>
      </c>
      <c r="B10" s="17" t="n">
        <v>20058</v>
      </c>
      <c r="C10" s="18">
        <f>(17860.0/B10*100)</f>
        <v/>
      </c>
      <c r="D10" s="19" t="n">
        <v>2198</v>
      </c>
      <c r="E10" s="18" t="n">
        <v>49.25279084</v>
      </c>
      <c r="F10" s="20" t="n">
        <v>1.57893066</v>
      </c>
      <c r="G10" s="18" t="n">
        <v>50.088577</v>
      </c>
      <c r="H10" s="20" t="n">
        <v>1.61338205</v>
      </c>
      <c r="I10" s="18" t="n">
        <v>0</v>
      </c>
      <c r="J10" s="20" t="n">
        <v>0</v>
      </c>
      <c r="K10" s="18" t="n">
        <v>0.01443127</v>
      </c>
      <c r="L10" s="20" t="n">
        <v>0.01446458</v>
      </c>
      <c r="M10" s="18" t="n">
        <v>0</v>
      </c>
      <c r="N10" s="20" t="n">
        <v>0</v>
      </c>
      <c r="O10" s="18" t="n">
        <v>0</v>
      </c>
      <c r="P10" s="20" t="n">
        <v>0</v>
      </c>
      <c r="Q10" s="18" t="n">
        <v>0.6442009</v>
      </c>
      <c r="R10" s="20" t="n">
        <v>0.243484</v>
      </c>
    </row>
    <row r="11" spans="1:18">
      <c r="A11" s="15" t="s">
        <v>569</v>
      </c>
      <c r="B11" s="17" t="n">
        <v>7053</v>
      </c>
      <c r="C11" s="18">
        <f>(6263.0/B11*100)</f>
        <v/>
      </c>
      <c r="D11" s="19" t="n">
        <v>790</v>
      </c>
      <c r="E11" s="18" t="n">
        <v>56.44089861</v>
      </c>
      <c r="F11" s="20" t="n">
        <v>2.133289</v>
      </c>
      <c r="G11" s="18" t="n">
        <v>40.97844972</v>
      </c>
      <c r="H11" s="20" t="n">
        <v>2.17132092</v>
      </c>
      <c r="I11" s="18" t="n">
        <v>0</v>
      </c>
      <c r="J11" s="20" t="n">
        <v>0</v>
      </c>
      <c r="K11" s="18" t="n">
        <v>0.6541617199999999</v>
      </c>
      <c r="L11" s="20" t="n">
        <v>0.31330712</v>
      </c>
      <c r="M11" s="18" t="n">
        <v>0</v>
      </c>
      <c r="N11" s="20" t="n">
        <v>0</v>
      </c>
      <c r="O11" s="18" t="n">
        <v>0</v>
      </c>
      <c r="P11" s="20" t="n">
        <v>0</v>
      </c>
      <c r="Q11" s="18" t="n">
        <v>1.92648995</v>
      </c>
      <c r="R11" s="20" t="n">
        <v>0.5755270300000001</v>
      </c>
    </row>
    <row r="12" spans="1:18">
      <c r="A12" s="15" t="s">
        <v>570</v>
      </c>
      <c r="B12" s="17" t="n">
        <v>6894</v>
      </c>
      <c r="C12" s="18">
        <f>(6014.0/B12*100)</f>
        <v/>
      </c>
      <c r="D12" s="19" t="n">
        <v>880</v>
      </c>
      <c r="E12" s="18" t="n">
        <v>54.33103062</v>
      </c>
      <c r="F12" s="20" t="n">
        <v>2.35854213</v>
      </c>
      <c r="G12" s="18" t="n">
        <v>43.39764374</v>
      </c>
      <c r="H12" s="20" t="n">
        <v>2.51895521</v>
      </c>
      <c r="I12" s="18" t="n">
        <v>0</v>
      </c>
      <c r="J12" s="20" t="n">
        <v>0</v>
      </c>
      <c r="K12" s="18" t="n">
        <v>0.8321181</v>
      </c>
      <c r="L12" s="20" t="n">
        <v>0.5027216</v>
      </c>
      <c r="M12" s="18" t="n">
        <v>0</v>
      </c>
      <c r="N12" s="20" t="n">
        <v>0</v>
      </c>
      <c r="O12" s="18" t="n">
        <v>0</v>
      </c>
      <c r="P12" s="20" t="n">
        <v>0</v>
      </c>
      <c r="Q12" s="18" t="n">
        <v>1.43920754</v>
      </c>
      <c r="R12" s="20" t="n">
        <v>0.61420466</v>
      </c>
    </row>
    <row r="13" spans="1:18">
      <c r="A13" s="15" t="s">
        <v>571</v>
      </c>
      <c r="B13" s="17" t="n">
        <v>7161</v>
      </c>
      <c r="C13" s="18">
        <f>(6069.0/B13*100)</f>
        <v/>
      </c>
      <c r="D13" s="19" t="n">
        <v>1092</v>
      </c>
      <c r="E13" s="18" t="n">
        <v>66.90227400000001</v>
      </c>
      <c r="F13" s="20" t="n">
        <v>2.03907169</v>
      </c>
      <c r="G13" s="18" t="n">
        <v>31.63295746</v>
      </c>
      <c r="H13" s="20" t="n">
        <v>2.04518114</v>
      </c>
      <c r="I13" s="18" t="n">
        <v>0</v>
      </c>
      <c r="J13" s="20" t="n">
        <v>0</v>
      </c>
      <c r="K13" s="18" t="n">
        <v>0.96436013</v>
      </c>
      <c r="L13" s="20" t="n">
        <v>0.34464329</v>
      </c>
      <c r="M13" s="18" t="n">
        <v>0</v>
      </c>
      <c r="N13" s="20" t="n">
        <v>0</v>
      </c>
      <c r="O13" s="18" t="n">
        <v>0</v>
      </c>
      <c r="P13" s="20" t="n">
        <v>0</v>
      </c>
      <c r="Q13" s="18" t="n">
        <v>0.50040841</v>
      </c>
      <c r="R13" s="20" t="n">
        <v>0.21415417</v>
      </c>
    </row>
    <row r="14" spans="1:18">
      <c r="A14" s="15" t="s">
        <v>572</v>
      </c>
      <c r="B14" s="17" t="n">
        <v>5587</v>
      </c>
      <c r="C14" s="18">
        <f>(4970.0/B14*100)</f>
        <v/>
      </c>
      <c r="D14" s="19" t="n">
        <v>617</v>
      </c>
      <c r="E14" s="18" t="n">
        <v>44.81476631</v>
      </c>
      <c r="F14" s="20" t="n">
        <v>2.25055907</v>
      </c>
      <c r="G14" s="18" t="n">
        <v>55.18523369</v>
      </c>
      <c r="H14" s="20" t="n">
        <v>2.25055907</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(5193.0/B15*100)</f>
        <v/>
      </c>
      <c r="D15" s="19" t="n">
        <v>689</v>
      </c>
      <c r="E15" s="18" t="n">
        <v>47.80343314</v>
      </c>
      <c r="F15" s="20" t="n">
        <v>2.21088149</v>
      </c>
      <c r="G15" s="18" t="n">
        <v>50.51117426</v>
      </c>
      <c r="H15" s="20" t="n">
        <v>2.58599746</v>
      </c>
      <c r="I15" s="18" t="n">
        <v>0</v>
      </c>
      <c r="J15" s="20" t="n">
        <v>0</v>
      </c>
      <c r="K15" s="18" t="n">
        <v>0.57648802</v>
      </c>
      <c r="L15" s="20" t="n">
        <v>0.56887398</v>
      </c>
      <c r="M15" s="18" t="n">
        <v>0</v>
      </c>
      <c r="N15" s="20" t="n">
        <v>0</v>
      </c>
      <c r="O15" s="18" t="n">
        <v>0</v>
      </c>
      <c r="P15" s="20" t="n">
        <v>0</v>
      </c>
      <c r="Q15" s="18" t="n">
        <v>1.10890458</v>
      </c>
      <c r="R15" s="20" t="n">
        <v>0.50276387</v>
      </c>
    </row>
    <row r="16" spans="1:18">
      <c r="A16" s="15" t="s">
        <v>574</v>
      </c>
      <c r="B16" s="17" t="n">
        <v>6108</v>
      </c>
      <c r="C16" s="18">
        <f>(5434.0/B16*100)</f>
        <v/>
      </c>
      <c r="D16" s="19" t="n">
        <v>674</v>
      </c>
      <c r="E16" s="18" t="n">
        <v>46.98293236</v>
      </c>
      <c r="F16" s="20" t="n">
        <v>2.0392097</v>
      </c>
      <c r="G16" s="18" t="n">
        <v>51.08662348</v>
      </c>
      <c r="H16" s="20" t="n">
        <v>2.00700008</v>
      </c>
      <c r="I16" s="18" t="n">
        <v>0</v>
      </c>
      <c r="J16" s="20" t="n">
        <v>0</v>
      </c>
      <c r="K16" s="18" t="n">
        <v>0.35307308</v>
      </c>
      <c r="L16" s="20" t="n">
        <v>0.38263005</v>
      </c>
      <c r="M16" s="18" t="n">
        <v>0</v>
      </c>
      <c r="N16" s="20" t="n">
        <v>0</v>
      </c>
      <c r="O16" s="18" t="n">
        <v>0</v>
      </c>
      <c r="P16" s="20" t="n">
        <v>0</v>
      </c>
      <c r="Q16" s="18" t="n">
        <v>1.57737108</v>
      </c>
      <c r="R16" s="20" t="n">
        <v>0.4673127</v>
      </c>
    </row>
    <row r="17" spans="1:18">
      <c r="A17" s="15" t="s">
        <v>575</v>
      </c>
      <c r="B17" s="17" t="n">
        <v>6504</v>
      </c>
      <c r="C17" s="18">
        <f>(5633.0/B17*100)</f>
        <v/>
      </c>
      <c r="D17" s="19" t="n">
        <v>871</v>
      </c>
      <c r="E17" s="18" t="n">
        <v>59.78722409</v>
      </c>
      <c r="F17" s="20" t="n">
        <v>1.88641424</v>
      </c>
      <c r="G17" s="18" t="n">
        <v>34.9756681</v>
      </c>
      <c r="H17" s="20" t="n">
        <v>1.68477351</v>
      </c>
      <c r="I17" s="18" t="n">
        <v>0</v>
      </c>
      <c r="J17" s="20" t="n">
        <v>0</v>
      </c>
      <c r="K17" s="18" t="n">
        <v>1.56870258</v>
      </c>
      <c r="L17" s="20" t="n">
        <v>0.5607583</v>
      </c>
      <c r="M17" s="18" t="n">
        <v>0</v>
      </c>
      <c r="N17" s="20" t="n">
        <v>0</v>
      </c>
      <c r="O17" s="18" t="n">
        <v>0</v>
      </c>
      <c r="P17" s="20" t="n">
        <v>0</v>
      </c>
      <c r="Q17" s="18" t="n">
        <v>3.66840522</v>
      </c>
      <c r="R17" s="20" t="n">
        <v>0.54629193</v>
      </c>
    </row>
    <row r="18" spans="1:18">
      <c r="A18" s="15" t="s">
        <v>576</v>
      </c>
      <c r="B18" s="17" t="n">
        <v>5532</v>
      </c>
      <c r="C18" s="18">
        <f>(4911.0/B18*100)</f>
        <v/>
      </c>
      <c r="D18" s="19" t="n">
        <v>621</v>
      </c>
      <c r="E18" s="18" t="n">
        <v>60.14358615</v>
      </c>
      <c r="F18" s="20" t="n">
        <v>2.21532231</v>
      </c>
      <c r="G18" s="18" t="n">
        <v>38.10979904</v>
      </c>
      <c r="H18" s="20" t="n">
        <v>2.19377644</v>
      </c>
      <c r="I18" s="18" t="n">
        <v>0</v>
      </c>
      <c r="J18" s="20" t="n">
        <v>0</v>
      </c>
      <c r="K18" s="18" t="n">
        <v>0.52743781</v>
      </c>
      <c r="L18" s="20" t="n">
        <v>0.28818611</v>
      </c>
      <c r="M18" s="18" t="n">
        <v>0</v>
      </c>
      <c r="N18" s="20" t="n">
        <v>0</v>
      </c>
      <c r="O18" s="18" t="n">
        <v>0</v>
      </c>
      <c r="P18" s="20" t="n">
        <v>0</v>
      </c>
      <c r="Q18" s="18" t="n">
        <v>1.21917699</v>
      </c>
      <c r="R18" s="20" t="n">
        <v>0.5401290399999999</v>
      </c>
    </row>
    <row r="19" spans="1:18">
      <c r="A19" s="15" t="s">
        <v>577</v>
      </c>
      <c r="B19" s="17" t="n">
        <v>5658</v>
      </c>
      <c r="C19" s="18">
        <f>(5020.0/B19*100)</f>
        <v/>
      </c>
      <c r="D19" s="19" t="n">
        <v>638</v>
      </c>
      <c r="E19" s="18" t="n">
        <v>56.73566163</v>
      </c>
      <c r="F19" s="20" t="n">
        <v>2.50938649</v>
      </c>
      <c r="G19" s="18" t="n">
        <v>41.94423557</v>
      </c>
      <c r="H19" s="20" t="n">
        <v>2.47601171</v>
      </c>
      <c r="I19" s="18" t="n">
        <v>0</v>
      </c>
      <c r="J19" s="20" t="n">
        <v>0</v>
      </c>
      <c r="K19" s="18" t="n">
        <v>0</v>
      </c>
      <c r="L19" s="20" t="n">
        <v>0</v>
      </c>
      <c r="M19" s="18" t="n">
        <v>0</v>
      </c>
      <c r="N19" s="20" t="n">
        <v>0</v>
      </c>
      <c r="O19" s="18" t="n">
        <v>0</v>
      </c>
      <c r="P19" s="20" t="n">
        <v>0</v>
      </c>
      <c r="Q19" s="18" t="n">
        <v>1.32010279</v>
      </c>
      <c r="R19" s="20" t="n">
        <v>0.5651057</v>
      </c>
    </row>
    <row r="20" spans="1:18">
      <c r="A20" s="15" t="s">
        <v>578</v>
      </c>
      <c r="B20" s="17" t="n">
        <v>3371</v>
      </c>
      <c r="C20" s="18">
        <f>(3005.0/B20*100)</f>
        <v/>
      </c>
      <c r="D20" s="19" t="n">
        <v>366</v>
      </c>
      <c r="E20" s="18" t="n">
        <v>65.3501105</v>
      </c>
      <c r="F20" s="20" t="n">
        <v>2.32161591</v>
      </c>
      <c r="G20" s="18" t="n">
        <v>33.55669785</v>
      </c>
      <c r="H20" s="20" t="n">
        <v>2.30740168</v>
      </c>
      <c r="I20" s="18" t="n">
        <v>0</v>
      </c>
      <c r="J20" s="20" t="n">
        <v>0</v>
      </c>
      <c r="K20" s="18" t="n">
        <v>0.23265683</v>
      </c>
      <c r="L20" s="20" t="n">
        <v>0.2328103</v>
      </c>
      <c r="M20" s="18" t="n">
        <v>0</v>
      </c>
      <c r="N20" s="20" t="n">
        <v>0</v>
      </c>
      <c r="O20" s="18" t="n">
        <v>0</v>
      </c>
      <c r="P20" s="20" t="n">
        <v>0</v>
      </c>
      <c r="Q20" s="18" t="n">
        <v>0.86053481</v>
      </c>
      <c r="R20" s="20" t="n">
        <v>0.49886637</v>
      </c>
    </row>
    <row r="21" spans="1:18">
      <c r="A21" s="15" t="s">
        <v>579</v>
      </c>
      <c r="B21" s="17" t="n">
        <v>5741</v>
      </c>
      <c r="C21" s="18">
        <f>(5105.0/B21*100)</f>
        <v/>
      </c>
      <c r="D21" s="19" t="n">
        <v>636</v>
      </c>
      <c r="E21" s="18" t="n">
        <v>62.2431001</v>
      </c>
      <c r="F21" s="20" t="n">
        <v>2.04224518</v>
      </c>
      <c r="G21" s="18" t="n">
        <v>37.13958239</v>
      </c>
      <c r="H21" s="20" t="n">
        <v>2.10652069</v>
      </c>
      <c r="I21" s="18" t="n">
        <v>0</v>
      </c>
      <c r="J21" s="20" t="n">
        <v>0</v>
      </c>
      <c r="K21" s="18" t="n">
        <v>0</v>
      </c>
      <c r="L21" s="20" t="n">
        <v>0</v>
      </c>
      <c r="M21" s="18" t="n">
        <v>0</v>
      </c>
      <c r="N21" s="20" t="n">
        <v>0</v>
      </c>
      <c r="O21" s="18" t="n">
        <v>0</v>
      </c>
      <c r="P21" s="20" t="n">
        <v>0</v>
      </c>
      <c r="Q21" s="18" t="n">
        <v>0.6173175</v>
      </c>
      <c r="R21" s="20" t="n">
        <v>0.29211014</v>
      </c>
    </row>
    <row r="22" spans="1:18">
      <c r="A22" s="15" t="s">
        <v>580</v>
      </c>
      <c r="B22" s="17" t="n">
        <v>6598</v>
      </c>
      <c r="C22" s="18">
        <f>(5867.0/B22*100)</f>
        <v/>
      </c>
      <c r="D22" s="19" t="n">
        <v>731</v>
      </c>
      <c r="E22" s="18" t="n">
        <v>56.73391798</v>
      </c>
      <c r="F22" s="20" t="n">
        <v>1.94819684</v>
      </c>
      <c r="G22" s="18" t="n">
        <v>41.78908639</v>
      </c>
      <c r="H22" s="20" t="n">
        <v>2.01871615</v>
      </c>
      <c r="I22" s="18" t="n">
        <v>0</v>
      </c>
      <c r="J22" s="20" t="n">
        <v>0</v>
      </c>
      <c r="K22" s="18" t="n">
        <v>0</v>
      </c>
      <c r="L22" s="20" t="n">
        <v>0</v>
      </c>
      <c r="M22" s="18" t="n">
        <v>0</v>
      </c>
      <c r="N22" s="20" t="n">
        <v>0</v>
      </c>
      <c r="O22" s="18" t="n">
        <v>0</v>
      </c>
      <c r="P22" s="20" t="n">
        <v>0</v>
      </c>
      <c r="Q22" s="18" t="n">
        <v>1.47699563</v>
      </c>
      <c r="R22" s="20" t="n">
        <v>0.50098464</v>
      </c>
    </row>
    <row r="23" spans="1:18">
      <c r="A23" s="15" t="s">
        <v>581</v>
      </c>
      <c r="B23" s="17" t="n">
        <v>11583</v>
      </c>
      <c r="C23" s="18">
        <f>(10329.0/B23*100)</f>
        <v/>
      </c>
      <c r="D23" s="19" t="n">
        <v>1254</v>
      </c>
      <c r="E23" s="18" t="n">
        <v>41.93591368</v>
      </c>
      <c r="F23" s="20" t="n">
        <v>2.04927543</v>
      </c>
      <c r="G23" s="18" t="n">
        <v>56.87271027</v>
      </c>
      <c r="H23" s="20" t="n">
        <v>2.17589339</v>
      </c>
      <c r="I23" s="18" t="n">
        <v>0</v>
      </c>
      <c r="J23" s="20" t="n">
        <v>0</v>
      </c>
      <c r="K23" s="18" t="n">
        <v>0.29183302</v>
      </c>
      <c r="L23" s="20" t="n">
        <v>0.2469019</v>
      </c>
      <c r="M23" s="18" t="n">
        <v>0</v>
      </c>
      <c r="N23" s="20" t="n">
        <v>0</v>
      </c>
      <c r="O23" s="18" t="n">
        <v>0</v>
      </c>
      <c r="P23" s="20" t="n">
        <v>0</v>
      </c>
      <c r="Q23" s="18" t="n">
        <v>0.89954304</v>
      </c>
      <c r="R23" s="20" t="n">
        <v>0.38287113</v>
      </c>
    </row>
    <row r="24" spans="1:18">
      <c r="A24" s="15" t="s">
        <v>582</v>
      </c>
      <c r="B24" s="17" t="n">
        <v>6647</v>
      </c>
      <c r="C24" s="18">
        <f>(5884.0/B24*100)</f>
        <v/>
      </c>
      <c r="D24" s="19" t="n">
        <v>763</v>
      </c>
      <c r="E24" s="18" t="n">
        <v>51.76757563</v>
      </c>
      <c r="F24" s="20" t="n">
        <v>1.95814082</v>
      </c>
      <c r="G24" s="18" t="n">
        <v>47.86998379</v>
      </c>
      <c r="H24" s="20" t="n">
        <v>2.00460432</v>
      </c>
      <c r="I24" s="18" t="n">
        <v>0</v>
      </c>
      <c r="J24" s="20" t="n">
        <v>0</v>
      </c>
      <c r="K24" s="18" t="n">
        <v>0.12634354</v>
      </c>
      <c r="L24" s="20" t="n">
        <v>0.12658687</v>
      </c>
      <c r="M24" s="18" t="n">
        <v>0</v>
      </c>
      <c r="N24" s="20" t="n">
        <v>0</v>
      </c>
      <c r="O24" s="18" t="n">
        <v>0</v>
      </c>
      <c r="P24" s="20" t="n">
        <v>0</v>
      </c>
      <c r="Q24" s="18" t="n">
        <v>0.23609703</v>
      </c>
      <c r="R24" s="20" t="n">
        <v>0.16536703</v>
      </c>
    </row>
    <row r="25" spans="1:18">
      <c r="A25" s="15" t="s">
        <v>583</v>
      </c>
      <c r="B25" s="17" t="n">
        <v>5581</v>
      </c>
      <c r="C25" s="18">
        <f>(4962.0/B25*100)</f>
        <v/>
      </c>
      <c r="D25" s="19" t="n">
        <v>619</v>
      </c>
      <c r="E25" s="18" t="n">
        <v>58.830266</v>
      </c>
      <c r="F25" s="20" t="n">
        <v>2.10221455</v>
      </c>
      <c r="G25" s="18" t="n">
        <v>39.99626843</v>
      </c>
      <c r="H25" s="20" t="n">
        <v>1.98687685</v>
      </c>
      <c r="I25" s="18" t="n">
        <v>0</v>
      </c>
      <c r="J25" s="20" t="n">
        <v>0</v>
      </c>
      <c r="K25" s="18" t="n">
        <v>0</v>
      </c>
      <c r="L25" s="20" t="n">
        <v>0</v>
      </c>
      <c r="M25" s="18" t="n">
        <v>0</v>
      </c>
      <c r="N25" s="20" t="n">
        <v>0</v>
      </c>
      <c r="O25" s="18" t="n">
        <v>0</v>
      </c>
      <c r="P25" s="20" t="n">
        <v>0</v>
      </c>
      <c r="Q25" s="18" t="n">
        <v>1.17346557</v>
      </c>
      <c r="R25" s="20" t="n">
        <v>0.43854887</v>
      </c>
    </row>
    <row r="26" spans="1:18">
      <c r="A26" s="15" t="s">
        <v>584</v>
      </c>
      <c r="B26" s="17" t="n">
        <v>4869</v>
      </c>
      <c r="C26" s="18">
        <f>(4334.0/B26*100)</f>
        <v/>
      </c>
      <c r="D26" s="19" t="n">
        <v>535</v>
      </c>
      <c r="E26" s="18" t="n">
        <v>63.68500481</v>
      </c>
      <c r="F26" s="20" t="n">
        <v>2.34660836</v>
      </c>
      <c r="G26" s="18" t="n">
        <v>35.30875697</v>
      </c>
      <c r="H26" s="20" t="n">
        <v>2.34537371</v>
      </c>
      <c r="I26" s="18" t="n">
        <v>0</v>
      </c>
      <c r="J26" s="20" t="n">
        <v>0</v>
      </c>
      <c r="K26" s="18" t="n">
        <v>0</v>
      </c>
      <c r="L26" s="20" t="n">
        <v>0</v>
      </c>
      <c r="M26" s="18" t="n">
        <v>0</v>
      </c>
      <c r="N26" s="20" t="n">
        <v>0</v>
      </c>
      <c r="O26" s="18" t="n">
        <v>0</v>
      </c>
      <c r="P26" s="20" t="n">
        <v>0</v>
      </c>
      <c r="Q26" s="18" t="n">
        <v>1.00623822</v>
      </c>
      <c r="R26" s="20" t="n">
        <v>0.4873941</v>
      </c>
    </row>
    <row r="27" spans="1:18">
      <c r="A27" s="15" t="s">
        <v>585</v>
      </c>
      <c r="B27" s="17" t="n">
        <v>5299</v>
      </c>
      <c r="C27" s="18">
        <f>(4741.0/B27*100)</f>
        <v/>
      </c>
      <c r="D27" s="19" t="n">
        <v>558</v>
      </c>
      <c r="E27" s="18" t="n">
        <v>66.85660086999999</v>
      </c>
      <c r="F27" s="20" t="n">
        <v>1.81877647</v>
      </c>
      <c r="G27" s="18" t="n">
        <v>31.67270125</v>
      </c>
      <c r="H27" s="20" t="n">
        <v>1.73969272</v>
      </c>
      <c r="I27" s="18" t="n">
        <v>0</v>
      </c>
      <c r="J27" s="20" t="n">
        <v>0</v>
      </c>
      <c r="K27" s="18" t="n">
        <v>0.17761446</v>
      </c>
      <c r="L27" s="20" t="n">
        <v>0.17467285</v>
      </c>
      <c r="M27" s="18" t="n">
        <v>0</v>
      </c>
      <c r="N27" s="20" t="n">
        <v>0</v>
      </c>
      <c r="O27" s="18" t="n">
        <v>0</v>
      </c>
      <c r="P27" s="20" t="n">
        <v>0</v>
      </c>
      <c r="Q27" s="18" t="n">
        <v>1.29308341</v>
      </c>
      <c r="R27" s="20" t="n">
        <v>0.48390428</v>
      </c>
    </row>
    <row r="28" spans="1:18">
      <c r="A28" s="15" t="s">
        <v>586</v>
      </c>
      <c r="B28" s="17" t="n">
        <v>7568</v>
      </c>
      <c r="C28" s="18">
        <f>(6774.0/B28*100)</f>
        <v/>
      </c>
      <c r="D28" s="19" t="n">
        <v>794</v>
      </c>
      <c r="E28" s="18" t="n">
        <v>73.85084974</v>
      </c>
      <c r="F28" s="20" t="n">
        <v>1.68781331</v>
      </c>
      <c r="G28" s="18" t="n">
        <v>24.87503536</v>
      </c>
      <c r="H28" s="20" t="n">
        <v>1.64651293</v>
      </c>
      <c r="I28" s="18" t="n">
        <v>0</v>
      </c>
      <c r="J28" s="20" t="n">
        <v>0</v>
      </c>
      <c r="K28" s="18" t="n">
        <v>0.62442844</v>
      </c>
      <c r="L28" s="20" t="n">
        <v>0.37261981</v>
      </c>
      <c r="M28" s="18" t="n">
        <v>0</v>
      </c>
      <c r="N28" s="20" t="n">
        <v>0</v>
      </c>
      <c r="O28" s="18" t="n">
        <v>0</v>
      </c>
      <c r="P28" s="20" t="n">
        <v>0</v>
      </c>
      <c r="Q28" s="18" t="n">
        <v>0.64968646</v>
      </c>
      <c r="R28" s="20" t="n">
        <v>0.35984519</v>
      </c>
    </row>
    <row r="29" spans="1:18">
      <c r="A29" s="15" t="s">
        <v>587</v>
      </c>
      <c r="B29" s="17" t="n">
        <v>5385</v>
      </c>
      <c r="C29" s="18">
        <f>(4645.0/B29*100)</f>
        <v/>
      </c>
      <c r="D29" s="19" t="n">
        <v>740</v>
      </c>
      <c r="E29" s="18" t="n">
        <v>65.53944121000001</v>
      </c>
      <c r="F29" s="20" t="n">
        <v>1.76770849</v>
      </c>
      <c r="G29" s="18" t="n">
        <v>33.23754322</v>
      </c>
      <c r="H29" s="20" t="n">
        <v>1.67130505</v>
      </c>
      <c r="I29" s="18" t="n">
        <v>0</v>
      </c>
      <c r="J29" s="20" t="n">
        <v>0</v>
      </c>
      <c r="K29" s="18" t="n">
        <v>0.64521253</v>
      </c>
      <c r="L29" s="20" t="n">
        <v>0.31129509</v>
      </c>
      <c r="M29" s="18" t="n">
        <v>0</v>
      </c>
      <c r="N29" s="20" t="n">
        <v>0</v>
      </c>
      <c r="O29" s="18" t="n">
        <v>0</v>
      </c>
      <c r="P29" s="20" t="n">
        <v>0</v>
      </c>
      <c r="Q29" s="18" t="n">
        <v>0.57780304</v>
      </c>
      <c r="R29" s="20" t="n">
        <v>0.28957203</v>
      </c>
    </row>
    <row r="30" spans="1:18">
      <c r="A30" s="15" t="s">
        <v>588</v>
      </c>
      <c r="B30" s="17" t="n">
        <v>4520</v>
      </c>
      <c r="C30" s="18">
        <f>(4029.0/B30*100)</f>
        <v/>
      </c>
      <c r="D30" s="19" t="n">
        <v>491</v>
      </c>
      <c r="E30" s="18" t="n">
        <v>50.63699481</v>
      </c>
      <c r="F30" s="20" t="n">
        <v>2.14552697</v>
      </c>
      <c r="G30" s="18" t="n">
        <v>49.15298145</v>
      </c>
      <c r="H30" s="20" t="n">
        <v>2.14632772</v>
      </c>
      <c r="I30" s="18" t="n">
        <v>0</v>
      </c>
      <c r="J30" s="20" t="n">
        <v>0</v>
      </c>
      <c r="K30" s="18" t="n">
        <v>0.21002374</v>
      </c>
      <c r="L30" s="20" t="n">
        <v>0.20234585</v>
      </c>
      <c r="M30" s="18" t="n">
        <v>0</v>
      </c>
      <c r="N30" s="20" t="n">
        <v>0</v>
      </c>
      <c r="O30" s="18" t="n">
        <v>0</v>
      </c>
      <c r="P30" s="20" t="n">
        <v>0</v>
      </c>
      <c r="Q30" s="18" t="n">
        <v>0</v>
      </c>
      <c r="R30" s="20" t="n">
        <v>0</v>
      </c>
    </row>
    <row r="31" spans="1:18">
      <c r="A31" s="15" t="s">
        <v>589</v>
      </c>
      <c r="B31" s="17" t="n">
        <v>5456</v>
      </c>
      <c r="C31" s="18">
        <f>(4877.0/B31*100)</f>
        <v/>
      </c>
      <c r="D31" s="19" t="n">
        <v>579</v>
      </c>
      <c r="E31" s="18" t="n">
        <v>50.54505239</v>
      </c>
      <c r="F31" s="20" t="n">
        <v>2.39954833</v>
      </c>
      <c r="G31" s="18" t="n">
        <v>48.61135231</v>
      </c>
      <c r="H31" s="20" t="n">
        <v>2.42297822</v>
      </c>
      <c r="I31" s="18" t="n">
        <v>0</v>
      </c>
      <c r="J31" s="20" t="n">
        <v>0</v>
      </c>
      <c r="K31" s="18" t="n">
        <v>0.17159901</v>
      </c>
      <c r="L31" s="20" t="n">
        <v>0.18480619</v>
      </c>
      <c r="M31" s="18" t="n">
        <v>0</v>
      </c>
      <c r="N31" s="20" t="n">
        <v>0</v>
      </c>
      <c r="O31" s="18" t="n">
        <v>0</v>
      </c>
      <c r="P31" s="20" t="n">
        <v>0</v>
      </c>
      <c r="Q31" s="18" t="n">
        <v>0.6719962900000001</v>
      </c>
      <c r="R31" s="20" t="n">
        <v>0.3147245</v>
      </c>
    </row>
    <row r="32" spans="1:18">
      <c r="A32" s="15" t="s">
        <v>590</v>
      </c>
      <c r="B32" s="17" t="n">
        <v>4478</v>
      </c>
      <c r="C32" s="18">
        <f>(3984.0/B32*100)</f>
        <v/>
      </c>
      <c r="D32" s="19" t="n">
        <v>494</v>
      </c>
      <c r="E32" s="18" t="n">
        <v>57.33683599</v>
      </c>
      <c r="F32" s="20" t="n">
        <v>2.50159413</v>
      </c>
      <c r="G32" s="18" t="n">
        <v>41.84664923</v>
      </c>
      <c r="H32" s="20" t="n">
        <v>2.6244629</v>
      </c>
      <c r="I32" s="18" t="n">
        <v>0</v>
      </c>
      <c r="J32" s="20" t="n">
        <v>0</v>
      </c>
      <c r="K32" s="18" t="n">
        <v>0</v>
      </c>
      <c r="L32" s="20" t="n">
        <v>0</v>
      </c>
      <c r="M32" s="18" t="n">
        <v>0</v>
      </c>
      <c r="N32" s="20" t="n">
        <v>0</v>
      </c>
      <c r="O32" s="18" t="n">
        <v>0</v>
      </c>
      <c r="P32" s="20" t="n">
        <v>0</v>
      </c>
      <c r="Q32" s="18" t="n">
        <v>0.81651478</v>
      </c>
      <c r="R32" s="20" t="n">
        <v>0.41037931</v>
      </c>
    </row>
    <row r="33" spans="1:18">
      <c r="A33" s="15" t="s">
        <v>591</v>
      </c>
      <c r="B33" s="17" t="n">
        <v>7325</v>
      </c>
      <c r="C33" s="18">
        <f>(6536.0/B33*100)</f>
        <v/>
      </c>
      <c r="D33" s="19" t="n">
        <v>789</v>
      </c>
      <c r="E33" s="18" t="n">
        <v>43.11424281</v>
      </c>
      <c r="F33" s="20" t="n">
        <v>2.12623843</v>
      </c>
      <c r="G33" s="18" t="n">
        <v>55.74229615</v>
      </c>
      <c r="H33" s="20" t="n">
        <v>2.09618015</v>
      </c>
      <c r="I33" s="18" t="n">
        <v>0</v>
      </c>
      <c r="J33" s="20" t="n">
        <v>0</v>
      </c>
      <c r="K33" s="18" t="n">
        <v>0</v>
      </c>
      <c r="L33" s="20" t="n">
        <v>0</v>
      </c>
      <c r="M33" s="18" t="n">
        <v>0</v>
      </c>
      <c r="N33" s="20" t="n">
        <v>0</v>
      </c>
      <c r="O33" s="18" t="n">
        <v>0</v>
      </c>
      <c r="P33" s="20" t="n">
        <v>0</v>
      </c>
      <c r="Q33" s="18" t="n">
        <v>1.14346104</v>
      </c>
      <c r="R33" s="20" t="n">
        <v>0.36371792</v>
      </c>
    </row>
    <row r="34" spans="1:18">
      <c r="A34" s="15" t="s">
        <v>592</v>
      </c>
      <c r="B34" s="17" t="n">
        <v>6350</v>
      </c>
      <c r="C34" s="18">
        <f>(5524.0/B34*100)</f>
        <v/>
      </c>
      <c r="D34" s="19" t="n">
        <v>826</v>
      </c>
      <c r="E34" s="18" t="n">
        <v>58.94098282</v>
      </c>
      <c r="F34" s="20" t="n">
        <v>1.95203134</v>
      </c>
      <c r="G34" s="18" t="n">
        <v>38.1560401</v>
      </c>
      <c r="H34" s="20" t="n">
        <v>2.04877063</v>
      </c>
      <c r="I34" s="18" t="n">
        <v>0</v>
      </c>
      <c r="J34" s="20" t="n">
        <v>0</v>
      </c>
      <c r="K34" s="18" t="n">
        <v>0.44245576</v>
      </c>
      <c r="L34" s="20" t="n">
        <v>0.21926193</v>
      </c>
      <c r="M34" s="18" t="n">
        <v>0</v>
      </c>
      <c r="N34" s="20" t="n">
        <v>0</v>
      </c>
      <c r="O34" s="18" t="n">
        <v>0</v>
      </c>
      <c r="P34" s="20" t="n">
        <v>0</v>
      </c>
      <c r="Q34" s="18" t="n">
        <v>2.46052131</v>
      </c>
      <c r="R34" s="20" t="n">
        <v>0.6496233300000001</v>
      </c>
    </row>
    <row r="35" spans="1:18">
      <c r="A35" s="15" t="s">
        <v>593</v>
      </c>
      <c r="B35" s="17" t="n">
        <v>6406</v>
      </c>
      <c r="C35" s="18">
        <f>(5550.0/B35*100)</f>
        <v/>
      </c>
      <c r="D35" s="19" t="n">
        <v>856</v>
      </c>
      <c r="E35" s="18" t="n">
        <v>30.55852372</v>
      </c>
      <c r="F35" s="20" t="n">
        <v>1.68248566</v>
      </c>
      <c r="G35" s="18" t="n">
        <v>68.87763098000001</v>
      </c>
      <c r="H35" s="20" t="n">
        <v>1.69104381</v>
      </c>
      <c r="I35" s="18" t="n">
        <v>0</v>
      </c>
      <c r="J35" s="20" t="n">
        <v>0</v>
      </c>
      <c r="K35" s="18" t="n">
        <v>0.24326428</v>
      </c>
      <c r="L35" s="20" t="n">
        <v>0.10098446</v>
      </c>
      <c r="M35" s="18" t="n">
        <v>0</v>
      </c>
      <c r="N35" s="20" t="n">
        <v>0</v>
      </c>
      <c r="O35" s="18" t="n">
        <v>0</v>
      </c>
      <c r="P35" s="20" t="n">
        <v>0</v>
      </c>
      <c r="Q35" s="18" t="n">
        <v>0.32058102</v>
      </c>
      <c r="R35" s="20" t="n">
        <v>0.1425254</v>
      </c>
    </row>
    <row r="36" spans="1:18">
      <c r="A36" s="15" t="s">
        <v>594</v>
      </c>
      <c r="B36" s="17" t="n">
        <v>6736</v>
      </c>
      <c r="C36" s="18">
        <f>(6036.0/B36*100)</f>
        <v/>
      </c>
      <c r="D36" s="19" t="n">
        <v>700</v>
      </c>
      <c r="E36" s="18" t="n">
        <v>51.48774248</v>
      </c>
      <c r="F36" s="20" t="n">
        <v>2.19689441</v>
      </c>
      <c r="G36" s="18" t="n">
        <v>47.34199697</v>
      </c>
      <c r="H36" s="20" t="n">
        <v>2.22340074</v>
      </c>
      <c r="I36" s="18" t="n">
        <v>0</v>
      </c>
      <c r="J36" s="20" t="n">
        <v>0</v>
      </c>
      <c r="K36" s="18" t="n">
        <v>0.43442158</v>
      </c>
      <c r="L36" s="20" t="n">
        <v>0.3413401</v>
      </c>
      <c r="M36" s="18" t="n">
        <v>0</v>
      </c>
      <c r="N36" s="20" t="n">
        <v>0</v>
      </c>
      <c r="O36" s="18" t="n">
        <v>0</v>
      </c>
      <c r="P36" s="20" t="n">
        <v>0</v>
      </c>
      <c r="Q36" s="18" t="n">
        <v>0.73583898</v>
      </c>
      <c r="R36" s="20" t="n">
        <v>0.34931672</v>
      </c>
    </row>
    <row r="37" spans="1:18">
      <c r="A37" s="15" t="s">
        <v>595</v>
      </c>
      <c r="B37" s="17" t="n">
        <v>5458</v>
      </c>
      <c r="C37" s="18">
        <f>(4833.0/B37*100)</f>
        <v/>
      </c>
      <c r="D37" s="19" t="n">
        <v>625</v>
      </c>
      <c r="E37" s="18" t="n">
        <v>43.97391721</v>
      </c>
      <c r="F37" s="20" t="n">
        <v>2.37767758</v>
      </c>
      <c r="G37" s="18" t="n">
        <v>54.98727682</v>
      </c>
      <c r="H37" s="20" t="n">
        <v>2.4021769</v>
      </c>
      <c r="I37" s="18" t="n">
        <v>0</v>
      </c>
      <c r="J37" s="20" t="n">
        <v>0</v>
      </c>
      <c r="K37" s="18" t="n">
        <v>0.15053297</v>
      </c>
      <c r="L37" s="20" t="n">
        <v>0.15122318</v>
      </c>
      <c r="M37" s="18" t="n">
        <v>0</v>
      </c>
      <c r="N37" s="20" t="n">
        <v>0</v>
      </c>
      <c r="O37" s="18" t="n">
        <v>0</v>
      </c>
      <c r="P37" s="20" t="n">
        <v>0</v>
      </c>
      <c r="Q37" s="18" t="n">
        <v>0.88827301</v>
      </c>
      <c r="R37" s="20" t="n">
        <v>0.37195305</v>
      </c>
    </row>
    <row r="38" spans="1:18">
      <c r="A38" s="15" t="s">
        <v>596</v>
      </c>
      <c r="B38" s="17" t="n">
        <v>5860</v>
      </c>
      <c r="C38" s="18">
        <f>(5236.0/B38*100)</f>
        <v/>
      </c>
      <c r="D38" s="19" t="n">
        <v>624</v>
      </c>
      <c r="E38" s="18" t="n">
        <v>57.20242892</v>
      </c>
      <c r="F38" s="20" t="n">
        <v>2.07926532</v>
      </c>
      <c r="G38" s="18" t="n">
        <v>42.21628939</v>
      </c>
      <c r="H38" s="20" t="n">
        <v>2.07800343</v>
      </c>
      <c r="I38" s="18" t="n">
        <v>0</v>
      </c>
      <c r="J38" s="20" t="n">
        <v>0</v>
      </c>
      <c r="K38" s="18" t="n">
        <v>0</v>
      </c>
      <c r="L38" s="20" t="n">
        <v>0</v>
      </c>
      <c r="M38" s="18" t="n">
        <v>0</v>
      </c>
      <c r="N38" s="20" t="n">
        <v>0</v>
      </c>
      <c r="O38" s="18" t="n">
        <v>0</v>
      </c>
      <c r="P38" s="20" t="n">
        <v>0</v>
      </c>
      <c r="Q38" s="18" t="n">
        <v>0.58128169</v>
      </c>
      <c r="R38" s="20" t="n">
        <v>0.29546299</v>
      </c>
    </row>
    <row r="39" spans="1:18">
      <c r="A39" s="15" t="s">
        <v>597</v>
      </c>
      <c r="B39" s="17" t="n">
        <v>5895</v>
      </c>
      <c r="C39" s="18">
        <f>(5252.0/B39*100)</f>
        <v/>
      </c>
      <c r="D39" s="19" t="n">
        <v>643</v>
      </c>
      <c r="E39" s="18" t="n">
        <v>69.33992932</v>
      </c>
      <c r="F39" s="20" t="n">
        <v>2.49471429</v>
      </c>
      <c r="G39" s="18" t="n">
        <v>29.6253516</v>
      </c>
      <c r="H39" s="20" t="n">
        <v>2.54529656</v>
      </c>
      <c r="I39" s="18" t="n">
        <v>0</v>
      </c>
      <c r="J39" s="20" t="n">
        <v>0</v>
      </c>
      <c r="K39" s="18" t="n">
        <v>0</v>
      </c>
      <c r="L39" s="20" t="n">
        <v>0</v>
      </c>
      <c r="M39" s="18" t="n">
        <v>0</v>
      </c>
      <c r="N39" s="20" t="n">
        <v>0</v>
      </c>
      <c r="O39" s="18" t="n">
        <v>0</v>
      </c>
      <c r="P39" s="20" t="n">
        <v>0</v>
      </c>
      <c r="Q39" s="18" t="n">
        <v>1.03471908</v>
      </c>
      <c r="R39" s="20" t="n">
        <v>0.49516516</v>
      </c>
    </row>
    <row r="40" spans="1:18">
      <c r="A40" s="15" t="s">
        <v>598</v>
      </c>
      <c r="B40" s="17" t="n">
        <v>14157</v>
      </c>
      <c r="C40" s="18">
        <f>(12576.0/B40*100)</f>
        <v/>
      </c>
      <c r="D40" s="19" t="n">
        <v>1581</v>
      </c>
      <c r="E40" s="18" t="n">
        <v>53.47720228</v>
      </c>
      <c r="F40" s="20" t="n">
        <v>1.77595433</v>
      </c>
      <c r="G40" s="18" t="n">
        <v>44.46935629</v>
      </c>
      <c r="H40" s="20" t="n">
        <v>1.85839756</v>
      </c>
      <c r="I40" s="18" t="n">
        <v>0</v>
      </c>
      <c r="J40" s="20" t="n">
        <v>0</v>
      </c>
      <c r="K40" s="18" t="n">
        <v>0.39435155</v>
      </c>
      <c r="L40" s="20" t="n">
        <v>0.30063045</v>
      </c>
      <c r="M40" s="18" t="n">
        <v>0</v>
      </c>
      <c r="N40" s="20" t="n">
        <v>0</v>
      </c>
      <c r="O40" s="18" t="n">
        <v>0</v>
      </c>
      <c r="P40" s="20" t="n">
        <v>0</v>
      </c>
      <c r="Q40" s="18" t="n">
        <v>1.65908988</v>
      </c>
      <c r="R40" s="20" t="n">
        <v>0.5138744</v>
      </c>
    </row>
    <row r="41" spans="1:18">
      <c r="A41" s="15" t="s">
        <v>599</v>
      </c>
      <c r="B41" s="17" t="n">
        <v>5712</v>
      </c>
      <c r="C41" s="18">
        <f>(5066.0/B41*100)</f>
        <v/>
      </c>
      <c r="D41" s="19" t="n">
        <v>646</v>
      </c>
      <c r="E41" s="18" t="n">
        <v>61.42000083</v>
      </c>
      <c r="F41" s="20" t="n">
        <v>1.86619181</v>
      </c>
      <c r="G41" s="18" t="n">
        <v>37.30858057</v>
      </c>
      <c r="H41" s="20" t="n">
        <v>1.85310333</v>
      </c>
      <c r="I41" s="18" t="n">
        <v>0</v>
      </c>
      <c r="J41" s="20" t="n">
        <v>0</v>
      </c>
      <c r="K41" s="18" t="n">
        <v>0.4026958</v>
      </c>
      <c r="L41" s="20" t="n">
        <v>0.29159092</v>
      </c>
      <c r="M41" s="18" t="n">
        <v>0</v>
      </c>
      <c r="N41" s="20" t="n">
        <v>0</v>
      </c>
      <c r="O41" s="18" t="n">
        <v>0</v>
      </c>
      <c r="P41" s="20" t="n">
        <v>0</v>
      </c>
      <c r="Q41" s="18" t="n">
        <v>0.8687228</v>
      </c>
      <c r="R41" s="20" t="n">
        <v>0.35146811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(20856.0/B46*100)</f>
        <v/>
      </c>
      <c r="D46" s="19" t="n">
        <v>2285</v>
      </c>
      <c r="E46" s="18" t="n">
        <v>73.78628495</v>
      </c>
      <c r="F46" s="20" t="n">
        <v>1.30160456</v>
      </c>
      <c r="G46" s="18" t="n">
        <v>22.45678039</v>
      </c>
      <c r="H46" s="20" t="n">
        <v>1.35050532</v>
      </c>
      <c r="I46" s="18" t="n">
        <v>0</v>
      </c>
      <c r="J46" s="20" t="n">
        <v>0</v>
      </c>
      <c r="K46" s="18" t="n">
        <v>1.2112279</v>
      </c>
      <c r="L46" s="20" t="n">
        <v>0.27300528</v>
      </c>
      <c r="M46" s="18" t="n">
        <v>0</v>
      </c>
      <c r="N46" s="20" t="n">
        <v>0</v>
      </c>
      <c r="O46" s="18" t="n">
        <v>0</v>
      </c>
      <c r="P46" s="20" t="n">
        <v>0</v>
      </c>
      <c r="Q46" s="18" t="n">
        <v>2.54570676</v>
      </c>
      <c r="R46" s="20" t="n">
        <v>0.48421636</v>
      </c>
    </row>
    <row r="47" spans="1:18">
      <c r="A47" s="15" t="s">
        <v>606</v>
      </c>
      <c r="B47" s="17" t="n">
        <v>5928</v>
      </c>
      <c r="C47" s="18">
        <f>(5276.0/B47*100)</f>
        <v/>
      </c>
      <c r="D47" s="19" t="n">
        <v>652</v>
      </c>
      <c r="E47" s="18" t="n">
        <v>53.43841182</v>
      </c>
      <c r="F47" s="20" t="n">
        <v>2.27764371</v>
      </c>
      <c r="G47" s="18" t="n">
        <v>43.46787855</v>
      </c>
      <c r="H47" s="20" t="n">
        <v>2.16040615</v>
      </c>
      <c r="I47" s="18" t="n">
        <v>0</v>
      </c>
      <c r="J47" s="20" t="n">
        <v>0</v>
      </c>
      <c r="K47" s="18" t="n">
        <v>0.46468181</v>
      </c>
      <c r="L47" s="20" t="n">
        <v>0.25528029</v>
      </c>
      <c r="M47" s="18" t="n">
        <v>0</v>
      </c>
      <c r="N47" s="20" t="n">
        <v>0</v>
      </c>
      <c r="O47" s="18" t="n">
        <v>0</v>
      </c>
      <c r="P47" s="20" t="n">
        <v>0</v>
      </c>
      <c r="Q47" s="18" t="n">
        <v>2.62902782</v>
      </c>
      <c r="R47" s="20" t="n">
        <v>0.75249253</v>
      </c>
    </row>
    <row r="48" spans="1:18">
      <c r="A48" s="15" t="s">
        <v>607</v>
      </c>
      <c r="B48" s="17" t="n">
        <v>9841</v>
      </c>
      <c r="C48" s="18">
        <f>(8747.0/B48*100)</f>
        <v/>
      </c>
      <c r="D48" s="19" t="n">
        <v>1094</v>
      </c>
      <c r="E48" s="18" t="n">
        <v>39.31208025</v>
      </c>
      <c r="F48" s="20" t="n">
        <v>2.43834881</v>
      </c>
      <c r="G48" s="18" t="n">
        <v>59.04926395</v>
      </c>
      <c r="H48" s="20" t="n">
        <v>2.40846383</v>
      </c>
      <c r="I48" s="18" t="n">
        <v>0</v>
      </c>
      <c r="J48" s="20" t="n">
        <v>0</v>
      </c>
      <c r="K48" s="18" t="n">
        <v>0.94448285</v>
      </c>
      <c r="L48" s="20" t="n">
        <v>0.18233634</v>
      </c>
      <c r="M48" s="18" t="n">
        <v>0</v>
      </c>
      <c r="N48" s="20" t="n">
        <v>0</v>
      </c>
      <c r="O48" s="18" t="n">
        <v>0</v>
      </c>
      <c r="P48" s="20" t="n">
        <v>0</v>
      </c>
      <c r="Q48" s="18" t="n">
        <v>0.69417295</v>
      </c>
      <c r="R48" s="20" t="n">
        <v>0.29345026</v>
      </c>
    </row>
    <row r="49" spans="1:18">
      <c r="A49" s="15" t="s">
        <v>608</v>
      </c>
      <c r="B49" s="17" t="n">
        <v>11795</v>
      </c>
      <c r="C49" s="18">
        <f>(10513.0/B49*100)</f>
        <v/>
      </c>
      <c r="D49" s="19" t="n">
        <v>1282</v>
      </c>
      <c r="E49" s="18" t="n">
        <v>76.04772539</v>
      </c>
      <c r="F49" s="20" t="n">
        <v>1.55963948</v>
      </c>
      <c r="G49" s="18" t="n">
        <v>22.79017103</v>
      </c>
      <c r="H49" s="20" t="n">
        <v>1.52127372</v>
      </c>
      <c r="I49" s="18" t="n">
        <v>0</v>
      </c>
      <c r="J49" s="20" t="n">
        <v>0</v>
      </c>
      <c r="K49" s="18" t="n">
        <v>0.61750558</v>
      </c>
      <c r="L49" s="20" t="n">
        <v>0.3485009</v>
      </c>
      <c r="M49" s="18" t="n">
        <v>0</v>
      </c>
      <c r="N49" s="20" t="n">
        <v>0</v>
      </c>
      <c r="O49" s="18" t="n">
        <v>0</v>
      </c>
      <c r="P49" s="20" t="n">
        <v>0</v>
      </c>
      <c r="Q49" s="18" t="n">
        <v>0.544598</v>
      </c>
      <c r="R49" s="20" t="n">
        <v>0.2493906</v>
      </c>
    </row>
    <row r="50" spans="1:18">
      <c r="A50" s="15" t="s">
        <v>609</v>
      </c>
      <c r="B50" s="17" t="n">
        <v>6866</v>
      </c>
      <c r="C50" s="18">
        <f>(5497.0/B50*100)</f>
        <v/>
      </c>
      <c r="D50" s="19" t="n">
        <v>1369</v>
      </c>
      <c r="E50" s="18" t="n">
        <v>75.26999207</v>
      </c>
      <c r="F50" s="20" t="n">
        <v>1.45413554</v>
      </c>
      <c r="G50" s="18" t="n">
        <v>22.96009034</v>
      </c>
      <c r="H50" s="20" t="n">
        <v>1.40312424</v>
      </c>
      <c r="I50" s="18" t="n">
        <v>0</v>
      </c>
      <c r="J50" s="20" t="n">
        <v>0</v>
      </c>
      <c r="K50" s="18" t="n">
        <v>0.16138529</v>
      </c>
      <c r="L50" s="20" t="n">
        <v>0.11442926</v>
      </c>
      <c r="M50" s="18" t="n">
        <v>0</v>
      </c>
      <c r="N50" s="20" t="n">
        <v>0</v>
      </c>
      <c r="O50" s="18" t="n">
        <v>0</v>
      </c>
      <c r="P50" s="20" t="n">
        <v>0</v>
      </c>
      <c r="Q50" s="18" t="n">
        <v>1.6085323</v>
      </c>
      <c r="R50" s="20" t="n">
        <v>0.34407131</v>
      </c>
    </row>
    <row r="51" spans="1:18">
      <c r="A51" s="15" t="s">
        <v>610</v>
      </c>
      <c r="B51" s="17" t="n">
        <v>5809</v>
      </c>
      <c r="C51" s="18">
        <f>(5168.0/B51*100)</f>
        <v/>
      </c>
      <c r="D51" s="19" t="n">
        <v>641</v>
      </c>
      <c r="E51" s="18" t="n">
        <v>44.79765051</v>
      </c>
      <c r="F51" s="20" t="n">
        <v>2.31320205</v>
      </c>
      <c r="G51" s="18" t="n">
        <v>54.89080252</v>
      </c>
      <c r="H51" s="20" t="n">
        <v>2.30041069</v>
      </c>
      <c r="I51" s="18" t="n">
        <v>0</v>
      </c>
      <c r="J51" s="20" t="n">
        <v>0</v>
      </c>
      <c r="K51" s="18" t="n">
        <v>0</v>
      </c>
      <c r="L51" s="20" t="n">
        <v>0</v>
      </c>
      <c r="M51" s="18" t="n">
        <v>0</v>
      </c>
      <c r="N51" s="20" t="n">
        <v>0</v>
      </c>
      <c r="O51" s="18" t="n">
        <v>0</v>
      </c>
      <c r="P51" s="20" t="n">
        <v>0</v>
      </c>
      <c r="Q51" s="18" t="n">
        <v>0.31154697</v>
      </c>
      <c r="R51" s="20" t="n">
        <v>0.2192798</v>
      </c>
    </row>
    <row r="52" spans="1:18">
      <c r="A52" s="15" t="s">
        <v>611</v>
      </c>
      <c r="B52" s="17" t="n">
        <v>5571</v>
      </c>
      <c r="C52" s="18">
        <f>(4975.0/B52*100)</f>
        <v/>
      </c>
      <c r="D52" s="19" t="n">
        <v>596</v>
      </c>
      <c r="E52" s="18" t="n">
        <v>64.17673723999999</v>
      </c>
      <c r="F52" s="20" t="n">
        <v>2.19052599</v>
      </c>
      <c r="G52" s="18" t="n">
        <v>33.96225886</v>
      </c>
      <c r="H52" s="20" t="n">
        <v>2.12931872</v>
      </c>
      <c r="I52" s="18" t="n">
        <v>0</v>
      </c>
      <c r="J52" s="20" t="n">
        <v>0</v>
      </c>
      <c r="K52" s="18" t="n">
        <v>0.1607818</v>
      </c>
      <c r="L52" s="20" t="n">
        <v>0.16028713</v>
      </c>
      <c r="M52" s="18" t="n">
        <v>0</v>
      </c>
      <c r="N52" s="20" t="n">
        <v>0</v>
      </c>
      <c r="O52" s="18" t="n">
        <v>0</v>
      </c>
      <c r="P52" s="20" t="n">
        <v>0</v>
      </c>
      <c r="Q52" s="18" t="n">
        <v>1.70022209</v>
      </c>
      <c r="R52" s="20" t="n">
        <v>0.48569863</v>
      </c>
    </row>
    <row r="53" spans="1:18">
      <c r="A53" s="15" t="s">
        <v>612</v>
      </c>
      <c r="B53" s="17" t="n">
        <v>4740</v>
      </c>
      <c r="C53" s="18">
        <f>(4220.0/B53*100)</f>
        <v/>
      </c>
      <c r="D53" s="19" t="n">
        <v>520</v>
      </c>
      <c r="E53" s="18" t="n">
        <v>74.29014294</v>
      </c>
      <c r="F53" s="20" t="n">
        <v>2.31955305</v>
      </c>
      <c r="G53" s="18" t="n">
        <v>15.74087327</v>
      </c>
      <c r="H53" s="20" t="n">
        <v>1.84657901</v>
      </c>
      <c r="I53" s="18" t="n">
        <v>0</v>
      </c>
      <c r="J53" s="20" t="n">
        <v>0</v>
      </c>
      <c r="K53" s="18" t="n">
        <v>7.1763237</v>
      </c>
      <c r="L53" s="20" t="n">
        <v>1.43337958</v>
      </c>
      <c r="M53" s="18" t="n">
        <v>0</v>
      </c>
      <c r="N53" s="20" t="n">
        <v>0</v>
      </c>
      <c r="O53" s="18" t="n">
        <v>0</v>
      </c>
      <c r="P53" s="20" t="n">
        <v>0</v>
      </c>
      <c r="Q53" s="18" t="n">
        <v>2.79266009</v>
      </c>
      <c r="R53" s="20" t="n">
        <v>0.8870713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(4769.0/B55*100)</f>
        <v/>
      </c>
      <c r="D55" s="19" t="n">
        <v>590</v>
      </c>
      <c r="E55" s="18" t="n">
        <v>68.36109743999999</v>
      </c>
      <c r="F55" s="20" t="n">
        <v>1.91926924</v>
      </c>
      <c r="G55" s="18" t="n">
        <v>30.36980475</v>
      </c>
      <c r="H55" s="20" t="n">
        <v>1.84495209</v>
      </c>
      <c r="I55" s="18" t="n">
        <v>0</v>
      </c>
      <c r="J55" s="20" t="n">
        <v>0</v>
      </c>
      <c r="K55" s="18" t="n">
        <v>0.69336343</v>
      </c>
      <c r="L55" s="20" t="n">
        <v>0.45244446</v>
      </c>
      <c r="M55" s="18" t="n">
        <v>0</v>
      </c>
      <c r="N55" s="20" t="n">
        <v>0</v>
      </c>
      <c r="O55" s="18" t="n">
        <v>0</v>
      </c>
      <c r="P55" s="20" t="n">
        <v>0</v>
      </c>
      <c r="Q55" s="18" t="n">
        <v>0.57573438</v>
      </c>
      <c r="R55" s="20" t="n">
        <v>0.33327941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(5828.0/B61*100)</f>
        <v/>
      </c>
      <c r="D61" s="19" t="n">
        <v>697</v>
      </c>
      <c r="E61" s="18" t="n">
        <v>58.0650575</v>
      </c>
      <c r="F61" s="20" t="n">
        <v>2.09490494</v>
      </c>
      <c r="G61" s="18" t="n">
        <v>40.04464059</v>
      </c>
      <c r="H61" s="20" t="n">
        <v>2.03941521</v>
      </c>
      <c r="I61" s="18" t="n">
        <v>0</v>
      </c>
      <c r="J61" s="20" t="n">
        <v>0</v>
      </c>
      <c r="K61" s="18" t="n">
        <v>0.17137484</v>
      </c>
      <c r="L61" s="20" t="n">
        <v>0.17209541</v>
      </c>
      <c r="M61" s="18" t="n">
        <v>0</v>
      </c>
      <c r="N61" s="20" t="n">
        <v>0</v>
      </c>
      <c r="O61" s="18" t="n">
        <v>0</v>
      </c>
      <c r="P61" s="20" t="n">
        <v>0</v>
      </c>
      <c r="Q61" s="18" t="n">
        <v>1.71892707</v>
      </c>
      <c r="R61" s="20" t="n">
        <v>0.47307294</v>
      </c>
    </row>
    <row r="62" spans="1:18">
      <c r="A62" s="15" t="s">
        <v>622</v>
      </c>
      <c r="B62" s="17" t="n">
        <v>4476</v>
      </c>
      <c r="C62" s="18">
        <f>(3964.0/B62*100)</f>
        <v/>
      </c>
      <c r="D62" s="19" t="n">
        <v>512</v>
      </c>
      <c r="E62" s="18" t="n">
        <v>56.10404654</v>
      </c>
      <c r="F62" s="20" t="n">
        <v>2.10640469</v>
      </c>
      <c r="G62" s="18" t="n">
        <v>43.89595346</v>
      </c>
      <c r="H62" s="20" t="n">
        <v>2.10640469</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(5041.0/B67*100)</f>
        <v/>
      </c>
      <c r="D67" s="19" t="n">
        <v>624</v>
      </c>
      <c r="E67" s="18" t="n">
        <v>62.4785809</v>
      </c>
      <c r="F67" s="20" t="n">
        <v>2.07400331</v>
      </c>
      <c r="G67" s="18" t="n">
        <v>34.06549337</v>
      </c>
      <c r="H67" s="20" t="n">
        <v>1.92564116</v>
      </c>
      <c r="I67" s="18" t="n">
        <v>0</v>
      </c>
      <c r="J67" s="20" t="n">
        <v>0</v>
      </c>
      <c r="K67" s="18" t="n">
        <v>0.94672273</v>
      </c>
      <c r="L67" s="20" t="n">
        <v>0.38961904</v>
      </c>
      <c r="M67" s="18" t="n">
        <v>0</v>
      </c>
      <c r="N67" s="20" t="n">
        <v>0</v>
      </c>
      <c r="O67" s="18" t="n">
        <v>0</v>
      </c>
      <c r="P67" s="20" t="n">
        <v>0</v>
      </c>
      <c r="Q67" s="18" t="n">
        <v>2.50920301</v>
      </c>
      <c r="R67" s="20" t="n">
        <v>0.56788467</v>
      </c>
    </row>
    <row r="68" spans="1:18">
      <c r="A68" s="15" t="s">
        <v>628</v>
      </c>
      <c r="B68" s="17" t="n">
        <v>6971</v>
      </c>
      <c r="C68" s="18">
        <f>(6260.0/B68*100)</f>
        <v/>
      </c>
      <c r="D68" s="19" t="n">
        <v>711</v>
      </c>
      <c r="E68" s="18" t="n">
        <v>73.93900721</v>
      </c>
      <c r="F68" s="20" t="n">
        <v>1.58399345</v>
      </c>
      <c r="G68" s="18" t="n">
        <v>23.80072034</v>
      </c>
      <c r="H68" s="20" t="n">
        <v>1.61913211</v>
      </c>
      <c r="I68" s="18" t="n">
        <v>0</v>
      </c>
      <c r="J68" s="20" t="n">
        <v>0</v>
      </c>
      <c r="K68" s="18" t="n">
        <v>0</v>
      </c>
      <c r="L68" s="20" t="n">
        <v>0</v>
      </c>
      <c r="M68" s="18" t="n">
        <v>0</v>
      </c>
      <c r="N68" s="20" t="n">
        <v>0</v>
      </c>
      <c r="O68" s="18" t="n">
        <v>0</v>
      </c>
      <c r="P68" s="20" t="n">
        <v>0</v>
      </c>
      <c r="Q68" s="18" t="n">
        <v>2.26027245</v>
      </c>
      <c r="R68" s="20" t="n">
        <v>0.55077963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(10710.0/B70*100)</f>
        <v/>
      </c>
      <c r="D70" s="19" t="n">
        <v>1373</v>
      </c>
      <c r="E70" s="18" t="n">
        <v>58.7777905</v>
      </c>
      <c r="F70" s="20" t="n">
        <v>1.2542137</v>
      </c>
      <c r="G70" s="18" t="n">
        <v>38.14760206</v>
      </c>
      <c r="H70" s="20" t="n">
        <v>1.25699127</v>
      </c>
      <c r="I70" s="18" t="n">
        <v>0</v>
      </c>
      <c r="J70" s="20" t="n">
        <v>0</v>
      </c>
      <c r="K70" s="18" t="n">
        <v>1.08997113</v>
      </c>
      <c r="L70" s="20" t="n">
        <v>0.30211136</v>
      </c>
      <c r="M70" s="18" t="n">
        <v>0</v>
      </c>
      <c r="N70" s="20" t="n">
        <v>0</v>
      </c>
      <c r="O70" s="18" t="n">
        <v>0</v>
      </c>
      <c r="P70" s="20" t="n">
        <v>0</v>
      </c>
      <c r="Q70" s="18" t="n">
        <v>1.9846363</v>
      </c>
      <c r="R70" s="20" t="n">
        <v>0.35435684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(5401.0/B72*100)</f>
        <v/>
      </c>
      <c r="D72" s="19" t="n">
        <v>635</v>
      </c>
      <c r="E72" s="18" t="n">
        <v>50.19517127</v>
      </c>
      <c r="F72" s="20" t="n">
        <v>2.1985473</v>
      </c>
      <c r="G72" s="18" t="n">
        <v>49.02676305</v>
      </c>
      <c r="H72" s="20" t="n">
        <v>2.20243577</v>
      </c>
      <c r="I72" s="18" t="n">
        <v>0</v>
      </c>
      <c r="J72" s="20" t="n">
        <v>0</v>
      </c>
      <c r="K72" s="18" t="n">
        <v>0.42036094</v>
      </c>
      <c r="L72" s="20" t="n">
        <v>0.28965049</v>
      </c>
      <c r="M72" s="18" t="n">
        <v>0</v>
      </c>
      <c r="N72" s="20" t="n">
        <v>0</v>
      </c>
      <c r="O72" s="18" t="n">
        <v>0</v>
      </c>
      <c r="P72" s="20" t="n">
        <v>0</v>
      </c>
      <c r="Q72" s="18" t="n">
        <v>0.35770475</v>
      </c>
      <c r="R72" s="20" t="n">
        <v>0.20322529</v>
      </c>
    </row>
    <row r="73" spans="1:18">
      <c r="A73" s="15" t="s">
        <v>633</v>
      </c>
      <c r="B73" s="17" t="n">
        <v>6115</v>
      </c>
      <c r="C73" s="18">
        <f>(5463.0/B73*100)</f>
        <v/>
      </c>
      <c r="D73" s="19" t="n">
        <v>652</v>
      </c>
      <c r="E73" s="18" t="n">
        <v>38.23241189</v>
      </c>
      <c r="F73" s="20" t="n">
        <v>2.3272212</v>
      </c>
      <c r="G73" s="18" t="n">
        <v>60.96037486</v>
      </c>
      <c r="H73" s="20" t="n">
        <v>2.43322247</v>
      </c>
      <c r="I73" s="18" t="n">
        <v>0</v>
      </c>
      <c r="J73" s="20" t="n">
        <v>0</v>
      </c>
      <c r="K73" s="18" t="n">
        <v>0.22835887</v>
      </c>
      <c r="L73" s="20" t="n">
        <v>0.16535304</v>
      </c>
      <c r="M73" s="18" t="n">
        <v>0</v>
      </c>
      <c r="N73" s="20" t="n">
        <v>0</v>
      </c>
      <c r="O73" s="18" t="n">
        <v>0</v>
      </c>
      <c r="P73" s="20" t="n">
        <v>0</v>
      </c>
      <c r="Q73" s="18" t="n">
        <v>0.57885438</v>
      </c>
      <c r="R73" s="20" t="n">
        <v>0.30526403</v>
      </c>
    </row>
    <row r="74" spans="1:18">
      <c r="A74" s="15" t="s">
        <v>634</v>
      </c>
      <c r="B74" s="17" t="n">
        <v>7708</v>
      </c>
      <c r="C74" s="18">
        <f>(6867.0/B74*100)</f>
        <v/>
      </c>
      <c r="D74" s="19" t="n">
        <v>841</v>
      </c>
      <c r="E74" s="18" t="n">
        <v>55.87992931</v>
      </c>
      <c r="F74" s="20" t="n">
        <v>1.68943821</v>
      </c>
      <c r="G74" s="18" t="n">
        <v>43.31280007</v>
      </c>
      <c r="H74" s="20" t="n">
        <v>1.79475724</v>
      </c>
      <c r="I74" s="18" t="n">
        <v>0</v>
      </c>
      <c r="J74" s="20" t="n">
        <v>0</v>
      </c>
      <c r="K74" s="18" t="n">
        <v>0.24575765</v>
      </c>
      <c r="L74" s="20" t="n">
        <v>0.14558361</v>
      </c>
      <c r="M74" s="18" t="n">
        <v>0</v>
      </c>
      <c r="N74" s="20" t="n">
        <v>0</v>
      </c>
      <c r="O74" s="18" t="n">
        <v>0</v>
      </c>
      <c r="P74" s="20" t="n">
        <v>0</v>
      </c>
      <c r="Q74" s="18" t="n">
        <v>0.56151297</v>
      </c>
      <c r="R74" s="20" t="n">
        <v>0.26864742</v>
      </c>
    </row>
    <row r="75" spans="1:18">
      <c r="A75" s="15" t="s">
        <v>635</v>
      </c>
      <c r="B75" s="17" t="n">
        <v>8249</v>
      </c>
      <c r="C75" s="18">
        <f>(7338.0/B75*100)</f>
        <v/>
      </c>
      <c r="D75" s="19" t="n">
        <v>911</v>
      </c>
      <c r="E75" s="18" t="n">
        <v>72.3384092</v>
      </c>
      <c r="F75" s="20" t="n">
        <v>1.87728812</v>
      </c>
      <c r="G75" s="18" t="n">
        <v>27.01937001</v>
      </c>
      <c r="H75" s="20" t="n">
        <v>1.90224348</v>
      </c>
      <c r="I75" s="18" t="n">
        <v>0</v>
      </c>
      <c r="J75" s="20" t="n">
        <v>0</v>
      </c>
      <c r="K75" s="18" t="n">
        <v>0.23484739</v>
      </c>
      <c r="L75" s="20" t="n">
        <v>0.17398498</v>
      </c>
      <c r="M75" s="18" t="n">
        <v>0</v>
      </c>
      <c r="N75" s="20" t="n">
        <v>0</v>
      </c>
      <c r="O75" s="18" t="n">
        <v>0</v>
      </c>
      <c r="P75" s="20" t="n">
        <v>0</v>
      </c>
      <c r="Q75" s="18" t="n">
        <v>0.4073734</v>
      </c>
      <c r="R75" s="20" t="n">
        <v>0.22522511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(4819.0/B77*100)</f>
        <v/>
      </c>
      <c r="D77" s="19" t="n">
        <v>556</v>
      </c>
      <c r="E77" s="18" t="n">
        <v>69.24966472</v>
      </c>
      <c r="F77" s="20" t="n">
        <v>2.32697877</v>
      </c>
      <c r="G77" s="18" t="n">
        <v>27.42350332</v>
      </c>
      <c r="H77" s="20" t="n">
        <v>2.14456954</v>
      </c>
      <c r="I77" s="18" t="n">
        <v>0</v>
      </c>
      <c r="J77" s="20" t="n">
        <v>0</v>
      </c>
      <c r="K77" s="18" t="n">
        <v>2.42421546</v>
      </c>
      <c r="L77" s="20" t="n">
        <v>0.98499542</v>
      </c>
      <c r="M77" s="18" t="n">
        <v>0</v>
      </c>
      <c r="N77" s="20" t="n">
        <v>0</v>
      </c>
      <c r="O77" s="18" t="n">
        <v>0</v>
      </c>
      <c r="P77" s="20" t="n">
        <v>0</v>
      </c>
      <c r="Q77" s="18" t="n">
        <v>0.9026165</v>
      </c>
      <c r="R77" s="20" t="n">
        <v>0.39110261</v>
      </c>
    </row>
    <row r="78" spans="1:18">
      <c r="A78" s="15" t="s">
        <v>638</v>
      </c>
      <c r="B78" s="17" t="n">
        <v>14167</v>
      </c>
      <c r="C78" s="18">
        <f>(12601.0/B78*100)</f>
        <v/>
      </c>
      <c r="D78" s="19" t="n">
        <v>1566</v>
      </c>
      <c r="E78" s="18" t="n">
        <v>56.3249148</v>
      </c>
      <c r="F78" s="20" t="n">
        <v>1.48751212</v>
      </c>
      <c r="G78" s="18" t="n">
        <v>41.60780036</v>
      </c>
      <c r="H78" s="20" t="n">
        <v>1.4650026</v>
      </c>
      <c r="I78" s="18" t="n">
        <v>0</v>
      </c>
      <c r="J78" s="20" t="n">
        <v>0</v>
      </c>
      <c r="K78" s="18" t="n">
        <v>0.71594199</v>
      </c>
      <c r="L78" s="20" t="n">
        <v>0.23941082</v>
      </c>
      <c r="M78" s="18" t="n">
        <v>0</v>
      </c>
      <c r="N78" s="20" t="n">
        <v>0</v>
      </c>
      <c r="O78" s="18" t="n">
        <v>0</v>
      </c>
      <c r="P78" s="20" t="n">
        <v>0</v>
      </c>
      <c r="Q78" s="18" t="n">
        <v>1.35134285</v>
      </c>
      <c r="R78" s="20" t="n">
        <v>0.46486407</v>
      </c>
    </row>
    <row r="79" spans="1:18">
      <c r="A79" s="15" t="s">
        <v>639</v>
      </c>
      <c r="B79" s="17" t="n">
        <v>6062</v>
      </c>
      <c r="C79" s="18">
        <f>(5406.0/B79*100)</f>
        <v/>
      </c>
      <c r="D79" s="19" t="n">
        <v>656</v>
      </c>
      <c r="E79" s="18" t="n">
        <v>67.26382726999999</v>
      </c>
      <c r="F79" s="20" t="n">
        <v>1.9996941</v>
      </c>
      <c r="G79" s="18" t="n">
        <v>30.12897557</v>
      </c>
      <c r="H79" s="20" t="n">
        <v>1.83595281</v>
      </c>
      <c r="I79" s="18" t="n">
        <v>0</v>
      </c>
      <c r="J79" s="20" t="n">
        <v>0</v>
      </c>
      <c r="K79" s="18" t="n">
        <v>0.83389866</v>
      </c>
      <c r="L79" s="20" t="n">
        <v>0.34593768</v>
      </c>
      <c r="M79" s="18" t="n">
        <v>0</v>
      </c>
      <c r="N79" s="20" t="n">
        <v>0</v>
      </c>
      <c r="O79" s="18" t="n">
        <v>0</v>
      </c>
      <c r="P79" s="20" t="n">
        <v>0</v>
      </c>
      <c r="Q79" s="18" t="n">
        <v>1.7732985</v>
      </c>
      <c r="R79" s="20" t="n">
        <v>0.55700394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(28754.0/B82*100)</f>
        <v/>
      </c>
      <c r="D82" s="19" t="n">
        <v>3576</v>
      </c>
      <c r="E82" s="18" t="n">
        <v>52.70402495</v>
      </c>
      <c r="F82" s="20" t="n">
        <v>1.26767896</v>
      </c>
      <c r="G82" s="18" t="n">
        <v>46.16384327</v>
      </c>
      <c r="H82" s="20" t="n">
        <v>1.20565134</v>
      </c>
      <c r="I82" s="18" t="n">
        <v>0</v>
      </c>
      <c r="J82" s="20" t="n">
        <v>0</v>
      </c>
      <c r="K82" s="18" t="n">
        <v>0.26167672</v>
      </c>
      <c r="L82" s="20" t="n">
        <v>0.1890339</v>
      </c>
      <c r="M82" s="18" t="n">
        <v>0</v>
      </c>
      <c r="N82" s="20" t="n">
        <v>0</v>
      </c>
      <c r="O82" s="18" t="n">
        <v>0</v>
      </c>
      <c r="P82" s="20" t="n">
        <v>0</v>
      </c>
      <c r="Q82" s="18" t="n">
        <v>0.8704550599999999</v>
      </c>
      <c r="R82" s="20" t="n">
        <v>0.26757184</v>
      </c>
    </row>
    <row r="83" spans="1:18">
      <c r="A83" s="15" t="s">
        <v>643</v>
      </c>
      <c r="B83" s="17" t="n">
        <v>1652</v>
      </c>
      <c r="C83" s="18">
        <f>(1433.0/B83*100)</f>
        <v/>
      </c>
      <c r="D83" s="19" t="n">
        <v>219</v>
      </c>
      <c r="E83" s="18" t="n">
        <v>44.9878057</v>
      </c>
      <c r="F83" s="20" t="n">
        <v>3.77504116</v>
      </c>
      <c r="G83" s="18" t="n">
        <v>54.58699244</v>
      </c>
      <c r="H83" s="20" t="n">
        <v>3.79891015</v>
      </c>
      <c r="I83" s="18" t="n">
        <v>0</v>
      </c>
      <c r="J83" s="20" t="n">
        <v>0</v>
      </c>
      <c r="K83" s="18" t="n">
        <v>0</v>
      </c>
      <c r="L83" s="20" t="n">
        <v>0</v>
      </c>
      <c r="M83" s="18" t="n">
        <v>0</v>
      </c>
      <c r="N83" s="20" t="n">
        <v>0</v>
      </c>
      <c r="O83" s="18" t="n">
        <v>0</v>
      </c>
      <c r="P83" s="20" t="n">
        <v>0</v>
      </c>
      <c r="Q83" s="18" t="n">
        <v>0.42520186</v>
      </c>
      <c r="R83" s="20" t="n">
        <v>0.42107631</v>
      </c>
    </row>
    <row r="84" spans="1:18">
      <c r="A84" s="23" t="s">
        <v>644</v>
      </c>
      <c r="B84" s="24" t="n">
        <v>1887</v>
      </c>
      <c r="C84" s="25">
        <f>(1636.0/B84*100)</f>
        <v/>
      </c>
      <c r="D84" s="19" t="n">
        <v>251</v>
      </c>
      <c r="E84" s="18" t="n">
        <v>66.22217655</v>
      </c>
      <c r="F84" s="20" t="n">
        <v>3.27265625</v>
      </c>
      <c r="G84" s="18" t="n">
        <v>33.77782345</v>
      </c>
      <c r="H84" s="20" t="n">
        <v>3.27265625</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(12935.0/B7*100)</f>
        <v/>
      </c>
      <c r="D7" s="19" t="n">
        <v>1595</v>
      </c>
      <c r="E7" s="18" t="n">
        <v>76.58372307</v>
      </c>
      <c r="F7" s="20" t="n">
        <v>1.17931568</v>
      </c>
      <c r="G7" s="18" t="n">
        <v>22.41764421</v>
      </c>
      <c r="H7" s="20" t="n">
        <v>1.16272101</v>
      </c>
      <c r="I7" s="18" t="n">
        <v>0</v>
      </c>
      <c r="J7" s="20" t="n">
        <v>0</v>
      </c>
      <c r="K7" s="18" t="n">
        <v>0.34987547</v>
      </c>
      <c r="L7" s="20" t="n">
        <v>0.16235042</v>
      </c>
      <c r="M7" s="18" t="n">
        <v>0</v>
      </c>
      <c r="N7" s="20" t="n">
        <v>0</v>
      </c>
      <c r="O7" s="18" t="n">
        <v>0</v>
      </c>
      <c r="P7" s="20" t="n">
        <v>0</v>
      </c>
      <c r="Q7" s="18" t="n">
        <v>0.64875725</v>
      </c>
      <c r="R7" s="20" t="n">
        <v>0.1831069</v>
      </c>
    </row>
    <row r="8" spans="1:18">
      <c r="A8" s="15" t="s">
        <v>566</v>
      </c>
      <c r="B8" s="17" t="n">
        <v>7007</v>
      </c>
      <c r="C8" s="18">
        <f>(6209.0/B8*100)</f>
        <v/>
      </c>
      <c r="D8" s="19" t="n">
        <v>798</v>
      </c>
      <c r="E8" s="18" t="n">
        <v>77.93298953999999</v>
      </c>
      <c r="F8" s="20" t="n">
        <v>1.79029298</v>
      </c>
      <c r="G8" s="18" t="n">
        <v>20.96636905</v>
      </c>
      <c r="H8" s="20" t="n">
        <v>1.7922959</v>
      </c>
      <c r="I8" s="18" t="n">
        <v>0</v>
      </c>
      <c r="J8" s="20" t="n">
        <v>0</v>
      </c>
      <c r="K8" s="18" t="n">
        <v>0</v>
      </c>
      <c r="L8" s="20" t="n">
        <v>0</v>
      </c>
      <c r="M8" s="18" t="n">
        <v>0</v>
      </c>
      <c r="N8" s="20" t="n">
        <v>0</v>
      </c>
      <c r="O8" s="18" t="n">
        <v>0</v>
      </c>
      <c r="P8" s="20" t="n">
        <v>0</v>
      </c>
      <c r="Q8" s="18" t="n">
        <v>1.10064141</v>
      </c>
      <c r="R8" s="20" t="n">
        <v>0.4615363</v>
      </c>
    </row>
    <row r="9" spans="1:18">
      <c r="A9" s="15" t="s">
        <v>567</v>
      </c>
      <c r="B9" s="17" t="n">
        <v>9651</v>
      </c>
      <c r="C9" s="18">
        <f>(8347.0/B9*100)</f>
        <v/>
      </c>
      <c r="D9" s="19" t="n">
        <v>1304</v>
      </c>
      <c r="E9" s="18" t="n">
        <v>77.09652048</v>
      </c>
      <c r="F9" s="20" t="n">
        <v>1.41654139</v>
      </c>
      <c r="G9" s="18" t="n">
        <v>19.75441784</v>
      </c>
      <c r="H9" s="20" t="n">
        <v>1.34864748</v>
      </c>
      <c r="I9" s="18" t="n">
        <v>0</v>
      </c>
      <c r="J9" s="20" t="n">
        <v>0</v>
      </c>
      <c r="K9" s="18" t="n">
        <v>1.40962005</v>
      </c>
      <c r="L9" s="20" t="n">
        <v>0.52724418</v>
      </c>
      <c r="M9" s="18" t="n">
        <v>0</v>
      </c>
      <c r="N9" s="20" t="n">
        <v>0</v>
      </c>
      <c r="O9" s="18" t="n">
        <v>0</v>
      </c>
      <c r="P9" s="20" t="n">
        <v>0</v>
      </c>
      <c r="Q9" s="18" t="n">
        <v>1.73944163</v>
      </c>
      <c r="R9" s="20" t="n">
        <v>0.33551182</v>
      </c>
    </row>
    <row r="10" spans="1:18">
      <c r="A10" s="15" t="s">
        <v>568</v>
      </c>
      <c r="B10" s="17" t="n">
        <v>20058</v>
      </c>
      <c r="C10" s="18">
        <f>(17862.0/B10*100)</f>
        <v/>
      </c>
      <c r="D10" s="19" t="n">
        <v>2196</v>
      </c>
      <c r="E10" s="18" t="n">
        <v>64.41627206</v>
      </c>
      <c r="F10" s="20" t="n">
        <v>1.8138009</v>
      </c>
      <c r="G10" s="18" t="n">
        <v>34.67832376</v>
      </c>
      <c r="H10" s="20" t="n">
        <v>1.7752405</v>
      </c>
      <c r="I10" s="18" t="n">
        <v>0</v>
      </c>
      <c r="J10" s="20" t="n">
        <v>0</v>
      </c>
      <c r="K10" s="18" t="n">
        <v>0.01443529</v>
      </c>
      <c r="L10" s="20" t="n">
        <v>0.01446861</v>
      </c>
      <c r="M10" s="18" t="n">
        <v>0</v>
      </c>
      <c r="N10" s="20" t="n">
        <v>0</v>
      </c>
      <c r="O10" s="18" t="n">
        <v>0</v>
      </c>
      <c r="P10" s="20" t="n">
        <v>0</v>
      </c>
      <c r="Q10" s="18" t="n">
        <v>0.89096889</v>
      </c>
      <c r="R10" s="20" t="n">
        <v>0.28342949</v>
      </c>
    </row>
    <row r="11" spans="1:18">
      <c r="A11" s="15" t="s">
        <v>569</v>
      </c>
      <c r="B11" s="17" t="n">
        <v>7053</v>
      </c>
      <c r="C11" s="18">
        <f>(6262.0/B11*100)</f>
        <v/>
      </c>
      <c r="D11" s="19" t="n">
        <v>791</v>
      </c>
      <c r="E11" s="18" t="n">
        <v>70.65522943000001</v>
      </c>
      <c r="F11" s="20" t="n">
        <v>2.01219972</v>
      </c>
      <c r="G11" s="18" t="n">
        <v>25.11197993</v>
      </c>
      <c r="H11" s="20" t="n">
        <v>1.97137517</v>
      </c>
      <c r="I11" s="18" t="n">
        <v>0</v>
      </c>
      <c r="J11" s="20" t="n">
        <v>0</v>
      </c>
      <c r="K11" s="18" t="n">
        <v>0.77501557</v>
      </c>
      <c r="L11" s="20" t="n">
        <v>0.32986373</v>
      </c>
      <c r="M11" s="18" t="n">
        <v>0</v>
      </c>
      <c r="N11" s="20" t="n">
        <v>0</v>
      </c>
      <c r="O11" s="18" t="n">
        <v>0</v>
      </c>
      <c r="P11" s="20" t="n">
        <v>0</v>
      </c>
      <c r="Q11" s="18" t="n">
        <v>3.45777507</v>
      </c>
      <c r="R11" s="20" t="n">
        <v>0.80785081</v>
      </c>
    </row>
    <row r="12" spans="1:18">
      <c r="A12" s="15" t="s">
        <v>570</v>
      </c>
      <c r="B12" s="17" t="n">
        <v>6894</v>
      </c>
      <c r="C12" s="18">
        <f>(6014.0/B12*100)</f>
        <v/>
      </c>
      <c r="D12" s="19" t="n">
        <v>880</v>
      </c>
      <c r="E12" s="18" t="n">
        <v>76.45534445</v>
      </c>
      <c r="F12" s="20" t="n">
        <v>1.53624585</v>
      </c>
      <c r="G12" s="18" t="n">
        <v>21.33271405</v>
      </c>
      <c r="H12" s="20" t="n">
        <v>1.57727306</v>
      </c>
      <c r="I12" s="18" t="n">
        <v>0</v>
      </c>
      <c r="J12" s="20" t="n">
        <v>0</v>
      </c>
      <c r="K12" s="18" t="n">
        <v>0.8321181</v>
      </c>
      <c r="L12" s="20" t="n">
        <v>0.5027216</v>
      </c>
      <c r="M12" s="18" t="n">
        <v>0</v>
      </c>
      <c r="N12" s="20" t="n">
        <v>0</v>
      </c>
      <c r="O12" s="18" t="n">
        <v>0</v>
      </c>
      <c r="P12" s="20" t="n">
        <v>0</v>
      </c>
      <c r="Q12" s="18" t="n">
        <v>1.3798234</v>
      </c>
      <c r="R12" s="20" t="n">
        <v>0.52258506</v>
      </c>
    </row>
    <row r="13" spans="1:18">
      <c r="A13" s="15" t="s">
        <v>571</v>
      </c>
      <c r="B13" s="17" t="n">
        <v>7161</v>
      </c>
      <c r="C13" s="18">
        <f>(6069.0/B13*100)</f>
        <v/>
      </c>
      <c r="D13" s="19" t="n">
        <v>1092</v>
      </c>
      <c r="E13" s="18" t="n">
        <v>73.43350058</v>
      </c>
      <c r="F13" s="20" t="n">
        <v>1.78851929</v>
      </c>
      <c r="G13" s="18" t="n">
        <v>24.75044823</v>
      </c>
      <c r="H13" s="20" t="n">
        <v>1.84747387</v>
      </c>
      <c r="I13" s="18" t="n">
        <v>0</v>
      </c>
      <c r="J13" s="20" t="n">
        <v>0</v>
      </c>
      <c r="K13" s="18" t="n">
        <v>1.02574221</v>
      </c>
      <c r="L13" s="20" t="n">
        <v>0.30400005</v>
      </c>
      <c r="M13" s="18" t="n">
        <v>0</v>
      </c>
      <c r="N13" s="20" t="n">
        <v>0</v>
      </c>
      <c r="O13" s="18" t="n">
        <v>0</v>
      </c>
      <c r="P13" s="20" t="n">
        <v>0</v>
      </c>
      <c r="Q13" s="18" t="n">
        <v>0.79030898</v>
      </c>
      <c r="R13" s="20" t="n">
        <v>0.29743414</v>
      </c>
    </row>
    <row r="14" spans="1:18">
      <c r="A14" s="15" t="s">
        <v>572</v>
      </c>
      <c r="B14" s="17" t="n">
        <v>5587</v>
      </c>
      <c r="C14" s="18">
        <f>(4970.0/B14*100)</f>
        <v/>
      </c>
      <c r="D14" s="19" t="n">
        <v>617</v>
      </c>
      <c r="E14" s="18" t="n">
        <v>72.31898431</v>
      </c>
      <c r="F14" s="20" t="n">
        <v>1.80036284</v>
      </c>
      <c r="G14" s="18" t="n">
        <v>27.68101569</v>
      </c>
      <c r="H14" s="20" t="n">
        <v>1.80036284</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(5193.0/B15*100)</f>
        <v/>
      </c>
      <c r="D15" s="19" t="n">
        <v>689</v>
      </c>
      <c r="E15" s="18" t="n">
        <v>67.31671713999999</v>
      </c>
      <c r="F15" s="20" t="n">
        <v>1.70515617</v>
      </c>
      <c r="G15" s="18" t="n">
        <v>30.91705133</v>
      </c>
      <c r="H15" s="20" t="n">
        <v>1.77887779</v>
      </c>
      <c r="I15" s="18" t="n">
        <v>0</v>
      </c>
      <c r="J15" s="20" t="n">
        <v>0</v>
      </c>
      <c r="K15" s="18" t="n">
        <v>0.57648802</v>
      </c>
      <c r="L15" s="20" t="n">
        <v>0.56887398</v>
      </c>
      <c r="M15" s="18" t="n">
        <v>0</v>
      </c>
      <c r="N15" s="20" t="n">
        <v>0</v>
      </c>
      <c r="O15" s="18" t="n">
        <v>0</v>
      </c>
      <c r="P15" s="20" t="n">
        <v>0</v>
      </c>
      <c r="Q15" s="18" t="n">
        <v>1.1897435</v>
      </c>
      <c r="R15" s="20" t="n">
        <v>0.49515182</v>
      </c>
    </row>
    <row r="16" spans="1:18">
      <c r="A16" s="15" t="s">
        <v>574</v>
      </c>
      <c r="B16" s="17" t="n">
        <v>6108</v>
      </c>
      <c r="C16" s="18">
        <f>(5434.0/B16*100)</f>
        <v/>
      </c>
      <c r="D16" s="19" t="n">
        <v>674</v>
      </c>
      <c r="E16" s="18" t="n">
        <v>64.60422559</v>
      </c>
      <c r="F16" s="20" t="n">
        <v>1.7749492</v>
      </c>
      <c r="G16" s="18" t="n">
        <v>32.94078427</v>
      </c>
      <c r="H16" s="20" t="n">
        <v>1.7588376</v>
      </c>
      <c r="I16" s="18" t="n">
        <v>0</v>
      </c>
      <c r="J16" s="20" t="n">
        <v>0</v>
      </c>
      <c r="K16" s="18" t="n">
        <v>0.52690251</v>
      </c>
      <c r="L16" s="20" t="n">
        <v>0.45116662</v>
      </c>
      <c r="M16" s="18" t="n">
        <v>0</v>
      </c>
      <c r="N16" s="20" t="n">
        <v>0</v>
      </c>
      <c r="O16" s="18" t="n">
        <v>0</v>
      </c>
      <c r="P16" s="20" t="n">
        <v>0</v>
      </c>
      <c r="Q16" s="18" t="n">
        <v>1.92808763</v>
      </c>
      <c r="R16" s="20" t="n">
        <v>0.52186349</v>
      </c>
    </row>
    <row r="17" spans="1:18">
      <c r="A17" s="15" t="s">
        <v>575</v>
      </c>
      <c r="B17" s="17" t="n">
        <v>6504</v>
      </c>
      <c r="C17" s="18">
        <f>(5633.0/B17*100)</f>
        <v/>
      </c>
      <c r="D17" s="19" t="n">
        <v>871</v>
      </c>
      <c r="E17" s="18" t="n">
        <v>70.90403444</v>
      </c>
      <c r="F17" s="20" t="n">
        <v>1.55607565</v>
      </c>
      <c r="G17" s="18" t="n">
        <v>23.24432407</v>
      </c>
      <c r="H17" s="20" t="n">
        <v>1.45559866</v>
      </c>
      <c r="I17" s="18" t="n">
        <v>0</v>
      </c>
      <c r="J17" s="20" t="n">
        <v>0</v>
      </c>
      <c r="K17" s="18" t="n">
        <v>1.67407441</v>
      </c>
      <c r="L17" s="20" t="n">
        <v>0.61361389</v>
      </c>
      <c r="M17" s="18" t="n">
        <v>0</v>
      </c>
      <c r="N17" s="20" t="n">
        <v>0</v>
      </c>
      <c r="O17" s="18" t="n">
        <v>0</v>
      </c>
      <c r="P17" s="20" t="n">
        <v>0</v>
      </c>
      <c r="Q17" s="18" t="n">
        <v>4.17756707</v>
      </c>
      <c r="R17" s="20" t="n">
        <v>0.71192585</v>
      </c>
    </row>
    <row r="18" spans="1:18">
      <c r="A18" s="15" t="s">
        <v>576</v>
      </c>
      <c r="B18" s="17" t="n">
        <v>5532</v>
      </c>
      <c r="C18" s="18">
        <f>(4911.0/B18*100)</f>
        <v/>
      </c>
      <c r="D18" s="19" t="n">
        <v>621</v>
      </c>
      <c r="E18" s="18" t="n">
        <v>81.89650705</v>
      </c>
      <c r="F18" s="20" t="n">
        <v>1.73257601</v>
      </c>
      <c r="G18" s="18" t="n">
        <v>15.92679631</v>
      </c>
      <c r="H18" s="20" t="n">
        <v>1.60264402</v>
      </c>
      <c r="I18" s="18" t="n">
        <v>0</v>
      </c>
      <c r="J18" s="20" t="n">
        <v>0</v>
      </c>
      <c r="K18" s="18" t="n">
        <v>0.52743781</v>
      </c>
      <c r="L18" s="20" t="n">
        <v>0.28818611</v>
      </c>
      <c r="M18" s="18" t="n">
        <v>0</v>
      </c>
      <c r="N18" s="20" t="n">
        <v>0</v>
      </c>
      <c r="O18" s="18" t="n">
        <v>0</v>
      </c>
      <c r="P18" s="20" t="n">
        <v>0</v>
      </c>
      <c r="Q18" s="18" t="n">
        <v>1.64925883</v>
      </c>
      <c r="R18" s="20" t="n">
        <v>0.5933327900000001</v>
      </c>
    </row>
    <row r="19" spans="1:18">
      <c r="A19" s="15" t="s">
        <v>577</v>
      </c>
      <c r="B19" s="17" t="n">
        <v>5658</v>
      </c>
      <c r="C19" s="18">
        <f>(5020.0/B19*100)</f>
        <v/>
      </c>
      <c r="D19" s="19" t="n">
        <v>638</v>
      </c>
      <c r="E19" s="18" t="n">
        <v>0</v>
      </c>
      <c r="F19" s="20" t="n">
        <v>0</v>
      </c>
      <c r="G19" s="18" t="n">
        <v>0</v>
      </c>
      <c r="H19" s="20" t="n">
        <v>0</v>
      </c>
      <c r="I19" s="18" t="n">
        <v>0</v>
      </c>
      <c r="J19" s="20" t="n">
        <v>0</v>
      </c>
      <c r="K19" s="18" t="n">
        <v>0</v>
      </c>
      <c r="L19" s="20" t="n">
        <v>0</v>
      </c>
      <c r="M19" s="18" t="n">
        <v>100</v>
      </c>
      <c r="N19" s="20" t="n">
        <v>0</v>
      </c>
      <c r="O19" s="18" t="n">
        <v>0</v>
      </c>
      <c r="P19" s="20" t="n">
        <v>0</v>
      </c>
      <c r="Q19" s="18" t="n">
        <v>0</v>
      </c>
      <c r="R19" s="20" t="n">
        <v>0</v>
      </c>
    </row>
    <row r="20" spans="1:18">
      <c r="A20" s="15" t="s">
        <v>578</v>
      </c>
      <c r="B20" s="17" t="n">
        <v>3371</v>
      </c>
      <c r="C20" s="18">
        <f>(3004.0/B20*100)</f>
        <v/>
      </c>
      <c r="D20" s="19" t="n">
        <v>367</v>
      </c>
      <c r="E20" s="18" t="n">
        <v>79.16943836999999</v>
      </c>
      <c r="F20" s="20" t="n">
        <v>2.39154101</v>
      </c>
      <c r="G20" s="18" t="n">
        <v>19.76862608</v>
      </c>
      <c r="H20" s="20" t="n">
        <v>2.37219258</v>
      </c>
      <c r="I20" s="18" t="n">
        <v>0</v>
      </c>
      <c r="J20" s="20" t="n">
        <v>0</v>
      </c>
      <c r="K20" s="18" t="n">
        <v>0.23198218</v>
      </c>
      <c r="L20" s="20" t="n">
        <v>0.23214469</v>
      </c>
      <c r="M20" s="18" t="n">
        <v>0</v>
      </c>
      <c r="N20" s="20" t="n">
        <v>0</v>
      </c>
      <c r="O20" s="18" t="n">
        <v>0</v>
      </c>
      <c r="P20" s="20" t="n">
        <v>0</v>
      </c>
      <c r="Q20" s="18" t="n">
        <v>0.82995337</v>
      </c>
      <c r="R20" s="20" t="n">
        <v>0.48170605</v>
      </c>
    </row>
    <row r="21" spans="1:18">
      <c r="A21" s="15" t="s">
        <v>579</v>
      </c>
      <c r="B21" s="17" t="n">
        <v>5741</v>
      </c>
      <c r="C21" s="18">
        <f>(5105.0/B21*100)</f>
        <v/>
      </c>
      <c r="D21" s="19" t="n">
        <v>636</v>
      </c>
      <c r="E21" s="18" t="n">
        <v>69.52649584</v>
      </c>
      <c r="F21" s="20" t="n">
        <v>1.89231239</v>
      </c>
      <c r="G21" s="18" t="n">
        <v>30.31234858</v>
      </c>
      <c r="H21" s="20" t="n">
        <v>1.87099054</v>
      </c>
      <c r="I21" s="18" t="n">
        <v>0</v>
      </c>
      <c r="J21" s="20" t="n">
        <v>0</v>
      </c>
      <c r="K21" s="18" t="n">
        <v>0</v>
      </c>
      <c r="L21" s="20" t="n">
        <v>0</v>
      </c>
      <c r="M21" s="18" t="n">
        <v>0</v>
      </c>
      <c r="N21" s="20" t="n">
        <v>0</v>
      </c>
      <c r="O21" s="18" t="n">
        <v>0</v>
      </c>
      <c r="P21" s="20" t="n">
        <v>0</v>
      </c>
      <c r="Q21" s="18" t="n">
        <v>0.16115558</v>
      </c>
      <c r="R21" s="20" t="n">
        <v>0.11332613</v>
      </c>
    </row>
    <row r="22" spans="1:18">
      <c r="A22" s="15" t="s">
        <v>580</v>
      </c>
      <c r="B22" s="17" t="n">
        <v>6598</v>
      </c>
      <c r="C22" s="18">
        <f>(5867.0/B22*100)</f>
        <v/>
      </c>
      <c r="D22" s="19" t="n">
        <v>731</v>
      </c>
      <c r="E22" s="18" t="n">
        <v>73.71614984999999</v>
      </c>
      <c r="F22" s="20" t="n">
        <v>1.85448826</v>
      </c>
      <c r="G22" s="18" t="n">
        <v>23.96191973</v>
      </c>
      <c r="H22" s="20" t="n">
        <v>1.70824944</v>
      </c>
      <c r="I22" s="18" t="n">
        <v>0</v>
      </c>
      <c r="J22" s="20" t="n">
        <v>0</v>
      </c>
      <c r="K22" s="18" t="n">
        <v>0</v>
      </c>
      <c r="L22" s="20" t="n">
        <v>0</v>
      </c>
      <c r="M22" s="18" t="n">
        <v>0</v>
      </c>
      <c r="N22" s="20" t="n">
        <v>0</v>
      </c>
      <c r="O22" s="18" t="n">
        <v>0</v>
      </c>
      <c r="P22" s="20" t="n">
        <v>0</v>
      </c>
      <c r="Q22" s="18" t="n">
        <v>2.32193042</v>
      </c>
      <c r="R22" s="20" t="n">
        <v>0.61426928</v>
      </c>
    </row>
    <row r="23" spans="1:18">
      <c r="A23" s="15" t="s">
        <v>581</v>
      </c>
      <c r="B23" s="17" t="n">
        <v>11583</v>
      </c>
      <c r="C23" s="18">
        <f>(10328.0/B23*100)</f>
        <v/>
      </c>
      <c r="D23" s="19" t="n">
        <v>1255</v>
      </c>
      <c r="E23" s="18" t="n">
        <v>68.8528239</v>
      </c>
      <c r="F23" s="20" t="n">
        <v>1.77161347</v>
      </c>
      <c r="G23" s="18" t="n">
        <v>29.63051037</v>
      </c>
      <c r="H23" s="20" t="n">
        <v>1.80798964</v>
      </c>
      <c r="I23" s="18" t="n">
        <v>0</v>
      </c>
      <c r="J23" s="20" t="n">
        <v>0</v>
      </c>
      <c r="K23" s="18" t="n">
        <v>0.36898416</v>
      </c>
      <c r="L23" s="20" t="n">
        <v>0.2590383</v>
      </c>
      <c r="M23" s="18" t="n">
        <v>0</v>
      </c>
      <c r="N23" s="20" t="n">
        <v>0</v>
      </c>
      <c r="O23" s="18" t="n">
        <v>0</v>
      </c>
      <c r="P23" s="20" t="n">
        <v>0</v>
      </c>
      <c r="Q23" s="18" t="n">
        <v>1.14768157</v>
      </c>
      <c r="R23" s="20" t="n">
        <v>0.41694267</v>
      </c>
    </row>
    <row r="24" spans="1:18">
      <c r="A24" s="15" t="s">
        <v>582</v>
      </c>
      <c r="B24" s="17" t="n">
        <v>6647</v>
      </c>
      <c r="C24" s="18">
        <f>(5884.0/B24*100)</f>
        <v/>
      </c>
      <c r="D24" s="19" t="n">
        <v>763</v>
      </c>
      <c r="E24" s="18" t="n">
        <v>42.68878854</v>
      </c>
      <c r="F24" s="20" t="n">
        <v>2.03646304</v>
      </c>
      <c r="G24" s="18" t="n">
        <v>56.77393095</v>
      </c>
      <c r="H24" s="20" t="n">
        <v>2.07791138</v>
      </c>
      <c r="I24" s="18" t="n">
        <v>0</v>
      </c>
      <c r="J24" s="20" t="n">
        <v>0</v>
      </c>
      <c r="K24" s="18" t="n">
        <v>0.12634354</v>
      </c>
      <c r="L24" s="20" t="n">
        <v>0.12658687</v>
      </c>
      <c r="M24" s="18" t="n">
        <v>0</v>
      </c>
      <c r="N24" s="20" t="n">
        <v>0</v>
      </c>
      <c r="O24" s="18" t="n">
        <v>0</v>
      </c>
      <c r="P24" s="20" t="n">
        <v>0</v>
      </c>
      <c r="Q24" s="18" t="n">
        <v>0.41093697</v>
      </c>
      <c r="R24" s="20" t="n">
        <v>0.23635897</v>
      </c>
    </row>
    <row r="25" spans="1:18">
      <c r="A25" s="15" t="s">
        <v>583</v>
      </c>
      <c r="B25" s="17" t="n">
        <v>5581</v>
      </c>
      <c r="C25" s="18">
        <f>(4962.0/B25*100)</f>
        <v/>
      </c>
      <c r="D25" s="19" t="n">
        <v>619</v>
      </c>
      <c r="E25" s="18" t="n">
        <v>71.31397053000001</v>
      </c>
      <c r="F25" s="20" t="n">
        <v>1.94585592</v>
      </c>
      <c r="G25" s="18" t="n">
        <v>27.56772763</v>
      </c>
      <c r="H25" s="20" t="n">
        <v>1.8173109</v>
      </c>
      <c r="I25" s="18" t="n">
        <v>0</v>
      </c>
      <c r="J25" s="20" t="n">
        <v>0</v>
      </c>
      <c r="K25" s="18" t="n">
        <v>0</v>
      </c>
      <c r="L25" s="20" t="n">
        <v>0</v>
      </c>
      <c r="M25" s="18" t="n">
        <v>0</v>
      </c>
      <c r="N25" s="20" t="n">
        <v>0</v>
      </c>
      <c r="O25" s="18" t="n">
        <v>0</v>
      </c>
      <c r="P25" s="20" t="n">
        <v>0</v>
      </c>
      <c r="Q25" s="18" t="n">
        <v>1.11830184</v>
      </c>
      <c r="R25" s="20" t="n">
        <v>0.44374134</v>
      </c>
    </row>
    <row r="26" spans="1:18">
      <c r="A26" s="15" t="s">
        <v>584</v>
      </c>
      <c r="B26" s="17" t="n">
        <v>4869</v>
      </c>
      <c r="C26" s="18">
        <f>(4334.0/B26*100)</f>
        <v/>
      </c>
      <c r="D26" s="19" t="n">
        <v>535</v>
      </c>
      <c r="E26" s="18" t="n">
        <v>81.16307585</v>
      </c>
      <c r="F26" s="20" t="n">
        <v>1.89168533</v>
      </c>
      <c r="G26" s="18" t="n">
        <v>18.31709532</v>
      </c>
      <c r="H26" s="20" t="n">
        <v>1.84324152</v>
      </c>
      <c r="I26" s="18" t="n">
        <v>0</v>
      </c>
      <c r="J26" s="20" t="n">
        <v>0</v>
      </c>
      <c r="K26" s="18" t="n">
        <v>0</v>
      </c>
      <c r="L26" s="20" t="n">
        <v>0</v>
      </c>
      <c r="M26" s="18" t="n">
        <v>0</v>
      </c>
      <c r="N26" s="20" t="n">
        <v>0</v>
      </c>
      <c r="O26" s="18" t="n">
        <v>0</v>
      </c>
      <c r="P26" s="20" t="n">
        <v>0</v>
      </c>
      <c r="Q26" s="18" t="n">
        <v>0.51982882</v>
      </c>
      <c r="R26" s="20" t="n">
        <v>0.29623386</v>
      </c>
    </row>
    <row r="27" spans="1:18">
      <c r="A27" s="15" t="s">
        <v>585</v>
      </c>
      <c r="B27" s="17" t="n">
        <v>5299</v>
      </c>
      <c r="C27" s="18">
        <f>(4741.0/B27*100)</f>
        <v/>
      </c>
      <c r="D27" s="19" t="n">
        <v>558</v>
      </c>
      <c r="E27" s="18" t="n">
        <v>76.30567358</v>
      </c>
      <c r="F27" s="20" t="n">
        <v>1.92139272</v>
      </c>
      <c r="G27" s="18" t="n">
        <v>21.14373076</v>
      </c>
      <c r="H27" s="20" t="n">
        <v>1.88200072</v>
      </c>
      <c r="I27" s="18" t="n">
        <v>0</v>
      </c>
      <c r="J27" s="20" t="n">
        <v>0</v>
      </c>
      <c r="K27" s="18" t="n">
        <v>0.17761446</v>
      </c>
      <c r="L27" s="20" t="n">
        <v>0.17467285</v>
      </c>
      <c r="M27" s="18" t="n">
        <v>0</v>
      </c>
      <c r="N27" s="20" t="n">
        <v>0</v>
      </c>
      <c r="O27" s="18" t="n">
        <v>0</v>
      </c>
      <c r="P27" s="20" t="n">
        <v>0</v>
      </c>
      <c r="Q27" s="18" t="n">
        <v>2.3729812</v>
      </c>
      <c r="R27" s="20" t="n">
        <v>0.5945446</v>
      </c>
    </row>
    <row r="28" spans="1:18">
      <c r="A28" s="15" t="s">
        <v>586</v>
      </c>
      <c r="B28" s="17" t="n">
        <v>7568</v>
      </c>
      <c r="C28" s="18">
        <f>(6774.0/B28*100)</f>
        <v/>
      </c>
      <c r="D28" s="19" t="n">
        <v>794</v>
      </c>
      <c r="E28" s="18" t="n">
        <v>80.2194799</v>
      </c>
      <c r="F28" s="20" t="n">
        <v>1.53900202</v>
      </c>
      <c r="G28" s="18" t="n">
        <v>18.37953848</v>
      </c>
      <c r="H28" s="20" t="n">
        <v>1.4658024</v>
      </c>
      <c r="I28" s="18" t="n">
        <v>0</v>
      </c>
      <c r="J28" s="20" t="n">
        <v>0</v>
      </c>
      <c r="K28" s="18" t="n">
        <v>0.62442844</v>
      </c>
      <c r="L28" s="20" t="n">
        <v>0.37261981</v>
      </c>
      <c r="M28" s="18" t="n">
        <v>0</v>
      </c>
      <c r="N28" s="20" t="n">
        <v>0</v>
      </c>
      <c r="O28" s="18" t="n">
        <v>0</v>
      </c>
      <c r="P28" s="20" t="n">
        <v>0</v>
      </c>
      <c r="Q28" s="18" t="n">
        <v>0.77655318</v>
      </c>
      <c r="R28" s="20" t="n">
        <v>0.37463305</v>
      </c>
    </row>
    <row r="29" spans="1:18">
      <c r="A29" s="15" t="s">
        <v>587</v>
      </c>
      <c r="B29" s="17" t="n">
        <v>5385</v>
      </c>
      <c r="C29" s="18">
        <f>(4644.0/B29*100)</f>
        <v/>
      </c>
      <c r="D29" s="19" t="n">
        <v>741</v>
      </c>
      <c r="E29" s="18" t="n">
        <v>63.7358811</v>
      </c>
      <c r="F29" s="20" t="n">
        <v>2.00366874</v>
      </c>
      <c r="G29" s="18" t="n">
        <v>34.74168655</v>
      </c>
      <c r="H29" s="20" t="n">
        <v>2.09386928</v>
      </c>
      <c r="I29" s="18" t="n">
        <v>0</v>
      </c>
      <c r="J29" s="20" t="n">
        <v>0</v>
      </c>
      <c r="K29" s="18" t="n">
        <v>0.7710547800000001</v>
      </c>
      <c r="L29" s="20" t="n">
        <v>0.41930222</v>
      </c>
      <c r="M29" s="18" t="n">
        <v>0</v>
      </c>
      <c r="N29" s="20" t="n">
        <v>0</v>
      </c>
      <c r="O29" s="18" t="n">
        <v>0</v>
      </c>
      <c r="P29" s="20" t="n">
        <v>0</v>
      </c>
      <c r="Q29" s="18" t="n">
        <v>0.7513775700000001</v>
      </c>
      <c r="R29" s="20" t="n">
        <v>0.33799638</v>
      </c>
    </row>
    <row r="30" spans="1:18">
      <c r="A30" s="15" t="s">
        <v>588</v>
      </c>
      <c r="B30" s="17" t="n">
        <v>4520</v>
      </c>
      <c r="C30" s="18">
        <f>(4029.0/B30*100)</f>
        <v/>
      </c>
      <c r="D30" s="19" t="n">
        <v>491</v>
      </c>
      <c r="E30" s="18" t="n">
        <v>72.62676424999999</v>
      </c>
      <c r="F30" s="20" t="n">
        <v>2.57636795</v>
      </c>
      <c r="G30" s="18" t="n">
        <v>26.91061519</v>
      </c>
      <c r="H30" s="20" t="n">
        <v>2.55039688</v>
      </c>
      <c r="I30" s="18" t="n">
        <v>0</v>
      </c>
      <c r="J30" s="20" t="n">
        <v>0</v>
      </c>
      <c r="K30" s="18" t="n">
        <v>0.21002374</v>
      </c>
      <c r="L30" s="20" t="n">
        <v>0.20234585</v>
      </c>
      <c r="M30" s="18" t="n">
        <v>0</v>
      </c>
      <c r="N30" s="20" t="n">
        <v>0</v>
      </c>
      <c r="O30" s="18" t="n">
        <v>0</v>
      </c>
      <c r="P30" s="20" t="n">
        <v>0</v>
      </c>
      <c r="Q30" s="18" t="n">
        <v>0.25259682</v>
      </c>
      <c r="R30" s="20" t="n">
        <v>0.2415381</v>
      </c>
    </row>
    <row r="31" spans="1:18">
      <c r="A31" s="15" t="s">
        <v>589</v>
      </c>
      <c r="B31" s="17" t="n">
        <v>5456</v>
      </c>
      <c r="C31" s="18">
        <f>(4877.0/B31*100)</f>
        <v/>
      </c>
      <c r="D31" s="19" t="n">
        <v>579</v>
      </c>
      <c r="E31" s="18" t="n">
        <v>73.85966347999999</v>
      </c>
      <c r="F31" s="20" t="n">
        <v>1.86901524</v>
      </c>
      <c r="G31" s="18" t="n">
        <v>24.93372044</v>
      </c>
      <c r="H31" s="20" t="n">
        <v>1.8358695</v>
      </c>
      <c r="I31" s="18" t="n">
        <v>0</v>
      </c>
      <c r="J31" s="20" t="n">
        <v>0</v>
      </c>
      <c r="K31" s="18" t="n">
        <v>0.17159901</v>
      </c>
      <c r="L31" s="20" t="n">
        <v>0.18480619</v>
      </c>
      <c r="M31" s="18" t="n">
        <v>0</v>
      </c>
      <c r="N31" s="20" t="n">
        <v>0</v>
      </c>
      <c r="O31" s="18" t="n">
        <v>0</v>
      </c>
      <c r="P31" s="20" t="n">
        <v>0</v>
      </c>
      <c r="Q31" s="18" t="n">
        <v>1.03501706</v>
      </c>
      <c r="R31" s="20" t="n">
        <v>0.32884857</v>
      </c>
    </row>
    <row r="32" spans="1:18">
      <c r="A32" s="15" t="s">
        <v>590</v>
      </c>
      <c r="B32" s="17" t="n">
        <v>4478</v>
      </c>
      <c r="C32" s="18">
        <f>(3984.0/B32*100)</f>
        <v/>
      </c>
      <c r="D32" s="19" t="n">
        <v>494</v>
      </c>
      <c r="E32" s="18" t="n">
        <v>72.17755776</v>
      </c>
      <c r="F32" s="20" t="n">
        <v>2.10386353</v>
      </c>
      <c r="G32" s="18" t="n">
        <v>26.83993741</v>
      </c>
      <c r="H32" s="20" t="n">
        <v>2.05143119</v>
      </c>
      <c r="I32" s="18" t="n">
        <v>0</v>
      </c>
      <c r="J32" s="20" t="n">
        <v>0</v>
      </c>
      <c r="K32" s="18" t="n">
        <v>0</v>
      </c>
      <c r="L32" s="20" t="n">
        <v>0</v>
      </c>
      <c r="M32" s="18" t="n">
        <v>0</v>
      </c>
      <c r="N32" s="20" t="n">
        <v>0</v>
      </c>
      <c r="O32" s="18" t="n">
        <v>0</v>
      </c>
      <c r="P32" s="20" t="n">
        <v>0</v>
      </c>
      <c r="Q32" s="18" t="n">
        <v>0.98250483</v>
      </c>
      <c r="R32" s="20" t="n">
        <v>0.44053975</v>
      </c>
    </row>
    <row r="33" spans="1:18">
      <c r="A33" s="15" t="s">
        <v>591</v>
      </c>
      <c r="B33" s="17" t="n">
        <v>7325</v>
      </c>
      <c r="C33" s="18">
        <f>(6537.0/B33*100)</f>
        <v/>
      </c>
      <c r="D33" s="19" t="n">
        <v>788</v>
      </c>
      <c r="E33" s="18" t="n">
        <v>79.23004872999999</v>
      </c>
      <c r="F33" s="20" t="n">
        <v>2.01697411</v>
      </c>
      <c r="G33" s="18" t="n">
        <v>19.39409347</v>
      </c>
      <c r="H33" s="20" t="n">
        <v>2.00951079</v>
      </c>
      <c r="I33" s="18" t="n">
        <v>0</v>
      </c>
      <c r="J33" s="20" t="n">
        <v>0</v>
      </c>
      <c r="K33" s="18" t="n">
        <v>0</v>
      </c>
      <c r="L33" s="20" t="n">
        <v>0</v>
      </c>
      <c r="M33" s="18" t="n">
        <v>0</v>
      </c>
      <c r="N33" s="20" t="n">
        <v>0</v>
      </c>
      <c r="O33" s="18" t="n">
        <v>0</v>
      </c>
      <c r="P33" s="20" t="n">
        <v>0</v>
      </c>
      <c r="Q33" s="18" t="n">
        <v>1.37585781</v>
      </c>
      <c r="R33" s="20" t="n">
        <v>0.47109777</v>
      </c>
    </row>
    <row r="34" spans="1:18">
      <c r="A34" s="15" t="s">
        <v>592</v>
      </c>
      <c r="B34" s="17" t="n">
        <v>6350</v>
      </c>
      <c r="C34" s="18">
        <f>(5524.0/B34*100)</f>
        <v/>
      </c>
      <c r="D34" s="19" t="n">
        <v>826</v>
      </c>
      <c r="E34" s="18" t="n">
        <v>74.21095926</v>
      </c>
      <c r="F34" s="20" t="n">
        <v>1.79735949</v>
      </c>
      <c r="G34" s="18" t="n">
        <v>23.93947955</v>
      </c>
      <c r="H34" s="20" t="n">
        <v>1.7412603</v>
      </c>
      <c r="I34" s="18" t="n">
        <v>0</v>
      </c>
      <c r="J34" s="20" t="n">
        <v>0</v>
      </c>
      <c r="K34" s="18" t="n">
        <v>0.53586746</v>
      </c>
      <c r="L34" s="20" t="n">
        <v>0.23419228</v>
      </c>
      <c r="M34" s="18" t="n">
        <v>0</v>
      </c>
      <c r="N34" s="20" t="n">
        <v>0</v>
      </c>
      <c r="O34" s="18" t="n">
        <v>0</v>
      </c>
      <c r="P34" s="20" t="n">
        <v>0</v>
      </c>
      <c r="Q34" s="18" t="n">
        <v>1.31369373</v>
      </c>
      <c r="R34" s="20" t="n">
        <v>0.40180986</v>
      </c>
    </row>
    <row r="35" spans="1:18">
      <c r="A35" s="15" t="s">
        <v>593</v>
      </c>
      <c r="B35" s="17" t="n">
        <v>6406</v>
      </c>
      <c r="C35" s="18">
        <f>(5550.0/B35*100)</f>
        <v/>
      </c>
      <c r="D35" s="19" t="n">
        <v>856</v>
      </c>
      <c r="E35" s="18" t="n">
        <v>57.75976191</v>
      </c>
      <c r="F35" s="20" t="n">
        <v>2.19432816</v>
      </c>
      <c r="G35" s="18" t="n">
        <v>41.68491927</v>
      </c>
      <c r="H35" s="20" t="n">
        <v>2.2169609</v>
      </c>
      <c r="I35" s="18" t="n">
        <v>0</v>
      </c>
      <c r="J35" s="20" t="n">
        <v>0</v>
      </c>
      <c r="K35" s="18" t="n">
        <v>0.24326428</v>
      </c>
      <c r="L35" s="20" t="n">
        <v>0.10098446</v>
      </c>
      <c r="M35" s="18" t="n">
        <v>0</v>
      </c>
      <c r="N35" s="20" t="n">
        <v>0</v>
      </c>
      <c r="O35" s="18" t="n">
        <v>0</v>
      </c>
      <c r="P35" s="20" t="n">
        <v>0</v>
      </c>
      <c r="Q35" s="18" t="n">
        <v>0.31205454</v>
      </c>
      <c r="R35" s="20" t="n">
        <v>0.13698005</v>
      </c>
    </row>
    <row r="36" spans="1:18">
      <c r="A36" s="15" t="s">
        <v>594</v>
      </c>
      <c r="B36" s="17" t="n">
        <v>6736</v>
      </c>
      <c r="C36" s="18">
        <f>(6036.0/B36*100)</f>
        <v/>
      </c>
      <c r="D36" s="19" t="n">
        <v>700</v>
      </c>
      <c r="E36" s="18" t="n">
        <v>68.53686696</v>
      </c>
      <c r="F36" s="20" t="n">
        <v>1.85311295</v>
      </c>
      <c r="G36" s="18" t="n">
        <v>30.46901792</v>
      </c>
      <c r="H36" s="20" t="n">
        <v>1.87746128</v>
      </c>
      <c r="I36" s="18" t="n">
        <v>0</v>
      </c>
      <c r="J36" s="20" t="n">
        <v>0</v>
      </c>
      <c r="K36" s="18" t="n">
        <v>0.43442158</v>
      </c>
      <c r="L36" s="20" t="n">
        <v>0.3413401</v>
      </c>
      <c r="M36" s="18" t="n">
        <v>0</v>
      </c>
      <c r="N36" s="20" t="n">
        <v>0</v>
      </c>
      <c r="O36" s="18" t="n">
        <v>0</v>
      </c>
      <c r="P36" s="20" t="n">
        <v>0</v>
      </c>
      <c r="Q36" s="18" t="n">
        <v>0.55969354</v>
      </c>
      <c r="R36" s="20" t="n">
        <v>0.28671492</v>
      </c>
    </row>
    <row r="37" spans="1:18">
      <c r="A37" s="15" t="s">
        <v>595</v>
      </c>
      <c r="B37" s="17" t="n">
        <v>5458</v>
      </c>
      <c r="C37" s="18">
        <f>(4834.0/B37*100)</f>
        <v/>
      </c>
      <c r="D37" s="19" t="n">
        <v>624</v>
      </c>
      <c r="E37" s="18" t="n">
        <v>74.93153780999999</v>
      </c>
      <c r="F37" s="20" t="n">
        <v>1.98788469</v>
      </c>
      <c r="G37" s="18" t="n">
        <v>23.26619826</v>
      </c>
      <c r="H37" s="20" t="n">
        <v>1.92327647</v>
      </c>
      <c r="I37" s="18" t="n">
        <v>0</v>
      </c>
      <c r="J37" s="20" t="n">
        <v>0</v>
      </c>
      <c r="K37" s="18" t="n">
        <v>0.15075185</v>
      </c>
      <c r="L37" s="20" t="n">
        <v>0.1514441</v>
      </c>
      <c r="M37" s="18" t="n">
        <v>0</v>
      </c>
      <c r="N37" s="20" t="n">
        <v>0</v>
      </c>
      <c r="O37" s="18" t="n">
        <v>0</v>
      </c>
      <c r="P37" s="20" t="n">
        <v>0</v>
      </c>
      <c r="Q37" s="18" t="n">
        <v>1.65151209</v>
      </c>
      <c r="R37" s="20" t="n">
        <v>0.49868515</v>
      </c>
    </row>
    <row r="38" spans="1:18">
      <c r="A38" s="15" t="s">
        <v>596</v>
      </c>
      <c r="B38" s="17" t="n">
        <v>5860</v>
      </c>
      <c r="C38" s="18">
        <f>(5236.0/B38*100)</f>
        <v/>
      </c>
      <c r="D38" s="19" t="n">
        <v>624</v>
      </c>
      <c r="E38" s="18" t="n">
        <v>77.36023593</v>
      </c>
      <c r="F38" s="20" t="n">
        <v>1.95073913</v>
      </c>
      <c r="G38" s="18" t="n">
        <v>21.84029693</v>
      </c>
      <c r="H38" s="20" t="n">
        <v>1.98597152</v>
      </c>
      <c r="I38" s="18" t="n">
        <v>0</v>
      </c>
      <c r="J38" s="20" t="n">
        <v>0</v>
      </c>
      <c r="K38" s="18" t="n">
        <v>0</v>
      </c>
      <c r="L38" s="20" t="n">
        <v>0</v>
      </c>
      <c r="M38" s="18" t="n">
        <v>0</v>
      </c>
      <c r="N38" s="20" t="n">
        <v>0</v>
      </c>
      <c r="O38" s="18" t="n">
        <v>0</v>
      </c>
      <c r="P38" s="20" t="n">
        <v>0</v>
      </c>
      <c r="Q38" s="18" t="n">
        <v>0.79946714</v>
      </c>
      <c r="R38" s="20" t="n">
        <v>0.35345111</v>
      </c>
    </row>
    <row r="39" spans="1:18">
      <c r="A39" s="15" t="s">
        <v>597</v>
      </c>
      <c r="B39" s="17" t="n">
        <v>5895</v>
      </c>
      <c r="C39" s="18">
        <f>(5252.0/B39*100)</f>
        <v/>
      </c>
      <c r="D39" s="19" t="n">
        <v>643</v>
      </c>
      <c r="E39" s="18" t="n">
        <v>74.37041388</v>
      </c>
      <c r="F39" s="20" t="n">
        <v>1.81333422</v>
      </c>
      <c r="G39" s="18" t="n">
        <v>24.25929995</v>
      </c>
      <c r="H39" s="20" t="n">
        <v>1.69404731</v>
      </c>
      <c r="I39" s="18" t="n">
        <v>0</v>
      </c>
      <c r="J39" s="20" t="n">
        <v>0</v>
      </c>
      <c r="K39" s="18" t="n">
        <v>0.64394324</v>
      </c>
      <c r="L39" s="20" t="n">
        <v>0.6078934499999999</v>
      </c>
      <c r="M39" s="18" t="n">
        <v>0</v>
      </c>
      <c r="N39" s="20" t="n">
        <v>0</v>
      </c>
      <c r="O39" s="18" t="n">
        <v>0</v>
      </c>
      <c r="P39" s="20" t="n">
        <v>0</v>
      </c>
      <c r="Q39" s="18" t="n">
        <v>0.7263429300000001</v>
      </c>
      <c r="R39" s="20" t="n">
        <v>0.36008434</v>
      </c>
    </row>
    <row r="40" spans="1:18">
      <c r="A40" s="15" t="s">
        <v>598</v>
      </c>
      <c r="B40" s="17" t="n">
        <v>14157</v>
      </c>
      <c r="C40" s="18">
        <f>(12577.0/B40*100)</f>
        <v/>
      </c>
      <c r="D40" s="19" t="n">
        <v>1580</v>
      </c>
      <c r="E40" s="18" t="n">
        <v>67.75480132</v>
      </c>
      <c r="F40" s="20" t="n">
        <v>1.70765106</v>
      </c>
      <c r="G40" s="18" t="n">
        <v>30.56165354</v>
      </c>
      <c r="H40" s="20" t="n">
        <v>1.71185994</v>
      </c>
      <c r="I40" s="18" t="n">
        <v>0</v>
      </c>
      <c r="J40" s="20" t="n">
        <v>0</v>
      </c>
      <c r="K40" s="18" t="n">
        <v>0.39494966</v>
      </c>
      <c r="L40" s="20" t="n">
        <v>0.30108213</v>
      </c>
      <c r="M40" s="18" t="n">
        <v>0</v>
      </c>
      <c r="N40" s="20" t="n">
        <v>0</v>
      </c>
      <c r="O40" s="18" t="n">
        <v>0</v>
      </c>
      <c r="P40" s="20" t="n">
        <v>0</v>
      </c>
      <c r="Q40" s="18" t="n">
        <v>1.28859547</v>
      </c>
      <c r="R40" s="20" t="n">
        <v>0.43613803</v>
      </c>
    </row>
    <row r="41" spans="1:18">
      <c r="A41" s="15" t="s">
        <v>599</v>
      </c>
      <c r="B41" s="17" t="n">
        <v>5712</v>
      </c>
      <c r="C41" s="18">
        <f>(5066.0/B41*100)</f>
        <v/>
      </c>
      <c r="D41" s="19" t="n">
        <v>646</v>
      </c>
      <c r="E41" s="18" t="n">
        <v>73.29481864</v>
      </c>
      <c r="F41" s="20" t="n">
        <v>2.08097496</v>
      </c>
      <c r="G41" s="18" t="n">
        <v>25.82098162</v>
      </c>
      <c r="H41" s="20" t="n">
        <v>2.07229918</v>
      </c>
      <c r="I41" s="18" t="n">
        <v>0</v>
      </c>
      <c r="J41" s="20" t="n">
        <v>0</v>
      </c>
      <c r="K41" s="18" t="n">
        <v>0.4026958</v>
      </c>
      <c r="L41" s="20" t="n">
        <v>0.29159092</v>
      </c>
      <c r="M41" s="18" t="n">
        <v>0</v>
      </c>
      <c r="N41" s="20" t="n">
        <v>0</v>
      </c>
      <c r="O41" s="18" t="n">
        <v>0</v>
      </c>
      <c r="P41" s="20" t="n">
        <v>0</v>
      </c>
      <c r="Q41" s="18" t="n">
        <v>0.48150394</v>
      </c>
      <c r="R41" s="20" t="n">
        <v>0.27310053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(20872.0/B46*100)</f>
        <v/>
      </c>
      <c r="D46" s="19" t="n">
        <v>2269</v>
      </c>
      <c r="E46" s="18" t="n">
        <v>76.89530872</v>
      </c>
      <c r="F46" s="20" t="n">
        <v>1.36368858</v>
      </c>
      <c r="G46" s="18" t="n">
        <v>19.42433772</v>
      </c>
      <c r="H46" s="20" t="n">
        <v>1.2781022</v>
      </c>
      <c r="I46" s="18" t="n">
        <v>0</v>
      </c>
      <c r="J46" s="20" t="n">
        <v>0</v>
      </c>
      <c r="K46" s="18" t="n">
        <v>1.3935787</v>
      </c>
      <c r="L46" s="20" t="n">
        <v>0.29685587</v>
      </c>
      <c r="M46" s="18" t="n">
        <v>0</v>
      </c>
      <c r="N46" s="20" t="n">
        <v>0</v>
      </c>
      <c r="O46" s="18" t="n">
        <v>0</v>
      </c>
      <c r="P46" s="20" t="n">
        <v>0</v>
      </c>
      <c r="Q46" s="18" t="n">
        <v>2.28677486</v>
      </c>
      <c r="R46" s="20" t="n">
        <v>0.35021096</v>
      </c>
    </row>
    <row r="47" spans="1:18">
      <c r="A47" s="15" t="s">
        <v>606</v>
      </c>
      <c r="B47" s="17" t="n">
        <v>5928</v>
      </c>
      <c r="C47" s="18">
        <f>(5276.0/B47*100)</f>
        <v/>
      </c>
      <c r="D47" s="19" t="n">
        <v>652</v>
      </c>
      <c r="E47" s="18" t="n">
        <v>77.36296319</v>
      </c>
      <c r="F47" s="20" t="n">
        <v>1.74887507</v>
      </c>
      <c r="G47" s="18" t="n">
        <v>19.57504346</v>
      </c>
      <c r="H47" s="20" t="n">
        <v>1.58995888</v>
      </c>
      <c r="I47" s="18" t="n">
        <v>0</v>
      </c>
      <c r="J47" s="20" t="n">
        <v>0</v>
      </c>
      <c r="K47" s="18" t="n">
        <v>0.46468181</v>
      </c>
      <c r="L47" s="20" t="n">
        <v>0.25528029</v>
      </c>
      <c r="M47" s="18" t="n">
        <v>0</v>
      </c>
      <c r="N47" s="20" t="n">
        <v>0</v>
      </c>
      <c r="O47" s="18" t="n">
        <v>0</v>
      </c>
      <c r="P47" s="20" t="n">
        <v>0</v>
      </c>
      <c r="Q47" s="18" t="n">
        <v>2.59731154</v>
      </c>
      <c r="R47" s="20" t="n">
        <v>0.67805752</v>
      </c>
    </row>
    <row r="48" spans="1:18">
      <c r="A48" s="15" t="s">
        <v>607</v>
      </c>
      <c r="B48" s="17" t="n">
        <v>9841</v>
      </c>
      <c r="C48" s="18">
        <f>(8747.0/B48*100)</f>
        <v/>
      </c>
      <c r="D48" s="19" t="n">
        <v>1094</v>
      </c>
      <c r="E48" s="18" t="n">
        <v>57.20696994</v>
      </c>
      <c r="F48" s="20" t="n">
        <v>2.54169295</v>
      </c>
      <c r="G48" s="18" t="n">
        <v>41.28969284</v>
      </c>
      <c r="H48" s="20" t="n">
        <v>2.56945242</v>
      </c>
      <c r="I48" s="18" t="n">
        <v>0</v>
      </c>
      <c r="J48" s="20" t="n">
        <v>0</v>
      </c>
      <c r="K48" s="18" t="n">
        <v>0.94448285</v>
      </c>
      <c r="L48" s="20" t="n">
        <v>0.18233634</v>
      </c>
      <c r="M48" s="18" t="n">
        <v>0</v>
      </c>
      <c r="N48" s="20" t="n">
        <v>0</v>
      </c>
      <c r="O48" s="18" t="n">
        <v>0</v>
      </c>
      <c r="P48" s="20" t="n">
        <v>0</v>
      </c>
      <c r="Q48" s="18" t="n">
        <v>0.55885437</v>
      </c>
      <c r="R48" s="20" t="n">
        <v>0.29278346</v>
      </c>
    </row>
    <row r="49" spans="1:18">
      <c r="A49" s="15" t="s">
        <v>608</v>
      </c>
      <c r="B49" s="17" t="n">
        <v>11795</v>
      </c>
      <c r="C49" s="18">
        <f>(10514.0/B49*100)</f>
        <v/>
      </c>
      <c r="D49" s="19" t="n">
        <v>1281</v>
      </c>
      <c r="E49" s="18" t="n">
        <v>65.71777613</v>
      </c>
      <c r="F49" s="20" t="n">
        <v>1.58833374</v>
      </c>
      <c r="G49" s="18" t="n">
        <v>32.54302269</v>
      </c>
      <c r="H49" s="20" t="n">
        <v>1.60040496</v>
      </c>
      <c r="I49" s="18" t="n">
        <v>0</v>
      </c>
      <c r="J49" s="20" t="n">
        <v>0</v>
      </c>
      <c r="K49" s="18" t="n">
        <v>0.61861704</v>
      </c>
      <c r="L49" s="20" t="n">
        <v>0.34911207</v>
      </c>
      <c r="M49" s="18" t="n">
        <v>0</v>
      </c>
      <c r="N49" s="20" t="n">
        <v>0</v>
      </c>
      <c r="O49" s="18" t="n">
        <v>0</v>
      </c>
      <c r="P49" s="20" t="n">
        <v>0</v>
      </c>
      <c r="Q49" s="18" t="n">
        <v>1.12058414</v>
      </c>
      <c r="R49" s="20" t="n">
        <v>0.39151605</v>
      </c>
    </row>
    <row r="50" spans="1:18">
      <c r="A50" s="15" t="s">
        <v>609</v>
      </c>
      <c r="B50" s="17" t="n">
        <v>6866</v>
      </c>
      <c r="C50" s="18">
        <f>(5497.0/B50*100)</f>
        <v/>
      </c>
      <c r="D50" s="19" t="n">
        <v>1369</v>
      </c>
      <c r="E50" s="18" t="n">
        <v>68.95031142000001</v>
      </c>
      <c r="F50" s="20" t="n">
        <v>1.21572602</v>
      </c>
      <c r="G50" s="18" t="n">
        <v>29.93251397</v>
      </c>
      <c r="H50" s="20" t="n">
        <v>1.24648611</v>
      </c>
      <c r="I50" s="18" t="n">
        <v>0</v>
      </c>
      <c r="J50" s="20" t="n">
        <v>0</v>
      </c>
      <c r="K50" s="18" t="n">
        <v>0.16138529</v>
      </c>
      <c r="L50" s="20" t="n">
        <v>0.11442926</v>
      </c>
      <c r="M50" s="18" t="n">
        <v>0</v>
      </c>
      <c r="N50" s="20" t="n">
        <v>0</v>
      </c>
      <c r="O50" s="18" t="n">
        <v>0</v>
      </c>
      <c r="P50" s="20" t="n">
        <v>0</v>
      </c>
      <c r="Q50" s="18" t="n">
        <v>0.9557893200000001</v>
      </c>
      <c r="R50" s="20" t="n">
        <v>0.2502801</v>
      </c>
    </row>
    <row r="51" spans="1:18">
      <c r="A51" s="15" t="s">
        <v>610</v>
      </c>
      <c r="B51" s="17" t="n">
        <v>5809</v>
      </c>
      <c r="C51" s="18">
        <f>(5168.0/B51*100)</f>
        <v/>
      </c>
      <c r="D51" s="19" t="n">
        <v>641</v>
      </c>
      <c r="E51" s="18" t="n">
        <v>68.10790089</v>
      </c>
      <c r="F51" s="20" t="n">
        <v>1.90042177</v>
      </c>
      <c r="G51" s="18" t="n">
        <v>31.74894833</v>
      </c>
      <c r="H51" s="20" t="n">
        <v>1.8977425</v>
      </c>
      <c r="I51" s="18" t="n">
        <v>0</v>
      </c>
      <c r="J51" s="20" t="n">
        <v>0</v>
      </c>
      <c r="K51" s="18" t="n">
        <v>0</v>
      </c>
      <c r="L51" s="20" t="n">
        <v>0</v>
      </c>
      <c r="M51" s="18" t="n">
        <v>0</v>
      </c>
      <c r="N51" s="20" t="n">
        <v>0</v>
      </c>
      <c r="O51" s="18" t="n">
        <v>0</v>
      </c>
      <c r="P51" s="20" t="n">
        <v>0</v>
      </c>
      <c r="Q51" s="18" t="n">
        <v>0.14315078</v>
      </c>
      <c r="R51" s="20" t="n">
        <v>0.1432346</v>
      </c>
    </row>
    <row r="52" spans="1:18">
      <c r="A52" s="15" t="s">
        <v>611</v>
      </c>
      <c r="B52" s="17" t="n">
        <v>5571</v>
      </c>
      <c r="C52" s="18">
        <f>(4976.0/B52*100)</f>
        <v/>
      </c>
      <c r="D52" s="19" t="n">
        <v>595</v>
      </c>
      <c r="E52" s="18" t="n">
        <v>74.12623056</v>
      </c>
      <c r="F52" s="20" t="n">
        <v>1.67237408</v>
      </c>
      <c r="G52" s="18" t="n">
        <v>23.90024857</v>
      </c>
      <c r="H52" s="20" t="n">
        <v>1.7719266</v>
      </c>
      <c r="I52" s="18" t="n">
        <v>0</v>
      </c>
      <c r="J52" s="20" t="n">
        <v>0</v>
      </c>
      <c r="K52" s="18" t="n">
        <v>0.16117221</v>
      </c>
      <c r="L52" s="20" t="n">
        <v>0.16066796</v>
      </c>
      <c r="M52" s="18" t="n">
        <v>0</v>
      </c>
      <c r="N52" s="20" t="n">
        <v>0</v>
      </c>
      <c r="O52" s="18" t="n">
        <v>0</v>
      </c>
      <c r="P52" s="20" t="n">
        <v>0</v>
      </c>
      <c r="Q52" s="18" t="n">
        <v>1.81234866</v>
      </c>
      <c r="R52" s="20" t="n">
        <v>0.49209366</v>
      </c>
    </row>
    <row r="53" spans="1:18">
      <c r="A53" s="15" t="s">
        <v>612</v>
      </c>
      <c r="B53" s="17" t="n">
        <v>4740</v>
      </c>
      <c r="C53" s="18">
        <f>(4220.0/B53*100)</f>
        <v/>
      </c>
      <c r="D53" s="19" t="n">
        <v>520</v>
      </c>
      <c r="E53" s="18" t="n">
        <v>69.81009502000001</v>
      </c>
      <c r="F53" s="20" t="n">
        <v>2.56059446</v>
      </c>
      <c r="G53" s="18" t="n">
        <v>17.71375249</v>
      </c>
      <c r="H53" s="20" t="n">
        <v>1.95514276</v>
      </c>
      <c r="I53" s="18" t="n">
        <v>0</v>
      </c>
      <c r="J53" s="20" t="n">
        <v>0</v>
      </c>
      <c r="K53" s="18" t="n">
        <v>7.9367253</v>
      </c>
      <c r="L53" s="20" t="n">
        <v>1.49575414</v>
      </c>
      <c r="M53" s="18" t="n">
        <v>0</v>
      </c>
      <c r="N53" s="20" t="n">
        <v>0</v>
      </c>
      <c r="O53" s="18" t="n">
        <v>0</v>
      </c>
      <c r="P53" s="20" t="n">
        <v>0</v>
      </c>
      <c r="Q53" s="18" t="n">
        <v>4.53942719</v>
      </c>
      <c r="R53" s="20" t="n">
        <v>1.10199881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(4768.0/B55*100)</f>
        <v/>
      </c>
      <c r="D55" s="19" t="n">
        <v>591</v>
      </c>
      <c r="E55" s="18" t="n">
        <v>71.87166429</v>
      </c>
      <c r="F55" s="20" t="n">
        <v>2.07852469</v>
      </c>
      <c r="G55" s="18" t="n">
        <v>27.23367469</v>
      </c>
      <c r="H55" s="20" t="n">
        <v>2.06820004</v>
      </c>
      <c r="I55" s="18" t="n">
        <v>0</v>
      </c>
      <c r="J55" s="20" t="n">
        <v>0</v>
      </c>
      <c r="K55" s="18" t="n">
        <v>0.69237953</v>
      </c>
      <c r="L55" s="20" t="n">
        <v>0.45182465</v>
      </c>
      <c r="M55" s="18" t="n">
        <v>0</v>
      </c>
      <c r="N55" s="20" t="n">
        <v>0</v>
      </c>
      <c r="O55" s="18" t="n">
        <v>0</v>
      </c>
      <c r="P55" s="20" t="n">
        <v>0</v>
      </c>
      <c r="Q55" s="18" t="n">
        <v>0.20228149</v>
      </c>
      <c r="R55" s="20" t="n">
        <v>0.20450541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(5828.0/B61*100)</f>
        <v/>
      </c>
      <c r="D61" s="19" t="n">
        <v>697</v>
      </c>
      <c r="E61" s="18" t="n">
        <v>69.14479887</v>
      </c>
      <c r="F61" s="20" t="n">
        <v>2.01459131</v>
      </c>
      <c r="G61" s="18" t="n">
        <v>29.59618595</v>
      </c>
      <c r="H61" s="20" t="n">
        <v>1.98859168</v>
      </c>
      <c r="I61" s="18" t="n">
        <v>0</v>
      </c>
      <c r="J61" s="20" t="n">
        <v>0</v>
      </c>
      <c r="K61" s="18" t="n">
        <v>0.17137484</v>
      </c>
      <c r="L61" s="20" t="n">
        <v>0.17209541</v>
      </c>
      <c r="M61" s="18" t="n">
        <v>0</v>
      </c>
      <c r="N61" s="20" t="n">
        <v>0</v>
      </c>
      <c r="O61" s="18" t="n">
        <v>0</v>
      </c>
      <c r="P61" s="20" t="n">
        <v>0</v>
      </c>
      <c r="Q61" s="18" t="n">
        <v>1.08764034</v>
      </c>
      <c r="R61" s="20" t="n">
        <v>0.39162143</v>
      </c>
    </row>
    <row r="62" spans="1:18">
      <c r="A62" s="15" t="s">
        <v>622</v>
      </c>
      <c r="B62" s="17" t="n">
        <v>4476</v>
      </c>
      <c r="C62" s="18">
        <f>(3964.0/B62*100)</f>
        <v/>
      </c>
      <c r="D62" s="19" t="n">
        <v>512</v>
      </c>
      <c r="E62" s="18" t="n">
        <v>69.37793825999999</v>
      </c>
      <c r="F62" s="20" t="n">
        <v>2.27352843</v>
      </c>
      <c r="G62" s="18" t="n">
        <v>30.62206174</v>
      </c>
      <c r="H62" s="20" t="n">
        <v>2.27352843</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(5041.0/B67*100)</f>
        <v/>
      </c>
      <c r="D67" s="19" t="n">
        <v>624</v>
      </c>
      <c r="E67" s="18" t="n">
        <v>71.82011073</v>
      </c>
      <c r="F67" s="20" t="n">
        <v>1.68403188</v>
      </c>
      <c r="G67" s="18" t="n">
        <v>24.06922044</v>
      </c>
      <c r="H67" s="20" t="n">
        <v>1.65537765</v>
      </c>
      <c r="I67" s="18" t="n">
        <v>0</v>
      </c>
      <c r="J67" s="20" t="n">
        <v>0</v>
      </c>
      <c r="K67" s="18" t="n">
        <v>0.94672273</v>
      </c>
      <c r="L67" s="20" t="n">
        <v>0.38961904</v>
      </c>
      <c r="M67" s="18" t="n">
        <v>0</v>
      </c>
      <c r="N67" s="20" t="n">
        <v>0</v>
      </c>
      <c r="O67" s="18" t="n">
        <v>0</v>
      </c>
      <c r="P67" s="20" t="n">
        <v>0</v>
      </c>
      <c r="Q67" s="18" t="n">
        <v>3.1639461</v>
      </c>
      <c r="R67" s="20" t="n">
        <v>0.75064202</v>
      </c>
    </row>
    <row r="68" spans="1:18">
      <c r="A68" s="15" t="s">
        <v>628</v>
      </c>
      <c r="B68" s="17" t="n">
        <v>6971</v>
      </c>
      <c r="C68" s="18">
        <f>(6262.0/B68*100)</f>
        <v/>
      </c>
      <c r="D68" s="19" t="n">
        <v>709</v>
      </c>
      <c r="E68" s="18" t="n">
        <v>74.04261744</v>
      </c>
      <c r="F68" s="20" t="n">
        <v>1.36475089</v>
      </c>
      <c r="G68" s="18" t="n">
        <v>24.45101747</v>
      </c>
      <c r="H68" s="20" t="n">
        <v>1.40218689</v>
      </c>
      <c r="I68" s="18" t="n">
        <v>0</v>
      </c>
      <c r="J68" s="20" t="n">
        <v>0</v>
      </c>
      <c r="K68" s="18" t="n">
        <v>0</v>
      </c>
      <c r="L68" s="20" t="n">
        <v>0</v>
      </c>
      <c r="M68" s="18" t="n">
        <v>0</v>
      </c>
      <c r="N68" s="20" t="n">
        <v>0</v>
      </c>
      <c r="O68" s="18" t="n">
        <v>0</v>
      </c>
      <c r="P68" s="20" t="n">
        <v>0</v>
      </c>
      <c r="Q68" s="18" t="n">
        <v>1.50636509</v>
      </c>
      <c r="R68" s="20" t="n">
        <v>0.4352149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(10709.0/B70*100)</f>
        <v/>
      </c>
      <c r="D70" s="19" t="n">
        <v>1374</v>
      </c>
      <c r="E70" s="18" t="n">
        <v>66.73114353</v>
      </c>
      <c r="F70" s="20" t="n">
        <v>1.26471151</v>
      </c>
      <c r="G70" s="18" t="n">
        <v>29.46874308</v>
      </c>
      <c r="H70" s="20" t="n">
        <v>1.31118607</v>
      </c>
      <c r="I70" s="18" t="n">
        <v>0</v>
      </c>
      <c r="J70" s="20" t="n">
        <v>0</v>
      </c>
      <c r="K70" s="18" t="n">
        <v>1.16221391</v>
      </c>
      <c r="L70" s="20" t="n">
        <v>0.30840639</v>
      </c>
      <c r="M70" s="18" t="n">
        <v>0</v>
      </c>
      <c r="N70" s="20" t="n">
        <v>0</v>
      </c>
      <c r="O70" s="18" t="n">
        <v>0</v>
      </c>
      <c r="P70" s="20" t="n">
        <v>0</v>
      </c>
      <c r="Q70" s="18" t="n">
        <v>2.63789948</v>
      </c>
      <c r="R70" s="20" t="n">
        <v>0.47094153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(5401.0/B72*100)</f>
        <v/>
      </c>
      <c r="D72" s="19" t="n">
        <v>635</v>
      </c>
      <c r="E72" s="18" t="n">
        <v>67.58511466</v>
      </c>
      <c r="F72" s="20" t="n">
        <v>2.33233663</v>
      </c>
      <c r="G72" s="18" t="n">
        <v>31.57893332</v>
      </c>
      <c r="H72" s="20" t="n">
        <v>2.32036617</v>
      </c>
      <c r="I72" s="18" t="n">
        <v>0</v>
      </c>
      <c r="J72" s="20" t="n">
        <v>0</v>
      </c>
      <c r="K72" s="18" t="n">
        <v>0.42036094</v>
      </c>
      <c r="L72" s="20" t="n">
        <v>0.28965049</v>
      </c>
      <c r="M72" s="18" t="n">
        <v>0</v>
      </c>
      <c r="N72" s="20" t="n">
        <v>0</v>
      </c>
      <c r="O72" s="18" t="n">
        <v>0</v>
      </c>
      <c r="P72" s="20" t="n">
        <v>0</v>
      </c>
      <c r="Q72" s="18" t="n">
        <v>0.41559109</v>
      </c>
      <c r="R72" s="20" t="n">
        <v>0.23449633</v>
      </c>
    </row>
    <row r="73" spans="1:18">
      <c r="A73" s="15" t="s">
        <v>633</v>
      </c>
      <c r="B73" s="17" t="n">
        <v>6115</v>
      </c>
      <c r="C73" s="18">
        <f>(5463.0/B73*100)</f>
        <v/>
      </c>
      <c r="D73" s="19" t="n">
        <v>652</v>
      </c>
      <c r="E73" s="18" t="n">
        <v>60.56958633</v>
      </c>
      <c r="F73" s="20" t="n">
        <v>2.01951041</v>
      </c>
      <c r="G73" s="18" t="n">
        <v>38.38033417</v>
      </c>
      <c r="H73" s="20" t="n">
        <v>2.03098648</v>
      </c>
      <c r="I73" s="18" t="n">
        <v>0</v>
      </c>
      <c r="J73" s="20" t="n">
        <v>0</v>
      </c>
      <c r="K73" s="18" t="n">
        <v>0.22835887</v>
      </c>
      <c r="L73" s="20" t="n">
        <v>0.16535304</v>
      </c>
      <c r="M73" s="18" t="n">
        <v>0</v>
      </c>
      <c r="N73" s="20" t="n">
        <v>0</v>
      </c>
      <c r="O73" s="18" t="n">
        <v>0</v>
      </c>
      <c r="P73" s="20" t="n">
        <v>0</v>
      </c>
      <c r="Q73" s="18" t="n">
        <v>0.82172063</v>
      </c>
      <c r="R73" s="20" t="n">
        <v>0.35726564</v>
      </c>
    </row>
    <row r="74" spans="1:18">
      <c r="A74" s="15" t="s">
        <v>634</v>
      </c>
      <c r="B74" s="17" t="n">
        <v>7708</v>
      </c>
      <c r="C74" s="18">
        <f>(6867.0/B74*100)</f>
        <v/>
      </c>
      <c r="D74" s="19" t="n">
        <v>841</v>
      </c>
      <c r="E74" s="18" t="n">
        <v>56.7062058</v>
      </c>
      <c r="F74" s="20" t="n">
        <v>1.86765558</v>
      </c>
      <c r="G74" s="18" t="n">
        <v>42.65917239</v>
      </c>
      <c r="H74" s="20" t="n">
        <v>1.9114233</v>
      </c>
      <c r="I74" s="18" t="n">
        <v>0</v>
      </c>
      <c r="J74" s="20" t="n">
        <v>0</v>
      </c>
      <c r="K74" s="18" t="n">
        <v>0.24575765</v>
      </c>
      <c r="L74" s="20" t="n">
        <v>0.14558361</v>
      </c>
      <c r="M74" s="18" t="n">
        <v>0</v>
      </c>
      <c r="N74" s="20" t="n">
        <v>0</v>
      </c>
      <c r="O74" s="18" t="n">
        <v>0</v>
      </c>
      <c r="P74" s="20" t="n">
        <v>0</v>
      </c>
      <c r="Q74" s="18" t="n">
        <v>0.38886415</v>
      </c>
      <c r="R74" s="20" t="n">
        <v>0.23646709</v>
      </c>
    </row>
    <row r="75" spans="1:18">
      <c r="A75" s="15" t="s">
        <v>635</v>
      </c>
      <c r="B75" s="17" t="n">
        <v>8249</v>
      </c>
      <c r="C75" s="18">
        <f>(7342.0/B75*100)</f>
        <v/>
      </c>
      <c r="D75" s="19" t="n">
        <v>907</v>
      </c>
      <c r="E75" s="18" t="n">
        <v>77.72794534000001</v>
      </c>
      <c r="F75" s="20" t="n">
        <v>1.98713246</v>
      </c>
      <c r="G75" s="18" t="n">
        <v>21.69402096</v>
      </c>
      <c r="H75" s="20" t="n">
        <v>1.91739381</v>
      </c>
      <c r="I75" s="18" t="n">
        <v>0</v>
      </c>
      <c r="J75" s="20" t="n">
        <v>0</v>
      </c>
      <c r="K75" s="18" t="n">
        <v>0.23600363</v>
      </c>
      <c r="L75" s="20" t="n">
        <v>0.17485193</v>
      </c>
      <c r="M75" s="18" t="n">
        <v>0</v>
      </c>
      <c r="N75" s="20" t="n">
        <v>0</v>
      </c>
      <c r="O75" s="18" t="n">
        <v>0</v>
      </c>
      <c r="P75" s="20" t="n">
        <v>0</v>
      </c>
      <c r="Q75" s="18" t="n">
        <v>0.34203007</v>
      </c>
      <c r="R75" s="20" t="n">
        <v>0.21798309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(4818.0/B77*100)</f>
        <v/>
      </c>
      <c r="D77" s="19" t="n">
        <v>557</v>
      </c>
      <c r="E77" s="18" t="n">
        <v>84.6682144</v>
      </c>
      <c r="F77" s="20" t="n">
        <v>1.80328239</v>
      </c>
      <c r="G77" s="18" t="n">
        <v>11.42286264</v>
      </c>
      <c r="H77" s="20" t="n">
        <v>1.44344605</v>
      </c>
      <c r="I77" s="18" t="n">
        <v>0</v>
      </c>
      <c r="J77" s="20" t="n">
        <v>0</v>
      </c>
      <c r="K77" s="18" t="n">
        <v>2.4191934</v>
      </c>
      <c r="L77" s="20" t="n">
        <v>0.98235963</v>
      </c>
      <c r="M77" s="18" t="n">
        <v>0</v>
      </c>
      <c r="N77" s="20" t="n">
        <v>0</v>
      </c>
      <c r="O77" s="18" t="n">
        <v>0</v>
      </c>
      <c r="P77" s="20" t="n">
        <v>0</v>
      </c>
      <c r="Q77" s="18" t="n">
        <v>1.48972957</v>
      </c>
      <c r="R77" s="20" t="n">
        <v>0.46975454</v>
      </c>
    </row>
    <row r="78" spans="1:18">
      <c r="A78" s="15" t="s">
        <v>638</v>
      </c>
      <c r="B78" s="17" t="n">
        <v>14167</v>
      </c>
      <c r="C78" s="18">
        <f>(12601.0/B78*100)</f>
        <v/>
      </c>
      <c r="D78" s="19" t="n">
        <v>1566</v>
      </c>
      <c r="E78" s="18" t="n">
        <v>62.86907742</v>
      </c>
      <c r="F78" s="20" t="n">
        <v>1.67351468</v>
      </c>
      <c r="G78" s="18" t="n">
        <v>34.92938637</v>
      </c>
      <c r="H78" s="20" t="n">
        <v>1.60421492</v>
      </c>
      <c r="I78" s="18" t="n">
        <v>0</v>
      </c>
      <c r="J78" s="20" t="n">
        <v>0</v>
      </c>
      <c r="K78" s="18" t="n">
        <v>0.71565837</v>
      </c>
      <c r="L78" s="20" t="n">
        <v>0.23932008</v>
      </c>
      <c r="M78" s="18" t="n">
        <v>0</v>
      </c>
      <c r="N78" s="20" t="n">
        <v>0</v>
      </c>
      <c r="O78" s="18" t="n">
        <v>0</v>
      </c>
      <c r="P78" s="20" t="n">
        <v>0</v>
      </c>
      <c r="Q78" s="18" t="n">
        <v>1.48587784</v>
      </c>
      <c r="R78" s="20" t="n">
        <v>0.48334738</v>
      </c>
    </row>
    <row r="79" spans="1:18">
      <c r="A79" s="15" t="s">
        <v>639</v>
      </c>
      <c r="B79" s="17" t="n">
        <v>6062</v>
      </c>
      <c r="C79" s="18">
        <f>(5406.0/B79*100)</f>
        <v/>
      </c>
      <c r="D79" s="19" t="n">
        <v>656</v>
      </c>
      <c r="E79" s="18" t="n">
        <v>76.46433619</v>
      </c>
      <c r="F79" s="20" t="n">
        <v>1.47022806</v>
      </c>
      <c r="G79" s="18" t="n">
        <v>20.60555048</v>
      </c>
      <c r="H79" s="20" t="n">
        <v>1.45582799</v>
      </c>
      <c r="I79" s="18" t="n">
        <v>0</v>
      </c>
      <c r="J79" s="20" t="n">
        <v>0</v>
      </c>
      <c r="K79" s="18" t="n">
        <v>0.83389866</v>
      </c>
      <c r="L79" s="20" t="n">
        <v>0.34593768</v>
      </c>
      <c r="M79" s="18" t="n">
        <v>0</v>
      </c>
      <c r="N79" s="20" t="n">
        <v>0</v>
      </c>
      <c r="O79" s="18" t="n">
        <v>0</v>
      </c>
      <c r="P79" s="20" t="n">
        <v>0</v>
      </c>
      <c r="Q79" s="18" t="n">
        <v>2.09621467</v>
      </c>
      <c r="R79" s="20" t="n">
        <v>0.6085345599999999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(28755.0/B82*100)</f>
        <v/>
      </c>
      <c r="D82" s="19" t="n">
        <v>3575</v>
      </c>
      <c r="E82" s="18" t="n">
        <v>69.45713673</v>
      </c>
      <c r="F82" s="20" t="n">
        <v>0.94729191</v>
      </c>
      <c r="G82" s="18" t="n">
        <v>29.53259413</v>
      </c>
      <c r="H82" s="20" t="n">
        <v>0.96450493</v>
      </c>
      <c r="I82" s="18" t="n">
        <v>0</v>
      </c>
      <c r="J82" s="20" t="n">
        <v>0</v>
      </c>
      <c r="K82" s="18" t="n">
        <v>0.26170443</v>
      </c>
      <c r="L82" s="20" t="n">
        <v>0.18905541</v>
      </c>
      <c r="M82" s="18" t="n">
        <v>0</v>
      </c>
      <c r="N82" s="20" t="n">
        <v>0</v>
      </c>
      <c r="O82" s="18" t="n">
        <v>0</v>
      </c>
      <c r="P82" s="20" t="n">
        <v>0</v>
      </c>
      <c r="Q82" s="18" t="n">
        <v>0.74856472</v>
      </c>
      <c r="R82" s="20" t="n">
        <v>0.22777388</v>
      </c>
    </row>
    <row r="83" spans="1:18">
      <c r="A83" s="15" t="s">
        <v>643</v>
      </c>
      <c r="B83" s="17" t="n">
        <v>1652</v>
      </c>
      <c r="C83" s="18">
        <f>(1433.0/B83*100)</f>
        <v/>
      </c>
      <c r="D83" s="19" t="n">
        <v>219</v>
      </c>
      <c r="E83" s="18" t="n">
        <v>74.35467195</v>
      </c>
      <c r="F83" s="20" t="n">
        <v>2.95150688</v>
      </c>
      <c r="G83" s="18" t="n">
        <v>25.64532805</v>
      </c>
      <c r="H83" s="20" t="n">
        <v>2.95150688</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(1636.0/B84*100)</f>
        <v/>
      </c>
      <c r="D84" s="19" t="n">
        <v>251</v>
      </c>
      <c r="E84" s="18" t="n">
        <v>74.3112936</v>
      </c>
      <c r="F84" s="20" t="n">
        <v>3.11880837</v>
      </c>
      <c r="G84" s="18" t="n">
        <v>25.6887064</v>
      </c>
      <c r="H84" s="20" t="n">
        <v>3.11880837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(12935.0/B7*100)</f>
        <v/>
      </c>
      <c r="D7" s="19" t="n">
        <v>1595</v>
      </c>
      <c r="E7" s="18" t="n">
        <v>34.10897616</v>
      </c>
      <c r="F7" s="20" t="n">
        <v>1.55791712</v>
      </c>
      <c r="G7" s="18" t="n">
        <v>65.12652477</v>
      </c>
      <c r="H7" s="20" t="n">
        <v>1.54892298</v>
      </c>
      <c r="I7" s="18" t="n">
        <v>0</v>
      </c>
      <c r="J7" s="20" t="n">
        <v>0</v>
      </c>
      <c r="K7" s="18" t="n">
        <v>0.34987547</v>
      </c>
      <c r="L7" s="20" t="n">
        <v>0.16235042</v>
      </c>
      <c r="M7" s="18" t="n">
        <v>0</v>
      </c>
      <c r="N7" s="20" t="n">
        <v>0</v>
      </c>
      <c r="O7" s="18" t="n">
        <v>0</v>
      </c>
      <c r="P7" s="20" t="n">
        <v>0</v>
      </c>
      <c r="Q7" s="18" t="n">
        <v>0.4146236</v>
      </c>
      <c r="R7" s="20" t="n">
        <v>0.17464567</v>
      </c>
    </row>
    <row r="8" spans="1:18">
      <c r="A8" s="15" t="s">
        <v>566</v>
      </c>
      <c r="B8" s="17" t="n">
        <v>7007</v>
      </c>
      <c r="C8" s="18">
        <f>(6209.0/B8*100)</f>
        <v/>
      </c>
      <c r="D8" s="19" t="n">
        <v>798</v>
      </c>
      <c r="E8" s="18" t="n">
        <v>42.48666701</v>
      </c>
      <c r="F8" s="20" t="n">
        <v>1.91746849</v>
      </c>
      <c r="G8" s="18" t="n">
        <v>57.29631661</v>
      </c>
      <c r="H8" s="20" t="n">
        <v>1.94540456</v>
      </c>
      <c r="I8" s="18" t="n">
        <v>0</v>
      </c>
      <c r="J8" s="20" t="n">
        <v>0</v>
      </c>
      <c r="K8" s="18" t="n">
        <v>0</v>
      </c>
      <c r="L8" s="20" t="n">
        <v>0</v>
      </c>
      <c r="M8" s="18" t="n">
        <v>0</v>
      </c>
      <c r="N8" s="20" t="n">
        <v>0</v>
      </c>
      <c r="O8" s="18" t="n">
        <v>0</v>
      </c>
      <c r="P8" s="20" t="n">
        <v>0</v>
      </c>
      <c r="Q8" s="18" t="n">
        <v>0.21701638</v>
      </c>
      <c r="R8" s="20" t="n">
        <v>0.16640692</v>
      </c>
    </row>
    <row r="9" spans="1:18">
      <c r="A9" s="15" t="s">
        <v>567</v>
      </c>
      <c r="B9" s="17" t="n">
        <v>9651</v>
      </c>
      <c r="C9" s="18">
        <f>(8346.0/B9*100)</f>
        <v/>
      </c>
      <c r="D9" s="19" t="n">
        <v>1305</v>
      </c>
      <c r="E9" s="18" t="n">
        <v>50.27638709</v>
      </c>
      <c r="F9" s="20" t="n">
        <v>1.63700444</v>
      </c>
      <c r="G9" s="18" t="n">
        <v>47.40530029</v>
      </c>
      <c r="H9" s="20" t="n">
        <v>1.81377926</v>
      </c>
      <c r="I9" s="18" t="n">
        <v>0</v>
      </c>
      <c r="J9" s="20" t="n">
        <v>0</v>
      </c>
      <c r="K9" s="18" t="n">
        <v>1.6678643</v>
      </c>
      <c r="L9" s="20" t="n">
        <v>0.55161985</v>
      </c>
      <c r="M9" s="18" t="n">
        <v>0</v>
      </c>
      <c r="N9" s="20" t="n">
        <v>0</v>
      </c>
      <c r="O9" s="18" t="n">
        <v>0</v>
      </c>
      <c r="P9" s="20" t="n">
        <v>0</v>
      </c>
      <c r="Q9" s="18" t="n">
        <v>0.65044832</v>
      </c>
      <c r="R9" s="20" t="n">
        <v>0.19395726</v>
      </c>
    </row>
    <row r="10" spans="1:18">
      <c r="A10" s="15" t="s">
        <v>568</v>
      </c>
      <c r="B10" s="17" t="n">
        <v>20058</v>
      </c>
      <c r="C10" s="18">
        <f>(17862.0/B10*100)</f>
        <v/>
      </c>
      <c r="D10" s="19" t="n">
        <v>2196</v>
      </c>
      <c r="E10" s="18" t="n">
        <v>28.35937538</v>
      </c>
      <c r="F10" s="20" t="n">
        <v>1.37053296</v>
      </c>
      <c r="G10" s="18" t="n">
        <v>70.99265683</v>
      </c>
      <c r="H10" s="20" t="n">
        <v>1.35632164</v>
      </c>
      <c r="I10" s="18" t="n">
        <v>0</v>
      </c>
      <c r="J10" s="20" t="n">
        <v>0</v>
      </c>
      <c r="K10" s="18" t="n">
        <v>0.01443529</v>
      </c>
      <c r="L10" s="20" t="n">
        <v>0.01446861</v>
      </c>
      <c r="M10" s="18" t="n">
        <v>0</v>
      </c>
      <c r="N10" s="20" t="n">
        <v>0</v>
      </c>
      <c r="O10" s="18" t="n">
        <v>0</v>
      </c>
      <c r="P10" s="20" t="n">
        <v>0</v>
      </c>
      <c r="Q10" s="18" t="n">
        <v>0.63353251</v>
      </c>
      <c r="R10" s="20" t="n">
        <v>0.20126803</v>
      </c>
    </row>
    <row r="11" spans="1:18">
      <c r="A11" s="15" t="s">
        <v>569</v>
      </c>
      <c r="B11" s="17" t="n">
        <v>7053</v>
      </c>
      <c r="C11" s="18">
        <f>(6262.0/B11*100)</f>
        <v/>
      </c>
      <c r="D11" s="19" t="n">
        <v>791</v>
      </c>
      <c r="E11" s="18" t="n">
        <v>40.46687141</v>
      </c>
      <c r="F11" s="20" t="n">
        <v>1.83084993</v>
      </c>
      <c r="G11" s="18" t="n">
        <v>56.64919062</v>
      </c>
      <c r="H11" s="20" t="n">
        <v>1.83021191</v>
      </c>
      <c r="I11" s="18" t="n">
        <v>0</v>
      </c>
      <c r="J11" s="20" t="n">
        <v>0</v>
      </c>
      <c r="K11" s="18" t="n">
        <v>0.77501557</v>
      </c>
      <c r="L11" s="20" t="n">
        <v>0.32986373</v>
      </c>
      <c r="M11" s="18" t="n">
        <v>0</v>
      </c>
      <c r="N11" s="20" t="n">
        <v>0</v>
      </c>
      <c r="O11" s="18" t="n">
        <v>0</v>
      </c>
      <c r="P11" s="20" t="n">
        <v>0</v>
      </c>
      <c r="Q11" s="18" t="n">
        <v>2.10892239</v>
      </c>
      <c r="R11" s="20" t="n">
        <v>0.58352697</v>
      </c>
    </row>
    <row r="12" spans="1:18">
      <c r="A12" s="15" t="s">
        <v>570</v>
      </c>
      <c r="B12" s="17" t="n">
        <v>6894</v>
      </c>
      <c r="C12" s="18">
        <f>(6015.0/B12*100)</f>
        <v/>
      </c>
      <c r="D12" s="19" t="n">
        <v>879</v>
      </c>
      <c r="E12" s="18" t="n">
        <v>38.0350614</v>
      </c>
      <c r="F12" s="20" t="n">
        <v>2.33997222</v>
      </c>
      <c r="G12" s="18" t="n">
        <v>60.35586999</v>
      </c>
      <c r="H12" s="20" t="n">
        <v>2.57731845</v>
      </c>
      <c r="I12" s="18" t="n">
        <v>0</v>
      </c>
      <c r="J12" s="20" t="n">
        <v>0</v>
      </c>
      <c r="K12" s="18" t="n">
        <v>1.04309999</v>
      </c>
      <c r="L12" s="20" t="n">
        <v>0.56025724</v>
      </c>
      <c r="M12" s="18" t="n">
        <v>0</v>
      </c>
      <c r="N12" s="20" t="n">
        <v>0</v>
      </c>
      <c r="O12" s="18" t="n">
        <v>0</v>
      </c>
      <c r="P12" s="20" t="n">
        <v>0</v>
      </c>
      <c r="Q12" s="18" t="n">
        <v>0.56596863</v>
      </c>
      <c r="R12" s="20" t="n">
        <v>0.29309862</v>
      </c>
    </row>
    <row r="13" spans="1:18">
      <c r="A13" s="15" t="s">
        <v>571</v>
      </c>
      <c r="B13" s="17" t="n">
        <v>7161</v>
      </c>
      <c r="C13" s="18">
        <f>(6069.0/B13*100)</f>
        <v/>
      </c>
      <c r="D13" s="19" t="n">
        <v>1092</v>
      </c>
      <c r="E13" s="18" t="n">
        <v>41.30806423</v>
      </c>
      <c r="F13" s="20" t="n">
        <v>1.88157013</v>
      </c>
      <c r="G13" s="18" t="n">
        <v>57.50784604</v>
      </c>
      <c r="H13" s="20" t="n">
        <v>1.87077293</v>
      </c>
      <c r="I13" s="18" t="n">
        <v>0</v>
      </c>
      <c r="J13" s="20" t="n">
        <v>0</v>
      </c>
      <c r="K13" s="18" t="n">
        <v>1.02574221</v>
      </c>
      <c r="L13" s="20" t="n">
        <v>0.30400005</v>
      </c>
      <c r="M13" s="18" t="n">
        <v>0</v>
      </c>
      <c r="N13" s="20" t="n">
        <v>0</v>
      </c>
      <c r="O13" s="18" t="n">
        <v>0</v>
      </c>
      <c r="P13" s="20" t="n">
        <v>0</v>
      </c>
      <c r="Q13" s="18" t="n">
        <v>0.15834752</v>
      </c>
      <c r="R13" s="20" t="n">
        <v>0.06380634</v>
      </c>
    </row>
    <row r="14" spans="1:18">
      <c r="A14" s="15" t="s">
        <v>572</v>
      </c>
      <c r="B14" s="17" t="n">
        <v>5587</v>
      </c>
      <c r="C14" s="18">
        <f>(4970.0/B14*100)</f>
        <v/>
      </c>
      <c r="D14" s="19" t="n">
        <v>617</v>
      </c>
      <c r="E14" s="18" t="n">
        <v>24.35412835</v>
      </c>
      <c r="F14" s="20" t="n">
        <v>2.03211133</v>
      </c>
      <c r="G14" s="18" t="n">
        <v>75.64587165</v>
      </c>
      <c r="H14" s="20" t="n">
        <v>2.03211133</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(5193.0/B15*100)</f>
        <v/>
      </c>
      <c r="D15" s="19" t="n">
        <v>689</v>
      </c>
      <c r="E15" s="18" t="n">
        <v>33.84759739</v>
      </c>
      <c r="F15" s="20" t="n">
        <v>2.11912105</v>
      </c>
      <c r="G15" s="18" t="n">
        <v>65.14557816999999</v>
      </c>
      <c r="H15" s="20" t="n">
        <v>2.2453103</v>
      </c>
      <c r="I15" s="18" t="n">
        <v>0</v>
      </c>
      <c r="J15" s="20" t="n">
        <v>0</v>
      </c>
      <c r="K15" s="18" t="n">
        <v>0.57648802</v>
      </c>
      <c r="L15" s="20" t="n">
        <v>0.56887398</v>
      </c>
      <c r="M15" s="18" t="n">
        <v>0</v>
      </c>
      <c r="N15" s="20" t="n">
        <v>0</v>
      </c>
      <c r="O15" s="18" t="n">
        <v>0</v>
      </c>
      <c r="P15" s="20" t="n">
        <v>0</v>
      </c>
      <c r="Q15" s="18" t="n">
        <v>0.43033642</v>
      </c>
      <c r="R15" s="20" t="n">
        <v>0.25005534</v>
      </c>
    </row>
    <row r="16" spans="1:18">
      <c r="A16" s="15" t="s">
        <v>574</v>
      </c>
      <c r="B16" s="17" t="n">
        <v>6108</v>
      </c>
      <c r="C16" s="18">
        <f>(5434.0/B16*100)</f>
        <v/>
      </c>
      <c r="D16" s="19" t="n">
        <v>674</v>
      </c>
      <c r="E16" s="18" t="n">
        <v>33.34591609</v>
      </c>
      <c r="F16" s="20" t="n">
        <v>1.77329411</v>
      </c>
      <c r="G16" s="18" t="n">
        <v>64.99910161</v>
      </c>
      <c r="H16" s="20" t="n">
        <v>1.73928868</v>
      </c>
      <c r="I16" s="18" t="n">
        <v>0</v>
      </c>
      <c r="J16" s="20" t="n">
        <v>0</v>
      </c>
      <c r="K16" s="18" t="n">
        <v>0.52690251</v>
      </c>
      <c r="L16" s="20" t="n">
        <v>0.45116662</v>
      </c>
      <c r="M16" s="18" t="n">
        <v>0</v>
      </c>
      <c r="N16" s="20" t="n">
        <v>0</v>
      </c>
      <c r="O16" s="18" t="n">
        <v>0</v>
      </c>
      <c r="P16" s="20" t="n">
        <v>0</v>
      </c>
      <c r="Q16" s="18" t="n">
        <v>1.12807979</v>
      </c>
      <c r="R16" s="20" t="n">
        <v>0.40161967</v>
      </c>
    </row>
    <row r="17" spans="1:18">
      <c r="A17" s="15" t="s">
        <v>575</v>
      </c>
      <c r="B17" s="17" t="n">
        <v>6504</v>
      </c>
      <c r="C17" s="18">
        <f>(5633.0/B17*100)</f>
        <v/>
      </c>
      <c r="D17" s="19" t="n">
        <v>871</v>
      </c>
      <c r="E17" s="18" t="n">
        <v>40.73639381</v>
      </c>
      <c r="F17" s="20" t="n">
        <v>1.60900803</v>
      </c>
      <c r="G17" s="18" t="n">
        <v>56.61956735</v>
      </c>
      <c r="H17" s="20" t="n">
        <v>1.86986075</v>
      </c>
      <c r="I17" s="18" t="n">
        <v>0</v>
      </c>
      <c r="J17" s="20" t="n">
        <v>0</v>
      </c>
      <c r="K17" s="18" t="n">
        <v>1.80529574</v>
      </c>
      <c r="L17" s="20" t="n">
        <v>0.67266817</v>
      </c>
      <c r="M17" s="18" t="n">
        <v>0</v>
      </c>
      <c r="N17" s="20" t="n">
        <v>0</v>
      </c>
      <c r="O17" s="18" t="n">
        <v>0</v>
      </c>
      <c r="P17" s="20" t="n">
        <v>0</v>
      </c>
      <c r="Q17" s="18" t="n">
        <v>0.8387431</v>
      </c>
      <c r="R17" s="20" t="n">
        <v>0.30490998</v>
      </c>
    </row>
    <row r="18" spans="1:18">
      <c r="A18" s="15" t="s">
        <v>576</v>
      </c>
      <c r="B18" s="17" t="n">
        <v>5532</v>
      </c>
      <c r="C18" s="18">
        <f>(4911.0/B18*100)</f>
        <v/>
      </c>
      <c r="D18" s="19" t="n">
        <v>621</v>
      </c>
      <c r="E18" s="18" t="n">
        <v>49.87980073</v>
      </c>
      <c r="F18" s="20" t="n">
        <v>2.31835857</v>
      </c>
      <c r="G18" s="18" t="n">
        <v>48.32477117</v>
      </c>
      <c r="H18" s="20" t="n">
        <v>2.32162776</v>
      </c>
      <c r="I18" s="18" t="n">
        <v>0</v>
      </c>
      <c r="J18" s="20" t="n">
        <v>0</v>
      </c>
      <c r="K18" s="18" t="n">
        <v>0.52743781</v>
      </c>
      <c r="L18" s="20" t="n">
        <v>0.28818611</v>
      </c>
      <c r="M18" s="18" t="n">
        <v>0</v>
      </c>
      <c r="N18" s="20" t="n">
        <v>0</v>
      </c>
      <c r="O18" s="18" t="n">
        <v>0</v>
      </c>
      <c r="P18" s="20" t="n">
        <v>0</v>
      </c>
      <c r="Q18" s="18" t="n">
        <v>1.26799029</v>
      </c>
      <c r="R18" s="20" t="n">
        <v>0.55466455</v>
      </c>
    </row>
    <row r="19" spans="1:18">
      <c r="A19" s="15" t="s">
        <v>577</v>
      </c>
      <c r="B19" s="17" t="n">
        <v>5658</v>
      </c>
      <c r="C19" s="18">
        <f>(5020.0/B19*100)</f>
        <v/>
      </c>
      <c r="D19" s="19" t="n">
        <v>638</v>
      </c>
      <c r="E19" s="18" t="n">
        <v>45.65020816</v>
      </c>
      <c r="F19" s="20" t="n">
        <v>2.02673545</v>
      </c>
      <c r="G19" s="18" t="n">
        <v>53.53269986</v>
      </c>
      <c r="H19" s="20" t="n">
        <v>2.01857307</v>
      </c>
      <c r="I19" s="18" t="n">
        <v>0</v>
      </c>
      <c r="J19" s="20" t="n">
        <v>0</v>
      </c>
      <c r="K19" s="18" t="n">
        <v>0</v>
      </c>
      <c r="L19" s="20" t="n">
        <v>0</v>
      </c>
      <c r="M19" s="18" t="n">
        <v>0</v>
      </c>
      <c r="N19" s="20" t="n">
        <v>0</v>
      </c>
      <c r="O19" s="18" t="n">
        <v>0</v>
      </c>
      <c r="P19" s="20" t="n">
        <v>0</v>
      </c>
      <c r="Q19" s="18" t="n">
        <v>0.8170919800000001</v>
      </c>
      <c r="R19" s="20" t="n">
        <v>0.433829</v>
      </c>
    </row>
    <row r="20" spans="1:18">
      <c r="A20" s="15" t="s">
        <v>578</v>
      </c>
      <c r="B20" s="17" t="n">
        <v>3371</v>
      </c>
      <c r="C20" s="18">
        <f>(3004.0/B20*100)</f>
        <v/>
      </c>
      <c r="D20" s="19" t="n">
        <v>367</v>
      </c>
      <c r="E20" s="18" t="n">
        <v>33.9646481</v>
      </c>
      <c r="F20" s="20" t="n">
        <v>2.44375326</v>
      </c>
      <c r="G20" s="18" t="n">
        <v>65.23117406999999</v>
      </c>
      <c r="H20" s="20" t="n">
        <v>2.47240688</v>
      </c>
      <c r="I20" s="18" t="n">
        <v>0</v>
      </c>
      <c r="J20" s="20" t="n">
        <v>0</v>
      </c>
      <c r="K20" s="18" t="n">
        <v>0.23198218</v>
      </c>
      <c r="L20" s="20" t="n">
        <v>0.23214469</v>
      </c>
      <c r="M20" s="18" t="n">
        <v>0</v>
      </c>
      <c r="N20" s="20" t="n">
        <v>0</v>
      </c>
      <c r="O20" s="18" t="n">
        <v>0</v>
      </c>
      <c r="P20" s="20" t="n">
        <v>0</v>
      </c>
      <c r="Q20" s="18" t="n">
        <v>0.5721956499999999</v>
      </c>
      <c r="R20" s="20" t="n">
        <v>0.40720116</v>
      </c>
    </row>
    <row r="21" spans="1:18">
      <c r="A21" s="15" t="s">
        <v>579</v>
      </c>
      <c r="B21" s="17" t="n">
        <v>5741</v>
      </c>
      <c r="C21" s="18">
        <f>(5105.0/B21*100)</f>
        <v/>
      </c>
      <c r="D21" s="19" t="n">
        <v>636</v>
      </c>
      <c r="E21" s="18" t="n">
        <v>51.35273891</v>
      </c>
      <c r="F21" s="20" t="n">
        <v>1.97884039</v>
      </c>
      <c r="G21" s="18" t="n">
        <v>48.48610551</v>
      </c>
      <c r="H21" s="20" t="n">
        <v>1.99528877</v>
      </c>
      <c r="I21" s="18" t="n">
        <v>0</v>
      </c>
      <c r="J21" s="20" t="n">
        <v>0</v>
      </c>
      <c r="K21" s="18" t="n">
        <v>0</v>
      </c>
      <c r="L21" s="20" t="n">
        <v>0</v>
      </c>
      <c r="M21" s="18" t="n">
        <v>0</v>
      </c>
      <c r="N21" s="20" t="n">
        <v>0</v>
      </c>
      <c r="O21" s="18" t="n">
        <v>0</v>
      </c>
      <c r="P21" s="20" t="n">
        <v>0</v>
      </c>
      <c r="Q21" s="18" t="n">
        <v>0.16115558</v>
      </c>
      <c r="R21" s="20" t="n">
        <v>0.11332613</v>
      </c>
    </row>
    <row r="22" spans="1:18">
      <c r="A22" s="15" t="s">
        <v>580</v>
      </c>
      <c r="B22" s="17" t="n">
        <v>6598</v>
      </c>
      <c r="C22" s="18">
        <f>(5867.0/B22*100)</f>
        <v/>
      </c>
      <c r="D22" s="19" t="n">
        <v>731</v>
      </c>
      <c r="E22" s="18" t="n">
        <v>48.49187337</v>
      </c>
      <c r="F22" s="20" t="n">
        <v>1.88565281</v>
      </c>
      <c r="G22" s="18" t="n">
        <v>49.79090417</v>
      </c>
      <c r="H22" s="20" t="n">
        <v>1.83541749</v>
      </c>
      <c r="I22" s="18" t="n">
        <v>0</v>
      </c>
      <c r="J22" s="20" t="n">
        <v>0</v>
      </c>
      <c r="K22" s="18" t="n">
        <v>0</v>
      </c>
      <c r="L22" s="20" t="n">
        <v>0</v>
      </c>
      <c r="M22" s="18" t="n">
        <v>0</v>
      </c>
      <c r="N22" s="20" t="n">
        <v>0</v>
      </c>
      <c r="O22" s="18" t="n">
        <v>0</v>
      </c>
      <c r="P22" s="20" t="n">
        <v>0</v>
      </c>
      <c r="Q22" s="18" t="n">
        <v>1.71722246</v>
      </c>
      <c r="R22" s="20" t="n">
        <v>0.52749185</v>
      </c>
    </row>
    <row r="23" spans="1:18">
      <c r="A23" s="15" t="s">
        <v>581</v>
      </c>
      <c r="B23" s="17" t="n">
        <v>11583</v>
      </c>
      <c r="C23" s="18">
        <f>(10328.0/B23*100)</f>
        <v/>
      </c>
      <c r="D23" s="19" t="n">
        <v>1255</v>
      </c>
      <c r="E23" s="18" t="n">
        <v>29.34926298</v>
      </c>
      <c r="F23" s="20" t="n">
        <v>1.71152988</v>
      </c>
      <c r="G23" s="18" t="n">
        <v>69.69376200000001</v>
      </c>
      <c r="H23" s="20" t="n">
        <v>1.75303077</v>
      </c>
      <c r="I23" s="18" t="n">
        <v>0</v>
      </c>
      <c r="J23" s="20" t="n">
        <v>0</v>
      </c>
      <c r="K23" s="18" t="n">
        <v>0.36898416</v>
      </c>
      <c r="L23" s="20" t="n">
        <v>0.2590383</v>
      </c>
      <c r="M23" s="18" t="n">
        <v>0</v>
      </c>
      <c r="N23" s="20" t="n">
        <v>0</v>
      </c>
      <c r="O23" s="18" t="n">
        <v>0</v>
      </c>
      <c r="P23" s="20" t="n">
        <v>0</v>
      </c>
      <c r="Q23" s="18" t="n">
        <v>0.58799086</v>
      </c>
      <c r="R23" s="20" t="n">
        <v>0.30271778</v>
      </c>
    </row>
    <row r="24" spans="1:18">
      <c r="A24" s="15" t="s">
        <v>582</v>
      </c>
      <c r="B24" s="17" t="n">
        <v>6647</v>
      </c>
      <c r="C24" s="18">
        <f>(5884.0/B24*100)</f>
        <v/>
      </c>
      <c r="D24" s="19" t="n">
        <v>763</v>
      </c>
      <c r="E24" s="18" t="n">
        <v>31.70887405</v>
      </c>
      <c r="F24" s="20" t="n">
        <v>1.62685416</v>
      </c>
      <c r="G24" s="18" t="n">
        <v>68.16478240000001</v>
      </c>
      <c r="H24" s="20" t="n">
        <v>1.6418293</v>
      </c>
      <c r="I24" s="18" t="n">
        <v>0</v>
      </c>
      <c r="J24" s="20" t="n">
        <v>0</v>
      </c>
      <c r="K24" s="18" t="n">
        <v>0.12634354</v>
      </c>
      <c r="L24" s="20" t="n">
        <v>0.12658687</v>
      </c>
      <c r="M24" s="18" t="n">
        <v>0</v>
      </c>
      <c r="N24" s="20" t="n">
        <v>0</v>
      </c>
      <c r="O24" s="18" t="n">
        <v>0</v>
      </c>
      <c r="P24" s="20" t="n">
        <v>0</v>
      </c>
      <c r="Q24" s="18" t="n">
        <v>0</v>
      </c>
      <c r="R24" s="20" t="n">
        <v>0</v>
      </c>
    </row>
    <row r="25" spans="1:18">
      <c r="A25" s="15" t="s">
        <v>583</v>
      </c>
      <c r="B25" s="17" t="n">
        <v>5581</v>
      </c>
      <c r="C25" s="18">
        <f>(4962.0/B25*100)</f>
        <v/>
      </c>
      <c r="D25" s="19" t="n">
        <v>619</v>
      </c>
      <c r="E25" s="18" t="n">
        <v>31.37629032</v>
      </c>
      <c r="F25" s="20" t="n">
        <v>2.07048847</v>
      </c>
      <c r="G25" s="18" t="n">
        <v>67.98516949</v>
      </c>
      <c r="H25" s="20" t="n">
        <v>2.06267548</v>
      </c>
      <c r="I25" s="18" t="n">
        <v>0</v>
      </c>
      <c r="J25" s="20" t="n">
        <v>0</v>
      </c>
      <c r="K25" s="18" t="n">
        <v>0</v>
      </c>
      <c r="L25" s="20" t="n">
        <v>0</v>
      </c>
      <c r="M25" s="18" t="n">
        <v>0</v>
      </c>
      <c r="N25" s="20" t="n">
        <v>0</v>
      </c>
      <c r="O25" s="18" t="n">
        <v>0</v>
      </c>
      <c r="P25" s="20" t="n">
        <v>0</v>
      </c>
      <c r="Q25" s="18" t="n">
        <v>0.63854019</v>
      </c>
      <c r="R25" s="20" t="n">
        <v>0.31815061</v>
      </c>
    </row>
    <row r="26" spans="1:18">
      <c r="A26" s="15" t="s">
        <v>584</v>
      </c>
      <c r="B26" s="17" t="n">
        <v>4869</v>
      </c>
      <c r="C26" s="18">
        <f>(4334.0/B26*100)</f>
        <v/>
      </c>
      <c r="D26" s="19" t="n">
        <v>535</v>
      </c>
      <c r="E26" s="18" t="n">
        <v>34.39899547</v>
      </c>
      <c r="F26" s="20" t="n">
        <v>2.29594065</v>
      </c>
      <c r="G26" s="18" t="n">
        <v>65.46333953</v>
      </c>
      <c r="H26" s="20" t="n">
        <v>2.28442168</v>
      </c>
      <c r="I26" s="18" t="n">
        <v>0</v>
      </c>
      <c r="J26" s="20" t="n">
        <v>0</v>
      </c>
      <c r="K26" s="18" t="n">
        <v>0</v>
      </c>
      <c r="L26" s="20" t="n">
        <v>0</v>
      </c>
      <c r="M26" s="18" t="n">
        <v>0</v>
      </c>
      <c r="N26" s="20" t="n">
        <v>0</v>
      </c>
      <c r="O26" s="18" t="n">
        <v>0</v>
      </c>
      <c r="P26" s="20" t="n">
        <v>0</v>
      </c>
      <c r="Q26" s="18" t="n">
        <v>0.137665</v>
      </c>
      <c r="R26" s="20" t="n">
        <v>0.13556682</v>
      </c>
    </row>
    <row r="27" spans="1:18">
      <c r="A27" s="15" t="s">
        <v>585</v>
      </c>
      <c r="B27" s="17" t="n">
        <v>5299</v>
      </c>
      <c r="C27" s="18">
        <f>(4741.0/B27*100)</f>
        <v/>
      </c>
      <c r="D27" s="19" t="n">
        <v>558</v>
      </c>
      <c r="E27" s="18" t="n">
        <v>37.83976763</v>
      </c>
      <c r="F27" s="20" t="n">
        <v>1.93940321</v>
      </c>
      <c r="G27" s="18" t="n">
        <v>60.67862507</v>
      </c>
      <c r="H27" s="20" t="n">
        <v>2.06617285</v>
      </c>
      <c r="I27" s="18" t="n">
        <v>0</v>
      </c>
      <c r="J27" s="20" t="n">
        <v>0</v>
      </c>
      <c r="K27" s="18" t="n">
        <v>0.17761446</v>
      </c>
      <c r="L27" s="20" t="n">
        <v>0.17467285</v>
      </c>
      <c r="M27" s="18" t="n">
        <v>0</v>
      </c>
      <c r="N27" s="20" t="n">
        <v>0</v>
      </c>
      <c r="O27" s="18" t="n">
        <v>0</v>
      </c>
      <c r="P27" s="20" t="n">
        <v>0</v>
      </c>
      <c r="Q27" s="18" t="n">
        <v>1.30399284</v>
      </c>
      <c r="R27" s="20" t="n">
        <v>0.48444696</v>
      </c>
    </row>
    <row r="28" spans="1:18">
      <c r="A28" s="15" t="s">
        <v>586</v>
      </c>
      <c r="B28" s="17" t="n">
        <v>7568</v>
      </c>
      <c r="C28" s="18">
        <f>(6775.0/B28*100)</f>
        <v/>
      </c>
      <c r="D28" s="19" t="n">
        <v>793</v>
      </c>
      <c r="E28" s="18" t="n">
        <v>46.06966137</v>
      </c>
      <c r="F28" s="20" t="n">
        <v>1.88437945</v>
      </c>
      <c r="G28" s="18" t="n">
        <v>52.74502056</v>
      </c>
      <c r="H28" s="20" t="n">
        <v>2.02663307</v>
      </c>
      <c r="I28" s="18" t="n">
        <v>0</v>
      </c>
      <c r="J28" s="20" t="n">
        <v>0</v>
      </c>
      <c r="K28" s="18" t="n">
        <v>0.62509947</v>
      </c>
      <c r="L28" s="20" t="n">
        <v>0.37300111</v>
      </c>
      <c r="M28" s="18" t="n">
        <v>0</v>
      </c>
      <c r="N28" s="20" t="n">
        <v>0</v>
      </c>
      <c r="O28" s="18" t="n">
        <v>0</v>
      </c>
      <c r="P28" s="20" t="n">
        <v>0</v>
      </c>
      <c r="Q28" s="18" t="n">
        <v>0.5602186</v>
      </c>
      <c r="R28" s="20" t="n">
        <v>0.35143017</v>
      </c>
    </row>
    <row r="29" spans="1:18">
      <c r="A29" s="15" t="s">
        <v>587</v>
      </c>
      <c r="B29" s="17" t="n">
        <v>5385</v>
      </c>
      <c r="C29" s="18">
        <f>(4644.0/B29*100)</f>
        <v/>
      </c>
      <c r="D29" s="19" t="n">
        <v>741</v>
      </c>
      <c r="E29" s="18" t="n">
        <v>57.70500735</v>
      </c>
      <c r="F29" s="20" t="n">
        <v>2.54290388</v>
      </c>
      <c r="G29" s="18" t="n">
        <v>41.38514098</v>
      </c>
      <c r="H29" s="20" t="n">
        <v>2.49984074</v>
      </c>
      <c r="I29" s="18" t="n">
        <v>0</v>
      </c>
      <c r="J29" s="20" t="n">
        <v>0</v>
      </c>
      <c r="K29" s="18" t="n">
        <v>0.7710547800000001</v>
      </c>
      <c r="L29" s="20" t="n">
        <v>0.41930222</v>
      </c>
      <c r="M29" s="18" t="n">
        <v>0</v>
      </c>
      <c r="N29" s="20" t="n">
        <v>0</v>
      </c>
      <c r="O29" s="18" t="n">
        <v>0</v>
      </c>
      <c r="P29" s="20" t="n">
        <v>0</v>
      </c>
      <c r="Q29" s="18" t="n">
        <v>0.1387969</v>
      </c>
      <c r="R29" s="20" t="n">
        <v>0.13485988</v>
      </c>
    </row>
    <row r="30" spans="1:18">
      <c r="A30" s="15" t="s">
        <v>588</v>
      </c>
      <c r="B30" s="17" t="n">
        <v>4520</v>
      </c>
      <c r="C30" s="18">
        <f>(4029.0/B30*100)</f>
        <v/>
      </c>
      <c r="D30" s="19" t="n">
        <v>491</v>
      </c>
      <c r="E30" s="18" t="n">
        <v>29.67024676</v>
      </c>
      <c r="F30" s="20" t="n">
        <v>2.14447618</v>
      </c>
      <c r="G30" s="18" t="n">
        <v>69.86713268</v>
      </c>
      <c r="H30" s="20" t="n">
        <v>2.12396851</v>
      </c>
      <c r="I30" s="18" t="n">
        <v>0</v>
      </c>
      <c r="J30" s="20" t="n">
        <v>0</v>
      </c>
      <c r="K30" s="18" t="n">
        <v>0.21002374</v>
      </c>
      <c r="L30" s="20" t="n">
        <v>0.20234585</v>
      </c>
      <c r="M30" s="18" t="n">
        <v>0</v>
      </c>
      <c r="N30" s="20" t="n">
        <v>0</v>
      </c>
      <c r="O30" s="18" t="n">
        <v>0</v>
      </c>
      <c r="P30" s="20" t="n">
        <v>0</v>
      </c>
      <c r="Q30" s="18" t="n">
        <v>0.25259682</v>
      </c>
      <c r="R30" s="20" t="n">
        <v>0.2415381</v>
      </c>
    </row>
    <row r="31" spans="1:18">
      <c r="A31" s="15" t="s">
        <v>589</v>
      </c>
      <c r="B31" s="17" t="n">
        <v>5456</v>
      </c>
      <c r="C31" s="18">
        <f>(4877.0/B31*100)</f>
        <v/>
      </c>
      <c r="D31" s="19" t="n">
        <v>579</v>
      </c>
      <c r="E31" s="18" t="n">
        <v>35.42356244</v>
      </c>
      <c r="F31" s="20" t="n">
        <v>2.40205554</v>
      </c>
      <c r="G31" s="18" t="n">
        <v>63.38881338</v>
      </c>
      <c r="H31" s="20" t="n">
        <v>2.39895191</v>
      </c>
      <c r="I31" s="18" t="n">
        <v>0</v>
      </c>
      <c r="J31" s="20" t="n">
        <v>0</v>
      </c>
      <c r="K31" s="18" t="n">
        <v>0.34112973</v>
      </c>
      <c r="L31" s="20" t="n">
        <v>0.24361251</v>
      </c>
      <c r="M31" s="18" t="n">
        <v>0</v>
      </c>
      <c r="N31" s="20" t="n">
        <v>0</v>
      </c>
      <c r="O31" s="18" t="n">
        <v>0</v>
      </c>
      <c r="P31" s="20" t="n">
        <v>0</v>
      </c>
      <c r="Q31" s="18" t="n">
        <v>0.8464944599999999</v>
      </c>
      <c r="R31" s="20" t="n">
        <v>0.3642602</v>
      </c>
    </row>
    <row r="32" spans="1:18">
      <c r="A32" s="15" t="s">
        <v>590</v>
      </c>
      <c r="B32" s="17" t="n">
        <v>4478</v>
      </c>
      <c r="C32" s="18">
        <f>(3984.0/B32*100)</f>
        <v/>
      </c>
      <c r="D32" s="19" t="n">
        <v>494</v>
      </c>
      <c r="E32" s="18" t="n">
        <v>42.55649549</v>
      </c>
      <c r="F32" s="20" t="n">
        <v>2.36322427</v>
      </c>
      <c r="G32" s="18" t="n">
        <v>56.62698973</v>
      </c>
      <c r="H32" s="20" t="n">
        <v>2.39459354</v>
      </c>
      <c r="I32" s="18" t="n">
        <v>0</v>
      </c>
      <c r="J32" s="20" t="n">
        <v>0</v>
      </c>
      <c r="K32" s="18" t="n">
        <v>0</v>
      </c>
      <c r="L32" s="20" t="n">
        <v>0</v>
      </c>
      <c r="M32" s="18" t="n">
        <v>0</v>
      </c>
      <c r="N32" s="20" t="n">
        <v>0</v>
      </c>
      <c r="O32" s="18" t="n">
        <v>0</v>
      </c>
      <c r="P32" s="20" t="n">
        <v>0</v>
      </c>
      <c r="Q32" s="18" t="n">
        <v>0.81651478</v>
      </c>
      <c r="R32" s="20" t="n">
        <v>0.41037931</v>
      </c>
    </row>
    <row r="33" spans="1:18">
      <c r="A33" s="15" t="s">
        <v>591</v>
      </c>
      <c r="B33" s="17" t="n">
        <v>7325</v>
      </c>
      <c r="C33" s="18">
        <f>(6539.0/B33*100)</f>
        <v/>
      </c>
      <c r="D33" s="19" t="n">
        <v>786</v>
      </c>
      <c r="E33" s="18" t="n">
        <v>27.42492671</v>
      </c>
      <c r="F33" s="20" t="n">
        <v>1.77357309</v>
      </c>
      <c r="G33" s="18" t="n">
        <v>71.96566919999999</v>
      </c>
      <c r="H33" s="20" t="n">
        <v>1.77519831</v>
      </c>
      <c r="I33" s="18" t="n">
        <v>0</v>
      </c>
      <c r="J33" s="20" t="n">
        <v>0</v>
      </c>
      <c r="K33" s="18" t="n">
        <v>0</v>
      </c>
      <c r="L33" s="20" t="n">
        <v>0</v>
      </c>
      <c r="M33" s="18" t="n">
        <v>0</v>
      </c>
      <c r="N33" s="20" t="n">
        <v>0</v>
      </c>
      <c r="O33" s="18" t="n">
        <v>0</v>
      </c>
      <c r="P33" s="20" t="n">
        <v>0</v>
      </c>
      <c r="Q33" s="18" t="n">
        <v>0.60940409</v>
      </c>
      <c r="R33" s="20" t="n">
        <v>0.3004503</v>
      </c>
    </row>
    <row r="34" spans="1:18">
      <c r="A34" s="15" t="s">
        <v>592</v>
      </c>
      <c r="B34" s="17" t="n">
        <v>6350</v>
      </c>
      <c r="C34" s="18">
        <f>(5524.0/B34*100)</f>
        <v/>
      </c>
      <c r="D34" s="19" t="n">
        <v>826</v>
      </c>
      <c r="E34" s="18" t="n">
        <v>46.89857922</v>
      </c>
      <c r="F34" s="20" t="n">
        <v>2.34860748</v>
      </c>
      <c r="G34" s="18" t="n">
        <v>51.40293074</v>
      </c>
      <c r="H34" s="20" t="n">
        <v>2.38315418</v>
      </c>
      <c r="I34" s="18" t="n">
        <v>0</v>
      </c>
      <c r="J34" s="20" t="n">
        <v>0</v>
      </c>
      <c r="K34" s="18" t="n">
        <v>0.82771797</v>
      </c>
      <c r="L34" s="20" t="n">
        <v>0.3093634</v>
      </c>
      <c r="M34" s="18" t="n">
        <v>0</v>
      </c>
      <c r="N34" s="20" t="n">
        <v>0</v>
      </c>
      <c r="O34" s="18" t="n">
        <v>0</v>
      </c>
      <c r="P34" s="20" t="n">
        <v>0</v>
      </c>
      <c r="Q34" s="18" t="n">
        <v>0.87077207</v>
      </c>
      <c r="R34" s="20" t="n">
        <v>0.32637437</v>
      </c>
    </row>
    <row r="35" spans="1:18">
      <c r="A35" s="15" t="s">
        <v>593</v>
      </c>
      <c r="B35" s="17" t="n">
        <v>6406</v>
      </c>
      <c r="C35" s="18">
        <f>(5550.0/B35*100)</f>
        <v/>
      </c>
      <c r="D35" s="19" t="n">
        <v>856</v>
      </c>
      <c r="E35" s="18" t="n">
        <v>36.9419495</v>
      </c>
      <c r="F35" s="20" t="n">
        <v>1.99475177</v>
      </c>
      <c r="G35" s="18" t="n">
        <v>62.60998304</v>
      </c>
      <c r="H35" s="20" t="n">
        <v>2.00397705</v>
      </c>
      <c r="I35" s="18" t="n">
        <v>0</v>
      </c>
      <c r="J35" s="20" t="n">
        <v>0</v>
      </c>
      <c r="K35" s="18" t="n">
        <v>0.29549713</v>
      </c>
      <c r="L35" s="20" t="n">
        <v>0.11457823</v>
      </c>
      <c r="M35" s="18" t="n">
        <v>0</v>
      </c>
      <c r="N35" s="20" t="n">
        <v>0</v>
      </c>
      <c r="O35" s="18" t="n">
        <v>0</v>
      </c>
      <c r="P35" s="20" t="n">
        <v>0</v>
      </c>
      <c r="Q35" s="18" t="n">
        <v>0.15257033</v>
      </c>
      <c r="R35" s="20" t="n">
        <v>0.10790037</v>
      </c>
    </row>
    <row r="36" spans="1:18">
      <c r="A36" s="15" t="s">
        <v>594</v>
      </c>
      <c r="B36" s="17" t="n">
        <v>6736</v>
      </c>
      <c r="C36" s="18">
        <f>(6036.0/B36*100)</f>
        <v/>
      </c>
      <c r="D36" s="19" t="n">
        <v>700</v>
      </c>
      <c r="E36" s="18" t="n">
        <v>24.33748434</v>
      </c>
      <c r="F36" s="20" t="n">
        <v>1.57579787</v>
      </c>
      <c r="G36" s="18" t="n">
        <v>74.9194327</v>
      </c>
      <c r="H36" s="20" t="n">
        <v>1.65110383</v>
      </c>
      <c r="I36" s="18" t="n">
        <v>0</v>
      </c>
      <c r="J36" s="20" t="n">
        <v>0</v>
      </c>
      <c r="K36" s="18" t="n">
        <v>0.43442158</v>
      </c>
      <c r="L36" s="20" t="n">
        <v>0.3413401</v>
      </c>
      <c r="M36" s="18" t="n">
        <v>0</v>
      </c>
      <c r="N36" s="20" t="n">
        <v>0</v>
      </c>
      <c r="O36" s="18" t="n">
        <v>0</v>
      </c>
      <c r="P36" s="20" t="n">
        <v>0</v>
      </c>
      <c r="Q36" s="18" t="n">
        <v>0.30866138</v>
      </c>
      <c r="R36" s="20" t="n">
        <v>0.23335125</v>
      </c>
    </row>
    <row r="37" spans="1:18">
      <c r="A37" s="15" t="s">
        <v>595</v>
      </c>
      <c r="B37" s="17" t="n">
        <v>5458</v>
      </c>
      <c r="C37" s="18">
        <f>(4834.0/B37*100)</f>
        <v/>
      </c>
      <c r="D37" s="19" t="n">
        <v>624</v>
      </c>
      <c r="E37" s="18" t="n">
        <v>30.39342163</v>
      </c>
      <c r="F37" s="20" t="n">
        <v>1.89836254</v>
      </c>
      <c r="G37" s="18" t="n">
        <v>68.42816753</v>
      </c>
      <c r="H37" s="20" t="n">
        <v>1.92817476</v>
      </c>
      <c r="I37" s="18" t="n">
        <v>0</v>
      </c>
      <c r="J37" s="20" t="n">
        <v>0</v>
      </c>
      <c r="K37" s="18" t="n">
        <v>0.15075185</v>
      </c>
      <c r="L37" s="20" t="n">
        <v>0.1514441</v>
      </c>
      <c r="M37" s="18" t="n">
        <v>0</v>
      </c>
      <c r="N37" s="20" t="n">
        <v>0</v>
      </c>
      <c r="O37" s="18" t="n">
        <v>0</v>
      </c>
      <c r="P37" s="20" t="n">
        <v>0</v>
      </c>
      <c r="Q37" s="18" t="n">
        <v>1.02765899</v>
      </c>
      <c r="R37" s="20" t="n">
        <v>0.39131552</v>
      </c>
    </row>
    <row r="38" spans="1:18">
      <c r="A38" s="15" t="s">
        <v>596</v>
      </c>
      <c r="B38" s="17" t="n">
        <v>5860</v>
      </c>
      <c r="C38" s="18">
        <f>(5237.0/B38*100)</f>
        <v/>
      </c>
      <c r="D38" s="19" t="n">
        <v>623</v>
      </c>
      <c r="E38" s="18" t="n">
        <v>35.57193609</v>
      </c>
      <c r="F38" s="20" t="n">
        <v>2.15867759</v>
      </c>
      <c r="G38" s="18" t="n">
        <v>64.02905135</v>
      </c>
      <c r="H38" s="20" t="n">
        <v>2.16326962</v>
      </c>
      <c r="I38" s="18" t="n">
        <v>0</v>
      </c>
      <c r="J38" s="20" t="n">
        <v>0</v>
      </c>
      <c r="K38" s="18" t="n">
        <v>0</v>
      </c>
      <c r="L38" s="20" t="n">
        <v>0</v>
      </c>
      <c r="M38" s="18" t="n">
        <v>0</v>
      </c>
      <c r="N38" s="20" t="n">
        <v>0</v>
      </c>
      <c r="O38" s="18" t="n">
        <v>0</v>
      </c>
      <c r="P38" s="20" t="n">
        <v>0</v>
      </c>
      <c r="Q38" s="18" t="n">
        <v>0.39901256</v>
      </c>
      <c r="R38" s="20" t="n">
        <v>0.26066278</v>
      </c>
    </row>
    <row r="39" spans="1:18">
      <c r="A39" s="15" t="s">
        <v>597</v>
      </c>
      <c r="B39" s="17" t="n">
        <v>5895</v>
      </c>
      <c r="C39" s="18">
        <f>(5252.0/B39*100)</f>
        <v/>
      </c>
      <c r="D39" s="19" t="n">
        <v>643</v>
      </c>
      <c r="E39" s="18" t="n">
        <v>45.28514918</v>
      </c>
      <c r="F39" s="20" t="n">
        <v>1.76950322</v>
      </c>
      <c r="G39" s="18" t="n">
        <v>53.57578012</v>
      </c>
      <c r="H39" s="20" t="n">
        <v>1.80665552</v>
      </c>
      <c r="I39" s="18" t="n">
        <v>0</v>
      </c>
      <c r="J39" s="20" t="n">
        <v>0</v>
      </c>
      <c r="K39" s="18" t="n">
        <v>0.64394324</v>
      </c>
      <c r="L39" s="20" t="n">
        <v>0.6078934499999999</v>
      </c>
      <c r="M39" s="18" t="n">
        <v>0</v>
      </c>
      <c r="N39" s="20" t="n">
        <v>0</v>
      </c>
      <c r="O39" s="18" t="n">
        <v>0</v>
      </c>
      <c r="P39" s="20" t="n">
        <v>0</v>
      </c>
      <c r="Q39" s="18" t="n">
        <v>0.49512746</v>
      </c>
      <c r="R39" s="20" t="n">
        <v>0.28152595</v>
      </c>
    </row>
    <row r="40" spans="1:18">
      <c r="A40" s="15" t="s">
        <v>598</v>
      </c>
      <c r="B40" s="17" t="n">
        <v>14157</v>
      </c>
      <c r="C40" s="18">
        <f>(12576.0/B40*100)</f>
        <v/>
      </c>
      <c r="D40" s="19" t="n">
        <v>1581</v>
      </c>
      <c r="E40" s="18" t="n">
        <v>30.54758598</v>
      </c>
      <c r="F40" s="20" t="n">
        <v>1.80820279</v>
      </c>
      <c r="G40" s="18" t="n">
        <v>68.2628282</v>
      </c>
      <c r="H40" s="20" t="n">
        <v>1.90525515</v>
      </c>
      <c r="I40" s="18" t="n">
        <v>0</v>
      </c>
      <c r="J40" s="20" t="n">
        <v>0</v>
      </c>
      <c r="K40" s="18" t="n">
        <v>0.39435155</v>
      </c>
      <c r="L40" s="20" t="n">
        <v>0.30063045</v>
      </c>
      <c r="M40" s="18" t="n">
        <v>0</v>
      </c>
      <c r="N40" s="20" t="n">
        <v>0</v>
      </c>
      <c r="O40" s="18" t="n">
        <v>0</v>
      </c>
      <c r="P40" s="20" t="n">
        <v>0</v>
      </c>
      <c r="Q40" s="18" t="n">
        <v>0.79523427</v>
      </c>
      <c r="R40" s="20" t="n">
        <v>0.33570658</v>
      </c>
    </row>
    <row r="41" spans="1:18">
      <c r="A41" s="15" t="s">
        <v>599</v>
      </c>
      <c r="B41" s="17" t="n">
        <v>5712</v>
      </c>
      <c r="C41" s="18">
        <f>(5066.0/B41*100)</f>
        <v/>
      </c>
      <c r="D41" s="19" t="n">
        <v>646</v>
      </c>
      <c r="E41" s="18" t="n">
        <v>33.33594229</v>
      </c>
      <c r="F41" s="20" t="n">
        <v>2.24144186</v>
      </c>
      <c r="G41" s="18" t="n">
        <v>66.11433568</v>
      </c>
      <c r="H41" s="20" t="n">
        <v>2.3336483</v>
      </c>
      <c r="I41" s="18" t="n">
        <v>0</v>
      </c>
      <c r="J41" s="20" t="n">
        <v>0</v>
      </c>
      <c r="K41" s="18" t="n">
        <v>0.4026958</v>
      </c>
      <c r="L41" s="20" t="n">
        <v>0.29159092</v>
      </c>
      <c r="M41" s="18" t="n">
        <v>0</v>
      </c>
      <c r="N41" s="20" t="n">
        <v>0</v>
      </c>
      <c r="O41" s="18" t="n">
        <v>0</v>
      </c>
      <c r="P41" s="20" t="n">
        <v>0</v>
      </c>
      <c r="Q41" s="18" t="n">
        <v>0.14702623</v>
      </c>
      <c r="R41" s="20" t="n">
        <v>0.13349749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(20889.0/B46*100)</f>
        <v/>
      </c>
      <c r="D46" s="19" t="n">
        <v>2252</v>
      </c>
      <c r="E46" s="18" t="n">
        <v>63.60016587</v>
      </c>
      <c r="F46" s="20" t="n">
        <v>1.43040339</v>
      </c>
      <c r="G46" s="18" t="n">
        <v>33.32045947</v>
      </c>
      <c r="H46" s="20" t="n">
        <v>1.46669426</v>
      </c>
      <c r="I46" s="18" t="n">
        <v>0</v>
      </c>
      <c r="J46" s="20" t="n">
        <v>0</v>
      </c>
      <c r="K46" s="18" t="n">
        <v>1.44618148</v>
      </c>
      <c r="L46" s="20" t="n">
        <v>0.29005612</v>
      </c>
      <c r="M46" s="18" t="n">
        <v>0</v>
      </c>
      <c r="N46" s="20" t="n">
        <v>0</v>
      </c>
      <c r="O46" s="18" t="n">
        <v>0</v>
      </c>
      <c r="P46" s="20" t="n">
        <v>0</v>
      </c>
      <c r="Q46" s="18" t="n">
        <v>1.63319318</v>
      </c>
      <c r="R46" s="20" t="n">
        <v>0.36252786</v>
      </c>
    </row>
    <row r="47" spans="1:18">
      <c r="A47" s="15" t="s">
        <v>606</v>
      </c>
      <c r="B47" s="17" t="n">
        <v>5928</v>
      </c>
      <c r="C47" s="18">
        <f>(5276.0/B47*100)</f>
        <v/>
      </c>
      <c r="D47" s="19" t="n">
        <v>652</v>
      </c>
      <c r="E47" s="18" t="n">
        <v>37.97118724</v>
      </c>
      <c r="F47" s="20" t="n">
        <v>1.99727103</v>
      </c>
      <c r="G47" s="18" t="n">
        <v>60.63618322</v>
      </c>
      <c r="H47" s="20" t="n">
        <v>2.09790592</v>
      </c>
      <c r="I47" s="18" t="n">
        <v>0</v>
      </c>
      <c r="J47" s="20" t="n">
        <v>0</v>
      </c>
      <c r="K47" s="18" t="n">
        <v>0.46468181</v>
      </c>
      <c r="L47" s="20" t="n">
        <v>0.25528029</v>
      </c>
      <c r="M47" s="18" t="n">
        <v>0</v>
      </c>
      <c r="N47" s="20" t="n">
        <v>0</v>
      </c>
      <c r="O47" s="18" t="n">
        <v>0</v>
      </c>
      <c r="P47" s="20" t="n">
        <v>0</v>
      </c>
      <c r="Q47" s="18" t="n">
        <v>0.92794772</v>
      </c>
      <c r="R47" s="20" t="n">
        <v>0.36911553</v>
      </c>
    </row>
    <row r="48" spans="1:18">
      <c r="A48" s="15" t="s">
        <v>607</v>
      </c>
      <c r="B48" s="17" t="n">
        <v>9841</v>
      </c>
      <c r="C48" s="18">
        <f>(8747.0/B48*100)</f>
        <v/>
      </c>
      <c r="D48" s="19" t="n">
        <v>1094</v>
      </c>
      <c r="E48" s="18" t="n">
        <v>35.99632946</v>
      </c>
      <c r="F48" s="20" t="n">
        <v>2.33020097</v>
      </c>
      <c r="G48" s="18" t="n">
        <v>62.63507212</v>
      </c>
      <c r="H48" s="20" t="n">
        <v>2.31717669</v>
      </c>
      <c r="I48" s="18" t="n">
        <v>0</v>
      </c>
      <c r="J48" s="20" t="n">
        <v>0</v>
      </c>
      <c r="K48" s="18" t="n">
        <v>0.94448285</v>
      </c>
      <c r="L48" s="20" t="n">
        <v>0.18233634</v>
      </c>
      <c r="M48" s="18" t="n">
        <v>0</v>
      </c>
      <c r="N48" s="20" t="n">
        <v>0</v>
      </c>
      <c r="O48" s="18" t="n">
        <v>0</v>
      </c>
      <c r="P48" s="20" t="n">
        <v>0</v>
      </c>
      <c r="Q48" s="18" t="n">
        <v>0.42411558</v>
      </c>
      <c r="R48" s="20" t="n">
        <v>0.26024532</v>
      </c>
    </row>
    <row r="49" spans="1:18">
      <c r="A49" s="15" t="s">
        <v>608</v>
      </c>
      <c r="B49" s="17" t="n">
        <v>11795</v>
      </c>
      <c r="C49" s="18">
        <f>(10515.0/B49*100)</f>
        <v/>
      </c>
      <c r="D49" s="19" t="n">
        <v>1280</v>
      </c>
      <c r="E49" s="18" t="n">
        <v>59.34413922</v>
      </c>
      <c r="F49" s="20" t="n">
        <v>1.81044656</v>
      </c>
      <c r="G49" s="18" t="n">
        <v>38.88616204</v>
      </c>
      <c r="H49" s="20" t="n">
        <v>1.75073511</v>
      </c>
      <c r="I49" s="18" t="n">
        <v>0</v>
      </c>
      <c r="J49" s="20" t="n">
        <v>0</v>
      </c>
      <c r="K49" s="18" t="n">
        <v>0.61910044</v>
      </c>
      <c r="L49" s="20" t="n">
        <v>0.34938426</v>
      </c>
      <c r="M49" s="18" t="n">
        <v>0</v>
      </c>
      <c r="N49" s="20" t="n">
        <v>0</v>
      </c>
      <c r="O49" s="18" t="n">
        <v>0</v>
      </c>
      <c r="P49" s="20" t="n">
        <v>0</v>
      </c>
      <c r="Q49" s="18" t="n">
        <v>1.1505983</v>
      </c>
      <c r="R49" s="20" t="n">
        <v>0.58873002</v>
      </c>
    </row>
    <row r="50" spans="1:18">
      <c r="A50" s="15" t="s">
        <v>609</v>
      </c>
      <c r="B50" s="17" t="n">
        <v>6866</v>
      </c>
      <c r="C50" s="18">
        <f>(5500.0/B50*100)</f>
        <v/>
      </c>
      <c r="D50" s="19" t="n">
        <v>1366</v>
      </c>
      <c r="E50" s="18" t="n">
        <v>61.20696612</v>
      </c>
      <c r="F50" s="20" t="n">
        <v>1.52744386</v>
      </c>
      <c r="G50" s="18" t="n">
        <v>38.11941471</v>
      </c>
      <c r="H50" s="20" t="n">
        <v>1.50056467</v>
      </c>
      <c r="I50" s="18" t="n">
        <v>0</v>
      </c>
      <c r="J50" s="20" t="n">
        <v>0</v>
      </c>
      <c r="K50" s="18" t="n">
        <v>0.16176853</v>
      </c>
      <c r="L50" s="20" t="n">
        <v>0.11466216</v>
      </c>
      <c r="M50" s="18" t="n">
        <v>0</v>
      </c>
      <c r="N50" s="20" t="n">
        <v>0</v>
      </c>
      <c r="O50" s="18" t="n">
        <v>0</v>
      </c>
      <c r="P50" s="20" t="n">
        <v>0</v>
      </c>
      <c r="Q50" s="18" t="n">
        <v>0.51185064</v>
      </c>
      <c r="R50" s="20" t="n">
        <v>0.19272514</v>
      </c>
    </row>
    <row r="51" spans="1:18">
      <c r="A51" s="15" t="s">
        <v>610</v>
      </c>
      <c r="B51" s="17" t="n">
        <v>5809</v>
      </c>
      <c r="C51" s="18">
        <f>(5168.0/B51*100)</f>
        <v/>
      </c>
      <c r="D51" s="19" t="n">
        <v>641</v>
      </c>
      <c r="E51" s="18" t="n">
        <v>45.79116924</v>
      </c>
      <c r="F51" s="20" t="n">
        <v>2.39775484</v>
      </c>
      <c r="G51" s="18" t="n">
        <v>54.06567998</v>
      </c>
      <c r="H51" s="20" t="n">
        <v>2.40407241</v>
      </c>
      <c r="I51" s="18" t="n">
        <v>0</v>
      </c>
      <c r="J51" s="20" t="n">
        <v>0</v>
      </c>
      <c r="K51" s="18" t="n">
        <v>0</v>
      </c>
      <c r="L51" s="20" t="n">
        <v>0</v>
      </c>
      <c r="M51" s="18" t="n">
        <v>0</v>
      </c>
      <c r="N51" s="20" t="n">
        <v>0</v>
      </c>
      <c r="O51" s="18" t="n">
        <v>0</v>
      </c>
      <c r="P51" s="20" t="n">
        <v>0</v>
      </c>
      <c r="Q51" s="18" t="n">
        <v>0.14315078</v>
      </c>
      <c r="R51" s="20" t="n">
        <v>0.1432346</v>
      </c>
    </row>
    <row r="52" spans="1:18">
      <c r="A52" s="15" t="s">
        <v>611</v>
      </c>
      <c r="B52" s="17" t="n">
        <v>5571</v>
      </c>
      <c r="C52" s="18">
        <f>(4976.0/B52*100)</f>
        <v/>
      </c>
      <c r="D52" s="19" t="n">
        <v>595</v>
      </c>
      <c r="E52" s="18" t="n">
        <v>59.59696598</v>
      </c>
      <c r="F52" s="20" t="n">
        <v>2.12589409</v>
      </c>
      <c r="G52" s="18" t="n">
        <v>38.92841431</v>
      </c>
      <c r="H52" s="20" t="n">
        <v>2.18461777</v>
      </c>
      <c r="I52" s="18" t="n">
        <v>0</v>
      </c>
      <c r="J52" s="20" t="n">
        <v>0</v>
      </c>
      <c r="K52" s="18" t="n">
        <v>0.16117221</v>
      </c>
      <c r="L52" s="20" t="n">
        <v>0.16066796</v>
      </c>
      <c r="M52" s="18" t="n">
        <v>0</v>
      </c>
      <c r="N52" s="20" t="n">
        <v>0</v>
      </c>
      <c r="O52" s="18" t="n">
        <v>0</v>
      </c>
      <c r="P52" s="20" t="n">
        <v>0</v>
      </c>
      <c r="Q52" s="18" t="n">
        <v>1.3134475</v>
      </c>
      <c r="R52" s="20" t="n">
        <v>0.4256516</v>
      </c>
    </row>
    <row r="53" spans="1:18">
      <c r="A53" s="15" t="s">
        <v>612</v>
      </c>
      <c r="B53" s="17" t="n">
        <v>4740</v>
      </c>
      <c r="C53" s="18">
        <f>(4221.0/B53*100)</f>
        <v/>
      </c>
      <c r="D53" s="19" t="n">
        <v>519</v>
      </c>
      <c r="E53" s="18" t="n">
        <v>72.6476095</v>
      </c>
      <c r="F53" s="20" t="n">
        <v>2.27339579</v>
      </c>
      <c r="G53" s="18" t="n">
        <v>15.26648245</v>
      </c>
      <c r="H53" s="20" t="n">
        <v>1.95792596</v>
      </c>
      <c r="I53" s="18" t="n">
        <v>0</v>
      </c>
      <c r="J53" s="20" t="n">
        <v>0</v>
      </c>
      <c r="K53" s="18" t="n">
        <v>9.019261200000001</v>
      </c>
      <c r="L53" s="20" t="n">
        <v>1.59957932</v>
      </c>
      <c r="M53" s="18" t="n">
        <v>0</v>
      </c>
      <c r="N53" s="20" t="n">
        <v>0</v>
      </c>
      <c r="O53" s="18" t="n">
        <v>0</v>
      </c>
      <c r="P53" s="20" t="n">
        <v>0</v>
      </c>
      <c r="Q53" s="18" t="n">
        <v>3.06664685</v>
      </c>
      <c r="R53" s="20" t="n">
        <v>0.88321683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(4768.0/B55*100)</f>
        <v/>
      </c>
      <c r="D55" s="19" t="n">
        <v>591</v>
      </c>
      <c r="E55" s="18" t="n">
        <v>30.88978989</v>
      </c>
      <c r="F55" s="20" t="n">
        <v>1.96500395</v>
      </c>
      <c r="G55" s="18" t="n">
        <v>68.21554909</v>
      </c>
      <c r="H55" s="20" t="n">
        <v>1.98154685</v>
      </c>
      <c r="I55" s="18" t="n">
        <v>0</v>
      </c>
      <c r="J55" s="20" t="n">
        <v>0</v>
      </c>
      <c r="K55" s="18" t="n">
        <v>0.69237953</v>
      </c>
      <c r="L55" s="20" t="n">
        <v>0.45182465</v>
      </c>
      <c r="M55" s="18" t="n">
        <v>0</v>
      </c>
      <c r="N55" s="20" t="n">
        <v>0</v>
      </c>
      <c r="O55" s="18" t="n">
        <v>0</v>
      </c>
      <c r="P55" s="20" t="n">
        <v>0</v>
      </c>
      <c r="Q55" s="18" t="n">
        <v>0.20228149</v>
      </c>
      <c r="R55" s="20" t="n">
        <v>0.20450541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(5828.0/B61*100)</f>
        <v/>
      </c>
      <c r="D61" s="19" t="n">
        <v>697</v>
      </c>
      <c r="E61" s="18" t="n">
        <v>43.70712132</v>
      </c>
      <c r="F61" s="20" t="n">
        <v>2.26132285</v>
      </c>
      <c r="G61" s="18" t="n">
        <v>55.29789632</v>
      </c>
      <c r="H61" s="20" t="n">
        <v>2.20791197</v>
      </c>
      <c r="I61" s="18" t="n">
        <v>0</v>
      </c>
      <c r="J61" s="20" t="n">
        <v>0</v>
      </c>
      <c r="K61" s="18" t="n">
        <v>0.17137484</v>
      </c>
      <c r="L61" s="20" t="n">
        <v>0.17209541</v>
      </c>
      <c r="M61" s="18" t="n">
        <v>0</v>
      </c>
      <c r="N61" s="20" t="n">
        <v>0</v>
      </c>
      <c r="O61" s="18" t="n">
        <v>0</v>
      </c>
      <c r="P61" s="20" t="n">
        <v>0</v>
      </c>
      <c r="Q61" s="18" t="n">
        <v>0.82360753</v>
      </c>
      <c r="R61" s="20" t="n">
        <v>0.37288431</v>
      </c>
    </row>
    <row r="62" spans="1:18">
      <c r="A62" s="15" t="s">
        <v>622</v>
      </c>
      <c r="B62" s="17" t="n">
        <v>4476</v>
      </c>
      <c r="C62" s="18">
        <f>(3964.0/B62*100)</f>
        <v/>
      </c>
      <c r="D62" s="19" t="n">
        <v>512</v>
      </c>
      <c r="E62" s="18" t="n">
        <v>31.69711431</v>
      </c>
      <c r="F62" s="20" t="n">
        <v>1.68327684</v>
      </c>
      <c r="G62" s="18" t="n">
        <v>68.30288569</v>
      </c>
      <c r="H62" s="20" t="n">
        <v>1.68327684</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(5042.0/B67*100)</f>
        <v/>
      </c>
      <c r="D67" s="19" t="n">
        <v>623</v>
      </c>
      <c r="E67" s="18" t="n">
        <v>54.77107971</v>
      </c>
      <c r="F67" s="20" t="n">
        <v>1.98764753</v>
      </c>
      <c r="G67" s="18" t="n">
        <v>42.5277124</v>
      </c>
      <c r="H67" s="20" t="n">
        <v>2.01013527</v>
      </c>
      <c r="I67" s="18" t="n">
        <v>0</v>
      </c>
      <c r="J67" s="20" t="n">
        <v>0</v>
      </c>
      <c r="K67" s="18" t="n">
        <v>0.94827687</v>
      </c>
      <c r="L67" s="20" t="n">
        <v>0.39022583</v>
      </c>
      <c r="M67" s="18" t="n">
        <v>0</v>
      </c>
      <c r="N67" s="20" t="n">
        <v>0</v>
      </c>
      <c r="O67" s="18" t="n">
        <v>0</v>
      </c>
      <c r="P67" s="20" t="n">
        <v>0</v>
      </c>
      <c r="Q67" s="18" t="n">
        <v>1.75293102</v>
      </c>
      <c r="R67" s="20" t="n">
        <v>0.5169252</v>
      </c>
    </row>
    <row r="68" spans="1:18">
      <c r="A68" s="15" t="s">
        <v>628</v>
      </c>
      <c r="B68" s="17" t="n">
        <v>6971</v>
      </c>
      <c r="C68" s="18">
        <f>(6265.0/B68*100)</f>
        <v/>
      </c>
      <c r="D68" s="19" t="n">
        <v>706</v>
      </c>
      <c r="E68" s="18" t="n">
        <v>59.54925972</v>
      </c>
      <c r="F68" s="20" t="n">
        <v>1.94748683</v>
      </c>
      <c r="G68" s="18" t="n">
        <v>39.5367329</v>
      </c>
      <c r="H68" s="20" t="n">
        <v>1.91399322</v>
      </c>
      <c r="I68" s="18" t="n">
        <v>0</v>
      </c>
      <c r="J68" s="20" t="n">
        <v>0</v>
      </c>
      <c r="K68" s="18" t="n">
        <v>0</v>
      </c>
      <c r="L68" s="20" t="n">
        <v>0</v>
      </c>
      <c r="M68" s="18" t="n">
        <v>0</v>
      </c>
      <c r="N68" s="20" t="n">
        <v>0</v>
      </c>
      <c r="O68" s="18" t="n">
        <v>0</v>
      </c>
      <c r="P68" s="20" t="n">
        <v>0</v>
      </c>
      <c r="Q68" s="18" t="n">
        <v>0.91400738</v>
      </c>
      <c r="R68" s="20" t="n">
        <v>0.33551968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(10709.0/B70*100)</f>
        <v/>
      </c>
      <c r="D70" s="19" t="n">
        <v>1374</v>
      </c>
      <c r="E70" s="18" t="n">
        <v>44.87491246</v>
      </c>
      <c r="F70" s="20" t="n">
        <v>1.37097476</v>
      </c>
      <c r="G70" s="18" t="n">
        <v>51.42706257</v>
      </c>
      <c r="H70" s="20" t="n">
        <v>1.39212145</v>
      </c>
      <c r="I70" s="18" t="n">
        <v>0</v>
      </c>
      <c r="J70" s="20" t="n">
        <v>0</v>
      </c>
      <c r="K70" s="18" t="n">
        <v>1.22994954</v>
      </c>
      <c r="L70" s="20" t="n">
        <v>0.31544141</v>
      </c>
      <c r="M70" s="18" t="n">
        <v>0</v>
      </c>
      <c r="N70" s="20" t="n">
        <v>0</v>
      </c>
      <c r="O70" s="18" t="n">
        <v>0</v>
      </c>
      <c r="P70" s="20" t="n">
        <v>0</v>
      </c>
      <c r="Q70" s="18" t="n">
        <v>2.46807544</v>
      </c>
      <c r="R70" s="20" t="n">
        <v>0.42822399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(5403.0/B72*100)</f>
        <v/>
      </c>
      <c r="D72" s="19" t="n">
        <v>633</v>
      </c>
      <c r="E72" s="18" t="n">
        <v>27.91308006</v>
      </c>
      <c r="F72" s="20" t="n">
        <v>1.757054</v>
      </c>
      <c r="G72" s="18" t="n">
        <v>71.54707446</v>
      </c>
      <c r="H72" s="20" t="n">
        <v>1.79324522</v>
      </c>
      <c r="I72" s="18" t="n">
        <v>0</v>
      </c>
      <c r="J72" s="20" t="n">
        <v>0</v>
      </c>
      <c r="K72" s="18" t="n">
        <v>0.42129447</v>
      </c>
      <c r="L72" s="20" t="n">
        <v>0.2903214</v>
      </c>
      <c r="M72" s="18" t="n">
        <v>0</v>
      </c>
      <c r="N72" s="20" t="n">
        <v>0</v>
      </c>
      <c r="O72" s="18" t="n">
        <v>0</v>
      </c>
      <c r="P72" s="20" t="n">
        <v>0</v>
      </c>
      <c r="Q72" s="18" t="n">
        <v>0.11855101</v>
      </c>
      <c r="R72" s="20" t="n">
        <v>0.08470633</v>
      </c>
    </row>
    <row r="73" spans="1:18">
      <c r="A73" s="15" t="s">
        <v>633</v>
      </c>
      <c r="B73" s="17" t="n">
        <v>6115</v>
      </c>
      <c r="C73" s="18">
        <f>(5463.0/B73*100)</f>
        <v/>
      </c>
      <c r="D73" s="19" t="n">
        <v>652</v>
      </c>
      <c r="E73" s="18" t="n">
        <v>45.544816</v>
      </c>
      <c r="F73" s="20" t="n">
        <v>2.08585541</v>
      </c>
      <c r="G73" s="18" t="n">
        <v>53.6596239</v>
      </c>
      <c r="H73" s="20" t="n">
        <v>2.12404236</v>
      </c>
      <c r="I73" s="18" t="n">
        <v>0</v>
      </c>
      <c r="J73" s="20" t="n">
        <v>0</v>
      </c>
      <c r="K73" s="18" t="n">
        <v>0.22835887</v>
      </c>
      <c r="L73" s="20" t="n">
        <v>0.16535304</v>
      </c>
      <c r="M73" s="18" t="n">
        <v>0</v>
      </c>
      <c r="N73" s="20" t="n">
        <v>0</v>
      </c>
      <c r="O73" s="18" t="n">
        <v>0</v>
      </c>
      <c r="P73" s="20" t="n">
        <v>0</v>
      </c>
      <c r="Q73" s="18" t="n">
        <v>0.56720123</v>
      </c>
      <c r="R73" s="20" t="n">
        <v>0.2974634</v>
      </c>
    </row>
    <row r="74" spans="1:18">
      <c r="A74" s="15" t="s">
        <v>634</v>
      </c>
      <c r="B74" s="17" t="n">
        <v>7708</v>
      </c>
      <c r="C74" s="18">
        <f>(6867.0/B74*100)</f>
        <v/>
      </c>
      <c r="D74" s="19" t="n">
        <v>841</v>
      </c>
      <c r="E74" s="18" t="n">
        <v>41.32791718</v>
      </c>
      <c r="F74" s="20" t="n">
        <v>1.69676334</v>
      </c>
      <c r="G74" s="18" t="n">
        <v>58.17444276</v>
      </c>
      <c r="H74" s="20" t="n">
        <v>1.72406354</v>
      </c>
      <c r="I74" s="18" t="n">
        <v>0</v>
      </c>
      <c r="J74" s="20" t="n">
        <v>0</v>
      </c>
      <c r="K74" s="18" t="n">
        <v>0.24575765</v>
      </c>
      <c r="L74" s="20" t="n">
        <v>0.14558361</v>
      </c>
      <c r="M74" s="18" t="n">
        <v>0</v>
      </c>
      <c r="N74" s="20" t="n">
        <v>0</v>
      </c>
      <c r="O74" s="18" t="n">
        <v>0</v>
      </c>
      <c r="P74" s="20" t="n">
        <v>0</v>
      </c>
      <c r="Q74" s="18" t="n">
        <v>0.2518824</v>
      </c>
      <c r="R74" s="20" t="n">
        <v>0.19217784</v>
      </c>
    </row>
    <row r="75" spans="1:18">
      <c r="A75" s="15" t="s">
        <v>635</v>
      </c>
      <c r="B75" s="17" t="n">
        <v>8249</v>
      </c>
      <c r="C75" s="18">
        <f>(7343.0/B75*100)</f>
        <v/>
      </c>
      <c r="D75" s="19" t="n">
        <v>906</v>
      </c>
      <c r="E75" s="18" t="n">
        <v>50.86170541</v>
      </c>
      <c r="F75" s="20" t="n">
        <v>2.36710646</v>
      </c>
      <c r="G75" s="18" t="n">
        <v>48.64709276</v>
      </c>
      <c r="H75" s="20" t="n">
        <v>2.34049026</v>
      </c>
      <c r="I75" s="18" t="n">
        <v>0</v>
      </c>
      <c r="J75" s="20" t="n">
        <v>0</v>
      </c>
      <c r="K75" s="18" t="n">
        <v>0.23657728</v>
      </c>
      <c r="L75" s="20" t="n">
        <v>0.17526241</v>
      </c>
      <c r="M75" s="18" t="n">
        <v>0</v>
      </c>
      <c r="N75" s="20" t="n">
        <v>0</v>
      </c>
      <c r="O75" s="18" t="n">
        <v>0</v>
      </c>
      <c r="P75" s="20" t="n">
        <v>0</v>
      </c>
      <c r="Q75" s="18" t="n">
        <v>0.25462455</v>
      </c>
      <c r="R75" s="20" t="n">
        <v>0.18379708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(4820.0/B77*100)</f>
        <v/>
      </c>
      <c r="D77" s="19" t="n">
        <v>555</v>
      </c>
      <c r="E77" s="18" t="n">
        <v>75.04328187999999</v>
      </c>
      <c r="F77" s="20" t="n">
        <v>2.30173731</v>
      </c>
      <c r="G77" s="18" t="n">
        <v>22.09550805</v>
      </c>
      <c r="H77" s="20" t="n">
        <v>2.10856265</v>
      </c>
      <c r="I77" s="18" t="n">
        <v>0</v>
      </c>
      <c r="J77" s="20" t="n">
        <v>0</v>
      </c>
      <c r="K77" s="18" t="n">
        <v>2.42925872</v>
      </c>
      <c r="L77" s="20" t="n">
        <v>0.986387</v>
      </c>
      <c r="M77" s="18" t="n">
        <v>0</v>
      </c>
      <c r="N77" s="20" t="n">
        <v>0</v>
      </c>
      <c r="O77" s="18" t="n">
        <v>0</v>
      </c>
      <c r="P77" s="20" t="n">
        <v>0</v>
      </c>
      <c r="Q77" s="18" t="n">
        <v>0.43195135</v>
      </c>
      <c r="R77" s="20" t="n">
        <v>0.27176332</v>
      </c>
    </row>
    <row r="78" spans="1:18">
      <c r="A78" s="15" t="s">
        <v>638</v>
      </c>
      <c r="B78" s="17" t="n">
        <v>14167</v>
      </c>
      <c r="C78" s="18">
        <f>(12601.0/B78*100)</f>
        <v/>
      </c>
      <c r="D78" s="19" t="n">
        <v>1566</v>
      </c>
      <c r="E78" s="18" t="n">
        <v>41.70353042</v>
      </c>
      <c r="F78" s="20" t="n">
        <v>1.46377841</v>
      </c>
      <c r="G78" s="18" t="n">
        <v>56.58227453</v>
      </c>
      <c r="H78" s="20" t="n">
        <v>1.50834276</v>
      </c>
      <c r="I78" s="18" t="n">
        <v>0</v>
      </c>
      <c r="J78" s="20" t="n">
        <v>0</v>
      </c>
      <c r="K78" s="18" t="n">
        <v>0.71565837</v>
      </c>
      <c r="L78" s="20" t="n">
        <v>0.23932008</v>
      </c>
      <c r="M78" s="18" t="n">
        <v>0</v>
      </c>
      <c r="N78" s="20" t="n">
        <v>0</v>
      </c>
      <c r="O78" s="18" t="n">
        <v>0</v>
      </c>
      <c r="P78" s="20" t="n">
        <v>0</v>
      </c>
      <c r="Q78" s="18" t="n">
        <v>0.99853668</v>
      </c>
      <c r="R78" s="20" t="n">
        <v>0.28909422</v>
      </c>
    </row>
    <row r="79" spans="1:18">
      <c r="A79" s="15" t="s">
        <v>639</v>
      </c>
      <c r="B79" s="17" t="n">
        <v>6062</v>
      </c>
      <c r="C79" s="18">
        <f>(5407.0/B79*100)</f>
        <v/>
      </c>
      <c r="D79" s="19" t="n">
        <v>655</v>
      </c>
      <c r="E79" s="18" t="n">
        <v>53.75880205</v>
      </c>
      <c r="F79" s="20" t="n">
        <v>2.12404631</v>
      </c>
      <c r="G79" s="18" t="n">
        <v>43.67329617</v>
      </c>
      <c r="H79" s="20" t="n">
        <v>1.9815682</v>
      </c>
      <c r="I79" s="18" t="n">
        <v>0</v>
      </c>
      <c r="J79" s="20" t="n">
        <v>0</v>
      </c>
      <c r="K79" s="18" t="n">
        <v>0.83527862</v>
      </c>
      <c r="L79" s="20" t="n">
        <v>0.34653624</v>
      </c>
      <c r="M79" s="18" t="n">
        <v>0</v>
      </c>
      <c r="N79" s="20" t="n">
        <v>0</v>
      </c>
      <c r="O79" s="18" t="n">
        <v>0</v>
      </c>
      <c r="P79" s="20" t="n">
        <v>0</v>
      </c>
      <c r="Q79" s="18" t="n">
        <v>1.73262316</v>
      </c>
      <c r="R79" s="20" t="n">
        <v>0.58707124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(28755.0/B82*100)</f>
        <v/>
      </c>
      <c r="D82" s="19" t="n">
        <v>3575</v>
      </c>
      <c r="E82" s="18" t="n">
        <v>24.66165894</v>
      </c>
      <c r="F82" s="20" t="n">
        <v>1.07363964</v>
      </c>
      <c r="G82" s="18" t="n">
        <v>74.59667265</v>
      </c>
      <c r="H82" s="20" t="n">
        <v>1.07518924</v>
      </c>
      <c r="I82" s="18" t="n">
        <v>0</v>
      </c>
      <c r="J82" s="20" t="n">
        <v>0</v>
      </c>
      <c r="K82" s="18" t="n">
        <v>0.26170443</v>
      </c>
      <c r="L82" s="20" t="n">
        <v>0.18905541</v>
      </c>
      <c r="M82" s="18" t="n">
        <v>0</v>
      </c>
      <c r="N82" s="20" t="n">
        <v>0</v>
      </c>
      <c r="O82" s="18" t="n">
        <v>0</v>
      </c>
      <c r="P82" s="20" t="n">
        <v>0</v>
      </c>
      <c r="Q82" s="18" t="n">
        <v>0.47996397</v>
      </c>
      <c r="R82" s="20" t="n">
        <v>0.17615038</v>
      </c>
    </row>
    <row r="83" spans="1:18">
      <c r="A83" s="15" t="s">
        <v>643</v>
      </c>
      <c r="B83" s="17" t="n">
        <v>1652</v>
      </c>
      <c r="C83" s="18">
        <f>(1433.0/B83*100)</f>
        <v/>
      </c>
      <c r="D83" s="19" t="n">
        <v>219</v>
      </c>
      <c r="E83" s="18" t="n">
        <v>28.65252572</v>
      </c>
      <c r="F83" s="20" t="n">
        <v>3.31226982</v>
      </c>
      <c r="G83" s="18" t="n">
        <v>71.34747428</v>
      </c>
      <c r="H83" s="20" t="n">
        <v>3.31226982</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(1636.0/B84*100)</f>
        <v/>
      </c>
      <c r="D84" s="19" t="n">
        <v>251</v>
      </c>
      <c r="E84" s="18" t="n">
        <v>38.22572385</v>
      </c>
      <c r="F84" s="20" t="n">
        <v>3.71091272</v>
      </c>
      <c r="G84" s="18" t="n">
        <v>61.77427615</v>
      </c>
      <c r="H84" s="20" t="n">
        <v>3.71091272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(12938.0/B7*100)</f>
        <v/>
      </c>
      <c r="D7" s="19" t="n">
        <v>1592</v>
      </c>
      <c r="E7" s="18" t="n">
        <v>52.37951711</v>
      </c>
      <c r="F7" s="20" t="n">
        <v>1.61885991</v>
      </c>
      <c r="G7" s="18" t="n">
        <v>46.85881122</v>
      </c>
      <c r="H7" s="20" t="n">
        <v>1.59253052</v>
      </c>
      <c r="I7" s="18" t="n">
        <v>0</v>
      </c>
      <c r="J7" s="20" t="n">
        <v>0</v>
      </c>
      <c r="K7" s="18" t="n">
        <v>0.35979768</v>
      </c>
      <c r="L7" s="20" t="n">
        <v>0.16292075</v>
      </c>
      <c r="M7" s="18" t="n">
        <v>0</v>
      </c>
      <c r="N7" s="20" t="n">
        <v>0</v>
      </c>
      <c r="O7" s="18" t="n">
        <v>0</v>
      </c>
      <c r="P7" s="20" t="n">
        <v>0</v>
      </c>
      <c r="Q7" s="18" t="n">
        <v>0.40187399</v>
      </c>
      <c r="R7" s="20" t="n">
        <v>0.16673383</v>
      </c>
    </row>
    <row r="8" spans="1:18">
      <c r="A8" s="15" t="s">
        <v>566</v>
      </c>
      <c r="B8" s="17" t="n">
        <v>7007</v>
      </c>
      <c r="C8" s="18">
        <f>(6223.0/B8*100)</f>
        <v/>
      </c>
      <c r="D8" s="19" t="n">
        <v>784</v>
      </c>
      <c r="E8" s="18" t="n">
        <v>37.58051097</v>
      </c>
      <c r="F8" s="20" t="n">
        <v>1.72984731</v>
      </c>
      <c r="G8" s="18" t="n">
        <v>61.01729509</v>
      </c>
      <c r="H8" s="20" t="n">
        <v>1.75819165</v>
      </c>
      <c r="I8" s="18" t="n">
        <v>0</v>
      </c>
      <c r="J8" s="20" t="n">
        <v>0</v>
      </c>
      <c r="K8" s="18" t="n">
        <v>0</v>
      </c>
      <c r="L8" s="20" t="n">
        <v>0</v>
      </c>
      <c r="M8" s="18" t="n">
        <v>0</v>
      </c>
      <c r="N8" s="20" t="n">
        <v>0</v>
      </c>
      <c r="O8" s="18" t="n">
        <v>0</v>
      </c>
      <c r="P8" s="20" t="n">
        <v>0</v>
      </c>
      <c r="Q8" s="18" t="n">
        <v>1.40219394</v>
      </c>
      <c r="R8" s="20" t="n">
        <v>0.49319382</v>
      </c>
    </row>
    <row r="9" spans="1:18">
      <c r="A9" s="15" t="s">
        <v>567</v>
      </c>
      <c r="B9" s="17" t="n">
        <v>9651</v>
      </c>
      <c r="C9" s="18">
        <f>(8590.0/B9*100)</f>
        <v/>
      </c>
      <c r="D9" s="19" t="n">
        <v>1061</v>
      </c>
      <c r="E9" s="18" t="n">
        <v>39.91221778</v>
      </c>
      <c r="F9" s="20" t="n">
        <v>1.85285602</v>
      </c>
      <c r="G9" s="18" t="n">
        <v>59.02904976</v>
      </c>
      <c r="H9" s="20" t="n">
        <v>1.82496398</v>
      </c>
      <c r="I9" s="18" t="n">
        <v>0</v>
      </c>
      <c r="J9" s="20" t="n">
        <v>0</v>
      </c>
      <c r="K9" s="18" t="n">
        <v>0.17368912</v>
      </c>
      <c r="L9" s="20" t="n">
        <v>0.11978989</v>
      </c>
      <c r="M9" s="18" t="n">
        <v>0</v>
      </c>
      <c r="N9" s="20" t="n">
        <v>0</v>
      </c>
      <c r="O9" s="18" t="n">
        <v>0</v>
      </c>
      <c r="P9" s="20" t="n">
        <v>0</v>
      </c>
      <c r="Q9" s="18" t="n">
        <v>0.88504333</v>
      </c>
      <c r="R9" s="20" t="n">
        <v>0.30592524</v>
      </c>
    </row>
    <row r="10" spans="1:18">
      <c r="A10" s="15" t="s">
        <v>568</v>
      </c>
      <c r="B10" s="17" t="n">
        <v>20058</v>
      </c>
      <c r="C10" s="18">
        <f>(17865.0/B10*100)</f>
        <v/>
      </c>
      <c r="D10" s="19" t="n">
        <v>2193</v>
      </c>
      <c r="E10" s="18" t="n">
        <v>54.00498447</v>
      </c>
      <c r="F10" s="20" t="n">
        <v>1.59050642</v>
      </c>
      <c r="G10" s="18" t="n">
        <v>45.54777759</v>
      </c>
      <c r="H10" s="20" t="n">
        <v>1.62820129</v>
      </c>
      <c r="I10" s="18" t="n">
        <v>0</v>
      </c>
      <c r="J10" s="20" t="n">
        <v>0</v>
      </c>
      <c r="K10" s="18" t="n">
        <v>0.03142305</v>
      </c>
      <c r="L10" s="20" t="n">
        <v>0.02214212</v>
      </c>
      <c r="M10" s="18" t="n">
        <v>0</v>
      </c>
      <c r="N10" s="20" t="n">
        <v>0</v>
      </c>
      <c r="O10" s="18" t="n">
        <v>0</v>
      </c>
      <c r="P10" s="20" t="n">
        <v>0</v>
      </c>
      <c r="Q10" s="18" t="n">
        <v>0.41581488</v>
      </c>
      <c r="R10" s="20" t="n">
        <v>0.22581764</v>
      </c>
    </row>
    <row r="11" spans="1:18">
      <c r="A11" s="15" t="s">
        <v>569</v>
      </c>
      <c r="B11" s="17" t="n">
        <v>7053</v>
      </c>
      <c r="C11" s="18">
        <f>(6266.0/B11*100)</f>
        <v/>
      </c>
      <c r="D11" s="19" t="n">
        <v>787</v>
      </c>
      <c r="E11" s="18" t="n">
        <v>59.18019631</v>
      </c>
      <c r="F11" s="20" t="n">
        <v>2.28594938</v>
      </c>
      <c r="G11" s="18" t="n">
        <v>37.92970781</v>
      </c>
      <c r="H11" s="20" t="n">
        <v>2.34267936</v>
      </c>
      <c r="I11" s="18" t="n">
        <v>0</v>
      </c>
      <c r="J11" s="20" t="n">
        <v>0</v>
      </c>
      <c r="K11" s="18" t="n">
        <v>0.77867157</v>
      </c>
      <c r="L11" s="20" t="n">
        <v>0.33142006</v>
      </c>
      <c r="M11" s="18" t="n">
        <v>0</v>
      </c>
      <c r="N11" s="20" t="n">
        <v>0</v>
      </c>
      <c r="O11" s="18" t="n">
        <v>0</v>
      </c>
      <c r="P11" s="20" t="n">
        <v>0</v>
      </c>
      <c r="Q11" s="18" t="n">
        <v>2.11142431</v>
      </c>
      <c r="R11" s="20" t="n">
        <v>0.57478415</v>
      </c>
    </row>
    <row r="12" spans="1:18">
      <c r="A12" s="15" t="s">
        <v>570</v>
      </c>
      <c r="B12" s="17" t="n">
        <v>6894</v>
      </c>
      <c r="C12" s="18">
        <f>(6096.0/B12*100)</f>
        <v/>
      </c>
      <c r="D12" s="19" t="n">
        <v>798</v>
      </c>
      <c r="E12" s="18" t="n">
        <v>38.36889075</v>
      </c>
      <c r="F12" s="20" t="n">
        <v>2.08510803</v>
      </c>
      <c r="G12" s="18" t="n">
        <v>60.1848727</v>
      </c>
      <c r="H12" s="20" t="n">
        <v>2.08667994</v>
      </c>
      <c r="I12" s="18" t="n">
        <v>0</v>
      </c>
      <c r="J12" s="20" t="n">
        <v>0</v>
      </c>
      <c r="K12" s="18" t="n">
        <v>0.14368187</v>
      </c>
      <c r="L12" s="20" t="n">
        <v>0.1523887</v>
      </c>
      <c r="M12" s="18" t="n">
        <v>0</v>
      </c>
      <c r="N12" s="20" t="n">
        <v>0</v>
      </c>
      <c r="O12" s="18" t="n">
        <v>0</v>
      </c>
      <c r="P12" s="20" t="n">
        <v>0</v>
      </c>
      <c r="Q12" s="18" t="n">
        <v>1.30255468</v>
      </c>
      <c r="R12" s="20" t="n">
        <v>0.49418588</v>
      </c>
    </row>
    <row r="13" spans="1:18">
      <c r="A13" s="15" t="s">
        <v>571</v>
      </c>
      <c r="B13" s="17" t="n">
        <v>7161</v>
      </c>
      <c r="C13" s="18">
        <f>(6406.0/B13*100)</f>
        <v/>
      </c>
      <c r="D13" s="19" t="n">
        <v>755</v>
      </c>
      <c r="E13" s="18" t="n">
        <v>35.48228545</v>
      </c>
      <c r="F13" s="20" t="n">
        <v>2.41038849</v>
      </c>
      <c r="G13" s="18" t="n">
        <v>64.05930695000001</v>
      </c>
      <c r="H13" s="20" t="n">
        <v>2.43486724</v>
      </c>
      <c r="I13" s="18" t="n">
        <v>0</v>
      </c>
      <c r="J13" s="20" t="n">
        <v>0</v>
      </c>
      <c r="K13" s="18" t="n">
        <v>0.19770847</v>
      </c>
      <c r="L13" s="20" t="n">
        <v>0.10641353</v>
      </c>
      <c r="M13" s="18" t="n">
        <v>0</v>
      </c>
      <c r="N13" s="20" t="n">
        <v>0</v>
      </c>
      <c r="O13" s="18" t="n">
        <v>0</v>
      </c>
      <c r="P13" s="20" t="n">
        <v>0</v>
      </c>
      <c r="Q13" s="18" t="n">
        <v>0.26069913</v>
      </c>
      <c r="R13" s="20" t="n">
        <v>0.19355551</v>
      </c>
    </row>
    <row r="14" spans="1:18">
      <c r="A14" s="15" t="s">
        <v>572</v>
      </c>
      <c r="B14" s="17" t="n">
        <v>5587</v>
      </c>
      <c r="C14" s="18">
        <f>(4970.0/B14*100)</f>
        <v/>
      </c>
      <c r="D14" s="19" t="n">
        <v>617</v>
      </c>
      <c r="E14" s="18" t="n">
        <v>36.2832546</v>
      </c>
      <c r="F14" s="20" t="n">
        <v>2.14450402</v>
      </c>
      <c r="G14" s="18" t="n">
        <v>63.15638648</v>
      </c>
      <c r="H14" s="20" t="n">
        <v>2.18188546</v>
      </c>
      <c r="I14" s="18" t="n">
        <v>0</v>
      </c>
      <c r="J14" s="20" t="n">
        <v>0</v>
      </c>
      <c r="K14" s="18" t="n">
        <v>0</v>
      </c>
      <c r="L14" s="20" t="n">
        <v>0</v>
      </c>
      <c r="M14" s="18" t="n">
        <v>0</v>
      </c>
      <c r="N14" s="20" t="n">
        <v>0</v>
      </c>
      <c r="O14" s="18" t="n">
        <v>0</v>
      </c>
      <c r="P14" s="20" t="n">
        <v>0</v>
      </c>
      <c r="Q14" s="18" t="n">
        <v>0.56035892</v>
      </c>
      <c r="R14" s="20" t="n">
        <v>0.46286133</v>
      </c>
    </row>
    <row r="15" spans="1:18">
      <c r="A15" s="15" t="s">
        <v>573</v>
      </c>
      <c r="B15" s="17" t="n">
        <v>5882</v>
      </c>
      <c r="C15" s="18">
        <f>(5223.0/B15*100)</f>
        <v/>
      </c>
      <c r="D15" s="19" t="n">
        <v>659</v>
      </c>
      <c r="E15" s="18" t="n">
        <v>30.50335548</v>
      </c>
      <c r="F15" s="20" t="n">
        <v>1.77238651</v>
      </c>
      <c r="G15" s="18" t="n">
        <v>69.22902189</v>
      </c>
      <c r="H15" s="20" t="n">
        <v>1.73073645</v>
      </c>
      <c r="I15" s="18" t="n">
        <v>0</v>
      </c>
      <c r="J15" s="20" t="n">
        <v>0</v>
      </c>
      <c r="K15" s="18" t="n">
        <v>0.12195691</v>
      </c>
      <c r="L15" s="20" t="n">
        <v>0.12129193</v>
      </c>
      <c r="M15" s="18" t="n">
        <v>0</v>
      </c>
      <c r="N15" s="20" t="n">
        <v>0</v>
      </c>
      <c r="O15" s="18" t="n">
        <v>0</v>
      </c>
      <c r="P15" s="20" t="n">
        <v>0</v>
      </c>
      <c r="Q15" s="18" t="n">
        <v>0.14566573</v>
      </c>
      <c r="R15" s="20" t="n">
        <v>0.14626377</v>
      </c>
    </row>
    <row r="16" spans="1:18">
      <c r="A16" s="15" t="s">
        <v>574</v>
      </c>
      <c r="B16" s="17" t="n">
        <v>6108</v>
      </c>
      <c r="C16" s="18">
        <f>(5435.0/B16*100)</f>
        <v/>
      </c>
      <c r="D16" s="19" t="n">
        <v>673</v>
      </c>
      <c r="E16" s="18" t="n">
        <v>41.77534737</v>
      </c>
      <c r="F16" s="20" t="n">
        <v>1.7788472</v>
      </c>
      <c r="G16" s="18" t="n">
        <v>55.90453397</v>
      </c>
      <c r="H16" s="20" t="n">
        <v>1.81038864</v>
      </c>
      <c r="I16" s="18" t="n">
        <v>0</v>
      </c>
      <c r="J16" s="20" t="n">
        <v>0</v>
      </c>
      <c r="K16" s="18" t="n">
        <v>0.7943405</v>
      </c>
      <c r="L16" s="20" t="n">
        <v>0.52375973</v>
      </c>
      <c r="M16" s="18" t="n">
        <v>0</v>
      </c>
      <c r="N16" s="20" t="n">
        <v>0</v>
      </c>
      <c r="O16" s="18" t="n">
        <v>0</v>
      </c>
      <c r="P16" s="20" t="n">
        <v>0</v>
      </c>
      <c r="Q16" s="18" t="n">
        <v>1.52577817</v>
      </c>
      <c r="R16" s="20" t="n">
        <v>0.5681436600000001</v>
      </c>
    </row>
    <row r="17" spans="1:18">
      <c r="A17" s="15" t="s">
        <v>575</v>
      </c>
      <c r="B17" s="17" t="n">
        <v>6504</v>
      </c>
      <c r="C17" s="18">
        <f>(5768.0/B17*100)</f>
        <v/>
      </c>
      <c r="D17" s="19" t="n">
        <v>736</v>
      </c>
      <c r="E17" s="18" t="n">
        <v>38.77992848</v>
      </c>
      <c r="F17" s="20" t="n">
        <v>1.79087153</v>
      </c>
      <c r="G17" s="18" t="n">
        <v>58.96512582</v>
      </c>
      <c r="H17" s="20" t="n">
        <v>1.88059216</v>
      </c>
      <c r="I17" s="18" t="n">
        <v>0</v>
      </c>
      <c r="J17" s="20" t="n">
        <v>0</v>
      </c>
      <c r="K17" s="18" t="n">
        <v>1.33015706</v>
      </c>
      <c r="L17" s="20" t="n">
        <v>0.51222322</v>
      </c>
      <c r="M17" s="18" t="n">
        <v>0</v>
      </c>
      <c r="N17" s="20" t="n">
        <v>0</v>
      </c>
      <c r="O17" s="18" t="n">
        <v>0</v>
      </c>
      <c r="P17" s="20" t="n">
        <v>0</v>
      </c>
      <c r="Q17" s="18" t="n">
        <v>0.9247886400000001</v>
      </c>
      <c r="R17" s="20" t="n">
        <v>0.35245638</v>
      </c>
    </row>
    <row r="18" spans="1:18">
      <c r="A18" s="15" t="s">
        <v>576</v>
      </c>
      <c r="B18" s="17" t="n">
        <v>5532</v>
      </c>
      <c r="C18" s="18">
        <f>(4912.0/B18*100)</f>
        <v/>
      </c>
      <c r="D18" s="19" t="n">
        <v>620</v>
      </c>
      <c r="E18" s="18" t="n">
        <v>55.73888763</v>
      </c>
      <c r="F18" s="20" t="n">
        <v>2.32798275</v>
      </c>
      <c r="G18" s="18" t="n">
        <v>42.09531557</v>
      </c>
      <c r="H18" s="20" t="n">
        <v>2.23542954</v>
      </c>
      <c r="I18" s="18" t="n">
        <v>0</v>
      </c>
      <c r="J18" s="20" t="n">
        <v>0</v>
      </c>
      <c r="K18" s="18" t="n">
        <v>0.52822086</v>
      </c>
      <c r="L18" s="20" t="n">
        <v>0.28863489</v>
      </c>
      <c r="M18" s="18" t="n">
        <v>0</v>
      </c>
      <c r="N18" s="20" t="n">
        <v>0</v>
      </c>
      <c r="O18" s="18" t="n">
        <v>0</v>
      </c>
      <c r="P18" s="20" t="n">
        <v>0</v>
      </c>
      <c r="Q18" s="18" t="n">
        <v>1.63757594</v>
      </c>
      <c r="R18" s="20" t="n">
        <v>0.56718673</v>
      </c>
    </row>
    <row r="19" spans="1:18">
      <c r="A19" s="15" t="s">
        <v>577</v>
      </c>
      <c r="B19" s="17" t="n">
        <v>5658</v>
      </c>
      <c r="C19" s="18">
        <f>(5021.0/B19*100)</f>
        <v/>
      </c>
      <c r="D19" s="19" t="n">
        <v>637</v>
      </c>
      <c r="E19" s="18" t="n">
        <v>44.34510588</v>
      </c>
      <c r="F19" s="20" t="n">
        <v>2.27855413</v>
      </c>
      <c r="G19" s="18" t="n">
        <v>55.22637236</v>
      </c>
      <c r="H19" s="20" t="n">
        <v>2.26499861</v>
      </c>
      <c r="I19" s="18" t="n">
        <v>0</v>
      </c>
      <c r="J19" s="20" t="n">
        <v>0</v>
      </c>
      <c r="K19" s="18" t="n">
        <v>0</v>
      </c>
      <c r="L19" s="20" t="n">
        <v>0</v>
      </c>
      <c r="M19" s="18" t="n">
        <v>0</v>
      </c>
      <c r="N19" s="20" t="n">
        <v>0</v>
      </c>
      <c r="O19" s="18" t="n">
        <v>0</v>
      </c>
      <c r="P19" s="20" t="n">
        <v>0</v>
      </c>
      <c r="Q19" s="18" t="n">
        <v>0.42852176</v>
      </c>
      <c r="R19" s="20" t="n">
        <v>0.30745133</v>
      </c>
    </row>
    <row r="20" spans="1:18">
      <c r="A20" s="15" t="s">
        <v>578</v>
      </c>
      <c r="B20" s="17" t="n">
        <v>3371</v>
      </c>
      <c r="C20" s="18">
        <f>(3006.0/B20*100)</f>
        <v/>
      </c>
      <c r="D20" s="19" t="n">
        <v>365</v>
      </c>
      <c r="E20" s="18" t="n">
        <v>38.07873242</v>
      </c>
      <c r="F20" s="20" t="n">
        <v>2.65386041</v>
      </c>
      <c r="G20" s="18" t="n">
        <v>61.3888862</v>
      </c>
      <c r="H20" s="20" t="n">
        <v>2.60630966</v>
      </c>
      <c r="I20" s="18" t="n">
        <v>0</v>
      </c>
      <c r="J20" s="20" t="n">
        <v>0</v>
      </c>
      <c r="K20" s="18" t="n">
        <v>0.23326121</v>
      </c>
      <c r="L20" s="20" t="n">
        <v>0.23344472</v>
      </c>
      <c r="M20" s="18" t="n">
        <v>0</v>
      </c>
      <c r="N20" s="20" t="n">
        <v>0</v>
      </c>
      <c r="O20" s="18" t="n">
        <v>0</v>
      </c>
      <c r="P20" s="20" t="n">
        <v>0</v>
      </c>
      <c r="Q20" s="18" t="n">
        <v>0.29912017</v>
      </c>
      <c r="R20" s="20" t="n">
        <v>0.30382769</v>
      </c>
    </row>
    <row r="21" spans="1:18">
      <c r="A21" s="15" t="s">
        <v>579</v>
      </c>
      <c r="B21" s="17" t="n">
        <v>5741</v>
      </c>
      <c r="C21" s="18">
        <f>(5106.0/B21*100)</f>
        <v/>
      </c>
      <c r="D21" s="19" t="n">
        <v>635</v>
      </c>
      <c r="E21" s="18" t="n">
        <v>53.98185182</v>
      </c>
      <c r="F21" s="20" t="n">
        <v>2.02589233</v>
      </c>
      <c r="G21" s="18" t="n">
        <v>45.41948724</v>
      </c>
      <c r="H21" s="20" t="n">
        <v>2.01886512</v>
      </c>
      <c r="I21" s="18" t="n">
        <v>0</v>
      </c>
      <c r="J21" s="20" t="n">
        <v>0</v>
      </c>
      <c r="K21" s="18" t="n">
        <v>0</v>
      </c>
      <c r="L21" s="20" t="n">
        <v>0</v>
      </c>
      <c r="M21" s="18" t="n">
        <v>0</v>
      </c>
      <c r="N21" s="20" t="n">
        <v>0</v>
      </c>
      <c r="O21" s="18" t="n">
        <v>0</v>
      </c>
      <c r="P21" s="20" t="n">
        <v>0</v>
      </c>
      <c r="Q21" s="18" t="n">
        <v>0.59866094</v>
      </c>
      <c r="R21" s="20" t="n">
        <v>0.27989844</v>
      </c>
    </row>
    <row r="22" spans="1:18">
      <c r="A22" s="15" t="s">
        <v>580</v>
      </c>
      <c r="B22" s="17" t="n">
        <v>6598</v>
      </c>
      <c r="C22" s="18">
        <f>(5869.0/B22*100)</f>
        <v/>
      </c>
      <c r="D22" s="19" t="n">
        <v>729</v>
      </c>
      <c r="E22" s="18" t="n">
        <v>52.4520882</v>
      </c>
      <c r="F22" s="20" t="n">
        <v>2.36476497</v>
      </c>
      <c r="G22" s="18" t="n">
        <v>46.16366082</v>
      </c>
      <c r="H22" s="20" t="n">
        <v>2.3130909</v>
      </c>
      <c r="I22" s="18" t="n">
        <v>0</v>
      </c>
      <c r="J22" s="20" t="n">
        <v>0</v>
      </c>
      <c r="K22" s="18" t="n">
        <v>0</v>
      </c>
      <c r="L22" s="20" t="n">
        <v>0</v>
      </c>
      <c r="M22" s="18" t="n">
        <v>0</v>
      </c>
      <c r="N22" s="20" t="n">
        <v>0</v>
      </c>
      <c r="O22" s="18" t="n">
        <v>0</v>
      </c>
      <c r="P22" s="20" t="n">
        <v>0</v>
      </c>
      <c r="Q22" s="18" t="n">
        <v>1.38425098</v>
      </c>
      <c r="R22" s="20" t="n">
        <v>0.37633775</v>
      </c>
    </row>
    <row r="23" spans="1:18">
      <c r="A23" s="15" t="s">
        <v>581</v>
      </c>
      <c r="B23" s="17" t="n">
        <v>11583</v>
      </c>
      <c r="C23" s="18">
        <f>(10329.0/B23*100)</f>
        <v/>
      </c>
      <c r="D23" s="19" t="n">
        <v>1254</v>
      </c>
      <c r="E23" s="18" t="n">
        <v>43.8835747</v>
      </c>
      <c r="F23" s="20" t="n">
        <v>1.96713069</v>
      </c>
      <c r="G23" s="18" t="n">
        <v>55.03937944</v>
      </c>
      <c r="H23" s="20" t="n">
        <v>1.91598688</v>
      </c>
      <c r="I23" s="18" t="n">
        <v>0</v>
      </c>
      <c r="J23" s="20" t="n">
        <v>0</v>
      </c>
      <c r="K23" s="18" t="n">
        <v>0.47463727</v>
      </c>
      <c r="L23" s="20" t="n">
        <v>0.27583727</v>
      </c>
      <c r="M23" s="18" t="n">
        <v>0</v>
      </c>
      <c r="N23" s="20" t="n">
        <v>0</v>
      </c>
      <c r="O23" s="18" t="n">
        <v>0</v>
      </c>
      <c r="P23" s="20" t="n">
        <v>0</v>
      </c>
      <c r="Q23" s="18" t="n">
        <v>0.60240859</v>
      </c>
      <c r="R23" s="20" t="n">
        <v>0.2963599</v>
      </c>
    </row>
    <row r="24" spans="1:18">
      <c r="A24" s="15" t="s">
        <v>582</v>
      </c>
      <c r="B24" s="17" t="n">
        <v>6647</v>
      </c>
      <c r="C24" s="18">
        <f>(5884.0/B24*100)</f>
        <v/>
      </c>
      <c r="D24" s="19" t="n">
        <v>763</v>
      </c>
      <c r="E24" s="18" t="n">
        <v>43.66154513</v>
      </c>
      <c r="F24" s="20" t="n">
        <v>1.6558447</v>
      </c>
      <c r="G24" s="18" t="n">
        <v>55.95028023</v>
      </c>
      <c r="H24" s="20" t="n">
        <v>1.64672637</v>
      </c>
      <c r="I24" s="18" t="n">
        <v>0</v>
      </c>
      <c r="J24" s="20" t="n">
        <v>0</v>
      </c>
      <c r="K24" s="18" t="n">
        <v>0.38817464</v>
      </c>
      <c r="L24" s="20" t="n">
        <v>0.22785115</v>
      </c>
      <c r="M24" s="18" t="n">
        <v>0</v>
      </c>
      <c r="N24" s="20" t="n">
        <v>0</v>
      </c>
      <c r="O24" s="18" t="n">
        <v>0</v>
      </c>
      <c r="P24" s="20" t="n">
        <v>0</v>
      </c>
      <c r="Q24" s="18" t="n">
        <v>0</v>
      </c>
      <c r="R24" s="20" t="n">
        <v>0</v>
      </c>
    </row>
    <row r="25" spans="1:18">
      <c r="A25" s="15" t="s">
        <v>583</v>
      </c>
      <c r="B25" s="17" t="n">
        <v>5581</v>
      </c>
      <c r="C25" s="18">
        <f>(4962.0/B25*100)</f>
        <v/>
      </c>
      <c r="D25" s="19" t="n">
        <v>619</v>
      </c>
      <c r="E25" s="18" t="n">
        <v>48.45693278</v>
      </c>
      <c r="F25" s="20" t="n">
        <v>2.41212348</v>
      </c>
      <c r="G25" s="18" t="n">
        <v>51.23639269</v>
      </c>
      <c r="H25" s="20" t="n">
        <v>2.36547582</v>
      </c>
      <c r="I25" s="18" t="n">
        <v>0</v>
      </c>
      <c r="J25" s="20" t="n">
        <v>0</v>
      </c>
      <c r="K25" s="18" t="n">
        <v>0</v>
      </c>
      <c r="L25" s="20" t="n">
        <v>0</v>
      </c>
      <c r="M25" s="18" t="n">
        <v>0</v>
      </c>
      <c r="N25" s="20" t="n">
        <v>0</v>
      </c>
      <c r="O25" s="18" t="n">
        <v>0</v>
      </c>
      <c r="P25" s="20" t="n">
        <v>0</v>
      </c>
      <c r="Q25" s="18" t="n">
        <v>0.30667453</v>
      </c>
      <c r="R25" s="20" t="n">
        <v>0.21886742</v>
      </c>
    </row>
    <row r="26" spans="1:18">
      <c r="A26" s="15" t="s">
        <v>584</v>
      </c>
      <c r="B26" s="17" t="n">
        <v>4869</v>
      </c>
      <c r="C26" s="18">
        <f>(4335.0/B26*100)</f>
        <v/>
      </c>
      <c r="D26" s="19" t="n">
        <v>534</v>
      </c>
      <c r="E26" s="18" t="n">
        <v>46.39353527</v>
      </c>
      <c r="F26" s="20" t="n">
        <v>2.31493413</v>
      </c>
      <c r="G26" s="18" t="n">
        <v>52.94321132</v>
      </c>
      <c r="H26" s="20" t="n">
        <v>2.28898971</v>
      </c>
      <c r="I26" s="18" t="n">
        <v>0</v>
      </c>
      <c r="J26" s="20" t="n">
        <v>0</v>
      </c>
      <c r="K26" s="18" t="n">
        <v>0.12785237</v>
      </c>
      <c r="L26" s="20" t="n">
        <v>0.12704412</v>
      </c>
      <c r="M26" s="18" t="n">
        <v>0</v>
      </c>
      <c r="N26" s="20" t="n">
        <v>0</v>
      </c>
      <c r="O26" s="18" t="n">
        <v>0</v>
      </c>
      <c r="P26" s="20" t="n">
        <v>0</v>
      </c>
      <c r="Q26" s="18" t="n">
        <v>0.53540104</v>
      </c>
      <c r="R26" s="20" t="n">
        <v>0.30511463</v>
      </c>
    </row>
    <row r="27" spans="1:18">
      <c r="A27" s="15" t="s">
        <v>585</v>
      </c>
      <c r="B27" s="17" t="n">
        <v>5299</v>
      </c>
      <c r="C27" s="18">
        <f>(4743.0/B27*100)</f>
        <v/>
      </c>
      <c r="D27" s="19" t="n">
        <v>556</v>
      </c>
      <c r="E27" s="18" t="n">
        <v>48.8629441</v>
      </c>
      <c r="F27" s="20" t="n">
        <v>2.03610695</v>
      </c>
      <c r="G27" s="18" t="n">
        <v>49.68049729</v>
      </c>
      <c r="H27" s="20" t="n">
        <v>2.06148753</v>
      </c>
      <c r="I27" s="18" t="n">
        <v>0</v>
      </c>
      <c r="J27" s="20" t="n">
        <v>0</v>
      </c>
      <c r="K27" s="18" t="n">
        <v>0.36927794</v>
      </c>
      <c r="L27" s="20" t="n">
        <v>0.26076885</v>
      </c>
      <c r="M27" s="18" t="n">
        <v>0</v>
      </c>
      <c r="N27" s="20" t="n">
        <v>0</v>
      </c>
      <c r="O27" s="18" t="n">
        <v>0</v>
      </c>
      <c r="P27" s="20" t="n">
        <v>0</v>
      </c>
      <c r="Q27" s="18" t="n">
        <v>1.08728066</v>
      </c>
      <c r="R27" s="20" t="n">
        <v>0.44080735</v>
      </c>
    </row>
    <row r="28" spans="1:18">
      <c r="A28" s="15" t="s">
        <v>586</v>
      </c>
      <c r="B28" s="17" t="n">
        <v>7568</v>
      </c>
      <c r="C28" s="18">
        <f>(6781.0/B28*100)</f>
        <v/>
      </c>
      <c r="D28" s="19" t="n">
        <v>787</v>
      </c>
      <c r="E28" s="18" t="n">
        <v>70.27821505999999</v>
      </c>
      <c r="F28" s="20" t="n">
        <v>2.07897495</v>
      </c>
      <c r="G28" s="18" t="n">
        <v>28.24481069</v>
      </c>
      <c r="H28" s="20" t="n">
        <v>1.94550941</v>
      </c>
      <c r="I28" s="18" t="n">
        <v>0</v>
      </c>
      <c r="J28" s="20" t="n">
        <v>0</v>
      </c>
      <c r="K28" s="18" t="n">
        <v>0.79096831</v>
      </c>
      <c r="L28" s="20" t="n">
        <v>0.40640299</v>
      </c>
      <c r="M28" s="18" t="n">
        <v>0</v>
      </c>
      <c r="N28" s="20" t="n">
        <v>0</v>
      </c>
      <c r="O28" s="18" t="n">
        <v>0</v>
      </c>
      <c r="P28" s="20" t="n">
        <v>0</v>
      </c>
      <c r="Q28" s="18" t="n">
        <v>0.68600594</v>
      </c>
      <c r="R28" s="20" t="n">
        <v>0.34221313</v>
      </c>
    </row>
    <row r="29" spans="1:18">
      <c r="A29" s="15" t="s">
        <v>587</v>
      </c>
      <c r="B29" s="17" t="n">
        <v>5385</v>
      </c>
      <c r="C29" s="18">
        <f>(4788.0/B29*100)</f>
        <v/>
      </c>
      <c r="D29" s="19" t="n">
        <v>597</v>
      </c>
      <c r="E29" s="18" t="n">
        <v>39.64719955</v>
      </c>
      <c r="F29" s="20" t="n">
        <v>1.80094565</v>
      </c>
      <c r="G29" s="18" t="n">
        <v>60.35280045</v>
      </c>
      <c r="H29" s="20" t="n">
        <v>1.80094565</v>
      </c>
      <c r="I29" s="18" t="n">
        <v>0</v>
      </c>
      <c r="J29" s="20" t="n">
        <v>0</v>
      </c>
      <c r="K29" s="18" t="n">
        <v>0</v>
      </c>
      <c r="L29" s="20" t="n">
        <v>0</v>
      </c>
      <c r="M29" s="18" t="n">
        <v>0</v>
      </c>
      <c r="N29" s="20" t="n">
        <v>0</v>
      </c>
      <c r="O29" s="18" t="n">
        <v>0</v>
      </c>
      <c r="P29" s="20" t="n">
        <v>0</v>
      </c>
      <c r="Q29" s="18" t="n">
        <v>0</v>
      </c>
      <c r="R29" s="20" t="n">
        <v>0</v>
      </c>
    </row>
    <row r="30" spans="1:18">
      <c r="A30" s="15" t="s">
        <v>588</v>
      </c>
      <c r="B30" s="17" t="n">
        <v>4520</v>
      </c>
      <c r="C30" s="18">
        <f>(4033.0/B30*100)</f>
        <v/>
      </c>
      <c r="D30" s="19" t="n">
        <v>487</v>
      </c>
      <c r="E30" s="18" t="n">
        <v>53.96336848</v>
      </c>
      <c r="F30" s="20" t="n">
        <v>2.46505871</v>
      </c>
      <c r="G30" s="18" t="n">
        <v>44.99088367</v>
      </c>
      <c r="H30" s="20" t="n">
        <v>2.40145606</v>
      </c>
      <c r="I30" s="18" t="n">
        <v>0</v>
      </c>
      <c r="J30" s="20" t="n">
        <v>0</v>
      </c>
      <c r="K30" s="18" t="n">
        <v>0.211561</v>
      </c>
      <c r="L30" s="20" t="n">
        <v>0.20380536</v>
      </c>
      <c r="M30" s="18" t="n">
        <v>0</v>
      </c>
      <c r="N30" s="20" t="n">
        <v>0</v>
      </c>
      <c r="O30" s="18" t="n">
        <v>0</v>
      </c>
      <c r="P30" s="20" t="n">
        <v>0</v>
      </c>
      <c r="Q30" s="18" t="n">
        <v>0.83418685</v>
      </c>
      <c r="R30" s="20" t="n">
        <v>0.46376071</v>
      </c>
    </row>
    <row r="31" spans="1:18">
      <c r="A31" s="15" t="s">
        <v>589</v>
      </c>
      <c r="B31" s="17" t="n">
        <v>5456</v>
      </c>
      <c r="C31" s="18">
        <f>(4877.0/B31*100)</f>
        <v/>
      </c>
      <c r="D31" s="19" t="n">
        <v>579</v>
      </c>
      <c r="E31" s="18" t="n">
        <v>40.79144864</v>
      </c>
      <c r="F31" s="20" t="n">
        <v>2.04769074</v>
      </c>
      <c r="G31" s="18" t="n">
        <v>58.20259728</v>
      </c>
      <c r="H31" s="20" t="n">
        <v>2.00872711</v>
      </c>
      <c r="I31" s="18" t="n">
        <v>0</v>
      </c>
      <c r="J31" s="20" t="n">
        <v>0</v>
      </c>
      <c r="K31" s="18" t="n">
        <v>0.3417294</v>
      </c>
      <c r="L31" s="20" t="n">
        <v>0.24402192</v>
      </c>
      <c r="M31" s="18" t="n">
        <v>0</v>
      </c>
      <c r="N31" s="20" t="n">
        <v>0</v>
      </c>
      <c r="O31" s="18" t="n">
        <v>0</v>
      </c>
      <c r="P31" s="20" t="n">
        <v>0</v>
      </c>
      <c r="Q31" s="18" t="n">
        <v>0.66422468</v>
      </c>
      <c r="R31" s="20" t="n">
        <v>0.3438624</v>
      </c>
    </row>
    <row r="32" spans="1:18">
      <c r="A32" s="15" t="s">
        <v>590</v>
      </c>
      <c r="B32" s="17" t="n">
        <v>4478</v>
      </c>
      <c r="C32" s="18">
        <f>(3984.0/B32*100)</f>
        <v/>
      </c>
      <c r="D32" s="19" t="n">
        <v>494</v>
      </c>
      <c r="E32" s="18" t="n">
        <v>49.57909999</v>
      </c>
      <c r="F32" s="20" t="n">
        <v>2.53319615</v>
      </c>
      <c r="G32" s="18" t="n">
        <v>50.42090001</v>
      </c>
      <c r="H32" s="20" t="n">
        <v>2.53319615</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(6541.0/B33*100)</f>
        <v/>
      </c>
      <c r="D33" s="19" t="n">
        <v>784</v>
      </c>
      <c r="E33" s="18" t="n">
        <v>50.73645247</v>
      </c>
      <c r="F33" s="20" t="n">
        <v>2.39099695</v>
      </c>
      <c r="G33" s="18" t="n">
        <v>49.04560931</v>
      </c>
      <c r="H33" s="20" t="n">
        <v>2.42619719</v>
      </c>
      <c r="I33" s="18" t="n">
        <v>0</v>
      </c>
      <c r="J33" s="20" t="n">
        <v>0</v>
      </c>
      <c r="K33" s="18" t="n">
        <v>0.20370822</v>
      </c>
      <c r="L33" s="20" t="n">
        <v>0.19191193</v>
      </c>
      <c r="M33" s="18" t="n">
        <v>0</v>
      </c>
      <c r="N33" s="20" t="n">
        <v>0</v>
      </c>
      <c r="O33" s="18" t="n">
        <v>0</v>
      </c>
      <c r="P33" s="20" t="n">
        <v>0</v>
      </c>
      <c r="Q33" s="18" t="n">
        <v>0.01423</v>
      </c>
      <c r="R33" s="20" t="n">
        <v>0.01431827</v>
      </c>
    </row>
    <row r="34" spans="1:18">
      <c r="A34" s="15" t="s">
        <v>592</v>
      </c>
      <c r="B34" s="17" t="n">
        <v>6350</v>
      </c>
      <c r="C34" s="18">
        <f>(5659.0/B34*100)</f>
        <v/>
      </c>
      <c r="D34" s="19" t="n">
        <v>691</v>
      </c>
      <c r="E34" s="18" t="n">
        <v>44.5619767</v>
      </c>
      <c r="F34" s="20" t="n">
        <v>2.03404613</v>
      </c>
      <c r="G34" s="18" t="n">
        <v>54.59791198</v>
      </c>
      <c r="H34" s="20" t="n">
        <v>2.01229186</v>
      </c>
      <c r="I34" s="18" t="n">
        <v>0</v>
      </c>
      <c r="J34" s="20" t="n">
        <v>0</v>
      </c>
      <c r="K34" s="18" t="n">
        <v>0.32298535</v>
      </c>
      <c r="L34" s="20" t="n">
        <v>0.22509031</v>
      </c>
      <c r="M34" s="18" t="n">
        <v>0</v>
      </c>
      <c r="N34" s="20" t="n">
        <v>0</v>
      </c>
      <c r="O34" s="18" t="n">
        <v>0</v>
      </c>
      <c r="P34" s="20" t="n">
        <v>0</v>
      </c>
      <c r="Q34" s="18" t="n">
        <v>0.51712596</v>
      </c>
      <c r="R34" s="20" t="n">
        <v>0.2992744</v>
      </c>
    </row>
    <row r="35" spans="1:18">
      <c r="A35" s="15" t="s">
        <v>593</v>
      </c>
      <c r="B35" s="17" t="n">
        <v>6406</v>
      </c>
      <c r="C35" s="18">
        <f>(5690.0/B35*100)</f>
        <v/>
      </c>
      <c r="D35" s="19" t="n">
        <v>716</v>
      </c>
      <c r="E35" s="18" t="n">
        <v>35.96626316</v>
      </c>
      <c r="F35" s="20" t="n">
        <v>2.19697608</v>
      </c>
      <c r="G35" s="18" t="n">
        <v>63.75571089</v>
      </c>
      <c r="H35" s="20" t="n">
        <v>2.1740282</v>
      </c>
      <c r="I35" s="18" t="n">
        <v>0</v>
      </c>
      <c r="J35" s="20" t="n">
        <v>0</v>
      </c>
      <c r="K35" s="18" t="n">
        <v>0.08035738000000001</v>
      </c>
      <c r="L35" s="20" t="n">
        <v>0.08062585</v>
      </c>
      <c r="M35" s="18" t="n">
        <v>0</v>
      </c>
      <c r="N35" s="20" t="n">
        <v>0</v>
      </c>
      <c r="O35" s="18" t="n">
        <v>0</v>
      </c>
      <c r="P35" s="20" t="n">
        <v>0</v>
      </c>
      <c r="Q35" s="18" t="n">
        <v>0.19766857</v>
      </c>
      <c r="R35" s="20" t="n">
        <v>0.14180017</v>
      </c>
    </row>
    <row r="36" spans="1:18">
      <c r="A36" s="15" t="s">
        <v>594</v>
      </c>
      <c r="B36" s="17" t="n">
        <v>6736</v>
      </c>
      <c r="C36" s="18">
        <f>(6037.0/B36*100)</f>
        <v/>
      </c>
      <c r="D36" s="19" t="n">
        <v>699</v>
      </c>
      <c r="E36" s="18" t="n">
        <v>47.69948209</v>
      </c>
      <c r="F36" s="20" t="n">
        <v>1.80420975</v>
      </c>
      <c r="G36" s="18" t="n">
        <v>51.16858429</v>
      </c>
      <c r="H36" s="20" t="n">
        <v>1.77001166</v>
      </c>
      <c r="I36" s="18" t="n">
        <v>0</v>
      </c>
      <c r="J36" s="20" t="n">
        <v>0</v>
      </c>
      <c r="K36" s="18" t="n">
        <v>0.43487972</v>
      </c>
      <c r="L36" s="20" t="n">
        <v>0.34169777</v>
      </c>
      <c r="M36" s="18" t="n">
        <v>0</v>
      </c>
      <c r="N36" s="20" t="n">
        <v>0</v>
      </c>
      <c r="O36" s="18" t="n">
        <v>0</v>
      </c>
      <c r="P36" s="20" t="n">
        <v>0</v>
      </c>
      <c r="Q36" s="18" t="n">
        <v>0.6970539100000001</v>
      </c>
      <c r="R36" s="20" t="n">
        <v>0.22976672</v>
      </c>
    </row>
    <row r="37" spans="1:18">
      <c r="A37" s="15" t="s">
        <v>595</v>
      </c>
      <c r="B37" s="17" t="n">
        <v>5458</v>
      </c>
      <c r="C37" s="18">
        <f>(4837.0/B37*100)</f>
        <v/>
      </c>
      <c r="D37" s="19" t="n">
        <v>621</v>
      </c>
      <c r="E37" s="18" t="n">
        <v>40.54522128</v>
      </c>
      <c r="F37" s="20" t="n">
        <v>1.98170733</v>
      </c>
      <c r="G37" s="18" t="n">
        <v>58.02094998</v>
      </c>
      <c r="H37" s="20" t="n">
        <v>1.92554953</v>
      </c>
      <c r="I37" s="18" t="n">
        <v>0</v>
      </c>
      <c r="J37" s="20" t="n">
        <v>0</v>
      </c>
      <c r="K37" s="18" t="n">
        <v>0.31466629</v>
      </c>
      <c r="L37" s="20" t="n">
        <v>0.225491</v>
      </c>
      <c r="M37" s="18" t="n">
        <v>0</v>
      </c>
      <c r="N37" s="20" t="n">
        <v>0</v>
      </c>
      <c r="O37" s="18" t="n">
        <v>0</v>
      </c>
      <c r="P37" s="20" t="n">
        <v>0</v>
      </c>
      <c r="Q37" s="18" t="n">
        <v>1.11916245</v>
      </c>
      <c r="R37" s="20" t="n">
        <v>0.41562998</v>
      </c>
    </row>
    <row r="38" spans="1:18">
      <c r="A38" s="15" t="s">
        <v>596</v>
      </c>
      <c r="B38" s="17" t="n">
        <v>5860</v>
      </c>
      <c r="C38" s="18">
        <f>(5237.0/B38*100)</f>
        <v/>
      </c>
      <c r="D38" s="19" t="n">
        <v>623</v>
      </c>
      <c r="E38" s="18" t="n">
        <v>37.57782435</v>
      </c>
      <c r="F38" s="20" t="n">
        <v>2.10725903</v>
      </c>
      <c r="G38" s="18" t="n">
        <v>62.0472043</v>
      </c>
      <c r="H38" s="20" t="n">
        <v>2.09761954</v>
      </c>
      <c r="I38" s="18" t="n">
        <v>0</v>
      </c>
      <c r="J38" s="20" t="n">
        <v>0</v>
      </c>
      <c r="K38" s="18" t="n">
        <v>0</v>
      </c>
      <c r="L38" s="20" t="n">
        <v>0</v>
      </c>
      <c r="M38" s="18" t="n">
        <v>0</v>
      </c>
      <c r="N38" s="20" t="n">
        <v>0</v>
      </c>
      <c r="O38" s="18" t="n">
        <v>0</v>
      </c>
      <c r="P38" s="20" t="n">
        <v>0</v>
      </c>
      <c r="Q38" s="18" t="n">
        <v>0.37497134</v>
      </c>
      <c r="R38" s="20" t="n">
        <v>0.35763599</v>
      </c>
    </row>
    <row r="39" spans="1:18">
      <c r="A39" s="15" t="s">
        <v>597</v>
      </c>
      <c r="B39" s="17" t="n">
        <v>5895</v>
      </c>
      <c r="C39" s="18">
        <f>(5252.0/B39*100)</f>
        <v/>
      </c>
      <c r="D39" s="19" t="n">
        <v>643</v>
      </c>
      <c r="E39" s="18" t="n">
        <v>61.49682584</v>
      </c>
      <c r="F39" s="20" t="n">
        <v>2.37097193</v>
      </c>
      <c r="G39" s="18" t="n">
        <v>36.15240846</v>
      </c>
      <c r="H39" s="20" t="n">
        <v>2.3378634</v>
      </c>
      <c r="I39" s="18" t="n">
        <v>0</v>
      </c>
      <c r="J39" s="20" t="n">
        <v>0</v>
      </c>
      <c r="K39" s="18" t="n">
        <v>0.64394324</v>
      </c>
      <c r="L39" s="20" t="n">
        <v>0.6078934499999999</v>
      </c>
      <c r="M39" s="18" t="n">
        <v>0</v>
      </c>
      <c r="N39" s="20" t="n">
        <v>0</v>
      </c>
      <c r="O39" s="18" t="n">
        <v>0</v>
      </c>
      <c r="P39" s="20" t="n">
        <v>0</v>
      </c>
      <c r="Q39" s="18" t="n">
        <v>1.70682246</v>
      </c>
      <c r="R39" s="20" t="n">
        <v>0.53401995</v>
      </c>
    </row>
    <row r="40" spans="1:18">
      <c r="A40" s="15" t="s">
        <v>598</v>
      </c>
      <c r="B40" s="17" t="n">
        <v>14157</v>
      </c>
      <c r="C40" s="18">
        <f>(12577.0/B40*100)</f>
        <v/>
      </c>
      <c r="D40" s="19" t="n">
        <v>1580</v>
      </c>
      <c r="E40" s="18" t="n">
        <v>44.72196779</v>
      </c>
      <c r="F40" s="20" t="n">
        <v>1.8064062</v>
      </c>
      <c r="G40" s="18" t="n">
        <v>54.09387423</v>
      </c>
      <c r="H40" s="20" t="n">
        <v>1.84866781</v>
      </c>
      <c r="I40" s="18" t="n">
        <v>0</v>
      </c>
      <c r="J40" s="20" t="n">
        <v>0</v>
      </c>
      <c r="K40" s="18" t="n">
        <v>0.66082867</v>
      </c>
      <c r="L40" s="20" t="n">
        <v>0.35346868</v>
      </c>
      <c r="M40" s="18" t="n">
        <v>0</v>
      </c>
      <c r="N40" s="20" t="n">
        <v>0</v>
      </c>
      <c r="O40" s="18" t="n">
        <v>0</v>
      </c>
      <c r="P40" s="20" t="n">
        <v>0</v>
      </c>
      <c r="Q40" s="18" t="n">
        <v>0.52332931</v>
      </c>
      <c r="R40" s="20" t="n">
        <v>0.2270752</v>
      </c>
    </row>
    <row r="41" spans="1:18">
      <c r="A41" s="15" t="s">
        <v>599</v>
      </c>
      <c r="B41" s="17" t="n">
        <v>5712</v>
      </c>
      <c r="C41" s="18">
        <f>(5102.0/B41*100)</f>
        <v/>
      </c>
      <c r="D41" s="19" t="n">
        <v>610</v>
      </c>
      <c r="E41" s="18" t="n">
        <v>59.71121207</v>
      </c>
      <c r="F41" s="20" t="n">
        <v>2.34142732</v>
      </c>
      <c r="G41" s="18" t="n">
        <v>39.33194126</v>
      </c>
      <c r="H41" s="20" t="n">
        <v>2.4077345</v>
      </c>
      <c r="I41" s="18" t="n">
        <v>0</v>
      </c>
      <c r="J41" s="20" t="n">
        <v>0</v>
      </c>
      <c r="K41" s="18" t="n">
        <v>0.3368161</v>
      </c>
      <c r="L41" s="20" t="n">
        <v>0.24548687</v>
      </c>
      <c r="M41" s="18" t="n">
        <v>0</v>
      </c>
      <c r="N41" s="20" t="n">
        <v>0</v>
      </c>
      <c r="O41" s="18" t="n">
        <v>0</v>
      </c>
      <c r="P41" s="20" t="n">
        <v>0</v>
      </c>
      <c r="Q41" s="18" t="n">
        <v>0.6200305699999999</v>
      </c>
      <c r="R41" s="20" t="n">
        <v>0.42892039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(20939.0/B46*100)</f>
        <v/>
      </c>
      <c r="D46" s="19" t="n">
        <v>2202</v>
      </c>
      <c r="E46" s="18" t="n">
        <v>53.2418404</v>
      </c>
      <c r="F46" s="20" t="n">
        <v>1.5202035</v>
      </c>
      <c r="G46" s="18" t="n">
        <v>43.84813088</v>
      </c>
      <c r="H46" s="20" t="n">
        <v>1.54489031</v>
      </c>
      <c r="I46" s="18" t="n">
        <v>0</v>
      </c>
      <c r="J46" s="20" t="n">
        <v>0</v>
      </c>
      <c r="K46" s="18" t="n">
        <v>1.47352616</v>
      </c>
      <c r="L46" s="20" t="n">
        <v>0.29516283</v>
      </c>
      <c r="M46" s="18" t="n">
        <v>0</v>
      </c>
      <c r="N46" s="20" t="n">
        <v>0</v>
      </c>
      <c r="O46" s="18" t="n">
        <v>0</v>
      </c>
      <c r="P46" s="20" t="n">
        <v>0</v>
      </c>
      <c r="Q46" s="18" t="n">
        <v>1.43650256</v>
      </c>
      <c r="R46" s="20" t="n">
        <v>0.30278944</v>
      </c>
    </row>
    <row r="47" spans="1:18">
      <c r="A47" s="15" t="s">
        <v>606</v>
      </c>
      <c r="B47" s="17" t="n">
        <v>5928</v>
      </c>
      <c r="C47" s="18">
        <f>(5280.0/B47*100)</f>
        <v/>
      </c>
      <c r="D47" s="19" t="n">
        <v>648</v>
      </c>
      <c r="E47" s="18" t="n">
        <v>51.91112775</v>
      </c>
      <c r="F47" s="20" t="n">
        <v>2.15579715</v>
      </c>
      <c r="G47" s="18" t="n">
        <v>46.49875745</v>
      </c>
      <c r="H47" s="20" t="n">
        <v>2.21352292</v>
      </c>
      <c r="I47" s="18" t="n">
        <v>0</v>
      </c>
      <c r="J47" s="20" t="n">
        <v>0</v>
      </c>
      <c r="K47" s="18" t="n">
        <v>0.77016164</v>
      </c>
      <c r="L47" s="20" t="n">
        <v>0.33486813</v>
      </c>
      <c r="M47" s="18" t="n">
        <v>0</v>
      </c>
      <c r="N47" s="20" t="n">
        <v>0</v>
      </c>
      <c r="O47" s="18" t="n">
        <v>0</v>
      </c>
      <c r="P47" s="20" t="n">
        <v>0</v>
      </c>
      <c r="Q47" s="18" t="n">
        <v>0.81995315</v>
      </c>
      <c r="R47" s="20" t="n">
        <v>0.46616415</v>
      </c>
    </row>
    <row r="48" spans="1:18">
      <c r="A48" s="15" t="s">
        <v>607</v>
      </c>
      <c r="B48" s="17" t="n">
        <v>9841</v>
      </c>
      <c r="C48" s="18">
        <f>(8748.0/B48*100)</f>
        <v/>
      </c>
      <c r="D48" s="19" t="n">
        <v>1093</v>
      </c>
      <c r="E48" s="18" t="n">
        <v>38.25928477</v>
      </c>
      <c r="F48" s="20" t="n">
        <v>2.25121693</v>
      </c>
      <c r="G48" s="18" t="n">
        <v>60.66422198</v>
      </c>
      <c r="H48" s="20" t="n">
        <v>2.27223096</v>
      </c>
      <c r="I48" s="18" t="n">
        <v>0</v>
      </c>
      <c r="J48" s="20" t="n">
        <v>0</v>
      </c>
      <c r="K48" s="18" t="n">
        <v>0.94453129</v>
      </c>
      <c r="L48" s="20" t="n">
        <v>0.18234543</v>
      </c>
      <c r="M48" s="18" t="n">
        <v>0</v>
      </c>
      <c r="N48" s="20" t="n">
        <v>0</v>
      </c>
      <c r="O48" s="18" t="n">
        <v>0</v>
      </c>
      <c r="P48" s="20" t="n">
        <v>0</v>
      </c>
      <c r="Q48" s="18" t="n">
        <v>0.13196195</v>
      </c>
      <c r="R48" s="20" t="n">
        <v>0.08820052</v>
      </c>
    </row>
    <row r="49" spans="1:18">
      <c r="A49" s="15" t="s">
        <v>608</v>
      </c>
      <c r="B49" s="17" t="n">
        <v>11795</v>
      </c>
      <c r="C49" s="18">
        <f>(10521.0/B49*100)</f>
        <v/>
      </c>
      <c r="D49" s="19" t="n">
        <v>1274</v>
      </c>
      <c r="E49" s="18" t="n">
        <v>69.00513429</v>
      </c>
      <c r="F49" s="20" t="n">
        <v>1.66711746</v>
      </c>
      <c r="G49" s="18" t="n">
        <v>29.63450554</v>
      </c>
      <c r="H49" s="20" t="n">
        <v>1.7168456</v>
      </c>
      <c r="I49" s="18" t="n">
        <v>0</v>
      </c>
      <c r="J49" s="20" t="n">
        <v>0</v>
      </c>
      <c r="K49" s="18" t="n">
        <v>0.74211796</v>
      </c>
      <c r="L49" s="20" t="n">
        <v>0.36988534</v>
      </c>
      <c r="M49" s="18" t="n">
        <v>0</v>
      </c>
      <c r="N49" s="20" t="n">
        <v>0</v>
      </c>
      <c r="O49" s="18" t="n">
        <v>0</v>
      </c>
      <c r="P49" s="20" t="n">
        <v>0</v>
      </c>
      <c r="Q49" s="18" t="n">
        <v>0.61824221</v>
      </c>
      <c r="R49" s="20" t="n">
        <v>0.25597248</v>
      </c>
    </row>
    <row r="50" spans="1:18">
      <c r="A50" s="15" t="s">
        <v>609</v>
      </c>
      <c r="B50" s="17" t="n">
        <v>6866</v>
      </c>
      <c r="C50" s="18">
        <f>(6188.0/B50*100)</f>
        <v/>
      </c>
      <c r="D50" s="19" t="n">
        <v>678</v>
      </c>
      <c r="E50" s="18" t="n">
        <v>66.48717449999999</v>
      </c>
      <c r="F50" s="20" t="n">
        <v>1.90056362</v>
      </c>
      <c r="G50" s="18" t="n">
        <v>32.59955398</v>
      </c>
      <c r="H50" s="20" t="n">
        <v>1.89459257</v>
      </c>
      <c r="I50" s="18" t="n">
        <v>0</v>
      </c>
      <c r="J50" s="20" t="n">
        <v>0</v>
      </c>
      <c r="K50" s="18" t="n">
        <v>0</v>
      </c>
      <c r="L50" s="20" t="n">
        <v>0</v>
      </c>
      <c r="M50" s="18" t="n">
        <v>0</v>
      </c>
      <c r="N50" s="20" t="n">
        <v>0</v>
      </c>
      <c r="O50" s="18" t="n">
        <v>0</v>
      </c>
      <c r="P50" s="20" t="n">
        <v>0</v>
      </c>
      <c r="Q50" s="18" t="n">
        <v>0.91327152</v>
      </c>
      <c r="R50" s="20" t="n">
        <v>0.33554391</v>
      </c>
    </row>
    <row r="51" spans="1:18">
      <c r="A51" s="15" t="s">
        <v>610</v>
      </c>
      <c r="B51" s="17" t="n">
        <v>5809</v>
      </c>
      <c r="C51" s="18">
        <f>(5169.0/B51*100)</f>
        <v/>
      </c>
      <c r="D51" s="19" t="n">
        <v>640</v>
      </c>
      <c r="E51" s="18" t="n">
        <v>46.78378434</v>
      </c>
      <c r="F51" s="20" t="n">
        <v>2.52320027</v>
      </c>
      <c r="G51" s="18" t="n">
        <v>52.81773446</v>
      </c>
      <c r="H51" s="20" t="n">
        <v>2.51972174</v>
      </c>
      <c r="I51" s="18" t="n">
        <v>0</v>
      </c>
      <c r="J51" s="20" t="n">
        <v>0</v>
      </c>
      <c r="K51" s="18" t="n">
        <v>0.11795892</v>
      </c>
      <c r="L51" s="20" t="n">
        <v>0.1186599</v>
      </c>
      <c r="M51" s="18" t="n">
        <v>0</v>
      </c>
      <c r="N51" s="20" t="n">
        <v>0</v>
      </c>
      <c r="O51" s="18" t="n">
        <v>0</v>
      </c>
      <c r="P51" s="20" t="n">
        <v>0</v>
      </c>
      <c r="Q51" s="18" t="n">
        <v>0.28052228</v>
      </c>
      <c r="R51" s="20" t="n">
        <v>0.18804693</v>
      </c>
    </row>
    <row r="52" spans="1:18">
      <c r="A52" s="15" t="s">
        <v>611</v>
      </c>
      <c r="B52" s="17" t="n">
        <v>5571</v>
      </c>
      <c r="C52" s="18">
        <f>(4977.0/B52*100)</f>
        <v/>
      </c>
      <c r="D52" s="19" t="n">
        <v>594</v>
      </c>
      <c r="E52" s="18" t="n">
        <v>59.01949043</v>
      </c>
      <c r="F52" s="20" t="n">
        <v>2.05910341</v>
      </c>
      <c r="G52" s="18" t="n">
        <v>39.56354875</v>
      </c>
      <c r="H52" s="20" t="n">
        <v>2.03521712</v>
      </c>
      <c r="I52" s="18" t="n">
        <v>0</v>
      </c>
      <c r="J52" s="20" t="n">
        <v>0</v>
      </c>
      <c r="K52" s="18" t="n">
        <v>0.28373584</v>
      </c>
      <c r="L52" s="20" t="n">
        <v>0.20281085</v>
      </c>
      <c r="M52" s="18" t="n">
        <v>0</v>
      </c>
      <c r="N52" s="20" t="n">
        <v>0</v>
      </c>
      <c r="O52" s="18" t="n">
        <v>0</v>
      </c>
      <c r="P52" s="20" t="n">
        <v>0</v>
      </c>
      <c r="Q52" s="18" t="n">
        <v>1.13322498</v>
      </c>
      <c r="R52" s="20" t="n">
        <v>0.46650691</v>
      </c>
    </row>
    <row r="53" spans="1:18">
      <c r="A53" s="15" t="s">
        <v>612</v>
      </c>
      <c r="B53" s="17" t="n">
        <v>4740</v>
      </c>
      <c r="C53" s="18">
        <f>(4222.0/B53*100)</f>
        <v/>
      </c>
      <c r="D53" s="19" t="n">
        <v>518</v>
      </c>
      <c r="E53" s="18" t="n">
        <v>69.18629344999999</v>
      </c>
      <c r="F53" s="20" t="n">
        <v>2.41092177</v>
      </c>
      <c r="G53" s="18" t="n">
        <v>18.47637729</v>
      </c>
      <c r="H53" s="20" t="n">
        <v>1.95415496</v>
      </c>
      <c r="I53" s="18" t="n">
        <v>0</v>
      </c>
      <c r="J53" s="20" t="n">
        <v>0</v>
      </c>
      <c r="K53" s="18" t="n">
        <v>9.70324282</v>
      </c>
      <c r="L53" s="20" t="n">
        <v>1.56590003</v>
      </c>
      <c r="M53" s="18" t="n">
        <v>0</v>
      </c>
      <c r="N53" s="20" t="n">
        <v>0</v>
      </c>
      <c r="O53" s="18" t="n">
        <v>0</v>
      </c>
      <c r="P53" s="20" t="n">
        <v>0</v>
      </c>
      <c r="Q53" s="18" t="n">
        <v>2.63408644</v>
      </c>
      <c r="R53" s="20" t="n">
        <v>0.81129472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(4768.0/B55*100)</f>
        <v/>
      </c>
      <c r="D55" s="19" t="n">
        <v>591</v>
      </c>
      <c r="E55" s="18" t="n">
        <v>38.29029836</v>
      </c>
      <c r="F55" s="20" t="n">
        <v>1.89338353</v>
      </c>
      <c r="G55" s="18" t="n">
        <v>60.72283985</v>
      </c>
      <c r="H55" s="20" t="n">
        <v>1.71667217</v>
      </c>
      <c r="I55" s="18" t="n">
        <v>0</v>
      </c>
      <c r="J55" s="20" t="n">
        <v>0</v>
      </c>
      <c r="K55" s="18" t="n">
        <v>0.69237953</v>
      </c>
      <c r="L55" s="20" t="n">
        <v>0.45182465</v>
      </c>
      <c r="M55" s="18" t="n">
        <v>0</v>
      </c>
      <c r="N55" s="20" t="n">
        <v>0</v>
      </c>
      <c r="O55" s="18" t="n">
        <v>0</v>
      </c>
      <c r="P55" s="20" t="n">
        <v>0</v>
      </c>
      <c r="Q55" s="18" t="n">
        <v>0.29448226</v>
      </c>
      <c r="R55" s="20" t="n">
        <v>0.21565565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(5828.0/B61*100)</f>
        <v/>
      </c>
      <c r="D61" s="19" t="n">
        <v>697</v>
      </c>
      <c r="E61" s="18" t="n">
        <v>49.50592527</v>
      </c>
      <c r="F61" s="20" t="n">
        <v>2.11914632</v>
      </c>
      <c r="G61" s="18" t="n">
        <v>49.92823662</v>
      </c>
      <c r="H61" s="20" t="n">
        <v>2.07705384</v>
      </c>
      <c r="I61" s="18" t="n">
        <v>0</v>
      </c>
      <c r="J61" s="20" t="n">
        <v>0</v>
      </c>
      <c r="K61" s="18" t="n">
        <v>0.17137484</v>
      </c>
      <c r="L61" s="20" t="n">
        <v>0.17209541</v>
      </c>
      <c r="M61" s="18" t="n">
        <v>0</v>
      </c>
      <c r="N61" s="20" t="n">
        <v>0</v>
      </c>
      <c r="O61" s="18" t="n">
        <v>0</v>
      </c>
      <c r="P61" s="20" t="n">
        <v>0</v>
      </c>
      <c r="Q61" s="18" t="n">
        <v>0.39446327</v>
      </c>
      <c r="R61" s="20" t="n">
        <v>0.25253447</v>
      </c>
    </row>
    <row r="62" spans="1:18">
      <c r="A62" s="15" t="s">
        <v>622</v>
      </c>
      <c r="B62" s="17" t="n">
        <v>4476</v>
      </c>
      <c r="C62" s="18">
        <f>(3964.0/B62*100)</f>
        <v/>
      </c>
      <c r="D62" s="19" t="n">
        <v>512</v>
      </c>
      <c r="E62" s="18" t="n">
        <v>43.20410488</v>
      </c>
      <c r="F62" s="20" t="n">
        <v>2.16997905</v>
      </c>
      <c r="G62" s="18" t="n">
        <v>56.79589512</v>
      </c>
      <c r="H62" s="20" t="n">
        <v>2.16997905</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(5044.0/B67*100)</f>
        <v/>
      </c>
      <c r="D67" s="19" t="n">
        <v>621</v>
      </c>
      <c r="E67" s="18" t="n">
        <v>55.61155193</v>
      </c>
      <c r="F67" s="20" t="n">
        <v>2.04615312</v>
      </c>
      <c r="G67" s="18" t="n">
        <v>40.17279174</v>
      </c>
      <c r="H67" s="20" t="n">
        <v>1.90873209</v>
      </c>
      <c r="I67" s="18" t="n">
        <v>0</v>
      </c>
      <c r="J67" s="20" t="n">
        <v>0</v>
      </c>
      <c r="K67" s="18" t="n">
        <v>0.95150133</v>
      </c>
      <c r="L67" s="20" t="n">
        <v>0.39163862</v>
      </c>
      <c r="M67" s="18" t="n">
        <v>0</v>
      </c>
      <c r="N67" s="20" t="n">
        <v>0</v>
      </c>
      <c r="O67" s="18" t="n">
        <v>0</v>
      </c>
      <c r="P67" s="20" t="n">
        <v>0</v>
      </c>
      <c r="Q67" s="18" t="n">
        <v>3.264155</v>
      </c>
      <c r="R67" s="20" t="n">
        <v>0.80873297</v>
      </c>
    </row>
    <row r="68" spans="1:18">
      <c r="A68" s="15" t="s">
        <v>628</v>
      </c>
      <c r="B68" s="17" t="n">
        <v>6971</v>
      </c>
      <c r="C68" s="18">
        <f>(6274.0/B68*100)</f>
        <v/>
      </c>
      <c r="D68" s="19" t="n">
        <v>697</v>
      </c>
      <c r="E68" s="18" t="n">
        <v>67.01749672</v>
      </c>
      <c r="F68" s="20" t="n">
        <v>1.68588232</v>
      </c>
      <c r="G68" s="18" t="n">
        <v>30.45959531</v>
      </c>
      <c r="H68" s="20" t="n">
        <v>1.74055189</v>
      </c>
      <c r="I68" s="18" t="n">
        <v>0</v>
      </c>
      <c r="J68" s="20" t="n">
        <v>0</v>
      </c>
      <c r="K68" s="18" t="n">
        <v>0.14083578</v>
      </c>
      <c r="L68" s="20" t="n">
        <v>0.14016465</v>
      </c>
      <c r="M68" s="18" t="n">
        <v>0</v>
      </c>
      <c r="N68" s="20" t="n">
        <v>0</v>
      </c>
      <c r="O68" s="18" t="n">
        <v>0</v>
      </c>
      <c r="P68" s="20" t="n">
        <v>0</v>
      </c>
      <c r="Q68" s="18" t="n">
        <v>2.38207219</v>
      </c>
      <c r="R68" s="20" t="n">
        <v>0.62337514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(10709.0/B70*100)</f>
        <v/>
      </c>
      <c r="D70" s="19" t="n">
        <v>1374</v>
      </c>
      <c r="E70" s="18" t="n">
        <v>69.11292649000001</v>
      </c>
      <c r="F70" s="20" t="n">
        <v>1.11920622</v>
      </c>
      <c r="G70" s="18" t="n">
        <v>28.59045454</v>
      </c>
      <c r="H70" s="20" t="n">
        <v>1.1661803</v>
      </c>
      <c r="I70" s="18" t="n">
        <v>0</v>
      </c>
      <c r="J70" s="20" t="n">
        <v>0</v>
      </c>
      <c r="K70" s="18" t="n">
        <v>1.30201685</v>
      </c>
      <c r="L70" s="20" t="n">
        <v>0.3219998</v>
      </c>
      <c r="M70" s="18" t="n">
        <v>0</v>
      </c>
      <c r="N70" s="20" t="n">
        <v>0</v>
      </c>
      <c r="O70" s="18" t="n">
        <v>0</v>
      </c>
      <c r="P70" s="20" t="n">
        <v>0</v>
      </c>
      <c r="Q70" s="18" t="n">
        <v>0.99460211</v>
      </c>
      <c r="R70" s="20" t="n">
        <v>0.24146057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(5407.0/B72*100)</f>
        <v/>
      </c>
      <c r="D72" s="19" t="n">
        <v>629</v>
      </c>
      <c r="E72" s="18" t="n">
        <v>49.22105282</v>
      </c>
      <c r="F72" s="20" t="n">
        <v>2.46852057</v>
      </c>
      <c r="G72" s="18" t="n">
        <v>49.41111584</v>
      </c>
      <c r="H72" s="20" t="n">
        <v>2.51335603</v>
      </c>
      <c r="I72" s="18" t="n">
        <v>0</v>
      </c>
      <c r="J72" s="20" t="n">
        <v>0</v>
      </c>
      <c r="K72" s="18" t="n">
        <v>0.42347804</v>
      </c>
      <c r="L72" s="20" t="n">
        <v>0.29169957</v>
      </c>
      <c r="M72" s="18" t="n">
        <v>0</v>
      </c>
      <c r="N72" s="20" t="n">
        <v>0</v>
      </c>
      <c r="O72" s="18" t="n">
        <v>0</v>
      </c>
      <c r="P72" s="20" t="n">
        <v>0</v>
      </c>
      <c r="Q72" s="18" t="n">
        <v>0.9443533</v>
      </c>
      <c r="R72" s="20" t="n">
        <v>0.25330188</v>
      </c>
    </row>
    <row r="73" spans="1:18">
      <c r="A73" s="15" t="s">
        <v>633</v>
      </c>
      <c r="B73" s="17" t="n">
        <v>6115</v>
      </c>
      <c r="C73" s="18">
        <f>(5463.0/B73*100)</f>
        <v/>
      </c>
      <c r="D73" s="19" t="n">
        <v>652</v>
      </c>
      <c r="E73" s="18" t="n">
        <v>45.60704242</v>
      </c>
      <c r="F73" s="20" t="n">
        <v>2.0778058</v>
      </c>
      <c r="G73" s="18" t="n">
        <v>53.91328718</v>
      </c>
      <c r="H73" s="20" t="n">
        <v>2.1204419</v>
      </c>
      <c r="I73" s="18" t="n">
        <v>0</v>
      </c>
      <c r="J73" s="20" t="n">
        <v>0</v>
      </c>
      <c r="K73" s="18" t="n">
        <v>0.22835887</v>
      </c>
      <c r="L73" s="20" t="n">
        <v>0.16535304</v>
      </c>
      <c r="M73" s="18" t="n">
        <v>0</v>
      </c>
      <c r="N73" s="20" t="n">
        <v>0</v>
      </c>
      <c r="O73" s="18" t="n">
        <v>0</v>
      </c>
      <c r="P73" s="20" t="n">
        <v>0</v>
      </c>
      <c r="Q73" s="18" t="n">
        <v>0.25131153</v>
      </c>
      <c r="R73" s="20" t="n">
        <v>0.18636776</v>
      </c>
    </row>
    <row r="74" spans="1:18">
      <c r="A74" s="15" t="s">
        <v>634</v>
      </c>
      <c r="B74" s="17" t="n">
        <v>7708</v>
      </c>
      <c r="C74" s="18">
        <f>(6867.0/B74*100)</f>
        <v/>
      </c>
      <c r="D74" s="19" t="n">
        <v>841</v>
      </c>
      <c r="E74" s="18" t="n">
        <v>37.71886114</v>
      </c>
      <c r="F74" s="20" t="n">
        <v>1.63383797</v>
      </c>
      <c r="G74" s="18" t="n">
        <v>61.81269958</v>
      </c>
      <c r="H74" s="20" t="n">
        <v>1.63188614</v>
      </c>
      <c r="I74" s="18" t="n">
        <v>0</v>
      </c>
      <c r="J74" s="20" t="n">
        <v>0</v>
      </c>
      <c r="K74" s="18" t="n">
        <v>0.24575765</v>
      </c>
      <c r="L74" s="20" t="n">
        <v>0.14558361</v>
      </c>
      <c r="M74" s="18" t="n">
        <v>0</v>
      </c>
      <c r="N74" s="20" t="n">
        <v>0</v>
      </c>
      <c r="O74" s="18" t="n">
        <v>0</v>
      </c>
      <c r="P74" s="20" t="n">
        <v>0</v>
      </c>
      <c r="Q74" s="18" t="n">
        <v>0.22268163</v>
      </c>
      <c r="R74" s="20" t="n">
        <v>0.16209153</v>
      </c>
    </row>
    <row r="75" spans="1:18">
      <c r="A75" s="15" t="s">
        <v>635</v>
      </c>
      <c r="B75" s="17" t="n">
        <v>8249</v>
      </c>
      <c r="C75" s="18">
        <f>(7342.0/B75*100)</f>
        <v/>
      </c>
      <c r="D75" s="19" t="n">
        <v>907</v>
      </c>
      <c r="E75" s="18" t="n">
        <v>56.96356432</v>
      </c>
      <c r="F75" s="20" t="n">
        <v>2.03901342</v>
      </c>
      <c r="G75" s="18" t="n">
        <v>42.16680844</v>
      </c>
      <c r="H75" s="20" t="n">
        <v>1.99275704</v>
      </c>
      <c r="I75" s="18" t="n">
        <v>0</v>
      </c>
      <c r="J75" s="20" t="n">
        <v>0</v>
      </c>
      <c r="K75" s="18" t="n">
        <v>0.23643109</v>
      </c>
      <c r="L75" s="20" t="n">
        <v>0.17515348</v>
      </c>
      <c r="M75" s="18" t="n">
        <v>0</v>
      </c>
      <c r="N75" s="20" t="n">
        <v>0</v>
      </c>
      <c r="O75" s="18" t="n">
        <v>0</v>
      </c>
      <c r="P75" s="20" t="n">
        <v>0</v>
      </c>
      <c r="Q75" s="18" t="n">
        <v>0.63319615</v>
      </c>
      <c r="R75" s="20" t="n">
        <v>0.31394022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(4823.0/B77*100)</f>
        <v/>
      </c>
      <c r="D77" s="19" t="n">
        <v>552</v>
      </c>
      <c r="E77" s="18" t="n">
        <v>64.30094092</v>
      </c>
      <c r="F77" s="20" t="n">
        <v>2.20187935</v>
      </c>
      <c r="G77" s="18" t="n">
        <v>31.43068647</v>
      </c>
      <c r="H77" s="20" t="n">
        <v>2.16280337</v>
      </c>
      <c r="I77" s="18" t="n">
        <v>0</v>
      </c>
      <c r="J77" s="20" t="n">
        <v>0</v>
      </c>
      <c r="K77" s="18" t="n">
        <v>3.13413072</v>
      </c>
      <c r="L77" s="20" t="n">
        <v>1.0596835</v>
      </c>
      <c r="M77" s="18" t="n">
        <v>0</v>
      </c>
      <c r="N77" s="20" t="n">
        <v>0</v>
      </c>
      <c r="O77" s="18" t="n">
        <v>0</v>
      </c>
      <c r="P77" s="20" t="n">
        <v>0</v>
      </c>
      <c r="Q77" s="18" t="n">
        <v>1.13424188</v>
      </c>
      <c r="R77" s="20" t="n">
        <v>0.56162441</v>
      </c>
    </row>
    <row r="78" spans="1:18">
      <c r="A78" s="15" t="s">
        <v>638</v>
      </c>
      <c r="B78" s="17" t="n">
        <v>14167</v>
      </c>
      <c r="C78" s="18">
        <f>(12601.0/B78*100)</f>
        <v/>
      </c>
      <c r="D78" s="19" t="n">
        <v>1566</v>
      </c>
      <c r="E78" s="18" t="n">
        <v>65.79016792</v>
      </c>
      <c r="F78" s="20" t="n">
        <v>1.49438336</v>
      </c>
      <c r="G78" s="18" t="n">
        <v>32.67718085</v>
      </c>
      <c r="H78" s="20" t="n">
        <v>1.47759599</v>
      </c>
      <c r="I78" s="18" t="n">
        <v>0</v>
      </c>
      <c r="J78" s="20" t="n">
        <v>0</v>
      </c>
      <c r="K78" s="18" t="n">
        <v>0.76583018</v>
      </c>
      <c r="L78" s="20" t="n">
        <v>0.23831719</v>
      </c>
      <c r="M78" s="18" t="n">
        <v>0</v>
      </c>
      <c r="N78" s="20" t="n">
        <v>0</v>
      </c>
      <c r="O78" s="18" t="n">
        <v>0</v>
      </c>
      <c r="P78" s="20" t="n">
        <v>0</v>
      </c>
      <c r="Q78" s="18" t="n">
        <v>0.76682104</v>
      </c>
      <c r="R78" s="20" t="n">
        <v>0.2625999</v>
      </c>
    </row>
    <row r="79" spans="1:18">
      <c r="A79" s="15" t="s">
        <v>639</v>
      </c>
      <c r="B79" s="17" t="n">
        <v>6062</v>
      </c>
      <c r="C79" s="18">
        <f>(5409.0/B79*100)</f>
        <v/>
      </c>
      <c r="D79" s="19" t="n">
        <v>653</v>
      </c>
      <c r="E79" s="18" t="n">
        <v>54.03821728</v>
      </c>
      <c r="F79" s="20" t="n">
        <v>2.07535278</v>
      </c>
      <c r="G79" s="18" t="n">
        <v>42.898731</v>
      </c>
      <c r="H79" s="20" t="n">
        <v>2.11201115</v>
      </c>
      <c r="I79" s="18" t="n">
        <v>0</v>
      </c>
      <c r="J79" s="20" t="n">
        <v>0</v>
      </c>
      <c r="K79" s="18" t="n">
        <v>1.27796261</v>
      </c>
      <c r="L79" s="20" t="n">
        <v>0.43241384</v>
      </c>
      <c r="M79" s="18" t="n">
        <v>0</v>
      </c>
      <c r="N79" s="20" t="n">
        <v>0</v>
      </c>
      <c r="O79" s="18" t="n">
        <v>0</v>
      </c>
      <c r="P79" s="20" t="n">
        <v>0</v>
      </c>
      <c r="Q79" s="18" t="n">
        <v>1.78508911</v>
      </c>
      <c r="R79" s="20" t="n">
        <v>0.5625195200000001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(28758.0/B82*100)</f>
        <v/>
      </c>
      <c r="D82" s="19" t="n">
        <v>3572</v>
      </c>
      <c r="E82" s="18" t="n">
        <v>48.44770576</v>
      </c>
      <c r="F82" s="20" t="n">
        <v>1.10640158</v>
      </c>
      <c r="G82" s="18" t="n">
        <v>50.61884668</v>
      </c>
      <c r="H82" s="20" t="n">
        <v>1.08501138</v>
      </c>
      <c r="I82" s="18" t="n">
        <v>0</v>
      </c>
      <c r="J82" s="20" t="n">
        <v>0</v>
      </c>
      <c r="K82" s="18" t="n">
        <v>0.27402281</v>
      </c>
      <c r="L82" s="20" t="n">
        <v>0.18962536</v>
      </c>
      <c r="M82" s="18" t="n">
        <v>0</v>
      </c>
      <c r="N82" s="20" t="n">
        <v>0</v>
      </c>
      <c r="O82" s="18" t="n">
        <v>0</v>
      </c>
      <c r="P82" s="20" t="n">
        <v>0</v>
      </c>
      <c r="Q82" s="18" t="n">
        <v>0.65942475</v>
      </c>
      <c r="R82" s="20" t="n">
        <v>0.18303511</v>
      </c>
    </row>
    <row r="83" spans="1:18">
      <c r="A83" s="15" t="s">
        <v>643</v>
      </c>
      <c r="B83" s="17" t="n">
        <v>1652</v>
      </c>
      <c r="C83" s="18">
        <f>(1470.0/B83*100)</f>
        <v/>
      </c>
      <c r="D83" s="19" t="n">
        <v>182</v>
      </c>
      <c r="E83" s="18" t="n">
        <v>48.19214155</v>
      </c>
      <c r="F83" s="20" t="n">
        <v>4.99832586</v>
      </c>
      <c r="G83" s="18" t="n">
        <v>51.80785845</v>
      </c>
      <c r="H83" s="20" t="n">
        <v>4.99832586</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(1686.0/B84*100)</f>
        <v/>
      </c>
      <c r="D84" s="19" t="n">
        <v>201</v>
      </c>
      <c r="E84" s="18" t="n">
        <v>58.61595047</v>
      </c>
      <c r="F84" s="20" t="n">
        <v>4.75315182</v>
      </c>
      <c r="G84" s="18" t="n">
        <v>41.38404953</v>
      </c>
      <c r="H84" s="20" t="n">
        <v>4.75315182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(12940.0/B7*100)</f>
        <v/>
      </c>
      <c r="D7" s="19" t="n">
        <v>1590</v>
      </c>
      <c r="E7" s="18" t="n">
        <v>31.3404303</v>
      </c>
      <c r="F7" s="20" t="n">
        <v>1.31198031</v>
      </c>
      <c r="G7" s="18" t="n">
        <v>67.44948791</v>
      </c>
      <c r="H7" s="20" t="n">
        <v>1.30843623</v>
      </c>
      <c r="I7" s="18" t="n">
        <v>0</v>
      </c>
      <c r="J7" s="20" t="n">
        <v>0</v>
      </c>
      <c r="K7" s="18" t="n">
        <v>0.46011885</v>
      </c>
      <c r="L7" s="20" t="n">
        <v>0.19203449</v>
      </c>
      <c r="M7" s="18" t="n">
        <v>0</v>
      </c>
      <c r="N7" s="20" t="n">
        <v>0</v>
      </c>
      <c r="O7" s="18" t="n">
        <v>0</v>
      </c>
      <c r="P7" s="20" t="n">
        <v>0</v>
      </c>
      <c r="Q7" s="18" t="n">
        <v>0.74996295</v>
      </c>
      <c r="R7" s="20" t="n">
        <v>0.25602709</v>
      </c>
    </row>
    <row r="8" spans="1:18">
      <c r="A8" s="15" t="s">
        <v>566</v>
      </c>
      <c r="B8" s="17" t="n">
        <v>7007</v>
      </c>
      <c r="C8" s="18">
        <f>(6223.0/B8*100)</f>
        <v/>
      </c>
      <c r="D8" s="19" t="n">
        <v>784</v>
      </c>
      <c r="E8" s="18" t="n">
        <v>34.69334604</v>
      </c>
      <c r="F8" s="20" t="n">
        <v>1.95520755</v>
      </c>
      <c r="G8" s="18" t="n">
        <v>63.81905199</v>
      </c>
      <c r="H8" s="20" t="n">
        <v>1.91320116</v>
      </c>
      <c r="I8" s="18" t="n">
        <v>0</v>
      </c>
      <c r="J8" s="20" t="n">
        <v>0</v>
      </c>
      <c r="K8" s="18" t="n">
        <v>0.16486969</v>
      </c>
      <c r="L8" s="20" t="n">
        <v>0.11844454</v>
      </c>
      <c r="M8" s="18" t="n">
        <v>0</v>
      </c>
      <c r="N8" s="20" t="n">
        <v>0</v>
      </c>
      <c r="O8" s="18" t="n">
        <v>0</v>
      </c>
      <c r="P8" s="20" t="n">
        <v>0</v>
      </c>
      <c r="Q8" s="18" t="n">
        <v>1.32273227</v>
      </c>
      <c r="R8" s="20" t="n">
        <v>0.45573053</v>
      </c>
    </row>
    <row r="9" spans="1:18">
      <c r="A9" s="15" t="s">
        <v>567</v>
      </c>
      <c r="B9" s="17" t="n">
        <v>9651</v>
      </c>
      <c r="C9" s="18">
        <f>(8590.0/B9*100)</f>
        <v/>
      </c>
      <c r="D9" s="19" t="n">
        <v>1061</v>
      </c>
      <c r="E9" s="18" t="n">
        <v>28.46284409</v>
      </c>
      <c r="F9" s="20" t="n">
        <v>1.79661171</v>
      </c>
      <c r="G9" s="18" t="n">
        <v>70.83413770999999</v>
      </c>
      <c r="H9" s="20" t="n">
        <v>1.80651969</v>
      </c>
      <c r="I9" s="18" t="n">
        <v>0</v>
      </c>
      <c r="J9" s="20" t="n">
        <v>0</v>
      </c>
      <c r="K9" s="18" t="n">
        <v>0.17368912</v>
      </c>
      <c r="L9" s="20" t="n">
        <v>0.11978989</v>
      </c>
      <c r="M9" s="18" t="n">
        <v>0</v>
      </c>
      <c r="N9" s="20" t="n">
        <v>0</v>
      </c>
      <c r="O9" s="18" t="n">
        <v>0</v>
      </c>
      <c r="P9" s="20" t="n">
        <v>0</v>
      </c>
      <c r="Q9" s="18" t="n">
        <v>0.52932908</v>
      </c>
      <c r="R9" s="20" t="n">
        <v>0.23813445</v>
      </c>
    </row>
    <row r="10" spans="1:18">
      <c r="A10" s="15" t="s">
        <v>568</v>
      </c>
      <c r="B10" s="17" t="n">
        <v>20058</v>
      </c>
      <c r="C10" s="18">
        <f>(17864.0/B10*100)</f>
        <v/>
      </c>
      <c r="D10" s="19" t="n">
        <v>2194</v>
      </c>
      <c r="E10" s="18" t="n">
        <v>28.93966763</v>
      </c>
      <c r="F10" s="20" t="n">
        <v>1.46892769</v>
      </c>
      <c r="G10" s="18" t="n">
        <v>70.33157448999999</v>
      </c>
      <c r="H10" s="20" t="n">
        <v>1.48341213</v>
      </c>
      <c r="I10" s="18" t="n">
        <v>0</v>
      </c>
      <c r="J10" s="20" t="n">
        <v>0</v>
      </c>
      <c r="K10" s="18" t="n">
        <v>0.03139258</v>
      </c>
      <c r="L10" s="20" t="n">
        <v>0.02212109</v>
      </c>
      <c r="M10" s="18" t="n">
        <v>0</v>
      </c>
      <c r="N10" s="20" t="n">
        <v>0</v>
      </c>
      <c r="O10" s="18" t="n">
        <v>0</v>
      </c>
      <c r="P10" s="20" t="n">
        <v>0</v>
      </c>
      <c r="Q10" s="18" t="n">
        <v>0.6973653</v>
      </c>
      <c r="R10" s="20" t="n">
        <v>0.17773225</v>
      </c>
    </row>
    <row r="11" spans="1:18">
      <c r="A11" s="15" t="s">
        <v>569</v>
      </c>
      <c r="B11" s="17" t="n">
        <v>7053</v>
      </c>
      <c r="C11" s="18">
        <f>(6269.0/B11*100)</f>
        <v/>
      </c>
      <c r="D11" s="19" t="n">
        <v>784</v>
      </c>
      <c r="E11" s="18" t="n">
        <v>33.77796501</v>
      </c>
      <c r="F11" s="20" t="n">
        <v>2.00697589</v>
      </c>
      <c r="G11" s="18" t="n">
        <v>63.77180541</v>
      </c>
      <c r="H11" s="20" t="n">
        <v>1.95707609</v>
      </c>
      <c r="I11" s="18" t="n">
        <v>0</v>
      </c>
      <c r="J11" s="20" t="n">
        <v>0</v>
      </c>
      <c r="K11" s="18" t="n">
        <v>0.95534265</v>
      </c>
      <c r="L11" s="20" t="n">
        <v>0.35787287</v>
      </c>
      <c r="M11" s="18" t="n">
        <v>0</v>
      </c>
      <c r="N11" s="20" t="n">
        <v>0</v>
      </c>
      <c r="O11" s="18" t="n">
        <v>0</v>
      </c>
      <c r="P11" s="20" t="n">
        <v>0</v>
      </c>
      <c r="Q11" s="18" t="n">
        <v>1.49488692</v>
      </c>
      <c r="R11" s="20" t="n">
        <v>0.48220307</v>
      </c>
    </row>
    <row r="12" spans="1:18">
      <c r="A12" s="15" t="s">
        <v>570</v>
      </c>
      <c r="B12" s="17" t="n">
        <v>6894</v>
      </c>
      <c r="C12" s="18">
        <f>(6098.0/B12*100)</f>
        <v/>
      </c>
      <c r="D12" s="19" t="n">
        <v>796</v>
      </c>
      <c r="E12" s="18" t="n">
        <v>35.00344173</v>
      </c>
      <c r="F12" s="20" t="n">
        <v>1.94893207</v>
      </c>
      <c r="G12" s="18" t="n">
        <v>63.89696699</v>
      </c>
      <c r="H12" s="20" t="n">
        <v>1.95711023</v>
      </c>
      <c r="I12" s="18" t="n">
        <v>0</v>
      </c>
      <c r="J12" s="20" t="n">
        <v>0</v>
      </c>
      <c r="K12" s="18" t="n">
        <v>0.14399444</v>
      </c>
      <c r="L12" s="20" t="n">
        <v>0.1527261</v>
      </c>
      <c r="M12" s="18" t="n">
        <v>0</v>
      </c>
      <c r="N12" s="20" t="n">
        <v>0</v>
      </c>
      <c r="O12" s="18" t="n">
        <v>0</v>
      </c>
      <c r="P12" s="20" t="n">
        <v>0</v>
      </c>
      <c r="Q12" s="18" t="n">
        <v>0.95559683</v>
      </c>
      <c r="R12" s="20" t="n">
        <v>0.37172439</v>
      </c>
    </row>
    <row r="13" spans="1:18">
      <c r="A13" s="15" t="s">
        <v>571</v>
      </c>
      <c r="B13" s="17" t="n">
        <v>7161</v>
      </c>
      <c r="C13" s="18">
        <f>(6406.0/B13*100)</f>
        <v/>
      </c>
      <c r="D13" s="19" t="n">
        <v>755</v>
      </c>
      <c r="E13" s="18" t="n">
        <v>21.1480301</v>
      </c>
      <c r="F13" s="20" t="n">
        <v>1.80546925</v>
      </c>
      <c r="G13" s="18" t="n">
        <v>78.25154221</v>
      </c>
      <c r="H13" s="20" t="n">
        <v>1.82947541</v>
      </c>
      <c r="I13" s="18" t="n">
        <v>0</v>
      </c>
      <c r="J13" s="20" t="n">
        <v>0</v>
      </c>
      <c r="K13" s="18" t="n">
        <v>0.4282327</v>
      </c>
      <c r="L13" s="20" t="n">
        <v>0.2306205</v>
      </c>
      <c r="M13" s="18" t="n">
        <v>0</v>
      </c>
      <c r="N13" s="20" t="n">
        <v>0</v>
      </c>
      <c r="O13" s="18" t="n">
        <v>0</v>
      </c>
      <c r="P13" s="20" t="n">
        <v>0</v>
      </c>
      <c r="Q13" s="18" t="n">
        <v>0.17219499</v>
      </c>
      <c r="R13" s="20" t="n">
        <v>0.11911047</v>
      </c>
    </row>
    <row r="14" spans="1:18">
      <c r="A14" s="15" t="s">
        <v>572</v>
      </c>
      <c r="B14" s="17" t="n">
        <v>5587</v>
      </c>
      <c r="C14" s="18">
        <f>(4970.0/B14*100)</f>
        <v/>
      </c>
      <c r="D14" s="19" t="n">
        <v>617</v>
      </c>
      <c r="E14" s="18" t="n">
        <v>20.7630205</v>
      </c>
      <c r="F14" s="20" t="n">
        <v>1.58402785</v>
      </c>
      <c r="G14" s="18" t="n">
        <v>78.69585622</v>
      </c>
      <c r="H14" s="20" t="n">
        <v>1.60194641</v>
      </c>
      <c r="I14" s="18" t="n">
        <v>0</v>
      </c>
      <c r="J14" s="20" t="n">
        <v>0</v>
      </c>
      <c r="K14" s="18" t="n">
        <v>0</v>
      </c>
      <c r="L14" s="20" t="n">
        <v>0</v>
      </c>
      <c r="M14" s="18" t="n">
        <v>0</v>
      </c>
      <c r="N14" s="20" t="n">
        <v>0</v>
      </c>
      <c r="O14" s="18" t="n">
        <v>0</v>
      </c>
      <c r="P14" s="20" t="n">
        <v>0</v>
      </c>
      <c r="Q14" s="18" t="n">
        <v>0.54112329</v>
      </c>
      <c r="R14" s="20" t="n">
        <v>0.27432207</v>
      </c>
    </row>
    <row r="15" spans="1:18">
      <c r="A15" s="15" t="s">
        <v>573</v>
      </c>
      <c r="B15" s="17" t="n">
        <v>5882</v>
      </c>
      <c r="C15" s="18">
        <f>(5223.0/B15*100)</f>
        <v/>
      </c>
      <c r="D15" s="19" t="n">
        <v>659</v>
      </c>
      <c r="E15" s="18" t="n">
        <v>31.76890746</v>
      </c>
      <c r="F15" s="20" t="n">
        <v>1.74971392</v>
      </c>
      <c r="G15" s="18" t="n">
        <v>67.96842927</v>
      </c>
      <c r="H15" s="20" t="n">
        <v>1.73794025</v>
      </c>
      <c r="I15" s="18" t="n">
        <v>0</v>
      </c>
      <c r="J15" s="20" t="n">
        <v>0</v>
      </c>
      <c r="K15" s="18" t="n">
        <v>0.26266327</v>
      </c>
      <c r="L15" s="20" t="n">
        <v>0.18590661</v>
      </c>
      <c r="M15" s="18" t="n">
        <v>0</v>
      </c>
      <c r="N15" s="20" t="n">
        <v>0</v>
      </c>
      <c r="O15" s="18" t="n">
        <v>0</v>
      </c>
      <c r="P15" s="20" t="n">
        <v>0</v>
      </c>
      <c r="Q15" s="18" t="n">
        <v>0</v>
      </c>
      <c r="R15" s="20" t="n">
        <v>0</v>
      </c>
    </row>
    <row r="16" spans="1:18">
      <c r="A16" s="15" t="s">
        <v>574</v>
      </c>
      <c r="B16" s="17" t="n">
        <v>6108</v>
      </c>
      <c r="C16" s="18">
        <f>(5434.0/B16*100)</f>
        <v/>
      </c>
      <c r="D16" s="19" t="n">
        <v>674</v>
      </c>
      <c r="E16" s="18" t="n">
        <v>27.12892229</v>
      </c>
      <c r="F16" s="20" t="n">
        <v>1.96830636</v>
      </c>
      <c r="G16" s="18" t="n">
        <v>71.37055957</v>
      </c>
      <c r="H16" s="20" t="n">
        <v>1.9593917</v>
      </c>
      <c r="I16" s="18" t="n">
        <v>0</v>
      </c>
      <c r="J16" s="20" t="n">
        <v>0</v>
      </c>
      <c r="K16" s="18" t="n">
        <v>0.90916955</v>
      </c>
      <c r="L16" s="20" t="n">
        <v>0.53352588</v>
      </c>
      <c r="M16" s="18" t="n">
        <v>0</v>
      </c>
      <c r="N16" s="20" t="n">
        <v>0</v>
      </c>
      <c r="O16" s="18" t="n">
        <v>0</v>
      </c>
      <c r="P16" s="20" t="n">
        <v>0</v>
      </c>
      <c r="Q16" s="18" t="n">
        <v>0.59134859</v>
      </c>
      <c r="R16" s="20" t="n">
        <v>0.29759899</v>
      </c>
    </row>
    <row r="17" spans="1:18">
      <c r="A17" s="15" t="s">
        <v>575</v>
      </c>
      <c r="B17" s="17" t="n">
        <v>6504</v>
      </c>
      <c r="C17" s="18">
        <f>(5768.0/B17*100)</f>
        <v/>
      </c>
      <c r="D17" s="19" t="n">
        <v>736</v>
      </c>
      <c r="E17" s="18" t="n">
        <v>28.2291307</v>
      </c>
      <c r="F17" s="20" t="n">
        <v>1.3885027</v>
      </c>
      <c r="G17" s="18" t="n">
        <v>69.75765849</v>
      </c>
      <c r="H17" s="20" t="n">
        <v>1.38336907</v>
      </c>
      <c r="I17" s="18" t="n">
        <v>0</v>
      </c>
      <c r="J17" s="20" t="n">
        <v>0</v>
      </c>
      <c r="K17" s="18" t="n">
        <v>1.48310989</v>
      </c>
      <c r="L17" s="20" t="n">
        <v>0.6197751500000001</v>
      </c>
      <c r="M17" s="18" t="n">
        <v>0</v>
      </c>
      <c r="N17" s="20" t="n">
        <v>0</v>
      </c>
      <c r="O17" s="18" t="n">
        <v>0</v>
      </c>
      <c r="P17" s="20" t="n">
        <v>0</v>
      </c>
      <c r="Q17" s="18" t="n">
        <v>0.53010092</v>
      </c>
      <c r="R17" s="20" t="n">
        <v>0.26466461</v>
      </c>
    </row>
    <row r="18" spans="1:18">
      <c r="A18" s="15" t="s">
        <v>576</v>
      </c>
      <c r="B18" s="17" t="n">
        <v>5532</v>
      </c>
      <c r="C18" s="18">
        <f>(4912.0/B18*100)</f>
        <v/>
      </c>
      <c r="D18" s="19" t="n">
        <v>620</v>
      </c>
      <c r="E18" s="18" t="n">
        <v>39.97319314</v>
      </c>
      <c r="F18" s="20" t="n">
        <v>2.31246482</v>
      </c>
      <c r="G18" s="18" t="n">
        <v>58.19474876</v>
      </c>
      <c r="H18" s="20" t="n">
        <v>2.35164548</v>
      </c>
      <c r="I18" s="18" t="n">
        <v>0</v>
      </c>
      <c r="J18" s="20" t="n">
        <v>0</v>
      </c>
      <c r="K18" s="18" t="n">
        <v>0.52822086</v>
      </c>
      <c r="L18" s="20" t="n">
        <v>0.28863489</v>
      </c>
      <c r="M18" s="18" t="n">
        <v>0</v>
      </c>
      <c r="N18" s="20" t="n">
        <v>0</v>
      </c>
      <c r="O18" s="18" t="n">
        <v>0</v>
      </c>
      <c r="P18" s="20" t="n">
        <v>0</v>
      </c>
      <c r="Q18" s="18" t="n">
        <v>1.30383724</v>
      </c>
      <c r="R18" s="20" t="n">
        <v>0.49411311</v>
      </c>
    </row>
    <row r="19" spans="1:18">
      <c r="A19" s="15" t="s">
        <v>577</v>
      </c>
      <c r="B19" s="17" t="n">
        <v>5658</v>
      </c>
      <c r="C19" s="18">
        <f>(5021.0/B19*100)</f>
        <v/>
      </c>
      <c r="D19" s="19" t="n">
        <v>637</v>
      </c>
      <c r="E19" s="18" t="n">
        <v>29.05087297</v>
      </c>
      <c r="F19" s="20" t="n">
        <v>1.82662536</v>
      </c>
      <c r="G19" s="18" t="n">
        <v>70.35459407</v>
      </c>
      <c r="H19" s="20" t="n">
        <v>1.77137543</v>
      </c>
      <c r="I19" s="18" t="n">
        <v>0</v>
      </c>
      <c r="J19" s="20" t="n">
        <v>0</v>
      </c>
      <c r="K19" s="18" t="n">
        <v>0</v>
      </c>
      <c r="L19" s="20" t="n">
        <v>0</v>
      </c>
      <c r="M19" s="18" t="n">
        <v>0</v>
      </c>
      <c r="N19" s="20" t="n">
        <v>0</v>
      </c>
      <c r="O19" s="18" t="n">
        <v>0</v>
      </c>
      <c r="P19" s="20" t="n">
        <v>0</v>
      </c>
      <c r="Q19" s="18" t="n">
        <v>0.59453296</v>
      </c>
      <c r="R19" s="20" t="n">
        <v>0.38447747</v>
      </c>
    </row>
    <row r="20" spans="1:18">
      <c r="A20" s="15" t="s">
        <v>578</v>
      </c>
      <c r="B20" s="17" t="n">
        <v>3371</v>
      </c>
      <c r="C20" s="18">
        <f>(3007.0/B20*100)</f>
        <v/>
      </c>
      <c r="D20" s="19" t="n">
        <v>364</v>
      </c>
      <c r="E20" s="18" t="n">
        <v>30.75384971</v>
      </c>
      <c r="F20" s="20" t="n">
        <v>2.61731856</v>
      </c>
      <c r="G20" s="18" t="n">
        <v>67.78381168</v>
      </c>
      <c r="H20" s="20" t="n">
        <v>2.66619242</v>
      </c>
      <c r="I20" s="18" t="n">
        <v>0</v>
      </c>
      <c r="J20" s="20" t="n">
        <v>0</v>
      </c>
      <c r="K20" s="18" t="n">
        <v>0.23380659</v>
      </c>
      <c r="L20" s="20" t="n">
        <v>0.23398972</v>
      </c>
      <c r="M20" s="18" t="n">
        <v>0</v>
      </c>
      <c r="N20" s="20" t="n">
        <v>0</v>
      </c>
      <c r="O20" s="18" t="n">
        <v>0</v>
      </c>
      <c r="P20" s="20" t="n">
        <v>0</v>
      </c>
      <c r="Q20" s="18" t="n">
        <v>1.22853203</v>
      </c>
      <c r="R20" s="20" t="n">
        <v>0.61325485</v>
      </c>
    </row>
    <row r="21" spans="1:18">
      <c r="A21" s="15" t="s">
        <v>579</v>
      </c>
      <c r="B21" s="17" t="n">
        <v>5741</v>
      </c>
      <c r="C21" s="18">
        <f>(5106.0/B21*100)</f>
        <v/>
      </c>
      <c r="D21" s="19" t="n">
        <v>635</v>
      </c>
      <c r="E21" s="18" t="n">
        <v>28.05869524</v>
      </c>
      <c r="F21" s="20" t="n">
        <v>1.66004841</v>
      </c>
      <c r="G21" s="18" t="n">
        <v>71.06336241</v>
      </c>
      <c r="H21" s="20" t="n">
        <v>1.72702891</v>
      </c>
      <c r="I21" s="18" t="n">
        <v>0</v>
      </c>
      <c r="J21" s="20" t="n">
        <v>0</v>
      </c>
      <c r="K21" s="18" t="n">
        <v>0</v>
      </c>
      <c r="L21" s="20" t="n">
        <v>0</v>
      </c>
      <c r="M21" s="18" t="n">
        <v>0</v>
      </c>
      <c r="N21" s="20" t="n">
        <v>0</v>
      </c>
      <c r="O21" s="18" t="n">
        <v>0</v>
      </c>
      <c r="P21" s="20" t="n">
        <v>0</v>
      </c>
      <c r="Q21" s="18" t="n">
        <v>0.87794235</v>
      </c>
      <c r="R21" s="20" t="n">
        <v>0.33507008</v>
      </c>
    </row>
    <row r="22" spans="1:18">
      <c r="A22" s="15" t="s">
        <v>580</v>
      </c>
      <c r="B22" s="17" t="n">
        <v>6598</v>
      </c>
      <c r="C22" s="18">
        <f>(5868.0/B22*100)</f>
        <v/>
      </c>
      <c r="D22" s="19" t="n">
        <v>730</v>
      </c>
      <c r="E22" s="18" t="n">
        <v>40.16832927</v>
      </c>
      <c r="F22" s="20" t="n">
        <v>1.9563429</v>
      </c>
      <c r="G22" s="18" t="n">
        <v>58.30004256</v>
      </c>
      <c r="H22" s="20" t="n">
        <v>1.942859</v>
      </c>
      <c r="I22" s="18" t="n">
        <v>0</v>
      </c>
      <c r="J22" s="20" t="n">
        <v>0</v>
      </c>
      <c r="K22" s="18" t="n">
        <v>0</v>
      </c>
      <c r="L22" s="20" t="n">
        <v>0</v>
      </c>
      <c r="M22" s="18" t="n">
        <v>0</v>
      </c>
      <c r="N22" s="20" t="n">
        <v>0</v>
      </c>
      <c r="O22" s="18" t="n">
        <v>0</v>
      </c>
      <c r="P22" s="20" t="n">
        <v>0</v>
      </c>
      <c r="Q22" s="18" t="n">
        <v>1.53162818</v>
      </c>
      <c r="R22" s="20" t="n">
        <v>0.3748034</v>
      </c>
    </row>
    <row r="23" spans="1:18">
      <c r="A23" s="15" t="s">
        <v>581</v>
      </c>
      <c r="B23" s="17" t="n">
        <v>11583</v>
      </c>
      <c r="C23" s="18">
        <f>(10330.0/B23*100)</f>
        <v/>
      </c>
      <c r="D23" s="19" t="n">
        <v>1253</v>
      </c>
      <c r="E23" s="18" t="n">
        <v>45.39374955</v>
      </c>
      <c r="F23" s="20" t="n">
        <v>1.8598437</v>
      </c>
      <c r="G23" s="18" t="n">
        <v>53.57877014</v>
      </c>
      <c r="H23" s="20" t="n">
        <v>1.93228592</v>
      </c>
      <c r="I23" s="18" t="n">
        <v>0</v>
      </c>
      <c r="J23" s="20" t="n">
        <v>0</v>
      </c>
      <c r="K23" s="18" t="n">
        <v>0.47488436</v>
      </c>
      <c r="L23" s="20" t="n">
        <v>0.27597084</v>
      </c>
      <c r="M23" s="18" t="n">
        <v>0</v>
      </c>
      <c r="N23" s="20" t="n">
        <v>0</v>
      </c>
      <c r="O23" s="18" t="n">
        <v>0</v>
      </c>
      <c r="P23" s="20" t="n">
        <v>0</v>
      </c>
      <c r="Q23" s="18" t="n">
        <v>0.5525959499999999</v>
      </c>
      <c r="R23" s="20" t="n">
        <v>0.24268298</v>
      </c>
    </row>
    <row r="24" spans="1:18">
      <c r="A24" s="15" t="s">
        <v>582</v>
      </c>
      <c r="B24" s="17" t="n">
        <v>6647</v>
      </c>
      <c r="C24" s="18">
        <f>(5884.0/B24*100)</f>
        <v/>
      </c>
      <c r="D24" s="19" t="n">
        <v>763</v>
      </c>
      <c r="E24" s="18" t="n">
        <v>40.22795135</v>
      </c>
      <c r="F24" s="20" t="n">
        <v>1.88307878</v>
      </c>
      <c r="G24" s="18" t="n">
        <v>58.8882119</v>
      </c>
      <c r="H24" s="20" t="n">
        <v>1.90936941</v>
      </c>
      <c r="I24" s="18" t="n">
        <v>0</v>
      </c>
      <c r="J24" s="20" t="n">
        <v>0</v>
      </c>
      <c r="K24" s="18" t="n">
        <v>0.38817464</v>
      </c>
      <c r="L24" s="20" t="n">
        <v>0.22785115</v>
      </c>
      <c r="M24" s="18" t="n">
        <v>0</v>
      </c>
      <c r="N24" s="20" t="n">
        <v>0</v>
      </c>
      <c r="O24" s="18" t="n">
        <v>0</v>
      </c>
      <c r="P24" s="20" t="n">
        <v>0</v>
      </c>
      <c r="Q24" s="18" t="n">
        <v>0.4956621</v>
      </c>
      <c r="R24" s="20" t="n">
        <v>0.23166658</v>
      </c>
    </row>
    <row r="25" spans="1:18">
      <c r="A25" s="15" t="s">
        <v>583</v>
      </c>
      <c r="B25" s="17" t="n">
        <v>5581</v>
      </c>
      <c r="C25" s="18">
        <f>(4962.0/B25*100)</f>
        <v/>
      </c>
      <c r="D25" s="19" t="n">
        <v>619</v>
      </c>
      <c r="E25" s="18" t="n">
        <v>39.70874516</v>
      </c>
      <c r="F25" s="20" t="n">
        <v>1.90167447</v>
      </c>
      <c r="G25" s="18" t="n">
        <v>60.15549244</v>
      </c>
      <c r="H25" s="20" t="n">
        <v>1.89838261</v>
      </c>
      <c r="I25" s="18" t="n">
        <v>0</v>
      </c>
      <c r="J25" s="20" t="n">
        <v>0</v>
      </c>
      <c r="K25" s="18" t="n">
        <v>0</v>
      </c>
      <c r="L25" s="20" t="n">
        <v>0</v>
      </c>
      <c r="M25" s="18" t="n">
        <v>0</v>
      </c>
      <c r="N25" s="20" t="n">
        <v>0</v>
      </c>
      <c r="O25" s="18" t="n">
        <v>0</v>
      </c>
      <c r="P25" s="20" t="n">
        <v>0</v>
      </c>
      <c r="Q25" s="18" t="n">
        <v>0.1357624</v>
      </c>
      <c r="R25" s="20" t="n">
        <v>0.1354912</v>
      </c>
    </row>
    <row r="26" spans="1:18">
      <c r="A26" s="15" t="s">
        <v>584</v>
      </c>
      <c r="B26" s="17" t="n">
        <v>4869</v>
      </c>
      <c r="C26" s="18">
        <f>(4335.0/B26*100)</f>
        <v/>
      </c>
      <c r="D26" s="19" t="n">
        <v>534</v>
      </c>
      <c r="E26" s="18" t="n">
        <v>34.55191919</v>
      </c>
      <c r="F26" s="20" t="n">
        <v>2.37721887</v>
      </c>
      <c r="G26" s="18" t="n">
        <v>64.60764150999999</v>
      </c>
      <c r="H26" s="20" t="n">
        <v>2.38250156</v>
      </c>
      <c r="I26" s="18" t="n">
        <v>0</v>
      </c>
      <c r="J26" s="20" t="n">
        <v>0</v>
      </c>
      <c r="K26" s="18" t="n">
        <v>0.12785237</v>
      </c>
      <c r="L26" s="20" t="n">
        <v>0.12704412</v>
      </c>
      <c r="M26" s="18" t="n">
        <v>0</v>
      </c>
      <c r="N26" s="20" t="n">
        <v>0</v>
      </c>
      <c r="O26" s="18" t="n">
        <v>0</v>
      </c>
      <c r="P26" s="20" t="n">
        <v>0</v>
      </c>
      <c r="Q26" s="18" t="n">
        <v>0.71258693</v>
      </c>
      <c r="R26" s="20" t="n">
        <v>0.42874365</v>
      </c>
    </row>
    <row r="27" spans="1:18">
      <c r="A27" s="15" t="s">
        <v>585</v>
      </c>
      <c r="B27" s="17" t="n">
        <v>5299</v>
      </c>
      <c r="C27" s="18">
        <f>(4745.0/B27*100)</f>
        <v/>
      </c>
      <c r="D27" s="19" t="n">
        <v>554</v>
      </c>
      <c r="E27" s="18" t="n">
        <v>25.87531426</v>
      </c>
      <c r="F27" s="20" t="n">
        <v>1.75601092</v>
      </c>
      <c r="G27" s="18" t="n">
        <v>73.20551502000001</v>
      </c>
      <c r="H27" s="20" t="n">
        <v>1.78895009</v>
      </c>
      <c r="I27" s="18" t="n">
        <v>0</v>
      </c>
      <c r="J27" s="20" t="n">
        <v>0</v>
      </c>
      <c r="K27" s="18" t="n">
        <v>0.37061513</v>
      </c>
      <c r="L27" s="20" t="n">
        <v>0.26172968</v>
      </c>
      <c r="M27" s="18" t="n">
        <v>0</v>
      </c>
      <c r="N27" s="20" t="n">
        <v>0</v>
      </c>
      <c r="O27" s="18" t="n">
        <v>0</v>
      </c>
      <c r="P27" s="20" t="n">
        <v>0</v>
      </c>
      <c r="Q27" s="18" t="n">
        <v>0.54855558</v>
      </c>
      <c r="R27" s="20" t="n">
        <v>0.31220791</v>
      </c>
    </row>
    <row r="28" spans="1:18">
      <c r="A28" s="15" t="s">
        <v>586</v>
      </c>
      <c r="B28" s="17" t="n">
        <v>7568</v>
      </c>
      <c r="C28" s="18">
        <f>(6784.0/B28*100)</f>
        <v/>
      </c>
      <c r="D28" s="19" t="n">
        <v>784</v>
      </c>
      <c r="E28" s="18" t="n">
        <v>46.12268573</v>
      </c>
      <c r="F28" s="20" t="n">
        <v>2.61992743</v>
      </c>
      <c r="G28" s="18" t="n">
        <v>51.39631987</v>
      </c>
      <c r="H28" s="20" t="n">
        <v>2.48523936</v>
      </c>
      <c r="I28" s="18" t="n">
        <v>0</v>
      </c>
      <c r="J28" s="20" t="n">
        <v>0</v>
      </c>
      <c r="K28" s="18" t="n">
        <v>1.04760158</v>
      </c>
      <c r="L28" s="20" t="n">
        <v>0.47172164</v>
      </c>
      <c r="M28" s="18" t="n">
        <v>0</v>
      </c>
      <c r="N28" s="20" t="n">
        <v>0</v>
      </c>
      <c r="O28" s="18" t="n">
        <v>0</v>
      </c>
      <c r="P28" s="20" t="n">
        <v>0</v>
      </c>
      <c r="Q28" s="18" t="n">
        <v>1.43339282</v>
      </c>
      <c r="R28" s="20" t="n">
        <v>0.5050248899999999</v>
      </c>
    </row>
    <row r="29" spans="1:18">
      <c r="A29" s="15" t="s">
        <v>587</v>
      </c>
      <c r="B29" s="17" t="n">
        <v>5385</v>
      </c>
      <c r="C29" s="18">
        <f>(4788.0/B29*100)</f>
        <v/>
      </c>
      <c r="D29" s="19" t="n">
        <v>597</v>
      </c>
      <c r="E29" s="18" t="n">
        <v>31.03431274</v>
      </c>
      <c r="F29" s="20" t="n">
        <v>1.90284499</v>
      </c>
      <c r="G29" s="18" t="n">
        <v>68.80034918</v>
      </c>
      <c r="H29" s="20" t="n">
        <v>1.91201651</v>
      </c>
      <c r="I29" s="18" t="n">
        <v>0</v>
      </c>
      <c r="J29" s="20" t="n">
        <v>0</v>
      </c>
      <c r="K29" s="18" t="n">
        <v>0</v>
      </c>
      <c r="L29" s="20" t="n">
        <v>0</v>
      </c>
      <c r="M29" s="18" t="n">
        <v>0</v>
      </c>
      <c r="N29" s="20" t="n">
        <v>0</v>
      </c>
      <c r="O29" s="18" t="n">
        <v>0</v>
      </c>
      <c r="P29" s="20" t="n">
        <v>0</v>
      </c>
      <c r="Q29" s="18" t="n">
        <v>0.16533808</v>
      </c>
      <c r="R29" s="20" t="n">
        <v>0.15493805</v>
      </c>
    </row>
    <row r="30" spans="1:18">
      <c r="A30" s="15" t="s">
        <v>588</v>
      </c>
      <c r="B30" s="17" t="n">
        <v>4520</v>
      </c>
      <c r="C30" s="18">
        <f>(4033.0/B30*100)</f>
        <v/>
      </c>
      <c r="D30" s="19" t="n">
        <v>487</v>
      </c>
      <c r="E30" s="18" t="n">
        <v>26.40770483</v>
      </c>
      <c r="F30" s="20" t="n">
        <v>2.13687148</v>
      </c>
      <c r="G30" s="18" t="n">
        <v>72.44731663</v>
      </c>
      <c r="H30" s="20" t="n">
        <v>2.13919656</v>
      </c>
      <c r="I30" s="18" t="n">
        <v>0</v>
      </c>
      <c r="J30" s="20" t="n">
        <v>0</v>
      </c>
      <c r="K30" s="18" t="n">
        <v>0.5123772599999999</v>
      </c>
      <c r="L30" s="20" t="n">
        <v>0.36389651</v>
      </c>
      <c r="M30" s="18" t="n">
        <v>0</v>
      </c>
      <c r="N30" s="20" t="n">
        <v>0</v>
      </c>
      <c r="O30" s="18" t="n">
        <v>0</v>
      </c>
      <c r="P30" s="20" t="n">
        <v>0</v>
      </c>
      <c r="Q30" s="18" t="n">
        <v>0.63260128</v>
      </c>
      <c r="R30" s="20" t="n">
        <v>0.37450801</v>
      </c>
    </row>
    <row r="31" spans="1:18">
      <c r="A31" s="15" t="s">
        <v>589</v>
      </c>
      <c r="B31" s="17" t="n">
        <v>5456</v>
      </c>
      <c r="C31" s="18">
        <f>(4878.0/B31*100)</f>
        <v/>
      </c>
      <c r="D31" s="19" t="n">
        <v>578</v>
      </c>
      <c r="E31" s="18" t="n">
        <v>34.05273314</v>
      </c>
      <c r="F31" s="20" t="n">
        <v>1.9045323</v>
      </c>
      <c r="G31" s="18" t="n">
        <v>64.40113006999999</v>
      </c>
      <c r="H31" s="20" t="n">
        <v>1.9706734</v>
      </c>
      <c r="I31" s="18" t="n">
        <v>0</v>
      </c>
      <c r="J31" s="20" t="n">
        <v>0</v>
      </c>
      <c r="K31" s="18" t="n">
        <v>0.50131432</v>
      </c>
      <c r="L31" s="20" t="n">
        <v>0.28940551</v>
      </c>
      <c r="M31" s="18" t="n">
        <v>0</v>
      </c>
      <c r="N31" s="20" t="n">
        <v>0</v>
      </c>
      <c r="O31" s="18" t="n">
        <v>0</v>
      </c>
      <c r="P31" s="20" t="n">
        <v>0</v>
      </c>
      <c r="Q31" s="18" t="n">
        <v>1.04482247</v>
      </c>
      <c r="R31" s="20" t="n">
        <v>0.50215249</v>
      </c>
    </row>
    <row r="32" spans="1:18">
      <c r="A32" s="15" t="s">
        <v>590</v>
      </c>
      <c r="B32" s="17" t="n">
        <v>4478</v>
      </c>
      <c r="C32" s="18">
        <f>(3984.0/B32*100)</f>
        <v/>
      </c>
      <c r="D32" s="19" t="n">
        <v>494</v>
      </c>
      <c r="E32" s="18" t="n">
        <v>26.96750853</v>
      </c>
      <c r="F32" s="20" t="n">
        <v>2.11741922</v>
      </c>
      <c r="G32" s="18" t="n">
        <v>73.03249147</v>
      </c>
      <c r="H32" s="20" t="n">
        <v>2.11741922</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(6542.0/B33*100)</f>
        <v/>
      </c>
      <c r="D33" s="19" t="n">
        <v>783</v>
      </c>
      <c r="E33" s="18" t="n">
        <v>34.91511372</v>
      </c>
      <c r="F33" s="20" t="n">
        <v>2.07755257</v>
      </c>
      <c r="G33" s="18" t="n">
        <v>64.38434079</v>
      </c>
      <c r="H33" s="20" t="n">
        <v>2.08238659</v>
      </c>
      <c r="I33" s="18" t="n">
        <v>0</v>
      </c>
      <c r="J33" s="20" t="n">
        <v>0</v>
      </c>
      <c r="K33" s="18" t="n">
        <v>0.20406227</v>
      </c>
      <c r="L33" s="20" t="n">
        <v>0.19224751</v>
      </c>
      <c r="M33" s="18" t="n">
        <v>0</v>
      </c>
      <c r="N33" s="20" t="n">
        <v>0</v>
      </c>
      <c r="O33" s="18" t="n">
        <v>0</v>
      </c>
      <c r="P33" s="20" t="n">
        <v>0</v>
      </c>
      <c r="Q33" s="18" t="n">
        <v>0.49648322</v>
      </c>
      <c r="R33" s="20" t="n">
        <v>0.30617863</v>
      </c>
    </row>
    <row r="34" spans="1:18">
      <c r="A34" s="15" t="s">
        <v>592</v>
      </c>
      <c r="B34" s="17" t="n">
        <v>6350</v>
      </c>
      <c r="C34" s="18">
        <f>(5660.0/B34*100)</f>
        <v/>
      </c>
      <c r="D34" s="19" t="n">
        <v>690</v>
      </c>
      <c r="E34" s="18" t="n">
        <v>32.38953124</v>
      </c>
      <c r="F34" s="20" t="n">
        <v>1.70228455</v>
      </c>
      <c r="G34" s="18" t="n">
        <v>66.01800231999999</v>
      </c>
      <c r="H34" s="20" t="n">
        <v>1.84405856</v>
      </c>
      <c r="I34" s="18" t="n">
        <v>0</v>
      </c>
      <c r="J34" s="20" t="n">
        <v>0</v>
      </c>
      <c r="K34" s="18" t="n">
        <v>0.44807299</v>
      </c>
      <c r="L34" s="20" t="n">
        <v>0.25624608</v>
      </c>
      <c r="M34" s="18" t="n">
        <v>0</v>
      </c>
      <c r="N34" s="20" t="n">
        <v>0</v>
      </c>
      <c r="O34" s="18" t="n">
        <v>0</v>
      </c>
      <c r="P34" s="20" t="n">
        <v>0</v>
      </c>
      <c r="Q34" s="18" t="n">
        <v>1.14439345</v>
      </c>
      <c r="R34" s="20" t="n">
        <v>0.33544417</v>
      </c>
    </row>
    <row r="35" spans="1:18">
      <c r="A35" s="15" t="s">
        <v>593</v>
      </c>
      <c r="B35" s="17" t="n">
        <v>6406</v>
      </c>
      <c r="C35" s="18">
        <f>(5688.0/B35*100)</f>
        <v/>
      </c>
      <c r="D35" s="19" t="n">
        <v>718</v>
      </c>
      <c r="E35" s="18" t="n">
        <v>21.03195637</v>
      </c>
      <c r="F35" s="20" t="n">
        <v>1.78329283</v>
      </c>
      <c r="G35" s="18" t="n">
        <v>78.69175625</v>
      </c>
      <c r="H35" s="20" t="n">
        <v>1.76497412</v>
      </c>
      <c r="I35" s="18" t="n">
        <v>0</v>
      </c>
      <c r="J35" s="20" t="n">
        <v>0</v>
      </c>
      <c r="K35" s="18" t="n">
        <v>0.15474199</v>
      </c>
      <c r="L35" s="20" t="n">
        <v>0.10928623</v>
      </c>
      <c r="M35" s="18" t="n">
        <v>0</v>
      </c>
      <c r="N35" s="20" t="n">
        <v>0</v>
      </c>
      <c r="O35" s="18" t="n">
        <v>0</v>
      </c>
      <c r="P35" s="20" t="n">
        <v>0</v>
      </c>
      <c r="Q35" s="18" t="n">
        <v>0.12154539</v>
      </c>
      <c r="R35" s="20" t="n">
        <v>0.12271766</v>
      </c>
    </row>
    <row r="36" spans="1:18">
      <c r="A36" s="15" t="s">
        <v>594</v>
      </c>
      <c r="B36" s="17" t="n">
        <v>6736</v>
      </c>
      <c r="C36" s="18">
        <f>(6038.0/B36*100)</f>
        <v/>
      </c>
      <c r="D36" s="19" t="n">
        <v>698</v>
      </c>
      <c r="E36" s="18" t="n">
        <v>42.28032007</v>
      </c>
      <c r="F36" s="20" t="n">
        <v>1.89313179</v>
      </c>
      <c r="G36" s="18" t="n">
        <v>56.45063461</v>
      </c>
      <c r="H36" s="20" t="n">
        <v>1.8960961</v>
      </c>
      <c r="I36" s="18" t="n">
        <v>0</v>
      </c>
      <c r="J36" s="20" t="n">
        <v>0</v>
      </c>
      <c r="K36" s="18" t="n">
        <v>0.59768857</v>
      </c>
      <c r="L36" s="20" t="n">
        <v>0.37683491</v>
      </c>
      <c r="M36" s="18" t="n">
        <v>0</v>
      </c>
      <c r="N36" s="20" t="n">
        <v>0</v>
      </c>
      <c r="O36" s="18" t="n">
        <v>0</v>
      </c>
      <c r="P36" s="20" t="n">
        <v>0</v>
      </c>
      <c r="Q36" s="18" t="n">
        <v>0.6713567499999999</v>
      </c>
      <c r="R36" s="20" t="n">
        <v>0.35580461</v>
      </c>
    </row>
    <row r="37" spans="1:18">
      <c r="A37" s="15" t="s">
        <v>595</v>
      </c>
      <c r="B37" s="17" t="n">
        <v>5458</v>
      </c>
      <c r="C37" s="18">
        <f>(4838.0/B37*100)</f>
        <v/>
      </c>
      <c r="D37" s="19" t="n">
        <v>620</v>
      </c>
      <c r="E37" s="18" t="n">
        <v>29.71567752</v>
      </c>
      <c r="F37" s="20" t="n">
        <v>2.21067273</v>
      </c>
      <c r="G37" s="18" t="n">
        <v>68.85051722999999</v>
      </c>
      <c r="H37" s="20" t="n">
        <v>2.24883145</v>
      </c>
      <c r="I37" s="18" t="n">
        <v>0</v>
      </c>
      <c r="J37" s="20" t="n">
        <v>0</v>
      </c>
      <c r="K37" s="18" t="n">
        <v>0.65306471</v>
      </c>
      <c r="L37" s="20" t="n">
        <v>0.24581562</v>
      </c>
      <c r="M37" s="18" t="n">
        <v>0</v>
      </c>
      <c r="N37" s="20" t="n">
        <v>0</v>
      </c>
      <c r="O37" s="18" t="n">
        <v>0</v>
      </c>
      <c r="P37" s="20" t="n">
        <v>0</v>
      </c>
      <c r="Q37" s="18" t="n">
        <v>0.78074054</v>
      </c>
      <c r="R37" s="20" t="n">
        <v>0.35427223</v>
      </c>
    </row>
    <row r="38" spans="1:18">
      <c r="A38" s="15" t="s">
        <v>596</v>
      </c>
      <c r="B38" s="17" t="n">
        <v>5860</v>
      </c>
      <c r="C38" s="18">
        <f>(5238.0/B38*100)</f>
        <v/>
      </c>
      <c r="D38" s="19" t="n">
        <v>622</v>
      </c>
      <c r="E38" s="18" t="n">
        <v>25.04731471</v>
      </c>
      <c r="F38" s="20" t="n">
        <v>2.02903777</v>
      </c>
      <c r="G38" s="18" t="n">
        <v>74.61449752</v>
      </c>
      <c r="H38" s="20" t="n">
        <v>2.04635964</v>
      </c>
      <c r="I38" s="18" t="n">
        <v>0</v>
      </c>
      <c r="J38" s="20" t="n">
        <v>0</v>
      </c>
      <c r="K38" s="18" t="n">
        <v>0.16757794</v>
      </c>
      <c r="L38" s="20" t="n">
        <v>0.17202266</v>
      </c>
      <c r="M38" s="18" t="n">
        <v>0</v>
      </c>
      <c r="N38" s="20" t="n">
        <v>0</v>
      </c>
      <c r="O38" s="18" t="n">
        <v>0</v>
      </c>
      <c r="P38" s="20" t="n">
        <v>0</v>
      </c>
      <c r="Q38" s="18" t="n">
        <v>0.17060982</v>
      </c>
      <c r="R38" s="20" t="n">
        <v>0.16058188</v>
      </c>
    </row>
    <row r="39" spans="1:18">
      <c r="A39" s="15" t="s">
        <v>597</v>
      </c>
      <c r="B39" s="17" t="n">
        <v>5895</v>
      </c>
      <c r="C39" s="18">
        <f>(5252.0/B39*100)</f>
        <v/>
      </c>
      <c r="D39" s="19" t="n">
        <v>643</v>
      </c>
      <c r="E39" s="18" t="n">
        <v>40.78014983</v>
      </c>
      <c r="F39" s="20" t="n">
        <v>2.25751435</v>
      </c>
      <c r="G39" s="18" t="n">
        <v>57.16692602</v>
      </c>
      <c r="H39" s="20" t="n">
        <v>2.24234221</v>
      </c>
      <c r="I39" s="18" t="n">
        <v>0</v>
      </c>
      <c r="J39" s="20" t="n">
        <v>0</v>
      </c>
      <c r="K39" s="18" t="n">
        <v>0.64394324</v>
      </c>
      <c r="L39" s="20" t="n">
        <v>0.6078934499999999</v>
      </c>
      <c r="M39" s="18" t="n">
        <v>0</v>
      </c>
      <c r="N39" s="20" t="n">
        <v>0</v>
      </c>
      <c r="O39" s="18" t="n">
        <v>0</v>
      </c>
      <c r="P39" s="20" t="n">
        <v>0</v>
      </c>
      <c r="Q39" s="18" t="n">
        <v>1.40898091</v>
      </c>
      <c r="R39" s="20" t="n">
        <v>0.43037369</v>
      </c>
    </row>
    <row r="40" spans="1:18">
      <c r="A40" s="15" t="s">
        <v>598</v>
      </c>
      <c r="B40" s="17" t="n">
        <v>14157</v>
      </c>
      <c r="C40" s="18">
        <f>(12578.0/B40*100)</f>
        <v/>
      </c>
      <c r="D40" s="19" t="n">
        <v>1579</v>
      </c>
      <c r="E40" s="18" t="n">
        <v>35.49557223</v>
      </c>
      <c r="F40" s="20" t="n">
        <v>1.79651925</v>
      </c>
      <c r="G40" s="18" t="n">
        <v>62.80153617</v>
      </c>
      <c r="H40" s="20" t="n">
        <v>1.85615748</v>
      </c>
      <c r="I40" s="18" t="n">
        <v>0</v>
      </c>
      <c r="J40" s="20" t="n">
        <v>0</v>
      </c>
      <c r="K40" s="18" t="n">
        <v>0.68237114</v>
      </c>
      <c r="L40" s="20" t="n">
        <v>0.35368999</v>
      </c>
      <c r="M40" s="18" t="n">
        <v>0</v>
      </c>
      <c r="N40" s="20" t="n">
        <v>0</v>
      </c>
      <c r="O40" s="18" t="n">
        <v>0</v>
      </c>
      <c r="P40" s="20" t="n">
        <v>0</v>
      </c>
      <c r="Q40" s="18" t="n">
        <v>1.02052046</v>
      </c>
      <c r="R40" s="20" t="n">
        <v>0.42696676</v>
      </c>
    </row>
    <row r="41" spans="1:18">
      <c r="A41" s="15" t="s">
        <v>599</v>
      </c>
      <c r="B41" s="17" t="n">
        <v>5712</v>
      </c>
      <c r="C41" s="18">
        <f>(5102.0/B41*100)</f>
        <v/>
      </c>
      <c r="D41" s="19" t="n">
        <v>610</v>
      </c>
      <c r="E41" s="18" t="n">
        <v>37.3098154</v>
      </c>
      <c r="F41" s="20" t="n">
        <v>1.94205625</v>
      </c>
      <c r="G41" s="18" t="n">
        <v>62.05871915</v>
      </c>
      <c r="H41" s="20" t="n">
        <v>1.89632151</v>
      </c>
      <c r="I41" s="18" t="n">
        <v>0</v>
      </c>
      <c r="J41" s="20" t="n">
        <v>0</v>
      </c>
      <c r="K41" s="18" t="n">
        <v>0.3368161</v>
      </c>
      <c r="L41" s="20" t="n">
        <v>0.24548687</v>
      </c>
      <c r="M41" s="18" t="n">
        <v>0</v>
      </c>
      <c r="N41" s="20" t="n">
        <v>0</v>
      </c>
      <c r="O41" s="18" t="n">
        <v>0</v>
      </c>
      <c r="P41" s="20" t="n">
        <v>0</v>
      </c>
      <c r="Q41" s="18" t="n">
        <v>0.29464936</v>
      </c>
      <c r="R41" s="20" t="n">
        <v>0.22365248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(20960.0/B46*100)</f>
        <v/>
      </c>
      <c r="D46" s="19" t="n">
        <v>2181</v>
      </c>
      <c r="E46" s="18" t="n">
        <v>45.80848453</v>
      </c>
      <c r="F46" s="20" t="n">
        <v>1.32497792</v>
      </c>
      <c r="G46" s="18" t="n">
        <v>51.09663181</v>
      </c>
      <c r="H46" s="20" t="n">
        <v>1.44330638</v>
      </c>
      <c r="I46" s="18" t="n">
        <v>0</v>
      </c>
      <c r="J46" s="20" t="n">
        <v>0</v>
      </c>
      <c r="K46" s="18" t="n">
        <v>1.63734384</v>
      </c>
      <c r="L46" s="20" t="n">
        <v>0.31960861</v>
      </c>
      <c r="M46" s="18" t="n">
        <v>0</v>
      </c>
      <c r="N46" s="20" t="n">
        <v>0</v>
      </c>
      <c r="O46" s="18" t="n">
        <v>0</v>
      </c>
      <c r="P46" s="20" t="n">
        <v>0</v>
      </c>
      <c r="Q46" s="18" t="n">
        <v>1.45753982</v>
      </c>
      <c r="R46" s="20" t="n">
        <v>0.35283828</v>
      </c>
    </row>
    <row r="47" spans="1:18">
      <c r="A47" s="15" t="s">
        <v>606</v>
      </c>
      <c r="B47" s="17" t="n">
        <v>5928</v>
      </c>
      <c r="C47" s="18">
        <f>(5281.0/B47*100)</f>
        <v/>
      </c>
      <c r="D47" s="19" t="n">
        <v>647</v>
      </c>
      <c r="E47" s="18" t="n">
        <v>38.47649594</v>
      </c>
      <c r="F47" s="20" t="n">
        <v>2.47318069</v>
      </c>
      <c r="G47" s="18" t="n">
        <v>60.30178575</v>
      </c>
      <c r="H47" s="20" t="n">
        <v>2.55551424</v>
      </c>
      <c r="I47" s="18" t="n">
        <v>0</v>
      </c>
      <c r="J47" s="20" t="n">
        <v>0</v>
      </c>
      <c r="K47" s="18" t="n">
        <v>0.77125484</v>
      </c>
      <c r="L47" s="20" t="n">
        <v>0.33532337</v>
      </c>
      <c r="M47" s="18" t="n">
        <v>0</v>
      </c>
      <c r="N47" s="20" t="n">
        <v>0</v>
      </c>
      <c r="O47" s="18" t="n">
        <v>0</v>
      </c>
      <c r="P47" s="20" t="n">
        <v>0</v>
      </c>
      <c r="Q47" s="18" t="n">
        <v>0.45046347</v>
      </c>
      <c r="R47" s="20" t="n">
        <v>0.33478903</v>
      </c>
    </row>
    <row r="48" spans="1:18">
      <c r="A48" s="15" t="s">
        <v>607</v>
      </c>
      <c r="B48" s="17" t="n">
        <v>9841</v>
      </c>
      <c r="C48" s="18">
        <f>(8748.0/B48*100)</f>
        <v/>
      </c>
      <c r="D48" s="19" t="n">
        <v>1093</v>
      </c>
      <c r="E48" s="18" t="n">
        <v>36.58091967</v>
      </c>
      <c r="F48" s="20" t="n">
        <v>2.36618965</v>
      </c>
      <c r="G48" s="18" t="n">
        <v>61.84021511</v>
      </c>
      <c r="H48" s="20" t="n">
        <v>2.40076981</v>
      </c>
      <c r="I48" s="18" t="n">
        <v>0</v>
      </c>
      <c r="J48" s="20" t="n">
        <v>0</v>
      </c>
      <c r="K48" s="18" t="n">
        <v>0.94453129</v>
      </c>
      <c r="L48" s="20" t="n">
        <v>0.18234543</v>
      </c>
      <c r="M48" s="18" t="n">
        <v>0</v>
      </c>
      <c r="N48" s="20" t="n">
        <v>0</v>
      </c>
      <c r="O48" s="18" t="n">
        <v>0</v>
      </c>
      <c r="P48" s="20" t="n">
        <v>0</v>
      </c>
      <c r="Q48" s="18" t="n">
        <v>0.63433393</v>
      </c>
      <c r="R48" s="20" t="n">
        <v>0.04373497</v>
      </c>
    </row>
    <row r="49" spans="1:18">
      <c r="A49" s="15" t="s">
        <v>608</v>
      </c>
      <c r="B49" s="17" t="n">
        <v>11795</v>
      </c>
      <c r="C49" s="18">
        <f>(10523.0/B49*100)</f>
        <v/>
      </c>
      <c r="D49" s="19" t="n">
        <v>1272</v>
      </c>
      <c r="E49" s="18" t="n">
        <v>46.43609175</v>
      </c>
      <c r="F49" s="20" t="n">
        <v>2.02270771</v>
      </c>
      <c r="G49" s="18" t="n">
        <v>52.06289613</v>
      </c>
      <c r="H49" s="20" t="n">
        <v>1.98201746</v>
      </c>
      <c r="I49" s="18" t="n">
        <v>0</v>
      </c>
      <c r="J49" s="20" t="n">
        <v>0</v>
      </c>
      <c r="K49" s="18" t="n">
        <v>0.74238906</v>
      </c>
      <c r="L49" s="20" t="n">
        <v>0.37001572</v>
      </c>
      <c r="M49" s="18" t="n">
        <v>0</v>
      </c>
      <c r="N49" s="20" t="n">
        <v>0</v>
      </c>
      <c r="O49" s="18" t="n">
        <v>0</v>
      </c>
      <c r="P49" s="20" t="n">
        <v>0</v>
      </c>
      <c r="Q49" s="18" t="n">
        <v>0.75862307</v>
      </c>
      <c r="R49" s="20" t="n">
        <v>0.29330243</v>
      </c>
    </row>
    <row r="50" spans="1:18">
      <c r="A50" s="15" t="s">
        <v>609</v>
      </c>
      <c r="B50" s="17" t="n">
        <v>6866</v>
      </c>
      <c r="C50" s="18">
        <f>(6189.0/B50*100)</f>
        <v/>
      </c>
      <c r="D50" s="19" t="n">
        <v>677</v>
      </c>
      <c r="E50" s="18" t="n">
        <v>44.14527269</v>
      </c>
      <c r="F50" s="20" t="n">
        <v>1.80098363</v>
      </c>
      <c r="G50" s="18" t="n">
        <v>55.08611782</v>
      </c>
      <c r="H50" s="20" t="n">
        <v>1.83103076</v>
      </c>
      <c r="I50" s="18" t="n">
        <v>0</v>
      </c>
      <c r="J50" s="20" t="n">
        <v>0</v>
      </c>
      <c r="K50" s="18" t="n">
        <v>0</v>
      </c>
      <c r="L50" s="20" t="n">
        <v>0</v>
      </c>
      <c r="M50" s="18" t="n">
        <v>0</v>
      </c>
      <c r="N50" s="20" t="n">
        <v>0</v>
      </c>
      <c r="O50" s="18" t="n">
        <v>0</v>
      </c>
      <c r="P50" s="20" t="n">
        <v>0</v>
      </c>
      <c r="Q50" s="18" t="n">
        <v>0.76860948</v>
      </c>
      <c r="R50" s="20" t="n">
        <v>0.33209655</v>
      </c>
    </row>
    <row r="51" spans="1:18">
      <c r="A51" s="15" t="s">
        <v>610</v>
      </c>
      <c r="B51" s="17" t="n">
        <v>5809</v>
      </c>
      <c r="C51" s="18">
        <f>(5169.0/B51*100)</f>
        <v/>
      </c>
      <c r="D51" s="19" t="n">
        <v>640</v>
      </c>
      <c r="E51" s="18" t="n">
        <v>32.91779313</v>
      </c>
      <c r="F51" s="20" t="n">
        <v>1.81798262</v>
      </c>
      <c r="G51" s="18" t="n">
        <v>66.22350303</v>
      </c>
      <c r="H51" s="20" t="n">
        <v>1.78859393</v>
      </c>
      <c r="I51" s="18" t="n">
        <v>0</v>
      </c>
      <c r="J51" s="20" t="n">
        <v>0</v>
      </c>
      <c r="K51" s="18" t="n">
        <v>0.11795892</v>
      </c>
      <c r="L51" s="20" t="n">
        <v>0.1186599</v>
      </c>
      <c r="M51" s="18" t="n">
        <v>0</v>
      </c>
      <c r="N51" s="20" t="n">
        <v>0</v>
      </c>
      <c r="O51" s="18" t="n">
        <v>0</v>
      </c>
      <c r="P51" s="20" t="n">
        <v>0</v>
      </c>
      <c r="Q51" s="18" t="n">
        <v>0.74074492</v>
      </c>
      <c r="R51" s="20" t="n">
        <v>0.33535855</v>
      </c>
    </row>
    <row r="52" spans="1:18">
      <c r="A52" s="15" t="s">
        <v>611</v>
      </c>
      <c r="B52" s="17" t="n">
        <v>5571</v>
      </c>
      <c r="C52" s="18">
        <f>(4977.0/B52*100)</f>
        <v/>
      </c>
      <c r="D52" s="19" t="n">
        <v>594</v>
      </c>
      <c r="E52" s="18" t="n">
        <v>46.40996792</v>
      </c>
      <c r="F52" s="20" t="n">
        <v>2.29010932</v>
      </c>
      <c r="G52" s="18" t="n">
        <v>52.27646546</v>
      </c>
      <c r="H52" s="20" t="n">
        <v>2.22744956</v>
      </c>
      <c r="I52" s="18" t="n">
        <v>0</v>
      </c>
      <c r="J52" s="20" t="n">
        <v>0</v>
      </c>
      <c r="K52" s="18" t="n">
        <v>0.28373584</v>
      </c>
      <c r="L52" s="20" t="n">
        <v>0.20281085</v>
      </c>
      <c r="M52" s="18" t="n">
        <v>0</v>
      </c>
      <c r="N52" s="20" t="n">
        <v>0</v>
      </c>
      <c r="O52" s="18" t="n">
        <v>0</v>
      </c>
      <c r="P52" s="20" t="n">
        <v>0</v>
      </c>
      <c r="Q52" s="18" t="n">
        <v>1.02983079</v>
      </c>
      <c r="R52" s="20" t="n">
        <v>0.39661079</v>
      </c>
    </row>
    <row r="53" spans="1:18">
      <c r="A53" s="15" t="s">
        <v>612</v>
      </c>
      <c r="B53" s="17" t="n">
        <v>4740</v>
      </c>
      <c r="C53" s="18">
        <f>(4222.0/B53*100)</f>
        <v/>
      </c>
      <c r="D53" s="19" t="n">
        <v>518</v>
      </c>
      <c r="E53" s="18" t="n">
        <v>50.32967029</v>
      </c>
      <c r="F53" s="20" t="n">
        <v>2.67427616</v>
      </c>
      <c r="G53" s="18" t="n">
        <v>38.03812177</v>
      </c>
      <c r="H53" s="20" t="n">
        <v>2.39523796</v>
      </c>
      <c r="I53" s="18" t="n">
        <v>0</v>
      </c>
      <c r="J53" s="20" t="n">
        <v>0</v>
      </c>
      <c r="K53" s="18" t="n">
        <v>9.94383493</v>
      </c>
      <c r="L53" s="20" t="n">
        <v>1.58795288</v>
      </c>
      <c r="M53" s="18" t="n">
        <v>0</v>
      </c>
      <c r="N53" s="20" t="n">
        <v>0</v>
      </c>
      <c r="O53" s="18" t="n">
        <v>0</v>
      </c>
      <c r="P53" s="20" t="n">
        <v>0</v>
      </c>
      <c r="Q53" s="18" t="n">
        <v>1.68837301</v>
      </c>
      <c r="R53" s="20" t="n">
        <v>0.66767813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(4768.0/B55*100)</f>
        <v/>
      </c>
      <c r="D55" s="19" t="n">
        <v>591</v>
      </c>
      <c r="E55" s="18" t="n">
        <v>37.68769572</v>
      </c>
      <c r="F55" s="20" t="n">
        <v>2.06434979</v>
      </c>
      <c r="G55" s="18" t="n">
        <v>61.49548149</v>
      </c>
      <c r="H55" s="20" t="n">
        <v>2.02704098</v>
      </c>
      <c r="I55" s="18" t="n">
        <v>0</v>
      </c>
      <c r="J55" s="20" t="n">
        <v>0</v>
      </c>
      <c r="K55" s="18" t="n">
        <v>0.69237953</v>
      </c>
      <c r="L55" s="20" t="n">
        <v>0.45182465</v>
      </c>
      <c r="M55" s="18" t="n">
        <v>0</v>
      </c>
      <c r="N55" s="20" t="n">
        <v>0</v>
      </c>
      <c r="O55" s="18" t="n">
        <v>0</v>
      </c>
      <c r="P55" s="20" t="n">
        <v>0</v>
      </c>
      <c r="Q55" s="18" t="n">
        <v>0.12444327</v>
      </c>
      <c r="R55" s="20" t="n">
        <v>0.13100744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(5828.0/B61*100)</f>
        <v/>
      </c>
      <c r="D61" s="19" t="n">
        <v>697</v>
      </c>
      <c r="E61" s="18" t="n">
        <v>36.92740583</v>
      </c>
      <c r="F61" s="20" t="n">
        <v>1.95323202</v>
      </c>
      <c r="G61" s="18" t="n">
        <v>62.87018323</v>
      </c>
      <c r="H61" s="20" t="n">
        <v>1.9400318</v>
      </c>
      <c r="I61" s="18" t="n">
        <v>0</v>
      </c>
      <c r="J61" s="20" t="n">
        <v>0</v>
      </c>
      <c r="K61" s="18" t="n">
        <v>0.17137484</v>
      </c>
      <c r="L61" s="20" t="n">
        <v>0.17209541</v>
      </c>
      <c r="M61" s="18" t="n">
        <v>0</v>
      </c>
      <c r="N61" s="20" t="n">
        <v>0</v>
      </c>
      <c r="O61" s="18" t="n">
        <v>0</v>
      </c>
      <c r="P61" s="20" t="n">
        <v>0</v>
      </c>
      <c r="Q61" s="18" t="n">
        <v>0.0310361</v>
      </c>
      <c r="R61" s="20" t="n">
        <v>0.03107803</v>
      </c>
    </row>
    <row r="62" spans="1:18">
      <c r="A62" s="15" t="s">
        <v>622</v>
      </c>
      <c r="B62" s="17" t="n">
        <v>4476</v>
      </c>
      <c r="C62" s="18">
        <f>(3964.0/B62*100)</f>
        <v/>
      </c>
      <c r="D62" s="19" t="n">
        <v>512</v>
      </c>
      <c r="E62" s="18" t="n">
        <v>28.00354549</v>
      </c>
      <c r="F62" s="20" t="n">
        <v>2.05803266</v>
      </c>
      <c r="G62" s="18" t="n">
        <v>71.99645451000001</v>
      </c>
      <c r="H62" s="20" t="n">
        <v>2.05803266</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(5045.0/B67*100)</f>
        <v/>
      </c>
      <c r="D67" s="19" t="n">
        <v>620</v>
      </c>
      <c r="E67" s="18" t="n">
        <v>35.73231694</v>
      </c>
      <c r="F67" s="20" t="n">
        <v>1.7438251</v>
      </c>
      <c r="G67" s="18" t="n">
        <v>61.01567797</v>
      </c>
      <c r="H67" s="20" t="n">
        <v>1.76988697</v>
      </c>
      <c r="I67" s="18" t="n">
        <v>0</v>
      </c>
      <c r="J67" s="20" t="n">
        <v>0</v>
      </c>
      <c r="K67" s="18" t="n">
        <v>1.09438279</v>
      </c>
      <c r="L67" s="20" t="n">
        <v>0.41707074</v>
      </c>
      <c r="M67" s="18" t="n">
        <v>0</v>
      </c>
      <c r="N67" s="20" t="n">
        <v>0</v>
      </c>
      <c r="O67" s="18" t="n">
        <v>0</v>
      </c>
      <c r="P67" s="20" t="n">
        <v>0</v>
      </c>
      <c r="Q67" s="18" t="n">
        <v>2.15762229</v>
      </c>
      <c r="R67" s="20" t="n">
        <v>0.55382394</v>
      </c>
    </row>
    <row r="68" spans="1:18">
      <c r="A68" s="15" t="s">
        <v>628</v>
      </c>
      <c r="B68" s="17" t="n">
        <v>6971</v>
      </c>
      <c r="C68" s="18">
        <f>(6279.0/B68*100)</f>
        <v/>
      </c>
      <c r="D68" s="19" t="n">
        <v>692</v>
      </c>
      <c r="E68" s="18" t="n">
        <v>45.68742335</v>
      </c>
      <c r="F68" s="20" t="n">
        <v>1.92116019</v>
      </c>
      <c r="G68" s="18" t="n">
        <v>52.76588562</v>
      </c>
      <c r="H68" s="20" t="n">
        <v>1.79548543</v>
      </c>
      <c r="I68" s="18" t="n">
        <v>0</v>
      </c>
      <c r="J68" s="20" t="n">
        <v>0</v>
      </c>
      <c r="K68" s="18" t="n">
        <v>0.14152816</v>
      </c>
      <c r="L68" s="20" t="n">
        <v>0.1408422</v>
      </c>
      <c r="M68" s="18" t="n">
        <v>0</v>
      </c>
      <c r="N68" s="20" t="n">
        <v>0</v>
      </c>
      <c r="O68" s="18" t="n">
        <v>0</v>
      </c>
      <c r="P68" s="20" t="n">
        <v>0</v>
      </c>
      <c r="Q68" s="18" t="n">
        <v>1.40516287</v>
      </c>
      <c r="R68" s="20" t="n">
        <v>0.53377821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(10710.0/B70*100)</f>
        <v/>
      </c>
      <c r="D70" s="19" t="n">
        <v>1373</v>
      </c>
      <c r="E70" s="18" t="n">
        <v>39.52766268</v>
      </c>
      <c r="F70" s="20" t="n">
        <v>1.42520038</v>
      </c>
      <c r="G70" s="18" t="n">
        <v>58.26885442</v>
      </c>
      <c r="H70" s="20" t="n">
        <v>1.4354996</v>
      </c>
      <c r="I70" s="18" t="n">
        <v>0</v>
      </c>
      <c r="J70" s="20" t="n">
        <v>0</v>
      </c>
      <c r="K70" s="18" t="n">
        <v>1.40333671</v>
      </c>
      <c r="L70" s="20" t="n">
        <v>0.33530912</v>
      </c>
      <c r="M70" s="18" t="n">
        <v>0</v>
      </c>
      <c r="N70" s="20" t="n">
        <v>0</v>
      </c>
      <c r="O70" s="18" t="n">
        <v>0</v>
      </c>
      <c r="P70" s="20" t="n">
        <v>0</v>
      </c>
      <c r="Q70" s="18" t="n">
        <v>0.80014619</v>
      </c>
      <c r="R70" s="20" t="n">
        <v>0.19587161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(5408.0/B72*100)</f>
        <v/>
      </c>
      <c r="D72" s="19" t="n">
        <v>628</v>
      </c>
      <c r="E72" s="18" t="n">
        <v>36.72763591</v>
      </c>
      <c r="F72" s="20" t="n">
        <v>2.47366218</v>
      </c>
      <c r="G72" s="18" t="n">
        <v>62.19001528</v>
      </c>
      <c r="H72" s="20" t="n">
        <v>2.46885655</v>
      </c>
      <c r="I72" s="18" t="n">
        <v>0</v>
      </c>
      <c r="J72" s="20" t="n">
        <v>0</v>
      </c>
      <c r="K72" s="18" t="n">
        <v>0.42430302</v>
      </c>
      <c r="L72" s="20" t="n">
        <v>0.29231461</v>
      </c>
      <c r="M72" s="18" t="n">
        <v>0</v>
      </c>
      <c r="N72" s="20" t="n">
        <v>0</v>
      </c>
      <c r="O72" s="18" t="n">
        <v>0</v>
      </c>
      <c r="P72" s="20" t="n">
        <v>0</v>
      </c>
      <c r="Q72" s="18" t="n">
        <v>0.65804579</v>
      </c>
      <c r="R72" s="20" t="n">
        <v>0.40213344</v>
      </c>
    </row>
    <row r="73" spans="1:18">
      <c r="A73" s="15" t="s">
        <v>633</v>
      </c>
      <c r="B73" s="17" t="n">
        <v>6115</v>
      </c>
      <c r="C73" s="18">
        <f>(5464.0/B73*100)</f>
        <v/>
      </c>
      <c r="D73" s="19" t="n">
        <v>651</v>
      </c>
      <c r="E73" s="18" t="n">
        <v>38.65954678</v>
      </c>
      <c r="F73" s="20" t="n">
        <v>2.00474425</v>
      </c>
      <c r="G73" s="18" t="n">
        <v>60.88420964</v>
      </c>
      <c r="H73" s="20" t="n">
        <v>1.98852997</v>
      </c>
      <c r="I73" s="18" t="n">
        <v>0</v>
      </c>
      <c r="J73" s="20" t="n">
        <v>0</v>
      </c>
      <c r="K73" s="18" t="n">
        <v>0.22868203</v>
      </c>
      <c r="L73" s="20" t="n">
        <v>0.16558305</v>
      </c>
      <c r="M73" s="18" t="n">
        <v>0</v>
      </c>
      <c r="N73" s="20" t="n">
        <v>0</v>
      </c>
      <c r="O73" s="18" t="n">
        <v>0</v>
      </c>
      <c r="P73" s="20" t="n">
        <v>0</v>
      </c>
      <c r="Q73" s="18" t="n">
        <v>0.22756155</v>
      </c>
      <c r="R73" s="20" t="n">
        <v>0.1643197</v>
      </c>
    </row>
    <row r="74" spans="1:18">
      <c r="A74" s="15" t="s">
        <v>634</v>
      </c>
      <c r="B74" s="17" t="n">
        <v>7708</v>
      </c>
      <c r="C74" s="18">
        <f>(6867.0/B74*100)</f>
        <v/>
      </c>
      <c r="D74" s="19" t="n">
        <v>841</v>
      </c>
      <c r="E74" s="18" t="n">
        <v>29.823211</v>
      </c>
      <c r="F74" s="20" t="n">
        <v>1.51946281</v>
      </c>
      <c r="G74" s="18" t="n">
        <v>69.79404959999999</v>
      </c>
      <c r="H74" s="20" t="n">
        <v>1.4890552</v>
      </c>
      <c r="I74" s="18" t="n">
        <v>0</v>
      </c>
      <c r="J74" s="20" t="n">
        <v>0</v>
      </c>
      <c r="K74" s="18" t="n">
        <v>0.24575765</v>
      </c>
      <c r="L74" s="20" t="n">
        <v>0.14558361</v>
      </c>
      <c r="M74" s="18" t="n">
        <v>0</v>
      </c>
      <c r="N74" s="20" t="n">
        <v>0</v>
      </c>
      <c r="O74" s="18" t="n">
        <v>0</v>
      </c>
      <c r="P74" s="20" t="n">
        <v>0</v>
      </c>
      <c r="Q74" s="18" t="n">
        <v>0.13698175</v>
      </c>
      <c r="R74" s="20" t="n">
        <v>0.13738218</v>
      </c>
    </row>
    <row r="75" spans="1:18">
      <c r="A75" s="15" t="s">
        <v>635</v>
      </c>
      <c r="B75" s="17" t="n">
        <v>8249</v>
      </c>
      <c r="C75" s="18">
        <f>(7346.0/B75*100)</f>
        <v/>
      </c>
      <c r="D75" s="19" t="n">
        <v>903</v>
      </c>
      <c r="E75" s="18" t="n">
        <v>32.99329985</v>
      </c>
      <c r="F75" s="20" t="n">
        <v>2.10921385</v>
      </c>
      <c r="G75" s="18" t="n">
        <v>66.41472705</v>
      </c>
      <c r="H75" s="20" t="n">
        <v>2.06157197</v>
      </c>
      <c r="I75" s="18" t="n">
        <v>0</v>
      </c>
      <c r="J75" s="20" t="n">
        <v>0</v>
      </c>
      <c r="K75" s="18" t="n">
        <v>0.23691031</v>
      </c>
      <c r="L75" s="20" t="n">
        <v>0.1755135</v>
      </c>
      <c r="M75" s="18" t="n">
        <v>0</v>
      </c>
      <c r="N75" s="20" t="n">
        <v>0</v>
      </c>
      <c r="O75" s="18" t="n">
        <v>0</v>
      </c>
      <c r="P75" s="20" t="n">
        <v>0</v>
      </c>
      <c r="Q75" s="18" t="n">
        <v>0.35506279</v>
      </c>
      <c r="R75" s="20" t="n">
        <v>0.2117766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(4824.0/B77*100)</f>
        <v/>
      </c>
      <c r="D77" s="19" t="n">
        <v>551</v>
      </c>
      <c r="E77" s="18" t="n">
        <v>46.61094206</v>
      </c>
      <c r="F77" s="20" t="n">
        <v>2.47165153</v>
      </c>
      <c r="G77" s="18" t="n">
        <v>48.65592389</v>
      </c>
      <c r="H77" s="20" t="n">
        <v>2.43009305</v>
      </c>
      <c r="I77" s="18" t="n">
        <v>0</v>
      </c>
      <c r="J77" s="20" t="n">
        <v>0</v>
      </c>
      <c r="K77" s="18" t="n">
        <v>3.36506383</v>
      </c>
      <c r="L77" s="20" t="n">
        <v>1.07303768</v>
      </c>
      <c r="M77" s="18" t="n">
        <v>0</v>
      </c>
      <c r="N77" s="20" t="n">
        <v>0</v>
      </c>
      <c r="O77" s="18" t="n">
        <v>0</v>
      </c>
      <c r="P77" s="20" t="n">
        <v>0</v>
      </c>
      <c r="Q77" s="18" t="n">
        <v>1.36807022</v>
      </c>
      <c r="R77" s="20" t="n">
        <v>0.56519051</v>
      </c>
    </row>
    <row r="78" spans="1:18">
      <c r="A78" s="15" t="s">
        <v>638</v>
      </c>
      <c r="B78" s="17" t="n">
        <v>14167</v>
      </c>
      <c r="C78" s="18">
        <f>(12601.0/B78*100)</f>
        <v/>
      </c>
      <c r="D78" s="19" t="n">
        <v>1566</v>
      </c>
      <c r="E78" s="18" t="n">
        <v>35.66511268</v>
      </c>
      <c r="F78" s="20" t="n">
        <v>1.56597167</v>
      </c>
      <c r="G78" s="18" t="n">
        <v>62.65648164</v>
      </c>
      <c r="H78" s="20" t="n">
        <v>1.60553475</v>
      </c>
      <c r="I78" s="18" t="n">
        <v>0</v>
      </c>
      <c r="J78" s="20" t="n">
        <v>0</v>
      </c>
      <c r="K78" s="18" t="n">
        <v>0.76583018</v>
      </c>
      <c r="L78" s="20" t="n">
        <v>0.23831719</v>
      </c>
      <c r="M78" s="18" t="n">
        <v>0</v>
      </c>
      <c r="N78" s="20" t="n">
        <v>0</v>
      </c>
      <c r="O78" s="18" t="n">
        <v>0</v>
      </c>
      <c r="P78" s="20" t="n">
        <v>0</v>
      </c>
      <c r="Q78" s="18" t="n">
        <v>0.91257549</v>
      </c>
      <c r="R78" s="20" t="n">
        <v>0.28959938</v>
      </c>
    </row>
    <row r="79" spans="1:18">
      <c r="A79" s="15" t="s">
        <v>639</v>
      </c>
      <c r="B79" s="17" t="n">
        <v>6062</v>
      </c>
      <c r="C79" s="18">
        <f>(5410.0/B79*100)</f>
        <v/>
      </c>
      <c r="D79" s="19" t="n">
        <v>652</v>
      </c>
      <c r="E79" s="18" t="n">
        <v>45.48277058</v>
      </c>
      <c r="F79" s="20" t="n">
        <v>1.88482577</v>
      </c>
      <c r="G79" s="18" t="n">
        <v>51.1597636</v>
      </c>
      <c r="H79" s="20" t="n">
        <v>1.89905288</v>
      </c>
      <c r="I79" s="18" t="n">
        <v>0</v>
      </c>
      <c r="J79" s="20" t="n">
        <v>0</v>
      </c>
      <c r="K79" s="18" t="n">
        <v>1.27962913</v>
      </c>
      <c r="L79" s="20" t="n">
        <v>0.43297764</v>
      </c>
      <c r="M79" s="18" t="n">
        <v>0</v>
      </c>
      <c r="N79" s="20" t="n">
        <v>0</v>
      </c>
      <c r="O79" s="18" t="n">
        <v>0</v>
      </c>
      <c r="P79" s="20" t="n">
        <v>0</v>
      </c>
      <c r="Q79" s="18" t="n">
        <v>2.07783669</v>
      </c>
      <c r="R79" s="20" t="n">
        <v>0.61707833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(28761.0/B82*100)</f>
        <v/>
      </c>
      <c r="D82" s="19" t="n">
        <v>3569</v>
      </c>
      <c r="E82" s="18" t="n">
        <v>42.91458127</v>
      </c>
      <c r="F82" s="20" t="n">
        <v>1.33043345</v>
      </c>
      <c r="G82" s="18" t="n">
        <v>56.10136161</v>
      </c>
      <c r="H82" s="20" t="n">
        <v>1.34622302</v>
      </c>
      <c r="I82" s="18" t="n">
        <v>0</v>
      </c>
      <c r="J82" s="20" t="n">
        <v>0</v>
      </c>
      <c r="K82" s="18" t="n">
        <v>0.38651586</v>
      </c>
      <c r="L82" s="20" t="n">
        <v>0.21705672</v>
      </c>
      <c r="M82" s="18" t="n">
        <v>0</v>
      </c>
      <c r="N82" s="20" t="n">
        <v>0</v>
      </c>
      <c r="O82" s="18" t="n">
        <v>0</v>
      </c>
      <c r="P82" s="20" t="n">
        <v>0</v>
      </c>
      <c r="Q82" s="18" t="n">
        <v>0.59754125</v>
      </c>
      <c r="R82" s="20" t="n">
        <v>0.2121095</v>
      </c>
    </row>
    <row r="83" spans="1:18">
      <c r="A83" s="15" t="s">
        <v>643</v>
      </c>
      <c r="B83" s="17" t="n">
        <v>1652</v>
      </c>
      <c r="C83" s="18">
        <f>(1470.0/B83*100)</f>
        <v/>
      </c>
      <c r="D83" s="19" t="n">
        <v>182</v>
      </c>
      <c r="E83" s="18" t="n">
        <v>29.36047337</v>
      </c>
      <c r="F83" s="20" t="n">
        <v>3.22767989</v>
      </c>
      <c r="G83" s="18" t="n">
        <v>69.48895534</v>
      </c>
      <c r="H83" s="20" t="n">
        <v>3.27703455</v>
      </c>
      <c r="I83" s="18" t="n">
        <v>0</v>
      </c>
      <c r="J83" s="20" t="n">
        <v>0</v>
      </c>
      <c r="K83" s="18" t="n">
        <v>0.55763378</v>
      </c>
      <c r="L83" s="20" t="n">
        <v>0.55715891</v>
      </c>
      <c r="M83" s="18" t="n">
        <v>0</v>
      </c>
      <c r="N83" s="20" t="n">
        <v>0</v>
      </c>
      <c r="O83" s="18" t="n">
        <v>0</v>
      </c>
      <c r="P83" s="20" t="n">
        <v>0</v>
      </c>
      <c r="Q83" s="18" t="n">
        <v>0.5929375099999999</v>
      </c>
      <c r="R83" s="20" t="n">
        <v>0.41514623</v>
      </c>
    </row>
    <row r="84" spans="1:18">
      <c r="A84" s="23" t="s">
        <v>644</v>
      </c>
      <c r="B84" s="24" t="n">
        <v>1887</v>
      </c>
      <c r="C84" s="25">
        <f>(1686.0/B84*100)</f>
        <v/>
      </c>
      <c r="D84" s="19" t="n">
        <v>201</v>
      </c>
      <c r="E84" s="18" t="n">
        <v>38.21100376</v>
      </c>
      <c r="F84" s="20" t="n">
        <v>3.82511823</v>
      </c>
      <c r="G84" s="18" t="n">
        <v>61.24203846</v>
      </c>
      <c r="H84" s="20" t="n">
        <v>3.82745735</v>
      </c>
      <c r="I84" s="18" t="n">
        <v>0</v>
      </c>
      <c r="J84" s="20" t="n">
        <v>0</v>
      </c>
      <c r="K84" s="18" t="n">
        <v>0</v>
      </c>
      <c r="L84" s="20" t="n">
        <v>0</v>
      </c>
      <c r="M84" s="18" t="n">
        <v>0</v>
      </c>
      <c r="N84" s="20" t="n">
        <v>0</v>
      </c>
      <c r="O84" s="18" t="n">
        <v>0</v>
      </c>
      <c r="P84" s="20" t="n">
        <v>0</v>
      </c>
      <c r="Q84" s="18" t="n">
        <v>0.5469577799999999</v>
      </c>
      <c r="R84" s="20" t="n">
        <v>0.53909033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(12941.0/B7*100)</f>
        <v/>
      </c>
      <c r="D7" s="19" t="n">
        <v>1589</v>
      </c>
      <c r="E7" s="18" t="n">
        <v>40.16555766</v>
      </c>
      <c r="F7" s="20" t="n">
        <v>1.24745489</v>
      </c>
      <c r="G7" s="18" t="n">
        <v>58.96861357</v>
      </c>
      <c r="H7" s="20" t="n">
        <v>1.23528331</v>
      </c>
      <c r="I7" s="18" t="n">
        <v>0</v>
      </c>
      <c r="J7" s="20" t="n">
        <v>0</v>
      </c>
      <c r="K7" s="18" t="n">
        <v>0.48562005</v>
      </c>
      <c r="L7" s="20" t="n">
        <v>0.19463816</v>
      </c>
      <c r="M7" s="18" t="n">
        <v>0</v>
      </c>
      <c r="N7" s="20" t="n">
        <v>0</v>
      </c>
      <c r="O7" s="18" t="n">
        <v>0</v>
      </c>
      <c r="P7" s="20" t="n">
        <v>0</v>
      </c>
      <c r="Q7" s="18" t="n">
        <v>0.38020872</v>
      </c>
      <c r="R7" s="20" t="n">
        <v>0.19597065</v>
      </c>
    </row>
    <row r="8" spans="1:18">
      <c r="A8" s="15" t="s">
        <v>566</v>
      </c>
      <c r="B8" s="17" t="n">
        <v>7007</v>
      </c>
      <c r="C8" s="18">
        <f>(6223.0/B8*100)</f>
        <v/>
      </c>
      <c r="D8" s="19" t="n">
        <v>784</v>
      </c>
      <c r="E8" s="18" t="n">
        <v>45.76544737</v>
      </c>
      <c r="F8" s="20" t="n">
        <v>1.91067537</v>
      </c>
      <c r="G8" s="18" t="n">
        <v>53.06303402</v>
      </c>
      <c r="H8" s="20" t="n">
        <v>1.95326553</v>
      </c>
      <c r="I8" s="18" t="n">
        <v>0</v>
      </c>
      <c r="J8" s="20" t="n">
        <v>0</v>
      </c>
      <c r="K8" s="18" t="n">
        <v>0.16486969</v>
      </c>
      <c r="L8" s="20" t="n">
        <v>0.11844454</v>
      </c>
      <c r="M8" s="18" t="n">
        <v>0</v>
      </c>
      <c r="N8" s="20" t="n">
        <v>0</v>
      </c>
      <c r="O8" s="18" t="n">
        <v>0</v>
      </c>
      <c r="P8" s="20" t="n">
        <v>0</v>
      </c>
      <c r="Q8" s="18" t="n">
        <v>1.00664891</v>
      </c>
      <c r="R8" s="20" t="n">
        <v>0.4171478</v>
      </c>
    </row>
    <row r="9" spans="1:18">
      <c r="A9" s="15" t="s">
        <v>567</v>
      </c>
      <c r="B9" s="17" t="n">
        <v>9651</v>
      </c>
      <c r="C9" s="18">
        <f>(8590.0/B9*100)</f>
        <v/>
      </c>
      <c r="D9" s="19" t="n">
        <v>1061</v>
      </c>
      <c r="E9" s="18" t="n">
        <v>41.6275067</v>
      </c>
      <c r="F9" s="20" t="n">
        <v>1.48724413</v>
      </c>
      <c r="G9" s="18" t="n">
        <v>57.45236786</v>
      </c>
      <c r="H9" s="20" t="n">
        <v>1.49902345</v>
      </c>
      <c r="I9" s="18" t="n">
        <v>0</v>
      </c>
      <c r="J9" s="20" t="n">
        <v>0</v>
      </c>
      <c r="K9" s="18" t="n">
        <v>0.2520571</v>
      </c>
      <c r="L9" s="20" t="n">
        <v>0.14034106</v>
      </c>
      <c r="M9" s="18" t="n">
        <v>0</v>
      </c>
      <c r="N9" s="20" t="n">
        <v>0</v>
      </c>
      <c r="O9" s="18" t="n">
        <v>0</v>
      </c>
      <c r="P9" s="20" t="n">
        <v>0</v>
      </c>
      <c r="Q9" s="18" t="n">
        <v>0.66806835</v>
      </c>
      <c r="R9" s="20" t="n">
        <v>0.26334779</v>
      </c>
    </row>
    <row r="10" spans="1:18">
      <c r="A10" s="15" t="s">
        <v>568</v>
      </c>
      <c r="B10" s="17" t="n">
        <v>20058</v>
      </c>
      <c r="C10" s="18">
        <f>(17864.0/B10*100)</f>
        <v/>
      </c>
      <c r="D10" s="19" t="n">
        <v>2194</v>
      </c>
      <c r="E10" s="18" t="n">
        <v>43.63385384</v>
      </c>
      <c r="F10" s="20" t="n">
        <v>1.61990423</v>
      </c>
      <c r="G10" s="18" t="n">
        <v>55.73341484</v>
      </c>
      <c r="H10" s="20" t="n">
        <v>1.60242607</v>
      </c>
      <c r="I10" s="18" t="n">
        <v>0</v>
      </c>
      <c r="J10" s="20" t="n">
        <v>0</v>
      </c>
      <c r="K10" s="18" t="n">
        <v>0.12018607</v>
      </c>
      <c r="L10" s="20" t="n">
        <v>0.08343259</v>
      </c>
      <c r="M10" s="18" t="n">
        <v>0</v>
      </c>
      <c r="N10" s="20" t="n">
        <v>0</v>
      </c>
      <c r="O10" s="18" t="n">
        <v>0</v>
      </c>
      <c r="P10" s="20" t="n">
        <v>0</v>
      </c>
      <c r="Q10" s="18" t="n">
        <v>0.51254526</v>
      </c>
      <c r="R10" s="20" t="n">
        <v>0.20483963</v>
      </c>
    </row>
    <row r="11" spans="1:18">
      <c r="A11" s="15" t="s">
        <v>569</v>
      </c>
      <c r="B11" s="17" t="n">
        <v>7053</v>
      </c>
      <c r="C11" s="18">
        <f>(6269.0/B11*100)</f>
        <v/>
      </c>
      <c r="D11" s="19" t="n">
        <v>784</v>
      </c>
      <c r="E11" s="18" t="n">
        <v>59.05822165</v>
      </c>
      <c r="F11" s="20" t="n">
        <v>1.75543578</v>
      </c>
      <c r="G11" s="18" t="n">
        <v>38.45659014</v>
      </c>
      <c r="H11" s="20" t="n">
        <v>1.81768474</v>
      </c>
      <c r="I11" s="18" t="n">
        <v>0</v>
      </c>
      <c r="J11" s="20" t="n">
        <v>0</v>
      </c>
      <c r="K11" s="18" t="n">
        <v>1.05724706</v>
      </c>
      <c r="L11" s="20" t="n">
        <v>0.3704956</v>
      </c>
      <c r="M11" s="18" t="n">
        <v>0</v>
      </c>
      <c r="N11" s="20" t="n">
        <v>0</v>
      </c>
      <c r="O11" s="18" t="n">
        <v>0</v>
      </c>
      <c r="P11" s="20" t="n">
        <v>0</v>
      </c>
      <c r="Q11" s="18" t="n">
        <v>1.42794115</v>
      </c>
      <c r="R11" s="20" t="n">
        <v>0.46220194</v>
      </c>
    </row>
    <row r="12" spans="1:18">
      <c r="A12" s="15" t="s">
        <v>570</v>
      </c>
      <c r="B12" s="17" t="n">
        <v>6894</v>
      </c>
      <c r="C12" s="18">
        <f>(6100.0/B12*100)</f>
        <v/>
      </c>
      <c r="D12" s="19" t="n">
        <v>794</v>
      </c>
      <c r="E12" s="18" t="n">
        <v>41.48882596</v>
      </c>
      <c r="F12" s="20" t="n">
        <v>2.22959038</v>
      </c>
      <c r="G12" s="18" t="n">
        <v>57.36822442</v>
      </c>
      <c r="H12" s="20" t="n">
        <v>2.34383009</v>
      </c>
      <c r="I12" s="18" t="n">
        <v>0</v>
      </c>
      <c r="J12" s="20" t="n">
        <v>0</v>
      </c>
      <c r="K12" s="18" t="n">
        <v>0.69090563</v>
      </c>
      <c r="L12" s="20" t="n">
        <v>0.3079156</v>
      </c>
      <c r="M12" s="18" t="n">
        <v>0</v>
      </c>
      <c r="N12" s="20" t="n">
        <v>0</v>
      </c>
      <c r="O12" s="18" t="n">
        <v>0</v>
      </c>
      <c r="P12" s="20" t="n">
        <v>0</v>
      </c>
      <c r="Q12" s="18" t="n">
        <v>0.45204399</v>
      </c>
      <c r="R12" s="20" t="n">
        <v>0.31175037</v>
      </c>
    </row>
    <row r="13" spans="1:18">
      <c r="A13" s="15" t="s">
        <v>571</v>
      </c>
      <c r="B13" s="17" t="n">
        <v>7161</v>
      </c>
      <c r="C13" s="18">
        <f>(6406.0/B13*100)</f>
        <v/>
      </c>
      <c r="D13" s="19" t="n">
        <v>755</v>
      </c>
      <c r="E13" s="18" t="n">
        <v>42.80039139</v>
      </c>
      <c r="F13" s="20" t="n">
        <v>1.81252562</v>
      </c>
      <c r="G13" s="18" t="n">
        <v>56.74783776</v>
      </c>
      <c r="H13" s="20" t="n">
        <v>1.82276778</v>
      </c>
      <c r="I13" s="18" t="n">
        <v>0</v>
      </c>
      <c r="J13" s="20" t="n">
        <v>0</v>
      </c>
      <c r="K13" s="18" t="n">
        <v>0.4282327</v>
      </c>
      <c r="L13" s="20" t="n">
        <v>0.2306205</v>
      </c>
      <c r="M13" s="18" t="n">
        <v>0</v>
      </c>
      <c r="N13" s="20" t="n">
        <v>0</v>
      </c>
      <c r="O13" s="18" t="n">
        <v>0</v>
      </c>
      <c r="P13" s="20" t="n">
        <v>0</v>
      </c>
      <c r="Q13" s="18" t="n">
        <v>0.02353815</v>
      </c>
      <c r="R13" s="20" t="n">
        <v>0.02285121</v>
      </c>
    </row>
    <row r="14" spans="1:18">
      <c r="A14" s="15" t="s">
        <v>572</v>
      </c>
      <c r="B14" s="17" t="n">
        <v>5587</v>
      </c>
      <c r="C14" s="18">
        <f>(4970.0/B14*100)</f>
        <v/>
      </c>
      <c r="D14" s="19" t="n">
        <v>617</v>
      </c>
      <c r="E14" s="18" t="n">
        <v>38.19363815</v>
      </c>
      <c r="F14" s="20" t="n">
        <v>1.98900418</v>
      </c>
      <c r="G14" s="18" t="n">
        <v>61.80636185</v>
      </c>
      <c r="H14" s="20" t="n">
        <v>1.98900418</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(5223.0/B15*100)</f>
        <v/>
      </c>
      <c r="D15" s="19" t="n">
        <v>659</v>
      </c>
      <c r="E15" s="18" t="n">
        <v>46.96490683</v>
      </c>
      <c r="F15" s="20" t="n">
        <v>2.17877493</v>
      </c>
      <c r="G15" s="18" t="n">
        <v>52.45845821</v>
      </c>
      <c r="H15" s="20" t="n">
        <v>2.15973705</v>
      </c>
      <c r="I15" s="18" t="n">
        <v>0</v>
      </c>
      <c r="J15" s="20" t="n">
        <v>0</v>
      </c>
      <c r="K15" s="18" t="n">
        <v>0.4081952</v>
      </c>
      <c r="L15" s="20" t="n">
        <v>0.23761343</v>
      </c>
      <c r="M15" s="18" t="n">
        <v>0</v>
      </c>
      <c r="N15" s="20" t="n">
        <v>0</v>
      </c>
      <c r="O15" s="18" t="n">
        <v>0</v>
      </c>
      <c r="P15" s="20" t="n">
        <v>0</v>
      </c>
      <c r="Q15" s="18" t="n">
        <v>0.16843976</v>
      </c>
      <c r="R15" s="20" t="n">
        <v>0.16877772</v>
      </c>
    </row>
    <row r="16" spans="1:18">
      <c r="A16" s="15" t="s">
        <v>574</v>
      </c>
      <c r="B16" s="17" t="n">
        <v>6108</v>
      </c>
      <c r="C16" s="18">
        <f>(5435.0/B16*100)</f>
        <v/>
      </c>
      <c r="D16" s="19" t="n">
        <v>673</v>
      </c>
      <c r="E16" s="18" t="n">
        <v>40.94465315</v>
      </c>
      <c r="F16" s="20" t="n">
        <v>1.96437372</v>
      </c>
      <c r="G16" s="18" t="n">
        <v>57.38569053</v>
      </c>
      <c r="H16" s="20" t="n">
        <v>1.9557079</v>
      </c>
      <c r="I16" s="18" t="n">
        <v>0</v>
      </c>
      <c r="J16" s="20" t="n">
        <v>0</v>
      </c>
      <c r="K16" s="18" t="n">
        <v>1.2631507</v>
      </c>
      <c r="L16" s="20" t="n">
        <v>0.5429171699999999</v>
      </c>
      <c r="M16" s="18" t="n">
        <v>0</v>
      </c>
      <c r="N16" s="20" t="n">
        <v>0</v>
      </c>
      <c r="O16" s="18" t="n">
        <v>0</v>
      </c>
      <c r="P16" s="20" t="n">
        <v>0</v>
      </c>
      <c r="Q16" s="18" t="n">
        <v>0.40650561</v>
      </c>
      <c r="R16" s="20" t="n">
        <v>0.23499972</v>
      </c>
    </row>
    <row r="17" spans="1:18">
      <c r="A17" s="15" t="s">
        <v>575</v>
      </c>
      <c r="B17" s="17" t="n">
        <v>6504</v>
      </c>
      <c r="C17" s="18">
        <f>(5768.0/B17*100)</f>
        <v/>
      </c>
      <c r="D17" s="19" t="n">
        <v>736</v>
      </c>
      <c r="E17" s="18" t="n">
        <v>40.02569234</v>
      </c>
      <c r="F17" s="20" t="n">
        <v>1.90479703</v>
      </c>
      <c r="G17" s="18" t="n">
        <v>57.41262283</v>
      </c>
      <c r="H17" s="20" t="n">
        <v>2.04709004</v>
      </c>
      <c r="I17" s="18" t="n">
        <v>0</v>
      </c>
      <c r="J17" s="20" t="n">
        <v>0</v>
      </c>
      <c r="K17" s="18" t="n">
        <v>1.64812735</v>
      </c>
      <c r="L17" s="20" t="n">
        <v>0.6393912899999999</v>
      </c>
      <c r="M17" s="18" t="n">
        <v>0</v>
      </c>
      <c r="N17" s="20" t="n">
        <v>0</v>
      </c>
      <c r="O17" s="18" t="n">
        <v>0</v>
      </c>
      <c r="P17" s="20" t="n">
        <v>0</v>
      </c>
      <c r="Q17" s="18" t="n">
        <v>0.91355748</v>
      </c>
      <c r="R17" s="20" t="n">
        <v>0.26060217</v>
      </c>
    </row>
    <row r="18" spans="1:18">
      <c r="A18" s="15" t="s">
        <v>576</v>
      </c>
      <c r="B18" s="17" t="n">
        <v>5532</v>
      </c>
      <c r="C18" s="18">
        <f>(4912.0/B18*100)</f>
        <v/>
      </c>
      <c r="D18" s="19" t="n">
        <v>620</v>
      </c>
      <c r="E18" s="18" t="n">
        <v>45.74112731</v>
      </c>
      <c r="F18" s="20" t="n">
        <v>2.24031013</v>
      </c>
      <c r="G18" s="18" t="n">
        <v>53.44165128</v>
      </c>
      <c r="H18" s="20" t="n">
        <v>2.2271059</v>
      </c>
      <c r="I18" s="18" t="n">
        <v>0</v>
      </c>
      <c r="J18" s="20" t="n">
        <v>0</v>
      </c>
      <c r="K18" s="18" t="n">
        <v>0.52822086</v>
      </c>
      <c r="L18" s="20" t="n">
        <v>0.28863489</v>
      </c>
      <c r="M18" s="18" t="n">
        <v>0</v>
      </c>
      <c r="N18" s="20" t="n">
        <v>0</v>
      </c>
      <c r="O18" s="18" t="n">
        <v>0</v>
      </c>
      <c r="P18" s="20" t="n">
        <v>0</v>
      </c>
      <c r="Q18" s="18" t="n">
        <v>0.28900056</v>
      </c>
      <c r="R18" s="20" t="n">
        <v>0.2069944</v>
      </c>
    </row>
    <row r="19" spans="1:18">
      <c r="A19" s="15" t="s">
        <v>577</v>
      </c>
      <c r="B19" s="17" t="n">
        <v>5658</v>
      </c>
      <c r="C19" s="18">
        <f>(5021.0/B19*100)</f>
        <v/>
      </c>
      <c r="D19" s="19" t="n">
        <v>637</v>
      </c>
      <c r="E19" s="18" t="n">
        <v>40.74157967</v>
      </c>
      <c r="F19" s="20" t="n">
        <v>1.93366161</v>
      </c>
      <c r="G19" s="18" t="n">
        <v>58.72331449</v>
      </c>
      <c r="H19" s="20" t="n">
        <v>1.85158264</v>
      </c>
      <c r="I19" s="18" t="n">
        <v>0</v>
      </c>
      <c r="J19" s="20" t="n">
        <v>0</v>
      </c>
      <c r="K19" s="18" t="n">
        <v>0</v>
      </c>
      <c r="L19" s="20" t="n">
        <v>0</v>
      </c>
      <c r="M19" s="18" t="n">
        <v>0</v>
      </c>
      <c r="N19" s="20" t="n">
        <v>0</v>
      </c>
      <c r="O19" s="18" t="n">
        <v>0</v>
      </c>
      <c r="P19" s="20" t="n">
        <v>0</v>
      </c>
      <c r="Q19" s="18" t="n">
        <v>0.53510585</v>
      </c>
      <c r="R19" s="20" t="n">
        <v>0.3836528</v>
      </c>
    </row>
    <row r="20" spans="1:18">
      <c r="A20" s="15" t="s">
        <v>578</v>
      </c>
      <c r="B20" s="17" t="n">
        <v>3371</v>
      </c>
      <c r="C20" s="18">
        <f>(3008.0/B20*100)</f>
        <v/>
      </c>
      <c r="D20" s="19" t="n">
        <v>363</v>
      </c>
      <c r="E20" s="18" t="n">
        <v>51.75505548</v>
      </c>
      <c r="F20" s="20" t="n">
        <v>2.93729447</v>
      </c>
      <c r="G20" s="18" t="n">
        <v>47.70991736</v>
      </c>
      <c r="H20" s="20" t="n">
        <v>2.97618824</v>
      </c>
      <c r="I20" s="18" t="n">
        <v>0</v>
      </c>
      <c r="J20" s="20" t="n">
        <v>0</v>
      </c>
      <c r="K20" s="18" t="n">
        <v>0.23442045</v>
      </c>
      <c r="L20" s="20" t="n">
        <v>0.23463042</v>
      </c>
      <c r="M20" s="18" t="n">
        <v>0</v>
      </c>
      <c r="N20" s="20" t="n">
        <v>0</v>
      </c>
      <c r="O20" s="18" t="n">
        <v>0</v>
      </c>
      <c r="P20" s="20" t="n">
        <v>0</v>
      </c>
      <c r="Q20" s="18" t="n">
        <v>0.30060672</v>
      </c>
      <c r="R20" s="20" t="n">
        <v>0.30535834</v>
      </c>
    </row>
    <row r="21" spans="1:18">
      <c r="A21" s="15" t="s">
        <v>579</v>
      </c>
      <c r="B21" s="17" t="n">
        <v>5741</v>
      </c>
      <c r="C21" s="18">
        <f>(5106.0/B21*100)</f>
        <v/>
      </c>
      <c r="D21" s="19" t="n">
        <v>635</v>
      </c>
      <c r="E21" s="18" t="n">
        <v>45.19772057</v>
      </c>
      <c r="F21" s="20" t="n">
        <v>2.14412449</v>
      </c>
      <c r="G21" s="18" t="n">
        <v>54.2485587</v>
      </c>
      <c r="H21" s="20" t="n">
        <v>2.1128903</v>
      </c>
      <c r="I21" s="18" t="n">
        <v>0</v>
      </c>
      <c r="J21" s="20" t="n">
        <v>0</v>
      </c>
      <c r="K21" s="18" t="n">
        <v>0</v>
      </c>
      <c r="L21" s="20" t="n">
        <v>0</v>
      </c>
      <c r="M21" s="18" t="n">
        <v>0</v>
      </c>
      <c r="N21" s="20" t="n">
        <v>0</v>
      </c>
      <c r="O21" s="18" t="n">
        <v>0</v>
      </c>
      <c r="P21" s="20" t="n">
        <v>0</v>
      </c>
      <c r="Q21" s="18" t="n">
        <v>0.55372073</v>
      </c>
      <c r="R21" s="20" t="n">
        <v>0.27236672</v>
      </c>
    </row>
    <row r="22" spans="1:18">
      <c r="A22" s="15" t="s">
        <v>580</v>
      </c>
      <c r="B22" s="17" t="n">
        <v>6598</v>
      </c>
      <c r="C22" s="18">
        <f>(5870.0/B22*100)</f>
        <v/>
      </c>
      <c r="D22" s="19" t="n">
        <v>728</v>
      </c>
      <c r="E22" s="18" t="n">
        <v>51.0702785</v>
      </c>
      <c r="F22" s="20" t="n">
        <v>2.00487116</v>
      </c>
      <c r="G22" s="18" t="n">
        <v>47.40991176</v>
      </c>
      <c r="H22" s="20" t="n">
        <v>2.05954912</v>
      </c>
      <c r="I22" s="18" t="n">
        <v>0</v>
      </c>
      <c r="J22" s="20" t="n">
        <v>0</v>
      </c>
      <c r="K22" s="18" t="n">
        <v>0.24828185</v>
      </c>
      <c r="L22" s="20" t="n">
        <v>0.16142552</v>
      </c>
      <c r="M22" s="18" t="n">
        <v>0</v>
      </c>
      <c r="N22" s="20" t="n">
        <v>0</v>
      </c>
      <c r="O22" s="18" t="n">
        <v>0</v>
      </c>
      <c r="P22" s="20" t="n">
        <v>0</v>
      </c>
      <c r="Q22" s="18" t="n">
        <v>1.27152789</v>
      </c>
      <c r="R22" s="20" t="n">
        <v>0.32589117</v>
      </c>
    </row>
    <row r="23" spans="1:18">
      <c r="A23" s="15" t="s">
        <v>581</v>
      </c>
      <c r="B23" s="17" t="n">
        <v>11583</v>
      </c>
      <c r="C23" s="18">
        <f>(10332.0/B23*100)</f>
        <v/>
      </c>
      <c r="D23" s="19" t="n">
        <v>1251</v>
      </c>
      <c r="E23" s="18" t="n">
        <v>46.72214936</v>
      </c>
      <c r="F23" s="20" t="n">
        <v>1.9232388</v>
      </c>
      <c r="G23" s="18" t="n">
        <v>52.31490947</v>
      </c>
      <c r="H23" s="20" t="n">
        <v>2.02400374</v>
      </c>
      <c r="I23" s="18" t="n">
        <v>0</v>
      </c>
      <c r="J23" s="20" t="n">
        <v>0</v>
      </c>
      <c r="K23" s="18" t="n">
        <v>0.67651381</v>
      </c>
      <c r="L23" s="20" t="n">
        <v>0.3471398</v>
      </c>
      <c r="M23" s="18" t="n">
        <v>0</v>
      </c>
      <c r="N23" s="20" t="n">
        <v>0</v>
      </c>
      <c r="O23" s="18" t="n">
        <v>0</v>
      </c>
      <c r="P23" s="20" t="n">
        <v>0</v>
      </c>
      <c r="Q23" s="18" t="n">
        <v>0.28642735</v>
      </c>
      <c r="R23" s="20" t="n">
        <v>0.18036918</v>
      </c>
    </row>
    <row r="24" spans="1:18">
      <c r="A24" s="15" t="s">
        <v>582</v>
      </c>
      <c r="B24" s="17" t="n">
        <v>6647</v>
      </c>
      <c r="C24" s="18">
        <f>(5885.0/B24*100)</f>
        <v/>
      </c>
      <c r="D24" s="19" t="n">
        <v>762</v>
      </c>
      <c r="E24" s="18" t="n">
        <v>37.0890645</v>
      </c>
      <c r="F24" s="20" t="n">
        <v>1.82469859</v>
      </c>
      <c r="G24" s="18" t="n">
        <v>62.52223364</v>
      </c>
      <c r="H24" s="20" t="n">
        <v>1.84433536</v>
      </c>
      <c r="I24" s="18" t="n">
        <v>0</v>
      </c>
      <c r="J24" s="20" t="n">
        <v>0</v>
      </c>
      <c r="K24" s="18" t="n">
        <v>0.38870187</v>
      </c>
      <c r="L24" s="20" t="n">
        <v>0.22815515</v>
      </c>
      <c r="M24" s="18" t="n">
        <v>0</v>
      </c>
      <c r="N24" s="20" t="n">
        <v>0</v>
      </c>
      <c r="O24" s="18" t="n">
        <v>0</v>
      </c>
      <c r="P24" s="20" t="n">
        <v>0</v>
      </c>
      <c r="Q24" s="18" t="n">
        <v>0</v>
      </c>
      <c r="R24" s="20" t="n">
        <v>0</v>
      </c>
    </row>
    <row r="25" spans="1:18">
      <c r="A25" s="15" t="s">
        <v>583</v>
      </c>
      <c r="B25" s="17" t="n">
        <v>5581</v>
      </c>
      <c r="C25" s="18">
        <f>(4962.0/B25*100)</f>
        <v/>
      </c>
      <c r="D25" s="19" t="n">
        <v>619</v>
      </c>
      <c r="E25" s="18" t="n">
        <v>34.60889903</v>
      </c>
      <c r="F25" s="20" t="n">
        <v>2.39081426</v>
      </c>
      <c r="G25" s="18" t="n">
        <v>65.09952367</v>
      </c>
      <c r="H25" s="20" t="n">
        <v>2.3688723</v>
      </c>
      <c r="I25" s="18" t="n">
        <v>0</v>
      </c>
      <c r="J25" s="20" t="n">
        <v>0</v>
      </c>
      <c r="K25" s="18" t="n">
        <v>0.12579645</v>
      </c>
      <c r="L25" s="20" t="n">
        <v>0.12623097</v>
      </c>
      <c r="M25" s="18" t="n">
        <v>0</v>
      </c>
      <c r="N25" s="20" t="n">
        <v>0</v>
      </c>
      <c r="O25" s="18" t="n">
        <v>0</v>
      </c>
      <c r="P25" s="20" t="n">
        <v>0</v>
      </c>
      <c r="Q25" s="18" t="n">
        <v>0.16578084</v>
      </c>
      <c r="R25" s="20" t="n">
        <v>0.16524214</v>
      </c>
    </row>
    <row r="26" spans="1:18">
      <c r="A26" s="15" t="s">
        <v>584</v>
      </c>
      <c r="B26" s="17" t="n">
        <v>4869</v>
      </c>
      <c r="C26" s="18">
        <f>(4335.0/B26*100)</f>
        <v/>
      </c>
      <c r="D26" s="19" t="n">
        <v>534</v>
      </c>
      <c r="E26" s="18" t="n">
        <v>40.01199304</v>
      </c>
      <c r="F26" s="20" t="n">
        <v>2.18802828</v>
      </c>
      <c r="G26" s="18" t="n">
        <v>59.66999189</v>
      </c>
      <c r="H26" s="20" t="n">
        <v>2.21457724</v>
      </c>
      <c r="I26" s="18" t="n">
        <v>0</v>
      </c>
      <c r="J26" s="20" t="n">
        <v>0</v>
      </c>
      <c r="K26" s="18" t="n">
        <v>0.12785237</v>
      </c>
      <c r="L26" s="20" t="n">
        <v>0.12704412</v>
      </c>
      <c r="M26" s="18" t="n">
        <v>0</v>
      </c>
      <c r="N26" s="20" t="n">
        <v>0</v>
      </c>
      <c r="O26" s="18" t="n">
        <v>0</v>
      </c>
      <c r="P26" s="20" t="n">
        <v>0</v>
      </c>
      <c r="Q26" s="18" t="n">
        <v>0.1901627</v>
      </c>
      <c r="R26" s="20" t="n">
        <v>0.17972976</v>
      </c>
    </row>
    <row r="27" spans="1:18">
      <c r="A27" s="15" t="s">
        <v>585</v>
      </c>
      <c r="B27" s="17" t="n">
        <v>5299</v>
      </c>
      <c r="C27" s="18">
        <f>(4745.0/B27*100)</f>
        <v/>
      </c>
      <c r="D27" s="19" t="n">
        <v>554</v>
      </c>
      <c r="E27" s="18" t="n">
        <v>48.09369018</v>
      </c>
      <c r="F27" s="20" t="n">
        <v>1.95906073</v>
      </c>
      <c r="G27" s="18" t="n">
        <v>50.62832101</v>
      </c>
      <c r="H27" s="20" t="n">
        <v>1.86654325</v>
      </c>
      <c r="I27" s="18" t="n">
        <v>0</v>
      </c>
      <c r="J27" s="20" t="n">
        <v>0</v>
      </c>
      <c r="K27" s="18" t="n">
        <v>0.5483124</v>
      </c>
      <c r="L27" s="20" t="n">
        <v>0.31536599</v>
      </c>
      <c r="M27" s="18" t="n">
        <v>0</v>
      </c>
      <c r="N27" s="20" t="n">
        <v>0</v>
      </c>
      <c r="O27" s="18" t="n">
        <v>0</v>
      </c>
      <c r="P27" s="20" t="n">
        <v>0</v>
      </c>
      <c r="Q27" s="18" t="n">
        <v>0.7296764100000001</v>
      </c>
      <c r="R27" s="20" t="n">
        <v>0.36624349</v>
      </c>
    </row>
    <row r="28" spans="1:18">
      <c r="A28" s="15" t="s">
        <v>586</v>
      </c>
      <c r="B28" s="17" t="n">
        <v>7568</v>
      </c>
      <c r="C28" s="18">
        <f>(6788.0/B28*100)</f>
        <v/>
      </c>
      <c r="D28" s="19" t="n">
        <v>780</v>
      </c>
      <c r="E28" s="18" t="n">
        <v>52.40690647</v>
      </c>
      <c r="F28" s="20" t="n">
        <v>2.00897348</v>
      </c>
      <c r="G28" s="18" t="n">
        <v>45.92098971</v>
      </c>
      <c r="H28" s="20" t="n">
        <v>1.99257658</v>
      </c>
      <c r="I28" s="18" t="n">
        <v>0</v>
      </c>
      <c r="J28" s="20" t="n">
        <v>0</v>
      </c>
      <c r="K28" s="18" t="n">
        <v>1.05612113</v>
      </c>
      <c r="L28" s="20" t="n">
        <v>0.47486439</v>
      </c>
      <c r="M28" s="18" t="n">
        <v>0</v>
      </c>
      <c r="N28" s="20" t="n">
        <v>0</v>
      </c>
      <c r="O28" s="18" t="n">
        <v>0</v>
      </c>
      <c r="P28" s="20" t="n">
        <v>0</v>
      </c>
      <c r="Q28" s="18" t="n">
        <v>0.6159826900000001</v>
      </c>
      <c r="R28" s="20" t="n">
        <v>0.33413387</v>
      </c>
    </row>
    <row r="29" spans="1:18">
      <c r="A29" s="15" t="s">
        <v>587</v>
      </c>
      <c r="B29" s="17" t="n">
        <v>5385</v>
      </c>
      <c r="C29" s="18">
        <f>(4788.0/B29*100)</f>
        <v/>
      </c>
      <c r="D29" s="19" t="n">
        <v>597</v>
      </c>
      <c r="E29" s="18" t="n">
        <v>45.10432886</v>
      </c>
      <c r="F29" s="20" t="n">
        <v>1.99333315</v>
      </c>
      <c r="G29" s="18" t="n">
        <v>54.89567114</v>
      </c>
      <c r="H29" s="20" t="n">
        <v>1.99333315</v>
      </c>
      <c r="I29" s="18" t="n">
        <v>0</v>
      </c>
      <c r="J29" s="20" t="n">
        <v>0</v>
      </c>
      <c r="K29" s="18" t="n">
        <v>0</v>
      </c>
      <c r="L29" s="20" t="n">
        <v>0</v>
      </c>
      <c r="M29" s="18" t="n">
        <v>0</v>
      </c>
      <c r="N29" s="20" t="n">
        <v>0</v>
      </c>
      <c r="O29" s="18" t="n">
        <v>0</v>
      </c>
      <c r="P29" s="20" t="n">
        <v>0</v>
      </c>
      <c r="Q29" s="18" t="n">
        <v>0</v>
      </c>
      <c r="R29" s="20" t="n">
        <v>0</v>
      </c>
    </row>
    <row r="30" spans="1:18">
      <c r="A30" s="15" t="s">
        <v>588</v>
      </c>
      <c r="B30" s="17" t="n">
        <v>4520</v>
      </c>
      <c r="C30" s="18">
        <f>(4034.0/B30*100)</f>
        <v/>
      </c>
      <c r="D30" s="19" t="n">
        <v>486</v>
      </c>
      <c r="E30" s="18" t="n">
        <v>42.63759073</v>
      </c>
      <c r="F30" s="20" t="n">
        <v>2.4219735</v>
      </c>
      <c r="G30" s="18" t="n">
        <v>55.99276674</v>
      </c>
      <c r="H30" s="20" t="n">
        <v>2.35393908</v>
      </c>
      <c r="I30" s="18" t="n">
        <v>0</v>
      </c>
      <c r="J30" s="20" t="n">
        <v>0</v>
      </c>
      <c r="K30" s="18" t="n">
        <v>0.96692885</v>
      </c>
      <c r="L30" s="20" t="n">
        <v>0.50342012</v>
      </c>
      <c r="M30" s="18" t="n">
        <v>0</v>
      </c>
      <c r="N30" s="20" t="n">
        <v>0</v>
      </c>
      <c r="O30" s="18" t="n">
        <v>0</v>
      </c>
      <c r="P30" s="20" t="n">
        <v>0</v>
      </c>
      <c r="Q30" s="18" t="n">
        <v>0.40271368</v>
      </c>
      <c r="R30" s="20" t="n">
        <v>0.29999466</v>
      </c>
    </row>
    <row r="31" spans="1:18">
      <c r="A31" s="15" t="s">
        <v>589</v>
      </c>
      <c r="B31" s="17" t="n">
        <v>5456</v>
      </c>
      <c r="C31" s="18">
        <f>(4878.0/B31*100)</f>
        <v/>
      </c>
      <c r="D31" s="19" t="n">
        <v>578</v>
      </c>
      <c r="E31" s="18" t="n">
        <v>40.44881601</v>
      </c>
      <c r="F31" s="20" t="n">
        <v>2.29707956</v>
      </c>
      <c r="G31" s="18" t="n">
        <v>58.36738101</v>
      </c>
      <c r="H31" s="20" t="n">
        <v>2.35370946</v>
      </c>
      <c r="I31" s="18" t="n">
        <v>0</v>
      </c>
      <c r="J31" s="20" t="n">
        <v>0</v>
      </c>
      <c r="K31" s="18" t="n">
        <v>0.50131432</v>
      </c>
      <c r="L31" s="20" t="n">
        <v>0.28940551</v>
      </c>
      <c r="M31" s="18" t="n">
        <v>0</v>
      </c>
      <c r="N31" s="20" t="n">
        <v>0</v>
      </c>
      <c r="O31" s="18" t="n">
        <v>0</v>
      </c>
      <c r="P31" s="20" t="n">
        <v>0</v>
      </c>
      <c r="Q31" s="18" t="n">
        <v>0.68248866</v>
      </c>
      <c r="R31" s="20" t="n">
        <v>0.41052305</v>
      </c>
    </row>
    <row r="32" spans="1:18">
      <c r="A32" s="15" t="s">
        <v>590</v>
      </c>
      <c r="B32" s="17" t="n">
        <v>4478</v>
      </c>
      <c r="C32" s="18">
        <f>(3984.0/B32*100)</f>
        <v/>
      </c>
      <c r="D32" s="19" t="n">
        <v>494</v>
      </c>
      <c r="E32" s="18" t="n">
        <v>41.17386028</v>
      </c>
      <c r="F32" s="20" t="n">
        <v>2.12701304</v>
      </c>
      <c r="G32" s="18" t="n">
        <v>58.61886884</v>
      </c>
      <c r="H32" s="20" t="n">
        <v>2.10956683</v>
      </c>
      <c r="I32" s="18" t="n">
        <v>0</v>
      </c>
      <c r="J32" s="20" t="n">
        <v>0</v>
      </c>
      <c r="K32" s="18" t="n">
        <v>0</v>
      </c>
      <c r="L32" s="20" t="n">
        <v>0</v>
      </c>
      <c r="M32" s="18" t="n">
        <v>0</v>
      </c>
      <c r="N32" s="20" t="n">
        <v>0</v>
      </c>
      <c r="O32" s="18" t="n">
        <v>0</v>
      </c>
      <c r="P32" s="20" t="n">
        <v>0</v>
      </c>
      <c r="Q32" s="18" t="n">
        <v>0.20727087</v>
      </c>
      <c r="R32" s="20" t="n">
        <v>0.18857102</v>
      </c>
    </row>
    <row r="33" spans="1:18">
      <c r="A33" s="15" t="s">
        <v>591</v>
      </c>
      <c r="B33" s="17" t="n">
        <v>7325</v>
      </c>
      <c r="C33" s="18">
        <f>(6543.0/B33*100)</f>
        <v/>
      </c>
      <c r="D33" s="19" t="n">
        <v>782</v>
      </c>
      <c r="E33" s="18" t="n">
        <v>37.53677976</v>
      </c>
      <c r="F33" s="20" t="n">
        <v>1.95724712</v>
      </c>
      <c r="G33" s="18" t="n">
        <v>61.87218996</v>
      </c>
      <c r="H33" s="20" t="n">
        <v>1.98789408</v>
      </c>
      <c r="I33" s="18" t="n">
        <v>0</v>
      </c>
      <c r="J33" s="20" t="n">
        <v>0</v>
      </c>
      <c r="K33" s="18" t="n">
        <v>0.20430752</v>
      </c>
      <c r="L33" s="20" t="n">
        <v>0.19246665</v>
      </c>
      <c r="M33" s="18" t="n">
        <v>0</v>
      </c>
      <c r="N33" s="20" t="n">
        <v>0</v>
      </c>
      <c r="O33" s="18" t="n">
        <v>0</v>
      </c>
      <c r="P33" s="20" t="n">
        <v>0</v>
      </c>
      <c r="Q33" s="18" t="n">
        <v>0.38672276</v>
      </c>
      <c r="R33" s="20" t="n">
        <v>0.20677897</v>
      </c>
    </row>
    <row r="34" spans="1:18">
      <c r="A34" s="15" t="s">
        <v>592</v>
      </c>
      <c r="B34" s="17" t="n">
        <v>6350</v>
      </c>
      <c r="C34" s="18">
        <f>(5663.0/B34*100)</f>
        <v/>
      </c>
      <c r="D34" s="19" t="n">
        <v>687</v>
      </c>
      <c r="E34" s="18" t="n">
        <v>48.87798297</v>
      </c>
      <c r="F34" s="20" t="n">
        <v>2.158238</v>
      </c>
      <c r="G34" s="18" t="n">
        <v>50.56398971</v>
      </c>
      <c r="H34" s="20" t="n">
        <v>2.15175665</v>
      </c>
      <c r="I34" s="18" t="n">
        <v>0</v>
      </c>
      <c r="J34" s="20" t="n">
        <v>0</v>
      </c>
      <c r="K34" s="18" t="n">
        <v>0.45007534</v>
      </c>
      <c r="L34" s="20" t="n">
        <v>0.25736148</v>
      </c>
      <c r="M34" s="18" t="n">
        <v>0</v>
      </c>
      <c r="N34" s="20" t="n">
        <v>0</v>
      </c>
      <c r="O34" s="18" t="n">
        <v>0</v>
      </c>
      <c r="P34" s="20" t="n">
        <v>0</v>
      </c>
      <c r="Q34" s="18" t="n">
        <v>0.10795198</v>
      </c>
      <c r="R34" s="20" t="n">
        <v>0.10846139</v>
      </c>
    </row>
    <row r="35" spans="1:18">
      <c r="A35" s="15" t="s">
        <v>593</v>
      </c>
      <c r="B35" s="17" t="n">
        <v>6406</v>
      </c>
      <c r="C35" s="18">
        <f>(5688.0/B35*100)</f>
        <v/>
      </c>
      <c r="D35" s="19" t="n">
        <v>718</v>
      </c>
      <c r="E35" s="18" t="n">
        <v>31.23713193</v>
      </c>
      <c r="F35" s="20" t="n">
        <v>1.93833628</v>
      </c>
      <c r="G35" s="18" t="n">
        <v>68.52310443</v>
      </c>
      <c r="H35" s="20" t="n">
        <v>1.93077703</v>
      </c>
      <c r="I35" s="18" t="n">
        <v>0</v>
      </c>
      <c r="J35" s="20" t="n">
        <v>0</v>
      </c>
      <c r="K35" s="18" t="n">
        <v>0.15474199</v>
      </c>
      <c r="L35" s="20" t="n">
        <v>0.10928623</v>
      </c>
      <c r="M35" s="18" t="n">
        <v>0</v>
      </c>
      <c r="N35" s="20" t="n">
        <v>0</v>
      </c>
      <c r="O35" s="18" t="n">
        <v>0</v>
      </c>
      <c r="P35" s="20" t="n">
        <v>0</v>
      </c>
      <c r="Q35" s="18" t="n">
        <v>0.08502166</v>
      </c>
      <c r="R35" s="20" t="n">
        <v>0.08520885</v>
      </c>
    </row>
    <row r="36" spans="1:18">
      <c r="A36" s="15" t="s">
        <v>594</v>
      </c>
      <c r="B36" s="17" t="n">
        <v>6736</v>
      </c>
      <c r="C36" s="18">
        <f>(6038.0/B36*100)</f>
        <v/>
      </c>
      <c r="D36" s="19" t="n">
        <v>698</v>
      </c>
      <c r="E36" s="18" t="n">
        <v>47.0594791</v>
      </c>
      <c r="F36" s="20" t="n">
        <v>2.2344367</v>
      </c>
      <c r="G36" s="18" t="n">
        <v>52.05257918</v>
      </c>
      <c r="H36" s="20" t="n">
        <v>2.26120234</v>
      </c>
      <c r="I36" s="18" t="n">
        <v>0</v>
      </c>
      <c r="J36" s="20" t="n">
        <v>0</v>
      </c>
      <c r="K36" s="18" t="n">
        <v>0.59768857</v>
      </c>
      <c r="L36" s="20" t="n">
        <v>0.37683491</v>
      </c>
      <c r="M36" s="18" t="n">
        <v>0</v>
      </c>
      <c r="N36" s="20" t="n">
        <v>0</v>
      </c>
      <c r="O36" s="18" t="n">
        <v>0</v>
      </c>
      <c r="P36" s="20" t="n">
        <v>0</v>
      </c>
      <c r="Q36" s="18" t="n">
        <v>0.29025315</v>
      </c>
      <c r="R36" s="20" t="n">
        <v>0.12555146</v>
      </c>
    </row>
    <row r="37" spans="1:18">
      <c r="A37" s="15" t="s">
        <v>595</v>
      </c>
      <c r="B37" s="17" t="n">
        <v>5458</v>
      </c>
      <c r="C37" s="18">
        <f>(4840.0/B37*100)</f>
        <v/>
      </c>
      <c r="D37" s="19" t="n">
        <v>618</v>
      </c>
      <c r="E37" s="18" t="n">
        <v>41.55884722</v>
      </c>
      <c r="F37" s="20" t="n">
        <v>1.90938476</v>
      </c>
      <c r="G37" s="18" t="n">
        <v>56.11190098</v>
      </c>
      <c r="H37" s="20" t="n">
        <v>1.95454325</v>
      </c>
      <c r="I37" s="18" t="n">
        <v>0</v>
      </c>
      <c r="J37" s="20" t="n">
        <v>0</v>
      </c>
      <c r="K37" s="18" t="n">
        <v>0.96530045</v>
      </c>
      <c r="L37" s="20" t="n">
        <v>0.33973943</v>
      </c>
      <c r="M37" s="18" t="n">
        <v>0</v>
      </c>
      <c r="N37" s="20" t="n">
        <v>0</v>
      </c>
      <c r="O37" s="18" t="n">
        <v>0</v>
      </c>
      <c r="P37" s="20" t="n">
        <v>0</v>
      </c>
      <c r="Q37" s="18" t="n">
        <v>1.36395136</v>
      </c>
      <c r="R37" s="20" t="n">
        <v>0.45692066</v>
      </c>
    </row>
    <row r="38" spans="1:18">
      <c r="A38" s="15" t="s">
        <v>596</v>
      </c>
      <c r="B38" s="17" t="n">
        <v>5860</v>
      </c>
      <c r="C38" s="18">
        <f>(5238.0/B38*100)</f>
        <v/>
      </c>
      <c r="D38" s="19" t="n">
        <v>622</v>
      </c>
      <c r="E38" s="18" t="n">
        <v>43.27692519</v>
      </c>
      <c r="F38" s="20" t="n">
        <v>2.18527054</v>
      </c>
      <c r="G38" s="18" t="n">
        <v>56.24301062</v>
      </c>
      <c r="H38" s="20" t="n">
        <v>2.17402946</v>
      </c>
      <c r="I38" s="18" t="n">
        <v>0</v>
      </c>
      <c r="J38" s="20" t="n">
        <v>0</v>
      </c>
      <c r="K38" s="18" t="n">
        <v>0.48006419</v>
      </c>
      <c r="L38" s="20" t="n">
        <v>0.280455</v>
      </c>
      <c r="M38" s="18" t="n">
        <v>0</v>
      </c>
      <c r="N38" s="20" t="n">
        <v>0</v>
      </c>
      <c r="O38" s="18" t="n">
        <v>0</v>
      </c>
      <c r="P38" s="20" t="n">
        <v>0</v>
      </c>
      <c r="Q38" s="18" t="n">
        <v>0</v>
      </c>
      <c r="R38" s="20" t="n">
        <v>0</v>
      </c>
    </row>
    <row r="39" spans="1:18">
      <c r="A39" s="15" t="s">
        <v>597</v>
      </c>
      <c r="B39" s="17" t="n">
        <v>5895</v>
      </c>
      <c r="C39" s="18">
        <f>(5253.0/B39*100)</f>
        <v/>
      </c>
      <c r="D39" s="19" t="n">
        <v>642</v>
      </c>
      <c r="E39" s="18" t="n">
        <v>72.71358489000001</v>
      </c>
      <c r="F39" s="20" t="n">
        <v>2.1910213</v>
      </c>
      <c r="G39" s="18" t="n">
        <v>26.14851259</v>
      </c>
      <c r="H39" s="20" t="n">
        <v>2.09280315</v>
      </c>
      <c r="I39" s="18" t="n">
        <v>0</v>
      </c>
      <c r="J39" s="20" t="n">
        <v>0</v>
      </c>
      <c r="K39" s="18" t="n">
        <v>0.64488391</v>
      </c>
      <c r="L39" s="20" t="n">
        <v>0.6087808</v>
      </c>
      <c r="M39" s="18" t="n">
        <v>0</v>
      </c>
      <c r="N39" s="20" t="n">
        <v>0</v>
      </c>
      <c r="O39" s="18" t="n">
        <v>0</v>
      </c>
      <c r="P39" s="20" t="n">
        <v>0</v>
      </c>
      <c r="Q39" s="18" t="n">
        <v>0.49301861</v>
      </c>
      <c r="R39" s="20" t="n">
        <v>0.23109859</v>
      </c>
    </row>
    <row r="40" spans="1:18">
      <c r="A40" s="15" t="s">
        <v>598</v>
      </c>
      <c r="B40" s="17" t="n">
        <v>14157</v>
      </c>
      <c r="C40" s="18">
        <f>(12578.0/B40*100)</f>
        <v/>
      </c>
      <c r="D40" s="19" t="n">
        <v>1579</v>
      </c>
      <c r="E40" s="18" t="n">
        <v>43.1612662</v>
      </c>
      <c r="F40" s="20" t="n">
        <v>2.04148634</v>
      </c>
      <c r="G40" s="18" t="n">
        <v>55.18088171</v>
      </c>
      <c r="H40" s="20" t="n">
        <v>2.10377761</v>
      </c>
      <c r="I40" s="18" t="n">
        <v>0</v>
      </c>
      <c r="J40" s="20" t="n">
        <v>0</v>
      </c>
      <c r="K40" s="18" t="n">
        <v>0.71645661</v>
      </c>
      <c r="L40" s="20" t="n">
        <v>0.35502274</v>
      </c>
      <c r="M40" s="18" t="n">
        <v>0</v>
      </c>
      <c r="N40" s="20" t="n">
        <v>0</v>
      </c>
      <c r="O40" s="18" t="n">
        <v>0</v>
      </c>
      <c r="P40" s="20" t="n">
        <v>0</v>
      </c>
      <c r="Q40" s="18" t="n">
        <v>0.94139549</v>
      </c>
      <c r="R40" s="20" t="n">
        <v>0.39992298</v>
      </c>
    </row>
    <row r="41" spans="1:18">
      <c r="A41" s="15" t="s">
        <v>599</v>
      </c>
      <c r="B41" s="17" t="n">
        <v>5712</v>
      </c>
      <c r="C41" s="18">
        <f>(5104.0/B41*100)</f>
        <v/>
      </c>
      <c r="D41" s="19" t="n">
        <v>608</v>
      </c>
      <c r="E41" s="18" t="n">
        <v>47.1253889</v>
      </c>
      <c r="F41" s="20" t="n">
        <v>2.5289506</v>
      </c>
      <c r="G41" s="18" t="n">
        <v>51.97384473</v>
      </c>
      <c r="H41" s="20" t="n">
        <v>2.59011995</v>
      </c>
      <c r="I41" s="18" t="n">
        <v>0</v>
      </c>
      <c r="J41" s="20" t="n">
        <v>0</v>
      </c>
      <c r="K41" s="18" t="n">
        <v>0.33797261</v>
      </c>
      <c r="L41" s="20" t="n">
        <v>0.24632257</v>
      </c>
      <c r="M41" s="18" t="n">
        <v>0</v>
      </c>
      <c r="N41" s="20" t="n">
        <v>0</v>
      </c>
      <c r="O41" s="18" t="n">
        <v>0</v>
      </c>
      <c r="P41" s="20" t="n">
        <v>0</v>
      </c>
      <c r="Q41" s="18" t="n">
        <v>0.56279377</v>
      </c>
      <c r="R41" s="20" t="n">
        <v>0.31004319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(20980.0/B46*100)</f>
        <v/>
      </c>
      <c r="D46" s="19" t="n">
        <v>2161</v>
      </c>
      <c r="E46" s="18" t="n">
        <v>54.80594119</v>
      </c>
      <c r="F46" s="20" t="n">
        <v>1.25924727</v>
      </c>
      <c r="G46" s="18" t="n">
        <v>42.06315991</v>
      </c>
      <c r="H46" s="20" t="n">
        <v>1.34616949</v>
      </c>
      <c r="I46" s="18" t="n">
        <v>0</v>
      </c>
      <c r="J46" s="20" t="n">
        <v>0</v>
      </c>
      <c r="K46" s="18" t="n">
        <v>1.91235428</v>
      </c>
      <c r="L46" s="20" t="n">
        <v>0.32512748</v>
      </c>
      <c r="M46" s="18" t="n">
        <v>0</v>
      </c>
      <c r="N46" s="20" t="n">
        <v>0</v>
      </c>
      <c r="O46" s="18" t="n">
        <v>0</v>
      </c>
      <c r="P46" s="20" t="n">
        <v>0</v>
      </c>
      <c r="Q46" s="18" t="n">
        <v>1.21854462</v>
      </c>
      <c r="R46" s="20" t="n">
        <v>0.28642417</v>
      </c>
    </row>
    <row r="47" spans="1:18">
      <c r="A47" s="15" t="s">
        <v>606</v>
      </c>
      <c r="B47" s="17" t="n">
        <v>5928</v>
      </c>
      <c r="C47" s="18">
        <f>(5282.0/B47*100)</f>
        <v/>
      </c>
      <c r="D47" s="19" t="n">
        <v>646</v>
      </c>
      <c r="E47" s="18" t="n">
        <v>55.60701582</v>
      </c>
      <c r="F47" s="20" t="n">
        <v>2.20059762</v>
      </c>
      <c r="G47" s="18" t="n">
        <v>43.47496672</v>
      </c>
      <c r="H47" s="20" t="n">
        <v>2.15925693</v>
      </c>
      <c r="I47" s="18" t="n">
        <v>0</v>
      </c>
      <c r="J47" s="20" t="n">
        <v>0</v>
      </c>
      <c r="K47" s="18" t="n">
        <v>0.77255226</v>
      </c>
      <c r="L47" s="20" t="n">
        <v>0.33590295</v>
      </c>
      <c r="M47" s="18" t="n">
        <v>0</v>
      </c>
      <c r="N47" s="20" t="n">
        <v>0</v>
      </c>
      <c r="O47" s="18" t="n">
        <v>0</v>
      </c>
      <c r="P47" s="20" t="n">
        <v>0</v>
      </c>
      <c r="Q47" s="18" t="n">
        <v>0.1454652</v>
      </c>
      <c r="R47" s="20" t="n">
        <v>0.1402276</v>
      </c>
    </row>
    <row r="48" spans="1:18">
      <c r="A48" s="15" t="s">
        <v>607</v>
      </c>
      <c r="B48" s="17" t="n">
        <v>9841</v>
      </c>
      <c r="C48" s="18">
        <f>(8748.0/B48*100)</f>
        <v/>
      </c>
      <c r="D48" s="19" t="n">
        <v>1093</v>
      </c>
      <c r="E48" s="18" t="n">
        <v>46.02413847</v>
      </c>
      <c r="F48" s="20" t="n">
        <v>1.81744817</v>
      </c>
      <c r="G48" s="18" t="n">
        <v>52.7079856</v>
      </c>
      <c r="H48" s="20" t="n">
        <v>1.81780698</v>
      </c>
      <c r="I48" s="18" t="n">
        <v>0</v>
      </c>
      <c r="J48" s="20" t="n">
        <v>0</v>
      </c>
      <c r="K48" s="18" t="n">
        <v>1.10217462</v>
      </c>
      <c r="L48" s="20" t="n">
        <v>0.24057898</v>
      </c>
      <c r="M48" s="18" t="n">
        <v>0</v>
      </c>
      <c r="N48" s="20" t="n">
        <v>0</v>
      </c>
      <c r="O48" s="18" t="n">
        <v>0</v>
      </c>
      <c r="P48" s="20" t="n">
        <v>0</v>
      </c>
      <c r="Q48" s="18" t="n">
        <v>0.16570131</v>
      </c>
      <c r="R48" s="20" t="n">
        <v>0.18132921</v>
      </c>
    </row>
    <row r="49" spans="1:18">
      <c r="A49" s="15" t="s">
        <v>608</v>
      </c>
      <c r="B49" s="17" t="n">
        <v>11795</v>
      </c>
      <c r="C49" s="18">
        <f>(10531.0/B49*100)</f>
        <v/>
      </c>
      <c r="D49" s="19" t="n">
        <v>1264</v>
      </c>
      <c r="E49" s="18" t="n">
        <v>52.01159037</v>
      </c>
      <c r="F49" s="20" t="n">
        <v>1.78466152</v>
      </c>
      <c r="G49" s="18" t="n">
        <v>46.68233639</v>
      </c>
      <c r="H49" s="20" t="n">
        <v>1.84818348</v>
      </c>
      <c r="I49" s="18" t="n">
        <v>0</v>
      </c>
      <c r="J49" s="20" t="n">
        <v>0</v>
      </c>
      <c r="K49" s="18" t="n">
        <v>0.87365947</v>
      </c>
      <c r="L49" s="20" t="n">
        <v>0.39492597</v>
      </c>
      <c r="M49" s="18" t="n">
        <v>0</v>
      </c>
      <c r="N49" s="20" t="n">
        <v>0</v>
      </c>
      <c r="O49" s="18" t="n">
        <v>0</v>
      </c>
      <c r="P49" s="20" t="n">
        <v>0</v>
      </c>
      <c r="Q49" s="18" t="n">
        <v>0.43241376</v>
      </c>
      <c r="R49" s="20" t="n">
        <v>0.21736355</v>
      </c>
    </row>
    <row r="50" spans="1:18">
      <c r="A50" s="15" t="s">
        <v>609</v>
      </c>
      <c r="B50" s="17" t="n">
        <v>6866</v>
      </c>
      <c r="C50" s="18">
        <f>(6193.0/B50*100)</f>
        <v/>
      </c>
      <c r="D50" s="19" t="n">
        <v>673</v>
      </c>
      <c r="E50" s="18" t="n">
        <v>55.46595304</v>
      </c>
      <c r="F50" s="20" t="n">
        <v>2.26418239</v>
      </c>
      <c r="G50" s="18" t="n">
        <v>43.94073669</v>
      </c>
      <c r="H50" s="20" t="n">
        <v>2.16766964</v>
      </c>
      <c r="I50" s="18" t="n">
        <v>0</v>
      </c>
      <c r="J50" s="20" t="n">
        <v>0</v>
      </c>
      <c r="K50" s="18" t="n">
        <v>0.14706446</v>
      </c>
      <c r="L50" s="20" t="n">
        <v>0.13571723</v>
      </c>
      <c r="M50" s="18" t="n">
        <v>0</v>
      </c>
      <c r="N50" s="20" t="n">
        <v>0</v>
      </c>
      <c r="O50" s="18" t="n">
        <v>0</v>
      </c>
      <c r="P50" s="20" t="n">
        <v>0</v>
      </c>
      <c r="Q50" s="18" t="n">
        <v>0.4462458</v>
      </c>
      <c r="R50" s="20" t="n">
        <v>0.28194311</v>
      </c>
    </row>
    <row r="51" spans="1:18">
      <c r="A51" s="15" t="s">
        <v>610</v>
      </c>
      <c r="B51" s="17" t="n">
        <v>5809</v>
      </c>
      <c r="C51" s="18">
        <f>(5169.0/B51*100)</f>
        <v/>
      </c>
      <c r="D51" s="19" t="n">
        <v>640</v>
      </c>
      <c r="E51" s="18" t="n">
        <v>45.8205466</v>
      </c>
      <c r="F51" s="20" t="n">
        <v>2.35567998</v>
      </c>
      <c r="G51" s="18" t="n">
        <v>53.74323757</v>
      </c>
      <c r="H51" s="20" t="n">
        <v>2.38796317</v>
      </c>
      <c r="I51" s="18" t="n">
        <v>0</v>
      </c>
      <c r="J51" s="20" t="n">
        <v>0</v>
      </c>
      <c r="K51" s="18" t="n">
        <v>0.11795892</v>
      </c>
      <c r="L51" s="20" t="n">
        <v>0.1186599</v>
      </c>
      <c r="M51" s="18" t="n">
        <v>0</v>
      </c>
      <c r="N51" s="20" t="n">
        <v>0</v>
      </c>
      <c r="O51" s="18" t="n">
        <v>0</v>
      </c>
      <c r="P51" s="20" t="n">
        <v>0</v>
      </c>
      <c r="Q51" s="18" t="n">
        <v>0.31825691</v>
      </c>
      <c r="R51" s="20" t="n">
        <v>0.22661299</v>
      </c>
    </row>
    <row r="52" spans="1:18">
      <c r="A52" s="15" t="s">
        <v>611</v>
      </c>
      <c r="B52" s="17" t="n">
        <v>5571</v>
      </c>
      <c r="C52" s="18">
        <f>(4977.0/B52*100)</f>
        <v/>
      </c>
      <c r="D52" s="19" t="n">
        <v>594</v>
      </c>
      <c r="E52" s="18" t="n">
        <v>50.59971446</v>
      </c>
      <c r="F52" s="20" t="n">
        <v>2.10833153</v>
      </c>
      <c r="G52" s="18" t="n">
        <v>48.03119585</v>
      </c>
      <c r="H52" s="20" t="n">
        <v>2.1354744</v>
      </c>
      <c r="I52" s="18" t="n">
        <v>0</v>
      </c>
      <c r="J52" s="20" t="n">
        <v>0</v>
      </c>
      <c r="K52" s="18" t="n">
        <v>0.40376996</v>
      </c>
      <c r="L52" s="20" t="n">
        <v>0.23496653</v>
      </c>
      <c r="M52" s="18" t="n">
        <v>0</v>
      </c>
      <c r="N52" s="20" t="n">
        <v>0</v>
      </c>
      <c r="O52" s="18" t="n">
        <v>0</v>
      </c>
      <c r="P52" s="20" t="n">
        <v>0</v>
      </c>
      <c r="Q52" s="18" t="n">
        <v>0.96531974</v>
      </c>
      <c r="R52" s="20" t="n">
        <v>0.39064477</v>
      </c>
    </row>
    <row r="53" spans="1:18">
      <c r="A53" s="15" t="s">
        <v>612</v>
      </c>
      <c r="B53" s="17" t="n">
        <v>4740</v>
      </c>
      <c r="C53" s="18">
        <f>(4222.0/B53*100)</f>
        <v/>
      </c>
      <c r="D53" s="19" t="n">
        <v>518</v>
      </c>
      <c r="E53" s="18" t="n">
        <v>54.35519551</v>
      </c>
      <c r="F53" s="20" t="n">
        <v>2.75793155</v>
      </c>
      <c r="G53" s="18" t="n">
        <v>33.36433673</v>
      </c>
      <c r="H53" s="20" t="n">
        <v>2.55721563</v>
      </c>
      <c r="I53" s="18" t="n">
        <v>0</v>
      </c>
      <c r="J53" s="20" t="n">
        <v>0</v>
      </c>
      <c r="K53" s="18" t="n">
        <v>10.56108436</v>
      </c>
      <c r="L53" s="20" t="n">
        <v>1.54229173</v>
      </c>
      <c r="M53" s="18" t="n">
        <v>0</v>
      </c>
      <c r="N53" s="20" t="n">
        <v>0</v>
      </c>
      <c r="O53" s="18" t="n">
        <v>0</v>
      </c>
      <c r="P53" s="20" t="n">
        <v>0</v>
      </c>
      <c r="Q53" s="18" t="n">
        <v>1.71938339</v>
      </c>
      <c r="R53" s="20" t="n">
        <v>0.67749702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(4769.0/B55*100)</f>
        <v/>
      </c>
      <c r="D55" s="19" t="n">
        <v>590</v>
      </c>
      <c r="E55" s="18" t="n">
        <v>35.0235702</v>
      </c>
      <c r="F55" s="20" t="n">
        <v>2.20947414</v>
      </c>
      <c r="G55" s="18" t="n">
        <v>64.15840681</v>
      </c>
      <c r="H55" s="20" t="n">
        <v>2.09010484</v>
      </c>
      <c r="I55" s="18" t="n">
        <v>0</v>
      </c>
      <c r="J55" s="20" t="n">
        <v>0</v>
      </c>
      <c r="K55" s="18" t="n">
        <v>0.69339688</v>
      </c>
      <c r="L55" s="20" t="n">
        <v>0.45250453</v>
      </c>
      <c r="M55" s="18" t="n">
        <v>0</v>
      </c>
      <c r="N55" s="20" t="n">
        <v>0</v>
      </c>
      <c r="O55" s="18" t="n">
        <v>0</v>
      </c>
      <c r="P55" s="20" t="n">
        <v>0</v>
      </c>
      <c r="Q55" s="18" t="n">
        <v>0.12462612</v>
      </c>
      <c r="R55" s="20" t="n">
        <v>0.13120236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(5828.0/B61*100)</f>
        <v/>
      </c>
      <c r="D61" s="19" t="n">
        <v>697</v>
      </c>
      <c r="E61" s="18" t="n">
        <v>49.06441872</v>
      </c>
      <c r="F61" s="20" t="n">
        <v>2.31320486</v>
      </c>
      <c r="G61" s="18" t="n">
        <v>50.73317034</v>
      </c>
      <c r="H61" s="20" t="n">
        <v>2.3222631</v>
      </c>
      <c r="I61" s="18" t="n">
        <v>0</v>
      </c>
      <c r="J61" s="20" t="n">
        <v>0</v>
      </c>
      <c r="K61" s="18" t="n">
        <v>0.17137484</v>
      </c>
      <c r="L61" s="20" t="n">
        <v>0.17209541</v>
      </c>
      <c r="M61" s="18" t="n">
        <v>0</v>
      </c>
      <c r="N61" s="20" t="n">
        <v>0</v>
      </c>
      <c r="O61" s="18" t="n">
        <v>0</v>
      </c>
      <c r="P61" s="20" t="n">
        <v>0</v>
      </c>
      <c r="Q61" s="18" t="n">
        <v>0.0310361</v>
      </c>
      <c r="R61" s="20" t="n">
        <v>0.03107803</v>
      </c>
    </row>
    <row r="62" spans="1:18">
      <c r="A62" s="15" t="s">
        <v>622</v>
      </c>
      <c r="B62" s="17" t="n">
        <v>4476</v>
      </c>
      <c r="C62" s="18">
        <f>(3964.0/B62*100)</f>
        <v/>
      </c>
      <c r="D62" s="19" t="n">
        <v>512</v>
      </c>
      <c r="E62" s="18" t="n">
        <v>34.78523554</v>
      </c>
      <c r="F62" s="20" t="n">
        <v>2.19059106</v>
      </c>
      <c r="G62" s="18" t="n">
        <v>65.21476446</v>
      </c>
      <c r="H62" s="20" t="n">
        <v>2.19059106</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(5046.0/B67*100)</f>
        <v/>
      </c>
      <c r="D67" s="19" t="n">
        <v>619</v>
      </c>
      <c r="E67" s="18" t="n">
        <v>53.43238983</v>
      </c>
      <c r="F67" s="20" t="n">
        <v>2.36165052</v>
      </c>
      <c r="G67" s="18" t="n">
        <v>42.63662837</v>
      </c>
      <c r="H67" s="20" t="n">
        <v>2.30001386</v>
      </c>
      <c r="I67" s="18" t="n">
        <v>0</v>
      </c>
      <c r="J67" s="20" t="n">
        <v>0</v>
      </c>
      <c r="K67" s="18" t="n">
        <v>1.89537197</v>
      </c>
      <c r="L67" s="20" t="n">
        <v>0.5408392</v>
      </c>
      <c r="M67" s="18" t="n">
        <v>0</v>
      </c>
      <c r="N67" s="20" t="n">
        <v>0</v>
      </c>
      <c r="O67" s="18" t="n">
        <v>0</v>
      </c>
      <c r="P67" s="20" t="n">
        <v>0</v>
      </c>
      <c r="Q67" s="18" t="n">
        <v>2.03560983</v>
      </c>
      <c r="R67" s="20" t="n">
        <v>0.50515766</v>
      </c>
    </row>
    <row r="68" spans="1:18">
      <c r="A68" s="15" t="s">
        <v>628</v>
      </c>
      <c r="B68" s="17" t="n">
        <v>6971</v>
      </c>
      <c r="C68" s="18">
        <f>(6280.0/B68*100)</f>
        <v/>
      </c>
      <c r="D68" s="19" t="n">
        <v>691</v>
      </c>
      <c r="E68" s="18" t="n">
        <v>55.36124978</v>
      </c>
      <c r="F68" s="20" t="n">
        <v>2.04302146</v>
      </c>
      <c r="G68" s="18" t="n">
        <v>42.94040436</v>
      </c>
      <c r="H68" s="20" t="n">
        <v>2.09886413</v>
      </c>
      <c r="I68" s="18" t="n">
        <v>0</v>
      </c>
      <c r="J68" s="20" t="n">
        <v>0</v>
      </c>
      <c r="K68" s="18" t="n">
        <v>0.28726066</v>
      </c>
      <c r="L68" s="20" t="n">
        <v>0.20266683</v>
      </c>
      <c r="M68" s="18" t="n">
        <v>0</v>
      </c>
      <c r="N68" s="20" t="n">
        <v>0</v>
      </c>
      <c r="O68" s="18" t="n">
        <v>0</v>
      </c>
      <c r="P68" s="20" t="n">
        <v>0</v>
      </c>
      <c r="Q68" s="18" t="n">
        <v>1.4110852</v>
      </c>
      <c r="R68" s="20" t="n">
        <v>0.56446159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(10710.0/B70*100)</f>
        <v/>
      </c>
      <c r="D70" s="19" t="n">
        <v>1373</v>
      </c>
      <c r="E70" s="18" t="n">
        <v>53.31899674</v>
      </c>
      <c r="F70" s="20" t="n">
        <v>1.26245859</v>
      </c>
      <c r="G70" s="18" t="n">
        <v>44.45391035</v>
      </c>
      <c r="H70" s="20" t="n">
        <v>1.21351395</v>
      </c>
      <c r="I70" s="18" t="n">
        <v>0</v>
      </c>
      <c r="J70" s="20" t="n">
        <v>0</v>
      </c>
      <c r="K70" s="18" t="n">
        <v>1.72311633</v>
      </c>
      <c r="L70" s="20" t="n">
        <v>0.37095579</v>
      </c>
      <c r="M70" s="18" t="n">
        <v>0</v>
      </c>
      <c r="N70" s="20" t="n">
        <v>0</v>
      </c>
      <c r="O70" s="18" t="n">
        <v>0</v>
      </c>
      <c r="P70" s="20" t="n">
        <v>0</v>
      </c>
      <c r="Q70" s="18" t="n">
        <v>0.50397658</v>
      </c>
      <c r="R70" s="20" t="n">
        <v>0.16209157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(5412.0/B72*100)</f>
        <v/>
      </c>
      <c r="D72" s="19" t="n">
        <v>624</v>
      </c>
      <c r="E72" s="18" t="n">
        <v>54.5589246</v>
      </c>
      <c r="F72" s="20" t="n">
        <v>1.83223129</v>
      </c>
      <c r="G72" s="18" t="n">
        <v>44.88515613</v>
      </c>
      <c r="H72" s="20" t="n">
        <v>1.89137313</v>
      </c>
      <c r="I72" s="18" t="n">
        <v>0</v>
      </c>
      <c r="J72" s="20" t="n">
        <v>0</v>
      </c>
      <c r="K72" s="18" t="n">
        <v>0.55591927</v>
      </c>
      <c r="L72" s="20" t="n">
        <v>0.31175704</v>
      </c>
      <c r="M72" s="18" t="n">
        <v>0</v>
      </c>
      <c r="N72" s="20" t="n">
        <v>0</v>
      </c>
      <c r="O72" s="18" t="n">
        <v>0</v>
      </c>
      <c r="P72" s="20" t="n">
        <v>0</v>
      </c>
      <c r="Q72" s="18" t="n">
        <v>0</v>
      </c>
      <c r="R72" s="20" t="n">
        <v>0</v>
      </c>
    </row>
    <row r="73" spans="1:18">
      <c r="A73" s="15" t="s">
        <v>633</v>
      </c>
      <c r="B73" s="17" t="n">
        <v>6115</v>
      </c>
      <c r="C73" s="18">
        <f>(5464.0/B73*100)</f>
        <v/>
      </c>
      <c r="D73" s="19" t="n">
        <v>651</v>
      </c>
      <c r="E73" s="18" t="n">
        <v>37.03957989</v>
      </c>
      <c r="F73" s="20" t="n">
        <v>1.92403551</v>
      </c>
      <c r="G73" s="18" t="n">
        <v>62.42090953</v>
      </c>
      <c r="H73" s="20" t="n">
        <v>1.95865838</v>
      </c>
      <c r="I73" s="18" t="n">
        <v>0</v>
      </c>
      <c r="J73" s="20" t="n">
        <v>0</v>
      </c>
      <c r="K73" s="18" t="n">
        <v>0.45346281</v>
      </c>
      <c r="L73" s="20" t="n">
        <v>0.27694543</v>
      </c>
      <c r="M73" s="18" t="n">
        <v>0</v>
      </c>
      <c r="N73" s="20" t="n">
        <v>0</v>
      </c>
      <c r="O73" s="18" t="n">
        <v>0</v>
      </c>
      <c r="P73" s="20" t="n">
        <v>0</v>
      </c>
      <c r="Q73" s="18" t="n">
        <v>0.08604777</v>
      </c>
      <c r="R73" s="20" t="n">
        <v>0.08640635000000001</v>
      </c>
    </row>
    <row r="74" spans="1:18">
      <c r="A74" s="15" t="s">
        <v>634</v>
      </c>
      <c r="B74" s="17" t="n">
        <v>7708</v>
      </c>
      <c r="C74" s="18">
        <f>(6867.0/B74*100)</f>
        <v/>
      </c>
      <c r="D74" s="19" t="n">
        <v>841</v>
      </c>
      <c r="E74" s="18" t="n">
        <v>36.09668479</v>
      </c>
      <c r="F74" s="20" t="n">
        <v>1.78238706</v>
      </c>
      <c r="G74" s="18" t="n">
        <v>63.65755756</v>
      </c>
      <c r="H74" s="20" t="n">
        <v>1.80060696</v>
      </c>
      <c r="I74" s="18" t="n">
        <v>0</v>
      </c>
      <c r="J74" s="20" t="n">
        <v>0</v>
      </c>
      <c r="K74" s="18" t="n">
        <v>0.24575765</v>
      </c>
      <c r="L74" s="20" t="n">
        <v>0.14558361</v>
      </c>
      <c r="M74" s="18" t="n">
        <v>0</v>
      </c>
      <c r="N74" s="20" t="n">
        <v>0</v>
      </c>
      <c r="O74" s="18" t="n">
        <v>0</v>
      </c>
      <c r="P74" s="20" t="n">
        <v>0</v>
      </c>
      <c r="Q74" s="18" t="n">
        <v>0</v>
      </c>
      <c r="R74" s="20" t="n">
        <v>0</v>
      </c>
    </row>
    <row r="75" spans="1:18">
      <c r="A75" s="15" t="s">
        <v>635</v>
      </c>
      <c r="B75" s="17" t="n">
        <v>8249</v>
      </c>
      <c r="C75" s="18">
        <f>(7349.0/B75*100)</f>
        <v/>
      </c>
      <c r="D75" s="19" t="n">
        <v>900</v>
      </c>
      <c r="E75" s="18" t="n">
        <v>52.46210081</v>
      </c>
      <c r="F75" s="20" t="n">
        <v>2.03170414</v>
      </c>
      <c r="G75" s="18" t="n">
        <v>47.13116507</v>
      </c>
      <c r="H75" s="20" t="n">
        <v>1.98995099</v>
      </c>
      <c r="I75" s="18" t="n">
        <v>0</v>
      </c>
      <c r="J75" s="20" t="n">
        <v>0</v>
      </c>
      <c r="K75" s="18" t="n">
        <v>0.23808615</v>
      </c>
      <c r="L75" s="20" t="n">
        <v>0.17639041</v>
      </c>
      <c r="M75" s="18" t="n">
        <v>0</v>
      </c>
      <c r="N75" s="20" t="n">
        <v>0</v>
      </c>
      <c r="O75" s="18" t="n">
        <v>0</v>
      </c>
      <c r="P75" s="20" t="n">
        <v>0</v>
      </c>
      <c r="Q75" s="18" t="n">
        <v>0.16864797</v>
      </c>
      <c r="R75" s="20" t="n">
        <v>0.15912886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(4825.0/B77*100)</f>
        <v/>
      </c>
      <c r="D77" s="19" t="n">
        <v>550</v>
      </c>
      <c r="E77" s="18" t="n">
        <v>59.68083326</v>
      </c>
      <c r="F77" s="20" t="n">
        <v>2.35031691</v>
      </c>
      <c r="G77" s="18" t="n">
        <v>35.99027328</v>
      </c>
      <c r="H77" s="20" t="n">
        <v>2.110024</v>
      </c>
      <c r="I77" s="18" t="n">
        <v>0</v>
      </c>
      <c r="J77" s="20" t="n">
        <v>0</v>
      </c>
      <c r="K77" s="18" t="n">
        <v>3.74490702</v>
      </c>
      <c r="L77" s="20" t="n">
        <v>1.07574983</v>
      </c>
      <c r="M77" s="18" t="n">
        <v>0</v>
      </c>
      <c r="N77" s="20" t="n">
        <v>0</v>
      </c>
      <c r="O77" s="18" t="n">
        <v>0</v>
      </c>
      <c r="P77" s="20" t="n">
        <v>0</v>
      </c>
      <c r="Q77" s="18" t="n">
        <v>0.58398645</v>
      </c>
      <c r="R77" s="20" t="n">
        <v>0.30850722</v>
      </c>
    </row>
    <row r="78" spans="1:18">
      <c r="A78" s="15" t="s">
        <v>638</v>
      </c>
      <c r="B78" s="17" t="n">
        <v>14167</v>
      </c>
      <c r="C78" s="18">
        <f>(12601.0/B78*100)</f>
        <v/>
      </c>
      <c r="D78" s="19" t="n">
        <v>1566</v>
      </c>
      <c r="E78" s="18" t="n">
        <v>49.84551496</v>
      </c>
      <c r="F78" s="20" t="n">
        <v>1.71118407</v>
      </c>
      <c r="G78" s="18" t="n">
        <v>48.97012103</v>
      </c>
      <c r="H78" s="20" t="n">
        <v>1.74951516</v>
      </c>
      <c r="I78" s="18" t="n">
        <v>0</v>
      </c>
      <c r="J78" s="20" t="n">
        <v>0</v>
      </c>
      <c r="K78" s="18" t="n">
        <v>0.79288063</v>
      </c>
      <c r="L78" s="20" t="n">
        <v>0.23998228</v>
      </c>
      <c r="M78" s="18" t="n">
        <v>0</v>
      </c>
      <c r="N78" s="20" t="n">
        <v>0</v>
      </c>
      <c r="O78" s="18" t="n">
        <v>0</v>
      </c>
      <c r="P78" s="20" t="n">
        <v>0</v>
      </c>
      <c r="Q78" s="18" t="n">
        <v>0.39148338</v>
      </c>
      <c r="R78" s="20" t="n">
        <v>0.15801172</v>
      </c>
    </row>
    <row r="79" spans="1:18">
      <c r="A79" s="15" t="s">
        <v>639</v>
      </c>
      <c r="B79" s="17" t="n">
        <v>6062</v>
      </c>
      <c r="C79" s="18">
        <f>(5413.0/B79*100)</f>
        <v/>
      </c>
      <c r="D79" s="19" t="n">
        <v>649</v>
      </c>
      <c r="E79" s="18" t="n">
        <v>49.63154146</v>
      </c>
      <c r="F79" s="20" t="n">
        <v>2.30683643</v>
      </c>
      <c r="G79" s="18" t="n">
        <v>47.16292122</v>
      </c>
      <c r="H79" s="20" t="n">
        <v>2.207946</v>
      </c>
      <c r="I79" s="18" t="n">
        <v>0</v>
      </c>
      <c r="J79" s="20" t="n">
        <v>0</v>
      </c>
      <c r="K79" s="18" t="n">
        <v>1.63547886</v>
      </c>
      <c r="L79" s="20" t="n">
        <v>0.44376663</v>
      </c>
      <c r="M79" s="18" t="n">
        <v>0</v>
      </c>
      <c r="N79" s="20" t="n">
        <v>0</v>
      </c>
      <c r="O79" s="18" t="n">
        <v>0</v>
      </c>
      <c r="P79" s="20" t="n">
        <v>0</v>
      </c>
      <c r="Q79" s="18" t="n">
        <v>1.57005846</v>
      </c>
      <c r="R79" s="20" t="n">
        <v>0.4582869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(28764.0/B82*100)</f>
        <v/>
      </c>
      <c r="D82" s="19" t="n">
        <v>3566</v>
      </c>
      <c r="E82" s="18" t="n">
        <v>48.03644125</v>
      </c>
      <c r="F82" s="20" t="n">
        <v>1.33513511</v>
      </c>
      <c r="G82" s="18" t="n">
        <v>51.21331408</v>
      </c>
      <c r="H82" s="20" t="n">
        <v>1.32883922</v>
      </c>
      <c r="I82" s="18" t="n">
        <v>0</v>
      </c>
      <c r="J82" s="20" t="n">
        <v>0</v>
      </c>
      <c r="K82" s="18" t="n">
        <v>0.42152039</v>
      </c>
      <c r="L82" s="20" t="n">
        <v>0.21844236</v>
      </c>
      <c r="M82" s="18" t="n">
        <v>0</v>
      </c>
      <c r="N82" s="20" t="n">
        <v>0</v>
      </c>
      <c r="O82" s="18" t="n">
        <v>0</v>
      </c>
      <c r="P82" s="20" t="n">
        <v>0</v>
      </c>
      <c r="Q82" s="18" t="n">
        <v>0.32872427</v>
      </c>
      <c r="R82" s="20" t="n">
        <v>0.17366379</v>
      </c>
    </row>
    <row r="83" spans="1:18">
      <c r="A83" s="15" t="s">
        <v>643</v>
      </c>
      <c r="B83" s="17" t="n">
        <v>1652</v>
      </c>
      <c r="C83" s="18">
        <f>(1470.0/B83*100)</f>
        <v/>
      </c>
      <c r="D83" s="19" t="n">
        <v>182</v>
      </c>
      <c r="E83" s="18" t="n">
        <v>33.224124</v>
      </c>
      <c r="F83" s="20" t="n">
        <v>3.499875</v>
      </c>
      <c r="G83" s="18" t="n">
        <v>66.21824221</v>
      </c>
      <c r="H83" s="20" t="n">
        <v>3.51365077</v>
      </c>
      <c r="I83" s="18" t="n">
        <v>0</v>
      </c>
      <c r="J83" s="20" t="n">
        <v>0</v>
      </c>
      <c r="K83" s="18" t="n">
        <v>0.55763378</v>
      </c>
      <c r="L83" s="20" t="n">
        <v>0.55715891</v>
      </c>
      <c r="M83" s="18" t="n">
        <v>0</v>
      </c>
      <c r="N83" s="20" t="n">
        <v>0</v>
      </c>
      <c r="O83" s="18" t="n">
        <v>0</v>
      </c>
      <c r="P83" s="20" t="n">
        <v>0</v>
      </c>
      <c r="Q83" s="18" t="n">
        <v>0</v>
      </c>
      <c r="R83" s="20" t="n">
        <v>0</v>
      </c>
    </row>
    <row r="84" spans="1:18">
      <c r="A84" s="23" t="s">
        <v>644</v>
      </c>
      <c r="B84" s="24" t="n">
        <v>1887</v>
      </c>
      <c r="C84" s="25">
        <f>(1686.0/B84*100)</f>
        <v/>
      </c>
      <c r="D84" s="19" t="n">
        <v>201</v>
      </c>
      <c r="E84" s="18" t="n">
        <v>48.38706839</v>
      </c>
      <c r="F84" s="20" t="n">
        <v>4.07871961</v>
      </c>
      <c r="G84" s="18" t="n">
        <v>51.61293161</v>
      </c>
      <c r="H84" s="20" t="n">
        <v>4.07871961</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(12942.0/B7*100)</f>
        <v/>
      </c>
      <c r="D7" s="19" t="n">
        <v>1588</v>
      </c>
      <c r="E7" s="18" t="n">
        <v>48.01278273</v>
      </c>
      <c r="F7" s="20" t="n">
        <v>1.38477729</v>
      </c>
      <c r="G7" s="18" t="n">
        <v>51.15629999</v>
      </c>
      <c r="H7" s="20" t="n">
        <v>1.38106889</v>
      </c>
      <c r="I7" s="18" t="n">
        <v>0</v>
      </c>
      <c r="J7" s="20" t="n">
        <v>0</v>
      </c>
      <c r="K7" s="18" t="n">
        <v>0.83091728</v>
      </c>
      <c r="L7" s="20" t="n">
        <v>0.24652506</v>
      </c>
      <c r="M7" s="18" t="n">
        <v>0</v>
      </c>
      <c r="N7" s="20" t="n">
        <v>0</v>
      </c>
      <c r="O7" s="18" t="n">
        <v>0</v>
      </c>
      <c r="P7" s="20" t="n">
        <v>0</v>
      </c>
      <c r="Q7" s="18" t="n">
        <v>0</v>
      </c>
      <c r="R7" s="20" t="n">
        <v>0</v>
      </c>
    </row>
    <row r="8" spans="1:18">
      <c r="A8" s="15" t="s">
        <v>566</v>
      </c>
      <c r="B8" s="17" t="n">
        <v>7007</v>
      </c>
      <c r="C8" s="18">
        <f>(6225.0/B8*100)</f>
        <v/>
      </c>
      <c r="D8" s="19" t="n">
        <v>782</v>
      </c>
      <c r="E8" s="18" t="n">
        <v>52.93586757</v>
      </c>
      <c r="F8" s="20" t="n">
        <v>2.05121896</v>
      </c>
      <c r="G8" s="18" t="n">
        <v>45.98387433</v>
      </c>
      <c r="H8" s="20" t="n">
        <v>2.02327981</v>
      </c>
      <c r="I8" s="18" t="n">
        <v>0</v>
      </c>
      <c r="J8" s="20" t="n">
        <v>0</v>
      </c>
      <c r="K8" s="18" t="n">
        <v>1.0802581</v>
      </c>
      <c r="L8" s="20" t="n">
        <v>0.44121818</v>
      </c>
      <c r="M8" s="18" t="n">
        <v>0</v>
      </c>
      <c r="N8" s="20" t="n">
        <v>0</v>
      </c>
      <c r="O8" s="18" t="n">
        <v>0</v>
      </c>
      <c r="P8" s="20" t="n">
        <v>0</v>
      </c>
      <c r="Q8" s="18" t="n">
        <v>0</v>
      </c>
      <c r="R8" s="20" t="n">
        <v>0</v>
      </c>
    </row>
    <row r="9" spans="1:18">
      <c r="A9" s="15" t="s">
        <v>567</v>
      </c>
      <c r="B9" s="17" t="n">
        <v>9651</v>
      </c>
      <c r="C9" s="18">
        <f>(8590.0/B9*100)</f>
        <v/>
      </c>
      <c r="D9" s="19" t="n">
        <v>1061</v>
      </c>
      <c r="E9" s="18" t="n">
        <v>51.67229027</v>
      </c>
      <c r="F9" s="20" t="n">
        <v>1.46757335</v>
      </c>
      <c r="G9" s="18" t="n">
        <v>47.35344344</v>
      </c>
      <c r="H9" s="20" t="n">
        <v>1.47916913</v>
      </c>
      <c r="I9" s="18" t="n">
        <v>0</v>
      </c>
      <c r="J9" s="20" t="n">
        <v>0</v>
      </c>
      <c r="K9" s="18" t="n">
        <v>0.97426629</v>
      </c>
      <c r="L9" s="20" t="n">
        <v>0.29811346</v>
      </c>
      <c r="M9" s="18" t="n">
        <v>0</v>
      </c>
      <c r="N9" s="20" t="n">
        <v>0</v>
      </c>
      <c r="O9" s="18" t="n">
        <v>0</v>
      </c>
      <c r="P9" s="20" t="n">
        <v>0</v>
      </c>
      <c r="Q9" s="18" t="n">
        <v>0</v>
      </c>
      <c r="R9" s="20" t="n">
        <v>0</v>
      </c>
    </row>
    <row r="10" spans="1:18">
      <c r="A10" s="15" t="s">
        <v>568</v>
      </c>
      <c r="B10" s="17" t="n">
        <v>20058</v>
      </c>
      <c r="C10" s="18">
        <f>(17868.0/B10*100)</f>
        <v/>
      </c>
      <c r="D10" s="19" t="n">
        <v>2190</v>
      </c>
      <c r="E10" s="18" t="n">
        <v>45.36590917</v>
      </c>
      <c r="F10" s="20" t="n">
        <v>1.54083802</v>
      </c>
      <c r="G10" s="18" t="n">
        <v>54.36471146</v>
      </c>
      <c r="H10" s="20" t="n">
        <v>1.55035326</v>
      </c>
      <c r="I10" s="18" t="n">
        <v>0</v>
      </c>
      <c r="J10" s="20" t="n">
        <v>0</v>
      </c>
      <c r="K10" s="18" t="n">
        <v>0.26937938</v>
      </c>
      <c r="L10" s="20" t="n">
        <v>0.12065861</v>
      </c>
      <c r="M10" s="18" t="n">
        <v>0</v>
      </c>
      <c r="N10" s="20" t="n">
        <v>0</v>
      </c>
      <c r="O10" s="18" t="n">
        <v>0</v>
      </c>
      <c r="P10" s="20" t="n">
        <v>0</v>
      </c>
      <c r="Q10" s="18" t="n">
        <v>0</v>
      </c>
      <c r="R10" s="20" t="n">
        <v>0</v>
      </c>
    </row>
    <row r="11" spans="1:18">
      <c r="A11" s="15" t="s">
        <v>569</v>
      </c>
      <c r="B11" s="17" t="n">
        <v>7053</v>
      </c>
      <c r="C11" s="18">
        <f>(6269.0/B11*100)</f>
        <v/>
      </c>
      <c r="D11" s="19" t="n">
        <v>784</v>
      </c>
      <c r="E11" s="18" t="n">
        <v>47.49224546</v>
      </c>
      <c r="F11" s="20" t="n">
        <v>2.18298858</v>
      </c>
      <c r="G11" s="18" t="n">
        <v>50.69237875</v>
      </c>
      <c r="H11" s="20" t="n">
        <v>2.19744242</v>
      </c>
      <c r="I11" s="18" t="n">
        <v>0</v>
      </c>
      <c r="J11" s="20" t="n">
        <v>0</v>
      </c>
      <c r="K11" s="18" t="n">
        <v>1.8153758</v>
      </c>
      <c r="L11" s="20" t="n">
        <v>0.4309065</v>
      </c>
      <c r="M11" s="18" t="n">
        <v>0</v>
      </c>
      <c r="N11" s="20" t="n">
        <v>0</v>
      </c>
      <c r="O11" s="18" t="n">
        <v>0</v>
      </c>
      <c r="P11" s="20" t="n">
        <v>0</v>
      </c>
      <c r="Q11" s="18" t="n">
        <v>0</v>
      </c>
      <c r="R11" s="20" t="n">
        <v>0</v>
      </c>
    </row>
    <row r="12" spans="1:18">
      <c r="A12" s="15" t="s">
        <v>570</v>
      </c>
      <c r="B12" s="17" t="n">
        <v>6894</v>
      </c>
      <c r="C12" s="18">
        <f>(6101.0/B12*100)</f>
        <v/>
      </c>
      <c r="D12" s="19" t="n">
        <v>793</v>
      </c>
      <c r="E12" s="18" t="n">
        <v>43.96051709</v>
      </c>
      <c r="F12" s="20" t="n">
        <v>1.89189422</v>
      </c>
      <c r="G12" s="18" t="n">
        <v>55.07512165</v>
      </c>
      <c r="H12" s="20" t="n">
        <v>1.93133514</v>
      </c>
      <c r="I12" s="18" t="n">
        <v>0</v>
      </c>
      <c r="J12" s="20" t="n">
        <v>0</v>
      </c>
      <c r="K12" s="18" t="n">
        <v>0.96436126</v>
      </c>
      <c r="L12" s="20" t="n">
        <v>0.35389465</v>
      </c>
      <c r="M12" s="18" t="n">
        <v>0</v>
      </c>
      <c r="N12" s="20" t="n">
        <v>0</v>
      </c>
      <c r="O12" s="18" t="n">
        <v>0</v>
      </c>
      <c r="P12" s="20" t="n">
        <v>0</v>
      </c>
      <c r="Q12" s="18" t="n">
        <v>0</v>
      </c>
      <c r="R12" s="20" t="n">
        <v>0</v>
      </c>
    </row>
    <row r="13" spans="1:18">
      <c r="A13" s="15" t="s">
        <v>571</v>
      </c>
      <c r="B13" s="17" t="n">
        <v>7161</v>
      </c>
      <c r="C13" s="18">
        <f>(6407.0/B13*100)</f>
        <v/>
      </c>
      <c r="D13" s="19" t="n">
        <v>754</v>
      </c>
      <c r="E13" s="18" t="n">
        <v>46.81618727</v>
      </c>
      <c r="F13" s="20" t="n">
        <v>2.36639253</v>
      </c>
      <c r="G13" s="18" t="n">
        <v>52.54802017</v>
      </c>
      <c r="H13" s="20" t="n">
        <v>2.38084632</v>
      </c>
      <c r="I13" s="18" t="n">
        <v>0</v>
      </c>
      <c r="J13" s="20" t="n">
        <v>0</v>
      </c>
      <c r="K13" s="18" t="n">
        <v>0.63579256</v>
      </c>
      <c r="L13" s="20" t="n">
        <v>0.28102895</v>
      </c>
      <c r="M13" s="18" t="n">
        <v>0</v>
      </c>
      <c r="N13" s="20" t="n">
        <v>0</v>
      </c>
      <c r="O13" s="18" t="n">
        <v>0</v>
      </c>
      <c r="P13" s="20" t="n">
        <v>0</v>
      </c>
      <c r="Q13" s="18" t="n">
        <v>0</v>
      </c>
      <c r="R13" s="20" t="n">
        <v>0</v>
      </c>
    </row>
    <row r="14" spans="1:18">
      <c r="A14" s="15" t="s">
        <v>572</v>
      </c>
      <c r="B14" s="17" t="n">
        <v>5587</v>
      </c>
      <c r="C14" s="18">
        <f>(4971.0/B14*100)</f>
        <v/>
      </c>
      <c r="D14" s="19" t="n">
        <v>616</v>
      </c>
      <c r="E14" s="18" t="n">
        <v>42.50432564</v>
      </c>
      <c r="F14" s="20" t="n">
        <v>2.14282127</v>
      </c>
      <c r="G14" s="18" t="n">
        <v>57.49567436</v>
      </c>
      <c r="H14" s="20" t="n">
        <v>2.14282127</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(5224.0/B15*100)</f>
        <v/>
      </c>
      <c r="D15" s="19" t="n">
        <v>658</v>
      </c>
      <c r="E15" s="18" t="n">
        <v>30.48673414</v>
      </c>
      <c r="F15" s="20" t="n">
        <v>1.86274059</v>
      </c>
      <c r="G15" s="18" t="n">
        <v>68.7234675</v>
      </c>
      <c r="H15" s="20" t="n">
        <v>1.8491543</v>
      </c>
      <c r="I15" s="18" t="n">
        <v>0</v>
      </c>
      <c r="J15" s="20" t="n">
        <v>0</v>
      </c>
      <c r="K15" s="18" t="n">
        <v>0.78979836</v>
      </c>
      <c r="L15" s="20" t="n">
        <v>0.26217343</v>
      </c>
      <c r="M15" s="18" t="n">
        <v>0</v>
      </c>
      <c r="N15" s="20" t="n">
        <v>0</v>
      </c>
      <c r="O15" s="18" t="n">
        <v>0</v>
      </c>
      <c r="P15" s="20" t="n">
        <v>0</v>
      </c>
      <c r="Q15" s="18" t="n">
        <v>0</v>
      </c>
      <c r="R15" s="20" t="n">
        <v>0</v>
      </c>
    </row>
    <row r="16" spans="1:18">
      <c r="A16" s="15" t="s">
        <v>574</v>
      </c>
      <c r="B16" s="17" t="n">
        <v>6108</v>
      </c>
      <c r="C16" s="18">
        <f>(5435.0/B16*100)</f>
        <v/>
      </c>
      <c r="D16" s="19" t="n">
        <v>673</v>
      </c>
      <c r="E16" s="18" t="n">
        <v>38.87505577</v>
      </c>
      <c r="F16" s="20" t="n">
        <v>1.84397973</v>
      </c>
      <c r="G16" s="18" t="n">
        <v>59.23726745</v>
      </c>
      <c r="H16" s="20" t="n">
        <v>1.75726601</v>
      </c>
      <c r="I16" s="18" t="n">
        <v>0</v>
      </c>
      <c r="J16" s="20" t="n">
        <v>0</v>
      </c>
      <c r="K16" s="18" t="n">
        <v>1.88767678</v>
      </c>
      <c r="L16" s="20" t="n">
        <v>0.6779588600000001</v>
      </c>
      <c r="M16" s="18" t="n">
        <v>0</v>
      </c>
      <c r="N16" s="20" t="n">
        <v>0</v>
      </c>
      <c r="O16" s="18" t="n">
        <v>0</v>
      </c>
      <c r="P16" s="20" t="n">
        <v>0</v>
      </c>
      <c r="Q16" s="18" t="n">
        <v>0</v>
      </c>
      <c r="R16" s="20" t="n">
        <v>0</v>
      </c>
    </row>
    <row r="17" spans="1:18">
      <c r="A17" s="15" t="s">
        <v>575</v>
      </c>
      <c r="B17" s="17" t="n">
        <v>6504</v>
      </c>
      <c r="C17" s="18">
        <f>(5769.0/B17*100)</f>
        <v/>
      </c>
      <c r="D17" s="19" t="n">
        <v>735</v>
      </c>
      <c r="E17" s="18" t="n">
        <v>48.50110267</v>
      </c>
      <c r="F17" s="20" t="n">
        <v>1.9918738</v>
      </c>
      <c r="G17" s="18" t="n">
        <v>49.5034832</v>
      </c>
      <c r="H17" s="20" t="n">
        <v>2.02205596</v>
      </c>
      <c r="I17" s="18" t="n">
        <v>0</v>
      </c>
      <c r="J17" s="20" t="n">
        <v>0</v>
      </c>
      <c r="K17" s="18" t="n">
        <v>1.99541413</v>
      </c>
      <c r="L17" s="20" t="n">
        <v>0.66923596</v>
      </c>
      <c r="M17" s="18" t="n">
        <v>0</v>
      </c>
      <c r="N17" s="20" t="n">
        <v>0</v>
      </c>
      <c r="O17" s="18" t="n">
        <v>0</v>
      </c>
      <c r="P17" s="20" t="n">
        <v>0</v>
      </c>
      <c r="Q17" s="18" t="n">
        <v>0</v>
      </c>
      <c r="R17" s="20" t="n">
        <v>0</v>
      </c>
    </row>
    <row r="18" spans="1:18">
      <c r="A18" s="15" t="s">
        <v>576</v>
      </c>
      <c r="B18" s="17" t="n">
        <v>5532</v>
      </c>
      <c r="C18" s="18">
        <f>(4911.0/B18*100)</f>
        <v/>
      </c>
      <c r="D18" s="19" t="n">
        <v>621</v>
      </c>
      <c r="E18" s="18" t="n">
        <v>58.1485637</v>
      </c>
      <c r="F18" s="20" t="n">
        <v>2.27123608</v>
      </c>
      <c r="G18" s="18" t="n">
        <v>40.5067073</v>
      </c>
      <c r="H18" s="20" t="n">
        <v>2.27245407</v>
      </c>
      <c r="I18" s="18" t="n">
        <v>0</v>
      </c>
      <c r="J18" s="20" t="n">
        <v>0</v>
      </c>
      <c r="K18" s="18" t="n">
        <v>1.344729</v>
      </c>
      <c r="L18" s="20" t="n">
        <v>0.39417772</v>
      </c>
      <c r="M18" s="18" t="n">
        <v>0</v>
      </c>
      <c r="N18" s="20" t="n">
        <v>0</v>
      </c>
      <c r="O18" s="18" t="n">
        <v>0</v>
      </c>
      <c r="P18" s="20" t="n">
        <v>0</v>
      </c>
      <c r="Q18" s="18" t="n">
        <v>0</v>
      </c>
      <c r="R18" s="20" t="n">
        <v>0</v>
      </c>
    </row>
    <row r="19" spans="1:18">
      <c r="A19" s="15" t="s">
        <v>577</v>
      </c>
      <c r="B19" s="17" t="n">
        <v>5658</v>
      </c>
      <c r="C19" s="18">
        <f>(5021.0/B19*100)</f>
        <v/>
      </c>
      <c r="D19" s="19" t="n">
        <v>637</v>
      </c>
      <c r="E19" s="18" t="n">
        <v>46.22282811</v>
      </c>
      <c r="F19" s="20" t="n">
        <v>2.0530573</v>
      </c>
      <c r="G19" s="18" t="n">
        <v>53.26656021</v>
      </c>
      <c r="H19" s="20" t="n">
        <v>2.025634</v>
      </c>
      <c r="I19" s="18" t="n">
        <v>0</v>
      </c>
      <c r="J19" s="20" t="n">
        <v>0</v>
      </c>
      <c r="K19" s="18" t="n">
        <v>0.51061168</v>
      </c>
      <c r="L19" s="20" t="n">
        <v>0.41969002</v>
      </c>
      <c r="M19" s="18" t="n">
        <v>0</v>
      </c>
      <c r="N19" s="20" t="n">
        <v>0</v>
      </c>
      <c r="O19" s="18" t="n">
        <v>0</v>
      </c>
      <c r="P19" s="20" t="n">
        <v>0</v>
      </c>
      <c r="Q19" s="18" t="n">
        <v>0</v>
      </c>
      <c r="R19" s="20" t="n">
        <v>0</v>
      </c>
    </row>
    <row r="20" spans="1:18">
      <c r="A20" s="15" t="s">
        <v>578</v>
      </c>
      <c r="B20" s="17" t="n">
        <v>3371</v>
      </c>
      <c r="C20" s="18">
        <f>(3011.0/B20*100)</f>
        <v/>
      </c>
      <c r="D20" s="19" t="n">
        <v>360</v>
      </c>
      <c r="E20" s="18" t="n">
        <v>55.08718906</v>
      </c>
      <c r="F20" s="20" t="n">
        <v>2.37486117</v>
      </c>
      <c r="G20" s="18" t="n">
        <v>44.15626097</v>
      </c>
      <c r="H20" s="20" t="n">
        <v>2.36324187</v>
      </c>
      <c r="I20" s="18" t="n">
        <v>0</v>
      </c>
      <c r="J20" s="20" t="n">
        <v>0</v>
      </c>
      <c r="K20" s="18" t="n">
        <v>0.75654997</v>
      </c>
      <c r="L20" s="20" t="n">
        <v>0.43026863</v>
      </c>
      <c r="M20" s="18" t="n">
        <v>0</v>
      </c>
      <c r="N20" s="20" t="n">
        <v>0</v>
      </c>
      <c r="O20" s="18" t="n">
        <v>0</v>
      </c>
      <c r="P20" s="20" t="n">
        <v>0</v>
      </c>
      <c r="Q20" s="18" t="n">
        <v>0</v>
      </c>
      <c r="R20" s="20" t="n">
        <v>0</v>
      </c>
    </row>
    <row r="21" spans="1:18">
      <c r="A21" s="15" t="s">
        <v>579</v>
      </c>
      <c r="B21" s="17" t="n">
        <v>5741</v>
      </c>
      <c r="C21" s="18">
        <f>(5106.0/B21*100)</f>
        <v/>
      </c>
      <c r="D21" s="19" t="n">
        <v>635</v>
      </c>
      <c r="E21" s="18" t="n">
        <v>43.86870133</v>
      </c>
      <c r="F21" s="20" t="n">
        <v>2.06880842</v>
      </c>
      <c r="G21" s="18" t="n">
        <v>56.01071214</v>
      </c>
      <c r="H21" s="20" t="n">
        <v>2.06584319</v>
      </c>
      <c r="I21" s="18" t="n">
        <v>0</v>
      </c>
      <c r="J21" s="20" t="n">
        <v>0</v>
      </c>
      <c r="K21" s="18" t="n">
        <v>0.12058653</v>
      </c>
      <c r="L21" s="20" t="n">
        <v>0.12100077</v>
      </c>
      <c r="M21" s="18" t="n">
        <v>0</v>
      </c>
      <c r="N21" s="20" t="n">
        <v>0</v>
      </c>
      <c r="O21" s="18" t="n">
        <v>0</v>
      </c>
      <c r="P21" s="20" t="n">
        <v>0</v>
      </c>
      <c r="Q21" s="18" t="n">
        <v>0</v>
      </c>
      <c r="R21" s="20" t="n">
        <v>0</v>
      </c>
    </row>
    <row r="22" spans="1:18">
      <c r="A22" s="15" t="s">
        <v>580</v>
      </c>
      <c r="B22" s="17" t="n">
        <v>6598</v>
      </c>
      <c r="C22" s="18">
        <f>(5870.0/B22*100)</f>
        <v/>
      </c>
      <c r="D22" s="19" t="n">
        <v>728</v>
      </c>
      <c r="E22" s="18" t="n">
        <v>67.84646789999999</v>
      </c>
      <c r="F22" s="20" t="n">
        <v>1.95889564</v>
      </c>
      <c r="G22" s="18" t="n">
        <v>31.77838334</v>
      </c>
      <c r="H22" s="20" t="n">
        <v>1.91951339</v>
      </c>
      <c r="I22" s="18" t="n">
        <v>0</v>
      </c>
      <c r="J22" s="20" t="n">
        <v>0</v>
      </c>
      <c r="K22" s="18" t="n">
        <v>0.37514876</v>
      </c>
      <c r="L22" s="20" t="n">
        <v>0.20478597</v>
      </c>
      <c r="M22" s="18" t="n">
        <v>0</v>
      </c>
      <c r="N22" s="20" t="n">
        <v>0</v>
      </c>
      <c r="O22" s="18" t="n">
        <v>0</v>
      </c>
      <c r="P22" s="20" t="n">
        <v>0</v>
      </c>
      <c r="Q22" s="18" t="n">
        <v>0</v>
      </c>
      <c r="R22" s="20" t="n">
        <v>0</v>
      </c>
    </row>
    <row r="23" spans="1:18">
      <c r="A23" s="15" t="s">
        <v>581</v>
      </c>
      <c r="B23" s="17" t="n">
        <v>11583</v>
      </c>
      <c r="C23" s="18">
        <f>(10335.0/B23*100)</f>
        <v/>
      </c>
      <c r="D23" s="19" t="n">
        <v>1248</v>
      </c>
      <c r="E23" s="18" t="n">
        <v>40.25553435</v>
      </c>
      <c r="F23" s="20" t="n">
        <v>1.91204319</v>
      </c>
      <c r="G23" s="18" t="n">
        <v>59.0074328</v>
      </c>
      <c r="H23" s="20" t="n">
        <v>1.92101612</v>
      </c>
      <c r="I23" s="18" t="n">
        <v>0</v>
      </c>
      <c r="J23" s="20" t="n">
        <v>0</v>
      </c>
      <c r="K23" s="18" t="n">
        <v>0.73703284</v>
      </c>
      <c r="L23" s="20" t="n">
        <v>0.35181278</v>
      </c>
      <c r="M23" s="18" t="n">
        <v>0</v>
      </c>
      <c r="N23" s="20" t="n">
        <v>0</v>
      </c>
      <c r="O23" s="18" t="n">
        <v>0</v>
      </c>
      <c r="P23" s="20" t="n">
        <v>0</v>
      </c>
      <c r="Q23" s="18" t="n">
        <v>0</v>
      </c>
      <c r="R23" s="20" t="n">
        <v>0</v>
      </c>
    </row>
    <row r="24" spans="1:18">
      <c r="A24" s="15" t="s">
        <v>582</v>
      </c>
      <c r="B24" s="17" t="n">
        <v>6647</v>
      </c>
      <c r="C24" s="18">
        <f>(5885.0/B24*100)</f>
        <v/>
      </c>
      <c r="D24" s="19" t="n">
        <v>762</v>
      </c>
      <c r="E24" s="18" t="n">
        <v>50.77499316</v>
      </c>
      <c r="F24" s="20" t="n">
        <v>1.99141609</v>
      </c>
      <c r="G24" s="18" t="n">
        <v>48.83632349</v>
      </c>
      <c r="H24" s="20" t="n">
        <v>2.02680778</v>
      </c>
      <c r="I24" s="18" t="n">
        <v>0</v>
      </c>
      <c r="J24" s="20" t="n">
        <v>0</v>
      </c>
      <c r="K24" s="18" t="n">
        <v>0.38868335</v>
      </c>
      <c r="L24" s="20" t="n">
        <v>0.22816508</v>
      </c>
      <c r="M24" s="18" t="n">
        <v>0</v>
      </c>
      <c r="N24" s="20" t="n">
        <v>0</v>
      </c>
      <c r="O24" s="18" t="n">
        <v>0</v>
      </c>
      <c r="P24" s="20" t="n">
        <v>0</v>
      </c>
      <c r="Q24" s="18" t="n">
        <v>0</v>
      </c>
      <c r="R24" s="20" t="n">
        <v>0</v>
      </c>
    </row>
    <row r="25" spans="1:18">
      <c r="A25" s="15" t="s">
        <v>583</v>
      </c>
      <c r="B25" s="17" t="n">
        <v>5581</v>
      </c>
      <c r="C25" s="18">
        <f>(4962.0/B25*100)</f>
        <v/>
      </c>
      <c r="D25" s="19" t="n">
        <v>619</v>
      </c>
      <c r="E25" s="18" t="n">
        <v>39.33184177</v>
      </c>
      <c r="F25" s="20" t="n">
        <v>2.29847854</v>
      </c>
      <c r="G25" s="18" t="n">
        <v>60.54236178</v>
      </c>
      <c r="H25" s="20" t="n">
        <v>2.29031587</v>
      </c>
      <c r="I25" s="18" t="n">
        <v>0</v>
      </c>
      <c r="J25" s="20" t="n">
        <v>0</v>
      </c>
      <c r="K25" s="18" t="n">
        <v>0.12579645</v>
      </c>
      <c r="L25" s="20" t="n">
        <v>0.12623097</v>
      </c>
      <c r="M25" s="18" t="n">
        <v>0</v>
      </c>
      <c r="N25" s="20" t="n">
        <v>0</v>
      </c>
      <c r="O25" s="18" t="n">
        <v>0</v>
      </c>
      <c r="P25" s="20" t="n">
        <v>0</v>
      </c>
      <c r="Q25" s="18" t="n">
        <v>0</v>
      </c>
      <c r="R25" s="20" t="n">
        <v>0</v>
      </c>
    </row>
    <row r="26" spans="1:18">
      <c r="A26" s="15" t="s">
        <v>584</v>
      </c>
      <c r="B26" s="17" t="n">
        <v>4869</v>
      </c>
      <c r="C26" s="18">
        <f>(4335.0/B26*100)</f>
        <v/>
      </c>
      <c r="D26" s="19" t="n">
        <v>534</v>
      </c>
      <c r="E26" s="18" t="n">
        <v>50.47531024</v>
      </c>
      <c r="F26" s="20" t="n">
        <v>2.3024338</v>
      </c>
      <c r="G26" s="18" t="n">
        <v>49.39683739</v>
      </c>
      <c r="H26" s="20" t="n">
        <v>2.28489551</v>
      </c>
      <c r="I26" s="18" t="n">
        <v>0</v>
      </c>
      <c r="J26" s="20" t="n">
        <v>0</v>
      </c>
      <c r="K26" s="18" t="n">
        <v>0.12785237</v>
      </c>
      <c r="L26" s="20" t="n">
        <v>0.12704412</v>
      </c>
      <c r="M26" s="18" t="n">
        <v>0</v>
      </c>
      <c r="N26" s="20" t="n">
        <v>0</v>
      </c>
      <c r="O26" s="18" t="n">
        <v>0</v>
      </c>
      <c r="P26" s="20" t="n">
        <v>0</v>
      </c>
      <c r="Q26" s="18" t="n">
        <v>0</v>
      </c>
      <c r="R26" s="20" t="n">
        <v>0</v>
      </c>
    </row>
    <row r="27" spans="1:18">
      <c r="A27" s="15" t="s">
        <v>585</v>
      </c>
      <c r="B27" s="17" t="n">
        <v>5299</v>
      </c>
      <c r="C27" s="18">
        <f>(4746.0/B27*100)</f>
        <v/>
      </c>
      <c r="D27" s="19" t="n">
        <v>553</v>
      </c>
      <c r="E27" s="18" t="n">
        <v>56.2712725</v>
      </c>
      <c r="F27" s="20" t="n">
        <v>2.40984669</v>
      </c>
      <c r="G27" s="18" t="n">
        <v>42.44058906</v>
      </c>
      <c r="H27" s="20" t="n">
        <v>2.34788633</v>
      </c>
      <c r="I27" s="18" t="n">
        <v>0</v>
      </c>
      <c r="J27" s="20" t="n">
        <v>0</v>
      </c>
      <c r="K27" s="18" t="n">
        <v>1.28813844</v>
      </c>
      <c r="L27" s="20" t="n">
        <v>0.4782382</v>
      </c>
      <c r="M27" s="18" t="n">
        <v>0</v>
      </c>
      <c r="N27" s="20" t="n">
        <v>0</v>
      </c>
      <c r="O27" s="18" t="n">
        <v>0</v>
      </c>
      <c r="P27" s="20" t="n">
        <v>0</v>
      </c>
      <c r="Q27" s="18" t="n">
        <v>0</v>
      </c>
      <c r="R27" s="20" t="n">
        <v>0</v>
      </c>
    </row>
    <row r="28" spans="1:18">
      <c r="A28" s="15" t="s">
        <v>586</v>
      </c>
      <c r="B28" s="17" t="n">
        <v>7568</v>
      </c>
      <c r="C28" s="18">
        <f>(6801.0/B28*100)</f>
        <v/>
      </c>
      <c r="D28" s="19" t="n">
        <v>767</v>
      </c>
      <c r="E28" s="18" t="n">
        <v>75.59368559000001</v>
      </c>
      <c r="F28" s="20" t="n">
        <v>1.76508648</v>
      </c>
      <c r="G28" s="18" t="n">
        <v>22.61812865</v>
      </c>
      <c r="H28" s="20" t="n">
        <v>1.82965383</v>
      </c>
      <c r="I28" s="18" t="n">
        <v>0</v>
      </c>
      <c r="J28" s="20" t="n">
        <v>0</v>
      </c>
      <c r="K28" s="18" t="n">
        <v>1.78818577</v>
      </c>
      <c r="L28" s="20" t="n">
        <v>0.61516149</v>
      </c>
      <c r="M28" s="18" t="n">
        <v>0</v>
      </c>
      <c r="N28" s="20" t="n">
        <v>0</v>
      </c>
      <c r="O28" s="18" t="n">
        <v>0</v>
      </c>
      <c r="P28" s="20" t="n">
        <v>0</v>
      </c>
      <c r="Q28" s="18" t="n">
        <v>0</v>
      </c>
      <c r="R28" s="20" t="n">
        <v>0</v>
      </c>
    </row>
    <row r="29" spans="1:18">
      <c r="A29" s="15" t="s">
        <v>587</v>
      </c>
      <c r="B29" s="17" t="n">
        <v>5385</v>
      </c>
      <c r="C29" s="18">
        <f>(4788.0/B29*100)</f>
        <v/>
      </c>
      <c r="D29" s="19" t="n">
        <v>597</v>
      </c>
      <c r="E29" s="18" t="n">
        <v>49.65818018</v>
      </c>
      <c r="F29" s="20" t="n">
        <v>2.46443161</v>
      </c>
      <c r="G29" s="18" t="n">
        <v>50.34181982</v>
      </c>
      <c r="H29" s="20" t="n">
        <v>2.46443161</v>
      </c>
      <c r="I29" s="18" t="n">
        <v>0</v>
      </c>
      <c r="J29" s="20" t="n">
        <v>0</v>
      </c>
      <c r="K29" s="18" t="n">
        <v>0</v>
      </c>
      <c r="L29" s="20" t="n">
        <v>0</v>
      </c>
      <c r="M29" s="18" t="n">
        <v>0</v>
      </c>
      <c r="N29" s="20" t="n">
        <v>0</v>
      </c>
      <c r="O29" s="18" t="n">
        <v>0</v>
      </c>
      <c r="P29" s="20" t="n">
        <v>0</v>
      </c>
      <c r="Q29" s="18" t="n">
        <v>0</v>
      </c>
      <c r="R29" s="20" t="n">
        <v>0</v>
      </c>
    </row>
    <row r="30" spans="1:18">
      <c r="A30" s="15" t="s">
        <v>588</v>
      </c>
      <c r="B30" s="17" t="n">
        <v>4520</v>
      </c>
      <c r="C30" s="18">
        <f>(4036.0/B30*100)</f>
        <v/>
      </c>
      <c r="D30" s="19" t="n">
        <v>484</v>
      </c>
      <c r="E30" s="18" t="n">
        <v>50.37679852</v>
      </c>
      <c r="F30" s="20" t="n">
        <v>2.13092621</v>
      </c>
      <c r="G30" s="18" t="n">
        <v>48.34621326</v>
      </c>
      <c r="H30" s="20" t="n">
        <v>2.17803941</v>
      </c>
      <c r="I30" s="18" t="n">
        <v>0</v>
      </c>
      <c r="J30" s="20" t="n">
        <v>0</v>
      </c>
      <c r="K30" s="18" t="n">
        <v>1.27698822</v>
      </c>
      <c r="L30" s="20" t="n">
        <v>0.54868692</v>
      </c>
      <c r="M30" s="18" t="n">
        <v>0</v>
      </c>
      <c r="N30" s="20" t="n">
        <v>0</v>
      </c>
      <c r="O30" s="18" t="n">
        <v>0</v>
      </c>
      <c r="P30" s="20" t="n">
        <v>0</v>
      </c>
      <c r="Q30" s="18" t="n">
        <v>0</v>
      </c>
      <c r="R30" s="20" t="n">
        <v>0</v>
      </c>
    </row>
    <row r="31" spans="1:18">
      <c r="A31" s="15" t="s">
        <v>589</v>
      </c>
      <c r="B31" s="17" t="n">
        <v>5456</v>
      </c>
      <c r="C31" s="18">
        <f>(4878.0/B31*100)</f>
        <v/>
      </c>
      <c r="D31" s="19" t="n">
        <v>578</v>
      </c>
      <c r="E31" s="18" t="n">
        <v>44.26903798</v>
      </c>
      <c r="F31" s="20" t="n">
        <v>2.1890916</v>
      </c>
      <c r="G31" s="18" t="n">
        <v>54.89565407</v>
      </c>
      <c r="H31" s="20" t="n">
        <v>2.19372749</v>
      </c>
      <c r="I31" s="18" t="n">
        <v>0</v>
      </c>
      <c r="J31" s="20" t="n">
        <v>0</v>
      </c>
      <c r="K31" s="18" t="n">
        <v>0.83530795</v>
      </c>
      <c r="L31" s="20" t="n">
        <v>0.45867094</v>
      </c>
      <c r="M31" s="18" t="n">
        <v>0</v>
      </c>
      <c r="N31" s="20" t="n">
        <v>0</v>
      </c>
      <c r="O31" s="18" t="n">
        <v>0</v>
      </c>
      <c r="P31" s="20" t="n">
        <v>0</v>
      </c>
      <c r="Q31" s="18" t="n">
        <v>0</v>
      </c>
      <c r="R31" s="20" t="n">
        <v>0</v>
      </c>
    </row>
    <row r="32" spans="1:18">
      <c r="A32" s="15" t="s">
        <v>590</v>
      </c>
      <c r="B32" s="17" t="n">
        <v>4478</v>
      </c>
      <c r="C32" s="18">
        <f>(3985.0/B32*100)</f>
        <v/>
      </c>
      <c r="D32" s="19" t="n">
        <v>493</v>
      </c>
      <c r="E32" s="18" t="n">
        <v>37.26618931</v>
      </c>
      <c r="F32" s="20" t="n">
        <v>2.25900263</v>
      </c>
      <c r="G32" s="18" t="n">
        <v>62.73381069</v>
      </c>
      <c r="H32" s="20" t="n">
        <v>2.25900263</v>
      </c>
      <c r="I32" s="18" t="n">
        <v>0</v>
      </c>
      <c r="J32" s="20" t="n">
        <v>0</v>
      </c>
      <c r="K32" s="18" t="n">
        <v>0</v>
      </c>
      <c r="L32" s="20" t="n">
        <v>0</v>
      </c>
      <c r="M32" s="18" t="n">
        <v>0</v>
      </c>
      <c r="N32" s="20" t="n">
        <v>0</v>
      </c>
      <c r="O32" s="18" t="n">
        <v>0</v>
      </c>
      <c r="P32" s="20" t="n">
        <v>0</v>
      </c>
      <c r="Q32" s="18" t="n">
        <v>0</v>
      </c>
      <c r="R32" s="20" t="n">
        <v>0</v>
      </c>
    </row>
    <row r="33" spans="1:18">
      <c r="A33" s="15" t="s">
        <v>591</v>
      </c>
      <c r="B33" s="17" t="n">
        <v>7325</v>
      </c>
      <c r="C33" s="18">
        <f>(6545.0/B33*100)</f>
        <v/>
      </c>
      <c r="D33" s="19" t="n">
        <v>780</v>
      </c>
      <c r="E33" s="18" t="n">
        <v>45.33362865</v>
      </c>
      <c r="F33" s="20" t="n">
        <v>2.38464315</v>
      </c>
      <c r="G33" s="18" t="n">
        <v>53.74643296</v>
      </c>
      <c r="H33" s="20" t="n">
        <v>2.30520829</v>
      </c>
      <c r="I33" s="18" t="n">
        <v>0</v>
      </c>
      <c r="J33" s="20" t="n">
        <v>0</v>
      </c>
      <c r="K33" s="18" t="n">
        <v>0.91993839</v>
      </c>
      <c r="L33" s="20" t="n">
        <v>0.44514892</v>
      </c>
      <c r="M33" s="18" t="n">
        <v>0</v>
      </c>
      <c r="N33" s="20" t="n">
        <v>0</v>
      </c>
      <c r="O33" s="18" t="n">
        <v>0</v>
      </c>
      <c r="P33" s="20" t="n">
        <v>0</v>
      </c>
      <c r="Q33" s="18" t="n">
        <v>0</v>
      </c>
      <c r="R33" s="20" t="n">
        <v>0</v>
      </c>
    </row>
    <row r="34" spans="1:18">
      <c r="A34" s="15" t="s">
        <v>592</v>
      </c>
      <c r="B34" s="17" t="n">
        <v>6350</v>
      </c>
      <c r="C34" s="18">
        <f>(5665.0/B34*100)</f>
        <v/>
      </c>
      <c r="D34" s="19" t="n">
        <v>685</v>
      </c>
      <c r="E34" s="18" t="n">
        <v>46.73934846</v>
      </c>
      <c r="F34" s="20" t="n">
        <v>2.06739205</v>
      </c>
      <c r="G34" s="18" t="n">
        <v>52.16179503</v>
      </c>
      <c r="H34" s="20" t="n">
        <v>2.10038602</v>
      </c>
      <c r="I34" s="18" t="n">
        <v>0</v>
      </c>
      <c r="J34" s="20" t="n">
        <v>0</v>
      </c>
      <c r="K34" s="18" t="n">
        <v>1.09885651</v>
      </c>
      <c r="L34" s="20" t="n">
        <v>0.44430776</v>
      </c>
      <c r="M34" s="18" t="n">
        <v>0</v>
      </c>
      <c r="N34" s="20" t="n">
        <v>0</v>
      </c>
      <c r="O34" s="18" t="n">
        <v>0</v>
      </c>
      <c r="P34" s="20" t="n">
        <v>0</v>
      </c>
      <c r="Q34" s="18" t="n">
        <v>0</v>
      </c>
      <c r="R34" s="20" t="n">
        <v>0</v>
      </c>
    </row>
    <row r="35" spans="1:18">
      <c r="A35" s="15" t="s">
        <v>593</v>
      </c>
      <c r="B35" s="17" t="n">
        <v>6406</v>
      </c>
      <c r="C35" s="18">
        <f>(5689.0/B35*100)</f>
        <v/>
      </c>
      <c r="D35" s="19" t="n">
        <v>717</v>
      </c>
      <c r="E35" s="18" t="n">
        <v>32.39693225</v>
      </c>
      <c r="F35" s="20" t="n">
        <v>2.04502102</v>
      </c>
      <c r="G35" s="18" t="n">
        <v>67.2934439</v>
      </c>
      <c r="H35" s="20" t="n">
        <v>2.03128899</v>
      </c>
      <c r="I35" s="18" t="n">
        <v>0</v>
      </c>
      <c r="J35" s="20" t="n">
        <v>0</v>
      </c>
      <c r="K35" s="18" t="n">
        <v>0.30962385</v>
      </c>
      <c r="L35" s="20" t="n">
        <v>0.15516278</v>
      </c>
      <c r="M35" s="18" t="n">
        <v>0</v>
      </c>
      <c r="N35" s="20" t="n">
        <v>0</v>
      </c>
      <c r="O35" s="18" t="n">
        <v>0</v>
      </c>
      <c r="P35" s="20" t="n">
        <v>0</v>
      </c>
      <c r="Q35" s="18" t="n">
        <v>0</v>
      </c>
      <c r="R35" s="20" t="n">
        <v>0</v>
      </c>
    </row>
    <row r="36" spans="1:18">
      <c r="A36" s="15" t="s">
        <v>594</v>
      </c>
      <c r="B36" s="17" t="n">
        <v>6736</v>
      </c>
      <c r="C36" s="18">
        <f>(6041.0/B36*100)</f>
        <v/>
      </c>
      <c r="D36" s="19" t="n">
        <v>695</v>
      </c>
      <c r="E36" s="18" t="n">
        <v>42.66360152</v>
      </c>
      <c r="F36" s="20" t="n">
        <v>2.25646754</v>
      </c>
      <c r="G36" s="18" t="n">
        <v>56.736274</v>
      </c>
      <c r="H36" s="20" t="n">
        <v>2.33104783</v>
      </c>
      <c r="I36" s="18" t="n">
        <v>0</v>
      </c>
      <c r="J36" s="20" t="n">
        <v>0</v>
      </c>
      <c r="K36" s="18" t="n">
        <v>0.60012447</v>
      </c>
      <c r="L36" s="20" t="n">
        <v>0.37775535</v>
      </c>
      <c r="M36" s="18" t="n">
        <v>0</v>
      </c>
      <c r="N36" s="20" t="n">
        <v>0</v>
      </c>
      <c r="O36" s="18" t="n">
        <v>0</v>
      </c>
      <c r="P36" s="20" t="n">
        <v>0</v>
      </c>
      <c r="Q36" s="18" t="n">
        <v>0</v>
      </c>
      <c r="R36" s="20" t="n">
        <v>0</v>
      </c>
    </row>
    <row r="37" spans="1:18">
      <c r="A37" s="15" t="s">
        <v>595</v>
      </c>
      <c r="B37" s="17" t="n">
        <v>5458</v>
      </c>
      <c r="C37" s="18">
        <f>(4841.0/B37*100)</f>
        <v/>
      </c>
      <c r="D37" s="19" t="n">
        <v>617</v>
      </c>
      <c r="E37" s="18" t="n">
        <v>47.72438978</v>
      </c>
      <c r="F37" s="20" t="n">
        <v>1.93128128</v>
      </c>
      <c r="G37" s="18" t="n">
        <v>50.52372158</v>
      </c>
      <c r="H37" s="20" t="n">
        <v>1.94201816</v>
      </c>
      <c r="I37" s="18" t="n">
        <v>0</v>
      </c>
      <c r="J37" s="20" t="n">
        <v>0</v>
      </c>
      <c r="K37" s="18" t="n">
        <v>1.75188864</v>
      </c>
      <c r="L37" s="20" t="n">
        <v>0.49174345</v>
      </c>
      <c r="M37" s="18" t="n">
        <v>0</v>
      </c>
      <c r="N37" s="20" t="n">
        <v>0</v>
      </c>
      <c r="O37" s="18" t="n">
        <v>0</v>
      </c>
      <c r="P37" s="20" t="n">
        <v>0</v>
      </c>
      <c r="Q37" s="18" t="n">
        <v>0</v>
      </c>
      <c r="R37" s="20" t="n">
        <v>0</v>
      </c>
    </row>
    <row r="38" spans="1:18">
      <c r="A38" s="15" t="s">
        <v>596</v>
      </c>
      <c r="B38" s="17" t="n">
        <v>5860</v>
      </c>
      <c r="C38" s="18">
        <f>(5239.0/B38*100)</f>
        <v/>
      </c>
      <c r="D38" s="19" t="n">
        <v>621</v>
      </c>
      <c r="E38" s="18" t="n">
        <v>47.86398286</v>
      </c>
      <c r="F38" s="20" t="n">
        <v>2.26691015</v>
      </c>
      <c r="G38" s="18" t="n">
        <v>51.48888233</v>
      </c>
      <c r="H38" s="20" t="n">
        <v>2.25823222</v>
      </c>
      <c r="I38" s="18" t="n">
        <v>0</v>
      </c>
      <c r="J38" s="20" t="n">
        <v>0</v>
      </c>
      <c r="K38" s="18" t="n">
        <v>0.6471348</v>
      </c>
      <c r="L38" s="20" t="n">
        <v>0.32758725</v>
      </c>
      <c r="M38" s="18" t="n">
        <v>0</v>
      </c>
      <c r="N38" s="20" t="n">
        <v>0</v>
      </c>
      <c r="O38" s="18" t="n">
        <v>0</v>
      </c>
      <c r="P38" s="20" t="n">
        <v>0</v>
      </c>
      <c r="Q38" s="18" t="n">
        <v>0</v>
      </c>
      <c r="R38" s="20" t="n">
        <v>0</v>
      </c>
    </row>
    <row r="39" spans="1:18">
      <c r="A39" s="15" t="s">
        <v>597</v>
      </c>
      <c r="B39" s="17" t="n">
        <v>5895</v>
      </c>
      <c r="C39" s="18">
        <f>(5253.0/B39*100)</f>
        <v/>
      </c>
      <c r="D39" s="19" t="n">
        <v>642</v>
      </c>
      <c r="E39" s="18" t="n">
        <v>46.2453991</v>
      </c>
      <c r="F39" s="20" t="n">
        <v>2.14226526</v>
      </c>
      <c r="G39" s="18" t="n">
        <v>53.04005755</v>
      </c>
      <c r="H39" s="20" t="n">
        <v>2.1578423</v>
      </c>
      <c r="I39" s="18" t="n">
        <v>0</v>
      </c>
      <c r="J39" s="20" t="n">
        <v>0</v>
      </c>
      <c r="K39" s="18" t="n">
        <v>0.71454335</v>
      </c>
      <c r="L39" s="20" t="n">
        <v>0.6124949200000001</v>
      </c>
      <c r="M39" s="18" t="n">
        <v>0</v>
      </c>
      <c r="N39" s="20" t="n">
        <v>0</v>
      </c>
      <c r="O39" s="18" t="n">
        <v>0</v>
      </c>
      <c r="P39" s="20" t="n">
        <v>0</v>
      </c>
      <c r="Q39" s="18" t="n">
        <v>0</v>
      </c>
      <c r="R39" s="20" t="n">
        <v>0</v>
      </c>
    </row>
    <row r="40" spans="1:18">
      <c r="A40" s="15" t="s">
        <v>598</v>
      </c>
      <c r="B40" s="17" t="n">
        <v>14157</v>
      </c>
      <c r="C40" s="18">
        <f>(12579.0/B40*100)</f>
        <v/>
      </c>
      <c r="D40" s="19" t="n">
        <v>1578</v>
      </c>
      <c r="E40" s="18" t="n">
        <v>46.35714222</v>
      </c>
      <c r="F40" s="20" t="n">
        <v>1.76468084</v>
      </c>
      <c r="G40" s="18" t="n">
        <v>52.64929306</v>
      </c>
      <c r="H40" s="20" t="n">
        <v>1.80675149</v>
      </c>
      <c r="I40" s="18" t="n">
        <v>0</v>
      </c>
      <c r="J40" s="20" t="n">
        <v>0</v>
      </c>
      <c r="K40" s="18" t="n">
        <v>0.99356472</v>
      </c>
      <c r="L40" s="20" t="n">
        <v>0.38843623</v>
      </c>
      <c r="M40" s="18" t="n">
        <v>0</v>
      </c>
      <c r="N40" s="20" t="n">
        <v>0</v>
      </c>
      <c r="O40" s="18" t="n">
        <v>0</v>
      </c>
      <c r="P40" s="20" t="n">
        <v>0</v>
      </c>
      <c r="Q40" s="18" t="n">
        <v>0</v>
      </c>
      <c r="R40" s="20" t="n">
        <v>0</v>
      </c>
    </row>
    <row r="41" spans="1:18">
      <c r="A41" s="15" t="s">
        <v>599</v>
      </c>
      <c r="B41" s="17" t="n">
        <v>5712</v>
      </c>
      <c r="C41" s="18">
        <f>(5105.0/B41*100)</f>
        <v/>
      </c>
      <c r="D41" s="19" t="n">
        <v>607</v>
      </c>
      <c r="E41" s="18" t="n">
        <v>58.86959307</v>
      </c>
      <c r="F41" s="20" t="n">
        <v>2.15644291</v>
      </c>
      <c r="G41" s="18" t="n">
        <v>40.46126561</v>
      </c>
      <c r="H41" s="20" t="n">
        <v>2.13657189</v>
      </c>
      <c r="I41" s="18" t="n">
        <v>0</v>
      </c>
      <c r="J41" s="20" t="n">
        <v>0</v>
      </c>
      <c r="K41" s="18" t="n">
        <v>0.66914132</v>
      </c>
      <c r="L41" s="20" t="n">
        <v>0.47419509</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(21053.0/B46*100)</f>
        <v/>
      </c>
      <c r="D46" s="19" t="n">
        <v>2088</v>
      </c>
      <c r="E46" s="18" t="n">
        <v>63.13881733</v>
      </c>
      <c r="F46" s="20" t="n">
        <v>1.23372576</v>
      </c>
      <c r="G46" s="18" t="n">
        <v>34.61851424</v>
      </c>
      <c r="H46" s="20" t="n">
        <v>1.19387171</v>
      </c>
      <c r="I46" s="18" t="n">
        <v>0</v>
      </c>
      <c r="J46" s="20" t="n">
        <v>0</v>
      </c>
      <c r="K46" s="18" t="n">
        <v>2.24266843</v>
      </c>
      <c r="L46" s="20" t="n">
        <v>0.36665157</v>
      </c>
      <c r="M46" s="18" t="n">
        <v>0</v>
      </c>
      <c r="N46" s="20" t="n">
        <v>0</v>
      </c>
      <c r="O46" s="18" t="n">
        <v>0</v>
      </c>
      <c r="P46" s="20" t="n">
        <v>0</v>
      </c>
      <c r="Q46" s="18" t="n">
        <v>0</v>
      </c>
      <c r="R46" s="20" t="n">
        <v>0</v>
      </c>
    </row>
    <row r="47" spans="1:18">
      <c r="A47" s="15" t="s">
        <v>606</v>
      </c>
      <c r="B47" s="17" t="n">
        <v>5928</v>
      </c>
      <c r="C47" s="18">
        <f>(5289.0/B47*100)</f>
        <v/>
      </c>
      <c r="D47" s="19" t="n">
        <v>639</v>
      </c>
      <c r="E47" s="18" t="n">
        <v>51.67005987</v>
      </c>
      <c r="F47" s="20" t="n">
        <v>1.9900208</v>
      </c>
      <c r="G47" s="18" t="n">
        <v>47.05763385</v>
      </c>
      <c r="H47" s="20" t="n">
        <v>1.87041611</v>
      </c>
      <c r="I47" s="18" t="n">
        <v>0</v>
      </c>
      <c r="J47" s="20" t="n">
        <v>0</v>
      </c>
      <c r="K47" s="18" t="n">
        <v>1.27230628</v>
      </c>
      <c r="L47" s="20" t="n">
        <v>0.48279367</v>
      </c>
      <c r="M47" s="18" t="n">
        <v>0</v>
      </c>
      <c r="N47" s="20" t="n">
        <v>0</v>
      </c>
      <c r="O47" s="18" t="n">
        <v>0</v>
      </c>
      <c r="P47" s="20" t="n">
        <v>0</v>
      </c>
      <c r="Q47" s="18" t="n">
        <v>0</v>
      </c>
      <c r="R47" s="20" t="n">
        <v>0</v>
      </c>
    </row>
    <row r="48" spans="1:18">
      <c r="A48" s="15" t="s">
        <v>607</v>
      </c>
      <c r="B48" s="17" t="n">
        <v>9841</v>
      </c>
      <c r="C48" s="18">
        <f>(8749.0/B48*100)</f>
        <v/>
      </c>
      <c r="D48" s="19" t="n">
        <v>1092</v>
      </c>
      <c r="E48" s="18" t="n">
        <v>36.31566307</v>
      </c>
      <c r="F48" s="20" t="n">
        <v>2.40057704</v>
      </c>
      <c r="G48" s="18" t="n">
        <v>62.38726457</v>
      </c>
      <c r="H48" s="20" t="n">
        <v>2.39559992</v>
      </c>
      <c r="I48" s="18" t="n">
        <v>0</v>
      </c>
      <c r="J48" s="20" t="n">
        <v>0</v>
      </c>
      <c r="K48" s="18" t="n">
        <v>1.29707235</v>
      </c>
      <c r="L48" s="20" t="n">
        <v>0.30510726</v>
      </c>
      <c r="M48" s="18" t="n">
        <v>0</v>
      </c>
      <c r="N48" s="20" t="n">
        <v>0</v>
      </c>
      <c r="O48" s="18" t="n">
        <v>0</v>
      </c>
      <c r="P48" s="20" t="n">
        <v>0</v>
      </c>
      <c r="Q48" s="18" t="n">
        <v>0</v>
      </c>
      <c r="R48" s="20" t="n">
        <v>0</v>
      </c>
    </row>
    <row r="49" spans="1:18">
      <c r="A49" s="15" t="s">
        <v>608</v>
      </c>
      <c r="B49" s="17" t="n">
        <v>11795</v>
      </c>
      <c r="C49" s="18">
        <f>(10539.0/B49*100)</f>
        <v/>
      </c>
      <c r="D49" s="19" t="n">
        <v>1256</v>
      </c>
      <c r="E49" s="18" t="n">
        <v>77.28056092</v>
      </c>
      <c r="F49" s="20" t="n">
        <v>1.53140804</v>
      </c>
      <c r="G49" s="18" t="n">
        <v>21.54322684</v>
      </c>
      <c r="H49" s="20" t="n">
        <v>1.48112968</v>
      </c>
      <c r="I49" s="18" t="n">
        <v>0</v>
      </c>
      <c r="J49" s="20" t="n">
        <v>0</v>
      </c>
      <c r="K49" s="18" t="n">
        <v>1.17621224</v>
      </c>
      <c r="L49" s="20" t="n">
        <v>0.44159984</v>
      </c>
      <c r="M49" s="18" t="n">
        <v>0</v>
      </c>
      <c r="N49" s="20" t="n">
        <v>0</v>
      </c>
      <c r="O49" s="18" t="n">
        <v>0</v>
      </c>
      <c r="P49" s="20" t="n">
        <v>0</v>
      </c>
      <c r="Q49" s="18" t="n">
        <v>0</v>
      </c>
      <c r="R49" s="20" t="n">
        <v>0</v>
      </c>
    </row>
    <row r="50" spans="1:18">
      <c r="A50" s="15" t="s">
        <v>609</v>
      </c>
      <c r="B50" s="17" t="n">
        <v>6866</v>
      </c>
      <c r="C50" s="18">
        <f>(6197.0/B50*100)</f>
        <v/>
      </c>
      <c r="D50" s="19" t="n">
        <v>669</v>
      </c>
      <c r="E50" s="18" t="n">
        <v>77.03489095</v>
      </c>
      <c r="F50" s="20" t="n">
        <v>1.92803607</v>
      </c>
      <c r="G50" s="18" t="n">
        <v>22.63899237</v>
      </c>
      <c r="H50" s="20" t="n">
        <v>1.9237297</v>
      </c>
      <c r="I50" s="18" t="n">
        <v>0</v>
      </c>
      <c r="J50" s="20" t="n">
        <v>0</v>
      </c>
      <c r="K50" s="18" t="n">
        <v>0.32611668</v>
      </c>
      <c r="L50" s="20" t="n">
        <v>0.21724495</v>
      </c>
      <c r="M50" s="18" t="n">
        <v>0</v>
      </c>
      <c r="N50" s="20" t="n">
        <v>0</v>
      </c>
      <c r="O50" s="18" t="n">
        <v>0</v>
      </c>
      <c r="P50" s="20" t="n">
        <v>0</v>
      </c>
      <c r="Q50" s="18" t="n">
        <v>0</v>
      </c>
      <c r="R50" s="20" t="n">
        <v>0</v>
      </c>
    </row>
    <row r="51" spans="1:18">
      <c r="A51" s="15" t="s">
        <v>610</v>
      </c>
      <c r="B51" s="17" t="n">
        <v>5809</v>
      </c>
      <c r="C51" s="18">
        <f>(5169.0/B51*100)</f>
        <v/>
      </c>
      <c r="D51" s="19" t="n">
        <v>640</v>
      </c>
      <c r="E51" s="18" t="n">
        <v>44.92740856</v>
      </c>
      <c r="F51" s="20" t="n">
        <v>1.6570108</v>
      </c>
      <c r="G51" s="18" t="n">
        <v>54.39928328</v>
      </c>
      <c r="H51" s="20" t="n">
        <v>1.68768694</v>
      </c>
      <c r="I51" s="18" t="n">
        <v>0</v>
      </c>
      <c r="J51" s="20" t="n">
        <v>0</v>
      </c>
      <c r="K51" s="18" t="n">
        <v>0.67330815</v>
      </c>
      <c r="L51" s="20" t="n">
        <v>0.34740119</v>
      </c>
      <c r="M51" s="18" t="n">
        <v>0</v>
      </c>
      <c r="N51" s="20" t="n">
        <v>0</v>
      </c>
      <c r="O51" s="18" t="n">
        <v>0</v>
      </c>
      <c r="P51" s="20" t="n">
        <v>0</v>
      </c>
      <c r="Q51" s="18" t="n">
        <v>0</v>
      </c>
      <c r="R51" s="20" t="n">
        <v>0</v>
      </c>
    </row>
    <row r="52" spans="1:18">
      <c r="A52" s="15" t="s">
        <v>611</v>
      </c>
      <c r="B52" s="17" t="n">
        <v>5571</v>
      </c>
      <c r="C52" s="18">
        <f>(4977.0/B52*100)</f>
        <v/>
      </c>
      <c r="D52" s="19" t="n">
        <v>594</v>
      </c>
      <c r="E52" s="18" t="n">
        <v>64.17008822</v>
      </c>
      <c r="F52" s="20" t="n">
        <v>1.98460547</v>
      </c>
      <c r="G52" s="18" t="n">
        <v>34.94909034</v>
      </c>
      <c r="H52" s="20" t="n">
        <v>1.97707625</v>
      </c>
      <c r="I52" s="18" t="n">
        <v>0</v>
      </c>
      <c r="J52" s="20" t="n">
        <v>0</v>
      </c>
      <c r="K52" s="18" t="n">
        <v>0.88082144</v>
      </c>
      <c r="L52" s="20" t="n">
        <v>0.38317328</v>
      </c>
      <c r="M52" s="18" t="n">
        <v>0</v>
      </c>
      <c r="N52" s="20" t="n">
        <v>0</v>
      </c>
      <c r="O52" s="18" t="n">
        <v>0</v>
      </c>
      <c r="P52" s="20" t="n">
        <v>0</v>
      </c>
      <c r="Q52" s="18" t="n">
        <v>0</v>
      </c>
      <c r="R52" s="20" t="n">
        <v>0</v>
      </c>
    </row>
    <row r="53" spans="1:18">
      <c r="A53" s="15" t="s">
        <v>612</v>
      </c>
      <c r="B53" s="17" t="n">
        <v>4740</v>
      </c>
      <c r="C53" s="18">
        <f>(4222.0/B53*100)</f>
        <v/>
      </c>
      <c r="D53" s="19" t="n">
        <v>518</v>
      </c>
      <c r="E53" s="18" t="n">
        <v>61.67908547</v>
      </c>
      <c r="F53" s="20" t="n">
        <v>3.09616081</v>
      </c>
      <c r="G53" s="18" t="n">
        <v>25.92509741</v>
      </c>
      <c r="H53" s="20" t="n">
        <v>2.64829171</v>
      </c>
      <c r="I53" s="18" t="n">
        <v>0</v>
      </c>
      <c r="J53" s="20" t="n">
        <v>0</v>
      </c>
      <c r="K53" s="18" t="n">
        <v>12.39581712</v>
      </c>
      <c r="L53" s="20" t="n">
        <v>1.79283508</v>
      </c>
      <c r="M53" s="18" t="n">
        <v>0</v>
      </c>
      <c r="N53" s="20" t="n">
        <v>0</v>
      </c>
      <c r="O53" s="18" t="n">
        <v>0</v>
      </c>
      <c r="P53" s="20" t="n">
        <v>0</v>
      </c>
      <c r="Q53" s="18" t="n">
        <v>0</v>
      </c>
      <c r="R53" s="20" t="n">
        <v>0</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(4769.0/B55*100)</f>
        <v/>
      </c>
      <c r="D55" s="19" t="n">
        <v>590</v>
      </c>
      <c r="E55" s="18" t="n">
        <v>27.96100848</v>
      </c>
      <c r="F55" s="20" t="n">
        <v>2.12692226</v>
      </c>
      <c r="G55" s="18" t="n">
        <v>71.34559464</v>
      </c>
      <c r="H55" s="20" t="n">
        <v>2.15518663</v>
      </c>
      <c r="I55" s="18" t="n">
        <v>0</v>
      </c>
      <c r="J55" s="20" t="n">
        <v>0</v>
      </c>
      <c r="K55" s="18" t="n">
        <v>0.69339688</v>
      </c>
      <c r="L55" s="20" t="n">
        <v>0.45250453</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(5830.0/B61*100)</f>
        <v/>
      </c>
      <c r="D61" s="19" t="n">
        <v>695</v>
      </c>
      <c r="E61" s="18" t="n">
        <v>51.54780838</v>
      </c>
      <c r="F61" s="20" t="n">
        <v>1.89396425</v>
      </c>
      <c r="G61" s="18" t="n">
        <v>48.17846415</v>
      </c>
      <c r="H61" s="20" t="n">
        <v>1.92683209</v>
      </c>
      <c r="I61" s="18" t="n">
        <v>0</v>
      </c>
      <c r="J61" s="20" t="n">
        <v>0</v>
      </c>
      <c r="K61" s="18" t="n">
        <v>0.27372747</v>
      </c>
      <c r="L61" s="20" t="n">
        <v>0.20022431</v>
      </c>
      <c r="M61" s="18" t="n">
        <v>0</v>
      </c>
      <c r="N61" s="20" t="n">
        <v>0</v>
      </c>
      <c r="O61" s="18" t="n">
        <v>0</v>
      </c>
      <c r="P61" s="20" t="n">
        <v>0</v>
      </c>
      <c r="Q61" s="18" t="n">
        <v>0</v>
      </c>
      <c r="R61" s="20" t="n">
        <v>0</v>
      </c>
    </row>
    <row r="62" spans="1:18">
      <c r="A62" s="15" t="s">
        <v>622</v>
      </c>
      <c r="B62" s="17" t="n">
        <v>4476</v>
      </c>
      <c r="C62" s="18">
        <f>(3966.0/B62*100)</f>
        <v/>
      </c>
      <c r="D62" s="19" t="n">
        <v>510</v>
      </c>
      <c r="E62" s="18" t="n">
        <v>31.00411112</v>
      </c>
      <c r="F62" s="20" t="n">
        <v>2.23305757</v>
      </c>
      <c r="G62" s="18" t="n">
        <v>68.99588888</v>
      </c>
      <c r="H62" s="20" t="n">
        <v>2.23305757</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(5051.0/B67*100)</f>
        <v/>
      </c>
      <c r="D67" s="19" t="n">
        <v>614</v>
      </c>
      <c r="E67" s="18" t="n">
        <v>64.82192440999999</v>
      </c>
      <c r="F67" s="20" t="n">
        <v>1.99208055</v>
      </c>
      <c r="G67" s="18" t="n">
        <v>32.03860265</v>
      </c>
      <c r="H67" s="20" t="n">
        <v>1.92761777</v>
      </c>
      <c r="I67" s="18" t="n">
        <v>0</v>
      </c>
      <c r="J67" s="20" t="n">
        <v>0</v>
      </c>
      <c r="K67" s="18" t="n">
        <v>3.13947294</v>
      </c>
      <c r="L67" s="20" t="n">
        <v>0.67407136</v>
      </c>
      <c r="M67" s="18" t="n">
        <v>0</v>
      </c>
      <c r="N67" s="20" t="n">
        <v>0</v>
      </c>
      <c r="O67" s="18" t="n">
        <v>0</v>
      </c>
      <c r="P67" s="20" t="n">
        <v>0</v>
      </c>
      <c r="Q67" s="18" t="n">
        <v>0</v>
      </c>
      <c r="R67" s="20" t="n">
        <v>0</v>
      </c>
    </row>
    <row r="68" spans="1:18">
      <c r="A68" s="15" t="s">
        <v>628</v>
      </c>
      <c r="B68" s="17" t="n">
        <v>6971</v>
      </c>
      <c r="C68" s="18">
        <f>(6296.0/B68*100)</f>
        <v/>
      </c>
      <c r="D68" s="19" t="n">
        <v>675</v>
      </c>
      <c r="E68" s="18" t="n">
        <v>64.18645273</v>
      </c>
      <c r="F68" s="20" t="n">
        <v>2.02458124</v>
      </c>
      <c r="G68" s="18" t="n">
        <v>34.89076165</v>
      </c>
      <c r="H68" s="20" t="n">
        <v>2.02068669</v>
      </c>
      <c r="I68" s="18" t="n">
        <v>0</v>
      </c>
      <c r="J68" s="20" t="n">
        <v>0</v>
      </c>
      <c r="K68" s="18" t="n">
        <v>0.92278561</v>
      </c>
      <c r="L68" s="20" t="n">
        <v>0.37779135</v>
      </c>
      <c r="M68" s="18" t="n">
        <v>0</v>
      </c>
      <c r="N68" s="20" t="n">
        <v>0</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(10713.0/B70*100)</f>
        <v/>
      </c>
      <c r="D70" s="19" t="n">
        <v>1370</v>
      </c>
      <c r="E70" s="18" t="n">
        <v>57.23178295</v>
      </c>
      <c r="F70" s="20" t="n">
        <v>1.35562485</v>
      </c>
      <c r="G70" s="18" t="n">
        <v>40.4601694</v>
      </c>
      <c r="H70" s="20" t="n">
        <v>1.40027107</v>
      </c>
      <c r="I70" s="18" t="n">
        <v>0</v>
      </c>
      <c r="J70" s="20" t="n">
        <v>0</v>
      </c>
      <c r="K70" s="18" t="n">
        <v>2.30804765</v>
      </c>
      <c r="L70" s="20" t="n">
        <v>0.40690444</v>
      </c>
      <c r="M70" s="18" t="n">
        <v>0</v>
      </c>
      <c r="N70" s="20" t="n">
        <v>0</v>
      </c>
      <c r="O70" s="18" t="n">
        <v>0</v>
      </c>
      <c r="P70" s="20" t="n">
        <v>0</v>
      </c>
      <c r="Q70" s="18" t="n">
        <v>0</v>
      </c>
      <c r="R70" s="20" t="n">
        <v>0</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(5416.0/B72*100)</f>
        <v/>
      </c>
      <c r="D72" s="19" t="n">
        <v>620</v>
      </c>
      <c r="E72" s="18" t="n">
        <v>47.04692369</v>
      </c>
      <c r="F72" s="20" t="n">
        <v>2.34148394</v>
      </c>
      <c r="G72" s="18" t="n">
        <v>52.18672817</v>
      </c>
      <c r="H72" s="20" t="n">
        <v>2.3195697</v>
      </c>
      <c r="I72" s="18" t="n">
        <v>0</v>
      </c>
      <c r="J72" s="20" t="n">
        <v>0</v>
      </c>
      <c r="K72" s="18" t="n">
        <v>0.76634814</v>
      </c>
      <c r="L72" s="20" t="n">
        <v>0.34112459</v>
      </c>
      <c r="M72" s="18" t="n">
        <v>0</v>
      </c>
      <c r="N72" s="20" t="n">
        <v>0</v>
      </c>
      <c r="O72" s="18" t="n">
        <v>0</v>
      </c>
      <c r="P72" s="20" t="n">
        <v>0</v>
      </c>
      <c r="Q72" s="18" t="n">
        <v>0</v>
      </c>
      <c r="R72" s="20" t="n">
        <v>0</v>
      </c>
    </row>
    <row r="73" spans="1:18">
      <c r="A73" s="15" t="s">
        <v>633</v>
      </c>
      <c r="B73" s="17" t="n">
        <v>6115</v>
      </c>
      <c r="C73" s="18">
        <f>(5464.0/B73*100)</f>
        <v/>
      </c>
      <c r="D73" s="19" t="n">
        <v>651</v>
      </c>
      <c r="E73" s="18" t="n">
        <v>41.1384828</v>
      </c>
      <c r="F73" s="20" t="n">
        <v>2.02561608</v>
      </c>
      <c r="G73" s="18" t="n">
        <v>58.24243499</v>
      </c>
      <c r="H73" s="20" t="n">
        <v>2.04012798</v>
      </c>
      <c r="I73" s="18" t="n">
        <v>0</v>
      </c>
      <c r="J73" s="20" t="n">
        <v>0</v>
      </c>
      <c r="K73" s="18" t="n">
        <v>0.61908221</v>
      </c>
      <c r="L73" s="20" t="n">
        <v>0.32191216</v>
      </c>
      <c r="M73" s="18" t="n">
        <v>0</v>
      </c>
      <c r="N73" s="20" t="n">
        <v>0</v>
      </c>
      <c r="O73" s="18" t="n">
        <v>0</v>
      </c>
      <c r="P73" s="20" t="n">
        <v>0</v>
      </c>
      <c r="Q73" s="18" t="n">
        <v>0</v>
      </c>
      <c r="R73" s="20" t="n">
        <v>0</v>
      </c>
    </row>
    <row r="74" spans="1:18">
      <c r="A74" s="15" t="s">
        <v>634</v>
      </c>
      <c r="B74" s="17" t="n">
        <v>7708</v>
      </c>
      <c r="C74" s="18">
        <f>(6868.0/B74*100)</f>
        <v/>
      </c>
      <c r="D74" s="19" t="n">
        <v>840</v>
      </c>
      <c r="E74" s="18" t="n">
        <v>17.43832795</v>
      </c>
      <c r="F74" s="20" t="n">
        <v>1.45825953</v>
      </c>
      <c r="G74" s="18" t="n">
        <v>82.17856260000001</v>
      </c>
      <c r="H74" s="20" t="n">
        <v>1.44900281</v>
      </c>
      <c r="I74" s="18" t="n">
        <v>0</v>
      </c>
      <c r="J74" s="20" t="n">
        <v>0</v>
      </c>
      <c r="K74" s="18" t="n">
        <v>0.38310945</v>
      </c>
      <c r="L74" s="20" t="n">
        <v>0.20020594</v>
      </c>
      <c r="M74" s="18" t="n">
        <v>0</v>
      </c>
      <c r="N74" s="20" t="n">
        <v>0</v>
      </c>
      <c r="O74" s="18" t="n">
        <v>0</v>
      </c>
      <c r="P74" s="20" t="n">
        <v>0</v>
      </c>
      <c r="Q74" s="18" t="n">
        <v>0</v>
      </c>
      <c r="R74" s="20" t="n">
        <v>0</v>
      </c>
    </row>
    <row r="75" spans="1:18">
      <c r="A75" s="15" t="s">
        <v>635</v>
      </c>
      <c r="B75" s="17" t="n">
        <v>8249</v>
      </c>
      <c r="C75" s="18">
        <f>(7352.0/B75*100)</f>
        <v/>
      </c>
      <c r="D75" s="19" t="n">
        <v>897</v>
      </c>
      <c r="E75" s="18" t="n">
        <v>56.16812306</v>
      </c>
      <c r="F75" s="20" t="n">
        <v>1.98919</v>
      </c>
      <c r="G75" s="18" t="n">
        <v>43.59284509</v>
      </c>
      <c r="H75" s="20" t="n">
        <v>1.99410571</v>
      </c>
      <c r="I75" s="18" t="n">
        <v>0</v>
      </c>
      <c r="J75" s="20" t="n">
        <v>0</v>
      </c>
      <c r="K75" s="18" t="n">
        <v>0.23903185</v>
      </c>
      <c r="L75" s="20" t="n">
        <v>0.17710149</v>
      </c>
      <c r="M75" s="18" t="n">
        <v>0</v>
      </c>
      <c r="N75" s="20" t="n">
        <v>0</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(4826.0/B77*100)</f>
        <v/>
      </c>
      <c r="D77" s="19" t="n">
        <v>549</v>
      </c>
      <c r="E77" s="18" t="n">
        <v>62.99263369</v>
      </c>
      <c r="F77" s="20" t="n">
        <v>2.41518701</v>
      </c>
      <c r="G77" s="18" t="n">
        <v>33.05829379</v>
      </c>
      <c r="H77" s="20" t="n">
        <v>2.20187103</v>
      </c>
      <c r="I77" s="18" t="n">
        <v>0</v>
      </c>
      <c r="J77" s="20" t="n">
        <v>0</v>
      </c>
      <c r="K77" s="18" t="n">
        <v>3.94907252</v>
      </c>
      <c r="L77" s="20" t="n">
        <v>1.09244531</v>
      </c>
      <c r="M77" s="18" t="n">
        <v>0</v>
      </c>
      <c r="N77" s="20" t="n">
        <v>0</v>
      </c>
      <c r="O77" s="18" t="n">
        <v>0</v>
      </c>
      <c r="P77" s="20" t="n">
        <v>0</v>
      </c>
      <c r="Q77" s="18" t="n">
        <v>0</v>
      </c>
      <c r="R77" s="20" t="n">
        <v>0</v>
      </c>
    </row>
    <row r="78" spans="1:18">
      <c r="A78" s="15" t="s">
        <v>638</v>
      </c>
      <c r="B78" s="17" t="n">
        <v>14167</v>
      </c>
      <c r="C78" s="18">
        <f>(12604.0/B78*100)</f>
        <v/>
      </c>
      <c r="D78" s="19" t="n">
        <v>1563</v>
      </c>
      <c r="E78" s="18" t="n">
        <v>53.75673031</v>
      </c>
      <c r="F78" s="20" t="n">
        <v>1.55266238</v>
      </c>
      <c r="G78" s="18" t="n">
        <v>45.27016779</v>
      </c>
      <c r="H78" s="20" t="n">
        <v>1.54354633</v>
      </c>
      <c r="I78" s="18" t="n">
        <v>0</v>
      </c>
      <c r="J78" s="20" t="n">
        <v>0</v>
      </c>
      <c r="K78" s="18" t="n">
        <v>0.9731019</v>
      </c>
      <c r="L78" s="20" t="n">
        <v>0.26362184</v>
      </c>
      <c r="M78" s="18" t="n">
        <v>0</v>
      </c>
      <c r="N78" s="20" t="n">
        <v>0</v>
      </c>
      <c r="O78" s="18" t="n">
        <v>0</v>
      </c>
      <c r="P78" s="20" t="n">
        <v>0</v>
      </c>
      <c r="Q78" s="18" t="n">
        <v>0</v>
      </c>
      <c r="R78" s="20" t="n">
        <v>0</v>
      </c>
    </row>
    <row r="79" spans="1:18">
      <c r="A79" s="15" t="s">
        <v>639</v>
      </c>
      <c r="B79" s="17" t="n">
        <v>6062</v>
      </c>
      <c r="C79" s="18">
        <f>(5417.0/B79*100)</f>
        <v/>
      </c>
      <c r="D79" s="19" t="n">
        <v>645</v>
      </c>
      <c r="E79" s="18" t="n">
        <v>64.00087001999999</v>
      </c>
      <c r="F79" s="20" t="n">
        <v>1.82251889</v>
      </c>
      <c r="G79" s="18" t="n">
        <v>33.4199333</v>
      </c>
      <c r="H79" s="20" t="n">
        <v>1.76101501</v>
      </c>
      <c r="I79" s="18" t="n">
        <v>0</v>
      </c>
      <c r="J79" s="20" t="n">
        <v>0</v>
      </c>
      <c r="K79" s="18" t="n">
        <v>2.57919668</v>
      </c>
      <c r="L79" s="20" t="n">
        <v>0.49889974</v>
      </c>
      <c r="M79" s="18" t="n">
        <v>0</v>
      </c>
      <c r="N79" s="20" t="n">
        <v>0</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(28772.0/B82*100)</f>
        <v/>
      </c>
      <c r="D82" s="19" t="n">
        <v>3558</v>
      </c>
      <c r="E82" s="18" t="n">
        <v>44.71737521</v>
      </c>
      <c r="F82" s="20" t="n">
        <v>1.25418274</v>
      </c>
      <c r="G82" s="18" t="n">
        <v>54.81235116</v>
      </c>
      <c r="H82" s="20" t="n">
        <v>1.27270018</v>
      </c>
      <c r="I82" s="18" t="n">
        <v>0</v>
      </c>
      <c r="J82" s="20" t="n">
        <v>0</v>
      </c>
      <c r="K82" s="18" t="n">
        <v>0.47027363</v>
      </c>
      <c r="L82" s="20" t="n">
        <v>0.22123162</v>
      </c>
      <c r="M82" s="18" t="n">
        <v>0</v>
      </c>
      <c r="N82" s="20" t="n">
        <v>0</v>
      </c>
      <c r="O82" s="18" t="n">
        <v>0</v>
      </c>
      <c r="P82" s="20" t="n">
        <v>0</v>
      </c>
      <c r="Q82" s="18" t="n">
        <v>0</v>
      </c>
      <c r="R82" s="20" t="n">
        <v>0</v>
      </c>
    </row>
    <row r="83" spans="1:18">
      <c r="A83" s="15" t="s">
        <v>643</v>
      </c>
      <c r="B83" s="17" t="n">
        <v>1652</v>
      </c>
      <c r="C83" s="18">
        <f>(1470.0/B83*100)</f>
        <v/>
      </c>
      <c r="D83" s="19" t="n">
        <v>182</v>
      </c>
      <c r="E83" s="18" t="n">
        <v>45.10575726</v>
      </c>
      <c r="F83" s="20" t="n">
        <v>3.83246501</v>
      </c>
      <c r="G83" s="18" t="n">
        <v>53.87352801</v>
      </c>
      <c r="H83" s="20" t="n">
        <v>3.92673689</v>
      </c>
      <c r="I83" s="18" t="n">
        <v>0</v>
      </c>
      <c r="J83" s="20" t="n">
        <v>0</v>
      </c>
      <c r="K83" s="18" t="n">
        <v>1.02071473</v>
      </c>
      <c r="L83" s="20" t="n">
        <v>0.734429</v>
      </c>
      <c r="M83" s="18" t="n">
        <v>0</v>
      </c>
      <c r="N83" s="20" t="n">
        <v>0</v>
      </c>
      <c r="O83" s="18" t="n">
        <v>0</v>
      </c>
      <c r="P83" s="20" t="n">
        <v>0</v>
      </c>
      <c r="Q83" s="18" t="n">
        <v>0</v>
      </c>
      <c r="R83" s="20" t="n">
        <v>0</v>
      </c>
    </row>
    <row r="84" spans="1:18">
      <c r="A84" s="23" t="s">
        <v>644</v>
      </c>
      <c r="B84" s="24" t="n">
        <v>1887</v>
      </c>
      <c r="C84" s="25">
        <f>(1687.0/B84*100)</f>
        <v/>
      </c>
      <c r="D84" s="19" t="n">
        <v>200</v>
      </c>
      <c r="E84" s="18" t="n">
        <v>54.88879925</v>
      </c>
      <c r="F84" s="20" t="n">
        <v>3.22011739</v>
      </c>
      <c r="G84" s="18" t="n">
        <v>45.11120075</v>
      </c>
      <c r="H84" s="20" t="n">
        <v>3.22011739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(11354.0/B7*100)</f>
        <v/>
      </c>
      <c r="D7" s="19" t="n">
        <v>3176</v>
      </c>
      <c r="E7" s="18" t="n">
        <v>59.28446348</v>
      </c>
      <c r="F7" s="20" t="n">
        <v>0.89704048</v>
      </c>
      <c r="G7" s="18" t="n">
        <v>39.98157874</v>
      </c>
      <c r="H7" s="20" t="n">
        <v>0.8862313000000001</v>
      </c>
      <c r="I7" s="18" t="n">
        <v>0</v>
      </c>
      <c r="J7" s="20" t="n">
        <v>0</v>
      </c>
      <c r="K7" s="18" t="n">
        <v>0.02228317</v>
      </c>
      <c r="L7" s="20" t="n">
        <v>0.01282754</v>
      </c>
      <c r="M7" s="18" t="n">
        <v>0</v>
      </c>
      <c r="N7" s="20" t="n">
        <v>0</v>
      </c>
      <c r="O7" s="18" t="n">
        <v>0</v>
      </c>
      <c r="P7" s="20" t="n">
        <v>0</v>
      </c>
      <c r="Q7" s="18" t="n">
        <v>0.7116746</v>
      </c>
      <c r="R7" s="20" t="n">
        <v>0.18161972</v>
      </c>
    </row>
    <row r="8" spans="1:18">
      <c r="A8" s="15" t="s">
        <v>566</v>
      </c>
      <c r="B8" s="17" t="n">
        <v>7007</v>
      </c>
      <c r="C8" s="18">
        <f>(5440.0/B8*100)</f>
        <v/>
      </c>
      <c r="D8" s="19" t="n">
        <v>1567</v>
      </c>
      <c r="E8" s="18" t="n">
        <v>61.63422635</v>
      </c>
      <c r="F8" s="20" t="n">
        <v>1.57111697</v>
      </c>
      <c r="G8" s="18" t="n">
        <v>37.65997815</v>
      </c>
      <c r="H8" s="20" t="n">
        <v>1.54727454</v>
      </c>
      <c r="I8" s="18" t="n">
        <v>0</v>
      </c>
      <c r="J8" s="20" t="n">
        <v>0</v>
      </c>
      <c r="K8" s="18" t="n">
        <v>0</v>
      </c>
      <c r="L8" s="20" t="n">
        <v>0</v>
      </c>
      <c r="M8" s="18" t="n">
        <v>0</v>
      </c>
      <c r="N8" s="20" t="n">
        <v>0</v>
      </c>
      <c r="O8" s="18" t="n">
        <v>0</v>
      </c>
      <c r="P8" s="20" t="n">
        <v>0</v>
      </c>
      <c r="Q8" s="18" t="n">
        <v>0.7057955</v>
      </c>
      <c r="R8" s="20" t="n">
        <v>0.19476702</v>
      </c>
    </row>
    <row r="9" spans="1:18">
      <c r="A9" s="15" t="s">
        <v>567</v>
      </c>
      <c r="B9" s="17" t="n">
        <v>9651</v>
      </c>
      <c r="C9" s="18">
        <f>(7554.0/B9*100)</f>
        <v/>
      </c>
      <c r="D9" s="19" t="n">
        <v>2097</v>
      </c>
      <c r="E9" s="18" t="n">
        <v>63.18705613</v>
      </c>
      <c r="F9" s="20" t="n">
        <v>1.19607072</v>
      </c>
      <c r="G9" s="18" t="n">
        <v>36.14164042</v>
      </c>
      <c r="H9" s="20" t="n">
        <v>1.18910072</v>
      </c>
      <c r="I9" s="18" t="n">
        <v>0</v>
      </c>
      <c r="J9" s="20" t="n">
        <v>0</v>
      </c>
      <c r="K9" s="18" t="n">
        <v>0</v>
      </c>
      <c r="L9" s="20" t="n">
        <v>0</v>
      </c>
      <c r="M9" s="18" t="n">
        <v>0</v>
      </c>
      <c r="N9" s="20" t="n">
        <v>0</v>
      </c>
      <c r="O9" s="18" t="n">
        <v>0</v>
      </c>
      <c r="P9" s="20" t="n">
        <v>0</v>
      </c>
      <c r="Q9" s="18" t="n">
        <v>0.67130345</v>
      </c>
      <c r="R9" s="20" t="n">
        <v>0.23230666</v>
      </c>
    </row>
    <row r="10" spans="1:18">
      <c r="A10" s="15" t="s">
        <v>568</v>
      </c>
      <c r="B10" s="17" t="n">
        <v>20058</v>
      </c>
      <c r="C10" s="18">
        <f>(15681.0/B10*100)</f>
        <v/>
      </c>
      <c r="D10" s="19" t="n">
        <v>4377</v>
      </c>
      <c r="E10" s="18" t="n">
        <v>57.83161589</v>
      </c>
      <c r="F10" s="20" t="n">
        <v>1.05722174</v>
      </c>
      <c r="G10" s="18" t="n">
        <v>41.45552259</v>
      </c>
      <c r="H10" s="20" t="n">
        <v>1.04795179</v>
      </c>
      <c r="I10" s="18" t="n">
        <v>0</v>
      </c>
      <c r="J10" s="20" t="n">
        <v>0</v>
      </c>
      <c r="K10" s="18" t="n">
        <v>0.19914938</v>
      </c>
      <c r="L10" s="20" t="n">
        <v>0.10199899</v>
      </c>
      <c r="M10" s="18" t="n">
        <v>0</v>
      </c>
      <c r="N10" s="20" t="n">
        <v>0</v>
      </c>
      <c r="O10" s="18" t="n">
        <v>0</v>
      </c>
      <c r="P10" s="20" t="n">
        <v>0</v>
      </c>
      <c r="Q10" s="18" t="n">
        <v>0.51371214</v>
      </c>
      <c r="R10" s="20" t="n">
        <v>0.1934263</v>
      </c>
    </row>
    <row r="11" spans="1:18">
      <c r="A11" s="15" t="s">
        <v>569</v>
      </c>
      <c r="B11" s="17" t="n">
        <v>7053</v>
      </c>
      <c r="C11" s="18">
        <f>(5543.0/B11*100)</f>
        <v/>
      </c>
      <c r="D11" s="19" t="n">
        <v>1510</v>
      </c>
      <c r="E11" s="18" t="n">
        <v>72.96649555</v>
      </c>
      <c r="F11" s="20" t="n">
        <v>1.338609</v>
      </c>
      <c r="G11" s="18" t="n">
        <v>25.52435142</v>
      </c>
      <c r="H11" s="20" t="n">
        <v>1.30997617</v>
      </c>
      <c r="I11" s="18" t="n">
        <v>0</v>
      </c>
      <c r="J11" s="20" t="n">
        <v>0</v>
      </c>
      <c r="K11" s="18" t="n">
        <v>0.14033496</v>
      </c>
      <c r="L11" s="20" t="n">
        <v>0.08527099</v>
      </c>
      <c r="M11" s="18" t="n">
        <v>0</v>
      </c>
      <c r="N11" s="20" t="n">
        <v>0</v>
      </c>
      <c r="O11" s="18" t="n">
        <v>0</v>
      </c>
      <c r="P11" s="20" t="n">
        <v>0</v>
      </c>
      <c r="Q11" s="18" t="n">
        <v>1.36881807</v>
      </c>
      <c r="R11" s="20" t="n">
        <v>0.37072083</v>
      </c>
    </row>
    <row r="12" spans="1:18">
      <c r="A12" s="15" t="s">
        <v>570</v>
      </c>
      <c r="B12" s="17" t="n">
        <v>6894</v>
      </c>
      <c r="C12" s="18">
        <f>(5419.0/B12*100)</f>
        <v/>
      </c>
      <c r="D12" s="19" t="n">
        <v>1475</v>
      </c>
      <c r="E12" s="18" t="n">
        <v>57.93439318</v>
      </c>
      <c r="F12" s="20" t="n">
        <v>1.48759875</v>
      </c>
      <c r="G12" s="18" t="n">
        <v>41.55000725</v>
      </c>
      <c r="H12" s="20" t="n">
        <v>1.46176357</v>
      </c>
      <c r="I12" s="18" t="n">
        <v>0</v>
      </c>
      <c r="J12" s="20" t="n">
        <v>0</v>
      </c>
      <c r="K12" s="18" t="n">
        <v>0</v>
      </c>
      <c r="L12" s="20" t="n">
        <v>0</v>
      </c>
      <c r="M12" s="18" t="n">
        <v>0</v>
      </c>
      <c r="N12" s="20" t="n">
        <v>0</v>
      </c>
      <c r="O12" s="18" t="n">
        <v>0</v>
      </c>
      <c r="P12" s="20" t="n">
        <v>0</v>
      </c>
      <c r="Q12" s="18" t="n">
        <v>0.51559957</v>
      </c>
      <c r="R12" s="20" t="n">
        <v>0.2355781</v>
      </c>
    </row>
    <row r="13" spans="1:18">
      <c r="A13" s="15" t="s">
        <v>571</v>
      </c>
      <c r="B13" s="17" t="n">
        <v>7161</v>
      </c>
      <c r="C13" s="18">
        <f>(5691.0/B13*100)</f>
        <v/>
      </c>
      <c r="D13" s="19" t="n">
        <v>1470</v>
      </c>
      <c r="E13" s="18" t="n">
        <v>48.33844213</v>
      </c>
      <c r="F13" s="20" t="n">
        <v>1.64829898</v>
      </c>
      <c r="G13" s="18" t="n">
        <v>50.4357493</v>
      </c>
      <c r="H13" s="20" t="n">
        <v>1.65744744</v>
      </c>
      <c r="I13" s="18" t="n">
        <v>0</v>
      </c>
      <c r="J13" s="20" t="n">
        <v>0</v>
      </c>
      <c r="K13" s="18" t="n">
        <v>0.40429429</v>
      </c>
      <c r="L13" s="20" t="n">
        <v>0.18093124</v>
      </c>
      <c r="M13" s="18" t="n">
        <v>0</v>
      </c>
      <c r="N13" s="20" t="n">
        <v>0</v>
      </c>
      <c r="O13" s="18" t="n">
        <v>0</v>
      </c>
      <c r="P13" s="20" t="n">
        <v>0</v>
      </c>
      <c r="Q13" s="18" t="n">
        <v>0.82151428</v>
      </c>
      <c r="R13" s="20" t="n">
        <v>0.28286755</v>
      </c>
    </row>
    <row r="14" spans="1:18">
      <c r="A14" s="15" t="s">
        <v>572</v>
      </c>
      <c r="B14" s="17" t="n">
        <v>5587</v>
      </c>
      <c r="C14" s="18">
        <f>(4391.0/B14*100)</f>
        <v/>
      </c>
      <c r="D14" s="19" t="n">
        <v>1196</v>
      </c>
      <c r="E14" s="18" t="n">
        <v>56.46401773</v>
      </c>
      <c r="F14" s="20" t="n">
        <v>1.86846683</v>
      </c>
      <c r="G14" s="18" t="n">
        <v>43.20344428</v>
      </c>
      <c r="H14" s="20" t="n">
        <v>1.87667754</v>
      </c>
      <c r="I14" s="18" t="n">
        <v>0</v>
      </c>
      <c r="J14" s="20" t="n">
        <v>0</v>
      </c>
      <c r="K14" s="18" t="n">
        <v>0.07157958</v>
      </c>
      <c r="L14" s="20" t="n">
        <v>0.07172441</v>
      </c>
      <c r="M14" s="18" t="n">
        <v>0</v>
      </c>
      <c r="N14" s="20" t="n">
        <v>0</v>
      </c>
      <c r="O14" s="18" t="n">
        <v>0</v>
      </c>
      <c r="P14" s="20" t="n">
        <v>0</v>
      </c>
      <c r="Q14" s="18" t="n">
        <v>0.2609584</v>
      </c>
      <c r="R14" s="20" t="n">
        <v>0.13178058</v>
      </c>
    </row>
    <row r="15" spans="1:18">
      <c r="A15" s="15" t="s">
        <v>573</v>
      </c>
      <c r="B15" s="17" t="n">
        <v>5882</v>
      </c>
      <c r="C15" s="18">
        <f>(4559.0/B15*100)</f>
        <v/>
      </c>
      <c r="D15" s="19" t="n">
        <v>1323</v>
      </c>
      <c r="E15" s="18" t="n">
        <v>40.84352084</v>
      </c>
      <c r="F15" s="20" t="n">
        <v>1.38033239</v>
      </c>
      <c r="G15" s="18" t="n">
        <v>58.85788401</v>
      </c>
      <c r="H15" s="20" t="n">
        <v>1.38496838</v>
      </c>
      <c r="I15" s="18" t="n">
        <v>0</v>
      </c>
      <c r="J15" s="20" t="n">
        <v>0</v>
      </c>
      <c r="K15" s="18" t="n">
        <v>0</v>
      </c>
      <c r="L15" s="20" t="n">
        <v>0</v>
      </c>
      <c r="M15" s="18" t="n">
        <v>0</v>
      </c>
      <c r="N15" s="20" t="n">
        <v>0</v>
      </c>
      <c r="O15" s="18" t="n">
        <v>0</v>
      </c>
      <c r="P15" s="20" t="n">
        <v>0</v>
      </c>
      <c r="Q15" s="18" t="n">
        <v>0.29859515</v>
      </c>
      <c r="R15" s="20" t="n">
        <v>0.14888611</v>
      </c>
    </row>
    <row r="16" spans="1:18">
      <c r="A16" s="15" t="s">
        <v>574</v>
      </c>
      <c r="B16" s="17" t="n">
        <v>6108</v>
      </c>
      <c r="C16" s="18">
        <f>(4736.0/B16*100)</f>
        <v/>
      </c>
      <c r="D16" s="19" t="n">
        <v>1372</v>
      </c>
      <c r="E16" s="18" t="n">
        <v>61.48620799</v>
      </c>
      <c r="F16" s="20" t="n">
        <v>1.3360829</v>
      </c>
      <c r="G16" s="18" t="n">
        <v>36.912609</v>
      </c>
      <c r="H16" s="20" t="n">
        <v>1.30788156</v>
      </c>
      <c r="I16" s="18" t="n">
        <v>0</v>
      </c>
      <c r="J16" s="20" t="n">
        <v>0</v>
      </c>
      <c r="K16" s="18" t="n">
        <v>0.28422703</v>
      </c>
      <c r="L16" s="20" t="n">
        <v>0.13441263</v>
      </c>
      <c r="M16" s="18" t="n">
        <v>0</v>
      </c>
      <c r="N16" s="20" t="n">
        <v>0</v>
      </c>
      <c r="O16" s="18" t="n">
        <v>0</v>
      </c>
      <c r="P16" s="20" t="n">
        <v>0</v>
      </c>
      <c r="Q16" s="18" t="n">
        <v>1.31695598</v>
      </c>
      <c r="R16" s="20" t="n">
        <v>0.32872124</v>
      </c>
    </row>
    <row r="17" spans="1:18">
      <c r="A17" s="15" t="s">
        <v>575</v>
      </c>
      <c r="B17" s="17" t="n">
        <v>6504</v>
      </c>
      <c r="C17" s="18">
        <f>(5142.0/B17*100)</f>
        <v/>
      </c>
      <c r="D17" s="19" t="n">
        <v>1362</v>
      </c>
      <c r="E17" s="18" t="n">
        <v>61.89383954</v>
      </c>
      <c r="F17" s="20" t="n">
        <v>1.13529303</v>
      </c>
      <c r="G17" s="18" t="n">
        <v>37.44075783</v>
      </c>
      <c r="H17" s="20" t="n">
        <v>1.13295463</v>
      </c>
      <c r="I17" s="18" t="n">
        <v>0</v>
      </c>
      <c r="J17" s="20" t="n">
        <v>0</v>
      </c>
      <c r="K17" s="18" t="n">
        <v>0.07389999999999999</v>
      </c>
      <c r="L17" s="20" t="n">
        <v>0.07379692</v>
      </c>
      <c r="M17" s="18" t="n">
        <v>0</v>
      </c>
      <c r="N17" s="20" t="n">
        <v>0</v>
      </c>
      <c r="O17" s="18" t="n">
        <v>0</v>
      </c>
      <c r="P17" s="20" t="n">
        <v>0</v>
      </c>
      <c r="Q17" s="18" t="n">
        <v>0.59150262</v>
      </c>
      <c r="R17" s="20" t="n">
        <v>0.26654096</v>
      </c>
    </row>
    <row r="18" spans="1:18">
      <c r="A18" s="15" t="s">
        <v>576</v>
      </c>
      <c r="B18" s="17" t="n">
        <v>5532</v>
      </c>
      <c r="C18" s="18">
        <f>(4310.0/B18*100)</f>
        <v/>
      </c>
      <c r="D18" s="19" t="n">
        <v>1222</v>
      </c>
      <c r="E18" s="18" t="n">
        <v>57.05368569</v>
      </c>
      <c r="F18" s="20" t="n">
        <v>1.69489338</v>
      </c>
      <c r="G18" s="18" t="n">
        <v>41.80392825</v>
      </c>
      <c r="H18" s="20" t="n">
        <v>1.82083595</v>
      </c>
      <c r="I18" s="18" t="n">
        <v>0</v>
      </c>
      <c r="J18" s="20" t="n">
        <v>0</v>
      </c>
      <c r="K18" s="18" t="n">
        <v>0.06803929</v>
      </c>
      <c r="L18" s="20" t="n">
        <v>0.06774996</v>
      </c>
      <c r="M18" s="18" t="n">
        <v>0</v>
      </c>
      <c r="N18" s="20" t="n">
        <v>0</v>
      </c>
      <c r="O18" s="18" t="n">
        <v>0</v>
      </c>
      <c r="P18" s="20" t="n">
        <v>0</v>
      </c>
      <c r="Q18" s="18" t="n">
        <v>1.07434676</v>
      </c>
      <c r="R18" s="20" t="n">
        <v>0.45751356</v>
      </c>
    </row>
    <row r="19" spans="1:18">
      <c r="A19" s="15" t="s">
        <v>577</v>
      </c>
      <c r="B19" s="17" t="n">
        <v>5658</v>
      </c>
      <c r="C19" s="18">
        <f>(4449.0/B19*100)</f>
        <v/>
      </c>
      <c r="D19" s="19" t="n">
        <v>1209</v>
      </c>
      <c r="E19" s="18" t="n">
        <v>65.07697836</v>
      </c>
      <c r="F19" s="20" t="n">
        <v>1.49237989</v>
      </c>
      <c r="G19" s="18" t="n">
        <v>34.29264326</v>
      </c>
      <c r="H19" s="20" t="n">
        <v>1.45426316</v>
      </c>
      <c r="I19" s="18" t="n">
        <v>0</v>
      </c>
      <c r="J19" s="20" t="n">
        <v>0</v>
      </c>
      <c r="K19" s="18" t="n">
        <v>0</v>
      </c>
      <c r="L19" s="20" t="n">
        <v>0</v>
      </c>
      <c r="M19" s="18" t="n">
        <v>0</v>
      </c>
      <c r="N19" s="20" t="n">
        <v>0</v>
      </c>
      <c r="O19" s="18" t="n">
        <v>0</v>
      </c>
      <c r="P19" s="20" t="n">
        <v>0</v>
      </c>
      <c r="Q19" s="18" t="n">
        <v>0.63037838</v>
      </c>
      <c r="R19" s="20" t="n">
        <v>0.22664417</v>
      </c>
    </row>
    <row r="20" spans="1:18">
      <c r="A20" s="15" t="s">
        <v>578</v>
      </c>
      <c r="B20" s="17" t="n">
        <v>3371</v>
      </c>
      <c r="C20" s="18">
        <f>(2636.0/B20*100)</f>
        <v/>
      </c>
      <c r="D20" s="19" t="n">
        <v>735</v>
      </c>
      <c r="E20" s="18" t="n">
        <v>61.42977312</v>
      </c>
      <c r="F20" s="20" t="n">
        <v>1.98225799</v>
      </c>
      <c r="G20" s="18" t="n">
        <v>37.65393097</v>
      </c>
      <c r="H20" s="20" t="n">
        <v>1.94679738</v>
      </c>
      <c r="I20" s="18" t="n">
        <v>0</v>
      </c>
      <c r="J20" s="20" t="n">
        <v>0</v>
      </c>
      <c r="K20" s="18" t="n">
        <v>0.11588297</v>
      </c>
      <c r="L20" s="20" t="n">
        <v>0.11518563</v>
      </c>
      <c r="M20" s="18" t="n">
        <v>0</v>
      </c>
      <c r="N20" s="20" t="n">
        <v>0</v>
      </c>
      <c r="O20" s="18" t="n">
        <v>0</v>
      </c>
      <c r="P20" s="20" t="n">
        <v>0</v>
      </c>
      <c r="Q20" s="18" t="n">
        <v>0.80041294</v>
      </c>
      <c r="R20" s="20" t="n">
        <v>0.32814589</v>
      </c>
    </row>
    <row r="21" spans="1:18">
      <c r="A21" s="15" t="s">
        <v>579</v>
      </c>
      <c r="B21" s="17" t="n">
        <v>5741</v>
      </c>
      <c r="C21" s="18">
        <f>(4464.0/B21*100)</f>
        <v/>
      </c>
      <c r="D21" s="19" t="n">
        <v>1277</v>
      </c>
      <c r="E21" s="18" t="n">
        <v>62.7803267</v>
      </c>
      <c r="F21" s="20" t="n">
        <v>1.48776267</v>
      </c>
      <c r="G21" s="18" t="n">
        <v>36.44152868</v>
      </c>
      <c r="H21" s="20" t="n">
        <v>1.45764853</v>
      </c>
      <c r="I21" s="18" t="n">
        <v>0</v>
      </c>
      <c r="J21" s="20" t="n">
        <v>0</v>
      </c>
      <c r="K21" s="18" t="n">
        <v>0</v>
      </c>
      <c r="L21" s="20" t="n">
        <v>0</v>
      </c>
      <c r="M21" s="18" t="n">
        <v>0</v>
      </c>
      <c r="N21" s="20" t="n">
        <v>0</v>
      </c>
      <c r="O21" s="18" t="n">
        <v>0</v>
      </c>
      <c r="P21" s="20" t="n">
        <v>0</v>
      </c>
      <c r="Q21" s="18" t="n">
        <v>0.77814462</v>
      </c>
      <c r="R21" s="20" t="n">
        <v>0.26921837</v>
      </c>
    </row>
    <row r="22" spans="1:18">
      <c r="A22" s="15" t="s">
        <v>580</v>
      </c>
      <c r="B22" s="17" t="n">
        <v>6598</v>
      </c>
      <c r="C22" s="18">
        <f>(5151.0/B22*100)</f>
        <v/>
      </c>
      <c r="D22" s="19" t="n">
        <v>1447</v>
      </c>
      <c r="E22" s="18" t="n">
        <v>60.10481311</v>
      </c>
      <c r="F22" s="20" t="n">
        <v>1.60508765</v>
      </c>
      <c r="G22" s="18" t="n">
        <v>38.7460155</v>
      </c>
      <c r="H22" s="20" t="n">
        <v>1.60274555</v>
      </c>
      <c r="I22" s="18" t="n">
        <v>0</v>
      </c>
      <c r="J22" s="20" t="n">
        <v>0</v>
      </c>
      <c r="K22" s="18" t="n">
        <v>0.19004753</v>
      </c>
      <c r="L22" s="20" t="n">
        <v>0.11248915</v>
      </c>
      <c r="M22" s="18" t="n">
        <v>0</v>
      </c>
      <c r="N22" s="20" t="n">
        <v>0</v>
      </c>
      <c r="O22" s="18" t="n">
        <v>0</v>
      </c>
      <c r="P22" s="20" t="n">
        <v>0</v>
      </c>
      <c r="Q22" s="18" t="n">
        <v>0.95912385</v>
      </c>
      <c r="R22" s="20" t="n">
        <v>0.25827642</v>
      </c>
    </row>
    <row r="23" spans="1:18">
      <c r="A23" s="15" t="s">
        <v>581</v>
      </c>
      <c r="B23" s="17" t="n">
        <v>11583</v>
      </c>
      <c r="C23" s="18">
        <f>(8959.0/B23*100)</f>
        <v/>
      </c>
      <c r="D23" s="19" t="n">
        <v>2624</v>
      </c>
      <c r="E23" s="18" t="n">
        <v>56.1320884</v>
      </c>
      <c r="F23" s="20" t="n">
        <v>1.55965546</v>
      </c>
      <c r="G23" s="18" t="n">
        <v>42.56626777</v>
      </c>
      <c r="H23" s="20" t="n">
        <v>1.53725098</v>
      </c>
      <c r="I23" s="18" t="n">
        <v>0</v>
      </c>
      <c r="J23" s="20" t="n">
        <v>0</v>
      </c>
      <c r="K23" s="18" t="n">
        <v>0.08487627</v>
      </c>
      <c r="L23" s="20" t="n">
        <v>0.08948937999999999</v>
      </c>
      <c r="M23" s="18" t="n">
        <v>0</v>
      </c>
      <c r="N23" s="20" t="n">
        <v>0</v>
      </c>
      <c r="O23" s="18" t="n">
        <v>0</v>
      </c>
      <c r="P23" s="20" t="n">
        <v>0</v>
      </c>
      <c r="Q23" s="18" t="n">
        <v>1.21676756</v>
      </c>
      <c r="R23" s="20" t="n">
        <v>0.25441554</v>
      </c>
    </row>
    <row r="24" spans="1:18">
      <c r="A24" s="15" t="s">
        <v>582</v>
      </c>
      <c r="B24" s="17" t="n">
        <v>6647</v>
      </c>
      <c r="C24" s="18">
        <f>(5169.0/B24*100)</f>
        <v/>
      </c>
      <c r="D24" s="19" t="n">
        <v>1478</v>
      </c>
      <c r="E24" s="18" t="n">
        <v>36.40180129</v>
      </c>
      <c r="F24" s="20" t="n">
        <v>1.20300616</v>
      </c>
      <c r="G24" s="18" t="n">
        <v>62.99880883</v>
      </c>
      <c r="H24" s="20" t="n">
        <v>1.21893152</v>
      </c>
      <c r="I24" s="18" t="n">
        <v>0</v>
      </c>
      <c r="J24" s="20" t="n">
        <v>0</v>
      </c>
      <c r="K24" s="18" t="n">
        <v>0</v>
      </c>
      <c r="L24" s="20" t="n">
        <v>0</v>
      </c>
      <c r="M24" s="18" t="n">
        <v>0</v>
      </c>
      <c r="N24" s="20" t="n">
        <v>0</v>
      </c>
      <c r="O24" s="18" t="n">
        <v>0</v>
      </c>
      <c r="P24" s="20" t="n">
        <v>0</v>
      </c>
      <c r="Q24" s="18" t="n">
        <v>0.59938988</v>
      </c>
      <c r="R24" s="20" t="n">
        <v>0.19995014</v>
      </c>
    </row>
    <row r="25" spans="1:18">
      <c r="A25" s="15" t="s">
        <v>583</v>
      </c>
      <c r="B25" s="17" t="n">
        <v>5581</v>
      </c>
      <c r="C25" s="18">
        <f>(4356.0/B25*100)</f>
        <v/>
      </c>
      <c r="D25" s="19" t="n">
        <v>1225</v>
      </c>
      <c r="E25" s="18" t="n">
        <v>19.01945599</v>
      </c>
      <c r="F25" s="20" t="n">
        <v>1.08191656</v>
      </c>
      <c r="G25" s="18" t="n">
        <v>80.72501805</v>
      </c>
      <c r="H25" s="20" t="n">
        <v>1.08749834</v>
      </c>
      <c r="I25" s="18" t="n">
        <v>0</v>
      </c>
      <c r="J25" s="20" t="n">
        <v>0</v>
      </c>
      <c r="K25" s="18" t="n">
        <v>0</v>
      </c>
      <c r="L25" s="20" t="n">
        <v>0</v>
      </c>
      <c r="M25" s="18" t="n">
        <v>0</v>
      </c>
      <c r="N25" s="20" t="n">
        <v>0</v>
      </c>
      <c r="O25" s="18" t="n">
        <v>0</v>
      </c>
      <c r="P25" s="20" t="n">
        <v>0</v>
      </c>
      <c r="Q25" s="18" t="n">
        <v>0.25552596</v>
      </c>
      <c r="R25" s="20" t="n">
        <v>0.14677497</v>
      </c>
    </row>
    <row r="26" spans="1:18">
      <c r="A26" s="15" t="s">
        <v>584</v>
      </c>
      <c r="B26" s="17" t="n">
        <v>4869</v>
      </c>
      <c r="C26" s="18">
        <f>(3804.0/B26*100)</f>
        <v/>
      </c>
      <c r="D26" s="19" t="n">
        <v>1065</v>
      </c>
      <c r="E26" s="18" t="n">
        <v>55.57295711</v>
      </c>
      <c r="F26" s="20" t="n">
        <v>1.62005503</v>
      </c>
      <c r="G26" s="18" t="n">
        <v>43.94754593</v>
      </c>
      <c r="H26" s="20" t="n">
        <v>1.556566</v>
      </c>
      <c r="I26" s="18" t="n">
        <v>0</v>
      </c>
      <c r="J26" s="20" t="n">
        <v>0</v>
      </c>
      <c r="K26" s="18" t="n">
        <v>0</v>
      </c>
      <c r="L26" s="20" t="n">
        <v>0</v>
      </c>
      <c r="M26" s="18" t="n">
        <v>0</v>
      </c>
      <c r="N26" s="20" t="n">
        <v>0</v>
      </c>
      <c r="O26" s="18" t="n">
        <v>0</v>
      </c>
      <c r="P26" s="20" t="n">
        <v>0</v>
      </c>
      <c r="Q26" s="18" t="n">
        <v>0.47949696</v>
      </c>
      <c r="R26" s="20" t="n">
        <v>0.2440245</v>
      </c>
    </row>
    <row r="27" spans="1:18">
      <c r="A27" s="15" t="s">
        <v>585</v>
      </c>
      <c r="B27" s="17" t="n">
        <v>5299</v>
      </c>
      <c r="C27" s="18">
        <f>(4090.0/B27*100)</f>
        <v/>
      </c>
      <c r="D27" s="19" t="n">
        <v>1209</v>
      </c>
      <c r="E27" s="18" t="n">
        <v>63.81355238</v>
      </c>
      <c r="F27" s="20" t="n">
        <v>1.20473712</v>
      </c>
      <c r="G27" s="18" t="n">
        <v>35.25108045</v>
      </c>
      <c r="H27" s="20" t="n">
        <v>1.14730521</v>
      </c>
      <c r="I27" s="18" t="n">
        <v>0</v>
      </c>
      <c r="J27" s="20" t="n">
        <v>0</v>
      </c>
      <c r="K27" s="18" t="n">
        <v>0.26007344</v>
      </c>
      <c r="L27" s="20" t="n">
        <v>0.14712556</v>
      </c>
      <c r="M27" s="18" t="n">
        <v>0</v>
      </c>
      <c r="N27" s="20" t="n">
        <v>0</v>
      </c>
      <c r="O27" s="18" t="n">
        <v>0</v>
      </c>
      <c r="P27" s="20" t="n">
        <v>0</v>
      </c>
      <c r="Q27" s="18" t="n">
        <v>0.67529373</v>
      </c>
      <c r="R27" s="20" t="n">
        <v>0.23594874</v>
      </c>
    </row>
    <row r="28" spans="1:18">
      <c r="A28" s="15" t="s">
        <v>586</v>
      </c>
      <c r="B28" s="17" t="n">
        <v>7568</v>
      </c>
      <c r="C28" s="18">
        <f>(5940.0/B28*100)</f>
        <v/>
      </c>
      <c r="D28" s="19" t="n">
        <v>1628</v>
      </c>
      <c r="E28" s="18" t="n">
        <v>74.77166986</v>
      </c>
      <c r="F28" s="20" t="n">
        <v>1.04782048</v>
      </c>
      <c r="G28" s="18" t="n">
        <v>24.25814165</v>
      </c>
      <c r="H28" s="20" t="n">
        <v>1.06925855</v>
      </c>
      <c r="I28" s="18" t="n">
        <v>0</v>
      </c>
      <c r="J28" s="20" t="n">
        <v>0</v>
      </c>
      <c r="K28" s="18" t="n">
        <v>0.06675033</v>
      </c>
      <c r="L28" s="20" t="n">
        <v>0.06697291</v>
      </c>
      <c r="M28" s="18" t="n">
        <v>0</v>
      </c>
      <c r="N28" s="20" t="n">
        <v>0</v>
      </c>
      <c r="O28" s="18" t="n">
        <v>0</v>
      </c>
      <c r="P28" s="20" t="n">
        <v>0</v>
      </c>
      <c r="Q28" s="18" t="n">
        <v>0.90343816</v>
      </c>
      <c r="R28" s="20" t="n">
        <v>0.17746485</v>
      </c>
    </row>
    <row r="29" spans="1:18">
      <c r="A29" s="15" t="s">
        <v>587</v>
      </c>
      <c r="B29" s="17" t="n">
        <v>5385</v>
      </c>
      <c r="C29" s="18">
        <f>(4277.0/B29*100)</f>
        <v/>
      </c>
      <c r="D29" s="19" t="n">
        <v>1108</v>
      </c>
      <c r="E29" s="18" t="n">
        <v>60.26236945</v>
      </c>
      <c r="F29" s="20" t="n">
        <v>1.66017683</v>
      </c>
      <c r="G29" s="18" t="n">
        <v>39.47820973</v>
      </c>
      <c r="H29" s="20" t="n">
        <v>1.65136366</v>
      </c>
      <c r="I29" s="18" t="n">
        <v>0</v>
      </c>
      <c r="J29" s="20" t="n">
        <v>0</v>
      </c>
      <c r="K29" s="18" t="n">
        <v>0</v>
      </c>
      <c r="L29" s="20" t="n">
        <v>0</v>
      </c>
      <c r="M29" s="18" t="n">
        <v>0</v>
      </c>
      <c r="N29" s="20" t="n">
        <v>0</v>
      </c>
      <c r="O29" s="18" t="n">
        <v>0</v>
      </c>
      <c r="P29" s="20" t="n">
        <v>0</v>
      </c>
      <c r="Q29" s="18" t="n">
        <v>0.25942082</v>
      </c>
      <c r="R29" s="20" t="n">
        <v>0.14889776</v>
      </c>
    </row>
    <row r="30" spans="1:18">
      <c r="A30" s="15" t="s">
        <v>588</v>
      </c>
      <c r="B30" s="17" t="n">
        <v>4520</v>
      </c>
      <c r="C30" s="18">
        <f>(3511.0/B30*100)</f>
        <v/>
      </c>
      <c r="D30" s="19" t="n">
        <v>1009</v>
      </c>
      <c r="E30" s="18" t="n">
        <v>55.27890349</v>
      </c>
      <c r="F30" s="20" t="n">
        <v>1.58654988</v>
      </c>
      <c r="G30" s="18" t="n">
        <v>44.0051131</v>
      </c>
      <c r="H30" s="20" t="n">
        <v>1.59337272</v>
      </c>
      <c r="I30" s="18" t="n">
        <v>0</v>
      </c>
      <c r="J30" s="20" t="n">
        <v>0</v>
      </c>
      <c r="K30" s="18" t="n">
        <v>0.09046761</v>
      </c>
      <c r="L30" s="20" t="n">
        <v>0.09193866000000001</v>
      </c>
      <c r="M30" s="18" t="n">
        <v>0</v>
      </c>
      <c r="N30" s="20" t="n">
        <v>0</v>
      </c>
      <c r="O30" s="18" t="n">
        <v>0</v>
      </c>
      <c r="P30" s="20" t="n">
        <v>0</v>
      </c>
      <c r="Q30" s="18" t="n">
        <v>0.62551579</v>
      </c>
      <c r="R30" s="20" t="n">
        <v>0.25052316</v>
      </c>
    </row>
    <row r="31" spans="1:18">
      <c r="A31" s="15" t="s">
        <v>589</v>
      </c>
      <c r="B31" s="17" t="n">
        <v>5456</v>
      </c>
      <c r="C31" s="18">
        <f>(4245.0/B31*100)</f>
        <v/>
      </c>
      <c r="D31" s="19" t="n">
        <v>1211</v>
      </c>
      <c r="E31" s="18" t="n">
        <v>55.23135099</v>
      </c>
      <c r="F31" s="20" t="n">
        <v>1.48916481</v>
      </c>
      <c r="G31" s="18" t="n">
        <v>43.72480257</v>
      </c>
      <c r="H31" s="20" t="n">
        <v>1.51084783</v>
      </c>
      <c r="I31" s="18" t="n">
        <v>0</v>
      </c>
      <c r="J31" s="20" t="n">
        <v>0</v>
      </c>
      <c r="K31" s="18" t="n">
        <v>0.23749915</v>
      </c>
      <c r="L31" s="20" t="n">
        <v>0.13241243</v>
      </c>
      <c r="M31" s="18" t="n">
        <v>0</v>
      </c>
      <c r="N31" s="20" t="n">
        <v>0</v>
      </c>
      <c r="O31" s="18" t="n">
        <v>0</v>
      </c>
      <c r="P31" s="20" t="n">
        <v>0</v>
      </c>
      <c r="Q31" s="18" t="n">
        <v>0.80634729</v>
      </c>
      <c r="R31" s="20" t="n">
        <v>0.280885</v>
      </c>
    </row>
    <row r="32" spans="1:18">
      <c r="A32" s="15" t="s">
        <v>590</v>
      </c>
      <c r="B32" s="17" t="n">
        <v>4478</v>
      </c>
      <c r="C32" s="18">
        <f>(3435.0/B32*100)</f>
        <v/>
      </c>
      <c r="D32" s="19" t="n">
        <v>1043</v>
      </c>
      <c r="E32" s="18" t="n">
        <v>52.65542431</v>
      </c>
      <c r="F32" s="20" t="n">
        <v>1.53968122</v>
      </c>
      <c r="G32" s="18" t="n">
        <v>46.91254776</v>
      </c>
      <c r="H32" s="20" t="n">
        <v>1.5280643</v>
      </c>
      <c r="I32" s="18" t="n">
        <v>0</v>
      </c>
      <c r="J32" s="20" t="n">
        <v>0</v>
      </c>
      <c r="K32" s="18" t="n">
        <v>0</v>
      </c>
      <c r="L32" s="20" t="n">
        <v>0</v>
      </c>
      <c r="M32" s="18" t="n">
        <v>0</v>
      </c>
      <c r="N32" s="20" t="n">
        <v>0</v>
      </c>
      <c r="O32" s="18" t="n">
        <v>0</v>
      </c>
      <c r="P32" s="20" t="n">
        <v>0</v>
      </c>
      <c r="Q32" s="18" t="n">
        <v>0.43202793</v>
      </c>
      <c r="R32" s="20" t="n">
        <v>0.19551569</v>
      </c>
    </row>
    <row r="33" spans="1:18">
      <c r="A33" s="15" t="s">
        <v>591</v>
      </c>
      <c r="B33" s="17" t="n">
        <v>7325</v>
      </c>
      <c r="C33" s="18">
        <f>(5666.0/B33*100)</f>
        <v/>
      </c>
      <c r="D33" s="19" t="n">
        <v>1659</v>
      </c>
      <c r="E33" s="18" t="n">
        <v>57.63405345</v>
      </c>
      <c r="F33" s="20" t="n">
        <v>1.66894814</v>
      </c>
      <c r="G33" s="18" t="n">
        <v>41.76552728</v>
      </c>
      <c r="H33" s="20" t="n">
        <v>1.65878873</v>
      </c>
      <c r="I33" s="18" t="n">
        <v>0</v>
      </c>
      <c r="J33" s="20" t="n">
        <v>0</v>
      </c>
      <c r="K33" s="18" t="n">
        <v>0.07456393</v>
      </c>
      <c r="L33" s="20" t="n">
        <v>0.08238354000000001</v>
      </c>
      <c r="M33" s="18" t="n">
        <v>0</v>
      </c>
      <c r="N33" s="20" t="n">
        <v>0</v>
      </c>
      <c r="O33" s="18" t="n">
        <v>0</v>
      </c>
      <c r="P33" s="20" t="n">
        <v>0</v>
      </c>
      <c r="Q33" s="18" t="n">
        <v>0.5258553500000001</v>
      </c>
      <c r="R33" s="20" t="n">
        <v>0.21828231</v>
      </c>
    </row>
    <row r="34" spans="1:18">
      <c r="A34" s="15" t="s">
        <v>592</v>
      </c>
      <c r="B34" s="17" t="n">
        <v>6350</v>
      </c>
      <c r="C34" s="18">
        <f>(5007.0/B34*100)</f>
        <v/>
      </c>
      <c r="D34" s="19" t="n">
        <v>1343</v>
      </c>
      <c r="E34" s="18" t="n">
        <v>61.11494372</v>
      </c>
      <c r="F34" s="20" t="n">
        <v>1.25749853</v>
      </c>
      <c r="G34" s="18" t="n">
        <v>38.42814043</v>
      </c>
      <c r="H34" s="20" t="n">
        <v>1.28749638</v>
      </c>
      <c r="I34" s="18" t="n">
        <v>0</v>
      </c>
      <c r="J34" s="20" t="n">
        <v>0</v>
      </c>
      <c r="K34" s="18" t="n">
        <v>0</v>
      </c>
      <c r="L34" s="20" t="n">
        <v>0</v>
      </c>
      <c r="M34" s="18" t="n">
        <v>0</v>
      </c>
      <c r="N34" s="20" t="n">
        <v>0</v>
      </c>
      <c r="O34" s="18" t="n">
        <v>0</v>
      </c>
      <c r="P34" s="20" t="n">
        <v>0</v>
      </c>
      <c r="Q34" s="18" t="n">
        <v>0.45691585</v>
      </c>
      <c r="R34" s="20" t="n">
        <v>0.19420004</v>
      </c>
    </row>
    <row r="35" spans="1:18">
      <c r="A35" s="15" t="s">
        <v>593</v>
      </c>
      <c r="B35" s="17" t="n">
        <v>6406</v>
      </c>
      <c r="C35" s="18">
        <f>(5004.0/B35*100)</f>
        <v/>
      </c>
      <c r="D35" s="19" t="n">
        <v>1402</v>
      </c>
      <c r="E35" s="18" t="n">
        <v>41.33263071</v>
      </c>
      <c r="F35" s="20" t="n">
        <v>1.67123059</v>
      </c>
      <c r="G35" s="18" t="n">
        <v>58.2340784</v>
      </c>
      <c r="H35" s="20" t="n">
        <v>1.70079799</v>
      </c>
      <c r="I35" s="18" t="n">
        <v>0</v>
      </c>
      <c r="J35" s="20" t="n">
        <v>0</v>
      </c>
      <c r="K35" s="18" t="n">
        <v>0.0596882</v>
      </c>
      <c r="L35" s="20" t="n">
        <v>0.04203713</v>
      </c>
      <c r="M35" s="18" t="n">
        <v>0</v>
      </c>
      <c r="N35" s="20" t="n">
        <v>0</v>
      </c>
      <c r="O35" s="18" t="n">
        <v>0</v>
      </c>
      <c r="P35" s="20" t="n">
        <v>0</v>
      </c>
      <c r="Q35" s="18" t="n">
        <v>0.37360269</v>
      </c>
      <c r="R35" s="20" t="n">
        <v>0.16867504</v>
      </c>
    </row>
    <row r="36" spans="1:18">
      <c r="A36" s="15" t="s">
        <v>594</v>
      </c>
      <c r="B36" s="17" t="n">
        <v>6736</v>
      </c>
      <c r="C36" s="18">
        <f>(5251.0/B36*100)</f>
        <v/>
      </c>
      <c r="D36" s="19" t="n">
        <v>1485</v>
      </c>
      <c r="E36" s="18" t="n">
        <v>65.85085513</v>
      </c>
      <c r="F36" s="20" t="n">
        <v>1.34888195</v>
      </c>
      <c r="G36" s="18" t="n">
        <v>33.27532463</v>
      </c>
      <c r="H36" s="20" t="n">
        <v>1.31179778</v>
      </c>
      <c r="I36" s="18" t="n">
        <v>0</v>
      </c>
      <c r="J36" s="20" t="n">
        <v>0</v>
      </c>
      <c r="K36" s="18" t="n">
        <v>0</v>
      </c>
      <c r="L36" s="20" t="n">
        <v>0</v>
      </c>
      <c r="M36" s="18" t="n">
        <v>0</v>
      </c>
      <c r="N36" s="20" t="n">
        <v>0</v>
      </c>
      <c r="O36" s="18" t="n">
        <v>0</v>
      </c>
      <c r="P36" s="20" t="n">
        <v>0</v>
      </c>
      <c r="Q36" s="18" t="n">
        <v>0.87382024</v>
      </c>
      <c r="R36" s="20" t="n">
        <v>0.24878897</v>
      </c>
    </row>
    <row r="37" spans="1:18">
      <c r="A37" s="15" t="s">
        <v>595</v>
      </c>
      <c r="B37" s="17" t="n">
        <v>5458</v>
      </c>
      <c r="C37" s="18">
        <f>(4255.0/B37*100)</f>
        <v/>
      </c>
      <c r="D37" s="19" t="n">
        <v>1203</v>
      </c>
      <c r="E37" s="18" t="n">
        <v>57.84679923</v>
      </c>
      <c r="F37" s="20" t="n">
        <v>1.44580218</v>
      </c>
      <c r="G37" s="18" t="n">
        <v>41.39849909</v>
      </c>
      <c r="H37" s="20" t="n">
        <v>1.40861547</v>
      </c>
      <c r="I37" s="18" t="n">
        <v>0</v>
      </c>
      <c r="J37" s="20" t="n">
        <v>0</v>
      </c>
      <c r="K37" s="18" t="n">
        <v>0.07229902000000001</v>
      </c>
      <c r="L37" s="20" t="n">
        <v>0.10224976</v>
      </c>
      <c r="M37" s="18" t="n">
        <v>0</v>
      </c>
      <c r="N37" s="20" t="n">
        <v>0</v>
      </c>
      <c r="O37" s="18" t="n">
        <v>0</v>
      </c>
      <c r="P37" s="20" t="n">
        <v>0</v>
      </c>
      <c r="Q37" s="18" t="n">
        <v>0.68240266</v>
      </c>
      <c r="R37" s="20" t="n">
        <v>0.23273704</v>
      </c>
    </row>
    <row r="38" spans="1:18">
      <c r="A38" s="15" t="s">
        <v>596</v>
      </c>
      <c r="B38" s="17" t="n">
        <v>5860</v>
      </c>
      <c r="C38" s="18">
        <f>(4566.0/B38*100)</f>
        <v/>
      </c>
      <c r="D38" s="19" t="n">
        <v>1294</v>
      </c>
      <c r="E38" s="18" t="n">
        <v>58.69492571</v>
      </c>
      <c r="F38" s="20" t="n">
        <v>1.6156166</v>
      </c>
      <c r="G38" s="18" t="n">
        <v>41.14610394</v>
      </c>
      <c r="H38" s="20" t="n">
        <v>1.61900697</v>
      </c>
      <c r="I38" s="18" t="n">
        <v>0</v>
      </c>
      <c r="J38" s="20" t="n">
        <v>0</v>
      </c>
      <c r="K38" s="18" t="n">
        <v>0</v>
      </c>
      <c r="L38" s="20" t="n">
        <v>0</v>
      </c>
      <c r="M38" s="18" t="n">
        <v>0</v>
      </c>
      <c r="N38" s="20" t="n">
        <v>0</v>
      </c>
      <c r="O38" s="18" t="n">
        <v>0</v>
      </c>
      <c r="P38" s="20" t="n">
        <v>0</v>
      </c>
      <c r="Q38" s="18" t="n">
        <v>0.15897035</v>
      </c>
      <c r="R38" s="20" t="n">
        <v>0.11346151</v>
      </c>
    </row>
    <row r="39" spans="1:18">
      <c r="A39" s="15" t="s">
        <v>597</v>
      </c>
      <c r="B39" s="17" t="n">
        <v>5895</v>
      </c>
      <c r="C39" s="18">
        <f>(4579.0/B39*100)</f>
        <v/>
      </c>
      <c r="D39" s="19" t="n">
        <v>1316</v>
      </c>
      <c r="E39" s="18" t="n">
        <v>58.41711577</v>
      </c>
      <c r="F39" s="20" t="n">
        <v>1.80425973</v>
      </c>
      <c r="G39" s="18" t="n">
        <v>40.90591139</v>
      </c>
      <c r="H39" s="20" t="n">
        <v>1.78802235</v>
      </c>
      <c r="I39" s="18" t="n">
        <v>0</v>
      </c>
      <c r="J39" s="20" t="n">
        <v>0</v>
      </c>
      <c r="K39" s="18" t="n">
        <v>0.30306955</v>
      </c>
      <c r="L39" s="20" t="n">
        <v>0.12402978</v>
      </c>
      <c r="M39" s="18" t="n">
        <v>0</v>
      </c>
      <c r="N39" s="20" t="n">
        <v>0</v>
      </c>
      <c r="O39" s="18" t="n">
        <v>0</v>
      </c>
      <c r="P39" s="20" t="n">
        <v>0</v>
      </c>
      <c r="Q39" s="18" t="n">
        <v>0.37390329</v>
      </c>
      <c r="R39" s="20" t="n">
        <v>0.14791442</v>
      </c>
    </row>
    <row r="40" spans="1:18">
      <c r="A40" s="15" t="s">
        <v>598</v>
      </c>
      <c r="B40" s="17" t="n">
        <v>14157</v>
      </c>
      <c r="C40" s="18">
        <f>(11033.0/B40*100)</f>
        <v/>
      </c>
      <c r="D40" s="19" t="n">
        <v>3124</v>
      </c>
      <c r="E40" s="18" t="n">
        <v>59.51487768</v>
      </c>
      <c r="F40" s="20" t="n">
        <v>1.23015836</v>
      </c>
      <c r="G40" s="18" t="n">
        <v>39.4107159</v>
      </c>
      <c r="H40" s="20" t="n">
        <v>1.24673733</v>
      </c>
      <c r="I40" s="18" t="n">
        <v>0</v>
      </c>
      <c r="J40" s="20" t="n">
        <v>0</v>
      </c>
      <c r="K40" s="18" t="n">
        <v>0</v>
      </c>
      <c r="L40" s="20" t="n">
        <v>0</v>
      </c>
      <c r="M40" s="18" t="n">
        <v>0</v>
      </c>
      <c r="N40" s="20" t="n">
        <v>0</v>
      </c>
      <c r="O40" s="18" t="n">
        <v>0</v>
      </c>
      <c r="P40" s="20" t="n">
        <v>0</v>
      </c>
      <c r="Q40" s="18" t="n">
        <v>1.07440642</v>
      </c>
      <c r="R40" s="20" t="n">
        <v>0.29023083</v>
      </c>
    </row>
    <row r="41" spans="1:18">
      <c r="A41" s="15" t="s">
        <v>599</v>
      </c>
      <c r="B41" s="17" t="n">
        <v>5712</v>
      </c>
      <c r="C41" s="18">
        <f>(4490.0/B41*100)</f>
        <v/>
      </c>
      <c r="D41" s="19" t="n">
        <v>1222</v>
      </c>
      <c r="E41" s="18" t="n">
        <v>59.26350526</v>
      </c>
      <c r="F41" s="20" t="n">
        <v>1.39206656</v>
      </c>
      <c r="G41" s="18" t="n">
        <v>40.38207387</v>
      </c>
      <c r="H41" s="20" t="n">
        <v>1.39589421</v>
      </c>
      <c r="I41" s="18" t="n">
        <v>0</v>
      </c>
      <c r="J41" s="20" t="n">
        <v>0</v>
      </c>
      <c r="K41" s="18" t="n">
        <v>0</v>
      </c>
      <c r="L41" s="20" t="n">
        <v>0</v>
      </c>
      <c r="M41" s="18" t="n">
        <v>0</v>
      </c>
      <c r="N41" s="20" t="n">
        <v>0</v>
      </c>
      <c r="O41" s="18" t="n">
        <v>0</v>
      </c>
      <c r="P41" s="20" t="n">
        <v>0</v>
      </c>
      <c r="Q41" s="18" t="n">
        <v>0.35442087</v>
      </c>
      <c r="R41" s="20" t="n">
        <v>0.16598759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(18295.0/B46*100)</f>
        <v/>
      </c>
      <c r="D46" s="19" t="n">
        <v>4846</v>
      </c>
      <c r="E46" s="18" t="n">
        <v>74.49858107</v>
      </c>
      <c r="F46" s="20" t="n">
        <v>1.07900625</v>
      </c>
      <c r="G46" s="18" t="n">
        <v>23.34947256</v>
      </c>
      <c r="H46" s="20" t="n">
        <v>1.04977588</v>
      </c>
      <c r="I46" s="18" t="n">
        <v>0</v>
      </c>
      <c r="J46" s="20" t="n">
        <v>0</v>
      </c>
      <c r="K46" s="18" t="n">
        <v>0.36974766</v>
      </c>
      <c r="L46" s="20" t="n">
        <v>0.15665518</v>
      </c>
      <c r="M46" s="18" t="n">
        <v>0</v>
      </c>
      <c r="N46" s="20" t="n">
        <v>0</v>
      </c>
      <c r="O46" s="18" t="n">
        <v>0</v>
      </c>
      <c r="P46" s="20" t="n">
        <v>0</v>
      </c>
      <c r="Q46" s="18" t="n">
        <v>1.78219871</v>
      </c>
      <c r="R46" s="20" t="n">
        <v>0.24189971</v>
      </c>
    </row>
    <row r="47" spans="1:18">
      <c r="A47" s="15" t="s">
        <v>606</v>
      </c>
      <c r="B47" s="17" t="n">
        <v>5928</v>
      </c>
      <c r="C47" s="18">
        <f>(4667.0/B47*100)</f>
        <v/>
      </c>
      <c r="D47" s="19" t="n">
        <v>1261</v>
      </c>
      <c r="E47" s="18" t="n">
        <v>61.31336981</v>
      </c>
      <c r="F47" s="20" t="n">
        <v>1.71760059</v>
      </c>
      <c r="G47" s="18" t="n">
        <v>37.55501906</v>
      </c>
      <c r="H47" s="20" t="n">
        <v>1.69467542</v>
      </c>
      <c r="I47" s="18" t="n">
        <v>0</v>
      </c>
      <c r="J47" s="20" t="n">
        <v>0</v>
      </c>
      <c r="K47" s="18" t="n">
        <v>0.07337363</v>
      </c>
      <c r="L47" s="20" t="n">
        <v>0.07389484</v>
      </c>
      <c r="M47" s="18" t="n">
        <v>0</v>
      </c>
      <c r="N47" s="20" t="n">
        <v>0</v>
      </c>
      <c r="O47" s="18" t="n">
        <v>0</v>
      </c>
      <c r="P47" s="20" t="n">
        <v>0</v>
      </c>
      <c r="Q47" s="18" t="n">
        <v>1.0582375</v>
      </c>
      <c r="R47" s="20" t="n">
        <v>0.34861411</v>
      </c>
    </row>
    <row r="48" spans="1:18">
      <c r="A48" s="15" t="s">
        <v>607</v>
      </c>
      <c r="B48" s="17" t="n">
        <v>9841</v>
      </c>
      <c r="C48" s="18">
        <f>(7661.0/B48*100)</f>
        <v/>
      </c>
      <c r="D48" s="19" t="n">
        <v>2180</v>
      </c>
      <c r="E48" s="18" t="n">
        <v>22.39749346</v>
      </c>
      <c r="F48" s="20" t="n">
        <v>1.23981821</v>
      </c>
      <c r="G48" s="18" t="n">
        <v>76.36081439</v>
      </c>
      <c r="H48" s="20" t="n">
        <v>1.30298628</v>
      </c>
      <c r="I48" s="18" t="n">
        <v>0</v>
      </c>
      <c r="J48" s="20" t="n">
        <v>0</v>
      </c>
      <c r="K48" s="18" t="n">
        <v>0.36290032</v>
      </c>
      <c r="L48" s="20" t="n">
        <v>0.1635304</v>
      </c>
      <c r="M48" s="18" t="n">
        <v>0</v>
      </c>
      <c r="N48" s="20" t="n">
        <v>0</v>
      </c>
      <c r="O48" s="18" t="n">
        <v>0</v>
      </c>
      <c r="P48" s="20" t="n">
        <v>0</v>
      </c>
      <c r="Q48" s="18" t="n">
        <v>0.87879182</v>
      </c>
      <c r="R48" s="20" t="n">
        <v>0.30846288</v>
      </c>
    </row>
    <row r="49" spans="1:18">
      <c r="A49" s="15" t="s">
        <v>608</v>
      </c>
      <c r="B49" s="17" t="n">
        <v>11795</v>
      </c>
      <c r="C49" s="18">
        <f>(9218.0/B49*100)</f>
        <v/>
      </c>
      <c r="D49" s="19" t="n">
        <v>2577</v>
      </c>
      <c r="E49" s="18" t="n">
        <v>81.21897422000001</v>
      </c>
      <c r="F49" s="20" t="n">
        <v>1.00138599</v>
      </c>
      <c r="G49" s="18" t="n">
        <v>17.40509505</v>
      </c>
      <c r="H49" s="20" t="n">
        <v>0.92275416</v>
      </c>
      <c r="I49" s="18" t="n">
        <v>0</v>
      </c>
      <c r="J49" s="20" t="n">
        <v>0</v>
      </c>
      <c r="K49" s="18" t="n">
        <v>0.22411403</v>
      </c>
      <c r="L49" s="20" t="n">
        <v>0.15248263</v>
      </c>
      <c r="M49" s="18" t="n">
        <v>0</v>
      </c>
      <c r="N49" s="20" t="n">
        <v>0</v>
      </c>
      <c r="O49" s="18" t="n">
        <v>0</v>
      </c>
      <c r="P49" s="20" t="n">
        <v>0</v>
      </c>
      <c r="Q49" s="18" t="n">
        <v>1.1518167</v>
      </c>
      <c r="R49" s="20" t="n">
        <v>0.29705699</v>
      </c>
    </row>
    <row r="50" spans="1:18">
      <c r="A50" s="15" t="s">
        <v>609</v>
      </c>
      <c r="B50" s="17" t="n">
        <v>6866</v>
      </c>
      <c r="C50" s="18">
        <f>(5519.0/B50*100)</f>
        <v/>
      </c>
      <c r="D50" s="19" t="n">
        <v>1347</v>
      </c>
      <c r="E50" s="18" t="n">
        <v>81.55283959</v>
      </c>
      <c r="F50" s="20" t="n">
        <v>1.02464229</v>
      </c>
      <c r="G50" s="18" t="n">
        <v>16.51524967</v>
      </c>
      <c r="H50" s="20" t="n">
        <v>1.00583334</v>
      </c>
      <c r="I50" s="18" t="n">
        <v>0</v>
      </c>
      <c r="J50" s="20" t="n">
        <v>0</v>
      </c>
      <c r="K50" s="18" t="n">
        <v>0.10865147</v>
      </c>
      <c r="L50" s="20" t="n">
        <v>0.09731072</v>
      </c>
      <c r="M50" s="18" t="n">
        <v>0</v>
      </c>
      <c r="N50" s="20" t="n">
        <v>0</v>
      </c>
      <c r="O50" s="18" t="n">
        <v>0</v>
      </c>
      <c r="P50" s="20" t="n">
        <v>0</v>
      </c>
      <c r="Q50" s="18" t="n">
        <v>1.82325928</v>
      </c>
      <c r="R50" s="20" t="n">
        <v>0.46340672</v>
      </c>
    </row>
    <row r="51" spans="1:18">
      <c r="A51" s="15" t="s">
        <v>610</v>
      </c>
      <c r="B51" s="17" t="n">
        <v>5809</v>
      </c>
      <c r="C51" s="18">
        <f>(4475.0/B51*100)</f>
        <v/>
      </c>
      <c r="D51" s="19" t="n">
        <v>1334</v>
      </c>
      <c r="E51" s="18" t="n">
        <v>66.2600233</v>
      </c>
      <c r="F51" s="20" t="n">
        <v>1.38051299</v>
      </c>
      <c r="G51" s="18" t="n">
        <v>33.01493881</v>
      </c>
      <c r="H51" s="20" t="n">
        <v>1.37583024</v>
      </c>
      <c r="I51" s="18" t="n">
        <v>0</v>
      </c>
      <c r="J51" s="20" t="n">
        <v>0</v>
      </c>
      <c r="K51" s="18" t="n">
        <v>0</v>
      </c>
      <c r="L51" s="20" t="n">
        <v>0</v>
      </c>
      <c r="M51" s="18" t="n">
        <v>0</v>
      </c>
      <c r="N51" s="20" t="n">
        <v>0</v>
      </c>
      <c r="O51" s="18" t="n">
        <v>0</v>
      </c>
      <c r="P51" s="20" t="n">
        <v>0</v>
      </c>
      <c r="Q51" s="18" t="n">
        <v>0.72503789</v>
      </c>
      <c r="R51" s="20" t="n">
        <v>0.21074621</v>
      </c>
    </row>
    <row r="52" spans="1:18">
      <c r="A52" s="15" t="s">
        <v>611</v>
      </c>
      <c r="B52" s="17" t="n">
        <v>5571</v>
      </c>
      <c r="C52" s="18">
        <f>(4332.0/B52*100)</f>
        <v/>
      </c>
      <c r="D52" s="19" t="n">
        <v>1239</v>
      </c>
      <c r="E52" s="18" t="n">
        <v>60.38886064</v>
      </c>
      <c r="F52" s="20" t="n">
        <v>1.4529126</v>
      </c>
      <c r="G52" s="18" t="n">
        <v>38.25914156</v>
      </c>
      <c r="H52" s="20" t="n">
        <v>1.37603976</v>
      </c>
      <c r="I52" s="18" t="n">
        <v>0</v>
      </c>
      <c r="J52" s="20" t="n">
        <v>0</v>
      </c>
      <c r="K52" s="18" t="n">
        <v>0.11484547</v>
      </c>
      <c r="L52" s="20" t="n">
        <v>0.07914862</v>
      </c>
      <c r="M52" s="18" t="n">
        <v>0</v>
      </c>
      <c r="N52" s="20" t="n">
        <v>0</v>
      </c>
      <c r="O52" s="18" t="n">
        <v>0</v>
      </c>
      <c r="P52" s="20" t="n">
        <v>0</v>
      </c>
      <c r="Q52" s="18" t="n">
        <v>1.23715233</v>
      </c>
      <c r="R52" s="20" t="n">
        <v>0.33012911</v>
      </c>
    </row>
    <row r="53" spans="1:18">
      <c r="A53" s="15" t="s">
        <v>612</v>
      </c>
      <c r="B53" s="17" t="n">
        <v>4740</v>
      </c>
      <c r="C53" s="18">
        <f>(3689.0/B53*100)</f>
        <v/>
      </c>
      <c r="D53" s="19" t="n">
        <v>1051</v>
      </c>
      <c r="E53" s="18" t="n">
        <v>83.62286714</v>
      </c>
      <c r="F53" s="20" t="n">
        <v>1.18993417</v>
      </c>
      <c r="G53" s="18" t="n">
        <v>9.896203</v>
      </c>
      <c r="H53" s="20" t="n">
        <v>0.98950496</v>
      </c>
      <c r="I53" s="18" t="n">
        <v>0</v>
      </c>
      <c r="J53" s="20" t="n">
        <v>0</v>
      </c>
      <c r="K53" s="18" t="n">
        <v>2.57969274</v>
      </c>
      <c r="L53" s="20" t="n">
        <v>0.60218349</v>
      </c>
      <c r="M53" s="18" t="n">
        <v>0</v>
      </c>
      <c r="N53" s="20" t="n">
        <v>0</v>
      </c>
      <c r="O53" s="18" t="n">
        <v>0</v>
      </c>
      <c r="P53" s="20" t="n">
        <v>0</v>
      </c>
      <c r="Q53" s="18" t="n">
        <v>3.90123712</v>
      </c>
      <c r="R53" s="20" t="n">
        <v>0.59521101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(4140.0/B55*100)</f>
        <v/>
      </c>
      <c r="D55" s="19" t="n">
        <v>1219</v>
      </c>
      <c r="E55" s="18" t="n">
        <v>52.41812555</v>
      </c>
      <c r="F55" s="20" t="n">
        <v>1.66952913</v>
      </c>
      <c r="G55" s="18" t="n">
        <v>47.17522952</v>
      </c>
      <c r="H55" s="20" t="n">
        <v>1.60462188</v>
      </c>
      <c r="I55" s="18" t="n">
        <v>0</v>
      </c>
      <c r="J55" s="20" t="n">
        <v>0</v>
      </c>
      <c r="K55" s="18" t="n">
        <v>0.15952865</v>
      </c>
      <c r="L55" s="20" t="n">
        <v>0.15413179</v>
      </c>
      <c r="M55" s="18" t="n">
        <v>0</v>
      </c>
      <c r="N55" s="20" t="n">
        <v>0</v>
      </c>
      <c r="O55" s="18" t="n">
        <v>0</v>
      </c>
      <c r="P55" s="20" t="n">
        <v>0</v>
      </c>
      <c r="Q55" s="18" t="n">
        <v>0.24711629</v>
      </c>
      <c r="R55" s="20" t="n">
        <v>0.1365146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(5075.0/B61*100)</f>
        <v/>
      </c>
      <c r="D61" s="19" t="n">
        <v>1450</v>
      </c>
      <c r="E61" s="18" t="n">
        <v>58.02707219</v>
      </c>
      <c r="F61" s="20" t="n">
        <v>1.23940286</v>
      </c>
      <c r="G61" s="18" t="n">
        <v>41.15445877</v>
      </c>
      <c r="H61" s="20" t="n">
        <v>1.32230599</v>
      </c>
      <c r="I61" s="18" t="n">
        <v>0</v>
      </c>
      <c r="J61" s="20" t="n">
        <v>0</v>
      </c>
      <c r="K61" s="18" t="n">
        <v>0.08977999</v>
      </c>
      <c r="L61" s="20" t="n">
        <v>0.09221989999999999</v>
      </c>
      <c r="M61" s="18" t="n">
        <v>0</v>
      </c>
      <c r="N61" s="20" t="n">
        <v>0</v>
      </c>
      <c r="O61" s="18" t="n">
        <v>0</v>
      </c>
      <c r="P61" s="20" t="n">
        <v>0</v>
      </c>
      <c r="Q61" s="18" t="n">
        <v>0.72868906</v>
      </c>
      <c r="R61" s="20" t="n">
        <v>0.29868776</v>
      </c>
    </row>
    <row r="62" spans="1:18">
      <c r="A62" s="15" t="s">
        <v>622</v>
      </c>
      <c r="B62" s="17" t="n">
        <v>4476</v>
      </c>
      <c r="C62" s="18">
        <f>(3512.0/B62*100)</f>
        <v/>
      </c>
      <c r="D62" s="19" t="n">
        <v>964</v>
      </c>
      <c r="E62" s="18" t="n">
        <v>41.3034922</v>
      </c>
      <c r="F62" s="20" t="n">
        <v>1.60371441</v>
      </c>
      <c r="G62" s="18" t="n">
        <v>58.58556084</v>
      </c>
      <c r="H62" s="20" t="n">
        <v>1.61997157</v>
      </c>
      <c r="I62" s="18" t="n">
        <v>0</v>
      </c>
      <c r="J62" s="20" t="n">
        <v>0</v>
      </c>
      <c r="K62" s="18" t="n">
        <v>0</v>
      </c>
      <c r="L62" s="20" t="n">
        <v>0</v>
      </c>
      <c r="M62" s="18" t="n">
        <v>0</v>
      </c>
      <c r="N62" s="20" t="n">
        <v>0</v>
      </c>
      <c r="O62" s="18" t="n">
        <v>0</v>
      </c>
      <c r="P62" s="20" t="n">
        <v>0</v>
      </c>
      <c r="Q62" s="18" t="n">
        <v>0.11094696</v>
      </c>
      <c r="R62" s="20" t="n">
        <v>0.11144758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(4413.0/B67*100)</f>
        <v/>
      </c>
      <c r="D67" s="19" t="n">
        <v>1252</v>
      </c>
      <c r="E67" s="18" t="n">
        <v>72.63471959</v>
      </c>
      <c r="F67" s="20" t="n">
        <v>1.35498398</v>
      </c>
      <c r="G67" s="18" t="n">
        <v>25.54857941</v>
      </c>
      <c r="H67" s="20" t="n">
        <v>1.34074112</v>
      </c>
      <c r="I67" s="18" t="n">
        <v>0</v>
      </c>
      <c r="J67" s="20" t="n">
        <v>0</v>
      </c>
      <c r="K67" s="18" t="n">
        <v>0.18880097</v>
      </c>
      <c r="L67" s="20" t="n">
        <v>0.13469503</v>
      </c>
      <c r="M67" s="18" t="n">
        <v>0</v>
      </c>
      <c r="N67" s="20" t="n">
        <v>0</v>
      </c>
      <c r="O67" s="18" t="n">
        <v>0</v>
      </c>
      <c r="P67" s="20" t="n">
        <v>0</v>
      </c>
      <c r="Q67" s="18" t="n">
        <v>1.62790004</v>
      </c>
      <c r="R67" s="20" t="n">
        <v>0.37119313</v>
      </c>
    </row>
    <row r="68" spans="1:18">
      <c r="A68" s="15" t="s">
        <v>628</v>
      </c>
      <c r="B68" s="17" t="n">
        <v>6971</v>
      </c>
      <c r="C68" s="18">
        <f>(5470.0/B68*100)</f>
        <v/>
      </c>
      <c r="D68" s="19" t="n">
        <v>1501</v>
      </c>
      <c r="E68" s="18" t="n">
        <v>77.14058727</v>
      </c>
      <c r="F68" s="20" t="n">
        <v>1.29263929</v>
      </c>
      <c r="G68" s="18" t="n">
        <v>21.88919964</v>
      </c>
      <c r="H68" s="20" t="n">
        <v>1.27561747</v>
      </c>
      <c r="I68" s="18" t="n">
        <v>0</v>
      </c>
      <c r="J68" s="20" t="n">
        <v>0</v>
      </c>
      <c r="K68" s="18" t="n">
        <v>0</v>
      </c>
      <c r="L68" s="20" t="n">
        <v>0</v>
      </c>
      <c r="M68" s="18" t="n">
        <v>0</v>
      </c>
      <c r="N68" s="20" t="n">
        <v>0</v>
      </c>
      <c r="O68" s="18" t="n">
        <v>0</v>
      </c>
      <c r="P68" s="20" t="n">
        <v>0</v>
      </c>
      <c r="Q68" s="18" t="n">
        <v>0.97021309</v>
      </c>
      <c r="R68" s="20" t="n">
        <v>0.25710129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(9434.0/B70*100)</f>
        <v/>
      </c>
      <c r="D70" s="19" t="n">
        <v>2649</v>
      </c>
      <c r="E70" s="18" t="n">
        <v>69.7899312</v>
      </c>
      <c r="F70" s="20" t="n">
        <v>0.96418989</v>
      </c>
      <c r="G70" s="18" t="n">
        <v>28.56401175</v>
      </c>
      <c r="H70" s="20" t="n">
        <v>0.97466998</v>
      </c>
      <c r="I70" s="18" t="n">
        <v>0</v>
      </c>
      <c r="J70" s="20" t="n">
        <v>0</v>
      </c>
      <c r="K70" s="18" t="n">
        <v>0.269053</v>
      </c>
      <c r="L70" s="20" t="n">
        <v>0.08657081</v>
      </c>
      <c r="M70" s="18" t="n">
        <v>0</v>
      </c>
      <c r="N70" s="20" t="n">
        <v>0</v>
      </c>
      <c r="O70" s="18" t="n">
        <v>0</v>
      </c>
      <c r="P70" s="20" t="n">
        <v>0</v>
      </c>
      <c r="Q70" s="18" t="n">
        <v>1.37700405</v>
      </c>
      <c r="R70" s="20" t="n">
        <v>0.20384667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(4736.0/B72*100)</f>
        <v/>
      </c>
      <c r="D72" s="19" t="n">
        <v>1300</v>
      </c>
      <c r="E72" s="18" t="n">
        <v>56.85655506</v>
      </c>
      <c r="F72" s="20" t="n">
        <v>1.9963935</v>
      </c>
      <c r="G72" s="18" t="n">
        <v>42.54007041</v>
      </c>
      <c r="H72" s="20" t="n">
        <v>2.04720592</v>
      </c>
      <c r="I72" s="18" t="n">
        <v>0</v>
      </c>
      <c r="J72" s="20" t="n">
        <v>0</v>
      </c>
      <c r="K72" s="18" t="n">
        <v>0</v>
      </c>
      <c r="L72" s="20" t="n">
        <v>0</v>
      </c>
      <c r="M72" s="18" t="n">
        <v>0</v>
      </c>
      <c r="N72" s="20" t="n">
        <v>0</v>
      </c>
      <c r="O72" s="18" t="n">
        <v>0</v>
      </c>
      <c r="P72" s="20" t="n">
        <v>0</v>
      </c>
      <c r="Q72" s="18" t="n">
        <v>0.60337453</v>
      </c>
      <c r="R72" s="20" t="n">
        <v>0.22373101</v>
      </c>
    </row>
    <row r="73" spans="1:18">
      <c r="A73" s="15" t="s">
        <v>633</v>
      </c>
      <c r="B73" s="17" t="n">
        <v>6115</v>
      </c>
      <c r="C73" s="18">
        <f>(4766.0/B73*100)</f>
        <v/>
      </c>
      <c r="D73" s="19" t="n">
        <v>1349</v>
      </c>
      <c r="E73" s="18" t="n">
        <v>46.85291368</v>
      </c>
      <c r="F73" s="20" t="n">
        <v>1.36709393</v>
      </c>
      <c r="G73" s="18" t="n">
        <v>52.4843514</v>
      </c>
      <c r="H73" s="20" t="n">
        <v>1.3871463</v>
      </c>
      <c r="I73" s="18" t="n">
        <v>0</v>
      </c>
      <c r="J73" s="20" t="n">
        <v>0</v>
      </c>
      <c r="K73" s="18" t="n">
        <v>0.10385346</v>
      </c>
      <c r="L73" s="20" t="n">
        <v>0.07534989</v>
      </c>
      <c r="M73" s="18" t="n">
        <v>0</v>
      </c>
      <c r="N73" s="20" t="n">
        <v>0</v>
      </c>
      <c r="O73" s="18" t="n">
        <v>0</v>
      </c>
      <c r="P73" s="20" t="n">
        <v>0</v>
      </c>
      <c r="Q73" s="18" t="n">
        <v>0.5588814600000001</v>
      </c>
      <c r="R73" s="20" t="n">
        <v>0.2143723</v>
      </c>
    </row>
    <row r="74" spans="1:18">
      <c r="A74" s="15" t="s">
        <v>634</v>
      </c>
      <c r="B74" s="17" t="n">
        <v>7708</v>
      </c>
      <c r="C74" s="18">
        <f>(5938.0/B74*100)</f>
        <v/>
      </c>
      <c r="D74" s="19" t="n">
        <v>1770</v>
      </c>
      <c r="E74" s="18" t="n">
        <v>39.55176452</v>
      </c>
      <c r="F74" s="20" t="n">
        <v>1.40865081</v>
      </c>
      <c r="G74" s="18" t="n">
        <v>60.07580649</v>
      </c>
      <c r="H74" s="20" t="n">
        <v>1.39901155</v>
      </c>
      <c r="I74" s="18" t="n">
        <v>0</v>
      </c>
      <c r="J74" s="20" t="n">
        <v>0</v>
      </c>
      <c r="K74" s="18" t="n">
        <v>0.03889061</v>
      </c>
      <c r="L74" s="20" t="n">
        <v>0.040067</v>
      </c>
      <c r="M74" s="18" t="n">
        <v>0</v>
      </c>
      <c r="N74" s="20" t="n">
        <v>0</v>
      </c>
      <c r="O74" s="18" t="n">
        <v>0</v>
      </c>
      <c r="P74" s="20" t="n">
        <v>0</v>
      </c>
      <c r="Q74" s="18" t="n">
        <v>0.33353838</v>
      </c>
      <c r="R74" s="20" t="n">
        <v>0.13784409</v>
      </c>
    </row>
    <row r="75" spans="1:18">
      <c r="A75" s="15" t="s">
        <v>635</v>
      </c>
      <c r="B75" s="17" t="n">
        <v>8249</v>
      </c>
      <c r="C75" s="18">
        <f>(6367.0/B75*100)</f>
        <v/>
      </c>
      <c r="D75" s="19" t="n">
        <v>1882</v>
      </c>
      <c r="E75" s="18" t="n">
        <v>56.77011618</v>
      </c>
      <c r="F75" s="20" t="n">
        <v>1.39311316</v>
      </c>
      <c r="G75" s="18" t="n">
        <v>42.4287209</v>
      </c>
      <c r="H75" s="20" t="n">
        <v>1.40407103</v>
      </c>
      <c r="I75" s="18" t="n">
        <v>0</v>
      </c>
      <c r="J75" s="20" t="n">
        <v>0</v>
      </c>
      <c r="K75" s="18" t="n">
        <v>0</v>
      </c>
      <c r="L75" s="20" t="n">
        <v>0</v>
      </c>
      <c r="M75" s="18" t="n">
        <v>0</v>
      </c>
      <c r="N75" s="20" t="n">
        <v>0</v>
      </c>
      <c r="O75" s="18" t="n">
        <v>0</v>
      </c>
      <c r="P75" s="20" t="n">
        <v>0</v>
      </c>
      <c r="Q75" s="18" t="n">
        <v>0.80116292</v>
      </c>
      <c r="R75" s="20" t="n">
        <v>0.23469766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(4230.0/B77*100)</f>
        <v/>
      </c>
      <c r="D77" s="19" t="n">
        <v>1145</v>
      </c>
      <c r="E77" s="18" t="n">
        <v>73.28936168</v>
      </c>
      <c r="F77" s="20" t="n">
        <v>1.34361888</v>
      </c>
      <c r="G77" s="18" t="n">
        <v>24.42917042</v>
      </c>
      <c r="H77" s="20" t="n">
        <v>1.30919518</v>
      </c>
      <c r="I77" s="18" t="n">
        <v>0</v>
      </c>
      <c r="J77" s="20" t="n">
        <v>0</v>
      </c>
      <c r="K77" s="18" t="n">
        <v>0.60459073</v>
      </c>
      <c r="L77" s="20" t="n">
        <v>0.26324007</v>
      </c>
      <c r="M77" s="18" t="n">
        <v>0</v>
      </c>
      <c r="N77" s="20" t="n">
        <v>0</v>
      </c>
      <c r="O77" s="18" t="n">
        <v>0</v>
      </c>
      <c r="P77" s="20" t="n">
        <v>0</v>
      </c>
      <c r="Q77" s="18" t="n">
        <v>1.67687717</v>
      </c>
      <c r="R77" s="20" t="n">
        <v>0.37711351</v>
      </c>
    </row>
    <row r="78" spans="1:18">
      <c r="A78" s="15" t="s">
        <v>638</v>
      </c>
      <c r="B78" s="17" t="n">
        <v>14167</v>
      </c>
      <c r="C78" s="18">
        <f>(11061.0/B78*100)</f>
        <v/>
      </c>
      <c r="D78" s="19" t="n">
        <v>3106</v>
      </c>
      <c r="E78" s="18" t="n">
        <v>69.36188651000001</v>
      </c>
      <c r="F78" s="20" t="n">
        <v>1.06678759</v>
      </c>
      <c r="G78" s="18" t="n">
        <v>29.47384601</v>
      </c>
      <c r="H78" s="20" t="n">
        <v>1.09290792</v>
      </c>
      <c r="I78" s="18" t="n">
        <v>0</v>
      </c>
      <c r="J78" s="20" t="n">
        <v>0</v>
      </c>
      <c r="K78" s="18" t="n">
        <v>0.21739073</v>
      </c>
      <c r="L78" s="20" t="n">
        <v>0.08897458</v>
      </c>
      <c r="M78" s="18" t="n">
        <v>0</v>
      </c>
      <c r="N78" s="20" t="n">
        <v>0</v>
      </c>
      <c r="O78" s="18" t="n">
        <v>0</v>
      </c>
      <c r="P78" s="20" t="n">
        <v>0</v>
      </c>
      <c r="Q78" s="18" t="n">
        <v>0.94687676</v>
      </c>
      <c r="R78" s="20" t="n">
        <v>0.22969436</v>
      </c>
    </row>
    <row r="79" spans="1:18">
      <c r="A79" s="15" t="s">
        <v>639</v>
      </c>
      <c r="B79" s="17" t="n">
        <v>6062</v>
      </c>
      <c r="C79" s="18">
        <f>(4735.0/B79*100)</f>
        <v/>
      </c>
      <c r="D79" s="19" t="n">
        <v>1327</v>
      </c>
      <c r="E79" s="18" t="n">
        <v>76.59865085</v>
      </c>
      <c r="F79" s="20" t="n">
        <v>1.29940734</v>
      </c>
      <c r="G79" s="18" t="n">
        <v>22.47058551</v>
      </c>
      <c r="H79" s="20" t="n">
        <v>1.30596205</v>
      </c>
      <c r="I79" s="18" t="n">
        <v>0</v>
      </c>
      <c r="J79" s="20" t="n">
        <v>0</v>
      </c>
      <c r="K79" s="18" t="n">
        <v>0.26343467</v>
      </c>
      <c r="L79" s="20" t="n">
        <v>0.13894784</v>
      </c>
      <c r="M79" s="18" t="n">
        <v>0</v>
      </c>
      <c r="N79" s="20" t="n">
        <v>0</v>
      </c>
      <c r="O79" s="18" t="n">
        <v>0</v>
      </c>
      <c r="P79" s="20" t="n">
        <v>0</v>
      </c>
      <c r="Q79" s="18" t="n">
        <v>0.66732897</v>
      </c>
      <c r="R79" s="20" t="n">
        <v>0.2393482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(25132.0/B82*100)</f>
        <v/>
      </c>
      <c r="D82" s="19" t="n">
        <v>7198</v>
      </c>
      <c r="E82" s="18" t="n">
        <v>67.01403843999999</v>
      </c>
      <c r="F82" s="20" t="n">
        <v>0.84335167</v>
      </c>
      <c r="G82" s="18" t="n">
        <v>32.38391092</v>
      </c>
      <c r="H82" s="20" t="n">
        <v>0.83697076</v>
      </c>
      <c r="I82" s="18" t="n">
        <v>0</v>
      </c>
      <c r="J82" s="20" t="n">
        <v>0</v>
      </c>
      <c r="K82" s="18" t="n">
        <v>0.0963712</v>
      </c>
      <c r="L82" s="20" t="n">
        <v>0.06446736</v>
      </c>
      <c r="M82" s="18" t="n">
        <v>0</v>
      </c>
      <c r="N82" s="20" t="n">
        <v>0</v>
      </c>
      <c r="O82" s="18" t="n">
        <v>0</v>
      </c>
      <c r="P82" s="20" t="n">
        <v>0</v>
      </c>
      <c r="Q82" s="18" t="n">
        <v>0.50567944</v>
      </c>
      <c r="R82" s="20" t="n">
        <v>0.10669257</v>
      </c>
    </row>
    <row r="83" spans="1:18">
      <c r="A83" s="15" t="s">
        <v>643</v>
      </c>
      <c r="B83" s="17" t="n">
        <v>1652</v>
      </c>
      <c r="C83" s="18">
        <f>(1283.0/B83*100)</f>
        <v/>
      </c>
      <c r="D83" s="19" t="n">
        <v>369</v>
      </c>
      <c r="E83" s="18" t="n">
        <v>54.21411173</v>
      </c>
      <c r="F83" s="20" t="n">
        <v>3.45860475</v>
      </c>
      <c r="G83" s="18" t="n">
        <v>45.78588827</v>
      </c>
      <c r="H83" s="20" t="n">
        <v>3.45860475</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(1477.0/B84*100)</f>
        <v/>
      </c>
      <c r="D84" s="19" t="n">
        <v>410</v>
      </c>
      <c r="E84" s="18" t="n">
        <v>60.05965948</v>
      </c>
      <c r="F84" s="20" t="n">
        <v>2.61466315</v>
      </c>
      <c r="G84" s="18" t="n">
        <v>39.47525335</v>
      </c>
      <c r="H84" s="20" t="n">
        <v>2.58980109</v>
      </c>
      <c r="I84" s="18" t="n">
        <v>0</v>
      </c>
      <c r="J84" s="20" t="n">
        <v>0</v>
      </c>
      <c r="K84" s="18" t="n">
        <v>0</v>
      </c>
      <c r="L84" s="20" t="n">
        <v>0</v>
      </c>
      <c r="M84" s="18" t="n">
        <v>0</v>
      </c>
      <c r="N84" s="20" t="n">
        <v>0</v>
      </c>
      <c r="O84" s="18" t="n">
        <v>0</v>
      </c>
      <c r="P84" s="20" t="n">
        <v>0</v>
      </c>
      <c r="Q84" s="18" t="n">
        <v>0.46508717</v>
      </c>
      <c r="R84" s="20" t="n">
        <v>0.32608308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749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(11351.0/B7*100)</f>
        <v/>
      </c>
      <c r="D7" s="19" t="n">
        <v>3179</v>
      </c>
      <c r="E7" s="18" t="n">
        <v>14.95697172</v>
      </c>
      <c r="F7" s="20" t="n">
        <v>0.80666081</v>
      </c>
      <c r="G7" s="18" t="n">
        <v>82.72634728</v>
      </c>
      <c r="H7" s="20" t="n">
        <v>0.84442484</v>
      </c>
      <c r="I7" s="18" t="n">
        <v>0</v>
      </c>
      <c r="J7" s="20" t="n">
        <v>0</v>
      </c>
      <c r="K7" s="18" t="n">
        <v>0.0387249</v>
      </c>
      <c r="L7" s="20" t="n">
        <v>0.02076323</v>
      </c>
      <c r="M7" s="18" t="n">
        <v>0</v>
      </c>
      <c r="N7" s="20" t="n">
        <v>0</v>
      </c>
      <c r="O7" s="18" t="n">
        <v>0</v>
      </c>
      <c r="P7" s="20" t="n">
        <v>0</v>
      </c>
      <c r="Q7" s="18" t="n">
        <v>2.2779561</v>
      </c>
      <c r="R7" s="20" t="n">
        <v>0.31348454</v>
      </c>
    </row>
    <row r="8" spans="1:18">
      <c r="A8" s="15" t="s">
        <v>566</v>
      </c>
      <c r="B8" s="17" t="n">
        <v>7007</v>
      </c>
      <c r="C8" s="18">
        <f>(5441.0/B8*100)</f>
        <v/>
      </c>
      <c r="D8" s="19" t="n">
        <v>1566</v>
      </c>
      <c r="E8" s="18" t="n">
        <v>19.90087104</v>
      </c>
      <c r="F8" s="20" t="n">
        <v>1.08315413</v>
      </c>
      <c r="G8" s="18" t="n">
        <v>77.23969243000001</v>
      </c>
      <c r="H8" s="20" t="n">
        <v>1.1384094</v>
      </c>
      <c r="I8" s="18" t="n">
        <v>0</v>
      </c>
      <c r="J8" s="20" t="n">
        <v>0</v>
      </c>
      <c r="K8" s="18" t="n">
        <v>0</v>
      </c>
      <c r="L8" s="20" t="n">
        <v>0</v>
      </c>
      <c r="M8" s="18" t="n">
        <v>0</v>
      </c>
      <c r="N8" s="20" t="n">
        <v>0</v>
      </c>
      <c r="O8" s="18" t="n">
        <v>0</v>
      </c>
      <c r="P8" s="20" t="n">
        <v>0</v>
      </c>
      <c r="Q8" s="18" t="n">
        <v>2.85943653</v>
      </c>
      <c r="R8" s="20" t="n">
        <v>0.46003199</v>
      </c>
    </row>
    <row r="9" spans="1:18">
      <c r="A9" s="15" t="s">
        <v>567</v>
      </c>
      <c r="B9" s="17" t="n">
        <v>9651</v>
      </c>
      <c r="C9" s="18">
        <f>(7556.0/B9*100)</f>
        <v/>
      </c>
      <c r="D9" s="19" t="n">
        <v>2095</v>
      </c>
      <c r="E9" s="18" t="n">
        <v>23.3173306</v>
      </c>
      <c r="F9" s="20" t="n">
        <v>0.90558821</v>
      </c>
      <c r="G9" s="18" t="n">
        <v>73.69454425000001</v>
      </c>
      <c r="H9" s="20" t="n">
        <v>1.00018933</v>
      </c>
      <c r="I9" s="18" t="n">
        <v>0</v>
      </c>
      <c r="J9" s="20" t="n">
        <v>0</v>
      </c>
      <c r="K9" s="18" t="n">
        <v>0</v>
      </c>
      <c r="L9" s="20" t="n">
        <v>0</v>
      </c>
      <c r="M9" s="18" t="n">
        <v>0</v>
      </c>
      <c r="N9" s="20" t="n">
        <v>0</v>
      </c>
      <c r="O9" s="18" t="n">
        <v>0</v>
      </c>
      <c r="P9" s="20" t="n">
        <v>0</v>
      </c>
      <c r="Q9" s="18" t="n">
        <v>2.98812515</v>
      </c>
      <c r="R9" s="20" t="n">
        <v>0.48973082</v>
      </c>
    </row>
    <row r="10" spans="1:18">
      <c r="A10" s="15" t="s">
        <v>568</v>
      </c>
      <c r="B10" s="17" t="n">
        <v>20058</v>
      </c>
      <c r="C10" s="18">
        <f>(15681.0/B10*100)</f>
        <v/>
      </c>
      <c r="D10" s="19" t="n">
        <v>4377</v>
      </c>
      <c r="E10" s="18" t="n">
        <v>18.24741399</v>
      </c>
      <c r="F10" s="20" t="n">
        <v>0.85833514</v>
      </c>
      <c r="G10" s="18" t="n">
        <v>79.18320072</v>
      </c>
      <c r="H10" s="20" t="n">
        <v>0.8595602</v>
      </c>
      <c r="I10" s="18" t="n">
        <v>0</v>
      </c>
      <c r="J10" s="20" t="n">
        <v>0</v>
      </c>
      <c r="K10" s="18" t="n">
        <v>0.19914938</v>
      </c>
      <c r="L10" s="20" t="n">
        <v>0.10199899</v>
      </c>
      <c r="M10" s="18" t="n">
        <v>0</v>
      </c>
      <c r="N10" s="20" t="n">
        <v>0</v>
      </c>
      <c r="O10" s="18" t="n">
        <v>0</v>
      </c>
      <c r="P10" s="20" t="n">
        <v>0</v>
      </c>
      <c r="Q10" s="18" t="n">
        <v>2.37023591</v>
      </c>
      <c r="R10" s="20" t="n">
        <v>0.27596343</v>
      </c>
    </row>
    <row r="11" spans="1:18">
      <c r="A11" s="15" t="s">
        <v>569</v>
      </c>
      <c r="B11" s="17" t="n">
        <v>7053</v>
      </c>
      <c r="C11" s="18">
        <f>(5546.0/B11*100)</f>
        <v/>
      </c>
      <c r="D11" s="19" t="n">
        <v>1507</v>
      </c>
      <c r="E11" s="18" t="n">
        <v>24.10622352</v>
      </c>
      <c r="F11" s="20" t="n">
        <v>1.19106191</v>
      </c>
      <c r="G11" s="18" t="n">
        <v>70.95460002999999</v>
      </c>
      <c r="H11" s="20" t="n">
        <v>1.26454144</v>
      </c>
      <c r="I11" s="18" t="n">
        <v>0</v>
      </c>
      <c r="J11" s="20" t="n">
        <v>0</v>
      </c>
      <c r="K11" s="18" t="n">
        <v>0.14064376</v>
      </c>
      <c r="L11" s="20" t="n">
        <v>0.08545998</v>
      </c>
      <c r="M11" s="18" t="n">
        <v>0</v>
      </c>
      <c r="N11" s="20" t="n">
        <v>0</v>
      </c>
      <c r="O11" s="18" t="n">
        <v>0</v>
      </c>
      <c r="P11" s="20" t="n">
        <v>0</v>
      </c>
      <c r="Q11" s="18" t="n">
        <v>4.79853269</v>
      </c>
      <c r="R11" s="20" t="n">
        <v>0.61328268</v>
      </c>
    </row>
    <row r="12" spans="1:18">
      <c r="A12" s="15" t="s">
        <v>570</v>
      </c>
      <c r="B12" s="17" t="n">
        <v>6894</v>
      </c>
      <c r="C12" s="18">
        <f>(5421.0/B12*100)</f>
        <v/>
      </c>
      <c r="D12" s="19" t="n">
        <v>1473</v>
      </c>
      <c r="E12" s="18" t="n">
        <v>22.44778269</v>
      </c>
      <c r="F12" s="20" t="n">
        <v>1.10164768</v>
      </c>
      <c r="G12" s="18" t="n">
        <v>75.16532475</v>
      </c>
      <c r="H12" s="20" t="n">
        <v>1.12531044</v>
      </c>
      <c r="I12" s="18" t="n">
        <v>0</v>
      </c>
      <c r="J12" s="20" t="n">
        <v>0</v>
      </c>
      <c r="K12" s="18" t="n">
        <v>0</v>
      </c>
      <c r="L12" s="20" t="n">
        <v>0</v>
      </c>
      <c r="M12" s="18" t="n">
        <v>0</v>
      </c>
      <c r="N12" s="20" t="n">
        <v>0</v>
      </c>
      <c r="O12" s="18" t="n">
        <v>0</v>
      </c>
      <c r="P12" s="20" t="n">
        <v>0</v>
      </c>
      <c r="Q12" s="18" t="n">
        <v>2.38689256</v>
      </c>
      <c r="R12" s="20" t="n">
        <v>0.39575131</v>
      </c>
    </row>
    <row r="13" spans="1:18">
      <c r="A13" s="15" t="s">
        <v>571</v>
      </c>
      <c r="B13" s="17" t="n">
        <v>7161</v>
      </c>
      <c r="C13" s="18">
        <f>(5692.0/B13*100)</f>
        <v/>
      </c>
      <c r="D13" s="19" t="n">
        <v>1469</v>
      </c>
      <c r="E13" s="18" t="n">
        <v>18.73615412</v>
      </c>
      <c r="F13" s="20" t="n">
        <v>1.18797404</v>
      </c>
      <c r="G13" s="18" t="n">
        <v>78.99915279</v>
      </c>
      <c r="H13" s="20" t="n">
        <v>1.31015803</v>
      </c>
      <c r="I13" s="18" t="n">
        <v>0</v>
      </c>
      <c r="J13" s="20" t="n">
        <v>0</v>
      </c>
      <c r="K13" s="18" t="n">
        <v>0.40479779</v>
      </c>
      <c r="L13" s="20" t="n">
        <v>0.1811596</v>
      </c>
      <c r="M13" s="18" t="n">
        <v>0</v>
      </c>
      <c r="N13" s="20" t="n">
        <v>0</v>
      </c>
      <c r="O13" s="18" t="n">
        <v>0</v>
      </c>
      <c r="P13" s="20" t="n">
        <v>0</v>
      </c>
      <c r="Q13" s="18" t="n">
        <v>1.8598953</v>
      </c>
      <c r="R13" s="20" t="n">
        <v>0.49140048</v>
      </c>
    </row>
    <row r="14" spans="1:18">
      <c r="A14" s="15" t="s">
        <v>572</v>
      </c>
      <c r="B14" s="17" t="n">
        <v>5587</v>
      </c>
      <c r="C14" s="18">
        <f>(4392.0/B14*100)</f>
        <v/>
      </c>
      <c r="D14" s="19" t="n">
        <v>1195</v>
      </c>
      <c r="E14" s="18" t="n">
        <v>20.28888278</v>
      </c>
      <c r="F14" s="20" t="n">
        <v>1.34353562</v>
      </c>
      <c r="G14" s="18" t="n">
        <v>78.23139667</v>
      </c>
      <c r="H14" s="20" t="n">
        <v>1.38769059</v>
      </c>
      <c r="I14" s="18" t="n">
        <v>0</v>
      </c>
      <c r="J14" s="20" t="n">
        <v>0</v>
      </c>
      <c r="K14" s="18" t="n">
        <v>0.07163004000000001</v>
      </c>
      <c r="L14" s="20" t="n">
        <v>0.07177446</v>
      </c>
      <c r="M14" s="18" t="n">
        <v>0</v>
      </c>
      <c r="N14" s="20" t="n">
        <v>0</v>
      </c>
      <c r="O14" s="18" t="n">
        <v>0</v>
      </c>
      <c r="P14" s="20" t="n">
        <v>0</v>
      </c>
      <c r="Q14" s="18" t="n">
        <v>1.40809051</v>
      </c>
      <c r="R14" s="20" t="n">
        <v>0.31890578</v>
      </c>
    </row>
    <row r="15" spans="1:18">
      <c r="A15" s="15" t="s">
        <v>573</v>
      </c>
      <c r="B15" s="17" t="n">
        <v>5882</v>
      </c>
      <c r="C15" s="18">
        <f>(4559.0/B15*100)</f>
        <v/>
      </c>
      <c r="D15" s="19" t="n">
        <v>1323</v>
      </c>
      <c r="E15" s="18" t="n">
        <v>19.08576403</v>
      </c>
      <c r="F15" s="20" t="n">
        <v>1.19064296</v>
      </c>
      <c r="G15" s="18" t="n">
        <v>79.22872239</v>
      </c>
      <c r="H15" s="20" t="n">
        <v>1.20548668</v>
      </c>
      <c r="I15" s="18" t="n">
        <v>0</v>
      </c>
      <c r="J15" s="20" t="n">
        <v>0</v>
      </c>
      <c r="K15" s="18" t="n">
        <v>0</v>
      </c>
      <c r="L15" s="20" t="n">
        <v>0</v>
      </c>
      <c r="M15" s="18" t="n">
        <v>0</v>
      </c>
      <c r="N15" s="20" t="n">
        <v>0</v>
      </c>
      <c r="O15" s="18" t="n">
        <v>0</v>
      </c>
      <c r="P15" s="20" t="n">
        <v>0</v>
      </c>
      <c r="Q15" s="18" t="n">
        <v>1.68551358</v>
      </c>
      <c r="R15" s="20" t="n">
        <v>0.3378134</v>
      </c>
    </row>
    <row r="16" spans="1:18">
      <c r="A16" s="15" t="s">
        <v>574</v>
      </c>
      <c r="B16" s="17" t="n">
        <v>6108</v>
      </c>
      <c r="C16" s="18">
        <f>(4734.0/B16*100)</f>
        <v/>
      </c>
      <c r="D16" s="19" t="n">
        <v>1374</v>
      </c>
      <c r="E16" s="18" t="n">
        <v>19.58193736</v>
      </c>
      <c r="F16" s="20" t="n">
        <v>0.96258175</v>
      </c>
      <c r="G16" s="18" t="n">
        <v>75.55143562000001</v>
      </c>
      <c r="H16" s="20" t="n">
        <v>1.07872378</v>
      </c>
      <c r="I16" s="18" t="n">
        <v>0</v>
      </c>
      <c r="J16" s="20" t="n">
        <v>0</v>
      </c>
      <c r="K16" s="18" t="n">
        <v>0.35125181</v>
      </c>
      <c r="L16" s="20" t="n">
        <v>0.14769495</v>
      </c>
      <c r="M16" s="18" t="n">
        <v>0</v>
      </c>
      <c r="N16" s="20" t="n">
        <v>0</v>
      </c>
      <c r="O16" s="18" t="n">
        <v>0</v>
      </c>
      <c r="P16" s="20" t="n">
        <v>0</v>
      </c>
      <c r="Q16" s="18" t="n">
        <v>4.51537521</v>
      </c>
      <c r="R16" s="20" t="n">
        <v>0.61914301</v>
      </c>
    </row>
    <row r="17" spans="1:18">
      <c r="A17" s="15" t="s">
        <v>575</v>
      </c>
      <c r="B17" s="17" t="n">
        <v>6504</v>
      </c>
      <c r="C17" s="18">
        <f>(5142.0/B17*100)</f>
        <v/>
      </c>
      <c r="D17" s="19" t="n">
        <v>1362</v>
      </c>
      <c r="E17" s="18" t="n">
        <v>20.98078835</v>
      </c>
      <c r="F17" s="20" t="n">
        <v>1.28110201</v>
      </c>
      <c r="G17" s="18" t="n">
        <v>76.36299449000001</v>
      </c>
      <c r="H17" s="20" t="n">
        <v>1.32830028</v>
      </c>
      <c r="I17" s="18" t="n">
        <v>0</v>
      </c>
      <c r="J17" s="20" t="n">
        <v>0</v>
      </c>
      <c r="K17" s="18" t="n">
        <v>0.07389999999999999</v>
      </c>
      <c r="L17" s="20" t="n">
        <v>0.07379692</v>
      </c>
      <c r="M17" s="18" t="n">
        <v>0</v>
      </c>
      <c r="N17" s="20" t="n">
        <v>0</v>
      </c>
      <c r="O17" s="18" t="n">
        <v>0</v>
      </c>
      <c r="P17" s="20" t="n">
        <v>0</v>
      </c>
      <c r="Q17" s="18" t="n">
        <v>2.58231715</v>
      </c>
      <c r="R17" s="20" t="n">
        <v>0.34749453</v>
      </c>
    </row>
    <row r="18" spans="1:18">
      <c r="A18" s="15" t="s">
        <v>576</v>
      </c>
      <c r="B18" s="17" t="n">
        <v>5532</v>
      </c>
      <c r="C18" s="18">
        <f>(4309.0/B18*100)</f>
        <v/>
      </c>
      <c r="D18" s="19" t="n">
        <v>1223</v>
      </c>
      <c r="E18" s="18" t="n">
        <v>25.07749653</v>
      </c>
      <c r="F18" s="20" t="n">
        <v>1.47773431</v>
      </c>
      <c r="G18" s="18" t="n">
        <v>70.83989103</v>
      </c>
      <c r="H18" s="20" t="n">
        <v>1.45998098</v>
      </c>
      <c r="I18" s="18" t="n">
        <v>0</v>
      </c>
      <c r="J18" s="20" t="n">
        <v>0</v>
      </c>
      <c r="K18" s="18" t="n">
        <v>0.25127509</v>
      </c>
      <c r="L18" s="20" t="n">
        <v>0.16898634</v>
      </c>
      <c r="M18" s="18" t="n">
        <v>0</v>
      </c>
      <c r="N18" s="20" t="n">
        <v>0</v>
      </c>
      <c r="O18" s="18" t="n">
        <v>0</v>
      </c>
      <c r="P18" s="20" t="n">
        <v>0</v>
      </c>
      <c r="Q18" s="18" t="n">
        <v>3.83133734</v>
      </c>
      <c r="R18" s="20" t="n">
        <v>0.65369952</v>
      </c>
    </row>
    <row r="19" spans="1:18">
      <c r="A19" s="15" t="s">
        <v>577</v>
      </c>
      <c r="B19" s="17" t="n">
        <v>5658</v>
      </c>
      <c r="C19" s="18">
        <f>(4448.0/B19*100)</f>
        <v/>
      </c>
      <c r="D19" s="19" t="n">
        <v>1210</v>
      </c>
      <c r="E19" s="18" t="n">
        <v>25.28680934</v>
      </c>
      <c r="F19" s="20" t="n">
        <v>1.3486191</v>
      </c>
      <c r="G19" s="18" t="n">
        <v>70.55410670000001</v>
      </c>
      <c r="H19" s="20" t="n">
        <v>1.5067282</v>
      </c>
      <c r="I19" s="18" t="n">
        <v>0</v>
      </c>
      <c r="J19" s="20" t="n">
        <v>0</v>
      </c>
      <c r="K19" s="18" t="n">
        <v>0</v>
      </c>
      <c r="L19" s="20" t="n">
        <v>0</v>
      </c>
      <c r="M19" s="18" t="n">
        <v>0</v>
      </c>
      <c r="N19" s="20" t="n">
        <v>0</v>
      </c>
      <c r="O19" s="18" t="n">
        <v>0</v>
      </c>
      <c r="P19" s="20" t="n">
        <v>0</v>
      </c>
      <c r="Q19" s="18" t="n">
        <v>4.15908396</v>
      </c>
      <c r="R19" s="20" t="n">
        <v>0.76177857</v>
      </c>
    </row>
    <row r="20" spans="1:18">
      <c r="A20" s="15" t="s">
        <v>578</v>
      </c>
      <c r="B20" s="17" t="n">
        <v>3371</v>
      </c>
      <c r="C20" s="18">
        <f>(2635.0/B20*100)</f>
        <v/>
      </c>
      <c r="D20" s="19" t="n">
        <v>736</v>
      </c>
      <c r="E20" s="18" t="n">
        <v>24.09243358</v>
      </c>
      <c r="F20" s="20" t="n">
        <v>1.36435822</v>
      </c>
      <c r="G20" s="18" t="n">
        <v>72.06041419</v>
      </c>
      <c r="H20" s="20" t="n">
        <v>1.52727033</v>
      </c>
      <c r="I20" s="18" t="n">
        <v>0</v>
      </c>
      <c r="J20" s="20" t="n">
        <v>0</v>
      </c>
      <c r="K20" s="18" t="n">
        <v>0.11572899</v>
      </c>
      <c r="L20" s="20" t="n">
        <v>0.11503177</v>
      </c>
      <c r="M20" s="18" t="n">
        <v>0</v>
      </c>
      <c r="N20" s="20" t="n">
        <v>0</v>
      </c>
      <c r="O20" s="18" t="n">
        <v>0</v>
      </c>
      <c r="P20" s="20" t="n">
        <v>0</v>
      </c>
      <c r="Q20" s="18" t="n">
        <v>3.73142324</v>
      </c>
      <c r="R20" s="20" t="n">
        <v>0.76669209</v>
      </c>
    </row>
    <row r="21" spans="1:18">
      <c r="A21" s="15" t="s">
        <v>579</v>
      </c>
      <c r="B21" s="17" t="n">
        <v>5741</v>
      </c>
      <c r="C21" s="18">
        <f>(4464.0/B21*100)</f>
        <v/>
      </c>
      <c r="D21" s="19" t="n">
        <v>1277</v>
      </c>
      <c r="E21" s="18" t="n">
        <v>21.21909132</v>
      </c>
      <c r="F21" s="20" t="n">
        <v>1.41406084</v>
      </c>
      <c r="G21" s="18" t="n">
        <v>76.75287004</v>
      </c>
      <c r="H21" s="20" t="n">
        <v>1.38999151</v>
      </c>
      <c r="I21" s="18" t="n">
        <v>0</v>
      </c>
      <c r="J21" s="20" t="n">
        <v>0</v>
      </c>
      <c r="K21" s="18" t="n">
        <v>0</v>
      </c>
      <c r="L21" s="20" t="n">
        <v>0</v>
      </c>
      <c r="M21" s="18" t="n">
        <v>0</v>
      </c>
      <c r="N21" s="20" t="n">
        <v>0</v>
      </c>
      <c r="O21" s="18" t="n">
        <v>0</v>
      </c>
      <c r="P21" s="20" t="n">
        <v>0</v>
      </c>
      <c r="Q21" s="18" t="n">
        <v>2.02803864</v>
      </c>
      <c r="R21" s="20" t="n">
        <v>0.4795709</v>
      </c>
    </row>
    <row r="22" spans="1:18">
      <c r="A22" s="15" t="s">
        <v>580</v>
      </c>
      <c r="B22" s="17" t="n">
        <v>6598</v>
      </c>
      <c r="C22" s="18">
        <f>(5152.0/B22*100)</f>
        <v/>
      </c>
      <c r="D22" s="19" t="n">
        <v>1446</v>
      </c>
      <c r="E22" s="18" t="n">
        <v>27.46993061</v>
      </c>
      <c r="F22" s="20" t="n">
        <v>1.28349407</v>
      </c>
      <c r="G22" s="18" t="n">
        <v>68.52128885</v>
      </c>
      <c r="H22" s="20" t="n">
        <v>1.40736865</v>
      </c>
      <c r="I22" s="18" t="n">
        <v>0</v>
      </c>
      <c r="J22" s="20" t="n">
        <v>0</v>
      </c>
      <c r="K22" s="18" t="n">
        <v>0.19005163</v>
      </c>
      <c r="L22" s="20" t="n">
        <v>0.11250328</v>
      </c>
      <c r="M22" s="18" t="n">
        <v>0</v>
      </c>
      <c r="N22" s="20" t="n">
        <v>0</v>
      </c>
      <c r="O22" s="18" t="n">
        <v>0</v>
      </c>
      <c r="P22" s="20" t="n">
        <v>0</v>
      </c>
      <c r="Q22" s="18" t="n">
        <v>3.8187289</v>
      </c>
      <c r="R22" s="20" t="n">
        <v>0.5180887199999999</v>
      </c>
    </row>
    <row r="23" spans="1:18">
      <c r="A23" s="15" t="s">
        <v>581</v>
      </c>
      <c r="B23" s="17" t="n">
        <v>11583</v>
      </c>
      <c r="C23" s="18">
        <f>(8961.0/B23*100)</f>
        <v/>
      </c>
      <c r="D23" s="19" t="n">
        <v>2622</v>
      </c>
      <c r="E23" s="18" t="n">
        <v>24.53909995</v>
      </c>
      <c r="F23" s="20" t="n">
        <v>1.30567407</v>
      </c>
      <c r="G23" s="18" t="n">
        <v>70.95410425</v>
      </c>
      <c r="H23" s="20" t="n">
        <v>1.32203321</v>
      </c>
      <c r="I23" s="18" t="n">
        <v>0</v>
      </c>
      <c r="J23" s="20" t="n">
        <v>0</v>
      </c>
      <c r="K23" s="18" t="n">
        <v>0.08499777</v>
      </c>
      <c r="L23" s="20" t="n">
        <v>0.0896127</v>
      </c>
      <c r="M23" s="18" t="n">
        <v>0</v>
      </c>
      <c r="N23" s="20" t="n">
        <v>0</v>
      </c>
      <c r="O23" s="18" t="n">
        <v>0</v>
      </c>
      <c r="P23" s="20" t="n">
        <v>0</v>
      </c>
      <c r="Q23" s="18" t="n">
        <v>4.42179802</v>
      </c>
      <c r="R23" s="20" t="n">
        <v>0.7729654500000001</v>
      </c>
    </row>
    <row r="24" spans="1:18">
      <c r="A24" s="15" t="s">
        <v>582</v>
      </c>
      <c r="B24" s="17" t="n">
        <v>6647</v>
      </c>
      <c r="C24" s="18">
        <f>(5169.0/B24*100)</f>
        <v/>
      </c>
      <c r="D24" s="19" t="n">
        <v>1478</v>
      </c>
      <c r="E24" s="18" t="n">
        <v>22.48922926</v>
      </c>
      <c r="F24" s="20" t="n">
        <v>1.12585084</v>
      </c>
      <c r="G24" s="18" t="n">
        <v>76.60162357</v>
      </c>
      <c r="H24" s="20" t="n">
        <v>1.17769593</v>
      </c>
      <c r="I24" s="18" t="n">
        <v>0</v>
      </c>
      <c r="J24" s="20" t="n">
        <v>0</v>
      </c>
      <c r="K24" s="18" t="n">
        <v>0</v>
      </c>
      <c r="L24" s="20" t="n">
        <v>0</v>
      </c>
      <c r="M24" s="18" t="n">
        <v>0</v>
      </c>
      <c r="N24" s="20" t="n">
        <v>0</v>
      </c>
      <c r="O24" s="18" t="n">
        <v>0</v>
      </c>
      <c r="P24" s="20" t="n">
        <v>0</v>
      </c>
      <c r="Q24" s="18" t="n">
        <v>0.90914717</v>
      </c>
      <c r="R24" s="20" t="n">
        <v>0.26777988</v>
      </c>
    </row>
    <row r="25" spans="1:18">
      <c r="A25" s="15" t="s">
        <v>583</v>
      </c>
      <c r="B25" s="17" t="n">
        <v>5581</v>
      </c>
      <c r="C25" s="18">
        <f>(4356.0/B25*100)</f>
        <v/>
      </c>
      <c r="D25" s="19" t="n">
        <v>1225</v>
      </c>
      <c r="E25" s="18" t="n">
        <v>25.70968373</v>
      </c>
      <c r="F25" s="20" t="n">
        <v>1.50660352</v>
      </c>
      <c r="G25" s="18" t="n">
        <v>72.66876705</v>
      </c>
      <c r="H25" s="20" t="n">
        <v>1.59419745</v>
      </c>
      <c r="I25" s="18" t="n">
        <v>0</v>
      </c>
      <c r="J25" s="20" t="n">
        <v>0</v>
      </c>
      <c r="K25" s="18" t="n">
        <v>0</v>
      </c>
      <c r="L25" s="20" t="n">
        <v>0</v>
      </c>
      <c r="M25" s="18" t="n">
        <v>0</v>
      </c>
      <c r="N25" s="20" t="n">
        <v>0</v>
      </c>
      <c r="O25" s="18" t="n">
        <v>0</v>
      </c>
      <c r="P25" s="20" t="n">
        <v>0</v>
      </c>
      <c r="Q25" s="18" t="n">
        <v>1.62154921</v>
      </c>
      <c r="R25" s="20" t="n">
        <v>0.41528481</v>
      </c>
    </row>
    <row r="26" spans="1:18">
      <c r="A26" s="15" t="s">
        <v>584</v>
      </c>
      <c r="B26" s="17" t="n">
        <v>4869</v>
      </c>
      <c r="C26" s="18">
        <f>(3804.0/B26*100)</f>
        <v/>
      </c>
      <c r="D26" s="19" t="n">
        <v>1065</v>
      </c>
      <c r="E26" s="18" t="n">
        <v>25.72048842</v>
      </c>
      <c r="F26" s="20" t="n">
        <v>1.42003998</v>
      </c>
      <c r="G26" s="18" t="n">
        <v>72.19573617</v>
      </c>
      <c r="H26" s="20" t="n">
        <v>1.43686889</v>
      </c>
      <c r="I26" s="18" t="n">
        <v>0</v>
      </c>
      <c r="J26" s="20" t="n">
        <v>0</v>
      </c>
      <c r="K26" s="18" t="n">
        <v>0</v>
      </c>
      <c r="L26" s="20" t="n">
        <v>0</v>
      </c>
      <c r="M26" s="18" t="n">
        <v>0</v>
      </c>
      <c r="N26" s="20" t="n">
        <v>0</v>
      </c>
      <c r="O26" s="18" t="n">
        <v>0</v>
      </c>
      <c r="P26" s="20" t="n">
        <v>0</v>
      </c>
      <c r="Q26" s="18" t="n">
        <v>2.0837754</v>
      </c>
      <c r="R26" s="20" t="n">
        <v>0.45532541</v>
      </c>
    </row>
    <row r="27" spans="1:18">
      <c r="A27" s="15" t="s">
        <v>585</v>
      </c>
      <c r="B27" s="17" t="n">
        <v>5299</v>
      </c>
      <c r="C27" s="18">
        <f>(4090.0/B27*100)</f>
        <v/>
      </c>
      <c r="D27" s="19" t="n">
        <v>1209</v>
      </c>
      <c r="E27" s="18" t="n">
        <v>26.46334658</v>
      </c>
      <c r="F27" s="20" t="n">
        <v>1.33059835</v>
      </c>
      <c r="G27" s="18" t="n">
        <v>69.80758985</v>
      </c>
      <c r="H27" s="20" t="n">
        <v>1.35929316</v>
      </c>
      <c r="I27" s="18" t="n">
        <v>0</v>
      </c>
      <c r="J27" s="20" t="n">
        <v>0</v>
      </c>
      <c r="K27" s="18" t="n">
        <v>0.26007344</v>
      </c>
      <c r="L27" s="20" t="n">
        <v>0.14712556</v>
      </c>
      <c r="M27" s="18" t="n">
        <v>0</v>
      </c>
      <c r="N27" s="20" t="n">
        <v>0</v>
      </c>
      <c r="O27" s="18" t="n">
        <v>0</v>
      </c>
      <c r="P27" s="20" t="n">
        <v>0</v>
      </c>
      <c r="Q27" s="18" t="n">
        <v>3.46899012</v>
      </c>
      <c r="R27" s="20" t="n">
        <v>0.54949134</v>
      </c>
    </row>
    <row r="28" spans="1:18">
      <c r="A28" s="15" t="s">
        <v>586</v>
      </c>
      <c r="B28" s="17" t="n">
        <v>7568</v>
      </c>
      <c r="C28" s="18">
        <f>(5943.0/B28*100)</f>
        <v/>
      </c>
      <c r="D28" s="19" t="n">
        <v>1625</v>
      </c>
      <c r="E28" s="18" t="n">
        <v>27.59743958</v>
      </c>
      <c r="F28" s="20" t="n">
        <v>1.32089884</v>
      </c>
      <c r="G28" s="18" t="n">
        <v>64.50998215</v>
      </c>
      <c r="H28" s="20" t="n">
        <v>1.52221028</v>
      </c>
      <c r="I28" s="18" t="n">
        <v>0</v>
      </c>
      <c r="J28" s="20" t="n">
        <v>0</v>
      </c>
      <c r="K28" s="18" t="n">
        <v>0.06687685</v>
      </c>
      <c r="L28" s="20" t="n">
        <v>0.06710133</v>
      </c>
      <c r="M28" s="18" t="n">
        <v>0</v>
      </c>
      <c r="N28" s="20" t="n">
        <v>0</v>
      </c>
      <c r="O28" s="18" t="n">
        <v>0</v>
      </c>
      <c r="P28" s="20" t="n">
        <v>0</v>
      </c>
      <c r="Q28" s="18" t="n">
        <v>7.82570143</v>
      </c>
      <c r="R28" s="20" t="n">
        <v>0.71525236</v>
      </c>
    </row>
    <row r="29" spans="1:18">
      <c r="A29" s="15" t="s">
        <v>587</v>
      </c>
      <c r="B29" s="17" t="n">
        <v>5385</v>
      </c>
      <c r="C29" s="18">
        <f>(4277.0/B29*100)</f>
        <v/>
      </c>
      <c r="D29" s="19" t="n">
        <v>1108</v>
      </c>
      <c r="E29" s="18" t="n">
        <v>21.78770897</v>
      </c>
      <c r="F29" s="20" t="n">
        <v>1.23427942</v>
      </c>
      <c r="G29" s="18" t="n">
        <v>76.65569118000001</v>
      </c>
      <c r="H29" s="20" t="n">
        <v>1.23375102</v>
      </c>
      <c r="I29" s="18" t="n">
        <v>0</v>
      </c>
      <c r="J29" s="20" t="n">
        <v>0</v>
      </c>
      <c r="K29" s="18" t="n">
        <v>0.06660658</v>
      </c>
      <c r="L29" s="20" t="n">
        <v>0.09168345</v>
      </c>
      <c r="M29" s="18" t="n">
        <v>0</v>
      </c>
      <c r="N29" s="20" t="n">
        <v>0</v>
      </c>
      <c r="O29" s="18" t="n">
        <v>0</v>
      </c>
      <c r="P29" s="20" t="n">
        <v>0</v>
      </c>
      <c r="Q29" s="18" t="n">
        <v>1.48999327</v>
      </c>
      <c r="R29" s="20" t="n">
        <v>0.39896667</v>
      </c>
    </row>
    <row r="30" spans="1:18">
      <c r="A30" s="15" t="s">
        <v>588</v>
      </c>
      <c r="B30" s="17" t="n">
        <v>4520</v>
      </c>
      <c r="C30" s="18">
        <f>(3511.0/B30*100)</f>
        <v/>
      </c>
      <c r="D30" s="19" t="n">
        <v>1009</v>
      </c>
      <c r="E30" s="18" t="n">
        <v>15.87825297</v>
      </c>
      <c r="F30" s="20" t="n">
        <v>1.27366159</v>
      </c>
      <c r="G30" s="18" t="n">
        <v>81.60622229000001</v>
      </c>
      <c r="H30" s="20" t="n">
        <v>1.39560947</v>
      </c>
      <c r="I30" s="18" t="n">
        <v>0</v>
      </c>
      <c r="J30" s="20" t="n">
        <v>0</v>
      </c>
      <c r="K30" s="18" t="n">
        <v>0.09046761</v>
      </c>
      <c r="L30" s="20" t="n">
        <v>0.09193866000000001</v>
      </c>
      <c r="M30" s="18" t="n">
        <v>0</v>
      </c>
      <c r="N30" s="20" t="n">
        <v>0</v>
      </c>
      <c r="O30" s="18" t="n">
        <v>0</v>
      </c>
      <c r="P30" s="20" t="n">
        <v>0</v>
      </c>
      <c r="Q30" s="18" t="n">
        <v>2.42505712</v>
      </c>
      <c r="R30" s="20" t="n">
        <v>0.51469406</v>
      </c>
    </row>
    <row r="31" spans="1:18">
      <c r="A31" s="15" t="s">
        <v>589</v>
      </c>
      <c r="B31" s="17" t="n">
        <v>5456</v>
      </c>
      <c r="C31" s="18">
        <f>(4245.0/B31*100)</f>
        <v/>
      </c>
      <c r="D31" s="19" t="n">
        <v>1211</v>
      </c>
      <c r="E31" s="18" t="n">
        <v>26.50028259</v>
      </c>
      <c r="F31" s="20" t="n">
        <v>1.34724533</v>
      </c>
      <c r="G31" s="18" t="n">
        <v>71.15571939</v>
      </c>
      <c r="H31" s="20" t="n">
        <v>1.39142887</v>
      </c>
      <c r="I31" s="18" t="n">
        <v>0</v>
      </c>
      <c r="J31" s="20" t="n">
        <v>0</v>
      </c>
      <c r="K31" s="18" t="n">
        <v>0.23749915</v>
      </c>
      <c r="L31" s="20" t="n">
        <v>0.13241243</v>
      </c>
      <c r="M31" s="18" t="n">
        <v>0</v>
      </c>
      <c r="N31" s="20" t="n">
        <v>0</v>
      </c>
      <c r="O31" s="18" t="n">
        <v>0</v>
      </c>
      <c r="P31" s="20" t="n">
        <v>0</v>
      </c>
      <c r="Q31" s="18" t="n">
        <v>2.10649887</v>
      </c>
      <c r="R31" s="20" t="n">
        <v>0.45918294</v>
      </c>
    </row>
    <row r="32" spans="1:18">
      <c r="A32" s="15" t="s">
        <v>590</v>
      </c>
      <c r="B32" s="17" t="n">
        <v>4478</v>
      </c>
      <c r="C32" s="18">
        <f>(3435.0/B32*100)</f>
        <v/>
      </c>
      <c r="D32" s="19" t="n">
        <v>1043</v>
      </c>
      <c r="E32" s="18" t="n">
        <v>24.20303222</v>
      </c>
      <c r="F32" s="20" t="n">
        <v>1.38357983</v>
      </c>
      <c r="G32" s="18" t="n">
        <v>74.07798925</v>
      </c>
      <c r="H32" s="20" t="n">
        <v>1.34442723</v>
      </c>
      <c r="I32" s="18" t="n">
        <v>0</v>
      </c>
      <c r="J32" s="20" t="n">
        <v>0</v>
      </c>
      <c r="K32" s="18" t="n">
        <v>0</v>
      </c>
      <c r="L32" s="20" t="n">
        <v>0</v>
      </c>
      <c r="M32" s="18" t="n">
        <v>0</v>
      </c>
      <c r="N32" s="20" t="n">
        <v>0</v>
      </c>
      <c r="O32" s="18" t="n">
        <v>0</v>
      </c>
      <c r="P32" s="20" t="n">
        <v>0</v>
      </c>
      <c r="Q32" s="18" t="n">
        <v>1.71897853</v>
      </c>
      <c r="R32" s="20" t="n">
        <v>0.37378171</v>
      </c>
    </row>
    <row r="33" spans="1:18">
      <c r="A33" s="15" t="s">
        <v>591</v>
      </c>
      <c r="B33" s="17" t="n">
        <v>7325</v>
      </c>
      <c r="C33" s="18">
        <f>(5666.0/B33*100)</f>
        <v/>
      </c>
      <c r="D33" s="19" t="n">
        <v>1659</v>
      </c>
      <c r="E33" s="18" t="n">
        <v>17.62870926</v>
      </c>
      <c r="F33" s="20" t="n">
        <v>1.24376494</v>
      </c>
      <c r="G33" s="18" t="n">
        <v>81.09677164999999</v>
      </c>
      <c r="H33" s="20" t="n">
        <v>1.28292569</v>
      </c>
      <c r="I33" s="18" t="n">
        <v>0</v>
      </c>
      <c r="J33" s="20" t="n">
        <v>0</v>
      </c>
      <c r="K33" s="18" t="n">
        <v>0.07456393</v>
      </c>
      <c r="L33" s="20" t="n">
        <v>0.08238354000000001</v>
      </c>
      <c r="M33" s="18" t="n">
        <v>0</v>
      </c>
      <c r="N33" s="20" t="n">
        <v>0</v>
      </c>
      <c r="O33" s="18" t="n">
        <v>0</v>
      </c>
      <c r="P33" s="20" t="n">
        <v>0</v>
      </c>
      <c r="Q33" s="18" t="n">
        <v>1.19995516</v>
      </c>
      <c r="R33" s="20" t="n">
        <v>0.30048177</v>
      </c>
    </row>
    <row r="34" spans="1:18">
      <c r="A34" s="15" t="s">
        <v>592</v>
      </c>
      <c r="B34" s="17" t="n">
        <v>6350</v>
      </c>
      <c r="C34" s="18">
        <f>(5007.0/B34*100)</f>
        <v/>
      </c>
      <c r="D34" s="19" t="n">
        <v>1343</v>
      </c>
      <c r="E34" s="18" t="n">
        <v>25.44815481</v>
      </c>
      <c r="F34" s="20" t="n">
        <v>1.28603742</v>
      </c>
      <c r="G34" s="18" t="n">
        <v>70.4061423</v>
      </c>
      <c r="H34" s="20" t="n">
        <v>1.4317506</v>
      </c>
      <c r="I34" s="18" t="n">
        <v>0</v>
      </c>
      <c r="J34" s="20" t="n">
        <v>0</v>
      </c>
      <c r="K34" s="18" t="n">
        <v>0</v>
      </c>
      <c r="L34" s="20" t="n">
        <v>0</v>
      </c>
      <c r="M34" s="18" t="n">
        <v>0</v>
      </c>
      <c r="N34" s="20" t="n">
        <v>0</v>
      </c>
      <c r="O34" s="18" t="n">
        <v>0</v>
      </c>
      <c r="P34" s="20" t="n">
        <v>0</v>
      </c>
      <c r="Q34" s="18" t="n">
        <v>4.14570289</v>
      </c>
      <c r="R34" s="20" t="n">
        <v>0.68797536</v>
      </c>
    </row>
    <row r="35" spans="1:18">
      <c r="A35" s="15" t="s">
        <v>593</v>
      </c>
      <c r="B35" s="17" t="n">
        <v>6406</v>
      </c>
      <c r="C35" s="18">
        <f>(5004.0/B35*100)</f>
        <v/>
      </c>
      <c r="D35" s="19" t="n">
        <v>1402</v>
      </c>
      <c r="E35" s="18" t="n">
        <v>19.79787977</v>
      </c>
      <c r="F35" s="20" t="n">
        <v>1.33416664</v>
      </c>
      <c r="G35" s="18" t="n">
        <v>76.93273594</v>
      </c>
      <c r="H35" s="20" t="n">
        <v>1.39929138</v>
      </c>
      <c r="I35" s="18" t="n">
        <v>0</v>
      </c>
      <c r="J35" s="20" t="n">
        <v>0</v>
      </c>
      <c r="K35" s="18" t="n">
        <v>0.0596882</v>
      </c>
      <c r="L35" s="20" t="n">
        <v>0.04203713</v>
      </c>
      <c r="M35" s="18" t="n">
        <v>0</v>
      </c>
      <c r="N35" s="20" t="n">
        <v>0</v>
      </c>
      <c r="O35" s="18" t="n">
        <v>0</v>
      </c>
      <c r="P35" s="20" t="n">
        <v>0</v>
      </c>
      <c r="Q35" s="18" t="n">
        <v>3.20969609</v>
      </c>
      <c r="R35" s="20" t="n">
        <v>0.5385036600000001</v>
      </c>
    </row>
    <row r="36" spans="1:18">
      <c r="A36" s="15" t="s">
        <v>594</v>
      </c>
      <c r="B36" s="17" t="n">
        <v>6736</v>
      </c>
      <c r="C36" s="18">
        <f>(5252.0/B36*100)</f>
        <v/>
      </c>
      <c r="D36" s="19" t="n">
        <v>1484</v>
      </c>
      <c r="E36" s="18" t="n">
        <v>20.64161073</v>
      </c>
      <c r="F36" s="20" t="n">
        <v>1.15021361</v>
      </c>
      <c r="G36" s="18" t="n">
        <v>75.10410964</v>
      </c>
      <c r="H36" s="20" t="n">
        <v>1.21959275</v>
      </c>
      <c r="I36" s="18" t="n">
        <v>0</v>
      </c>
      <c r="J36" s="20" t="n">
        <v>0</v>
      </c>
      <c r="K36" s="18" t="n">
        <v>0</v>
      </c>
      <c r="L36" s="20" t="n">
        <v>0</v>
      </c>
      <c r="M36" s="18" t="n">
        <v>0</v>
      </c>
      <c r="N36" s="20" t="n">
        <v>0</v>
      </c>
      <c r="O36" s="18" t="n">
        <v>0</v>
      </c>
      <c r="P36" s="20" t="n">
        <v>0</v>
      </c>
      <c r="Q36" s="18" t="n">
        <v>4.25427963</v>
      </c>
      <c r="R36" s="20" t="n">
        <v>0.49281456</v>
      </c>
    </row>
    <row r="37" spans="1:18">
      <c r="A37" s="15" t="s">
        <v>595</v>
      </c>
      <c r="B37" s="17" t="n">
        <v>5458</v>
      </c>
      <c r="C37" s="18">
        <f>(4255.0/B37*100)</f>
        <v/>
      </c>
      <c r="D37" s="19" t="n">
        <v>1203</v>
      </c>
      <c r="E37" s="18" t="n">
        <v>23.96984985</v>
      </c>
      <c r="F37" s="20" t="n">
        <v>1.32099521</v>
      </c>
      <c r="G37" s="18" t="n">
        <v>72.73040884</v>
      </c>
      <c r="H37" s="20" t="n">
        <v>1.37732721</v>
      </c>
      <c r="I37" s="18" t="n">
        <v>0</v>
      </c>
      <c r="J37" s="20" t="n">
        <v>0</v>
      </c>
      <c r="K37" s="18" t="n">
        <v>0.07229902000000001</v>
      </c>
      <c r="L37" s="20" t="n">
        <v>0.10224976</v>
      </c>
      <c r="M37" s="18" t="n">
        <v>0</v>
      </c>
      <c r="N37" s="20" t="n">
        <v>0</v>
      </c>
      <c r="O37" s="18" t="n">
        <v>0</v>
      </c>
      <c r="P37" s="20" t="n">
        <v>0</v>
      </c>
      <c r="Q37" s="18" t="n">
        <v>3.22744229</v>
      </c>
      <c r="R37" s="20" t="n">
        <v>0.51565611</v>
      </c>
    </row>
    <row r="38" spans="1:18">
      <c r="A38" s="15" t="s">
        <v>596</v>
      </c>
      <c r="B38" s="17" t="n">
        <v>5860</v>
      </c>
      <c r="C38" s="18">
        <f>(4566.0/B38*100)</f>
        <v/>
      </c>
      <c r="D38" s="19" t="n">
        <v>1294</v>
      </c>
      <c r="E38" s="18" t="n">
        <v>17.82797031</v>
      </c>
      <c r="F38" s="20" t="n">
        <v>1.38791626</v>
      </c>
      <c r="G38" s="18" t="n">
        <v>79.77586054</v>
      </c>
      <c r="H38" s="20" t="n">
        <v>1.56319964</v>
      </c>
      <c r="I38" s="18" t="n">
        <v>0</v>
      </c>
      <c r="J38" s="20" t="n">
        <v>0</v>
      </c>
      <c r="K38" s="18" t="n">
        <v>0</v>
      </c>
      <c r="L38" s="20" t="n">
        <v>0</v>
      </c>
      <c r="M38" s="18" t="n">
        <v>0</v>
      </c>
      <c r="N38" s="20" t="n">
        <v>0</v>
      </c>
      <c r="O38" s="18" t="n">
        <v>0</v>
      </c>
      <c r="P38" s="20" t="n">
        <v>0</v>
      </c>
      <c r="Q38" s="18" t="n">
        <v>2.39616916</v>
      </c>
      <c r="R38" s="20" t="n">
        <v>0.45615154</v>
      </c>
    </row>
    <row r="39" spans="1:18">
      <c r="A39" s="15" t="s">
        <v>597</v>
      </c>
      <c r="B39" s="17" t="n">
        <v>5895</v>
      </c>
      <c r="C39" s="18">
        <f>(4578.0/B39*100)</f>
        <v/>
      </c>
      <c r="D39" s="19" t="n">
        <v>1317</v>
      </c>
      <c r="E39" s="18" t="n">
        <v>30.31752046</v>
      </c>
      <c r="F39" s="20" t="n">
        <v>1.04736658</v>
      </c>
      <c r="G39" s="18" t="n">
        <v>65.78930118</v>
      </c>
      <c r="H39" s="20" t="n">
        <v>1.08269755</v>
      </c>
      <c r="I39" s="18" t="n">
        <v>0</v>
      </c>
      <c r="J39" s="20" t="n">
        <v>0</v>
      </c>
      <c r="K39" s="18" t="n">
        <v>0.30286093</v>
      </c>
      <c r="L39" s="20" t="n">
        <v>0.12394944</v>
      </c>
      <c r="M39" s="18" t="n">
        <v>0</v>
      </c>
      <c r="N39" s="20" t="n">
        <v>0</v>
      </c>
      <c r="O39" s="18" t="n">
        <v>0</v>
      </c>
      <c r="P39" s="20" t="n">
        <v>0</v>
      </c>
      <c r="Q39" s="18" t="n">
        <v>3.59031742</v>
      </c>
      <c r="R39" s="20" t="n">
        <v>0.49068731</v>
      </c>
    </row>
    <row r="40" spans="1:18">
      <c r="A40" s="15" t="s">
        <v>598</v>
      </c>
      <c r="B40" s="17" t="n">
        <v>14157</v>
      </c>
      <c r="C40" s="18">
        <f>(11030.0/B40*100)</f>
        <v/>
      </c>
      <c r="D40" s="19" t="n">
        <v>3127</v>
      </c>
      <c r="E40" s="18" t="n">
        <v>16.79893405</v>
      </c>
      <c r="F40" s="20" t="n">
        <v>1.13410938</v>
      </c>
      <c r="G40" s="18" t="n">
        <v>80.82254</v>
      </c>
      <c r="H40" s="20" t="n">
        <v>1.20215657</v>
      </c>
      <c r="I40" s="18" t="n">
        <v>0</v>
      </c>
      <c r="J40" s="20" t="n">
        <v>0</v>
      </c>
      <c r="K40" s="18" t="n">
        <v>0</v>
      </c>
      <c r="L40" s="20" t="n">
        <v>0</v>
      </c>
      <c r="M40" s="18" t="n">
        <v>0</v>
      </c>
      <c r="N40" s="20" t="n">
        <v>0</v>
      </c>
      <c r="O40" s="18" t="n">
        <v>0</v>
      </c>
      <c r="P40" s="20" t="n">
        <v>0</v>
      </c>
      <c r="Q40" s="18" t="n">
        <v>2.37852595</v>
      </c>
      <c r="R40" s="20" t="n">
        <v>0.40787904</v>
      </c>
    </row>
    <row r="41" spans="1:18">
      <c r="A41" s="15" t="s">
        <v>599</v>
      </c>
      <c r="B41" s="17" t="n">
        <v>5712</v>
      </c>
      <c r="C41" s="18">
        <f>(4491.0/B41*100)</f>
        <v/>
      </c>
      <c r="D41" s="19" t="n">
        <v>1221</v>
      </c>
      <c r="E41" s="18" t="n">
        <v>20.52488598</v>
      </c>
      <c r="F41" s="20" t="n">
        <v>1.54319641</v>
      </c>
      <c r="G41" s="18" t="n">
        <v>76.62901273999999</v>
      </c>
      <c r="H41" s="20" t="n">
        <v>1.7456339</v>
      </c>
      <c r="I41" s="18" t="n">
        <v>0</v>
      </c>
      <c r="J41" s="20" t="n">
        <v>0</v>
      </c>
      <c r="K41" s="18" t="n">
        <v>0</v>
      </c>
      <c r="L41" s="20" t="n">
        <v>0</v>
      </c>
      <c r="M41" s="18" t="n">
        <v>0</v>
      </c>
      <c r="N41" s="20" t="n">
        <v>0</v>
      </c>
      <c r="O41" s="18" t="n">
        <v>0</v>
      </c>
      <c r="P41" s="20" t="n">
        <v>0</v>
      </c>
      <c r="Q41" s="18" t="n">
        <v>2.84610128</v>
      </c>
      <c r="R41" s="20" t="n">
        <v>0.54002857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(18333.0/B46*100)</f>
        <v/>
      </c>
      <c r="D46" s="19" t="n">
        <v>4808</v>
      </c>
      <c r="E46" s="18" t="n">
        <v>33.1003313</v>
      </c>
      <c r="F46" s="20" t="n">
        <v>0.96974947</v>
      </c>
      <c r="G46" s="18" t="n">
        <v>56.12364424</v>
      </c>
      <c r="H46" s="20" t="n">
        <v>1.18311785</v>
      </c>
      <c r="I46" s="18" t="n">
        <v>0</v>
      </c>
      <c r="J46" s="20" t="n">
        <v>0</v>
      </c>
      <c r="K46" s="18" t="n">
        <v>0.46386829</v>
      </c>
      <c r="L46" s="20" t="n">
        <v>0.16863922</v>
      </c>
      <c r="M46" s="18" t="n">
        <v>0</v>
      </c>
      <c r="N46" s="20" t="n">
        <v>0</v>
      </c>
      <c r="O46" s="18" t="n">
        <v>0</v>
      </c>
      <c r="P46" s="20" t="n">
        <v>0</v>
      </c>
      <c r="Q46" s="18" t="n">
        <v>10.31215617</v>
      </c>
      <c r="R46" s="20" t="n">
        <v>0.80339387</v>
      </c>
    </row>
    <row r="47" spans="1:18">
      <c r="A47" s="15" t="s">
        <v>606</v>
      </c>
      <c r="B47" s="17" t="n">
        <v>5928</v>
      </c>
      <c r="C47" s="18">
        <f>(4668.0/B47*100)</f>
        <v/>
      </c>
      <c r="D47" s="19" t="n">
        <v>1260</v>
      </c>
      <c r="E47" s="18" t="n">
        <v>31.38287321</v>
      </c>
      <c r="F47" s="20" t="n">
        <v>1.47426969</v>
      </c>
      <c r="G47" s="18" t="n">
        <v>60.82956741</v>
      </c>
      <c r="H47" s="20" t="n">
        <v>1.78713361</v>
      </c>
      <c r="I47" s="18" t="n">
        <v>0</v>
      </c>
      <c r="J47" s="20" t="n">
        <v>0</v>
      </c>
      <c r="K47" s="18" t="n">
        <v>0.15639314</v>
      </c>
      <c r="L47" s="20" t="n">
        <v>0.12023023</v>
      </c>
      <c r="M47" s="18" t="n">
        <v>0</v>
      </c>
      <c r="N47" s="20" t="n">
        <v>0</v>
      </c>
      <c r="O47" s="18" t="n">
        <v>0</v>
      </c>
      <c r="P47" s="20" t="n">
        <v>0</v>
      </c>
      <c r="Q47" s="18" t="n">
        <v>7.63116625</v>
      </c>
      <c r="R47" s="20" t="n">
        <v>1.02872315</v>
      </c>
    </row>
    <row r="48" spans="1:18">
      <c r="A48" s="15" t="s">
        <v>607</v>
      </c>
      <c r="B48" s="17" t="n">
        <v>9841</v>
      </c>
      <c r="C48" s="18">
        <f>(7661.0/B48*100)</f>
        <v/>
      </c>
      <c r="D48" s="19" t="n">
        <v>2180</v>
      </c>
      <c r="E48" s="18" t="n">
        <v>21.07373334</v>
      </c>
      <c r="F48" s="20" t="n">
        <v>1.24980261</v>
      </c>
      <c r="G48" s="18" t="n">
        <v>75.03880511</v>
      </c>
      <c r="H48" s="20" t="n">
        <v>1.38166239</v>
      </c>
      <c r="I48" s="18" t="n">
        <v>0</v>
      </c>
      <c r="J48" s="20" t="n">
        <v>0</v>
      </c>
      <c r="K48" s="18" t="n">
        <v>0.36290032</v>
      </c>
      <c r="L48" s="20" t="n">
        <v>0.1635304</v>
      </c>
      <c r="M48" s="18" t="n">
        <v>0</v>
      </c>
      <c r="N48" s="20" t="n">
        <v>0</v>
      </c>
      <c r="O48" s="18" t="n">
        <v>0</v>
      </c>
      <c r="P48" s="20" t="n">
        <v>0</v>
      </c>
      <c r="Q48" s="18" t="n">
        <v>3.52456122</v>
      </c>
      <c r="R48" s="20" t="n">
        <v>0.58084083</v>
      </c>
    </row>
    <row r="49" spans="1:18">
      <c r="A49" s="15" t="s">
        <v>608</v>
      </c>
      <c r="B49" s="17" t="n">
        <v>11795</v>
      </c>
      <c r="C49" s="18">
        <f>(9223.0/B49*100)</f>
        <v/>
      </c>
      <c r="D49" s="19" t="n">
        <v>2572</v>
      </c>
      <c r="E49" s="18" t="n">
        <v>32.72370904</v>
      </c>
      <c r="F49" s="20" t="n">
        <v>1.26724267</v>
      </c>
      <c r="G49" s="18" t="n">
        <v>59.27267956</v>
      </c>
      <c r="H49" s="20" t="n">
        <v>1.53426569</v>
      </c>
      <c r="I49" s="18" t="n">
        <v>0</v>
      </c>
      <c r="J49" s="20" t="n">
        <v>0</v>
      </c>
      <c r="K49" s="18" t="n">
        <v>0.22494337</v>
      </c>
      <c r="L49" s="20" t="n">
        <v>0.15304061</v>
      </c>
      <c r="M49" s="18" t="n">
        <v>0</v>
      </c>
      <c r="N49" s="20" t="n">
        <v>0</v>
      </c>
      <c r="O49" s="18" t="n">
        <v>0</v>
      </c>
      <c r="P49" s="20" t="n">
        <v>0</v>
      </c>
      <c r="Q49" s="18" t="n">
        <v>7.77866803</v>
      </c>
      <c r="R49" s="20" t="n">
        <v>1.00414059</v>
      </c>
    </row>
    <row r="50" spans="1:18">
      <c r="A50" s="15" t="s">
        <v>609</v>
      </c>
      <c r="B50" s="17" t="n">
        <v>6866</v>
      </c>
      <c r="C50" s="18">
        <f>(5523.0/B50*100)</f>
        <v/>
      </c>
      <c r="D50" s="19" t="n">
        <v>1343</v>
      </c>
      <c r="E50" s="18" t="n">
        <v>32.48762725</v>
      </c>
      <c r="F50" s="20" t="n">
        <v>1.34919308</v>
      </c>
      <c r="G50" s="18" t="n">
        <v>60.66717667</v>
      </c>
      <c r="H50" s="20" t="n">
        <v>1.51757557</v>
      </c>
      <c r="I50" s="18" t="n">
        <v>0</v>
      </c>
      <c r="J50" s="20" t="n">
        <v>0</v>
      </c>
      <c r="K50" s="18" t="n">
        <v>0.10903648</v>
      </c>
      <c r="L50" s="20" t="n">
        <v>0.09775345000000001</v>
      </c>
      <c r="M50" s="18" t="n">
        <v>0</v>
      </c>
      <c r="N50" s="20" t="n">
        <v>0</v>
      </c>
      <c r="O50" s="18" t="n">
        <v>0</v>
      </c>
      <c r="P50" s="20" t="n">
        <v>0</v>
      </c>
      <c r="Q50" s="18" t="n">
        <v>6.7361596</v>
      </c>
      <c r="R50" s="20" t="n">
        <v>0.90933692</v>
      </c>
    </row>
    <row r="51" spans="1:18">
      <c r="A51" s="15" t="s">
        <v>610</v>
      </c>
      <c r="B51" s="17" t="n">
        <v>5809</v>
      </c>
      <c r="C51" s="18">
        <f>(4475.0/B51*100)</f>
        <v/>
      </c>
      <c r="D51" s="19" t="n">
        <v>1334</v>
      </c>
      <c r="E51" s="18" t="n">
        <v>23.7582703</v>
      </c>
      <c r="F51" s="20" t="n">
        <v>1.27154655</v>
      </c>
      <c r="G51" s="18" t="n">
        <v>72.15563484</v>
      </c>
      <c r="H51" s="20" t="n">
        <v>1.45178095</v>
      </c>
      <c r="I51" s="18" t="n">
        <v>0</v>
      </c>
      <c r="J51" s="20" t="n">
        <v>0</v>
      </c>
      <c r="K51" s="18" t="n">
        <v>0</v>
      </c>
      <c r="L51" s="20" t="n">
        <v>0</v>
      </c>
      <c r="M51" s="18" t="n">
        <v>0</v>
      </c>
      <c r="N51" s="20" t="n">
        <v>0</v>
      </c>
      <c r="O51" s="18" t="n">
        <v>0</v>
      </c>
      <c r="P51" s="20" t="n">
        <v>0</v>
      </c>
      <c r="Q51" s="18" t="n">
        <v>4.08609486</v>
      </c>
      <c r="R51" s="20" t="n">
        <v>0.58697554</v>
      </c>
    </row>
    <row r="52" spans="1:18">
      <c r="A52" s="15" t="s">
        <v>611</v>
      </c>
      <c r="B52" s="17" t="n">
        <v>5571</v>
      </c>
      <c r="C52" s="18">
        <f>(4333.0/B52*100)</f>
        <v/>
      </c>
      <c r="D52" s="19" t="n">
        <v>1238</v>
      </c>
      <c r="E52" s="18" t="n">
        <v>24.49246254</v>
      </c>
      <c r="F52" s="20" t="n">
        <v>1.14278508</v>
      </c>
      <c r="G52" s="18" t="n">
        <v>70.21683529000001</v>
      </c>
      <c r="H52" s="20" t="n">
        <v>1.328448</v>
      </c>
      <c r="I52" s="18" t="n">
        <v>0</v>
      </c>
      <c r="J52" s="20" t="n">
        <v>0</v>
      </c>
      <c r="K52" s="18" t="n">
        <v>0.11494182</v>
      </c>
      <c r="L52" s="20" t="n">
        <v>0.07921274</v>
      </c>
      <c r="M52" s="18" t="n">
        <v>0</v>
      </c>
      <c r="N52" s="20" t="n">
        <v>0</v>
      </c>
      <c r="O52" s="18" t="n">
        <v>0</v>
      </c>
      <c r="P52" s="20" t="n">
        <v>0</v>
      </c>
      <c r="Q52" s="18" t="n">
        <v>5.17576035</v>
      </c>
      <c r="R52" s="20" t="n">
        <v>0.59191823</v>
      </c>
    </row>
    <row r="53" spans="1:18">
      <c r="A53" s="15" t="s">
        <v>612</v>
      </c>
      <c r="B53" s="17" t="n">
        <v>4740</v>
      </c>
      <c r="C53" s="18">
        <f>(3689.0/B53*100)</f>
        <v/>
      </c>
      <c r="D53" s="19" t="n">
        <v>1051</v>
      </c>
      <c r="E53" s="18" t="n">
        <v>33.33792509</v>
      </c>
      <c r="F53" s="20" t="n">
        <v>1.68950204</v>
      </c>
      <c r="G53" s="18" t="n">
        <v>40.77629213</v>
      </c>
      <c r="H53" s="20" t="n">
        <v>1.97801045</v>
      </c>
      <c r="I53" s="18" t="n">
        <v>0</v>
      </c>
      <c r="J53" s="20" t="n">
        <v>0</v>
      </c>
      <c r="K53" s="18" t="n">
        <v>3.25683418</v>
      </c>
      <c r="L53" s="20" t="n">
        <v>0.64948721</v>
      </c>
      <c r="M53" s="18" t="n">
        <v>0</v>
      </c>
      <c r="N53" s="20" t="n">
        <v>0</v>
      </c>
      <c r="O53" s="18" t="n">
        <v>0</v>
      </c>
      <c r="P53" s="20" t="n">
        <v>0</v>
      </c>
      <c r="Q53" s="18" t="n">
        <v>22.6289486</v>
      </c>
      <c r="R53" s="20" t="n">
        <v>1.61856621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(4140.0/B55*100)</f>
        <v/>
      </c>
      <c r="D55" s="19" t="n">
        <v>1219</v>
      </c>
      <c r="E55" s="18" t="n">
        <v>21.76411481</v>
      </c>
      <c r="F55" s="20" t="n">
        <v>1.16765753</v>
      </c>
      <c r="G55" s="18" t="n">
        <v>77.00404161</v>
      </c>
      <c r="H55" s="20" t="n">
        <v>1.20111245</v>
      </c>
      <c r="I55" s="18" t="n">
        <v>0</v>
      </c>
      <c r="J55" s="20" t="n">
        <v>0</v>
      </c>
      <c r="K55" s="18" t="n">
        <v>0.15952865</v>
      </c>
      <c r="L55" s="20" t="n">
        <v>0.15413179</v>
      </c>
      <c r="M55" s="18" t="n">
        <v>0</v>
      </c>
      <c r="N55" s="20" t="n">
        <v>0</v>
      </c>
      <c r="O55" s="18" t="n">
        <v>0</v>
      </c>
      <c r="P55" s="20" t="n">
        <v>0</v>
      </c>
      <c r="Q55" s="18" t="n">
        <v>1.07231493</v>
      </c>
      <c r="R55" s="20" t="n">
        <v>0.28480395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(5075.0/B61*100)</f>
        <v/>
      </c>
      <c r="D61" s="19" t="n">
        <v>1450</v>
      </c>
      <c r="E61" s="18" t="n">
        <v>25.26784416</v>
      </c>
      <c r="F61" s="20" t="n">
        <v>1.30782212</v>
      </c>
      <c r="G61" s="18" t="n">
        <v>71.4016993</v>
      </c>
      <c r="H61" s="20" t="n">
        <v>1.31897325</v>
      </c>
      <c r="I61" s="18" t="n">
        <v>0</v>
      </c>
      <c r="J61" s="20" t="n">
        <v>0</v>
      </c>
      <c r="K61" s="18" t="n">
        <v>0.08977999</v>
      </c>
      <c r="L61" s="20" t="n">
        <v>0.09221989999999999</v>
      </c>
      <c r="M61" s="18" t="n">
        <v>0</v>
      </c>
      <c r="N61" s="20" t="n">
        <v>0</v>
      </c>
      <c r="O61" s="18" t="n">
        <v>0</v>
      </c>
      <c r="P61" s="20" t="n">
        <v>0</v>
      </c>
      <c r="Q61" s="18" t="n">
        <v>3.24067656</v>
      </c>
      <c r="R61" s="20" t="n">
        <v>0.50385882</v>
      </c>
    </row>
    <row r="62" spans="1:18">
      <c r="A62" s="15" t="s">
        <v>622</v>
      </c>
      <c r="B62" s="17" t="n">
        <v>4476</v>
      </c>
      <c r="C62" s="18">
        <f>(3512.0/B62*100)</f>
        <v/>
      </c>
      <c r="D62" s="19" t="n">
        <v>964</v>
      </c>
      <c r="E62" s="18" t="n">
        <v>20.13405613</v>
      </c>
      <c r="F62" s="20" t="n">
        <v>1.3529356</v>
      </c>
      <c r="G62" s="18" t="n">
        <v>79.44364754999999</v>
      </c>
      <c r="H62" s="20" t="n">
        <v>1.3613586</v>
      </c>
      <c r="I62" s="18" t="n">
        <v>0</v>
      </c>
      <c r="J62" s="20" t="n">
        <v>0</v>
      </c>
      <c r="K62" s="18" t="n">
        <v>0</v>
      </c>
      <c r="L62" s="20" t="n">
        <v>0</v>
      </c>
      <c r="M62" s="18" t="n">
        <v>0</v>
      </c>
      <c r="N62" s="20" t="n">
        <v>0</v>
      </c>
      <c r="O62" s="18" t="n">
        <v>0</v>
      </c>
      <c r="P62" s="20" t="n">
        <v>0</v>
      </c>
      <c r="Q62" s="18" t="n">
        <v>0.42229631</v>
      </c>
      <c r="R62" s="20" t="n">
        <v>0.21121523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(4413.0/B67*100)</f>
        <v/>
      </c>
      <c r="D67" s="19" t="n">
        <v>1252</v>
      </c>
      <c r="E67" s="18" t="n">
        <v>39.36590354</v>
      </c>
      <c r="F67" s="20" t="n">
        <v>1.28413067</v>
      </c>
      <c r="G67" s="18" t="n">
        <v>51.65938761</v>
      </c>
      <c r="H67" s="20" t="n">
        <v>1.29993251</v>
      </c>
      <c r="I67" s="18" t="n">
        <v>0</v>
      </c>
      <c r="J67" s="20" t="n">
        <v>0</v>
      </c>
      <c r="K67" s="18" t="n">
        <v>0.25945553</v>
      </c>
      <c r="L67" s="20" t="n">
        <v>0.15199231</v>
      </c>
      <c r="M67" s="18" t="n">
        <v>0</v>
      </c>
      <c r="N67" s="20" t="n">
        <v>0</v>
      </c>
      <c r="O67" s="18" t="n">
        <v>0</v>
      </c>
      <c r="P67" s="20" t="n">
        <v>0</v>
      </c>
      <c r="Q67" s="18" t="n">
        <v>8.71525332</v>
      </c>
      <c r="R67" s="20" t="n">
        <v>0.7072222</v>
      </c>
    </row>
    <row r="68" spans="1:18">
      <c r="A68" s="15" t="s">
        <v>628</v>
      </c>
      <c r="B68" s="17" t="n">
        <v>6971</v>
      </c>
      <c r="C68" s="18">
        <f>(5479.0/B68*100)</f>
        <v/>
      </c>
      <c r="D68" s="19" t="n">
        <v>1492</v>
      </c>
      <c r="E68" s="18" t="n">
        <v>37.59176487</v>
      </c>
      <c r="F68" s="20" t="n">
        <v>1.21906974</v>
      </c>
      <c r="G68" s="18" t="n">
        <v>52.52840556</v>
      </c>
      <c r="H68" s="20" t="n">
        <v>1.28976396</v>
      </c>
      <c r="I68" s="18" t="n">
        <v>0</v>
      </c>
      <c r="J68" s="20" t="n">
        <v>0</v>
      </c>
      <c r="K68" s="18" t="n">
        <v>0</v>
      </c>
      <c r="L68" s="20" t="n">
        <v>0</v>
      </c>
      <c r="M68" s="18" t="n">
        <v>0</v>
      </c>
      <c r="N68" s="20" t="n">
        <v>0</v>
      </c>
      <c r="O68" s="18" t="n">
        <v>0</v>
      </c>
      <c r="P68" s="20" t="n">
        <v>0</v>
      </c>
      <c r="Q68" s="18" t="n">
        <v>9.879829580000001</v>
      </c>
      <c r="R68" s="20" t="n">
        <v>0.90825185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(9435.0/B70*100)</f>
        <v/>
      </c>
      <c r="D70" s="19" t="n">
        <v>2648</v>
      </c>
      <c r="E70" s="18" t="n">
        <v>34.1022075</v>
      </c>
      <c r="F70" s="20" t="n">
        <v>0.95267396</v>
      </c>
      <c r="G70" s="18" t="n">
        <v>59.85249171</v>
      </c>
      <c r="H70" s="20" t="n">
        <v>0.96177031</v>
      </c>
      <c r="I70" s="18" t="n">
        <v>0</v>
      </c>
      <c r="J70" s="20" t="n">
        <v>0</v>
      </c>
      <c r="K70" s="18" t="n">
        <v>0.31591011</v>
      </c>
      <c r="L70" s="20" t="n">
        <v>0.09880223</v>
      </c>
      <c r="M70" s="18" t="n">
        <v>0</v>
      </c>
      <c r="N70" s="20" t="n">
        <v>0</v>
      </c>
      <c r="O70" s="18" t="n">
        <v>0</v>
      </c>
      <c r="P70" s="20" t="n">
        <v>0</v>
      </c>
      <c r="Q70" s="18" t="n">
        <v>5.72939068</v>
      </c>
      <c r="R70" s="20" t="n">
        <v>0.43695237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(4736.0/B72*100)</f>
        <v/>
      </c>
      <c r="D72" s="19" t="n">
        <v>1300</v>
      </c>
      <c r="E72" s="18" t="n">
        <v>26.00487834</v>
      </c>
      <c r="F72" s="20" t="n">
        <v>1.63871852</v>
      </c>
      <c r="G72" s="18" t="n">
        <v>70.53272482</v>
      </c>
      <c r="H72" s="20" t="n">
        <v>1.70559247</v>
      </c>
      <c r="I72" s="18" t="n">
        <v>0</v>
      </c>
      <c r="J72" s="20" t="n">
        <v>0</v>
      </c>
      <c r="K72" s="18" t="n">
        <v>0</v>
      </c>
      <c r="L72" s="20" t="n">
        <v>0</v>
      </c>
      <c r="M72" s="18" t="n">
        <v>0</v>
      </c>
      <c r="N72" s="20" t="n">
        <v>0</v>
      </c>
      <c r="O72" s="18" t="n">
        <v>0</v>
      </c>
      <c r="P72" s="20" t="n">
        <v>0</v>
      </c>
      <c r="Q72" s="18" t="n">
        <v>3.46239684</v>
      </c>
      <c r="R72" s="20" t="n">
        <v>0.51225628</v>
      </c>
    </row>
    <row r="73" spans="1:18">
      <c r="A73" s="15" t="s">
        <v>633</v>
      </c>
      <c r="B73" s="17" t="n">
        <v>6115</v>
      </c>
      <c r="C73" s="18">
        <f>(4764.0/B73*100)</f>
        <v/>
      </c>
      <c r="D73" s="19" t="n">
        <v>1351</v>
      </c>
      <c r="E73" s="18" t="n">
        <v>15.47891851</v>
      </c>
      <c r="F73" s="20" t="n">
        <v>1.07836058</v>
      </c>
      <c r="G73" s="18" t="n">
        <v>83.85398508999999</v>
      </c>
      <c r="H73" s="20" t="n">
        <v>1.03326027</v>
      </c>
      <c r="I73" s="18" t="n">
        <v>0</v>
      </c>
      <c r="J73" s="20" t="n">
        <v>0</v>
      </c>
      <c r="K73" s="18" t="n">
        <v>0.10377575</v>
      </c>
      <c r="L73" s="20" t="n">
        <v>0.0752845</v>
      </c>
      <c r="M73" s="18" t="n">
        <v>0</v>
      </c>
      <c r="N73" s="20" t="n">
        <v>0</v>
      </c>
      <c r="O73" s="18" t="n">
        <v>0</v>
      </c>
      <c r="P73" s="20" t="n">
        <v>0</v>
      </c>
      <c r="Q73" s="18" t="n">
        <v>0.56332065</v>
      </c>
      <c r="R73" s="20" t="n">
        <v>0.19909043</v>
      </c>
    </row>
    <row r="74" spans="1:18">
      <c r="A74" s="15" t="s">
        <v>634</v>
      </c>
      <c r="B74" s="17" t="n">
        <v>7708</v>
      </c>
      <c r="C74" s="18">
        <f>(5938.0/B74*100)</f>
        <v/>
      </c>
      <c r="D74" s="19" t="n">
        <v>1770</v>
      </c>
      <c r="E74" s="18" t="n">
        <v>16.77947001</v>
      </c>
      <c r="F74" s="20" t="n">
        <v>0.9408539299999999</v>
      </c>
      <c r="G74" s="18" t="n">
        <v>82.21176658</v>
      </c>
      <c r="H74" s="20" t="n">
        <v>0.96147524</v>
      </c>
      <c r="I74" s="18" t="n">
        <v>0</v>
      </c>
      <c r="J74" s="20" t="n">
        <v>0</v>
      </c>
      <c r="K74" s="18" t="n">
        <v>0.08060167</v>
      </c>
      <c r="L74" s="20" t="n">
        <v>0.05812557</v>
      </c>
      <c r="M74" s="18" t="n">
        <v>0</v>
      </c>
      <c r="N74" s="20" t="n">
        <v>0</v>
      </c>
      <c r="O74" s="18" t="n">
        <v>0</v>
      </c>
      <c r="P74" s="20" t="n">
        <v>0</v>
      </c>
      <c r="Q74" s="18" t="n">
        <v>0.92816174</v>
      </c>
      <c r="R74" s="20" t="n">
        <v>0.20244136</v>
      </c>
    </row>
    <row r="75" spans="1:18">
      <c r="A75" s="15" t="s">
        <v>635</v>
      </c>
      <c r="B75" s="17" t="n">
        <v>8249</v>
      </c>
      <c r="C75" s="18">
        <f>(6367.0/B75*100)</f>
        <v/>
      </c>
      <c r="D75" s="19" t="n">
        <v>1882</v>
      </c>
      <c r="E75" s="18" t="n">
        <v>30.53294293</v>
      </c>
      <c r="F75" s="20" t="n">
        <v>1.43887431</v>
      </c>
      <c r="G75" s="18" t="n">
        <v>63.57590906</v>
      </c>
      <c r="H75" s="20" t="n">
        <v>1.6579351</v>
      </c>
      <c r="I75" s="18" t="n">
        <v>0</v>
      </c>
      <c r="J75" s="20" t="n">
        <v>0</v>
      </c>
      <c r="K75" s="18" t="n">
        <v>0</v>
      </c>
      <c r="L75" s="20" t="n">
        <v>0</v>
      </c>
      <c r="M75" s="18" t="n">
        <v>0</v>
      </c>
      <c r="N75" s="20" t="n">
        <v>0</v>
      </c>
      <c r="O75" s="18" t="n">
        <v>0</v>
      </c>
      <c r="P75" s="20" t="n">
        <v>0</v>
      </c>
      <c r="Q75" s="18" t="n">
        <v>5.89114801</v>
      </c>
      <c r="R75" s="20" t="n">
        <v>0.78264639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(4230.0/B77*100)</f>
        <v/>
      </c>
      <c r="D77" s="19" t="n">
        <v>1145</v>
      </c>
      <c r="E77" s="18" t="n">
        <v>35.66283673</v>
      </c>
      <c r="F77" s="20" t="n">
        <v>1.78489847</v>
      </c>
      <c r="G77" s="18" t="n">
        <v>57.15078003</v>
      </c>
      <c r="H77" s="20" t="n">
        <v>1.73028469</v>
      </c>
      <c r="I77" s="18" t="n">
        <v>0</v>
      </c>
      <c r="J77" s="20" t="n">
        <v>0</v>
      </c>
      <c r="K77" s="18" t="n">
        <v>0.78712179</v>
      </c>
      <c r="L77" s="20" t="n">
        <v>0.29501412</v>
      </c>
      <c r="M77" s="18" t="n">
        <v>0</v>
      </c>
      <c r="N77" s="20" t="n">
        <v>0</v>
      </c>
      <c r="O77" s="18" t="n">
        <v>0</v>
      </c>
      <c r="P77" s="20" t="n">
        <v>0</v>
      </c>
      <c r="Q77" s="18" t="n">
        <v>6.39926146</v>
      </c>
      <c r="R77" s="20" t="n">
        <v>0.92947916</v>
      </c>
    </row>
    <row r="78" spans="1:18">
      <c r="A78" s="15" t="s">
        <v>638</v>
      </c>
      <c r="B78" s="17" t="n">
        <v>14167</v>
      </c>
      <c r="C78" s="18">
        <f>(11061.0/B78*100)</f>
        <v/>
      </c>
      <c r="D78" s="19" t="n">
        <v>3106</v>
      </c>
      <c r="E78" s="18" t="n">
        <v>30.93902503</v>
      </c>
      <c r="F78" s="20" t="n">
        <v>1.10780474</v>
      </c>
      <c r="G78" s="18" t="n">
        <v>64.98915432</v>
      </c>
      <c r="H78" s="20" t="n">
        <v>1.14428351</v>
      </c>
      <c r="I78" s="18" t="n">
        <v>0</v>
      </c>
      <c r="J78" s="20" t="n">
        <v>0</v>
      </c>
      <c r="K78" s="18" t="n">
        <v>0.26094331</v>
      </c>
      <c r="L78" s="20" t="n">
        <v>0.10008524</v>
      </c>
      <c r="M78" s="18" t="n">
        <v>0</v>
      </c>
      <c r="N78" s="20" t="n">
        <v>0</v>
      </c>
      <c r="O78" s="18" t="n">
        <v>0</v>
      </c>
      <c r="P78" s="20" t="n">
        <v>0</v>
      </c>
      <c r="Q78" s="18" t="n">
        <v>3.81087735</v>
      </c>
      <c r="R78" s="20" t="n">
        <v>0.46515943</v>
      </c>
    </row>
    <row r="79" spans="1:18">
      <c r="A79" s="15" t="s">
        <v>639</v>
      </c>
      <c r="B79" s="17" t="n">
        <v>6062</v>
      </c>
      <c r="C79" s="18">
        <f>(4736.0/B79*100)</f>
        <v/>
      </c>
      <c r="D79" s="19" t="n">
        <v>1326</v>
      </c>
      <c r="E79" s="18" t="n">
        <v>30.17311394</v>
      </c>
      <c r="F79" s="20" t="n">
        <v>1.46698885</v>
      </c>
      <c r="G79" s="18" t="n">
        <v>63.15313249</v>
      </c>
      <c r="H79" s="20" t="n">
        <v>1.562624</v>
      </c>
      <c r="I79" s="18" t="n">
        <v>0</v>
      </c>
      <c r="J79" s="20" t="n">
        <v>0</v>
      </c>
      <c r="K79" s="18" t="n">
        <v>0.26359241</v>
      </c>
      <c r="L79" s="20" t="n">
        <v>0.13903427</v>
      </c>
      <c r="M79" s="18" t="n">
        <v>0</v>
      </c>
      <c r="N79" s="20" t="n">
        <v>0</v>
      </c>
      <c r="O79" s="18" t="n">
        <v>0</v>
      </c>
      <c r="P79" s="20" t="n">
        <v>0</v>
      </c>
      <c r="Q79" s="18" t="n">
        <v>6.41016116</v>
      </c>
      <c r="R79" s="20" t="n">
        <v>0.5759924199999999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(25134.0/B82*100)</f>
        <v/>
      </c>
      <c r="D82" s="19" t="n">
        <v>7196</v>
      </c>
      <c r="E82" s="18" t="n">
        <v>20.85143624</v>
      </c>
      <c r="F82" s="20" t="n">
        <v>0.67769089</v>
      </c>
      <c r="G82" s="18" t="n">
        <v>75.02911530999999</v>
      </c>
      <c r="H82" s="20" t="n">
        <v>0.73982232</v>
      </c>
      <c r="I82" s="18" t="n">
        <v>0</v>
      </c>
      <c r="J82" s="20" t="n">
        <v>0</v>
      </c>
      <c r="K82" s="18" t="n">
        <v>0.09643536</v>
      </c>
      <c r="L82" s="20" t="n">
        <v>0.06450881</v>
      </c>
      <c r="M82" s="18" t="n">
        <v>0</v>
      </c>
      <c r="N82" s="20" t="n">
        <v>0</v>
      </c>
      <c r="O82" s="18" t="n">
        <v>0</v>
      </c>
      <c r="P82" s="20" t="n">
        <v>0</v>
      </c>
      <c r="Q82" s="18" t="n">
        <v>4.02301309</v>
      </c>
      <c r="R82" s="20" t="n">
        <v>0.33874422</v>
      </c>
    </row>
    <row r="83" spans="1:18">
      <c r="A83" s="15" t="s">
        <v>643</v>
      </c>
      <c r="B83" s="17" t="n">
        <v>1652</v>
      </c>
      <c r="C83" s="18">
        <f>(1283.0/B83*100)</f>
        <v/>
      </c>
      <c r="D83" s="19" t="n">
        <v>369</v>
      </c>
      <c r="E83" s="18" t="n">
        <v>12.76316756</v>
      </c>
      <c r="F83" s="20" t="n">
        <v>1.89084203</v>
      </c>
      <c r="G83" s="18" t="n">
        <v>84.33488223000001</v>
      </c>
      <c r="H83" s="20" t="n">
        <v>2.05793422</v>
      </c>
      <c r="I83" s="18" t="n">
        <v>0</v>
      </c>
      <c r="J83" s="20" t="n">
        <v>0</v>
      </c>
      <c r="K83" s="18" t="n">
        <v>0</v>
      </c>
      <c r="L83" s="20" t="n">
        <v>0</v>
      </c>
      <c r="M83" s="18" t="n">
        <v>0</v>
      </c>
      <c r="N83" s="20" t="n">
        <v>0</v>
      </c>
      <c r="O83" s="18" t="n">
        <v>0</v>
      </c>
      <c r="P83" s="20" t="n">
        <v>0</v>
      </c>
      <c r="Q83" s="18" t="n">
        <v>2.90195021</v>
      </c>
      <c r="R83" s="20" t="n">
        <v>1.04519323</v>
      </c>
    </row>
    <row r="84" spans="1:18">
      <c r="A84" s="23" t="s">
        <v>644</v>
      </c>
      <c r="B84" s="24" t="n">
        <v>1887</v>
      </c>
      <c r="C84" s="25">
        <f>(1477.0/B84*100)</f>
        <v/>
      </c>
      <c r="D84" s="19" t="n">
        <v>410</v>
      </c>
      <c r="E84" s="18" t="n">
        <v>17.7098576</v>
      </c>
      <c r="F84" s="20" t="n">
        <v>1.7886226</v>
      </c>
      <c r="G84" s="18" t="n">
        <v>80.16741927</v>
      </c>
      <c r="H84" s="20" t="n">
        <v>1.7076624</v>
      </c>
      <c r="I84" s="18" t="n">
        <v>0</v>
      </c>
      <c r="J84" s="20" t="n">
        <v>0</v>
      </c>
      <c r="K84" s="18" t="n">
        <v>0</v>
      </c>
      <c r="L84" s="20" t="n">
        <v>0</v>
      </c>
      <c r="M84" s="18" t="n">
        <v>0</v>
      </c>
      <c r="N84" s="20" t="n">
        <v>0</v>
      </c>
      <c r="O84" s="18" t="n">
        <v>0</v>
      </c>
      <c r="P84" s="20" t="n">
        <v>0</v>
      </c>
      <c r="Q84" s="18" t="n">
        <v>2.12272313</v>
      </c>
      <c r="R84" s="20" t="n">
        <v>0.75244043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(11354.0/B7*100)</f>
        <v/>
      </c>
      <c r="D7" s="19" t="n">
        <v>3176</v>
      </c>
      <c r="E7" s="18" t="n">
        <v>27.33757866</v>
      </c>
      <c r="F7" s="20" t="n">
        <v>1.12757806</v>
      </c>
      <c r="G7" s="18" t="n">
        <v>72.15404982</v>
      </c>
      <c r="H7" s="20" t="n">
        <v>1.13217479</v>
      </c>
      <c r="I7" s="18" t="n">
        <v>0</v>
      </c>
      <c r="J7" s="20" t="n">
        <v>0</v>
      </c>
      <c r="K7" s="18" t="n">
        <v>0.03877467</v>
      </c>
      <c r="L7" s="20" t="n">
        <v>0.02078343</v>
      </c>
      <c r="M7" s="18" t="n">
        <v>0</v>
      </c>
      <c r="N7" s="20" t="n">
        <v>0</v>
      </c>
      <c r="O7" s="18" t="n">
        <v>0</v>
      </c>
      <c r="P7" s="20" t="n">
        <v>0</v>
      </c>
      <c r="Q7" s="18" t="n">
        <v>0.46959685</v>
      </c>
      <c r="R7" s="20" t="n">
        <v>0.13432443</v>
      </c>
    </row>
    <row r="8" spans="1:18">
      <c r="A8" s="15" t="s">
        <v>566</v>
      </c>
      <c r="B8" s="17" t="n">
        <v>7007</v>
      </c>
      <c r="C8" s="18">
        <f>(5441.0/B8*100)</f>
        <v/>
      </c>
      <c r="D8" s="19" t="n">
        <v>1566</v>
      </c>
      <c r="E8" s="18" t="n">
        <v>37.92550099</v>
      </c>
      <c r="F8" s="20" t="n">
        <v>1.33716472</v>
      </c>
      <c r="G8" s="18" t="n">
        <v>61.51307621</v>
      </c>
      <c r="H8" s="20" t="n">
        <v>1.30799149</v>
      </c>
      <c r="I8" s="18" t="n">
        <v>0</v>
      </c>
      <c r="J8" s="20" t="n">
        <v>0</v>
      </c>
      <c r="K8" s="18" t="n">
        <v>0</v>
      </c>
      <c r="L8" s="20" t="n">
        <v>0</v>
      </c>
      <c r="M8" s="18" t="n">
        <v>0</v>
      </c>
      <c r="N8" s="20" t="n">
        <v>0</v>
      </c>
      <c r="O8" s="18" t="n">
        <v>0</v>
      </c>
      <c r="P8" s="20" t="n">
        <v>0</v>
      </c>
      <c r="Q8" s="18" t="n">
        <v>0.5614228</v>
      </c>
      <c r="R8" s="20" t="n">
        <v>0.16680111</v>
      </c>
    </row>
    <row r="9" spans="1:18">
      <c r="A9" s="15" t="s">
        <v>567</v>
      </c>
      <c r="B9" s="17" t="n">
        <v>9651</v>
      </c>
      <c r="C9" s="18">
        <f>(7557.0/B9*100)</f>
        <v/>
      </c>
      <c r="D9" s="19" t="n">
        <v>2094</v>
      </c>
      <c r="E9" s="18" t="n">
        <v>39.38944624</v>
      </c>
      <c r="F9" s="20" t="n">
        <v>1.49612491</v>
      </c>
      <c r="G9" s="18" t="n">
        <v>60.20023849</v>
      </c>
      <c r="H9" s="20" t="n">
        <v>1.47366133</v>
      </c>
      <c r="I9" s="18" t="n">
        <v>0</v>
      </c>
      <c r="J9" s="20" t="n">
        <v>0</v>
      </c>
      <c r="K9" s="18" t="n">
        <v>0</v>
      </c>
      <c r="L9" s="20" t="n">
        <v>0</v>
      </c>
      <c r="M9" s="18" t="n">
        <v>0</v>
      </c>
      <c r="N9" s="20" t="n">
        <v>0</v>
      </c>
      <c r="O9" s="18" t="n">
        <v>0</v>
      </c>
      <c r="P9" s="20" t="n">
        <v>0</v>
      </c>
      <c r="Q9" s="18" t="n">
        <v>0.41031527</v>
      </c>
      <c r="R9" s="20" t="n">
        <v>0.1521784</v>
      </c>
    </row>
    <row r="10" spans="1:18">
      <c r="A10" s="15" t="s">
        <v>568</v>
      </c>
      <c r="B10" s="17" t="n">
        <v>20058</v>
      </c>
      <c r="C10" s="18">
        <f>(15681.0/B10*100)</f>
        <v/>
      </c>
      <c r="D10" s="19" t="n">
        <v>4377</v>
      </c>
      <c r="E10" s="18" t="n">
        <v>29.35396148</v>
      </c>
      <c r="F10" s="20" t="n">
        <v>0.97886935</v>
      </c>
      <c r="G10" s="18" t="n">
        <v>69.86862103</v>
      </c>
      <c r="H10" s="20" t="n">
        <v>0.9800656</v>
      </c>
      <c r="I10" s="18" t="n">
        <v>0</v>
      </c>
      <c r="J10" s="20" t="n">
        <v>0</v>
      </c>
      <c r="K10" s="18" t="n">
        <v>0.19914938</v>
      </c>
      <c r="L10" s="20" t="n">
        <v>0.10199899</v>
      </c>
      <c r="M10" s="18" t="n">
        <v>0</v>
      </c>
      <c r="N10" s="20" t="n">
        <v>0</v>
      </c>
      <c r="O10" s="18" t="n">
        <v>0</v>
      </c>
      <c r="P10" s="20" t="n">
        <v>0</v>
      </c>
      <c r="Q10" s="18" t="n">
        <v>0.57826811</v>
      </c>
      <c r="R10" s="20" t="n">
        <v>0.17775931</v>
      </c>
    </row>
    <row r="11" spans="1:18">
      <c r="A11" s="15" t="s">
        <v>569</v>
      </c>
      <c r="B11" s="17" t="n">
        <v>7053</v>
      </c>
      <c r="C11" s="18">
        <f>(5549.0/B11*100)</f>
        <v/>
      </c>
      <c r="D11" s="19" t="n">
        <v>1504</v>
      </c>
      <c r="E11" s="18" t="n">
        <v>45.73108065</v>
      </c>
      <c r="F11" s="20" t="n">
        <v>1.38367209</v>
      </c>
      <c r="G11" s="18" t="n">
        <v>52.71770066</v>
      </c>
      <c r="H11" s="20" t="n">
        <v>1.36131976</v>
      </c>
      <c r="I11" s="18" t="n">
        <v>0</v>
      </c>
      <c r="J11" s="20" t="n">
        <v>0</v>
      </c>
      <c r="K11" s="18" t="n">
        <v>0.14082441</v>
      </c>
      <c r="L11" s="20" t="n">
        <v>0.08557041</v>
      </c>
      <c r="M11" s="18" t="n">
        <v>0</v>
      </c>
      <c r="N11" s="20" t="n">
        <v>0</v>
      </c>
      <c r="O11" s="18" t="n">
        <v>0</v>
      </c>
      <c r="P11" s="20" t="n">
        <v>0</v>
      </c>
      <c r="Q11" s="18" t="n">
        <v>1.41039427</v>
      </c>
      <c r="R11" s="20" t="n">
        <v>0.36015661</v>
      </c>
    </row>
    <row r="12" spans="1:18">
      <c r="A12" s="15" t="s">
        <v>570</v>
      </c>
      <c r="B12" s="17" t="n">
        <v>6894</v>
      </c>
      <c r="C12" s="18">
        <f>(5419.0/B12*100)</f>
        <v/>
      </c>
      <c r="D12" s="19" t="n">
        <v>1475</v>
      </c>
      <c r="E12" s="18" t="n">
        <v>41.54375765</v>
      </c>
      <c r="F12" s="20" t="n">
        <v>1.40262834</v>
      </c>
      <c r="G12" s="18" t="n">
        <v>58.20464053</v>
      </c>
      <c r="H12" s="20" t="n">
        <v>1.4144209</v>
      </c>
      <c r="I12" s="18" t="n">
        <v>0</v>
      </c>
      <c r="J12" s="20" t="n">
        <v>0</v>
      </c>
      <c r="K12" s="18" t="n">
        <v>0</v>
      </c>
      <c r="L12" s="20" t="n">
        <v>0</v>
      </c>
      <c r="M12" s="18" t="n">
        <v>0</v>
      </c>
      <c r="N12" s="20" t="n">
        <v>0</v>
      </c>
      <c r="O12" s="18" t="n">
        <v>0</v>
      </c>
      <c r="P12" s="20" t="n">
        <v>0</v>
      </c>
      <c r="Q12" s="18" t="n">
        <v>0.25160182</v>
      </c>
      <c r="R12" s="20" t="n">
        <v>0.14447704</v>
      </c>
    </row>
    <row r="13" spans="1:18">
      <c r="A13" s="15" t="s">
        <v>571</v>
      </c>
      <c r="B13" s="17" t="n">
        <v>7161</v>
      </c>
      <c r="C13" s="18">
        <f>(5692.0/B13*100)</f>
        <v/>
      </c>
      <c r="D13" s="19" t="n">
        <v>1469</v>
      </c>
      <c r="E13" s="18" t="n">
        <v>26.83195958</v>
      </c>
      <c r="F13" s="20" t="n">
        <v>1.47895979</v>
      </c>
      <c r="G13" s="18" t="n">
        <v>71.54703425</v>
      </c>
      <c r="H13" s="20" t="n">
        <v>1.56163066</v>
      </c>
      <c r="I13" s="18" t="n">
        <v>0</v>
      </c>
      <c r="J13" s="20" t="n">
        <v>0</v>
      </c>
      <c r="K13" s="18" t="n">
        <v>0.48599223</v>
      </c>
      <c r="L13" s="20" t="n">
        <v>0.19919564</v>
      </c>
      <c r="M13" s="18" t="n">
        <v>0</v>
      </c>
      <c r="N13" s="20" t="n">
        <v>0</v>
      </c>
      <c r="O13" s="18" t="n">
        <v>0</v>
      </c>
      <c r="P13" s="20" t="n">
        <v>0</v>
      </c>
      <c r="Q13" s="18" t="n">
        <v>1.13501395</v>
      </c>
      <c r="R13" s="20" t="n">
        <v>0.44015163</v>
      </c>
    </row>
    <row r="14" spans="1:18">
      <c r="A14" s="15" t="s">
        <v>572</v>
      </c>
      <c r="B14" s="17" t="n">
        <v>5587</v>
      </c>
      <c r="C14" s="18">
        <f>(4391.0/B14*100)</f>
        <v/>
      </c>
      <c r="D14" s="19" t="n">
        <v>1196</v>
      </c>
      <c r="E14" s="18" t="n">
        <v>33.20715532</v>
      </c>
      <c r="F14" s="20" t="n">
        <v>1.28033953</v>
      </c>
      <c r="G14" s="18" t="n">
        <v>66.31098488000001</v>
      </c>
      <c r="H14" s="20" t="n">
        <v>1.30053051</v>
      </c>
      <c r="I14" s="18" t="n">
        <v>0</v>
      </c>
      <c r="J14" s="20" t="n">
        <v>0</v>
      </c>
      <c r="K14" s="18" t="n">
        <v>0.07157958</v>
      </c>
      <c r="L14" s="20" t="n">
        <v>0.07172441</v>
      </c>
      <c r="M14" s="18" t="n">
        <v>0</v>
      </c>
      <c r="N14" s="20" t="n">
        <v>0</v>
      </c>
      <c r="O14" s="18" t="n">
        <v>0</v>
      </c>
      <c r="P14" s="20" t="n">
        <v>0</v>
      </c>
      <c r="Q14" s="18" t="n">
        <v>0.41028021</v>
      </c>
      <c r="R14" s="20" t="n">
        <v>0.1717927</v>
      </c>
    </row>
    <row r="15" spans="1:18">
      <c r="A15" s="15" t="s">
        <v>573</v>
      </c>
      <c r="B15" s="17" t="n">
        <v>5882</v>
      </c>
      <c r="C15" s="18">
        <f>(4559.0/B15*100)</f>
        <v/>
      </c>
      <c r="D15" s="19" t="n">
        <v>1323</v>
      </c>
      <c r="E15" s="18" t="n">
        <v>33.87725124</v>
      </c>
      <c r="F15" s="20" t="n">
        <v>1.47106166</v>
      </c>
      <c r="G15" s="18" t="n">
        <v>65.93017015</v>
      </c>
      <c r="H15" s="20" t="n">
        <v>1.4689351</v>
      </c>
      <c r="I15" s="18" t="n">
        <v>0</v>
      </c>
      <c r="J15" s="20" t="n">
        <v>0</v>
      </c>
      <c r="K15" s="18" t="n">
        <v>0</v>
      </c>
      <c r="L15" s="20" t="n">
        <v>0</v>
      </c>
      <c r="M15" s="18" t="n">
        <v>0</v>
      </c>
      <c r="N15" s="20" t="n">
        <v>0</v>
      </c>
      <c r="O15" s="18" t="n">
        <v>0</v>
      </c>
      <c r="P15" s="20" t="n">
        <v>0</v>
      </c>
      <c r="Q15" s="18" t="n">
        <v>0.19257861</v>
      </c>
      <c r="R15" s="20" t="n">
        <v>0.11204271</v>
      </c>
    </row>
    <row r="16" spans="1:18">
      <c r="A16" s="15" t="s">
        <v>574</v>
      </c>
      <c r="B16" s="17" t="n">
        <v>6108</v>
      </c>
      <c r="C16" s="18">
        <f>(4735.0/B16*100)</f>
        <v/>
      </c>
      <c r="D16" s="19" t="n">
        <v>1373</v>
      </c>
      <c r="E16" s="18" t="n">
        <v>44.92308728</v>
      </c>
      <c r="F16" s="20" t="n">
        <v>1.20819085</v>
      </c>
      <c r="G16" s="18" t="n">
        <v>53.46069456</v>
      </c>
      <c r="H16" s="20" t="n">
        <v>1.22660105</v>
      </c>
      <c r="I16" s="18" t="n">
        <v>0</v>
      </c>
      <c r="J16" s="20" t="n">
        <v>0</v>
      </c>
      <c r="K16" s="18" t="n">
        <v>0.35148498</v>
      </c>
      <c r="L16" s="20" t="n">
        <v>0.1477928</v>
      </c>
      <c r="M16" s="18" t="n">
        <v>0</v>
      </c>
      <c r="N16" s="20" t="n">
        <v>0</v>
      </c>
      <c r="O16" s="18" t="n">
        <v>0</v>
      </c>
      <c r="P16" s="20" t="n">
        <v>0</v>
      </c>
      <c r="Q16" s="18" t="n">
        <v>1.26473317</v>
      </c>
      <c r="R16" s="20" t="n">
        <v>0.31682022</v>
      </c>
    </row>
    <row r="17" spans="1:18">
      <c r="A17" s="15" t="s">
        <v>575</v>
      </c>
      <c r="B17" s="17" t="n">
        <v>6504</v>
      </c>
      <c r="C17" s="18">
        <f>(5142.0/B17*100)</f>
        <v/>
      </c>
      <c r="D17" s="19" t="n">
        <v>1362</v>
      </c>
      <c r="E17" s="18" t="n">
        <v>33.48720458</v>
      </c>
      <c r="F17" s="20" t="n">
        <v>1.3248921</v>
      </c>
      <c r="G17" s="18" t="n">
        <v>66.1352102</v>
      </c>
      <c r="H17" s="20" t="n">
        <v>1.3409783</v>
      </c>
      <c r="I17" s="18" t="n">
        <v>0</v>
      </c>
      <c r="J17" s="20" t="n">
        <v>0</v>
      </c>
      <c r="K17" s="18" t="n">
        <v>0.07389999999999999</v>
      </c>
      <c r="L17" s="20" t="n">
        <v>0.07379692</v>
      </c>
      <c r="M17" s="18" t="n">
        <v>0</v>
      </c>
      <c r="N17" s="20" t="n">
        <v>0</v>
      </c>
      <c r="O17" s="18" t="n">
        <v>0</v>
      </c>
      <c r="P17" s="20" t="n">
        <v>0</v>
      </c>
      <c r="Q17" s="18" t="n">
        <v>0.30368522</v>
      </c>
      <c r="R17" s="20" t="n">
        <v>0.13313496</v>
      </c>
    </row>
    <row r="18" spans="1:18">
      <c r="A18" s="15" t="s">
        <v>576</v>
      </c>
      <c r="B18" s="17" t="n">
        <v>5532</v>
      </c>
      <c r="C18" s="18">
        <f>(4309.0/B18*100)</f>
        <v/>
      </c>
      <c r="D18" s="19" t="n">
        <v>1223</v>
      </c>
      <c r="E18" s="18" t="n">
        <v>48.4708076</v>
      </c>
      <c r="F18" s="20" t="n">
        <v>1.62715215</v>
      </c>
      <c r="G18" s="18" t="n">
        <v>50.76532613</v>
      </c>
      <c r="H18" s="20" t="n">
        <v>1.62819262</v>
      </c>
      <c r="I18" s="18" t="n">
        <v>0</v>
      </c>
      <c r="J18" s="20" t="n">
        <v>0</v>
      </c>
      <c r="K18" s="18" t="n">
        <v>0.25127509</v>
      </c>
      <c r="L18" s="20" t="n">
        <v>0.16898634</v>
      </c>
      <c r="M18" s="18" t="n">
        <v>0</v>
      </c>
      <c r="N18" s="20" t="n">
        <v>0</v>
      </c>
      <c r="O18" s="18" t="n">
        <v>0</v>
      </c>
      <c r="P18" s="20" t="n">
        <v>0</v>
      </c>
      <c r="Q18" s="18" t="n">
        <v>0.51259118</v>
      </c>
      <c r="R18" s="20" t="n">
        <v>0.22705213</v>
      </c>
    </row>
    <row r="19" spans="1:18">
      <c r="A19" s="15" t="s">
        <v>577</v>
      </c>
      <c r="B19" s="17" t="n">
        <v>5658</v>
      </c>
      <c r="C19" s="18">
        <f>(4449.0/B19*100)</f>
        <v/>
      </c>
      <c r="D19" s="19" t="n">
        <v>1209</v>
      </c>
      <c r="E19" s="18" t="n">
        <v>43.48188057</v>
      </c>
      <c r="F19" s="20" t="n">
        <v>1.74136801</v>
      </c>
      <c r="G19" s="18" t="n">
        <v>56.29215523</v>
      </c>
      <c r="H19" s="20" t="n">
        <v>1.74490918</v>
      </c>
      <c r="I19" s="18" t="n">
        <v>0</v>
      </c>
      <c r="J19" s="20" t="n">
        <v>0</v>
      </c>
      <c r="K19" s="18" t="n">
        <v>0</v>
      </c>
      <c r="L19" s="20" t="n">
        <v>0</v>
      </c>
      <c r="M19" s="18" t="n">
        <v>0</v>
      </c>
      <c r="N19" s="20" t="n">
        <v>0</v>
      </c>
      <c r="O19" s="18" t="n">
        <v>0</v>
      </c>
      <c r="P19" s="20" t="n">
        <v>0</v>
      </c>
      <c r="Q19" s="18" t="n">
        <v>0.2259642</v>
      </c>
      <c r="R19" s="20" t="n">
        <v>0.13132459</v>
      </c>
    </row>
    <row r="20" spans="1:18">
      <c r="A20" s="15" t="s">
        <v>578</v>
      </c>
      <c r="B20" s="17" t="n">
        <v>3371</v>
      </c>
      <c r="C20" s="18">
        <f>(2637.0/B20*100)</f>
        <v/>
      </c>
      <c r="D20" s="19" t="n">
        <v>734</v>
      </c>
      <c r="E20" s="18" t="n">
        <v>42.20220811</v>
      </c>
      <c r="F20" s="20" t="n">
        <v>1.82074457</v>
      </c>
      <c r="G20" s="18" t="n">
        <v>56.77932472</v>
      </c>
      <c r="H20" s="20" t="n">
        <v>1.79153464</v>
      </c>
      <c r="I20" s="18" t="n">
        <v>0</v>
      </c>
      <c r="J20" s="20" t="n">
        <v>0</v>
      </c>
      <c r="K20" s="18" t="n">
        <v>0.11601968</v>
      </c>
      <c r="L20" s="20" t="n">
        <v>0.11531764</v>
      </c>
      <c r="M20" s="18" t="n">
        <v>0</v>
      </c>
      <c r="N20" s="20" t="n">
        <v>0</v>
      </c>
      <c r="O20" s="18" t="n">
        <v>0</v>
      </c>
      <c r="P20" s="20" t="n">
        <v>0</v>
      </c>
      <c r="Q20" s="18" t="n">
        <v>0.9024475</v>
      </c>
      <c r="R20" s="20" t="n">
        <v>0.4267831</v>
      </c>
    </row>
    <row r="21" spans="1:18">
      <c r="A21" s="15" t="s">
        <v>579</v>
      </c>
      <c r="B21" s="17" t="n">
        <v>5741</v>
      </c>
      <c r="C21" s="18">
        <f>(4465.0/B21*100)</f>
        <v/>
      </c>
      <c r="D21" s="19" t="n">
        <v>1276</v>
      </c>
      <c r="E21" s="18" t="n">
        <v>32.78957474</v>
      </c>
      <c r="F21" s="20" t="n">
        <v>1.32371973</v>
      </c>
      <c r="G21" s="18" t="n">
        <v>66.73202918</v>
      </c>
      <c r="H21" s="20" t="n">
        <v>1.34390445</v>
      </c>
      <c r="I21" s="18" t="n">
        <v>0</v>
      </c>
      <c r="J21" s="20" t="n">
        <v>0</v>
      </c>
      <c r="K21" s="18" t="n">
        <v>0</v>
      </c>
      <c r="L21" s="20" t="n">
        <v>0</v>
      </c>
      <c r="M21" s="18" t="n">
        <v>0</v>
      </c>
      <c r="N21" s="20" t="n">
        <v>0</v>
      </c>
      <c r="O21" s="18" t="n">
        <v>0</v>
      </c>
      <c r="P21" s="20" t="n">
        <v>0</v>
      </c>
      <c r="Q21" s="18" t="n">
        <v>0.47839608</v>
      </c>
      <c r="R21" s="20" t="n">
        <v>0.21349313</v>
      </c>
    </row>
    <row r="22" spans="1:18">
      <c r="A22" s="15" t="s">
        <v>580</v>
      </c>
      <c r="B22" s="17" t="n">
        <v>6598</v>
      </c>
      <c r="C22" s="18">
        <f>(5153.0/B22*100)</f>
        <v/>
      </c>
      <c r="D22" s="19" t="n">
        <v>1445</v>
      </c>
      <c r="E22" s="18" t="n">
        <v>39.43635537</v>
      </c>
      <c r="F22" s="20" t="n">
        <v>1.60364852</v>
      </c>
      <c r="G22" s="18" t="n">
        <v>59.02982893</v>
      </c>
      <c r="H22" s="20" t="n">
        <v>1.54933445</v>
      </c>
      <c r="I22" s="18" t="n">
        <v>0</v>
      </c>
      <c r="J22" s="20" t="n">
        <v>0</v>
      </c>
      <c r="K22" s="18" t="n">
        <v>0.26990107</v>
      </c>
      <c r="L22" s="20" t="n">
        <v>0.13736138</v>
      </c>
      <c r="M22" s="18" t="n">
        <v>0</v>
      </c>
      <c r="N22" s="20" t="n">
        <v>0</v>
      </c>
      <c r="O22" s="18" t="n">
        <v>0</v>
      </c>
      <c r="P22" s="20" t="n">
        <v>0</v>
      </c>
      <c r="Q22" s="18" t="n">
        <v>1.26391463</v>
      </c>
      <c r="R22" s="20" t="n">
        <v>0.36799374</v>
      </c>
    </row>
    <row r="23" spans="1:18">
      <c r="A23" s="15" t="s">
        <v>581</v>
      </c>
      <c r="B23" s="17" t="n">
        <v>11583</v>
      </c>
      <c r="C23" s="18">
        <f>(8963.0/B23*100)</f>
        <v/>
      </c>
      <c r="D23" s="19" t="n">
        <v>2620</v>
      </c>
      <c r="E23" s="18" t="n">
        <v>35.84309368</v>
      </c>
      <c r="F23" s="20" t="n">
        <v>1.5674036</v>
      </c>
      <c r="G23" s="18" t="n">
        <v>63.26581383</v>
      </c>
      <c r="H23" s="20" t="n">
        <v>1.59903214</v>
      </c>
      <c r="I23" s="18" t="n">
        <v>0</v>
      </c>
      <c r="J23" s="20" t="n">
        <v>0</v>
      </c>
      <c r="K23" s="18" t="n">
        <v>0.08510131</v>
      </c>
      <c r="L23" s="20" t="n">
        <v>0.08972989000000001</v>
      </c>
      <c r="M23" s="18" t="n">
        <v>0</v>
      </c>
      <c r="N23" s="20" t="n">
        <v>0</v>
      </c>
      <c r="O23" s="18" t="n">
        <v>0</v>
      </c>
      <c r="P23" s="20" t="n">
        <v>0</v>
      </c>
      <c r="Q23" s="18" t="n">
        <v>0.80599117</v>
      </c>
      <c r="R23" s="20" t="n">
        <v>0.27394849</v>
      </c>
    </row>
    <row r="24" spans="1:18">
      <c r="A24" s="15" t="s">
        <v>582</v>
      </c>
      <c r="B24" s="17" t="n">
        <v>6647</v>
      </c>
      <c r="C24" s="18">
        <f>(5170.0/B24*100)</f>
        <v/>
      </c>
      <c r="D24" s="19" t="n">
        <v>1477</v>
      </c>
      <c r="E24" s="18" t="n">
        <v>28.55020654</v>
      </c>
      <c r="F24" s="20" t="n">
        <v>1.38582727</v>
      </c>
      <c r="G24" s="18" t="n">
        <v>71.06261762</v>
      </c>
      <c r="H24" s="20" t="n">
        <v>1.35564176</v>
      </c>
      <c r="I24" s="18" t="n">
        <v>0</v>
      </c>
      <c r="J24" s="20" t="n">
        <v>0</v>
      </c>
      <c r="K24" s="18" t="n">
        <v>0</v>
      </c>
      <c r="L24" s="20" t="n">
        <v>0</v>
      </c>
      <c r="M24" s="18" t="n">
        <v>0</v>
      </c>
      <c r="N24" s="20" t="n">
        <v>0</v>
      </c>
      <c r="O24" s="18" t="n">
        <v>0</v>
      </c>
      <c r="P24" s="20" t="n">
        <v>0</v>
      </c>
      <c r="Q24" s="18" t="n">
        <v>0.38717584</v>
      </c>
      <c r="R24" s="20" t="n">
        <v>0.15573886</v>
      </c>
    </row>
    <row r="25" spans="1:18">
      <c r="A25" s="15" t="s">
        <v>583</v>
      </c>
      <c r="B25" s="17" t="n">
        <v>5581</v>
      </c>
      <c r="C25" s="18">
        <f>(4356.0/B25*100)</f>
        <v/>
      </c>
      <c r="D25" s="19" t="n">
        <v>1225</v>
      </c>
      <c r="E25" s="18" t="n">
        <v>28.65934667</v>
      </c>
      <c r="F25" s="20" t="n">
        <v>1.1965111</v>
      </c>
      <c r="G25" s="18" t="n">
        <v>71.17560775</v>
      </c>
      <c r="H25" s="20" t="n">
        <v>1.18922311</v>
      </c>
      <c r="I25" s="18" t="n">
        <v>0</v>
      </c>
      <c r="J25" s="20" t="n">
        <v>0</v>
      </c>
      <c r="K25" s="18" t="n">
        <v>0</v>
      </c>
      <c r="L25" s="20" t="n">
        <v>0</v>
      </c>
      <c r="M25" s="18" t="n">
        <v>0</v>
      </c>
      <c r="N25" s="20" t="n">
        <v>0</v>
      </c>
      <c r="O25" s="18" t="n">
        <v>0</v>
      </c>
      <c r="P25" s="20" t="n">
        <v>0</v>
      </c>
      <c r="Q25" s="18" t="n">
        <v>0.16504558</v>
      </c>
      <c r="R25" s="20" t="n">
        <v>0.11692023</v>
      </c>
    </row>
    <row r="26" spans="1:18">
      <c r="A26" s="15" t="s">
        <v>584</v>
      </c>
      <c r="B26" s="17" t="n">
        <v>4869</v>
      </c>
      <c r="C26" s="18">
        <f>(3804.0/B26*100)</f>
        <v/>
      </c>
      <c r="D26" s="19" t="n">
        <v>1065</v>
      </c>
      <c r="E26" s="18" t="n">
        <v>51.84647827</v>
      </c>
      <c r="F26" s="20" t="n">
        <v>1.75561531</v>
      </c>
      <c r="G26" s="18" t="n">
        <v>47.77801958</v>
      </c>
      <c r="H26" s="20" t="n">
        <v>1.7719511</v>
      </c>
      <c r="I26" s="18" t="n">
        <v>0</v>
      </c>
      <c r="J26" s="20" t="n">
        <v>0</v>
      </c>
      <c r="K26" s="18" t="n">
        <v>0</v>
      </c>
      <c r="L26" s="20" t="n">
        <v>0</v>
      </c>
      <c r="M26" s="18" t="n">
        <v>0</v>
      </c>
      <c r="N26" s="20" t="n">
        <v>0</v>
      </c>
      <c r="O26" s="18" t="n">
        <v>0</v>
      </c>
      <c r="P26" s="20" t="n">
        <v>0</v>
      </c>
      <c r="Q26" s="18" t="n">
        <v>0.37550216</v>
      </c>
      <c r="R26" s="20" t="n">
        <v>0.16833014</v>
      </c>
    </row>
    <row r="27" spans="1:18">
      <c r="A27" s="15" t="s">
        <v>585</v>
      </c>
      <c r="B27" s="17" t="n">
        <v>5299</v>
      </c>
      <c r="C27" s="18">
        <f>(4091.0/B27*100)</f>
        <v/>
      </c>
      <c r="D27" s="19" t="n">
        <v>1208</v>
      </c>
      <c r="E27" s="18" t="n">
        <v>40.84152607</v>
      </c>
      <c r="F27" s="20" t="n">
        <v>1.47309861</v>
      </c>
      <c r="G27" s="18" t="n">
        <v>58.24113291</v>
      </c>
      <c r="H27" s="20" t="n">
        <v>1.47540862</v>
      </c>
      <c r="I27" s="18" t="n">
        <v>0</v>
      </c>
      <c r="J27" s="20" t="n">
        <v>0</v>
      </c>
      <c r="K27" s="18" t="n">
        <v>0.26028834</v>
      </c>
      <c r="L27" s="20" t="n">
        <v>0.14725566</v>
      </c>
      <c r="M27" s="18" t="n">
        <v>0</v>
      </c>
      <c r="N27" s="20" t="n">
        <v>0</v>
      </c>
      <c r="O27" s="18" t="n">
        <v>0</v>
      </c>
      <c r="P27" s="20" t="n">
        <v>0</v>
      </c>
      <c r="Q27" s="18" t="n">
        <v>0.6570526799999999</v>
      </c>
      <c r="R27" s="20" t="n">
        <v>0.2319112</v>
      </c>
    </row>
    <row r="28" spans="1:18">
      <c r="A28" s="15" t="s">
        <v>586</v>
      </c>
      <c r="B28" s="17" t="n">
        <v>7568</v>
      </c>
      <c r="C28" s="18">
        <f>(5945.0/B28*100)</f>
        <v/>
      </c>
      <c r="D28" s="19" t="n">
        <v>1623</v>
      </c>
      <c r="E28" s="18" t="n">
        <v>57.69085169</v>
      </c>
      <c r="F28" s="20" t="n">
        <v>1.28911725</v>
      </c>
      <c r="G28" s="18" t="n">
        <v>41.34128254</v>
      </c>
      <c r="H28" s="20" t="n">
        <v>1.30518501</v>
      </c>
      <c r="I28" s="18" t="n">
        <v>0</v>
      </c>
      <c r="J28" s="20" t="n">
        <v>0</v>
      </c>
      <c r="K28" s="18" t="n">
        <v>0.06695002</v>
      </c>
      <c r="L28" s="20" t="n">
        <v>0.06717670000000001</v>
      </c>
      <c r="M28" s="18" t="n">
        <v>0</v>
      </c>
      <c r="N28" s="20" t="n">
        <v>0</v>
      </c>
      <c r="O28" s="18" t="n">
        <v>0</v>
      </c>
      <c r="P28" s="20" t="n">
        <v>0</v>
      </c>
      <c r="Q28" s="18" t="n">
        <v>0.90091574</v>
      </c>
      <c r="R28" s="20" t="n">
        <v>0.24510478</v>
      </c>
    </row>
    <row r="29" spans="1:18">
      <c r="A29" s="15" t="s">
        <v>587</v>
      </c>
      <c r="B29" s="17" t="n">
        <v>5385</v>
      </c>
      <c r="C29" s="18">
        <f>(4277.0/B29*100)</f>
        <v/>
      </c>
      <c r="D29" s="19" t="n">
        <v>1108</v>
      </c>
      <c r="E29" s="18" t="n">
        <v>34.53711589</v>
      </c>
      <c r="F29" s="20" t="n">
        <v>1.59723502</v>
      </c>
      <c r="G29" s="18" t="n">
        <v>64.85062954</v>
      </c>
      <c r="H29" s="20" t="n">
        <v>1.60308768</v>
      </c>
      <c r="I29" s="18" t="n">
        <v>0</v>
      </c>
      <c r="J29" s="20" t="n">
        <v>0</v>
      </c>
      <c r="K29" s="18" t="n">
        <v>0.06660658</v>
      </c>
      <c r="L29" s="20" t="n">
        <v>0.09168345</v>
      </c>
      <c r="M29" s="18" t="n">
        <v>0</v>
      </c>
      <c r="N29" s="20" t="n">
        <v>0</v>
      </c>
      <c r="O29" s="18" t="n">
        <v>0</v>
      </c>
      <c r="P29" s="20" t="n">
        <v>0</v>
      </c>
      <c r="Q29" s="18" t="n">
        <v>0.54564799</v>
      </c>
      <c r="R29" s="20" t="n">
        <v>0.2286193</v>
      </c>
    </row>
    <row r="30" spans="1:18">
      <c r="A30" s="15" t="s">
        <v>588</v>
      </c>
      <c r="B30" s="17" t="n">
        <v>4520</v>
      </c>
      <c r="C30" s="18">
        <f>(3512.0/B30*100)</f>
        <v/>
      </c>
      <c r="D30" s="19" t="n">
        <v>1008</v>
      </c>
      <c r="E30" s="18" t="n">
        <v>28.20852362</v>
      </c>
      <c r="F30" s="20" t="n">
        <v>1.45823342</v>
      </c>
      <c r="G30" s="18" t="n">
        <v>70.61718294000001</v>
      </c>
      <c r="H30" s="20" t="n">
        <v>1.44607271</v>
      </c>
      <c r="I30" s="18" t="n">
        <v>0</v>
      </c>
      <c r="J30" s="20" t="n">
        <v>0</v>
      </c>
      <c r="K30" s="18" t="n">
        <v>0.09055535000000001</v>
      </c>
      <c r="L30" s="20" t="n">
        <v>0.09202651000000001</v>
      </c>
      <c r="M30" s="18" t="n">
        <v>0</v>
      </c>
      <c r="N30" s="20" t="n">
        <v>0</v>
      </c>
      <c r="O30" s="18" t="n">
        <v>0</v>
      </c>
      <c r="P30" s="20" t="n">
        <v>0</v>
      </c>
      <c r="Q30" s="18" t="n">
        <v>1.08373809</v>
      </c>
      <c r="R30" s="20" t="n">
        <v>0.34275916</v>
      </c>
    </row>
    <row r="31" spans="1:18">
      <c r="A31" s="15" t="s">
        <v>589</v>
      </c>
      <c r="B31" s="17" t="n">
        <v>5456</v>
      </c>
      <c r="C31" s="18">
        <f>(4245.0/B31*100)</f>
        <v/>
      </c>
      <c r="D31" s="19" t="n">
        <v>1211</v>
      </c>
      <c r="E31" s="18" t="n">
        <v>34.65377887</v>
      </c>
      <c r="F31" s="20" t="n">
        <v>1.48780844</v>
      </c>
      <c r="G31" s="18" t="n">
        <v>64.18754005</v>
      </c>
      <c r="H31" s="20" t="n">
        <v>1.54700784</v>
      </c>
      <c r="I31" s="18" t="n">
        <v>0</v>
      </c>
      <c r="J31" s="20" t="n">
        <v>0</v>
      </c>
      <c r="K31" s="18" t="n">
        <v>0.23749915</v>
      </c>
      <c r="L31" s="20" t="n">
        <v>0.13241243</v>
      </c>
      <c r="M31" s="18" t="n">
        <v>0</v>
      </c>
      <c r="N31" s="20" t="n">
        <v>0</v>
      </c>
      <c r="O31" s="18" t="n">
        <v>0</v>
      </c>
      <c r="P31" s="20" t="n">
        <v>0</v>
      </c>
      <c r="Q31" s="18" t="n">
        <v>0.92118193</v>
      </c>
      <c r="R31" s="20" t="n">
        <v>0.31399226</v>
      </c>
    </row>
    <row r="32" spans="1:18">
      <c r="A32" s="15" t="s">
        <v>590</v>
      </c>
      <c r="B32" s="17" t="n">
        <v>4478</v>
      </c>
      <c r="C32" s="18">
        <f>(3435.0/B32*100)</f>
        <v/>
      </c>
      <c r="D32" s="19" t="n">
        <v>1043</v>
      </c>
      <c r="E32" s="18" t="n">
        <v>32.76129076</v>
      </c>
      <c r="F32" s="20" t="n">
        <v>1.55834766</v>
      </c>
      <c r="G32" s="18" t="n">
        <v>66.91566668999999</v>
      </c>
      <c r="H32" s="20" t="n">
        <v>1.56986638</v>
      </c>
      <c r="I32" s="18" t="n">
        <v>0</v>
      </c>
      <c r="J32" s="20" t="n">
        <v>0</v>
      </c>
      <c r="K32" s="18" t="n">
        <v>0</v>
      </c>
      <c r="L32" s="20" t="n">
        <v>0</v>
      </c>
      <c r="M32" s="18" t="n">
        <v>0</v>
      </c>
      <c r="N32" s="20" t="n">
        <v>0</v>
      </c>
      <c r="O32" s="18" t="n">
        <v>0</v>
      </c>
      <c r="P32" s="20" t="n">
        <v>0</v>
      </c>
      <c r="Q32" s="18" t="n">
        <v>0.32304254</v>
      </c>
      <c r="R32" s="20" t="n">
        <v>0.17048367</v>
      </c>
    </row>
    <row r="33" spans="1:18">
      <c r="A33" s="15" t="s">
        <v>591</v>
      </c>
      <c r="B33" s="17" t="n">
        <v>7325</v>
      </c>
      <c r="C33" s="18">
        <f>(5666.0/B33*100)</f>
        <v/>
      </c>
      <c r="D33" s="19" t="n">
        <v>1659</v>
      </c>
      <c r="E33" s="18" t="n">
        <v>30.51375262</v>
      </c>
      <c r="F33" s="20" t="n">
        <v>1.46631711</v>
      </c>
      <c r="G33" s="18" t="n">
        <v>69.30452575</v>
      </c>
      <c r="H33" s="20" t="n">
        <v>1.46936058</v>
      </c>
      <c r="I33" s="18" t="n">
        <v>0</v>
      </c>
      <c r="J33" s="20" t="n">
        <v>0</v>
      </c>
      <c r="K33" s="18" t="n">
        <v>0.07456393</v>
      </c>
      <c r="L33" s="20" t="n">
        <v>0.08238354000000001</v>
      </c>
      <c r="M33" s="18" t="n">
        <v>0</v>
      </c>
      <c r="N33" s="20" t="n">
        <v>0</v>
      </c>
      <c r="O33" s="18" t="n">
        <v>0</v>
      </c>
      <c r="P33" s="20" t="n">
        <v>0</v>
      </c>
      <c r="Q33" s="18" t="n">
        <v>0.1071577</v>
      </c>
      <c r="R33" s="20" t="n">
        <v>0.05383729</v>
      </c>
    </row>
    <row r="34" spans="1:18">
      <c r="A34" s="15" t="s">
        <v>592</v>
      </c>
      <c r="B34" s="17" t="n">
        <v>6350</v>
      </c>
      <c r="C34" s="18">
        <f>(5007.0/B34*100)</f>
        <v/>
      </c>
      <c r="D34" s="19" t="n">
        <v>1343</v>
      </c>
      <c r="E34" s="18" t="n">
        <v>53.64215932</v>
      </c>
      <c r="F34" s="20" t="n">
        <v>1.60731495</v>
      </c>
      <c r="G34" s="18" t="n">
        <v>45.73805396</v>
      </c>
      <c r="H34" s="20" t="n">
        <v>1.61925504</v>
      </c>
      <c r="I34" s="18" t="n">
        <v>0</v>
      </c>
      <c r="J34" s="20" t="n">
        <v>0</v>
      </c>
      <c r="K34" s="18" t="n">
        <v>0</v>
      </c>
      <c r="L34" s="20" t="n">
        <v>0</v>
      </c>
      <c r="M34" s="18" t="n">
        <v>0</v>
      </c>
      <c r="N34" s="20" t="n">
        <v>0</v>
      </c>
      <c r="O34" s="18" t="n">
        <v>0</v>
      </c>
      <c r="P34" s="20" t="n">
        <v>0</v>
      </c>
      <c r="Q34" s="18" t="n">
        <v>0.61978671</v>
      </c>
      <c r="R34" s="20" t="n">
        <v>0.2455244</v>
      </c>
    </row>
    <row r="35" spans="1:18">
      <c r="A35" s="15" t="s">
        <v>593</v>
      </c>
      <c r="B35" s="17" t="n">
        <v>6406</v>
      </c>
      <c r="C35" s="18">
        <f>(5004.0/B35*100)</f>
        <v/>
      </c>
      <c r="D35" s="19" t="n">
        <v>1402</v>
      </c>
      <c r="E35" s="18" t="n">
        <v>38.80051696</v>
      </c>
      <c r="F35" s="20" t="n">
        <v>1.64162728</v>
      </c>
      <c r="G35" s="18" t="n">
        <v>60.7297107</v>
      </c>
      <c r="H35" s="20" t="n">
        <v>1.6575504</v>
      </c>
      <c r="I35" s="18" t="n">
        <v>0</v>
      </c>
      <c r="J35" s="20" t="n">
        <v>0</v>
      </c>
      <c r="K35" s="18" t="n">
        <v>0.0596882</v>
      </c>
      <c r="L35" s="20" t="n">
        <v>0.04203713</v>
      </c>
      <c r="M35" s="18" t="n">
        <v>0</v>
      </c>
      <c r="N35" s="20" t="n">
        <v>0</v>
      </c>
      <c r="O35" s="18" t="n">
        <v>0</v>
      </c>
      <c r="P35" s="20" t="n">
        <v>0</v>
      </c>
      <c r="Q35" s="18" t="n">
        <v>0.41008413</v>
      </c>
      <c r="R35" s="20" t="n">
        <v>0.170014</v>
      </c>
    </row>
    <row r="36" spans="1:18">
      <c r="A36" s="15" t="s">
        <v>594</v>
      </c>
      <c r="B36" s="17" t="n">
        <v>6736</v>
      </c>
      <c r="C36" s="18">
        <f>(5253.0/B36*100)</f>
        <v/>
      </c>
      <c r="D36" s="19" t="n">
        <v>1483</v>
      </c>
      <c r="E36" s="18" t="n">
        <v>35.87055277</v>
      </c>
      <c r="F36" s="20" t="n">
        <v>1.27127145</v>
      </c>
      <c r="G36" s="18" t="n">
        <v>63.84537643</v>
      </c>
      <c r="H36" s="20" t="n">
        <v>1.2935515</v>
      </c>
      <c r="I36" s="18" t="n">
        <v>0</v>
      </c>
      <c r="J36" s="20" t="n">
        <v>0</v>
      </c>
      <c r="K36" s="18" t="n">
        <v>0</v>
      </c>
      <c r="L36" s="20" t="n">
        <v>0</v>
      </c>
      <c r="M36" s="18" t="n">
        <v>0</v>
      </c>
      <c r="N36" s="20" t="n">
        <v>0</v>
      </c>
      <c r="O36" s="18" t="n">
        <v>0</v>
      </c>
      <c r="P36" s="20" t="n">
        <v>0</v>
      </c>
      <c r="Q36" s="18" t="n">
        <v>0.28407079</v>
      </c>
      <c r="R36" s="20" t="n">
        <v>0.08774993</v>
      </c>
    </row>
    <row r="37" spans="1:18">
      <c r="A37" s="15" t="s">
        <v>595</v>
      </c>
      <c r="B37" s="17" t="n">
        <v>5458</v>
      </c>
      <c r="C37" s="18">
        <f>(4255.0/B37*100)</f>
        <v/>
      </c>
      <c r="D37" s="19" t="n">
        <v>1203</v>
      </c>
      <c r="E37" s="18" t="n">
        <v>41.79695293</v>
      </c>
      <c r="F37" s="20" t="n">
        <v>1.54093877</v>
      </c>
      <c r="G37" s="18" t="n">
        <v>57.24036611</v>
      </c>
      <c r="H37" s="20" t="n">
        <v>1.54110136</v>
      </c>
      <c r="I37" s="18" t="n">
        <v>0</v>
      </c>
      <c r="J37" s="20" t="n">
        <v>0</v>
      </c>
      <c r="K37" s="18" t="n">
        <v>0.07229902000000001</v>
      </c>
      <c r="L37" s="20" t="n">
        <v>0.10224976</v>
      </c>
      <c r="M37" s="18" t="n">
        <v>0</v>
      </c>
      <c r="N37" s="20" t="n">
        <v>0</v>
      </c>
      <c r="O37" s="18" t="n">
        <v>0</v>
      </c>
      <c r="P37" s="20" t="n">
        <v>0</v>
      </c>
      <c r="Q37" s="18" t="n">
        <v>0.89038194</v>
      </c>
      <c r="R37" s="20" t="n">
        <v>0.27469557</v>
      </c>
    </row>
    <row r="38" spans="1:18">
      <c r="A38" s="15" t="s">
        <v>596</v>
      </c>
      <c r="B38" s="17" t="n">
        <v>5860</v>
      </c>
      <c r="C38" s="18">
        <f>(4566.0/B38*100)</f>
        <v/>
      </c>
      <c r="D38" s="19" t="n">
        <v>1294</v>
      </c>
      <c r="E38" s="18" t="n">
        <v>38.63603114</v>
      </c>
      <c r="F38" s="20" t="n">
        <v>1.64672527</v>
      </c>
      <c r="G38" s="18" t="n">
        <v>61.04555445</v>
      </c>
      <c r="H38" s="20" t="n">
        <v>1.6530228</v>
      </c>
      <c r="I38" s="18" t="n">
        <v>0</v>
      </c>
      <c r="J38" s="20" t="n">
        <v>0</v>
      </c>
      <c r="K38" s="18" t="n">
        <v>0</v>
      </c>
      <c r="L38" s="20" t="n">
        <v>0</v>
      </c>
      <c r="M38" s="18" t="n">
        <v>0</v>
      </c>
      <c r="N38" s="20" t="n">
        <v>0</v>
      </c>
      <c r="O38" s="18" t="n">
        <v>0</v>
      </c>
      <c r="P38" s="20" t="n">
        <v>0</v>
      </c>
      <c r="Q38" s="18" t="n">
        <v>0.3184144</v>
      </c>
      <c r="R38" s="20" t="n">
        <v>0.1572813</v>
      </c>
    </row>
    <row r="39" spans="1:18">
      <c r="A39" s="15" t="s">
        <v>597</v>
      </c>
      <c r="B39" s="17" t="n">
        <v>5895</v>
      </c>
      <c r="C39" s="18">
        <f>(4578.0/B39*100)</f>
        <v/>
      </c>
      <c r="D39" s="19" t="n">
        <v>1317</v>
      </c>
      <c r="E39" s="18" t="n">
        <v>45.75228547</v>
      </c>
      <c r="F39" s="20" t="n">
        <v>1.43590013</v>
      </c>
      <c r="G39" s="18" t="n">
        <v>53.51621525</v>
      </c>
      <c r="H39" s="20" t="n">
        <v>1.46207054</v>
      </c>
      <c r="I39" s="18" t="n">
        <v>0</v>
      </c>
      <c r="J39" s="20" t="n">
        <v>0</v>
      </c>
      <c r="K39" s="18" t="n">
        <v>0.30286093</v>
      </c>
      <c r="L39" s="20" t="n">
        <v>0.12394944</v>
      </c>
      <c r="M39" s="18" t="n">
        <v>0</v>
      </c>
      <c r="N39" s="20" t="n">
        <v>0</v>
      </c>
      <c r="O39" s="18" t="n">
        <v>0</v>
      </c>
      <c r="P39" s="20" t="n">
        <v>0</v>
      </c>
      <c r="Q39" s="18" t="n">
        <v>0.42863835</v>
      </c>
      <c r="R39" s="20" t="n">
        <v>0.1855361</v>
      </c>
    </row>
    <row r="40" spans="1:18">
      <c r="A40" s="15" t="s">
        <v>598</v>
      </c>
      <c r="B40" s="17" t="n">
        <v>14157</v>
      </c>
      <c r="C40" s="18">
        <f>(11030.0/B40*100)</f>
        <v/>
      </c>
      <c r="D40" s="19" t="n">
        <v>3127</v>
      </c>
      <c r="E40" s="18" t="n">
        <v>29.97407194</v>
      </c>
      <c r="F40" s="20" t="n">
        <v>1.24823199</v>
      </c>
      <c r="G40" s="18" t="n">
        <v>68.97686782</v>
      </c>
      <c r="H40" s="20" t="n">
        <v>1.20416717</v>
      </c>
      <c r="I40" s="18" t="n">
        <v>0</v>
      </c>
      <c r="J40" s="20" t="n">
        <v>0</v>
      </c>
      <c r="K40" s="18" t="n">
        <v>0</v>
      </c>
      <c r="L40" s="20" t="n">
        <v>0</v>
      </c>
      <c r="M40" s="18" t="n">
        <v>0</v>
      </c>
      <c r="N40" s="20" t="n">
        <v>0</v>
      </c>
      <c r="O40" s="18" t="n">
        <v>0</v>
      </c>
      <c r="P40" s="20" t="n">
        <v>0</v>
      </c>
      <c r="Q40" s="18" t="n">
        <v>1.04906024</v>
      </c>
      <c r="R40" s="20" t="n">
        <v>0.38453891</v>
      </c>
    </row>
    <row r="41" spans="1:18">
      <c r="A41" s="15" t="s">
        <v>599</v>
      </c>
      <c r="B41" s="17" t="n">
        <v>5712</v>
      </c>
      <c r="C41" s="18">
        <f>(4490.0/B41*100)</f>
        <v/>
      </c>
      <c r="D41" s="19" t="n">
        <v>1222</v>
      </c>
      <c r="E41" s="18" t="n">
        <v>29.02307956</v>
      </c>
      <c r="F41" s="20" t="n">
        <v>1.46697043</v>
      </c>
      <c r="G41" s="18" t="n">
        <v>70.55055437</v>
      </c>
      <c r="H41" s="20" t="n">
        <v>1.52858492</v>
      </c>
      <c r="I41" s="18" t="n">
        <v>0</v>
      </c>
      <c r="J41" s="20" t="n">
        <v>0</v>
      </c>
      <c r="K41" s="18" t="n">
        <v>0</v>
      </c>
      <c r="L41" s="20" t="n">
        <v>0</v>
      </c>
      <c r="M41" s="18" t="n">
        <v>0</v>
      </c>
      <c r="N41" s="20" t="n">
        <v>0</v>
      </c>
      <c r="O41" s="18" t="n">
        <v>0</v>
      </c>
      <c r="P41" s="20" t="n">
        <v>0</v>
      </c>
      <c r="Q41" s="18" t="n">
        <v>0.42636607</v>
      </c>
      <c r="R41" s="20" t="n">
        <v>0.24311346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(18381.0/B46*100)</f>
        <v/>
      </c>
      <c r="D46" s="19" t="n">
        <v>4760</v>
      </c>
      <c r="E46" s="18" t="n">
        <v>53.61726011</v>
      </c>
      <c r="F46" s="20" t="n">
        <v>1.08824814</v>
      </c>
      <c r="G46" s="18" t="n">
        <v>44.35320614</v>
      </c>
      <c r="H46" s="20" t="n">
        <v>1.08194576</v>
      </c>
      <c r="I46" s="18" t="n">
        <v>0</v>
      </c>
      <c r="J46" s="20" t="n">
        <v>0</v>
      </c>
      <c r="K46" s="18" t="n">
        <v>0.4673995</v>
      </c>
      <c r="L46" s="20" t="n">
        <v>0.16976052</v>
      </c>
      <c r="M46" s="18" t="n">
        <v>0</v>
      </c>
      <c r="N46" s="20" t="n">
        <v>0</v>
      </c>
      <c r="O46" s="18" t="n">
        <v>0</v>
      </c>
      <c r="P46" s="20" t="n">
        <v>0</v>
      </c>
      <c r="Q46" s="18" t="n">
        <v>1.56213425</v>
      </c>
      <c r="R46" s="20" t="n">
        <v>0.24084405</v>
      </c>
    </row>
    <row r="47" spans="1:18">
      <c r="A47" s="15" t="s">
        <v>606</v>
      </c>
      <c r="B47" s="17" t="n">
        <v>5928</v>
      </c>
      <c r="C47" s="18">
        <f>(4669.0/B47*100)</f>
        <v/>
      </c>
      <c r="D47" s="19" t="n">
        <v>1259</v>
      </c>
      <c r="E47" s="18" t="n">
        <v>47.66772895</v>
      </c>
      <c r="F47" s="20" t="n">
        <v>1.5176577</v>
      </c>
      <c r="G47" s="18" t="n">
        <v>51.01464434</v>
      </c>
      <c r="H47" s="20" t="n">
        <v>1.5349893</v>
      </c>
      <c r="I47" s="18" t="n">
        <v>0</v>
      </c>
      <c r="J47" s="20" t="n">
        <v>0</v>
      </c>
      <c r="K47" s="18" t="n">
        <v>0.15648671</v>
      </c>
      <c r="L47" s="20" t="n">
        <v>0.12028803</v>
      </c>
      <c r="M47" s="18" t="n">
        <v>0</v>
      </c>
      <c r="N47" s="20" t="n">
        <v>0</v>
      </c>
      <c r="O47" s="18" t="n">
        <v>0</v>
      </c>
      <c r="P47" s="20" t="n">
        <v>0</v>
      </c>
      <c r="Q47" s="18" t="n">
        <v>1.16114</v>
      </c>
      <c r="R47" s="20" t="n">
        <v>0.31993562</v>
      </c>
    </row>
    <row r="48" spans="1:18">
      <c r="A48" s="15" t="s">
        <v>607</v>
      </c>
      <c r="B48" s="17" t="n">
        <v>9841</v>
      </c>
      <c r="C48" s="18">
        <f>(7661.0/B48*100)</f>
        <v/>
      </c>
      <c r="D48" s="19" t="n">
        <v>2180</v>
      </c>
      <c r="E48" s="18" t="n">
        <v>57.21498015</v>
      </c>
      <c r="F48" s="20" t="n">
        <v>1.33804496</v>
      </c>
      <c r="G48" s="18" t="n">
        <v>41.75301794</v>
      </c>
      <c r="H48" s="20" t="n">
        <v>1.25880358</v>
      </c>
      <c r="I48" s="18" t="n">
        <v>0</v>
      </c>
      <c r="J48" s="20" t="n">
        <v>0</v>
      </c>
      <c r="K48" s="18" t="n">
        <v>0.36290032</v>
      </c>
      <c r="L48" s="20" t="n">
        <v>0.1635304</v>
      </c>
      <c r="M48" s="18" t="n">
        <v>0</v>
      </c>
      <c r="N48" s="20" t="n">
        <v>0</v>
      </c>
      <c r="O48" s="18" t="n">
        <v>0</v>
      </c>
      <c r="P48" s="20" t="n">
        <v>0</v>
      </c>
      <c r="Q48" s="18" t="n">
        <v>0.66910159</v>
      </c>
      <c r="R48" s="20" t="n">
        <v>0.24516592</v>
      </c>
    </row>
    <row r="49" spans="1:18">
      <c r="A49" s="15" t="s">
        <v>608</v>
      </c>
      <c r="B49" s="17" t="n">
        <v>11795</v>
      </c>
      <c r="C49" s="18">
        <f>(9227.0/B49*100)</f>
        <v/>
      </c>
      <c r="D49" s="19" t="n">
        <v>2568</v>
      </c>
      <c r="E49" s="18" t="n">
        <v>45.73224838</v>
      </c>
      <c r="F49" s="20" t="n">
        <v>1.73527345</v>
      </c>
      <c r="G49" s="18" t="n">
        <v>52.98365763</v>
      </c>
      <c r="H49" s="20" t="n">
        <v>1.75268007</v>
      </c>
      <c r="I49" s="18" t="n">
        <v>0</v>
      </c>
      <c r="J49" s="20" t="n">
        <v>0</v>
      </c>
      <c r="K49" s="18" t="n">
        <v>0.31768024</v>
      </c>
      <c r="L49" s="20" t="n">
        <v>0.16619432</v>
      </c>
      <c r="M49" s="18" t="n">
        <v>0</v>
      </c>
      <c r="N49" s="20" t="n">
        <v>0</v>
      </c>
      <c r="O49" s="18" t="n">
        <v>0</v>
      </c>
      <c r="P49" s="20" t="n">
        <v>0</v>
      </c>
      <c r="Q49" s="18" t="n">
        <v>0.96641376</v>
      </c>
      <c r="R49" s="20" t="n">
        <v>0.2648443</v>
      </c>
    </row>
    <row r="50" spans="1:18">
      <c r="A50" s="15" t="s">
        <v>609</v>
      </c>
      <c r="B50" s="17" t="n">
        <v>6866</v>
      </c>
      <c r="C50" s="18">
        <f>(5524.0/B50*100)</f>
        <v/>
      </c>
      <c r="D50" s="19" t="n">
        <v>1342</v>
      </c>
      <c r="E50" s="18" t="n">
        <v>50.30467076</v>
      </c>
      <c r="F50" s="20" t="n">
        <v>1.52389145</v>
      </c>
      <c r="G50" s="18" t="n">
        <v>48.43226983</v>
      </c>
      <c r="H50" s="20" t="n">
        <v>1.51761778</v>
      </c>
      <c r="I50" s="18" t="n">
        <v>0</v>
      </c>
      <c r="J50" s="20" t="n">
        <v>0</v>
      </c>
      <c r="K50" s="18" t="n">
        <v>0.10916042</v>
      </c>
      <c r="L50" s="20" t="n">
        <v>0.09775978</v>
      </c>
      <c r="M50" s="18" t="n">
        <v>0</v>
      </c>
      <c r="N50" s="20" t="n">
        <v>0</v>
      </c>
      <c r="O50" s="18" t="n">
        <v>0</v>
      </c>
      <c r="P50" s="20" t="n">
        <v>0</v>
      </c>
      <c r="Q50" s="18" t="n">
        <v>1.15389899</v>
      </c>
      <c r="R50" s="20" t="n">
        <v>0.42411992</v>
      </c>
    </row>
    <row r="51" spans="1:18">
      <c r="A51" s="15" t="s">
        <v>610</v>
      </c>
      <c r="B51" s="17" t="n">
        <v>5809</v>
      </c>
      <c r="C51" s="18">
        <f>(4476.0/B51*100)</f>
        <v/>
      </c>
      <c r="D51" s="19" t="n">
        <v>1333</v>
      </c>
      <c r="E51" s="18" t="n">
        <v>44.55497474</v>
      </c>
      <c r="F51" s="20" t="n">
        <v>1.3907438</v>
      </c>
      <c r="G51" s="18" t="n">
        <v>55.02480358</v>
      </c>
      <c r="H51" s="20" t="n">
        <v>1.40150468</v>
      </c>
      <c r="I51" s="18" t="n">
        <v>0</v>
      </c>
      <c r="J51" s="20" t="n">
        <v>0</v>
      </c>
      <c r="K51" s="18" t="n">
        <v>0</v>
      </c>
      <c r="L51" s="20" t="n">
        <v>0</v>
      </c>
      <c r="M51" s="18" t="n">
        <v>0</v>
      </c>
      <c r="N51" s="20" t="n">
        <v>0</v>
      </c>
      <c r="O51" s="18" t="n">
        <v>0</v>
      </c>
      <c r="P51" s="20" t="n">
        <v>0</v>
      </c>
      <c r="Q51" s="18" t="n">
        <v>0.42022168</v>
      </c>
      <c r="R51" s="20" t="n">
        <v>0.18277071</v>
      </c>
    </row>
    <row r="52" spans="1:18">
      <c r="A52" s="15" t="s">
        <v>611</v>
      </c>
      <c r="B52" s="17" t="n">
        <v>5571</v>
      </c>
      <c r="C52" s="18">
        <f>(4333.0/B52*100)</f>
        <v/>
      </c>
      <c r="D52" s="19" t="n">
        <v>1238</v>
      </c>
      <c r="E52" s="18" t="n">
        <v>50.05328171</v>
      </c>
      <c r="F52" s="20" t="n">
        <v>1.5335893</v>
      </c>
      <c r="G52" s="18" t="n">
        <v>48.35309593</v>
      </c>
      <c r="H52" s="20" t="n">
        <v>1.47890251</v>
      </c>
      <c r="I52" s="18" t="n">
        <v>0</v>
      </c>
      <c r="J52" s="20" t="n">
        <v>0</v>
      </c>
      <c r="K52" s="18" t="n">
        <v>0.11494182</v>
      </c>
      <c r="L52" s="20" t="n">
        <v>0.07921274</v>
      </c>
      <c r="M52" s="18" t="n">
        <v>0</v>
      </c>
      <c r="N52" s="20" t="n">
        <v>0</v>
      </c>
      <c r="O52" s="18" t="n">
        <v>0</v>
      </c>
      <c r="P52" s="20" t="n">
        <v>0</v>
      </c>
      <c r="Q52" s="18" t="n">
        <v>1.47868054</v>
      </c>
      <c r="R52" s="20" t="n">
        <v>0.37080006</v>
      </c>
    </row>
    <row r="53" spans="1:18">
      <c r="A53" s="15" t="s">
        <v>612</v>
      </c>
      <c r="B53" s="17" t="n">
        <v>4740</v>
      </c>
      <c r="C53" s="18">
        <f>(3690.0/B53*100)</f>
        <v/>
      </c>
      <c r="D53" s="19" t="n">
        <v>1050</v>
      </c>
      <c r="E53" s="18" t="n">
        <v>67.64348448</v>
      </c>
      <c r="F53" s="20" t="n">
        <v>1.87004545</v>
      </c>
      <c r="G53" s="18" t="n">
        <v>24.42884465</v>
      </c>
      <c r="H53" s="20" t="n">
        <v>1.64136455</v>
      </c>
      <c r="I53" s="18" t="n">
        <v>0</v>
      </c>
      <c r="J53" s="20" t="n">
        <v>0</v>
      </c>
      <c r="K53" s="18" t="n">
        <v>3.73051</v>
      </c>
      <c r="L53" s="20" t="n">
        <v>0.68669784</v>
      </c>
      <c r="M53" s="18" t="n">
        <v>0</v>
      </c>
      <c r="N53" s="20" t="n">
        <v>0</v>
      </c>
      <c r="O53" s="18" t="n">
        <v>0</v>
      </c>
      <c r="P53" s="20" t="n">
        <v>0</v>
      </c>
      <c r="Q53" s="18" t="n">
        <v>4.19716087</v>
      </c>
      <c r="R53" s="20" t="n">
        <v>0.6311087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(4141.0/B55*100)</f>
        <v/>
      </c>
      <c r="D55" s="19" t="n">
        <v>1218</v>
      </c>
      <c r="E55" s="18" t="n">
        <v>22.03704598</v>
      </c>
      <c r="F55" s="20" t="n">
        <v>1.14318455</v>
      </c>
      <c r="G55" s="18" t="n">
        <v>77.55589077</v>
      </c>
      <c r="H55" s="20" t="n">
        <v>1.15638385</v>
      </c>
      <c r="I55" s="18" t="n">
        <v>0</v>
      </c>
      <c r="J55" s="20" t="n">
        <v>0</v>
      </c>
      <c r="K55" s="18" t="n">
        <v>0.15969276</v>
      </c>
      <c r="L55" s="20" t="n">
        <v>0.15429336</v>
      </c>
      <c r="M55" s="18" t="n">
        <v>0</v>
      </c>
      <c r="N55" s="20" t="n">
        <v>0</v>
      </c>
      <c r="O55" s="18" t="n">
        <v>0</v>
      </c>
      <c r="P55" s="20" t="n">
        <v>0</v>
      </c>
      <c r="Q55" s="18" t="n">
        <v>0.2473705</v>
      </c>
      <c r="R55" s="20" t="n">
        <v>0.13653427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(5075.0/B61*100)</f>
        <v/>
      </c>
      <c r="D61" s="19" t="n">
        <v>1450</v>
      </c>
      <c r="E61" s="18" t="n">
        <v>42.28995174</v>
      </c>
      <c r="F61" s="20" t="n">
        <v>1.43005582</v>
      </c>
      <c r="G61" s="18" t="n">
        <v>57.1769442</v>
      </c>
      <c r="H61" s="20" t="n">
        <v>1.43505501</v>
      </c>
      <c r="I61" s="18" t="n">
        <v>0</v>
      </c>
      <c r="J61" s="20" t="n">
        <v>0</v>
      </c>
      <c r="K61" s="18" t="n">
        <v>0.08977999</v>
      </c>
      <c r="L61" s="20" t="n">
        <v>0.09221989999999999</v>
      </c>
      <c r="M61" s="18" t="n">
        <v>0</v>
      </c>
      <c r="N61" s="20" t="n">
        <v>0</v>
      </c>
      <c r="O61" s="18" t="n">
        <v>0</v>
      </c>
      <c r="P61" s="20" t="n">
        <v>0</v>
      </c>
      <c r="Q61" s="18" t="n">
        <v>0.44332407</v>
      </c>
      <c r="R61" s="20" t="n">
        <v>0.19491714</v>
      </c>
    </row>
    <row r="62" spans="1:18">
      <c r="A62" s="15" t="s">
        <v>622</v>
      </c>
      <c r="B62" s="17" t="n">
        <v>4476</v>
      </c>
      <c r="C62" s="18">
        <f>(3512.0/B62*100)</f>
        <v/>
      </c>
      <c r="D62" s="19" t="n">
        <v>964</v>
      </c>
      <c r="E62" s="18" t="n">
        <v>24.92525823</v>
      </c>
      <c r="F62" s="20" t="n">
        <v>1.20095699</v>
      </c>
      <c r="G62" s="18" t="n">
        <v>75.07474177</v>
      </c>
      <c r="H62" s="20" t="n">
        <v>1.20095699</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(4415.0/B67*100)</f>
        <v/>
      </c>
      <c r="D67" s="19" t="n">
        <v>1250</v>
      </c>
      <c r="E67" s="18" t="n">
        <v>59.05935567</v>
      </c>
      <c r="F67" s="20" t="n">
        <v>1.34697258</v>
      </c>
      <c r="G67" s="18" t="n">
        <v>39.25308697</v>
      </c>
      <c r="H67" s="20" t="n">
        <v>1.31996096</v>
      </c>
      <c r="I67" s="18" t="n">
        <v>0</v>
      </c>
      <c r="J67" s="20" t="n">
        <v>0</v>
      </c>
      <c r="K67" s="18" t="n">
        <v>0.32846255</v>
      </c>
      <c r="L67" s="20" t="n">
        <v>0.16682666</v>
      </c>
      <c r="M67" s="18" t="n">
        <v>0</v>
      </c>
      <c r="N67" s="20" t="n">
        <v>0</v>
      </c>
      <c r="O67" s="18" t="n">
        <v>0</v>
      </c>
      <c r="P67" s="20" t="n">
        <v>0</v>
      </c>
      <c r="Q67" s="18" t="n">
        <v>1.35909482</v>
      </c>
      <c r="R67" s="20" t="n">
        <v>0.30876125</v>
      </c>
    </row>
    <row r="68" spans="1:18">
      <c r="A68" s="15" t="s">
        <v>628</v>
      </c>
      <c r="B68" s="17" t="n">
        <v>6971</v>
      </c>
      <c r="C68" s="18">
        <f>(5483.0/B68*100)</f>
        <v/>
      </c>
      <c r="D68" s="19" t="n">
        <v>1488</v>
      </c>
      <c r="E68" s="18" t="n">
        <v>58.23928462</v>
      </c>
      <c r="F68" s="20" t="n">
        <v>1.46992355</v>
      </c>
      <c r="G68" s="18" t="n">
        <v>40.85355242</v>
      </c>
      <c r="H68" s="20" t="n">
        <v>1.48848577</v>
      </c>
      <c r="I68" s="18" t="n">
        <v>0</v>
      </c>
      <c r="J68" s="20" t="n">
        <v>0</v>
      </c>
      <c r="K68" s="18" t="n">
        <v>0.08931329</v>
      </c>
      <c r="L68" s="20" t="n">
        <v>0.08926384</v>
      </c>
      <c r="M68" s="18" t="n">
        <v>0</v>
      </c>
      <c r="N68" s="20" t="n">
        <v>0</v>
      </c>
      <c r="O68" s="18" t="n">
        <v>0</v>
      </c>
      <c r="P68" s="20" t="n">
        <v>0</v>
      </c>
      <c r="Q68" s="18" t="n">
        <v>0.81784968</v>
      </c>
      <c r="R68" s="20" t="n">
        <v>0.24175325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(9434.0/B70*100)</f>
        <v/>
      </c>
      <c r="D70" s="19" t="n">
        <v>2649</v>
      </c>
      <c r="E70" s="18" t="n">
        <v>55.15476935</v>
      </c>
      <c r="F70" s="20" t="n">
        <v>0.97914388</v>
      </c>
      <c r="G70" s="18" t="n">
        <v>43.19696158</v>
      </c>
      <c r="H70" s="20" t="n">
        <v>0.9326369799999999</v>
      </c>
      <c r="I70" s="18" t="n">
        <v>0</v>
      </c>
      <c r="J70" s="20" t="n">
        <v>0</v>
      </c>
      <c r="K70" s="18" t="n">
        <v>0.35827102</v>
      </c>
      <c r="L70" s="20" t="n">
        <v>0.10772944</v>
      </c>
      <c r="M70" s="18" t="n">
        <v>0</v>
      </c>
      <c r="N70" s="20" t="n">
        <v>0</v>
      </c>
      <c r="O70" s="18" t="n">
        <v>0</v>
      </c>
      <c r="P70" s="20" t="n">
        <v>0</v>
      </c>
      <c r="Q70" s="18" t="n">
        <v>1.28999805</v>
      </c>
      <c r="R70" s="20" t="n">
        <v>0.20731505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(4736.0/B72*100)</f>
        <v/>
      </c>
      <c r="D72" s="19" t="n">
        <v>1300</v>
      </c>
      <c r="E72" s="18" t="n">
        <v>57.37134939</v>
      </c>
      <c r="F72" s="20" t="n">
        <v>1.74584859</v>
      </c>
      <c r="G72" s="18" t="n">
        <v>41.87215186</v>
      </c>
      <c r="H72" s="20" t="n">
        <v>1.72138441</v>
      </c>
      <c r="I72" s="18" t="n">
        <v>0</v>
      </c>
      <c r="J72" s="20" t="n">
        <v>0</v>
      </c>
      <c r="K72" s="18" t="n">
        <v>0</v>
      </c>
      <c r="L72" s="20" t="n">
        <v>0</v>
      </c>
      <c r="M72" s="18" t="n">
        <v>0</v>
      </c>
      <c r="N72" s="20" t="n">
        <v>0</v>
      </c>
      <c r="O72" s="18" t="n">
        <v>0</v>
      </c>
      <c r="P72" s="20" t="n">
        <v>0</v>
      </c>
      <c r="Q72" s="18" t="n">
        <v>0.75649876</v>
      </c>
      <c r="R72" s="20" t="n">
        <v>0.21854621</v>
      </c>
    </row>
    <row r="73" spans="1:18">
      <c r="A73" s="15" t="s">
        <v>633</v>
      </c>
      <c r="B73" s="17" t="n">
        <v>6115</v>
      </c>
      <c r="C73" s="18">
        <f>(4764.0/B73*100)</f>
        <v/>
      </c>
      <c r="D73" s="19" t="n">
        <v>1351</v>
      </c>
      <c r="E73" s="18" t="n">
        <v>31.34875625</v>
      </c>
      <c r="F73" s="20" t="n">
        <v>1.35725364</v>
      </c>
      <c r="G73" s="18" t="n">
        <v>68.25501874</v>
      </c>
      <c r="H73" s="20" t="n">
        <v>1.37240332</v>
      </c>
      <c r="I73" s="18" t="n">
        <v>0</v>
      </c>
      <c r="J73" s="20" t="n">
        <v>0</v>
      </c>
      <c r="K73" s="18" t="n">
        <v>0.10377575</v>
      </c>
      <c r="L73" s="20" t="n">
        <v>0.0752845</v>
      </c>
      <c r="M73" s="18" t="n">
        <v>0</v>
      </c>
      <c r="N73" s="20" t="n">
        <v>0</v>
      </c>
      <c r="O73" s="18" t="n">
        <v>0</v>
      </c>
      <c r="P73" s="20" t="n">
        <v>0</v>
      </c>
      <c r="Q73" s="18" t="n">
        <v>0.29244925</v>
      </c>
      <c r="R73" s="20" t="n">
        <v>0.15949911</v>
      </c>
    </row>
    <row r="74" spans="1:18">
      <c r="A74" s="15" t="s">
        <v>634</v>
      </c>
      <c r="B74" s="17" t="n">
        <v>7708</v>
      </c>
      <c r="C74" s="18">
        <f>(5938.0/B74*100)</f>
        <v/>
      </c>
      <c r="D74" s="19" t="n">
        <v>1770</v>
      </c>
      <c r="E74" s="18" t="n">
        <v>32.11812726</v>
      </c>
      <c r="F74" s="20" t="n">
        <v>1.24810543</v>
      </c>
      <c r="G74" s="18" t="n">
        <v>67.54648383</v>
      </c>
      <c r="H74" s="20" t="n">
        <v>1.23763233</v>
      </c>
      <c r="I74" s="18" t="n">
        <v>0</v>
      </c>
      <c r="J74" s="20" t="n">
        <v>0</v>
      </c>
      <c r="K74" s="18" t="n">
        <v>0.08060167</v>
      </c>
      <c r="L74" s="20" t="n">
        <v>0.05812557</v>
      </c>
      <c r="M74" s="18" t="n">
        <v>0</v>
      </c>
      <c r="N74" s="20" t="n">
        <v>0</v>
      </c>
      <c r="O74" s="18" t="n">
        <v>0</v>
      </c>
      <c r="P74" s="20" t="n">
        <v>0</v>
      </c>
      <c r="Q74" s="18" t="n">
        <v>0.25478724</v>
      </c>
      <c r="R74" s="20" t="n">
        <v>0.10908363</v>
      </c>
    </row>
    <row r="75" spans="1:18">
      <c r="A75" s="15" t="s">
        <v>635</v>
      </c>
      <c r="B75" s="17" t="n">
        <v>8249</v>
      </c>
      <c r="C75" s="18">
        <f>(6369.0/B75*100)</f>
        <v/>
      </c>
      <c r="D75" s="19" t="n">
        <v>1880</v>
      </c>
      <c r="E75" s="18" t="n">
        <v>41.81070117</v>
      </c>
      <c r="F75" s="20" t="n">
        <v>1.50278175</v>
      </c>
      <c r="G75" s="18" t="n">
        <v>57.94554148</v>
      </c>
      <c r="H75" s="20" t="n">
        <v>1.48666908</v>
      </c>
      <c r="I75" s="18" t="n">
        <v>0</v>
      </c>
      <c r="J75" s="20" t="n">
        <v>0</v>
      </c>
      <c r="K75" s="18" t="n">
        <v>0</v>
      </c>
      <c r="L75" s="20" t="n">
        <v>0</v>
      </c>
      <c r="M75" s="18" t="n">
        <v>0</v>
      </c>
      <c r="N75" s="20" t="n">
        <v>0</v>
      </c>
      <c r="O75" s="18" t="n">
        <v>0</v>
      </c>
      <c r="P75" s="20" t="n">
        <v>0</v>
      </c>
      <c r="Q75" s="18" t="n">
        <v>0.24375735</v>
      </c>
      <c r="R75" s="20" t="n">
        <v>0.14127295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(4234.0/B77*100)</f>
        <v/>
      </c>
      <c r="D77" s="19" t="n">
        <v>1141</v>
      </c>
      <c r="E77" s="18" t="n">
        <v>68.75742742</v>
      </c>
      <c r="F77" s="20" t="n">
        <v>1.55182117</v>
      </c>
      <c r="G77" s="18" t="n">
        <v>28.6247452</v>
      </c>
      <c r="H77" s="20" t="n">
        <v>1.493126</v>
      </c>
      <c r="I77" s="18" t="n">
        <v>0</v>
      </c>
      <c r="J77" s="20" t="n">
        <v>0</v>
      </c>
      <c r="K77" s="18" t="n">
        <v>0.93445137</v>
      </c>
      <c r="L77" s="20" t="n">
        <v>0.31000933</v>
      </c>
      <c r="M77" s="18" t="n">
        <v>0</v>
      </c>
      <c r="N77" s="20" t="n">
        <v>0</v>
      </c>
      <c r="O77" s="18" t="n">
        <v>0</v>
      </c>
      <c r="P77" s="20" t="n">
        <v>0</v>
      </c>
      <c r="Q77" s="18" t="n">
        <v>1.68337601</v>
      </c>
      <c r="R77" s="20" t="n">
        <v>0.39347641</v>
      </c>
    </row>
    <row r="78" spans="1:18">
      <c r="A78" s="15" t="s">
        <v>638</v>
      </c>
      <c r="B78" s="17" t="n">
        <v>14167</v>
      </c>
      <c r="C78" s="18">
        <f>(11061.0/B78*100)</f>
        <v/>
      </c>
      <c r="D78" s="19" t="n">
        <v>3106</v>
      </c>
      <c r="E78" s="18" t="n">
        <v>48.41781294</v>
      </c>
      <c r="F78" s="20" t="n">
        <v>1.19245754</v>
      </c>
      <c r="G78" s="18" t="n">
        <v>50.76490575</v>
      </c>
      <c r="H78" s="20" t="n">
        <v>1.20134797</v>
      </c>
      <c r="I78" s="18" t="n">
        <v>0</v>
      </c>
      <c r="J78" s="20" t="n">
        <v>0</v>
      </c>
      <c r="K78" s="18" t="n">
        <v>0.26094331</v>
      </c>
      <c r="L78" s="20" t="n">
        <v>0.10008524</v>
      </c>
      <c r="M78" s="18" t="n">
        <v>0</v>
      </c>
      <c r="N78" s="20" t="n">
        <v>0</v>
      </c>
      <c r="O78" s="18" t="n">
        <v>0</v>
      </c>
      <c r="P78" s="20" t="n">
        <v>0</v>
      </c>
      <c r="Q78" s="18" t="n">
        <v>0.556338</v>
      </c>
      <c r="R78" s="20" t="n">
        <v>0.16640638</v>
      </c>
    </row>
    <row r="79" spans="1:18">
      <c r="A79" s="15" t="s">
        <v>639</v>
      </c>
      <c r="B79" s="17" t="n">
        <v>6062</v>
      </c>
      <c r="C79" s="18">
        <f>(4737.0/B79*100)</f>
        <v/>
      </c>
      <c r="D79" s="19" t="n">
        <v>1325</v>
      </c>
      <c r="E79" s="18" t="n">
        <v>44.90169371</v>
      </c>
      <c r="F79" s="20" t="n">
        <v>1.44078691</v>
      </c>
      <c r="G79" s="18" t="n">
        <v>53.47736593</v>
      </c>
      <c r="H79" s="20" t="n">
        <v>1.43655554</v>
      </c>
      <c r="I79" s="18" t="n">
        <v>0</v>
      </c>
      <c r="J79" s="20" t="n">
        <v>0</v>
      </c>
      <c r="K79" s="18" t="n">
        <v>0.26396946</v>
      </c>
      <c r="L79" s="20" t="n">
        <v>0.13919167</v>
      </c>
      <c r="M79" s="18" t="n">
        <v>0</v>
      </c>
      <c r="N79" s="20" t="n">
        <v>0</v>
      </c>
      <c r="O79" s="18" t="n">
        <v>0</v>
      </c>
      <c r="P79" s="20" t="n">
        <v>0</v>
      </c>
      <c r="Q79" s="18" t="n">
        <v>1.3569709</v>
      </c>
      <c r="R79" s="20" t="n">
        <v>0.30363862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(25141.0/B82*100)</f>
        <v/>
      </c>
      <c r="D82" s="19" t="n">
        <v>7189</v>
      </c>
      <c r="E82" s="18" t="n">
        <v>35.89896515</v>
      </c>
      <c r="F82" s="20" t="n">
        <v>0.94706672</v>
      </c>
      <c r="G82" s="18" t="n">
        <v>63.49466683</v>
      </c>
      <c r="H82" s="20" t="n">
        <v>0.9264197</v>
      </c>
      <c r="I82" s="18" t="n">
        <v>0</v>
      </c>
      <c r="J82" s="20" t="n">
        <v>0</v>
      </c>
      <c r="K82" s="18" t="n">
        <v>0.09651624</v>
      </c>
      <c r="L82" s="20" t="n">
        <v>0.06456054999999999</v>
      </c>
      <c r="M82" s="18" t="n">
        <v>0</v>
      </c>
      <c r="N82" s="20" t="n">
        <v>0</v>
      </c>
      <c r="O82" s="18" t="n">
        <v>0</v>
      </c>
      <c r="P82" s="20" t="n">
        <v>0</v>
      </c>
      <c r="Q82" s="18" t="n">
        <v>0.50985177</v>
      </c>
      <c r="R82" s="20" t="n">
        <v>0.10983917</v>
      </c>
    </row>
    <row r="83" spans="1:18">
      <c r="A83" s="15" t="s">
        <v>643</v>
      </c>
      <c r="B83" s="17" t="n">
        <v>1652</v>
      </c>
      <c r="C83" s="18">
        <f>(1283.0/B83*100)</f>
        <v/>
      </c>
      <c r="D83" s="19" t="n">
        <v>369</v>
      </c>
      <c r="E83" s="18" t="n">
        <v>28.81756111</v>
      </c>
      <c r="F83" s="20" t="n">
        <v>2.23882871</v>
      </c>
      <c r="G83" s="18" t="n">
        <v>70.74624794</v>
      </c>
      <c r="H83" s="20" t="n">
        <v>2.31671202</v>
      </c>
      <c r="I83" s="18" t="n">
        <v>0</v>
      </c>
      <c r="J83" s="20" t="n">
        <v>0</v>
      </c>
      <c r="K83" s="18" t="n">
        <v>0</v>
      </c>
      <c r="L83" s="20" t="n">
        <v>0</v>
      </c>
      <c r="M83" s="18" t="n">
        <v>0</v>
      </c>
      <c r="N83" s="20" t="n">
        <v>0</v>
      </c>
      <c r="O83" s="18" t="n">
        <v>0</v>
      </c>
      <c r="P83" s="20" t="n">
        <v>0</v>
      </c>
      <c r="Q83" s="18" t="n">
        <v>0.43619095</v>
      </c>
      <c r="R83" s="20" t="n">
        <v>0.31361611</v>
      </c>
    </row>
    <row r="84" spans="1:18">
      <c r="A84" s="23" t="s">
        <v>644</v>
      </c>
      <c r="B84" s="24" t="n">
        <v>1887</v>
      </c>
      <c r="C84" s="25">
        <f>(1477.0/B84*100)</f>
        <v/>
      </c>
      <c r="D84" s="19" t="n">
        <v>410</v>
      </c>
      <c r="E84" s="18" t="n">
        <v>34.00316638</v>
      </c>
      <c r="F84" s="20" t="n">
        <v>2.27418088</v>
      </c>
      <c r="G84" s="18" t="n">
        <v>65.76785858</v>
      </c>
      <c r="H84" s="20" t="n">
        <v>2.25693576</v>
      </c>
      <c r="I84" s="18" t="n">
        <v>0</v>
      </c>
      <c r="J84" s="20" t="n">
        <v>0</v>
      </c>
      <c r="K84" s="18" t="n">
        <v>0</v>
      </c>
      <c r="L84" s="20" t="n">
        <v>0</v>
      </c>
      <c r="M84" s="18" t="n">
        <v>0</v>
      </c>
      <c r="N84" s="20" t="n">
        <v>0</v>
      </c>
      <c r="O84" s="18" t="n">
        <v>0</v>
      </c>
      <c r="P84" s="20" t="n">
        <v>0</v>
      </c>
      <c r="Q84" s="18" t="n">
        <v>0.22897504</v>
      </c>
      <c r="R84" s="20" t="n">
        <v>0.22724631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0.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751</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(11358.0/B7*100)</f>
        <v/>
      </c>
      <c r="D7" s="19" t="n">
        <v>3172</v>
      </c>
      <c r="E7" s="18" t="n">
        <v>27.84423182</v>
      </c>
      <c r="F7" s="20" t="n">
        <v>1.00825081</v>
      </c>
      <c r="G7" s="18" t="n">
        <v>45.42004577</v>
      </c>
      <c r="H7" s="20" t="n">
        <v>1.04731813</v>
      </c>
      <c r="I7" s="18" t="n">
        <v>25.26117852</v>
      </c>
      <c r="J7" s="20" t="n">
        <v>0.91397492</v>
      </c>
      <c r="K7" s="18" t="n">
        <v>0</v>
      </c>
      <c r="L7" s="20" t="n">
        <v>0</v>
      </c>
      <c r="M7" s="18" t="n">
        <v>0.04610076</v>
      </c>
      <c r="N7" s="20" t="n">
        <v>0.02187524</v>
      </c>
      <c r="O7" s="18" t="n">
        <v>0</v>
      </c>
      <c r="P7" s="20" t="n">
        <v>0</v>
      </c>
      <c r="Q7" s="18" t="n">
        <v>0</v>
      </c>
      <c r="R7" s="20" t="n">
        <v>0</v>
      </c>
      <c r="S7" s="18" t="n">
        <v>1.42844312</v>
      </c>
      <c r="T7" s="20" t="n">
        <v>0.2508818</v>
      </c>
    </row>
    <row r="8" spans="1:20">
      <c r="A8" s="15" t="s">
        <v>566</v>
      </c>
      <c r="B8" s="17" t="n">
        <v>7007</v>
      </c>
      <c r="C8" s="18">
        <f>(5441.0/B8*100)</f>
        <v/>
      </c>
      <c r="D8" s="19" t="n">
        <v>1566</v>
      </c>
      <c r="E8" s="18" t="n">
        <v>22.57482062</v>
      </c>
      <c r="F8" s="20" t="n">
        <v>1.06419553</v>
      </c>
      <c r="G8" s="18" t="n">
        <v>41.28894412</v>
      </c>
      <c r="H8" s="20" t="n">
        <v>1.3592003</v>
      </c>
      <c r="I8" s="18" t="n">
        <v>35.14426586</v>
      </c>
      <c r="J8" s="20" t="n">
        <v>1.55442154</v>
      </c>
      <c r="K8" s="18" t="n">
        <v>0</v>
      </c>
      <c r="L8" s="20" t="n">
        <v>0</v>
      </c>
      <c r="M8" s="18" t="n">
        <v>0.09773318</v>
      </c>
      <c r="N8" s="20" t="n">
        <v>0.10113801</v>
      </c>
      <c r="O8" s="18" t="n">
        <v>0</v>
      </c>
      <c r="P8" s="20" t="n">
        <v>0</v>
      </c>
      <c r="Q8" s="18" t="n">
        <v>0</v>
      </c>
      <c r="R8" s="20" t="n">
        <v>0</v>
      </c>
      <c r="S8" s="18" t="n">
        <v>0.89423622</v>
      </c>
      <c r="T8" s="20" t="n">
        <v>0.24230939</v>
      </c>
    </row>
    <row r="9" spans="1:20">
      <c r="A9" s="15" t="s">
        <v>567</v>
      </c>
      <c r="B9" s="17" t="n">
        <v>9651</v>
      </c>
      <c r="C9" s="18">
        <f>(7560.0/B9*100)</f>
        <v/>
      </c>
      <c r="D9" s="19" t="n">
        <v>2091</v>
      </c>
      <c r="E9" s="18" t="n">
        <v>30.71275589</v>
      </c>
      <c r="F9" s="20" t="n">
        <v>1.03135778</v>
      </c>
      <c r="G9" s="18" t="n">
        <v>26.99154825</v>
      </c>
      <c r="H9" s="20" t="n">
        <v>1.22252443</v>
      </c>
      <c r="I9" s="18" t="n">
        <v>41.17166244</v>
      </c>
      <c r="J9" s="20" t="n">
        <v>1.03977432</v>
      </c>
      <c r="K9" s="18" t="n">
        <v>0</v>
      </c>
      <c r="L9" s="20" t="n">
        <v>0</v>
      </c>
      <c r="M9" s="18" t="n">
        <v>0</v>
      </c>
      <c r="N9" s="20" t="n">
        <v>0</v>
      </c>
      <c r="O9" s="18" t="n">
        <v>0</v>
      </c>
      <c r="P9" s="20" t="n">
        <v>0</v>
      </c>
      <c r="Q9" s="18" t="n">
        <v>0</v>
      </c>
      <c r="R9" s="20" t="n">
        <v>0</v>
      </c>
      <c r="S9" s="18" t="n">
        <v>1.12403343</v>
      </c>
      <c r="T9" s="20" t="n">
        <v>0.22005808</v>
      </c>
    </row>
    <row r="10" spans="1:20">
      <c r="A10" s="15" t="s">
        <v>568</v>
      </c>
      <c r="B10" s="17" t="n">
        <v>20058</v>
      </c>
      <c r="C10" s="18">
        <f>(15687.0/B10*100)</f>
        <v/>
      </c>
      <c r="D10" s="19" t="n">
        <v>4371</v>
      </c>
      <c r="E10" s="18" t="n">
        <v>21.10430195</v>
      </c>
      <c r="F10" s="20" t="n">
        <v>0.78889964</v>
      </c>
      <c r="G10" s="18" t="n">
        <v>40.72410072</v>
      </c>
      <c r="H10" s="20" t="n">
        <v>1.03463583</v>
      </c>
      <c r="I10" s="18" t="n">
        <v>37.36308274</v>
      </c>
      <c r="J10" s="20" t="n">
        <v>1.02606458</v>
      </c>
      <c r="K10" s="18" t="n">
        <v>0</v>
      </c>
      <c r="L10" s="20" t="n">
        <v>0</v>
      </c>
      <c r="M10" s="18" t="n">
        <v>0.19935922</v>
      </c>
      <c r="N10" s="20" t="n">
        <v>0.10210532</v>
      </c>
      <c r="O10" s="18" t="n">
        <v>0</v>
      </c>
      <c r="P10" s="20" t="n">
        <v>0</v>
      </c>
      <c r="Q10" s="18" t="n">
        <v>0</v>
      </c>
      <c r="R10" s="20" t="n">
        <v>0</v>
      </c>
      <c r="S10" s="18" t="n">
        <v>0.60915536</v>
      </c>
      <c r="T10" s="20" t="n">
        <v>0.17780305</v>
      </c>
    </row>
    <row r="11" spans="1:20">
      <c r="A11" s="15" t="s">
        <v>569</v>
      </c>
      <c r="B11" s="17" t="n">
        <v>7053</v>
      </c>
      <c r="C11" s="18">
        <f>(5553.0/B11*100)</f>
        <v/>
      </c>
      <c r="D11" s="19" t="n">
        <v>1500</v>
      </c>
      <c r="E11" s="18" t="n">
        <v>31.80986042</v>
      </c>
      <c r="F11" s="20" t="n">
        <v>1.31948127</v>
      </c>
      <c r="G11" s="18" t="n">
        <v>31.32871249</v>
      </c>
      <c r="H11" s="20" t="n">
        <v>1.50415172</v>
      </c>
      <c r="I11" s="18" t="n">
        <v>34.13807258</v>
      </c>
      <c r="J11" s="20" t="n">
        <v>1.5898663</v>
      </c>
      <c r="K11" s="18" t="n">
        <v>0</v>
      </c>
      <c r="L11" s="20" t="n">
        <v>0</v>
      </c>
      <c r="M11" s="18" t="n">
        <v>0.1412009</v>
      </c>
      <c r="N11" s="20" t="n">
        <v>0.08579979</v>
      </c>
      <c r="O11" s="18" t="n">
        <v>0</v>
      </c>
      <c r="P11" s="20" t="n">
        <v>0</v>
      </c>
      <c r="Q11" s="18" t="n">
        <v>0</v>
      </c>
      <c r="R11" s="20" t="n">
        <v>0</v>
      </c>
      <c r="S11" s="18" t="n">
        <v>2.58215361</v>
      </c>
      <c r="T11" s="20" t="n">
        <v>0.45768462</v>
      </c>
    </row>
    <row r="12" spans="1:20">
      <c r="A12" s="15" t="s">
        <v>570</v>
      </c>
      <c r="B12" s="17" t="n">
        <v>6894</v>
      </c>
      <c r="C12" s="18">
        <f>(5422.0/B12*100)</f>
        <v/>
      </c>
      <c r="D12" s="19" t="n">
        <v>1472</v>
      </c>
      <c r="E12" s="18" t="n">
        <v>34.77841905</v>
      </c>
      <c r="F12" s="20" t="n">
        <v>1.35108351</v>
      </c>
      <c r="G12" s="18" t="n">
        <v>43.32912862</v>
      </c>
      <c r="H12" s="20" t="n">
        <v>1.38285909</v>
      </c>
      <c r="I12" s="18" t="n">
        <v>21.28287574</v>
      </c>
      <c r="J12" s="20" t="n">
        <v>1.19221117</v>
      </c>
      <c r="K12" s="18" t="n">
        <v>0</v>
      </c>
      <c r="L12" s="20" t="n">
        <v>0</v>
      </c>
      <c r="M12" s="18" t="n">
        <v>0.06365957</v>
      </c>
      <c r="N12" s="20" t="n">
        <v>0.06245436</v>
      </c>
      <c r="O12" s="18" t="n">
        <v>0</v>
      </c>
      <c r="P12" s="20" t="n">
        <v>0</v>
      </c>
      <c r="Q12" s="18" t="n">
        <v>0</v>
      </c>
      <c r="R12" s="20" t="n">
        <v>0</v>
      </c>
      <c r="S12" s="18" t="n">
        <v>0.54591702</v>
      </c>
      <c r="T12" s="20" t="n">
        <v>0.19031738</v>
      </c>
    </row>
    <row r="13" spans="1:20">
      <c r="A13" s="15" t="s">
        <v>571</v>
      </c>
      <c r="B13" s="17" t="n">
        <v>7161</v>
      </c>
      <c r="C13" s="18">
        <f>(5696.0/B13*100)</f>
        <v/>
      </c>
      <c r="D13" s="19" t="n">
        <v>1465</v>
      </c>
      <c r="E13" s="18" t="n">
        <v>21.51162567</v>
      </c>
      <c r="F13" s="20" t="n">
        <v>1.31481956</v>
      </c>
      <c r="G13" s="18" t="n">
        <v>59.87908294</v>
      </c>
      <c r="H13" s="20" t="n">
        <v>1.62086809</v>
      </c>
      <c r="I13" s="18" t="n">
        <v>17.25063847</v>
      </c>
      <c r="J13" s="20" t="n">
        <v>1.13950192</v>
      </c>
      <c r="K13" s="18" t="n">
        <v>0</v>
      </c>
      <c r="L13" s="20" t="n">
        <v>0</v>
      </c>
      <c r="M13" s="18" t="n">
        <v>0.48659787</v>
      </c>
      <c r="N13" s="20" t="n">
        <v>0.19944717</v>
      </c>
      <c r="O13" s="18" t="n">
        <v>0</v>
      </c>
      <c r="P13" s="20" t="n">
        <v>0</v>
      </c>
      <c r="Q13" s="18" t="n">
        <v>0</v>
      </c>
      <c r="R13" s="20" t="n">
        <v>0</v>
      </c>
      <c r="S13" s="18" t="n">
        <v>0.8720550500000001</v>
      </c>
      <c r="T13" s="20" t="n">
        <v>0.35793048</v>
      </c>
    </row>
    <row r="14" spans="1:20">
      <c r="A14" s="15" t="s">
        <v>572</v>
      </c>
      <c r="B14" s="17" t="n">
        <v>5587</v>
      </c>
      <c r="C14" s="18">
        <f>(4391.0/B14*100)</f>
        <v/>
      </c>
      <c r="D14" s="19" t="n">
        <v>1196</v>
      </c>
      <c r="E14" s="18" t="n">
        <v>21.8415</v>
      </c>
      <c r="F14" s="20" t="n">
        <v>1.45794288</v>
      </c>
      <c r="G14" s="18" t="n">
        <v>15.26805639</v>
      </c>
      <c r="H14" s="20" t="n">
        <v>1.06525546</v>
      </c>
      <c r="I14" s="18" t="n">
        <v>62.5435731</v>
      </c>
      <c r="J14" s="20" t="n">
        <v>1.62594756</v>
      </c>
      <c r="K14" s="18" t="n">
        <v>0</v>
      </c>
      <c r="L14" s="20" t="n">
        <v>0</v>
      </c>
      <c r="M14" s="18" t="n">
        <v>0.07157958</v>
      </c>
      <c r="N14" s="20" t="n">
        <v>0.07172441</v>
      </c>
      <c r="O14" s="18" t="n">
        <v>0</v>
      </c>
      <c r="P14" s="20" t="n">
        <v>0</v>
      </c>
      <c r="Q14" s="18" t="n">
        <v>0</v>
      </c>
      <c r="R14" s="20" t="n">
        <v>0</v>
      </c>
      <c r="S14" s="18" t="n">
        <v>0.27529093</v>
      </c>
      <c r="T14" s="20" t="n">
        <v>0.13793244</v>
      </c>
    </row>
    <row r="15" spans="1:20">
      <c r="A15" s="15" t="s">
        <v>573</v>
      </c>
      <c r="B15" s="17" t="n">
        <v>5882</v>
      </c>
      <c r="C15" s="18">
        <f>(4559.0/B15*100)</f>
        <v/>
      </c>
      <c r="D15" s="19" t="n">
        <v>1323</v>
      </c>
      <c r="E15" s="18" t="n">
        <v>15.10928146</v>
      </c>
      <c r="F15" s="20" t="n">
        <v>1.15880201</v>
      </c>
      <c r="G15" s="18" t="n">
        <v>25.91093007</v>
      </c>
      <c r="H15" s="20" t="n">
        <v>1.21291815</v>
      </c>
      <c r="I15" s="18" t="n">
        <v>58.53483956</v>
      </c>
      <c r="J15" s="20" t="n">
        <v>1.35456397</v>
      </c>
      <c r="K15" s="18" t="n">
        <v>0</v>
      </c>
      <c r="L15" s="20" t="n">
        <v>0</v>
      </c>
      <c r="M15" s="18" t="n">
        <v>0</v>
      </c>
      <c r="N15" s="20" t="n">
        <v>0</v>
      </c>
      <c r="O15" s="18" t="n">
        <v>0</v>
      </c>
      <c r="P15" s="20" t="n">
        <v>0</v>
      </c>
      <c r="Q15" s="18" t="n">
        <v>0</v>
      </c>
      <c r="R15" s="20" t="n">
        <v>0</v>
      </c>
      <c r="S15" s="18" t="n">
        <v>0.44494891</v>
      </c>
      <c r="T15" s="20" t="n">
        <v>0.19909541</v>
      </c>
    </row>
    <row r="16" spans="1:20">
      <c r="A16" s="15" t="s">
        <v>574</v>
      </c>
      <c r="B16" s="17" t="n">
        <v>6108</v>
      </c>
      <c r="C16" s="18">
        <f>(4736.0/B16*100)</f>
        <v/>
      </c>
      <c r="D16" s="19" t="n">
        <v>1372</v>
      </c>
      <c r="E16" s="18" t="n">
        <v>39.64530735</v>
      </c>
      <c r="F16" s="20" t="n">
        <v>1.24602698</v>
      </c>
      <c r="G16" s="18" t="n">
        <v>33.19918597</v>
      </c>
      <c r="H16" s="20" t="n">
        <v>1.06164855</v>
      </c>
      <c r="I16" s="18" t="n">
        <v>24.89746496</v>
      </c>
      <c r="J16" s="20" t="n">
        <v>1.22081867</v>
      </c>
      <c r="K16" s="18" t="n">
        <v>0</v>
      </c>
      <c r="L16" s="20" t="n">
        <v>0</v>
      </c>
      <c r="M16" s="18" t="n">
        <v>0.35175828</v>
      </c>
      <c r="N16" s="20" t="n">
        <v>0.1479116</v>
      </c>
      <c r="O16" s="18" t="n">
        <v>0</v>
      </c>
      <c r="P16" s="20" t="n">
        <v>0</v>
      </c>
      <c r="Q16" s="18" t="n">
        <v>0</v>
      </c>
      <c r="R16" s="20" t="n">
        <v>0</v>
      </c>
      <c r="S16" s="18" t="n">
        <v>1.90628345</v>
      </c>
      <c r="T16" s="20" t="n">
        <v>0.39822139</v>
      </c>
    </row>
    <row r="17" spans="1:20">
      <c r="A17" s="15" t="s">
        <v>575</v>
      </c>
      <c r="B17" s="17" t="n">
        <v>6504</v>
      </c>
      <c r="C17" s="18">
        <f>(5144.0/B17*100)</f>
        <v/>
      </c>
      <c r="D17" s="19" t="n">
        <v>1360</v>
      </c>
      <c r="E17" s="18" t="n">
        <v>22.35800469</v>
      </c>
      <c r="F17" s="20" t="n">
        <v>1.30487749</v>
      </c>
      <c r="G17" s="18" t="n">
        <v>38.41868236</v>
      </c>
      <c r="H17" s="20" t="n">
        <v>1.22645603</v>
      </c>
      <c r="I17" s="18" t="n">
        <v>38.22560274</v>
      </c>
      <c r="J17" s="20" t="n">
        <v>1.63887032</v>
      </c>
      <c r="K17" s="18" t="n">
        <v>0</v>
      </c>
      <c r="L17" s="20" t="n">
        <v>0</v>
      </c>
      <c r="M17" s="18" t="n">
        <v>0.16379706</v>
      </c>
      <c r="N17" s="20" t="n">
        <v>0.12464855</v>
      </c>
      <c r="O17" s="18" t="n">
        <v>0</v>
      </c>
      <c r="P17" s="20" t="n">
        <v>0</v>
      </c>
      <c r="Q17" s="18" t="n">
        <v>0</v>
      </c>
      <c r="R17" s="20" t="n">
        <v>0</v>
      </c>
      <c r="S17" s="18" t="n">
        <v>0.83391316</v>
      </c>
      <c r="T17" s="20" t="n">
        <v>0.21664752</v>
      </c>
    </row>
    <row r="18" spans="1:20">
      <c r="A18" s="15" t="s">
        <v>576</v>
      </c>
      <c r="B18" s="17" t="n">
        <v>5532</v>
      </c>
      <c r="C18" s="18">
        <f>(4313.0/B18*100)</f>
        <v/>
      </c>
      <c r="D18" s="19" t="n">
        <v>1219</v>
      </c>
      <c r="E18" s="18" t="n">
        <v>30.98083666</v>
      </c>
      <c r="F18" s="20" t="n">
        <v>1.55035976</v>
      </c>
      <c r="G18" s="18" t="n">
        <v>26.56903537</v>
      </c>
      <c r="H18" s="20" t="n">
        <v>1.3039892</v>
      </c>
      <c r="I18" s="18" t="n">
        <v>40.56919232</v>
      </c>
      <c r="J18" s="20" t="n">
        <v>1.55937425</v>
      </c>
      <c r="K18" s="18" t="n">
        <v>0</v>
      </c>
      <c r="L18" s="20" t="n">
        <v>0</v>
      </c>
      <c r="M18" s="18" t="n">
        <v>0.31543455</v>
      </c>
      <c r="N18" s="20" t="n">
        <v>0.18122586</v>
      </c>
      <c r="O18" s="18" t="n">
        <v>0</v>
      </c>
      <c r="P18" s="20" t="n">
        <v>0</v>
      </c>
      <c r="Q18" s="18" t="n">
        <v>0</v>
      </c>
      <c r="R18" s="20" t="n">
        <v>0</v>
      </c>
      <c r="S18" s="18" t="n">
        <v>1.56550109</v>
      </c>
      <c r="T18" s="20" t="n">
        <v>0.39666266</v>
      </c>
    </row>
    <row r="19" spans="1:20">
      <c r="A19" s="15" t="s">
        <v>577</v>
      </c>
      <c r="B19" s="17" t="n">
        <v>5658</v>
      </c>
      <c r="C19" s="18">
        <f>(4450.0/B19*100)</f>
        <v/>
      </c>
      <c r="D19" s="19" t="n">
        <v>1208</v>
      </c>
      <c r="E19" s="18" t="n">
        <v>23.46586188</v>
      </c>
      <c r="F19" s="20" t="n">
        <v>1.36113026</v>
      </c>
      <c r="G19" s="18" t="n">
        <v>50.8133247</v>
      </c>
      <c r="H19" s="20" t="n">
        <v>1.46034266</v>
      </c>
      <c r="I19" s="18" t="n">
        <v>24.17956486</v>
      </c>
      <c r="J19" s="20" t="n">
        <v>1.3260135</v>
      </c>
      <c r="K19" s="18" t="n">
        <v>0</v>
      </c>
      <c r="L19" s="20" t="n">
        <v>0</v>
      </c>
      <c r="M19" s="18" t="n">
        <v>0</v>
      </c>
      <c r="N19" s="20" t="n">
        <v>0</v>
      </c>
      <c r="O19" s="18" t="n">
        <v>0</v>
      </c>
      <c r="P19" s="20" t="n">
        <v>0</v>
      </c>
      <c r="Q19" s="18" t="n">
        <v>0</v>
      </c>
      <c r="R19" s="20" t="n">
        <v>0</v>
      </c>
      <c r="S19" s="18" t="n">
        <v>1.54124856</v>
      </c>
      <c r="T19" s="20" t="n">
        <v>0.56851489</v>
      </c>
    </row>
    <row r="20" spans="1:20">
      <c r="A20" s="15" t="s">
        <v>578</v>
      </c>
      <c r="B20" s="17" t="n">
        <v>3371</v>
      </c>
      <c r="C20" s="18">
        <f>(2638.0/B20*100)</f>
        <v/>
      </c>
      <c r="D20" s="19" t="n">
        <v>733</v>
      </c>
      <c r="E20" s="18" t="n">
        <v>25.71079931</v>
      </c>
      <c r="F20" s="20" t="n">
        <v>1.76866033</v>
      </c>
      <c r="G20" s="18" t="n">
        <v>22.26176978</v>
      </c>
      <c r="H20" s="20" t="n">
        <v>1.64203682</v>
      </c>
      <c r="I20" s="18" t="n">
        <v>50.16840782</v>
      </c>
      <c r="J20" s="20" t="n">
        <v>1.93348425</v>
      </c>
      <c r="K20" s="18" t="n">
        <v>0</v>
      </c>
      <c r="L20" s="20" t="n">
        <v>0</v>
      </c>
      <c r="M20" s="18" t="n">
        <v>0.11616375</v>
      </c>
      <c r="N20" s="20" t="n">
        <v>0.11546391</v>
      </c>
      <c r="O20" s="18" t="n">
        <v>0</v>
      </c>
      <c r="P20" s="20" t="n">
        <v>0</v>
      </c>
      <c r="Q20" s="18" t="n">
        <v>0</v>
      </c>
      <c r="R20" s="20" t="n">
        <v>0</v>
      </c>
      <c r="S20" s="18" t="n">
        <v>1.74285934</v>
      </c>
      <c r="T20" s="20" t="n">
        <v>0.550736</v>
      </c>
    </row>
    <row r="21" spans="1:20">
      <c r="A21" s="15" t="s">
        <v>579</v>
      </c>
      <c r="B21" s="17" t="n">
        <v>5741</v>
      </c>
      <c r="C21" s="18">
        <f>(4465.0/B21*100)</f>
        <v/>
      </c>
      <c r="D21" s="19" t="n">
        <v>1276</v>
      </c>
      <c r="E21" s="18" t="n">
        <v>29.85042968</v>
      </c>
      <c r="F21" s="20" t="n">
        <v>1.23100673</v>
      </c>
      <c r="G21" s="18" t="n">
        <v>43.70687091</v>
      </c>
      <c r="H21" s="20" t="n">
        <v>1.39268266</v>
      </c>
      <c r="I21" s="18" t="n">
        <v>25.81566779</v>
      </c>
      <c r="J21" s="20" t="n">
        <v>1.22870442</v>
      </c>
      <c r="K21" s="18" t="n">
        <v>0</v>
      </c>
      <c r="L21" s="20" t="n">
        <v>0</v>
      </c>
      <c r="M21" s="18" t="n">
        <v>0</v>
      </c>
      <c r="N21" s="20" t="n">
        <v>0</v>
      </c>
      <c r="O21" s="18" t="n">
        <v>0</v>
      </c>
      <c r="P21" s="20" t="n">
        <v>0</v>
      </c>
      <c r="Q21" s="18" t="n">
        <v>0</v>
      </c>
      <c r="R21" s="20" t="n">
        <v>0</v>
      </c>
      <c r="S21" s="18" t="n">
        <v>0.62703162</v>
      </c>
      <c r="T21" s="20" t="n">
        <v>0.22439183</v>
      </c>
    </row>
    <row r="22" spans="1:20">
      <c r="A22" s="15" t="s">
        <v>580</v>
      </c>
      <c r="B22" s="17" t="n">
        <v>6598</v>
      </c>
      <c r="C22" s="18">
        <f>(5157.0/B22*100)</f>
        <v/>
      </c>
      <c r="D22" s="19" t="n">
        <v>1441</v>
      </c>
      <c r="E22" s="18" t="n">
        <v>30.82169667</v>
      </c>
      <c r="F22" s="20" t="n">
        <v>1.37534546</v>
      </c>
      <c r="G22" s="18" t="n">
        <v>33.46823881</v>
      </c>
      <c r="H22" s="20" t="n">
        <v>1.26430697</v>
      </c>
      <c r="I22" s="18" t="n">
        <v>33.43382713</v>
      </c>
      <c r="J22" s="20" t="n">
        <v>1.47213821</v>
      </c>
      <c r="K22" s="18" t="n">
        <v>0</v>
      </c>
      <c r="L22" s="20" t="n">
        <v>0</v>
      </c>
      <c r="M22" s="18" t="n">
        <v>0.36345401</v>
      </c>
      <c r="N22" s="20" t="n">
        <v>0.16035654</v>
      </c>
      <c r="O22" s="18" t="n">
        <v>0</v>
      </c>
      <c r="P22" s="20" t="n">
        <v>0</v>
      </c>
      <c r="Q22" s="18" t="n">
        <v>0</v>
      </c>
      <c r="R22" s="20" t="n">
        <v>0</v>
      </c>
      <c r="S22" s="18" t="n">
        <v>1.91278338</v>
      </c>
      <c r="T22" s="20" t="n">
        <v>0.37927669</v>
      </c>
    </row>
    <row r="23" spans="1:20">
      <c r="A23" s="15" t="s">
        <v>581</v>
      </c>
      <c r="B23" s="17" t="n">
        <v>11583</v>
      </c>
      <c r="C23" s="18">
        <f>(8966.0/B23*100)</f>
        <v/>
      </c>
      <c r="D23" s="19" t="n">
        <v>2617</v>
      </c>
      <c r="E23" s="18" t="n">
        <v>36.07185994</v>
      </c>
      <c r="F23" s="20" t="n">
        <v>1.34212259</v>
      </c>
      <c r="G23" s="18" t="n">
        <v>31.68983888</v>
      </c>
      <c r="H23" s="20" t="n">
        <v>1.41183871</v>
      </c>
      <c r="I23" s="18" t="n">
        <v>30.21678957</v>
      </c>
      <c r="J23" s="20" t="n">
        <v>1.37822695</v>
      </c>
      <c r="K23" s="18" t="n">
        <v>0</v>
      </c>
      <c r="L23" s="20" t="n">
        <v>0</v>
      </c>
      <c r="M23" s="18" t="n">
        <v>0.08523848000000001</v>
      </c>
      <c r="N23" s="20" t="n">
        <v>0.089875</v>
      </c>
      <c r="O23" s="18" t="n">
        <v>0</v>
      </c>
      <c r="P23" s="20" t="n">
        <v>0</v>
      </c>
      <c r="Q23" s="18" t="n">
        <v>0</v>
      </c>
      <c r="R23" s="20" t="n">
        <v>0</v>
      </c>
      <c r="S23" s="18" t="n">
        <v>1.93627313</v>
      </c>
      <c r="T23" s="20" t="n">
        <v>0.42677302</v>
      </c>
    </row>
    <row r="24" spans="1:20">
      <c r="A24" s="15" t="s">
        <v>582</v>
      </c>
      <c r="B24" s="17" t="n">
        <v>6647</v>
      </c>
      <c r="C24" s="18">
        <f>(5170.0/B24*100)</f>
        <v/>
      </c>
      <c r="D24" s="19" t="n">
        <v>1477</v>
      </c>
      <c r="E24" s="18" t="n">
        <v>23.12887575</v>
      </c>
      <c r="F24" s="20" t="n">
        <v>1.23240278</v>
      </c>
      <c r="G24" s="18" t="n">
        <v>9.31739644</v>
      </c>
      <c r="H24" s="20" t="n">
        <v>0.75438139</v>
      </c>
      <c r="I24" s="18" t="n">
        <v>67.11191528000001</v>
      </c>
      <c r="J24" s="20" t="n">
        <v>1.3592011</v>
      </c>
      <c r="K24" s="18" t="n">
        <v>0</v>
      </c>
      <c r="L24" s="20" t="n">
        <v>0</v>
      </c>
      <c r="M24" s="18" t="n">
        <v>0</v>
      </c>
      <c r="N24" s="20" t="n">
        <v>0</v>
      </c>
      <c r="O24" s="18" t="n">
        <v>0</v>
      </c>
      <c r="P24" s="20" t="n">
        <v>0</v>
      </c>
      <c r="Q24" s="18" t="n">
        <v>0</v>
      </c>
      <c r="R24" s="20" t="n">
        <v>0</v>
      </c>
      <c r="S24" s="18" t="n">
        <v>0.44181253</v>
      </c>
      <c r="T24" s="20" t="n">
        <v>0.18843438</v>
      </c>
    </row>
    <row r="25" spans="1:20">
      <c r="A25" s="15" t="s">
        <v>583</v>
      </c>
      <c r="B25" s="17" t="n">
        <v>5581</v>
      </c>
      <c r="C25" s="18">
        <f>(4356.0/B25*100)</f>
        <v/>
      </c>
      <c r="D25" s="19" t="n">
        <v>1225</v>
      </c>
      <c r="E25" s="18" t="n">
        <v>0</v>
      </c>
      <c r="F25" s="20" t="n">
        <v>0</v>
      </c>
      <c r="G25" s="18" t="n">
        <v>0</v>
      </c>
      <c r="H25" s="20" t="n">
        <v>0</v>
      </c>
      <c r="I25" s="18" t="n">
        <v>0</v>
      </c>
      <c r="J25" s="20" t="n">
        <v>0</v>
      </c>
      <c r="K25" s="18" t="n">
        <v>0</v>
      </c>
      <c r="L25" s="20" t="n">
        <v>0</v>
      </c>
      <c r="M25" s="18" t="n">
        <v>0</v>
      </c>
      <c r="N25" s="20" t="n">
        <v>0</v>
      </c>
      <c r="O25" s="18" t="n">
        <v>100</v>
      </c>
      <c r="P25" s="20" t="n">
        <v>0</v>
      </c>
      <c r="Q25" s="18" t="n">
        <v>0</v>
      </c>
      <c r="R25" s="20" t="n">
        <v>0</v>
      </c>
      <c r="S25" s="18" t="n">
        <v>0</v>
      </c>
      <c r="T25" s="20" t="n">
        <v>0</v>
      </c>
    </row>
    <row r="26" spans="1:20">
      <c r="A26" s="15" t="s">
        <v>584</v>
      </c>
      <c r="B26" s="17" t="n">
        <v>4869</v>
      </c>
      <c r="C26" s="18">
        <f>(3806.0/B26*100)</f>
        <v/>
      </c>
      <c r="D26" s="19" t="n">
        <v>1063</v>
      </c>
      <c r="E26" s="18" t="n">
        <v>23.50196408</v>
      </c>
      <c r="F26" s="20" t="n">
        <v>1.3646903</v>
      </c>
      <c r="G26" s="18" t="n">
        <v>22.28552638</v>
      </c>
      <c r="H26" s="20" t="n">
        <v>1.47694736</v>
      </c>
      <c r="I26" s="18" t="n">
        <v>27.93508244</v>
      </c>
      <c r="J26" s="20" t="n">
        <v>1.77938677</v>
      </c>
      <c r="K26" s="18" t="n">
        <v>0</v>
      </c>
      <c r="L26" s="20" t="n">
        <v>0</v>
      </c>
      <c r="M26" s="18" t="n">
        <v>0</v>
      </c>
      <c r="N26" s="20" t="n">
        <v>0</v>
      </c>
      <c r="O26" s="18" t="n">
        <v>25.67665109</v>
      </c>
      <c r="P26" s="20" t="n">
        <v>2.29964946</v>
      </c>
      <c r="Q26" s="18" t="n">
        <v>0</v>
      </c>
      <c r="R26" s="20" t="n">
        <v>0</v>
      </c>
      <c r="S26" s="18" t="n">
        <v>0.600776</v>
      </c>
      <c r="T26" s="20" t="n">
        <v>0.25805541</v>
      </c>
    </row>
    <row r="27" spans="1:20">
      <c r="A27" s="15" t="s">
        <v>585</v>
      </c>
      <c r="B27" s="17" t="n">
        <v>5299</v>
      </c>
      <c r="C27" s="18">
        <f>(4094.0/B27*100)</f>
        <v/>
      </c>
      <c r="D27" s="19" t="n">
        <v>1205</v>
      </c>
      <c r="E27" s="18" t="n">
        <v>31.1197972</v>
      </c>
      <c r="F27" s="20" t="n">
        <v>1.23854177</v>
      </c>
      <c r="G27" s="18" t="n">
        <v>38.29387218</v>
      </c>
      <c r="H27" s="20" t="n">
        <v>1.40542384</v>
      </c>
      <c r="I27" s="18" t="n">
        <v>29.33173492</v>
      </c>
      <c r="J27" s="20" t="n">
        <v>1.44205659</v>
      </c>
      <c r="K27" s="18" t="n">
        <v>0</v>
      </c>
      <c r="L27" s="20" t="n">
        <v>0</v>
      </c>
      <c r="M27" s="18" t="n">
        <v>0.26094863</v>
      </c>
      <c r="N27" s="20" t="n">
        <v>0.14761216</v>
      </c>
      <c r="O27" s="18" t="n">
        <v>0</v>
      </c>
      <c r="P27" s="20" t="n">
        <v>0</v>
      </c>
      <c r="Q27" s="18" t="n">
        <v>0</v>
      </c>
      <c r="R27" s="20" t="n">
        <v>0</v>
      </c>
      <c r="S27" s="18" t="n">
        <v>0.99364707</v>
      </c>
      <c r="T27" s="20" t="n">
        <v>0.28298249</v>
      </c>
    </row>
    <row r="28" spans="1:20">
      <c r="A28" s="15" t="s">
        <v>586</v>
      </c>
      <c r="B28" s="17" t="n">
        <v>7568</v>
      </c>
      <c r="C28" s="18">
        <f>(5959.0/B28*100)</f>
        <v/>
      </c>
      <c r="D28" s="19" t="n">
        <v>1609</v>
      </c>
      <c r="E28" s="18" t="n">
        <v>46.11041812</v>
      </c>
      <c r="F28" s="20" t="n">
        <v>1.58357389</v>
      </c>
      <c r="G28" s="18" t="n">
        <v>29.11390295</v>
      </c>
      <c r="H28" s="20" t="n">
        <v>1.3190287</v>
      </c>
      <c r="I28" s="18" t="n">
        <v>22.12692363</v>
      </c>
      <c r="J28" s="20" t="n">
        <v>1.35569137</v>
      </c>
      <c r="K28" s="18" t="n">
        <v>0</v>
      </c>
      <c r="L28" s="20" t="n">
        <v>0</v>
      </c>
      <c r="M28" s="18" t="n">
        <v>0.06752872</v>
      </c>
      <c r="N28" s="20" t="n">
        <v>0.06776107000000001</v>
      </c>
      <c r="O28" s="18" t="n">
        <v>0</v>
      </c>
      <c r="P28" s="20" t="n">
        <v>0</v>
      </c>
      <c r="Q28" s="18" t="n">
        <v>0</v>
      </c>
      <c r="R28" s="20" t="n">
        <v>0</v>
      </c>
      <c r="S28" s="18" t="n">
        <v>2.58122658</v>
      </c>
      <c r="T28" s="20" t="n">
        <v>0.50396016</v>
      </c>
    </row>
    <row r="29" spans="1:20">
      <c r="A29" s="15" t="s">
        <v>587</v>
      </c>
      <c r="B29" s="17" t="n">
        <v>5385</v>
      </c>
      <c r="C29" s="18">
        <f>(4278.0/B29*100)</f>
        <v/>
      </c>
      <c r="D29" s="19" t="n">
        <v>1107</v>
      </c>
      <c r="E29" s="18" t="n">
        <v>40.35229612</v>
      </c>
      <c r="F29" s="20" t="n">
        <v>1.68966432</v>
      </c>
      <c r="G29" s="18" t="n">
        <v>35.56611586</v>
      </c>
      <c r="H29" s="20" t="n">
        <v>1.61430206</v>
      </c>
      <c r="I29" s="18" t="n">
        <v>22.60293534</v>
      </c>
      <c r="J29" s="20" t="n">
        <v>1.40226208</v>
      </c>
      <c r="K29" s="18" t="n">
        <v>0</v>
      </c>
      <c r="L29" s="20" t="n">
        <v>0</v>
      </c>
      <c r="M29" s="18" t="n">
        <v>0.06668916</v>
      </c>
      <c r="N29" s="20" t="n">
        <v>0.09179611</v>
      </c>
      <c r="O29" s="18" t="n">
        <v>0</v>
      </c>
      <c r="P29" s="20" t="n">
        <v>0</v>
      </c>
      <c r="Q29" s="18" t="n">
        <v>0</v>
      </c>
      <c r="R29" s="20" t="n">
        <v>0</v>
      </c>
      <c r="S29" s="18" t="n">
        <v>1.41196352</v>
      </c>
      <c r="T29" s="20" t="n">
        <v>0.33297062</v>
      </c>
    </row>
    <row r="30" spans="1:20">
      <c r="A30" s="15" t="s">
        <v>588</v>
      </c>
      <c r="B30" s="17" t="n">
        <v>4520</v>
      </c>
      <c r="C30" s="18">
        <f>(3513.0/B30*100)</f>
        <v/>
      </c>
      <c r="D30" s="19" t="n">
        <v>1007</v>
      </c>
      <c r="E30" s="18" t="n">
        <v>29.18491828</v>
      </c>
      <c r="F30" s="20" t="n">
        <v>1.37978094</v>
      </c>
      <c r="G30" s="18" t="n">
        <v>49.33099637</v>
      </c>
      <c r="H30" s="20" t="n">
        <v>1.77203575</v>
      </c>
      <c r="I30" s="18" t="n">
        <v>19.76795356</v>
      </c>
      <c r="J30" s="20" t="n">
        <v>1.46094581</v>
      </c>
      <c r="K30" s="18" t="n">
        <v>0</v>
      </c>
      <c r="L30" s="20" t="n">
        <v>0</v>
      </c>
      <c r="M30" s="18" t="n">
        <v>0.20220271</v>
      </c>
      <c r="N30" s="20" t="n">
        <v>0.15859247</v>
      </c>
      <c r="O30" s="18" t="n">
        <v>0</v>
      </c>
      <c r="P30" s="20" t="n">
        <v>0</v>
      </c>
      <c r="Q30" s="18" t="n">
        <v>0</v>
      </c>
      <c r="R30" s="20" t="n">
        <v>0</v>
      </c>
      <c r="S30" s="18" t="n">
        <v>1.51392908</v>
      </c>
      <c r="T30" s="20" t="n">
        <v>0.39836226</v>
      </c>
    </row>
    <row r="31" spans="1:20">
      <c r="A31" s="15" t="s">
        <v>589</v>
      </c>
      <c r="B31" s="17" t="n">
        <v>5456</v>
      </c>
      <c r="C31" s="18">
        <f>(4245.0/B31*100)</f>
        <v/>
      </c>
      <c r="D31" s="19" t="n">
        <v>1211</v>
      </c>
      <c r="E31" s="18" t="n">
        <v>27.96683167</v>
      </c>
      <c r="F31" s="20" t="n">
        <v>1.36394247</v>
      </c>
      <c r="G31" s="18" t="n">
        <v>48.4382547</v>
      </c>
      <c r="H31" s="20" t="n">
        <v>1.71099856</v>
      </c>
      <c r="I31" s="18" t="n">
        <v>22.11023852</v>
      </c>
      <c r="J31" s="20" t="n">
        <v>1.48062209</v>
      </c>
      <c r="K31" s="18" t="n">
        <v>0</v>
      </c>
      <c r="L31" s="20" t="n">
        <v>0</v>
      </c>
      <c r="M31" s="18" t="n">
        <v>0.23749915</v>
      </c>
      <c r="N31" s="20" t="n">
        <v>0.13241243</v>
      </c>
      <c r="O31" s="18" t="n">
        <v>0</v>
      </c>
      <c r="P31" s="20" t="n">
        <v>0</v>
      </c>
      <c r="Q31" s="18" t="n">
        <v>0</v>
      </c>
      <c r="R31" s="20" t="n">
        <v>0</v>
      </c>
      <c r="S31" s="18" t="n">
        <v>1.24717596</v>
      </c>
      <c r="T31" s="20" t="n">
        <v>0.39666756</v>
      </c>
    </row>
    <row r="32" spans="1:20">
      <c r="A32" s="15" t="s">
        <v>590</v>
      </c>
      <c r="B32" s="17" t="n">
        <v>4478</v>
      </c>
      <c r="C32" s="18">
        <f>(3435.0/B32*100)</f>
        <v/>
      </c>
      <c r="D32" s="19" t="n">
        <v>1043</v>
      </c>
      <c r="E32" s="18" t="n">
        <v>20.64063455</v>
      </c>
      <c r="F32" s="20" t="n">
        <v>1.25903721</v>
      </c>
      <c r="G32" s="18" t="n">
        <v>32.25618008</v>
      </c>
      <c r="H32" s="20" t="n">
        <v>1.58309168</v>
      </c>
      <c r="I32" s="18" t="n">
        <v>46.65202545</v>
      </c>
      <c r="J32" s="20" t="n">
        <v>2.14842627</v>
      </c>
      <c r="K32" s="18" t="n">
        <v>0</v>
      </c>
      <c r="L32" s="20" t="n">
        <v>0</v>
      </c>
      <c r="M32" s="18" t="n">
        <v>0</v>
      </c>
      <c r="N32" s="20" t="n">
        <v>0</v>
      </c>
      <c r="O32" s="18" t="n">
        <v>0</v>
      </c>
      <c r="P32" s="20" t="n">
        <v>0</v>
      </c>
      <c r="Q32" s="18" t="n">
        <v>0</v>
      </c>
      <c r="R32" s="20" t="n">
        <v>0</v>
      </c>
      <c r="S32" s="18" t="n">
        <v>0.45115993</v>
      </c>
      <c r="T32" s="20" t="n">
        <v>0.20022674</v>
      </c>
    </row>
    <row r="33" spans="1:20">
      <c r="A33" s="15" t="s">
        <v>591</v>
      </c>
      <c r="B33" s="17" t="n">
        <v>7325</v>
      </c>
      <c r="C33" s="18">
        <f>(5671.0/B33*100)</f>
        <v/>
      </c>
      <c r="D33" s="19" t="n">
        <v>1654</v>
      </c>
      <c r="E33" s="18" t="n">
        <v>27.96164535</v>
      </c>
      <c r="F33" s="20" t="n">
        <v>1.28867555</v>
      </c>
      <c r="G33" s="18" t="n">
        <v>27.5425096</v>
      </c>
      <c r="H33" s="20" t="n">
        <v>1.33704505</v>
      </c>
      <c r="I33" s="18" t="n">
        <v>43.94741628</v>
      </c>
      <c r="J33" s="20" t="n">
        <v>1.67901201</v>
      </c>
      <c r="K33" s="18" t="n">
        <v>0</v>
      </c>
      <c r="L33" s="20" t="n">
        <v>0</v>
      </c>
      <c r="M33" s="18" t="n">
        <v>0.08377241000000001</v>
      </c>
      <c r="N33" s="20" t="n">
        <v>0.08286917000000001</v>
      </c>
      <c r="O33" s="18" t="n">
        <v>0</v>
      </c>
      <c r="P33" s="20" t="n">
        <v>0</v>
      </c>
      <c r="Q33" s="18" t="n">
        <v>0</v>
      </c>
      <c r="R33" s="20" t="n">
        <v>0</v>
      </c>
      <c r="S33" s="18" t="n">
        <v>0.46465635</v>
      </c>
      <c r="T33" s="20" t="n">
        <v>0.18821233</v>
      </c>
    </row>
    <row r="34" spans="1:20">
      <c r="A34" s="15" t="s">
        <v>592</v>
      </c>
      <c r="B34" s="17" t="n">
        <v>6350</v>
      </c>
      <c r="C34" s="18">
        <f>(5008.0/B34*100)</f>
        <v/>
      </c>
      <c r="D34" s="19" t="n">
        <v>1342</v>
      </c>
      <c r="E34" s="18" t="n">
        <v>39.16502176</v>
      </c>
      <c r="F34" s="20" t="n">
        <v>1.3567573</v>
      </c>
      <c r="G34" s="18" t="n">
        <v>38.73051662</v>
      </c>
      <c r="H34" s="20" t="n">
        <v>1.55729328</v>
      </c>
      <c r="I34" s="18" t="n">
        <v>20.58058875</v>
      </c>
      <c r="J34" s="20" t="n">
        <v>1.17977679</v>
      </c>
      <c r="K34" s="18" t="n">
        <v>0</v>
      </c>
      <c r="L34" s="20" t="n">
        <v>0</v>
      </c>
      <c r="M34" s="18" t="n">
        <v>0</v>
      </c>
      <c r="N34" s="20" t="n">
        <v>0</v>
      </c>
      <c r="O34" s="18" t="n">
        <v>0</v>
      </c>
      <c r="P34" s="20" t="n">
        <v>0</v>
      </c>
      <c r="Q34" s="18" t="n">
        <v>0</v>
      </c>
      <c r="R34" s="20" t="n">
        <v>0</v>
      </c>
      <c r="S34" s="18" t="n">
        <v>1.52387287</v>
      </c>
      <c r="T34" s="20" t="n">
        <v>0.44312749</v>
      </c>
    </row>
    <row r="35" spans="1:20">
      <c r="A35" s="15" t="s">
        <v>593</v>
      </c>
      <c r="B35" s="17" t="n">
        <v>6406</v>
      </c>
      <c r="C35" s="18">
        <f>(5005.0/B35*100)</f>
        <v/>
      </c>
      <c r="D35" s="19" t="n">
        <v>1401</v>
      </c>
      <c r="E35" s="18" t="n">
        <v>18.73198756</v>
      </c>
      <c r="F35" s="20" t="n">
        <v>1.24749552</v>
      </c>
      <c r="G35" s="18" t="n">
        <v>30.86392078</v>
      </c>
      <c r="H35" s="20" t="n">
        <v>1.45206818</v>
      </c>
      <c r="I35" s="18" t="n">
        <v>49.08996573</v>
      </c>
      <c r="J35" s="20" t="n">
        <v>1.68662704</v>
      </c>
      <c r="K35" s="18" t="n">
        <v>0</v>
      </c>
      <c r="L35" s="20" t="n">
        <v>0</v>
      </c>
      <c r="M35" s="18" t="n">
        <v>0.05970912</v>
      </c>
      <c r="N35" s="20" t="n">
        <v>0.04205173</v>
      </c>
      <c r="O35" s="18" t="n">
        <v>0</v>
      </c>
      <c r="P35" s="20" t="n">
        <v>0</v>
      </c>
      <c r="Q35" s="18" t="n">
        <v>0</v>
      </c>
      <c r="R35" s="20" t="n">
        <v>0</v>
      </c>
      <c r="S35" s="18" t="n">
        <v>1.25441681</v>
      </c>
      <c r="T35" s="20" t="n">
        <v>0.35229222</v>
      </c>
    </row>
    <row r="36" spans="1:20">
      <c r="A36" s="15" t="s">
        <v>594</v>
      </c>
      <c r="B36" s="17" t="n">
        <v>6736</v>
      </c>
      <c r="C36" s="18">
        <f>(5255.0/B36*100)</f>
        <v/>
      </c>
      <c r="D36" s="19" t="n">
        <v>1481</v>
      </c>
      <c r="E36" s="18" t="n">
        <v>29.77934764</v>
      </c>
      <c r="F36" s="20" t="n">
        <v>1.13297792</v>
      </c>
      <c r="G36" s="18" t="n">
        <v>30.38801953</v>
      </c>
      <c r="H36" s="20" t="n">
        <v>1.38567814</v>
      </c>
      <c r="I36" s="18" t="n">
        <v>38.16226689</v>
      </c>
      <c r="J36" s="20" t="n">
        <v>1.55639368</v>
      </c>
      <c r="K36" s="18" t="n">
        <v>0</v>
      </c>
      <c r="L36" s="20" t="n">
        <v>0</v>
      </c>
      <c r="M36" s="18" t="n">
        <v>0.22639124</v>
      </c>
      <c r="N36" s="20" t="n">
        <v>0.02815451</v>
      </c>
      <c r="O36" s="18" t="n">
        <v>0</v>
      </c>
      <c r="P36" s="20" t="n">
        <v>0</v>
      </c>
      <c r="Q36" s="18" t="n">
        <v>0</v>
      </c>
      <c r="R36" s="20" t="n">
        <v>0</v>
      </c>
      <c r="S36" s="18" t="n">
        <v>1.44397471</v>
      </c>
      <c r="T36" s="20" t="n">
        <v>0.33613687</v>
      </c>
    </row>
    <row r="37" spans="1:20">
      <c r="A37" s="15" t="s">
        <v>595</v>
      </c>
      <c r="B37" s="17" t="n">
        <v>5458</v>
      </c>
      <c r="C37" s="18">
        <f>(4263.0/B37*100)</f>
        <v/>
      </c>
      <c r="D37" s="19" t="n">
        <v>1195</v>
      </c>
      <c r="E37" s="18" t="n">
        <v>26.72088246</v>
      </c>
      <c r="F37" s="20" t="n">
        <v>1.43176316</v>
      </c>
      <c r="G37" s="18" t="n">
        <v>50.44726212</v>
      </c>
      <c r="H37" s="20" t="n">
        <v>1.64953967</v>
      </c>
      <c r="I37" s="18" t="n">
        <v>21.62625971</v>
      </c>
      <c r="J37" s="20" t="n">
        <v>1.35757592</v>
      </c>
      <c r="K37" s="18" t="n">
        <v>0</v>
      </c>
      <c r="L37" s="20" t="n">
        <v>0</v>
      </c>
      <c r="M37" s="18" t="n">
        <v>0.07272127</v>
      </c>
      <c r="N37" s="20" t="n">
        <v>0.10284688</v>
      </c>
      <c r="O37" s="18" t="n">
        <v>0</v>
      </c>
      <c r="P37" s="20" t="n">
        <v>0</v>
      </c>
      <c r="Q37" s="18" t="n">
        <v>0</v>
      </c>
      <c r="R37" s="20" t="n">
        <v>0</v>
      </c>
      <c r="S37" s="18" t="n">
        <v>1.13287445</v>
      </c>
      <c r="T37" s="20" t="n">
        <v>0.30874413</v>
      </c>
    </row>
    <row r="38" spans="1:20">
      <c r="A38" s="15" t="s">
        <v>596</v>
      </c>
      <c r="B38" s="17" t="n">
        <v>5860</v>
      </c>
      <c r="C38" s="18">
        <f>(4578.0/B38*100)</f>
        <v/>
      </c>
      <c r="D38" s="19" t="n">
        <v>1282</v>
      </c>
      <c r="E38" s="18" t="n">
        <v>29.59085169</v>
      </c>
      <c r="F38" s="20" t="n">
        <v>1.63272909</v>
      </c>
      <c r="G38" s="18" t="n">
        <v>33.5517438</v>
      </c>
      <c r="H38" s="20" t="n">
        <v>1.53751113</v>
      </c>
      <c r="I38" s="18" t="n">
        <v>36.21557186</v>
      </c>
      <c r="J38" s="20" t="n">
        <v>1.56501483</v>
      </c>
      <c r="K38" s="18" t="n">
        <v>0</v>
      </c>
      <c r="L38" s="20" t="n">
        <v>0</v>
      </c>
      <c r="M38" s="18" t="n">
        <v>0</v>
      </c>
      <c r="N38" s="20" t="n">
        <v>0</v>
      </c>
      <c r="O38" s="18" t="n">
        <v>0</v>
      </c>
      <c r="P38" s="20" t="n">
        <v>0</v>
      </c>
      <c r="Q38" s="18" t="n">
        <v>0</v>
      </c>
      <c r="R38" s="20" t="n">
        <v>0</v>
      </c>
      <c r="S38" s="18" t="n">
        <v>0.64183265</v>
      </c>
      <c r="T38" s="20" t="n">
        <v>0.30047274</v>
      </c>
    </row>
    <row r="39" spans="1:20">
      <c r="A39" s="15" t="s">
        <v>597</v>
      </c>
      <c r="B39" s="17" t="n">
        <v>5895</v>
      </c>
      <c r="C39" s="18">
        <f>(4579.0/B39*100)</f>
        <v/>
      </c>
      <c r="D39" s="19" t="n">
        <v>1316</v>
      </c>
      <c r="E39" s="18" t="n">
        <v>38.9329576</v>
      </c>
      <c r="F39" s="20" t="n">
        <v>1.70217463</v>
      </c>
      <c r="G39" s="18" t="n">
        <v>29.76035812</v>
      </c>
      <c r="H39" s="20" t="n">
        <v>1.28614149</v>
      </c>
      <c r="I39" s="18" t="n">
        <v>29.86076341</v>
      </c>
      <c r="J39" s="20" t="n">
        <v>1.95820956</v>
      </c>
      <c r="K39" s="18" t="n">
        <v>0</v>
      </c>
      <c r="L39" s="20" t="n">
        <v>0</v>
      </c>
      <c r="M39" s="18" t="n">
        <v>0.30327737</v>
      </c>
      <c r="N39" s="20" t="n">
        <v>0.12411087</v>
      </c>
      <c r="O39" s="18" t="n">
        <v>0</v>
      </c>
      <c r="P39" s="20" t="n">
        <v>0</v>
      </c>
      <c r="Q39" s="18" t="n">
        <v>0</v>
      </c>
      <c r="R39" s="20" t="n">
        <v>0</v>
      </c>
      <c r="S39" s="18" t="n">
        <v>1.14264351</v>
      </c>
      <c r="T39" s="20" t="n">
        <v>0.30590056</v>
      </c>
    </row>
    <row r="40" spans="1:20">
      <c r="A40" s="15" t="s">
        <v>598</v>
      </c>
      <c r="B40" s="17" t="n">
        <v>14157</v>
      </c>
      <c r="C40" s="18">
        <f>(11032.0/B40*100)</f>
        <v/>
      </c>
      <c r="D40" s="19" t="n">
        <v>3125</v>
      </c>
      <c r="E40" s="18" t="n">
        <v>24.16127207</v>
      </c>
      <c r="F40" s="20" t="n">
        <v>1.10792046</v>
      </c>
      <c r="G40" s="18" t="n">
        <v>36.92672357</v>
      </c>
      <c r="H40" s="20" t="n">
        <v>1.30919919</v>
      </c>
      <c r="I40" s="18" t="n">
        <v>37.87716022</v>
      </c>
      <c r="J40" s="20" t="n">
        <v>1.4105339</v>
      </c>
      <c r="K40" s="18" t="n">
        <v>0</v>
      </c>
      <c r="L40" s="20" t="n">
        <v>0</v>
      </c>
      <c r="M40" s="18" t="n">
        <v>0.00535883</v>
      </c>
      <c r="N40" s="20" t="n">
        <v>0.00537043</v>
      </c>
      <c r="O40" s="18" t="n">
        <v>0</v>
      </c>
      <c r="P40" s="20" t="n">
        <v>0</v>
      </c>
      <c r="Q40" s="18" t="n">
        <v>0</v>
      </c>
      <c r="R40" s="20" t="n">
        <v>0</v>
      </c>
      <c r="S40" s="18" t="n">
        <v>1.02948532</v>
      </c>
      <c r="T40" s="20" t="n">
        <v>0.27240069</v>
      </c>
    </row>
    <row r="41" spans="1:20">
      <c r="A41" s="15" t="s">
        <v>599</v>
      </c>
      <c r="B41" s="17" t="n">
        <v>5712</v>
      </c>
      <c r="C41" s="18">
        <f>(4492.0/B41*100)</f>
        <v/>
      </c>
      <c r="D41" s="19" t="n">
        <v>1220</v>
      </c>
      <c r="E41" s="18" t="n">
        <v>23.16801581</v>
      </c>
      <c r="F41" s="20" t="n">
        <v>1.32615821</v>
      </c>
      <c r="G41" s="18" t="n">
        <v>47.74310979</v>
      </c>
      <c r="H41" s="20" t="n">
        <v>1.56617542</v>
      </c>
      <c r="I41" s="18" t="n">
        <v>27.89299782</v>
      </c>
      <c r="J41" s="20" t="n">
        <v>1.59792935</v>
      </c>
      <c r="K41" s="18" t="n">
        <v>0</v>
      </c>
      <c r="L41" s="20" t="n">
        <v>0</v>
      </c>
      <c r="M41" s="18" t="n">
        <v>0</v>
      </c>
      <c r="N41" s="20" t="n">
        <v>0</v>
      </c>
      <c r="O41" s="18" t="n">
        <v>0</v>
      </c>
      <c r="P41" s="20" t="n">
        <v>0</v>
      </c>
      <c r="Q41" s="18" t="n">
        <v>0</v>
      </c>
      <c r="R41" s="20" t="n">
        <v>0</v>
      </c>
      <c r="S41" s="18" t="n">
        <v>1.19587658</v>
      </c>
      <c r="T41" s="20" t="n">
        <v>0.34873211</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(18457.0/B46*100)</f>
        <v/>
      </c>
      <c r="D46" s="19" t="n">
        <v>4684</v>
      </c>
      <c r="E46" s="18" t="n">
        <v>39.23001531</v>
      </c>
      <c r="F46" s="20" t="n">
        <v>1.00934101</v>
      </c>
      <c r="G46" s="18" t="n">
        <v>30.32078749</v>
      </c>
      <c r="H46" s="20" t="n">
        <v>0.9617218</v>
      </c>
      <c r="I46" s="18" t="n">
        <v>23.35910558</v>
      </c>
      <c r="J46" s="20" t="n">
        <v>1.10082532</v>
      </c>
      <c r="K46" s="18" t="n">
        <v>0</v>
      </c>
      <c r="L46" s="20" t="n">
        <v>0</v>
      </c>
      <c r="M46" s="18" t="n">
        <v>0.56413518</v>
      </c>
      <c r="N46" s="20" t="n">
        <v>0.17503162</v>
      </c>
      <c r="O46" s="18" t="n">
        <v>0</v>
      </c>
      <c r="P46" s="20" t="n">
        <v>0</v>
      </c>
      <c r="Q46" s="18" t="n">
        <v>0</v>
      </c>
      <c r="R46" s="20" t="n">
        <v>0</v>
      </c>
      <c r="S46" s="18" t="n">
        <v>6.52595645</v>
      </c>
      <c r="T46" s="20" t="n">
        <v>0.50129544</v>
      </c>
    </row>
    <row r="47" spans="1:20">
      <c r="A47" s="15" t="s">
        <v>606</v>
      </c>
      <c r="B47" s="17" t="n">
        <v>5928</v>
      </c>
      <c r="C47" s="18">
        <f>(4673.0/B47*100)</f>
        <v/>
      </c>
      <c r="D47" s="19" t="n">
        <v>1255</v>
      </c>
      <c r="E47" s="18" t="n">
        <v>37.35289411</v>
      </c>
      <c r="F47" s="20" t="n">
        <v>1.8070825</v>
      </c>
      <c r="G47" s="18" t="n">
        <v>23.91021514</v>
      </c>
      <c r="H47" s="20" t="n">
        <v>1.1559645</v>
      </c>
      <c r="I47" s="18" t="n">
        <v>34.69543708</v>
      </c>
      <c r="J47" s="20" t="n">
        <v>1.7044131</v>
      </c>
      <c r="K47" s="18" t="n">
        <v>0</v>
      </c>
      <c r="L47" s="20" t="n">
        <v>0</v>
      </c>
      <c r="M47" s="18" t="n">
        <v>0.30581886</v>
      </c>
      <c r="N47" s="20" t="n">
        <v>0.19224352</v>
      </c>
      <c r="O47" s="18" t="n">
        <v>0</v>
      </c>
      <c r="P47" s="20" t="n">
        <v>0</v>
      </c>
      <c r="Q47" s="18" t="n">
        <v>0</v>
      </c>
      <c r="R47" s="20" t="n">
        <v>0</v>
      </c>
      <c r="S47" s="18" t="n">
        <v>3.7356348</v>
      </c>
      <c r="T47" s="20" t="n">
        <v>0.57999024</v>
      </c>
    </row>
    <row r="48" spans="1:20">
      <c r="A48" s="15" t="s">
        <v>607</v>
      </c>
      <c r="B48" s="17" t="n">
        <v>9841</v>
      </c>
      <c r="C48" s="18">
        <f>(7663.0/B48*100)</f>
        <v/>
      </c>
      <c r="D48" s="19" t="n">
        <v>2178</v>
      </c>
      <c r="E48" s="18" t="n">
        <v>19.17744819</v>
      </c>
      <c r="F48" s="20" t="n">
        <v>1.54479121</v>
      </c>
      <c r="G48" s="18" t="n">
        <v>30.32134771</v>
      </c>
      <c r="H48" s="20" t="n">
        <v>1.6360031</v>
      </c>
      <c r="I48" s="18" t="n">
        <v>49.15849263</v>
      </c>
      <c r="J48" s="20" t="n">
        <v>1.48967372</v>
      </c>
      <c r="K48" s="18" t="n">
        <v>0</v>
      </c>
      <c r="L48" s="20" t="n">
        <v>0</v>
      </c>
      <c r="M48" s="18" t="n">
        <v>0.3632162</v>
      </c>
      <c r="N48" s="20" t="n">
        <v>0.16367535</v>
      </c>
      <c r="O48" s="18" t="n">
        <v>0</v>
      </c>
      <c r="P48" s="20" t="n">
        <v>0</v>
      </c>
      <c r="Q48" s="18" t="n">
        <v>0</v>
      </c>
      <c r="R48" s="20" t="n">
        <v>0</v>
      </c>
      <c r="S48" s="18" t="n">
        <v>0.97949527</v>
      </c>
      <c r="T48" s="20" t="n">
        <v>0.29277507</v>
      </c>
    </row>
    <row r="49" spans="1:20">
      <c r="A49" s="15" t="s">
        <v>608</v>
      </c>
      <c r="B49" s="17" t="n">
        <v>11795</v>
      </c>
      <c r="C49" s="18">
        <f>(9241.0/B49*100)</f>
        <v/>
      </c>
      <c r="D49" s="19" t="n">
        <v>2554</v>
      </c>
      <c r="E49" s="18" t="n">
        <v>47.31685856</v>
      </c>
      <c r="F49" s="20" t="n">
        <v>1.46708527</v>
      </c>
      <c r="G49" s="18" t="n">
        <v>30.51789463</v>
      </c>
      <c r="H49" s="20" t="n">
        <v>1.24120651</v>
      </c>
      <c r="I49" s="18" t="n">
        <v>17.4914398</v>
      </c>
      <c r="J49" s="20" t="n">
        <v>0.89353863</v>
      </c>
      <c r="K49" s="18" t="n">
        <v>0</v>
      </c>
      <c r="L49" s="20" t="n">
        <v>0</v>
      </c>
      <c r="M49" s="18" t="n">
        <v>0.58321539</v>
      </c>
      <c r="N49" s="20" t="n">
        <v>0.21359743</v>
      </c>
      <c r="O49" s="18" t="n">
        <v>0</v>
      </c>
      <c r="P49" s="20" t="n">
        <v>0</v>
      </c>
      <c r="Q49" s="18" t="n">
        <v>0</v>
      </c>
      <c r="R49" s="20" t="n">
        <v>0</v>
      </c>
      <c r="S49" s="18" t="n">
        <v>4.09059162</v>
      </c>
      <c r="T49" s="20" t="n">
        <v>0.75151481</v>
      </c>
    </row>
    <row r="50" spans="1:20">
      <c r="A50" s="15" t="s">
        <v>609</v>
      </c>
      <c r="B50" s="17" t="n">
        <v>6866</v>
      </c>
      <c r="C50" s="18">
        <f>(5530.0/B50*100)</f>
        <v/>
      </c>
      <c r="D50" s="19" t="n">
        <v>1336</v>
      </c>
      <c r="E50" s="18" t="n">
        <v>49.59835664</v>
      </c>
      <c r="F50" s="20" t="n">
        <v>1.21109127</v>
      </c>
      <c r="G50" s="18" t="n">
        <v>32.18396215</v>
      </c>
      <c r="H50" s="20" t="n">
        <v>1.28548966</v>
      </c>
      <c r="I50" s="18" t="n">
        <v>15.22727134</v>
      </c>
      <c r="J50" s="20" t="n">
        <v>1.06037056</v>
      </c>
      <c r="K50" s="18" t="n">
        <v>0</v>
      </c>
      <c r="L50" s="20" t="n">
        <v>0</v>
      </c>
      <c r="M50" s="18" t="n">
        <v>0.16095072</v>
      </c>
      <c r="N50" s="20" t="n">
        <v>0.10486283</v>
      </c>
      <c r="O50" s="18" t="n">
        <v>0</v>
      </c>
      <c r="P50" s="20" t="n">
        <v>0</v>
      </c>
      <c r="Q50" s="18" t="n">
        <v>0</v>
      </c>
      <c r="R50" s="20" t="n">
        <v>0</v>
      </c>
      <c r="S50" s="18" t="n">
        <v>2.82945915</v>
      </c>
      <c r="T50" s="20" t="n">
        <v>0.57195034</v>
      </c>
    </row>
    <row r="51" spans="1:20">
      <c r="A51" s="15" t="s">
        <v>610</v>
      </c>
      <c r="B51" s="17" t="n">
        <v>5809</v>
      </c>
      <c r="C51" s="18">
        <f>(4476.0/B51*100)</f>
        <v/>
      </c>
      <c r="D51" s="19" t="n">
        <v>1333</v>
      </c>
      <c r="E51" s="18" t="n">
        <v>23.24865622</v>
      </c>
      <c r="F51" s="20" t="n">
        <v>1.28480487</v>
      </c>
      <c r="G51" s="18" t="n">
        <v>39.62602251</v>
      </c>
      <c r="H51" s="20" t="n">
        <v>1.33282556</v>
      </c>
      <c r="I51" s="18" t="n">
        <v>35.42528781</v>
      </c>
      <c r="J51" s="20" t="n">
        <v>1.64065001</v>
      </c>
      <c r="K51" s="18" t="n">
        <v>0</v>
      </c>
      <c r="L51" s="20" t="n">
        <v>0</v>
      </c>
      <c r="M51" s="18" t="n">
        <v>0</v>
      </c>
      <c r="N51" s="20" t="n">
        <v>0</v>
      </c>
      <c r="O51" s="18" t="n">
        <v>0</v>
      </c>
      <c r="P51" s="20" t="n">
        <v>0</v>
      </c>
      <c r="Q51" s="18" t="n">
        <v>0</v>
      </c>
      <c r="R51" s="20" t="n">
        <v>0</v>
      </c>
      <c r="S51" s="18" t="n">
        <v>1.70003346</v>
      </c>
      <c r="T51" s="20" t="n">
        <v>0.39136813</v>
      </c>
    </row>
    <row r="52" spans="1:20">
      <c r="A52" s="15" t="s">
        <v>611</v>
      </c>
      <c r="B52" s="17" t="n">
        <v>5571</v>
      </c>
      <c r="C52" s="18">
        <f>(4333.0/B52*100)</f>
        <v/>
      </c>
      <c r="D52" s="19" t="n">
        <v>1238</v>
      </c>
      <c r="E52" s="18" t="n">
        <v>41.86253492</v>
      </c>
      <c r="F52" s="20" t="n">
        <v>1.42760695</v>
      </c>
      <c r="G52" s="18" t="n">
        <v>29.48285644</v>
      </c>
      <c r="H52" s="20" t="n">
        <v>1.34015025</v>
      </c>
      <c r="I52" s="18" t="n">
        <v>26.53696694</v>
      </c>
      <c r="J52" s="20" t="n">
        <v>1.30911229</v>
      </c>
      <c r="K52" s="18" t="n">
        <v>0</v>
      </c>
      <c r="L52" s="20" t="n">
        <v>0</v>
      </c>
      <c r="M52" s="18" t="n">
        <v>0.11494182</v>
      </c>
      <c r="N52" s="20" t="n">
        <v>0.07921274</v>
      </c>
      <c r="O52" s="18" t="n">
        <v>0</v>
      </c>
      <c r="P52" s="20" t="n">
        <v>0</v>
      </c>
      <c r="Q52" s="18" t="n">
        <v>0</v>
      </c>
      <c r="R52" s="20" t="n">
        <v>0</v>
      </c>
      <c r="S52" s="18" t="n">
        <v>2.00269989</v>
      </c>
      <c r="T52" s="20" t="n">
        <v>0.40495745</v>
      </c>
    </row>
    <row r="53" spans="1:20">
      <c r="A53" s="15" t="s">
        <v>612</v>
      </c>
      <c r="B53" s="17" t="n">
        <v>4740</v>
      </c>
      <c r="C53" s="18">
        <f>(3690.0/B53*100)</f>
        <v/>
      </c>
      <c r="D53" s="19" t="n">
        <v>1050</v>
      </c>
      <c r="E53" s="18" t="n">
        <v>41.01017736</v>
      </c>
      <c r="F53" s="20" t="n">
        <v>1.49020209</v>
      </c>
      <c r="G53" s="18" t="n">
        <v>27.22057778</v>
      </c>
      <c r="H53" s="20" t="n">
        <v>1.74106471</v>
      </c>
      <c r="I53" s="18" t="n">
        <v>10.81786441</v>
      </c>
      <c r="J53" s="20" t="n">
        <v>1.13695467</v>
      </c>
      <c r="K53" s="18" t="n">
        <v>0</v>
      </c>
      <c r="L53" s="20" t="n">
        <v>0</v>
      </c>
      <c r="M53" s="18" t="n">
        <v>4.80600793</v>
      </c>
      <c r="N53" s="20" t="n">
        <v>0.7607414</v>
      </c>
      <c r="O53" s="18" t="n">
        <v>0</v>
      </c>
      <c r="P53" s="20" t="n">
        <v>0</v>
      </c>
      <c r="Q53" s="18" t="n">
        <v>0</v>
      </c>
      <c r="R53" s="20" t="n">
        <v>0</v>
      </c>
      <c r="S53" s="18" t="n">
        <v>16.14537251</v>
      </c>
      <c r="T53" s="20" t="n">
        <v>1.40187508</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(4143.0/B55*100)</f>
        <v/>
      </c>
      <c r="D55" s="19" t="n">
        <v>1216</v>
      </c>
      <c r="E55" s="18" t="n">
        <v>17.70179594</v>
      </c>
      <c r="F55" s="20" t="n">
        <v>1.29526694</v>
      </c>
      <c r="G55" s="18" t="n">
        <v>17.43272855</v>
      </c>
      <c r="H55" s="20" t="n">
        <v>1.11606995</v>
      </c>
      <c r="I55" s="18" t="n">
        <v>64.28123624</v>
      </c>
      <c r="J55" s="20" t="n">
        <v>1.75082474</v>
      </c>
      <c r="K55" s="18" t="n">
        <v>0</v>
      </c>
      <c r="L55" s="20" t="n">
        <v>0</v>
      </c>
      <c r="M55" s="18" t="n">
        <v>0.15989924</v>
      </c>
      <c r="N55" s="20" t="n">
        <v>0.15449319</v>
      </c>
      <c r="O55" s="18" t="n">
        <v>0</v>
      </c>
      <c r="P55" s="20" t="n">
        <v>0</v>
      </c>
      <c r="Q55" s="18" t="n">
        <v>0</v>
      </c>
      <c r="R55" s="20" t="n">
        <v>0</v>
      </c>
      <c r="S55" s="18" t="n">
        <v>0.42434003</v>
      </c>
      <c r="T55" s="20" t="n">
        <v>0.16870214</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(5075.0/B61*100)</f>
        <v/>
      </c>
      <c r="D61" s="19" t="n">
        <v>1450</v>
      </c>
      <c r="E61" s="18" t="n">
        <v>22.74467702</v>
      </c>
      <c r="F61" s="20" t="n">
        <v>1.29634781</v>
      </c>
      <c r="G61" s="18" t="n">
        <v>27.57848506</v>
      </c>
      <c r="H61" s="20" t="n">
        <v>1.09227036</v>
      </c>
      <c r="I61" s="18" t="n">
        <v>48.84880928</v>
      </c>
      <c r="J61" s="20" t="n">
        <v>1.54088868</v>
      </c>
      <c r="K61" s="18" t="n">
        <v>0</v>
      </c>
      <c r="L61" s="20" t="n">
        <v>0</v>
      </c>
      <c r="M61" s="18" t="n">
        <v>0.08973239</v>
      </c>
      <c r="N61" s="20" t="n">
        <v>0.09217123000000001</v>
      </c>
      <c r="O61" s="18" t="n">
        <v>0</v>
      </c>
      <c r="P61" s="20" t="n">
        <v>0</v>
      </c>
      <c r="Q61" s="18" t="n">
        <v>0</v>
      </c>
      <c r="R61" s="20" t="n">
        <v>0</v>
      </c>
      <c r="S61" s="18" t="n">
        <v>0.73829624</v>
      </c>
      <c r="T61" s="20" t="n">
        <v>0.25722465</v>
      </c>
    </row>
    <row r="62" spans="1:20">
      <c r="A62" s="15" t="s">
        <v>622</v>
      </c>
      <c r="B62" s="17" t="n">
        <v>4476</v>
      </c>
      <c r="C62" s="18">
        <f>(3513.0/B62*100)</f>
        <v/>
      </c>
      <c r="D62" s="19" t="n">
        <v>963</v>
      </c>
      <c r="E62" s="18" t="n">
        <v>19.46511981</v>
      </c>
      <c r="F62" s="20" t="n">
        <v>1.12779168</v>
      </c>
      <c r="G62" s="18" t="n">
        <v>26.14741187</v>
      </c>
      <c r="H62" s="20" t="n">
        <v>1.62034208</v>
      </c>
      <c r="I62" s="18" t="n">
        <v>54.28433172</v>
      </c>
      <c r="J62" s="20" t="n">
        <v>1.36083868</v>
      </c>
      <c r="K62" s="18" t="n">
        <v>0</v>
      </c>
      <c r="L62" s="20" t="n">
        <v>0</v>
      </c>
      <c r="M62" s="18" t="n">
        <v>0</v>
      </c>
      <c r="N62" s="20" t="n">
        <v>0</v>
      </c>
      <c r="O62" s="18" t="n">
        <v>0</v>
      </c>
      <c r="P62" s="20" t="n">
        <v>0</v>
      </c>
      <c r="Q62" s="18" t="n">
        <v>0</v>
      </c>
      <c r="R62" s="20" t="n">
        <v>0</v>
      </c>
      <c r="S62" s="18" t="n">
        <v>0.10313659</v>
      </c>
      <c r="T62" s="20" t="n">
        <v>0.10301919</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(4419.0/B67*100)</f>
        <v/>
      </c>
      <c r="D67" s="19" t="n">
        <v>1246</v>
      </c>
      <c r="E67" s="18" t="n">
        <v>35.56373891</v>
      </c>
      <c r="F67" s="20" t="n">
        <v>1.37764078</v>
      </c>
      <c r="G67" s="18" t="n">
        <v>29.78360504</v>
      </c>
      <c r="H67" s="20" t="n">
        <v>1.2210609</v>
      </c>
      <c r="I67" s="18" t="n">
        <v>28.53122497</v>
      </c>
      <c r="J67" s="20" t="n">
        <v>1.35041277</v>
      </c>
      <c r="K67" s="18" t="n">
        <v>0</v>
      </c>
      <c r="L67" s="20" t="n">
        <v>0</v>
      </c>
      <c r="M67" s="18" t="n">
        <v>0.3296787</v>
      </c>
      <c r="N67" s="20" t="n">
        <v>0.1674713</v>
      </c>
      <c r="O67" s="18" t="n">
        <v>0</v>
      </c>
      <c r="P67" s="20" t="n">
        <v>0</v>
      </c>
      <c r="Q67" s="18" t="n">
        <v>0</v>
      </c>
      <c r="R67" s="20" t="n">
        <v>0</v>
      </c>
      <c r="S67" s="18" t="n">
        <v>5.79175238</v>
      </c>
      <c r="T67" s="20" t="n">
        <v>0.70484769</v>
      </c>
    </row>
    <row r="68" spans="1:20">
      <c r="A68" s="15" t="s">
        <v>628</v>
      </c>
      <c r="B68" s="17" t="n">
        <v>6971</v>
      </c>
      <c r="C68" s="18">
        <f>(5504.0/B68*100)</f>
        <v/>
      </c>
      <c r="D68" s="19" t="n">
        <v>1467</v>
      </c>
      <c r="E68" s="18" t="n">
        <v>46.44625151</v>
      </c>
      <c r="F68" s="20" t="n">
        <v>1.33750331</v>
      </c>
      <c r="G68" s="18" t="n">
        <v>31.29708435</v>
      </c>
      <c r="H68" s="20" t="n">
        <v>1.19106172</v>
      </c>
      <c r="I68" s="18" t="n">
        <v>18.65800201</v>
      </c>
      <c r="J68" s="20" t="n">
        <v>1.10350321</v>
      </c>
      <c r="K68" s="18" t="n">
        <v>0</v>
      </c>
      <c r="L68" s="20" t="n">
        <v>0</v>
      </c>
      <c r="M68" s="18" t="n">
        <v>0.09054495</v>
      </c>
      <c r="N68" s="20" t="n">
        <v>0.09049639</v>
      </c>
      <c r="O68" s="18" t="n">
        <v>0</v>
      </c>
      <c r="P68" s="20" t="n">
        <v>0</v>
      </c>
      <c r="Q68" s="18" t="n">
        <v>0</v>
      </c>
      <c r="R68" s="20" t="n">
        <v>0</v>
      </c>
      <c r="S68" s="18" t="n">
        <v>3.50811719</v>
      </c>
      <c r="T68" s="20" t="n">
        <v>0.5933533600000001</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(9435.0/B70*100)</f>
        <v/>
      </c>
      <c r="D70" s="19" t="n">
        <v>2648</v>
      </c>
      <c r="E70" s="18" t="n">
        <v>32.79746391</v>
      </c>
      <c r="F70" s="20" t="n">
        <v>0.87557498</v>
      </c>
      <c r="G70" s="18" t="n">
        <v>26.92790299</v>
      </c>
      <c r="H70" s="20" t="n">
        <v>0.83781852</v>
      </c>
      <c r="I70" s="18" t="n">
        <v>36.42992153</v>
      </c>
      <c r="J70" s="20" t="n">
        <v>0.91236017</v>
      </c>
      <c r="K70" s="18" t="n">
        <v>0</v>
      </c>
      <c r="L70" s="20" t="n">
        <v>0</v>
      </c>
      <c r="M70" s="18" t="n">
        <v>0.46967673</v>
      </c>
      <c r="N70" s="20" t="n">
        <v>0.12698348</v>
      </c>
      <c r="O70" s="18" t="n">
        <v>0</v>
      </c>
      <c r="P70" s="20" t="n">
        <v>0</v>
      </c>
      <c r="Q70" s="18" t="n">
        <v>0</v>
      </c>
      <c r="R70" s="20" t="n">
        <v>0</v>
      </c>
      <c r="S70" s="18" t="n">
        <v>3.37503484</v>
      </c>
      <c r="T70" s="20" t="n">
        <v>0.32970554</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(4741.0/B72*100)</f>
        <v/>
      </c>
      <c r="D72" s="19" t="n">
        <v>1295</v>
      </c>
      <c r="E72" s="18" t="n">
        <v>53.40064254</v>
      </c>
      <c r="F72" s="20" t="n">
        <v>1.68291899</v>
      </c>
      <c r="G72" s="18" t="n">
        <v>15.03365948</v>
      </c>
      <c r="H72" s="20" t="n">
        <v>1.12157396</v>
      </c>
      <c r="I72" s="18" t="n">
        <v>29.81422162</v>
      </c>
      <c r="J72" s="20" t="n">
        <v>1.74904203</v>
      </c>
      <c r="K72" s="18" t="n">
        <v>0</v>
      </c>
      <c r="L72" s="20" t="n">
        <v>0</v>
      </c>
      <c r="M72" s="18" t="n">
        <v>0</v>
      </c>
      <c r="N72" s="20" t="n">
        <v>0</v>
      </c>
      <c r="O72" s="18" t="n">
        <v>0</v>
      </c>
      <c r="P72" s="20" t="n">
        <v>0</v>
      </c>
      <c r="Q72" s="18" t="n">
        <v>0</v>
      </c>
      <c r="R72" s="20" t="n">
        <v>0</v>
      </c>
      <c r="S72" s="18" t="n">
        <v>1.75147636</v>
      </c>
      <c r="T72" s="20" t="n">
        <v>0.41909831</v>
      </c>
    </row>
    <row r="73" spans="1:20">
      <c r="A73" s="15" t="s">
        <v>633</v>
      </c>
      <c r="B73" s="17" t="n">
        <v>6115</v>
      </c>
      <c r="C73" s="18">
        <f>(4766.0/B73*100)</f>
        <v/>
      </c>
      <c r="D73" s="19" t="n">
        <v>1349</v>
      </c>
      <c r="E73" s="18" t="n">
        <v>16.81135439</v>
      </c>
      <c r="F73" s="20" t="n">
        <v>1.22818365</v>
      </c>
      <c r="G73" s="18" t="n">
        <v>26.29515275</v>
      </c>
      <c r="H73" s="20" t="n">
        <v>1.08995801</v>
      </c>
      <c r="I73" s="18" t="n">
        <v>56.28179623</v>
      </c>
      <c r="J73" s="20" t="n">
        <v>1.44922689</v>
      </c>
      <c r="K73" s="18" t="n">
        <v>0</v>
      </c>
      <c r="L73" s="20" t="n">
        <v>0</v>
      </c>
      <c r="M73" s="18" t="n">
        <v>0.1040602</v>
      </c>
      <c r="N73" s="20" t="n">
        <v>0.07548819</v>
      </c>
      <c r="O73" s="18" t="n">
        <v>0</v>
      </c>
      <c r="P73" s="20" t="n">
        <v>0</v>
      </c>
      <c r="Q73" s="18" t="n">
        <v>0</v>
      </c>
      <c r="R73" s="20" t="n">
        <v>0</v>
      </c>
      <c r="S73" s="18" t="n">
        <v>0.50763643</v>
      </c>
      <c r="T73" s="20" t="n">
        <v>0.19104075</v>
      </c>
    </row>
    <row r="74" spans="1:20">
      <c r="A74" s="15" t="s">
        <v>634</v>
      </c>
      <c r="B74" s="17" t="n">
        <v>7708</v>
      </c>
      <c r="C74" s="18">
        <f>(5938.0/B74*100)</f>
        <v/>
      </c>
      <c r="D74" s="19" t="n">
        <v>1770</v>
      </c>
      <c r="E74" s="18" t="n">
        <v>13.98564842</v>
      </c>
      <c r="F74" s="20" t="n">
        <v>0.87384854</v>
      </c>
      <c r="G74" s="18" t="n">
        <v>13.7704813</v>
      </c>
      <c r="H74" s="20" t="n">
        <v>0.81260959</v>
      </c>
      <c r="I74" s="18" t="n">
        <v>71.83977054</v>
      </c>
      <c r="J74" s="20" t="n">
        <v>1.08946754</v>
      </c>
      <c r="K74" s="18" t="n">
        <v>0</v>
      </c>
      <c r="L74" s="20" t="n">
        <v>0</v>
      </c>
      <c r="M74" s="18" t="n">
        <v>0.08060167</v>
      </c>
      <c r="N74" s="20" t="n">
        <v>0.05812557</v>
      </c>
      <c r="O74" s="18" t="n">
        <v>0</v>
      </c>
      <c r="P74" s="20" t="n">
        <v>0</v>
      </c>
      <c r="Q74" s="18" t="n">
        <v>0</v>
      </c>
      <c r="R74" s="20" t="n">
        <v>0</v>
      </c>
      <c r="S74" s="18" t="n">
        <v>0.32349808</v>
      </c>
      <c r="T74" s="20" t="n">
        <v>0.16491815</v>
      </c>
    </row>
    <row r="75" spans="1:20">
      <c r="A75" s="15" t="s">
        <v>635</v>
      </c>
      <c r="B75" s="17" t="n">
        <v>8249</v>
      </c>
      <c r="C75" s="18">
        <f>(6370.0/B75*100)</f>
        <v/>
      </c>
      <c r="D75" s="19" t="n">
        <v>1879</v>
      </c>
      <c r="E75" s="18" t="n">
        <v>25.69709746</v>
      </c>
      <c r="F75" s="20" t="n">
        <v>1.31241032</v>
      </c>
      <c r="G75" s="18" t="n">
        <v>23.36336984</v>
      </c>
      <c r="H75" s="20" t="n">
        <v>1.25107611</v>
      </c>
      <c r="I75" s="18" t="n">
        <v>48.33121944</v>
      </c>
      <c r="J75" s="20" t="n">
        <v>1.91890016</v>
      </c>
      <c r="K75" s="18" t="n">
        <v>0</v>
      </c>
      <c r="L75" s="20" t="n">
        <v>0</v>
      </c>
      <c r="M75" s="18" t="n">
        <v>0</v>
      </c>
      <c r="N75" s="20" t="n">
        <v>0</v>
      </c>
      <c r="O75" s="18" t="n">
        <v>0</v>
      </c>
      <c r="P75" s="20" t="n">
        <v>0</v>
      </c>
      <c r="Q75" s="18" t="n">
        <v>0</v>
      </c>
      <c r="R75" s="20" t="n">
        <v>0</v>
      </c>
      <c r="S75" s="18" t="n">
        <v>2.60831326</v>
      </c>
      <c r="T75" s="20" t="n">
        <v>0.5094703900000001</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(4243.0/B77*100)</f>
        <v/>
      </c>
      <c r="D77" s="19" t="n">
        <v>1132</v>
      </c>
      <c r="E77" s="18" t="n">
        <v>47.1615295</v>
      </c>
      <c r="F77" s="20" t="n">
        <v>1.54283506</v>
      </c>
      <c r="G77" s="18" t="n">
        <v>28.79317088</v>
      </c>
      <c r="H77" s="20" t="n">
        <v>1.17877249</v>
      </c>
      <c r="I77" s="18" t="n">
        <v>20.64682136</v>
      </c>
      <c r="J77" s="20" t="n">
        <v>1.38399249</v>
      </c>
      <c r="K77" s="18" t="n">
        <v>0</v>
      </c>
      <c r="L77" s="20" t="n">
        <v>0</v>
      </c>
      <c r="M77" s="18" t="n">
        <v>1.07936164</v>
      </c>
      <c r="N77" s="20" t="n">
        <v>0.32646974</v>
      </c>
      <c r="O77" s="18" t="n">
        <v>0</v>
      </c>
      <c r="P77" s="20" t="n">
        <v>0</v>
      </c>
      <c r="Q77" s="18" t="n">
        <v>0</v>
      </c>
      <c r="R77" s="20" t="n">
        <v>0</v>
      </c>
      <c r="S77" s="18" t="n">
        <v>2.31911661</v>
      </c>
      <c r="T77" s="20" t="n">
        <v>0.47443753</v>
      </c>
    </row>
    <row r="78" spans="1:20">
      <c r="A78" s="15" t="s">
        <v>638</v>
      </c>
      <c r="B78" s="17" t="n">
        <v>14167</v>
      </c>
      <c r="C78" s="18">
        <f>(11065.0/B78*100)</f>
        <v/>
      </c>
      <c r="D78" s="19" t="n">
        <v>3102</v>
      </c>
      <c r="E78" s="18" t="n">
        <v>33.20156196</v>
      </c>
      <c r="F78" s="20" t="n">
        <v>1.08500905</v>
      </c>
      <c r="G78" s="18" t="n">
        <v>28.80050336</v>
      </c>
      <c r="H78" s="20" t="n">
        <v>1.13693828</v>
      </c>
      <c r="I78" s="18" t="n">
        <v>36.18400748</v>
      </c>
      <c r="J78" s="20" t="n">
        <v>1.10658157</v>
      </c>
      <c r="K78" s="18" t="n">
        <v>0</v>
      </c>
      <c r="L78" s="20" t="n">
        <v>0</v>
      </c>
      <c r="M78" s="18" t="n">
        <v>0.32977363</v>
      </c>
      <c r="N78" s="20" t="n">
        <v>0.10712118</v>
      </c>
      <c r="O78" s="18" t="n">
        <v>0</v>
      </c>
      <c r="P78" s="20" t="n">
        <v>0</v>
      </c>
      <c r="Q78" s="18" t="n">
        <v>0</v>
      </c>
      <c r="R78" s="20" t="n">
        <v>0</v>
      </c>
      <c r="S78" s="18" t="n">
        <v>1.48415358</v>
      </c>
      <c r="T78" s="20" t="n">
        <v>0.22471586</v>
      </c>
    </row>
    <row r="79" spans="1:20">
      <c r="A79" s="15" t="s">
        <v>639</v>
      </c>
      <c r="B79" s="17" t="n">
        <v>6062</v>
      </c>
      <c r="C79" s="18">
        <f>(4738.0/B79*100)</f>
        <v/>
      </c>
      <c r="D79" s="19" t="n">
        <v>1324</v>
      </c>
      <c r="E79" s="18" t="n">
        <v>35.68219098</v>
      </c>
      <c r="F79" s="20" t="n">
        <v>1.65349354</v>
      </c>
      <c r="G79" s="18" t="n">
        <v>34.29681192</v>
      </c>
      <c r="H79" s="20" t="n">
        <v>1.68720864</v>
      </c>
      <c r="I79" s="18" t="n">
        <v>26.59958549</v>
      </c>
      <c r="J79" s="20" t="n">
        <v>1.5301913</v>
      </c>
      <c r="K79" s="18" t="n">
        <v>0</v>
      </c>
      <c r="L79" s="20" t="n">
        <v>0</v>
      </c>
      <c r="M79" s="18" t="n">
        <v>0.34589711</v>
      </c>
      <c r="N79" s="20" t="n">
        <v>0.15992756</v>
      </c>
      <c r="O79" s="18" t="n">
        <v>0</v>
      </c>
      <c r="P79" s="20" t="n">
        <v>0</v>
      </c>
      <c r="Q79" s="18" t="n">
        <v>0</v>
      </c>
      <c r="R79" s="20" t="n">
        <v>0</v>
      </c>
      <c r="S79" s="18" t="n">
        <v>3.0755145</v>
      </c>
      <c r="T79" s="20" t="n">
        <v>0.55060958</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(25144.0/B82*100)</f>
        <v/>
      </c>
      <c r="D82" s="19" t="n">
        <v>7186</v>
      </c>
      <c r="E82" s="18" t="n">
        <v>29.80814833</v>
      </c>
      <c r="F82" s="20" t="n">
        <v>0.77311515</v>
      </c>
      <c r="G82" s="18" t="n">
        <v>29.61756389</v>
      </c>
      <c r="H82" s="20" t="n">
        <v>0.88896838</v>
      </c>
      <c r="I82" s="18" t="n">
        <v>38.89865496</v>
      </c>
      <c r="J82" s="20" t="n">
        <v>0.9255702099999999</v>
      </c>
      <c r="K82" s="18" t="n">
        <v>0</v>
      </c>
      <c r="L82" s="20" t="n">
        <v>0</v>
      </c>
      <c r="M82" s="18" t="n">
        <v>0.15957341</v>
      </c>
      <c r="N82" s="20" t="n">
        <v>0.07811353</v>
      </c>
      <c r="O82" s="18" t="n">
        <v>0</v>
      </c>
      <c r="P82" s="20" t="n">
        <v>0</v>
      </c>
      <c r="Q82" s="18" t="n">
        <v>0</v>
      </c>
      <c r="R82" s="20" t="n">
        <v>0</v>
      </c>
      <c r="S82" s="18" t="n">
        <v>1.51605943</v>
      </c>
      <c r="T82" s="20" t="n">
        <v>0.23836004</v>
      </c>
    </row>
    <row r="83" spans="1:20">
      <c r="A83" s="15" t="s">
        <v>643</v>
      </c>
      <c r="B83" s="17" t="n">
        <v>1652</v>
      </c>
      <c r="C83" s="18">
        <f>(1285.0/B83*100)</f>
        <v/>
      </c>
      <c r="D83" s="19" t="n">
        <v>367</v>
      </c>
      <c r="E83" s="18" t="n">
        <v>14.05793081</v>
      </c>
      <c r="F83" s="20" t="n">
        <v>1.32579023</v>
      </c>
      <c r="G83" s="18" t="n">
        <v>44.43916248</v>
      </c>
      <c r="H83" s="20" t="n">
        <v>2.33632216</v>
      </c>
      <c r="I83" s="18" t="n">
        <v>40.6146161</v>
      </c>
      <c r="J83" s="20" t="n">
        <v>2.42602317</v>
      </c>
      <c r="K83" s="18" t="n">
        <v>0</v>
      </c>
      <c r="L83" s="20" t="n">
        <v>0</v>
      </c>
      <c r="M83" s="18" t="n">
        <v>0</v>
      </c>
      <c r="N83" s="20" t="n">
        <v>0</v>
      </c>
      <c r="O83" s="18" t="n">
        <v>0</v>
      </c>
      <c r="P83" s="20" t="n">
        <v>0</v>
      </c>
      <c r="Q83" s="18" t="n">
        <v>0</v>
      </c>
      <c r="R83" s="20" t="n">
        <v>0</v>
      </c>
      <c r="S83" s="18" t="n">
        <v>0.8882906</v>
      </c>
      <c r="T83" s="20" t="n">
        <v>0.5191346100000001</v>
      </c>
    </row>
    <row r="84" spans="1:20">
      <c r="A84" s="23" t="s">
        <v>644</v>
      </c>
      <c r="B84" s="24" t="n">
        <v>1887</v>
      </c>
      <c r="C84" s="25">
        <f>(1478.0/B84*100)</f>
        <v/>
      </c>
      <c r="D84" s="19" t="n">
        <v>409</v>
      </c>
      <c r="E84" s="18" t="n">
        <v>15.51702896</v>
      </c>
      <c r="F84" s="20" t="n">
        <v>2.16063939</v>
      </c>
      <c r="G84" s="18" t="n">
        <v>52.17376018</v>
      </c>
      <c r="H84" s="20" t="n">
        <v>2.2453753</v>
      </c>
      <c r="I84" s="18" t="n">
        <v>32.05043159</v>
      </c>
      <c r="J84" s="20" t="n">
        <v>2.7064837</v>
      </c>
      <c r="K84" s="18" t="n">
        <v>0</v>
      </c>
      <c r="L84" s="20" t="n">
        <v>0</v>
      </c>
      <c r="M84" s="18" t="n">
        <v>0</v>
      </c>
      <c r="N84" s="20" t="n">
        <v>0</v>
      </c>
      <c r="O84" s="18" t="n">
        <v>0</v>
      </c>
      <c r="P84" s="20" t="n">
        <v>0</v>
      </c>
      <c r="Q84" s="18" t="n">
        <v>0</v>
      </c>
      <c r="R84" s="20" t="n">
        <v>0</v>
      </c>
      <c r="S84" s="18" t="n">
        <v>0.25877927</v>
      </c>
      <c r="T84" s="20" t="n">
        <v>0.27814118</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(11360.0/B7*100)</f>
        <v/>
      </c>
      <c r="D7" s="19" t="n">
        <v>3170</v>
      </c>
      <c r="E7" s="18" t="n">
        <v>26.1430034</v>
      </c>
      <c r="F7" s="20" t="n">
        <v>1.10783388</v>
      </c>
      <c r="G7" s="18" t="n">
        <v>71.39816251000001</v>
      </c>
      <c r="H7" s="20" t="n">
        <v>1.11026285</v>
      </c>
      <c r="I7" s="18" t="n">
        <v>0</v>
      </c>
      <c r="J7" s="20" t="n">
        <v>0</v>
      </c>
      <c r="K7" s="18" t="n">
        <v>0.05920828</v>
      </c>
      <c r="L7" s="20" t="n">
        <v>0.03097847</v>
      </c>
      <c r="M7" s="18" t="n">
        <v>0</v>
      </c>
      <c r="N7" s="20" t="n">
        <v>0</v>
      </c>
      <c r="O7" s="18" t="n">
        <v>0</v>
      </c>
      <c r="P7" s="20" t="n">
        <v>0</v>
      </c>
      <c r="Q7" s="18" t="n">
        <v>2.3996258</v>
      </c>
      <c r="R7" s="20" t="n">
        <v>0.31178578</v>
      </c>
    </row>
    <row r="8" spans="1:18">
      <c r="A8" s="15" t="s">
        <v>566</v>
      </c>
      <c r="B8" s="17" t="n">
        <v>7007</v>
      </c>
      <c r="C8" s="18">
        <f>(5441.0/B8*100)</f>
        <v/>
      </c>
      <c r="D8" s="19" t="n">
        <v>1566</v>
      </c>
      <c r="E8" s="18" t="n">
        <v>25.79256415</v>
      </c>
      <c r="F8" s="20" t="n">
        <v>1.37202804</v>
      </c>
      <c r="G8" s="18" t="n">
        <v>69.78078612</v>
      </c>
      <c r="H8" s="20" t="n">
        <v>1.41460981</v>
      </c>
      <c r="I8" s="18" t="n">
        <v>0</v>
      </c>
      <c r="J8" s="20" t="n">
        <v>0</v>
      </c>
      <c r="K8" s="18" t="n">
        <v>0.16425575</v>
      </c>
      <c r="L8" s="20" t="n">
        <v>0.12007311</v>
      </c>
      <c r="M8" s="18" t="n">
        <v>0</v>
      </c>
      <c r="N8" s="20" t="n">
        <v>0</v>
      </c>
      <c r="O8" s="18" t="n">
        <v>0</v>
      </c>
      <c r="P8" s="20" t="n">
        <v>0</v>
      </c>
      <c r="Q8" s="18" t="n">
        <v>4.26239399</v>
      </c>
      <c r="R8" s="20" t="n">
        <v>0.68102737</v>
      </c>
    </row>
    <row r="9" spans="1:18">
      <c r="A9" s="15" t="s">
        <v>567</v>
      </c>
      <c r="B9" s="17" t="n">
        <v>9651</v>
      </c>
      <c r="C9" s="18">
        <f>(7564.0/B9*100)</f>
        <v/>
      </c>
      <c r="D9" s="19" t="n">
        <v>2087</v>
      </c>
      <c r="E9" s="18" t="n">
        <v>25.09349832</v>
      </c>
      <c r="F9" s="20" t="n">
        <v>1.02443201</v>
      </c>
      <c r="G9" s="18" t="n">
        <v>72.12838643000001</v>
      </c>
      <c r="H9" s="20" t="n">
        <v>1.18308119</v>
      </c>
      <c r="I9" s="18" t="n">
        <v>0</v>
      </c>
      <c r="J9" s="20" t="n">
        <v>0</v>
      </c>
      <c r="K9" s="18" t="n">
        <v>0.04704815</v>
      </c>
      <c r="L9" s="20" t="n">
        <v>0.04686538</v>
      </c>
      <c r="M9" s="18" t="n">
        <v>0</v>
      </c>
      <c r="N9" s="20" t="n">
        <v>0</v>
      </c>
      <c r="O9" s="18" t="n">
        <v>0</v>
      </c>
      <c r="P9" s="20" t="n">
        <v>0</v>
      </c>
      <c r="Q9" s="18" t="n">
        <v>2.7310671</v>
      </c>
      <c r="R9" s="20" t="n">
        <v>0.51711601</v>
      </c>
    </row>
    <row r="10" spans="1:18">
      <c r="A10" s="15" t="s">
        <v>568</v>
      </c>
      <c r="B10" s="17" t="n">
        <v>20058</v>
      </c>
      <c r="C10" s="18">
        <f>(15687.0/B10*100)</f>
        <v/>
      </c>
      <c r="D10" s="19" t="n">
        <v>4371</v>
      </c>
      <c r="E10" s="18" t="n">
        <v>22.28038902</v>
      </c>
      <c r="F10" s="20" t="n">
        <v>0.8935660600000001</v>
      </c>
      <c r="G10" s="18" t="n">
        <v>75.61981228</v>
      </c>
      <c r="H10" s="20" t="n">
        <v>0.9318160599999999</v>
      </c>
      <c r="I10" s="18" t="n">
        <v>0</v>
      </c>
      <c r="J10" s="20" t="n">
        <v>0</v>
      </c>
      <c r="K10" s="18" t="n">
        <v>0.20351556</v>
      </c>
      <c r="L10" s="20" t="n">
        <v>0.10205602</v>
      </c>
      <c r="M10" s="18" t="n">
        <v>0</v>
      </c>
      <c r="N10" s="20" t="n">
        <v>0</v>
      </c>
      <c r="O10" s="18" t="n">
        <v>0</v>
      </c>
      <c r="P10" s="20" t="n">
        <v>0</v>
      </c>
      <c r="Q10" s="18" t="n">
        <v>1.89628313</v>
      </c>
      <c r="R10" s="20" t="n">
        <v>0.3260608</v>
      </c>
    </row>
    <row r="11" spans="1:18">
      <c r="A11" s="15" t="s">
        <v>569</v>
      </c>
      <c r="B11" s="17" t="n">
        <v>7053</v>
      </c>
      <c r="C11" s="18">
        <f>(5556.0/B11*100)</f>
        <v/>
      </c>
      <c r="D11" s="19" t="n">
        <v>1497</v>
      </c>
      <c r="E11" s="18" t="n">
        <v>27.98405529</v>
      </c>
      <c r="F11" s="20" t="n">
        <v>1.46137557</v>
      </c>
      <c r="G11" s="18" t="n">
        <v>65.97252181</v>
      </c>
      <c r="H11" s="20" t="n">
        <v>1.52653373</v>
      </c>
      <c r="I11" s="18" t="n">
        <v>0</v>
      </c>
      <c r="J11" s="20" t="n">
        <v>0</v>
      </c>
      <c r="K11" s="18" t="n">
        <v>0.20626915</v>
      </c>
      <c r="L11" s="20" t="n">
        <v>0.10495669</v>
      </c>
      <c r="M11" s="18" t="n">
        <v>0</v>
      </c>
      <c r="N11" s="20" t="n">
        <v>0</v>
      </c>
      <c r="O11" s="18" t="n">
        <v>0</v>
      </c>
      <c r="P11" s="20" t="n">
        <v>0</v>
      </c>
      <c r="Q11" s="18" t="n">
        <v>5.83715375</v>
      </c>
      <c r="R11" s="20" t="n">
        <v>0.66017879</v>
      </c>
    </row>
    <row r="12" spans="1:18">
      <c r="A12" s="15" t="s">
        <v>570</v>
      </c>
      <c r="B12" s="17" t="n">
        <v>6894</v>
      </c>
      <c r="C12" s="18">
        <f>(5422.0/B12*100)</f>
        <v/>
      </c>
      <c r="D12" s="19" t="n">
        <v>1472</v>
      </c>
      <c r="E12" s="18" t="n">
        <v>28.43019164</v>
      </c>
      <c r="F12" s="20" t="n">
        <v>1.21124147</v>
      </c>
      <c r="G12" s="18" t="n">
        <v>68.80562546</v>
      </c>
      <c r="H12" s="20" t="n">
        <v>1.28021485</v>
      </c>
      <c r="I12" s="18" t="n">
        <v>0</v>
      </c>
      <c r="J12" s="20" t="n">
        <v>0</v>
      </c>
      <c r="K12" s="18" t="n">
        <v>0.06363711</v>
      </c>
      <c r="L12" s="20" t="n">
        <v>0.06243306</v>
      </c>
      <c r="M12" s="18" t="n">
        <v>0</v>
      </c>
      <c r="N12" s="20" t="n">
        <v>0</v>
      </c>
      <c r="O12" s="18" t="n">
        <v>0</v>
      </c>
      <c r="P12" s="20" t="n">
        <v>0</v>
      </c>
      <c r="Q12" s="18" t="n">
        <v>2.70054579</v>
      </c>
      <c r="R12" s="20" t="n">
        <v>0.39361461</v>
      </c>
    </row>
    <row r="13" spans="1:18">
      <c r="A13" s="15" t="s">
        <v>571</v>
      </c>
      <c r="B13" s="17" t="n">
        <v>7161</v>
      </c>
      <c r="C13" s="18">
        <f>(5699.0/B13*100)</f>
        <v/>
      </c>
      <c r="D13" s="19" t="n">
        <v>1462</v>
      </c>
      <c r="E13" s="18" t="n">
        <v>31.08983723</v>
      </c>
      <c r="F13" s="20" t="n">
        <v>1.29675247</v>
      </c>
      <c r="G13" s="18" t="n">
        <v>66.29569569</v>
      </c>
      <c r="H13" s="20" t="n">
        <v>1.30233083</v>
      </c>
      <c r="I13" s="18" t="n">
        <v>0</v>
      </c>
      <c r="J13" s="20" t="n">
        <v>0</v>
      </c>
      <c r="K13" s="18" t="n">
        <v>0.48682844</v>
      </c>
      <c r="L13" s="20" t="n">
        <v>0.19954621</v>
      </c>
      <c r="M13" s="18" t="n">
        <v>0</v>
      </c>
      <c r="N13" s="20" t="n">
        <v>0</v>
      </c>
      <c r="O13" s="18" t="n">
        <v>0</v>
      </c>
      <c r="P13" s="20" t="n">
        <v>0</v>
      </c>
      <c r="Q13" s="18" t="n">
        <v>2.12763864</v>
      </c>
      <c r="R13" s="20" t="n">
        <v>0.40318308</v>
      </c>
    </row>
    <row r="14" spans="1:18">
      <c r="A14" s="15" t="s">
        <v>572</v>
      </c>
      <c r="B14" s="17" t="n">
        <v>5587</v>
      </c>
      <c r="C14" s="18">
        <f>(4392.0/B14*100)</f>
        <v/>
      </c>
      <c r="D14" s="19" t="n">
        <v>1195</v>
      </c>
      <c r="E14" s="18" t="n">
        <v>21.75387924</v>
      </c>
      <c r="F14" s="20" t="n">
        <v>1.32477733</v>
      </c>
      <c r="G14" s="18" t="n">
        <v>77.26844663999999</v>
      </c>
      <c r="H14" s="20" t="n">
        <v>1.38585141</v>
      </c>
      <c r="I14" s="18" t="n">
        <v>0</v>
      </c>
      <c r="J14" s="20" t="n">
        <v>0</v>
      </c>
      <c r="K14" s="18" t="n">
        <v>0.07163119</v>
      </c>
      <c r="L14" s="20" t="n">
        <v>0.07182814</v>
      </c>
      <c r="M14" s="18" t="n">
        <v>0</v>
      </c>
      <c r="N14" s="20" t="n">
        <v>0</v>
      </c>
      <c r="O14" s="18" t="n">
        <v>0</v>
      </c>
      <c r="P14" s="20" t="n">
        <v>0</v>
      </c>
      <c r="Q14" s="18" t="n">
        <v>0.90604292</v>
      </c>
      <c r="R14" s="20" t="n">
        <v>0.33095497</v>
      </c>
    </row>
    <row r="15" spans="1:18">
      <c r="A15" s="15" t="s">
        <v>573</v>
      </c>
      <c r="B15" s="17" t="n">
        <v>5882</v>
      </c>
      <c r="C15" s="18">
        <f>(4559.0/B15*100)</f>
        <v/>
      </c>
      <c r="D15" s="19" t="n">
        <v>1323</v>
      </c>
      <c r="E15" s="18" t="n">
        <v>26.76162702</v>
      </c>
      <c r="F15" s="20" t="n">
        <v>1.29514158</v>
      </c>
      <c r="G15" s="18" t="n">
        <v>70.74727501</v>
      </c>
      <c r="H15" s="20" t="n">
        <v>1.39686187</v>
      </c>
      <c r="I15" s="18" t="n">
        <v>0</v>
      </c>
      <c r="J15" s="20" t="n">
        <v>0</v>
      </c>
      <c r="K15" s="18" t="n">
        <v>0</v>
      </c>
      <c r="L15" s="20" t="n">
        <v>0</v>
      </c>
      <c r="M15" s="18" t="n">
        <v>0</v>
      </c>
      <c r="N15" s="20" t="n">
        <v>0</v>
      </c>
      <c r="O15" s="18" t="n">
        <v>0</v>
      </c>
      <c r="P15" s="20" t="n">
        <v>0</v>
      </c>
      <c r="Q15" s="18" t="n">
        <v>2.49109798</v>
      </c>
      <c r="R15" s="20" t="n">
        <v>0.46837679</v>
      </c>
    </row>
    <row r="16" spans="1:18">
      <c r="A16" s="15" t="s">
        <v>574</v>
      </c>
      <c r="B16" s="17" t="n">
        <v>6108</v>
      </c>
      <c r="C16" s="18">
        <f>(4738.0/B16*100)</f>
        <v/>
      </c>
      <c r="D16" s="19" t="n">
        <v>1370</v>
      </c>
      <c r="E16" s="18" t="n">
        <v>25.5459629</v>
      </c>
      <c r="F16" s="20" t="n">
        <v>1.36062807</v>
      </c>
      <c r="G16" s="18" t="n">
        <v>68.99585104000001</v>
      </c>
      <c r="H16" s="20" t="n">
        <v>1.53402662</v>
      </c>
      <c r="I16" s="18" t="n">
        <v>0</v>
      </c>
      <c r="J16" s="20" t="n">
        <v>0</v>
      </c>
      <c r="K16" s="18" t="n">
        <v>0.35225701</v>
      </c>
      <c r="L16" s="20" t="n">
        <v>0.14811861</v>
      </c>
      <c r="M16" s="18" t="n">
        <v>0</v>
      </c>
      <c r="N16" s="20" t="n">
        <v>0</v>
      </c>
      <c r="O16" s="18" t="n">
        <v>0</v>
      </c>
      <c r="P16" s="20" t="n">
        <v>0</v>
      </c>
      <c r="Q16" s="18" t="n">
        <v>5.10592904</v>
      </c>
      <c r="R16" s="20" t="n">
        <v>0.78170743</v>
      </c>
    </row>
    <row r="17" spans="1:18">
      <c r="A17" s="15" t="s">
        <v>575</v>
      </c>
      <c r="B17" s="17" t="n">
        <v>6504</v>
      </c>
      <c r="C17" s="18">
        <f>(5147.0/B17*100)</f>
        <v/>
      </c>
      <c r="D17" s="19" t="n">
        <v>1357</v>
      </c>
      <c r="E17" s="18" t="n">
        <v>25.96405146</v>
      </c>
      <c r="F17" s="20" t="n">
        <v>1.38733575</v>
      </c>
      <c r="G17" s="18" t="n">
        <v>70.67040579</v>
      </c>
      <c r="H17" s="20" t="n">
        <v>1.47348849</v>
      </c>
      <c r="I17" s="18" t="n">
        <v>0</v>
      </c>
      <c r="J17" s="20" t="n">
        <v>0</v>
      </c>
      <c r="K17" s="18" t="n">
        <v>0.16418899</v>
      </c>
      <c r="L17" s="20" t="n">
        <v>0.1249393</v>
      </c>
      <c r="M17" s="18" t="n">
        <v>0</v>
      </c>
      <c r="N17" s="20" t="n">
        <v>0</v>
      </c>
      <c r="O17" s="18" t="n">
        <v>0</v>
      </c>
      <c r="P17" s="20" t="n">
        <v>0</v>
      </c>
      <c r="Q17" s="18" t="n">
        <v>3.20135376</v>
      </c>
      <c r="R17" s="20" t="n">
        <v>0.5359994300000001</v>
      </c>
    </row>
    <row r="18" spans="1:18">
      <c r="A18" s="15" t="s">
        <v>576</v>
      </c>
      <c r="B18" s="17" t="n">
        <v>5532</v>
      </c>
      <c r="C18" s="18">
        <f>(4312.0/B18*100)</f>
        <v/>
      </c>
      <c r="D18" s="19" t="n">
        <v>1220</v>
      </c>
      <c r="E18" s="18" t="n">
        <v>27.18834295</v>
      </c>
      <c r="F18" s="20" t="n">
        <v>1.5148837</v>
      </c>
      <c r="G18" s="18" t="n">
        <v>67.277894</v>
      </c>
      <c r="H18" s="20" t="n">
        <v>1.65251715</v>
      </c>
      <c r="I18" s="18" t="n">
        <v>0</v>
      </c>
      <c r="J18" s="20" t="n">
        <v>0</v>
      </c>
      <c r="K18" s="18" t="n">
        <v>0.38925922</v>
      </c>
      <c r="L18" s="20" t="n">
        <v>0.19582396</v>
      </c>
      <c r="M18" s="18" t="n">
        <v>0</v>
      </c>
      <c r="N18" s="20" t="n">
        <v>0</v>
      </c>
      <c r="O18" s="18" t="n">
        <v>0</v>
      </c>
      <c r="P18" s="20" t="n">
        <v>0</v>
      </c>
      <c r="Q18" s="18" t="n">
        <v>5.14450382</v>
      </c>
      <c r="R18" s="20" t="n">
        <v>0.81583926</v>
      </c>
    </row>
    <row r="19" spans="1:18">
      <c r="A19" s="15" t="s">
        <v>577</v>
      </c>
      <c r="B19" s="17" t="n">
        <v>5658</v>
      </c>
      <c r="C19" s="18">
        <f>(4450.0/B19*100)</f>
        <v/>
      </c>
      <c r="D19" s="19" t="n">
        <v>1208</v>
      </c>
      <c r="E19" s="18" t="n">
        <v>30.48833043</v>
      </c>
      <c r="F19" s="20" t="n">
        <v>1.46875985</v>
      </c>
      <c r="G19" s="18" t="n">
        <v>66.07655793000001</v>
      </c>
      <c r="H19" s="20" t="n">
        <v>1.7386514</v>
      </c>
      <c r="I19" s="18" t="n">
        <v>0</v>
      </c>
      <c r="J19" s="20" t="n">
        <v>0</v>
      </c>
      <c r="K19" s="18" t="n">
        <v>0</v>
      </c>
      <c r="L19" s="20" t="n">
        <v>0</v>
      </c>
      <c r="M19" s="18" t="n">
        <v>0</v>
      </c>
      <c r="N19" s="20" t="n">
        <v>0</v>
      </c>
      <c r="O19" s="18" t="n">
        <v>0</v>
      </c>
      <c r="P19" s="20" t="n">
        <v>0</v>
      </c>
      <c r="Q19" s="18" t="n">
        <v>3.43511165</v>
      </c>
      <c r="R19" s="20" t="n">
        <v>0.7279015599999999</v>
      </c>
    </row>
    <row r="20" spans="1:18">
      <c r="A20" s="15" t="s">
        <v>578</v>
      </c>
      <c r="B20" s="17" t="n">
        <v>3371</v>
      </c>
      <c r="C20" s="18">
        <f>(2639.0/B20*100)</f>
        <v/>
      </c>
      <c r="D20" s="19" t="n">
        <v>732</v>
      </c>
      <c r="E20" s="18" t="n">
        <v>33.49121156</v>
      </c>
      <c r="F20" s="20" t="n">
        <v>1.83158661</v>
      </c>
      <c r="G20" s="18" t="n">
        <v>62.63777161</v>
      </c>
      <c r="H20" s="20" t="n">
        <v>1.96700996</v>
      </c>
      <c r="I20" s="18" t="n">
        <v>0</v>
      </c>
      <c r="J20" s="20" t="n">
        <v>0</v>
      </c>
      <c r="K20" s="18" t="n">
        <v>0.11630529</v>
      </c>
      <c r="L20" s="20" t="n">
        <v>0.1156019</v>
      </c>
      <c r="M20" s="18" t="n">
        <v>0</v>
      </c>
      <c r="N20" s="20" t="n">
        <v>0</v>
      </c>
      <c r="O20" s="18" t="n">
        <v>0</v>
      </c>
      <c r="P20" s="20" t="n">
        <v>0</v>
      </c>
      <c r="Q20" s="18" t="n">
        <v>3.75471154</v>
      </c>
      <c r="R20" s="20" t="n">
        <v>0.7901594199999999</v>
      </c>
    </row>
    <row r="21" spans="1:18">
      <c r="A21" s="15" t="s">
        <v>579</v>
      </c>
      <c r="B21" s="17" t="n">
        <v>5741</v>
      </c>
      <c r="C21" s="18">
        <f>(4465.0/B21*100)</f>
        <v/>
      </c>
      <c r="D21" s="19" t="n">
        <v>1276</v>
      </c>
      <c r="E21" s="18" t="n">
        <v>30.20513169</v>
      </c>
      <c r="F21" s="20" t="n">
        <v>1.26091016</v>
      </c>
      <c r="G21" s="18" t="n">
        <v>66.89680963000001</v>
      </c>
      <c r="H21" s="20" t="n">
        <v>1.49146022</v>
      </c>
      <c r="I21" s="18" t="n">
        <v>0</v>
      </c>
      <c r="J21" s="20" t="n">
        <v>0</v>
      </c>
      <c r="K21" s="18" t="n">
        <v>0</v>
      </c>
      <c r="L21" s="20" t="n">
        <v>0</v>
      </c>
      <c r="M21" s="18" t="n">
        <v>0</v>
      </c>
      <c r="N21" s="20" t="n">
        <v>0</v>
      </c>
      <c r="O21" s="18" t="n">
        <v>0</v>
      </c>
      <c r="P21" s="20" t="n">
        <v>0</v>
      </c>
      <c r="Q21" s="18" t="n">
        <v>2.89805868</v>
      </c>
      <c r="R21" s="20" t="n">
        <v>0.49077166</v>
      </c>
    </row>
    <row r="22" spans="1:18">
      <c r="A22" s="15" t="s">
        <v>580</v>
      </c>
      <c r="B22" s="17" t="n">
        <v>6598</v>
      </c>
      <c r="C22" s="18">
        <f>(5160.0/B22*100)</f>
        <v/>
      </c>
      <c r="D22" s="19" t="n">
        <v>1438</v>
      </c>
      <c r="E22" s="18" t="n">
        <v>29.27730803</v>
      </c>
      <c r="F22" s="20" t="n">
        <v>1.25328175</v>
      </c>
      <c r="G22" s="18" t="n">
        <v>64.57444270000001</v>
      </c>
      <c r="H22" s="20" t="n">
        <v>1.50463334</v>
      </c>
      <c r="I22" s="18" t="n">
        <v>0</v>
      </c>
      <c r="J22" s="20" t="n">
        <v>0</v>
      </c>
      <c r="K22" s="18" t="n">
        <v>0.48252087</v>
      </c>
      <c r="L22" s="20" t="n">
        <v>0.15308555</v>
      </c>
      <c r="M22" s="18" t="n">
        <v>0</v>
      </c>
      <c r="N22" s="20" t="n">
        <v>0</v>
      </c>
      <c r="O22" s="18" t="n">
        <v>0</v>
      </c>
      <c r="P22" s="20" t="n">
        <v>0</v>
      </c>
      <c r="Q22" s="18" t="n">
        <v>5.6657284</v>
      </c>
      <c r="R22" s="20" t="n">
        <v>0.68459653</v>
      </c>
    </row>
    <row r="23" spans="1:18">
      <c r="A23" s="15" t="s">
        <v>581</v>
      </c>
      <c r="B23" s="17" t="n">
        <v>11583</v>
      </c>
      <c r="C23" s="18">
        <f>(8967.0/B23*100)</f>
        <v/>
      </c>
      <c r="D23" s="19" t="n">
        <v>2616</v>
      </c>
      <c r="E23" s="18" t="n">
        <v>28.38545504</v>
      </c>
      <c r="F23" s="20" t="n">
        <v>1.36001985</v>
      </c>
      <c r="G23" s="18" t="n">
        <v>67.39508248999999</v>
      </c>
      <c r="H23" s="20" t="n">
        <v>1.40765037</v>
      </c>
      <c r="I23" s="18" t="n">
        <v>0</v>
      </c>
      <c r="J23" s="20" t="n">
        <v>0</v>
      </c>
      <c r="K23" s="18" t="n">
        <v>0.16027479</v>
      </c>
      <c r="L23" s="20" t="n">
        <v>0.11757639</v>
      </c>
      <c r="M23" s="18" t="n">
        <v>0</v>
      </c>
      <c r="N23" s="20" t="n">
        <v>0</v>
      </c>
      <c r="O23" s="18" t="n">
        <v>0</v>
      </c>
      <c r="P23" s="20" t="n">
        <v>0</v>
      </c>
      <c r="Q23" s="18" t="n">
        <v>4.05918768</v>
      </c>
      <c r="R23" s="20" t="n">
        <v>0.63683221</v>
      </c>
    </row>
    <row r="24" spans="1:18">
      <c r="A24" s="15" t="s">
        <v>582</v>
      </c>
      <c r="B24" s="17" t="n">
        <v>6647</v>
      </c>
      <c r="C24" s="18">
        <f>(5169.0/B24*100)</f>
        <v/>
      </c>
      <c r="D24" s="19" t="n">
        <v>1478</v>
      </c>
      <c r="E24" s="18" t="n">
        <v>19.25081756</v>
      </c>
      <c r="F24" s="20" t="n">
        <v>1.25458206</v>
      </c>
      <c r="G24" s="18" t="n">
        <v>79.23056561999999</v>
      </c>
      <c r="H24" s="20" t="n">
        <v>1.29174783</v>
      </c>
      <c r="I24" s="18" t="n">
        <v>0</v>
      </c>
      <c r="J24" s="20" t="n">
        <v>0</v>
      </c>
      <c r="K24" s="18" t="n">
        <v>0</v>
      </c>
      <c r="L24" s="20" t="n">
        <v>0</v>
      </c>
      <c r="M24" s="18" t="n">
        <v>0</v>
      </c>
      <c r="N24" s="20" t="n">
        <v>0</v>
      </c>
      <c r="O24" s="18" t="n">
        <v>0</v>
      </c>
      <c r="P24" s="20" t="n">
        <v>0</v>
      </c>
      <c r="Q24" s="18" t="n">
        <v>1.51861683</v>
      </c>
      <c r="R24" s="20" t="n">
        <v>0.29957403</v>
      </c>
    </row>
    <row r="25" spans="1:18">
      <c r="A25" s="15" t="s">
        <v>583</v>
      </c>
      <c r="B25" s="17" t="n">
        <v>5581</v>
      </c>
      <c r="C25" s="18">
        <f>(4356.0/B25*100)</f>
        <v/>
      </c>
      <c r="D25" s="19" t="n">
        <v>1225</v>
      </c>
      <c r="E25" s="18" t="n">
        <v>26.06869009</v>
      </c>
      <c r="F25" s="20" t="n">
        <v>1.33380804</v>
      </c>
      <c r="G25" s="18" t="n">
        <v>71.64891283999999</v>
      </c>
      <c r="H25" s="20" t="n">
        <v>1.41584858</v>
      </c>
      <c r="I25" s="18" t="n">
        <v>0</v>
      </c>
      <c r="J25" s="20" t="n">
        <v>0</v>
      </c>
      <c r="K25" s="18" t="n">
        <v>0</v>
      </c>
      <c r="L25" s="20" t="n">
        <v>0</v>
      </c>
      <c r="M25" s="18" t="n">
        <v>0</v>
      </c>
      <c r="N25" s="20" t="n">
        <v>0</v>
      </c>
      <c r="O25" s="18" t="n">
        <v>0</v>
      </c>
      <c r="P25" s="20" t="n">
        <v>0</v>
      </c>
      <c r="Q25" s="18" t="n">
        <v>2.28239707</v>
      </c>
      <c r="R25" s="20" t="n">
        <v>0.40088183</v>
      </c>
    </row>
    <row r="26" spans="1:18">
      <c r="A26" s="15" t="s">
        <v>584</v>
      </c>
      <c r="B26" s="17" t="n">
        <v>4869</v>
      </c>
      <c r="C26" s="18">
        <f>(3809.0/B26*100)</f>
        <v/>
      </c>
      <c r="D26" s="19" t="n">
        <v>1060</v>
      </c>
      <c r="E26" s="18" t="n">
        <v>30.54234893</v>
      </c>
      <c r="F26" s="20" t="n">
        <v>1.68145776</v>
      </c>
      <c r="G26" s="18" t="n">
        <v>66.74972578000001</v>
      </c>
      <c r="H26" s="20" t="n">
        <v>1.68705318</v>
      </c>
      <c r="I26" s="18" t="n">
        <v>0</v>
      </c>
      <c r="J26" s="20" t="n">
        <v>0</v>
      </c>
      <c r="K26" s="18" t="n">
        <v>0</v>
      </c>
      <c r="L26" s="20" t="n">
        <v>0</v>
      </c>
      <c r="M26" s="18" t="n">
        <v>0</v>
      </c>
      <c r="N26" s="20" t="n">
        <v>0</v>
      </c>
      <c r="O26" s="18" t="n">
        <v>0</v>
      </c>
      <c r="P26" s="20" t="n">
        <v>0</v>
      </c>
      <c r="Q26" s="18" t="n">
        <v>2.70792529</v>
      </c>
      <c r="R26" s="20" t="n">
        <v>0.45522044</v>
      </c>
    </row>
    <row r="27" spans="1:18">
      <c r="A27" s="15" t="s">
        <v>585</v>
      </c>
      <c r="B27" s="17" t="n">
        <v>5299</v>
      </c>
      <c r="C27" s="18">
        <f>(4094.0/B27*100)</f>
        <v/>
      </c>
      <c r="D27" s="19" t="n">
        <v>1205</v>
      </c>
      <c r="E27" s="18" t="n">
        <v>31.85530525</v>
      </c>
      <c r="F27" s="20" t="n">
        <v>1.43331745</v>
      </c>
      <c r="G27" s="18" t="n">
        <v>62.9216375</v>
      </c>
      <c r="H27" s="20" t="n">
        <v>1.46707599</v>
      </c>
      <c r="I27" s="18" t="n">
        <v>0</v>
      </c>
      <c r="J27" s="20" t="n">
        <v>0</v>
      </c>
      <c r="K27" s="18" t="n">
        <v>0.26091507</v>
      </c>
      <c r="L27" s="20" t="n">
        <v>0.14759515</v>
      </c>
      <c r="M27" s="18" t="n">
        <v>0</v>
      </c>
      <c r="N27" s="20" t="n">
        <v>0</v>
      </c>
      <c r="O27" s="18" t="n">
        <v>0</v>
      </c>
      <c r="P27" s="20" t="n">
        <v>0</v>
      </c>
      <c r="Q27" s="18" t="n">
        <v>4.96214218</v>
      </c>
      <c r="R27" s="20" t="n">
        <v>0.6162154</v>
      </c>
    </row>
    <row r="28" spans="1:18">
      <c r="A28" s="15" t="s">
        <v>586</v>
      </c>
      <c r="B28" s="17" t="n">
        <v>7568</v>
      </c>
      <c r="C28" s="18">
        <f>(5965.0/B28*100)</f>
        <v/>
      </c>
      <c r="D28" s="19" t="n">
        <v>1603</v>
      </c>
      <c r="E28" s="18" t="n">
        <v>40.93107414</v>
      </c>
      <c r="F28" s="20" t="n">
        <v>1.69010083</v>
      </c>
      <c r="G28" s="18" t="n">
        <v>52.90684733</v>
      </c>
      <c r="H28" s="20" t="n">
        <v>1.59091664</v>
      </c>
      <c r="I28" s="18" t="n">
        <v>0</v>
      </c>
      <c r="J28" s="20" t="n">
        <v>0</v>
      </c>
      <c r="K28" s="18" t="n">
        <v>0.16096529</v>
      </c>
      <c r="L28" s="20" t="n">
        <v>0.09812858000000001</v>
      </c>
      <c r="M28" s="18" t="n">
        <v>0</v>
      </c>
      <c r="N28" s="20" t="n">
        <v>0</v>
      </c>
      <c r="O28" s="18" t="n">
        <v>0</v>
      </c>
      <c r="P28" s="20" t="n">
        <v>0</v>
      </c>
      <c r="Q28" s="18" t="n">
        <v>6.00111324</v>
      </c>
      <c r="R28" s="20" t="n">
        <v>0.73508563</v>
      </c>
    </row>
    <row r="29" spans="1:18">
      <c r="A29" s="15" t="s">
        <v>587</v>
      </c>
      <c r="B29" s="17" t="n">
        <v>5385</v>
      </c>
      <c r="C29" s="18">
        <f>(4277.0/B29*100)</f>
        <v/>
      </c>
      <c r="D29" s="19" t="n">
        <v>1108</v>
      </c>
      <c r="E29" s="18" t="n">
        <v>29.07702344</v>
      </c>
      <c r="F29" s="20" t="n">
        <v>1.33341516</v>
      </c>
      <c r="G29" s="18" t="n">
        <v>67.8018217</v>
      </c>
      <c r="H29" s="20" t="n">
        <v>1.33522613</v>
      </c>
      <c r="I29" s="18" t="n">
        <v>0</v>
      </c>
      <c r="J29" s="20" t="n">
        <v>0</v>
      </c>
      <c r="K29" s="18" t="n">
        <v>0.06660658</v>
      </c>
      <c r="L29" s="20" t="n">
        <v>0.09168345</v>
      </c>
      <c r="M29" s="18" t="n">
        <v>0</v>
      </c>
      <c r="N29" s="20" t="n">
        <v>0</v>
      </c>
      <c r="O29" s="18" t="n">
        <v>0</v>
      </c>
      <c r="P29" s="20" t="n">
        <v>0</v>
      </c>
      <c r="Q29" s="18" t="n">
        <v>3.05454828</v>
      </c>
      <c r="R29" s="20" t="n">
        <v>0.55841288</v>
      </c>
    </row>
    <row r="30" spans="1:18">
      <c r="A30" s="15" t="s">
        <v>588</v>
      </c>
      <c r="B30" s="17" t="n">
        <v>4520</v>
      </c>
      <c r="C30" s="18">
        <f>(3513.0/B30*100)</f>
        <v/>
      </c>
      <c r="D30" s="19" t="n">
        <v>1007</v>
      </c>
      <c r="E30" s="18" t="n">
        <v>24.89671495</v>
      </c>
      <c r="F30" s="20" t="n">
        <v>1.44528845</v>
      </c>
      <c r="G30" s="18" t="n">
        <v>72.67929752000001</v>
      </c>
      <c r="H30" s="20" t="n">
        <v>1.44237685</v>
      </c>
      <c r="I30" s="18" t="n">
        <v>0</v>
      </c>
      <c r="J30" s="20" t="n">
        <v>0</v>
      </c>
      <c r="K30" s="18" t="n">
        <v>0.38572549</v>
      </c>
      <c r="L30" s="20" t="n">
        <v>0.20520559</v>
      </c>
      <c r="M30" s="18" t="n">
        <v>0</v>
      </c>
      <c r="N30" s="20" t="n">
        <v>0</v>
      </c>
      <c r="O30" s="18" t="n">
        <v>0</v>
      </c>
      <c r="P30" s="20" t="n">
        <v>0</v>
      </c>
      <c r="Q30" s="18" t="n">
        <v>2.03826204</v>
      </c>
      <c r="R30" s="20" t="n">
        <v>0.40192847</v>
      </c>
    </row>
    <row r="31" spans="1:18">
      <c r="A31" s="15" t="s">
        <v>589</v>
      </c>
      <c r="B31" s="17" t="n">
        <v>5456</v>
      </c>
      <c r="C31" s="18">
        <f>(4245.0/B31*100)</f>
        <v/>
      </c>
      <c r="D31" s="19" t="n">
        <v>1211</v>
      </c>
      <c r="E31" s="18" t="n">
        <v>27.86774857</v>
      </c>
      <c r="F31" s="20" t="n">
        <v>1.32836846</v>
      </c>
      <c r="G31" s="18" t="n">
        <v>68.59932845</v>
      </c>
      <c r="H31" s="20" t="n">
        <v>1.54278059</v>
      </c>
      <c r="I31" s="18" t="n">
        <v>0</v>
      </c>
      <c r="J31" s="20" t="n">
        <v>0</v>
      </c>
      <c r="K31" s="18" t="n">
        <v>0.23749915</v>
      </c>
      <c r="L31" s="20" t="n">
        <v>0.13241243</v>
      </c>
      <c r="M31" s="18" t="n">
        <v>0</v>
      </c>
      <c r="N31" s="20" t="n">
        <v>0</v>
      </c>
      <c r="O31" s="18" t="n">
        <v>0</v>
      </c>
      <c r="P31" s="20" t="n">
        <v>0</v>
      </c>
      <c r="Q31" s="18" t="n">
        <v>3.29542383</v>
      </c>
      <c r="R31" s="20" t="n">
        <v>0.60897272</v>
      </c>
    </row>
    <row r="32" spans="1:18">
      <c r="A32" s="15" t="s">
        <v>590</v>
      </c>
      <c r="B32" s="17" t="n">
        <v>4478</v>
      </c>
      <c r="C32" s="18">
        <f>(3436.0/B32*100)</f>
        <v/>
      </c>
      <c r="D32" s="19" t="n">
        <v>1042</v>
      </c>
      <c r="E32" s="18" t="n">
        <v>29.14571058</v>
      </c>
      <c r="F32" s="20" t="n">
        <v>1.37625108</v>
      </c>
      <c r="G32" s="18" t="n">
        <v>68.45957811</v>
      </c>
      <c r="H32" s="20" t="n">
        <v>1.49479223</v>
      </c>
      <c r="I32" s="18" t="n">
        <v>0</v>
      </c>
      <c r="J32" s="20" t="n">
        <v>0</v>
      </c>
      <c r="K32" s="18" t="n">
        <v>0</v>
      </c>
      <c r="L32" s="20" t="n">
        <v>0</v>
      </c>
      <c r="M32" s="18" t="n">
        <v>0</v>
      </c>
      <c r="N32" s="20" t="n">
        <v>0</v>
      </c>
      <c r="O32" s="18" t="n">
        <v>0</v>
      </c>
      <c r="P32" s="20" t="n">
        <v>0</v>
      </c>
      <c r="Q32" s="18" t="n">
        <v>2.39471131</v>
      </c>
      <c r="R32" s="20" t="n">
        <v>0.59428572</v>
      </c>
    </row>
    <row r="33" spans="1:18">
      <c r="A33" s="15" t="s">
        <v>591</v>
      </c>
      <c r="B33" s="17" t="n">
        <v>7325</v>
      </c>
      <c r="C33" s="18">
        <f>(5673.0/B33*100)</f>
        <v/>
      </c>
      <c r="D33" s="19" t="n">
        <v>1652</v>
      </c>
      <c r="E33" s="18" t="n">
        <v>26.42343847</v>
      </c>
      <c r="F33" s="20" t="n">
        <v>1.19757985</v>
      </c>
      <c r="G33" s="18" t="n">
        <v>71.80322776</v>
      </c>
      <c r="H33" s="20" t="n">
        <v>1.2230849</v>
      </c>
      <c r="I33" s="18" t="n">
        <v>0</v>
      </c>
      <c r="J33" s="20" t="n">
        <v>0</v>
      </c>
      <c r="K33" s="18" t="n">
        <v>0.08391183000000001</v>
      </c>
      <c r="L33" s="20" t="n">
        <v>0.0830087</v>
      </c>
      <c r="M33" s="18" t="n">
        <v>0</v>
      </c>
      <c r="N33" s="20" t="n">
        <v>0</v>
      </c>
      <c r="O33" s="18" t="n">
        <v>0</v>
      </c>
      <c r="P33" s="20" t="n">
        <v>0</v>
      </c>
      <c r="Q33" s="18" t="n">
        <v>1.68942194</v>
      </c>
      <c r="R33" s="20" t="n">
        <v>0.32036033</v>
      </c>
    </row>
    <row r="34" spans="1:18">
      <c r="A34" s="15" t="s">
        <v>592</v>
      </c>
      <c r="B34" s="17" t="n">
        <v>6350</v>
      </c>
      <c r="C34" s="18">
        <f>(5012.0/B34*100)</f>
        <v/>
      </c>
      <c r="D34" s="19" t="n">
        <v>1338</v>
      </c>
      <c r="E34" s="18" t="n">
        <v>32.96454268</v>
      </c>
      <c r="F34" s="20" t="n">
        <v>1.27155435</v>
      </c>
      <c r="G34" s="18" t="n">
        <v>63.65797548</v>
      </c>
      <c r="H34" s="20" t="n">
        <v>1.42871427</v>
      </c>
      <c r="I34" s="18" t="n">
        <v>0</v>
      </c>
      <c r="J34" s="20" t="n">
        <v>0</v>
      </c>
      <c r="K34" s="18" t="n">
        <v>0</v>
      </c>
      <c r="L34" s="20" t="n">
        <v>0</v>
      </c>
      <c r="M34" s="18" t="n">
        <v>0</v>
      </c>
      <c r="N34" s="20" t="n">
        <v>0</v>
      </c>
      <c r="O34" s="18" t="n">
        <v>0</v>
      </c>
      <c r="P34" s="20" t="n">
        <v>0</v>
      </c>
      <c r="Q34" s="18" t="n">
        <v>3.37748184</v>
      </c>
      <c r="R34" s="20" t="n">
        <v>0.59963897</v>
      </c>
    </row>
    <row r="35" spans="1:18">
      <c r="A35" s="15" t="s">
        <v>593</v>
      </c>
      <c r="B35" s="17" t="n">
        <v>6406</v>
      </c>
      <c r="C35" s="18">
        <f>(5005.0/B35*100)</f>
        <v/>
      </c>
      <c r="D35" s="19" t="n">
        <v>1401</v>
      </c>
      <c r="E35" s="18" t="n">
        <v>29.75804916</v>
      </c>
      <c r="F35" s="20" t="n">
        <v>1.59519041</v>
      </c>
      <c r="G35" s="18" t="n">
        <v>67.69768962000001</v>
      </c>
      <c r="H35" s="20" t="n">
        <v>1.62455603</v>
      </c>
      <c r="I35" s="18" t="n">
        <v>0</v>
      </c>
      <c r="J35" s="20" t="n">
        <v>0</v>
      </c>
      <c r="K35" s="18" t="n">
        <v>0.08843255999999999</v>
      </c>
      <c r="L35" s="20" t="n">
        <v>0.05084813</v>
      </c>
      <c r="M35" s="18" t="n">
        <v>0</v>
      </c>
      <c r="N35" s="20" t="n">
        <v>0</v>
      </c>
      <c r="O35" s="18" t="n">
        <v>0</v>
      </c>
      <c r="P35" s="20" t="n">
        <v>0</v>
      </c>
      <c r="Q35" s="18" t="n">
        <v>2.45582866</v>
      </c>
      <c r="R35" s="20" t="n">
        <v>0.40018808</v>
      </c>
    </row>
    <row r="36" spans="1:18">
      <c r="A36" s="15" t="s">
        <v>594</v>
      </c>
      <c r="B36" s="17" t="n">
        <v>6736</v>
      </c>
      <c r="C36" s="18">
        <f>(5254.0/B36*100)</f>
        <v/>
      </c>
      <c r="D36" s="19" t="n">
        <v>1482</v>
      </c>
      <c r="E36" s="18" t="n">
        <v>22.35609273</v>
      </c>
      <c r="F36" s="20" t="n">
        <v>1.23134965</v>
      </c>
      <c r="G36" s="18" t="n">
        <v>74.4588608</v>
      </c>
      <c r="H36" s="20" t="n">
        <v>1.37535567</v>
      </c>
      <c r="I36" s="18" t="n">
        <v>0</v>
      </c>
      <c r="J36" s="20" t="n">
        <v>0</v>
      </c>
      <c r="K36" s="18" t="n">
        <v>0.2263038</v>
      </c>
      <c r="L36" s="20" t="n">
        <v>0.02814546</v>
      </c>
      <c r="M36" s="18" t="n">
        <v>0</v>
      </c>
      <c r="N36" s="20" t="n">
        <v>0</v>
      </c>
      <c r="O36" s="18" t="n">
        <v>0</v>
      </c>
      <c r="P36" s="20" t="n">
        <v>0</v>
      </c>
      <c r="Q36" s="18" t="n">
        <v>2.95874267</v>
      </c>
      <c r="R36" s="20" t="n">
        <v>0.52301804</v>
      </c>
    </row>
    <row r="37" spans="1:18">
      <c r="A37" s="15" t="s">
        <v>595</v>
      </c>
      <c r="B37" s="17" t="n">
        <v>5458</v>
      </c>
      <c r="C37" s="18">
        <f>(4262.0/B37*100)</f>
        <v/>
      </c>
      <c r="D37" s="19" t="n">
        <v>1196</v>
      </c>
      <c r="E37" s="18" t="n">
        <v>32.26196175</v>
      </c>
      <c r="F37" s="20" t="n">
        <v>1.5065578</v>
      </c>
      <c r="G37" s="18" t="n">
        <v>62.11389989</v>
      </c>
      <c r="H37" s="20" t="n">
        <v>1.65757553</v>
      </c>
      <c r="I37" s="18" t="n">
        <v>0</v>
      </c>
      <c r="J37" s="20" t="n">
        <v>0</v>
      </c>
      <c r="K37" s="18" t="n">
        <v>0.16304227</v>
      </c>
      <c r="L37" s="20" t="n">
        <v>0.13629008</v>
      </c>
      <c r="M37" s="18" t="n">
        <v>0</v>
      </c>
      <c r="N37" s="20" t="n">
        <v>0</v>
      </c>
      <c r="O37" s="18" t="n">
        <v>0</v>
      </c>
      <c r="P37" s="20" t="n">
        <v>0</v>
      </c>
      <c r="Q37" s="18" t="n">
        <v>5.46109609</v>
      </c>
      <c r="R37" s="20" t="n">
        <v>0.73830999</v>
      </c>
    </row>
    <row r="38" spans="1:18">
      <c r="A38" s="15" t="s">
        <v>596</v>
      </c>
      <c r="B38" s="17" t="n">
        <v>5860</v>
      </c>
      <c r="C38" s="18">
        <f>(4578.0/B38*100)</f>
        <v/>
      </c>
      <c r="D38" s="19" t="n">
        <v>1282</v>
      </c>
      <c r="E38" s="18" t="n">
        <v>28.79498062</v>
      </c>
      <c r="F38" s="20" t="n">
        <v>1.36197095</v>
      </c>
      <c r="G38" s="18" t="n">
        <v>67.04799925</v>
      </c>
      <c r="H38" s="20" t="n">
        <v>1.58803558</v>
      </c>
      <c r="I38" s="18" t="n">
        <v>0</v>
      </c>
      <c r="J38" s="20" t="n">
        <v>0</v>
      </c>
      <c r="K38" s="18" t="n">
        <v>0</v>
      </c>
      <c r="L38" s="20" t="n">
        <v>0</v>
      </c>
      <c r="M38" s="18" t="n">
        <v>0</v>
      </c>
      <c r="N38" s="20" t="n">
        <v>0</v>
      </c>
      <c r="O38" s="18" t="n">
        <v>0</v>
      </c>
      <c r="P38" s="20" t="n">
        <v>0</v>
      </c>
      <c r="Q38" s="18" t="n">
        <v>4.15702012</v>
      </c>
      <c r="R38" s="20" t="n">
        <v>0.660821</v>
      </c>
    </row>
    <row r="39" spans="1:18">
      <c r="A39" s="15" t="s">
        <v>597</v>
      </c>
      <c r="B39" s="17" t="n">
        <v>5895</v>
      </c>
      <c r="C39" s="18">
        <f>(4579.0/B39*100)</f>
        <v/>
      </c>
      <c r="D39" s="19" t="n">
        <v>1316</v>
      </c>
      <c r="E39" s="18" t="n">
        <v>45.33810376</v>
      </c>
      <c r="F39" s="20" t="n">
        <v>1.64530183</v>
      </c>
      <c r="G39" s="18" t="n">
        <v>49.09319527</v>
      </c>
      <c r="H39" s="20" t="n">
        <v>1.62802866</v>
      </c>
      <c r="I39" s="18" t="n">
        <v>0</v>
      </c>
      <c r="J39" s="20" t="n">
        <v>0</v>
      </c>
      <c r="K39" s="18" t="n">
        <v>0.30339315</v>
      </c>
      <c r="L39" s="20" t="n">
        <v>0.1242816</v>
      </c>
      <c r="M39" s="18" t="n">
        <v>0</v>
      </c>
      <c r="N39" s="20" t="n">
        <v>0</v>
      </c>
      <c r="O39" s="18" t="n">
        <v>0</v>
      </c>
      <c r="P39" s="20" t="n">
        <v>0</v>
      </c>
      <c r="Q39" s="18" t="n">
        <v>5.26530782</v>
      </c>
      <c r="R39" s="20" t="n">
        <v>0.70618645</v>
      </c>
    </row>
    <row r="40" spans="1:18">
      <c r="A40" s="15" t="s">
        <v>598</v>
      </c>
      <c r="B40" s="17" t="n">
        <v>14157</v>
      </c>
      <c r="C40" s="18">
        <f>(11031.0/B40*100)</f>
        <v/>
      </c>
      <c r="D40" s="19" t="n">
        <v>3126</v>
      </c>
      <c r="E40" s="18" t="n">
        <v>26.69588914</v>
      </c>
      <c r="F40" s="20" t="n">
        <v>1.24823567</v>
      </c>
      <c r="G40" s="18" t="n">
        <v>69.99762225000001</v>
      </c>
      <c r="H40" s="20" t="n">
        <v>1.30010158</v>
      </c>
      <c r="I40" s="18" t="n">
        <v>0</v>
      </c>
      <c r="J40" s="20" t="n">
        <v>0</v>
      </c>
      <c r="K40" s="18" t="n">
        <v>0.08986676</v>
      </c>
      <c r="L40" s="20" t="n">
        <v>0.05988895</v>
      </c>
      <c r="M40" s="18" t="n">
        <v>0</v>
      </c>
      <c r="N40" s="20" t="n">
        <v>0</v>
      </c>
      <c r="O40" s="18" t="n">
        <v>0</v>
      </c>
      <c r="P40" s="20" t="n">
        <v>0</v>
      </c>
      <c r="Q40" s="18" t="n">
        <v>3.21662185</v>
      </c>
      <c r="R40" s="20" t="n">
        <v>0.47908038</v>
      </c>
    </row>
    <row r="41" spans="1:18">
      <c r="A41" s="15" t="s">
        <v>599</v>
      </c>
      <c r="B41" s="17" t="n">
        <v>5712</v>
      </c>
      <c r="C41" s="18">
        <f>(4492.0/B41*100)</f>
        <v/>
      </c>
      <c r="D41" s="19" t="n">
        <v>1220</v>
      </c>
      <c r="E41" s="18" t="n">
        <v>27.67365945</v>
      </c>
      <c r="F41" s="20" t="n">
        <v>1.24184564</v>
      </c>
      <c r="G41" s="18" t="n">
        <v>70.27176633000001</v>
      </c>
      <c r="H41" s="20" t="n">
        <v>1.48078737</v>
      </c>
      <c r="I41" s="18" t="n">
        <v>0</v>
      </c>
      <c r="J41" s="20" t="n">
        <v>0</v>
      </c>
      <c r="K41" s="18" t="n">
        <v>0</v>
      </c>
      <c r="L41" s="20" t="n">
        <v>0</v>
      </c>
      <c r="M41" s="18" t="n">
        <v>0</v>
      </c>
      <c r="N41" s="20" t="n">
        <v>0</v>
      </c>
      <c r="O41" s="18" t="n">
        <v>0</v>
      </c>
      <c r="P41" s="20" t="n">
        <v>0</v>
      </c>
      <c r="Q41" s="18" t="n">
        <v>2.05457422</v>
      </c>
      <c r="R41" s="20" t="n">
        <v>0.61253722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(18555.0/B46*100)</f>
        <v/>
      </c>
      <c r="D46" s="19" t="n">
        <v>4586</v>
      </c>
      <c r="E46" s="18" t="n">
        <v>36.35267132</v>
      </c>
      <c r="F46" s="20" t="n">
        <v>1.17087643</v>
      </c>
      <c r="G46" s="18" t="n">
        <v>51.91055345</v>
      </c>
      <c r="H46" s="20" t="n">
        <v>1.3162941</v>
      </c>
      <c r="I46" s="18" t="n">
        <v>0</v>
      </c>
      <c r="J46" s="20" t="n">
        <v>0</v>
      </c>
      <c r="K46" s="18" t="n">
        <v>0.73477086</v>
      </c>
      <c r="L46" s="20" t="n">
        <v>0.22635942</v>
      </c>
      <c r="M46" s="18" t="n">
        <v>0</v>
      </c>
      <c r="N46" s="20" t="n">
        <v>0</v>
      </c>
      <c r="O46" s="18" t="n">
        <v>0</v>
      </c>
      <c r="P46" s="20" t="n">
        <v>0</v>
      </c>
      <c r="Q46" s="18" t="n">
        <v>11.00200437</v>
      </c>
      <c r="R46" s="20" t="n">
        <v>0.7214312000000001</v>
      </c>
    </row>
    <row r="47" spans="1:18">
      <c r="A47" s="15" t="s">
        <v>606</v>
      </c>
      <c r="B47" s="17" t="n">
        <v>5928</v>
      </c>
      <c r="C47" s="18">
        <f>(4676.0/B47*100)</f>
        <v/>
      </c>
      <c r="D47" s="19" t="n">
        <v>1252</v>
      </c>
      <c r="E47" s="18" t="n">
        <v>33.17492904</v>
      </c>
      <c r="F47" s="20" t="n">
        <v>1.53545563</v>
      </c>
      <c r="G47" s="18" t="n">
        <v>58.69184456</v>
      </c>
      <c r="H47" s="20" t="n">
        <v>2.01905642</v>
      </c>
      <c r="I47" s="18" t="n">
        <v>0</v>
      </c>
      <c r="J47" s="20" t="n">
        <v>0</v>
      </c>
      <c r="K47" s="18" t="n">
        <v>0.54815952</v>
      </c>
      <c r="L47" s="20" t="n">
        <v>0.2164867</v>
      </c>
      <c r="M47" s="18" t="n">
        <v>0</v>
      </c>
      <c r="N47" s="20" t="n">
        <v>0</v>
      </c>
      <c r="O47" s="18" t="n">
        <v>0</v>
      </c>
      <c r="P47" s="20" t="n">
        <v>0</v>
      </c>
      <c r="Q47" s="18" t="n">
        <v>7.58506689</v>
      </c>
      <c r="R47" s="20" t="n">
        <v>0.97166016</v>
      </c>
    </row>
    <row r="48" spans="1:18">
      <c r="A48" s="15" t="s">
        <v>607</v>
      </c>
      <c r="B48" s="17" t="n">
        <v>9841</v>
      </c>
      <c r="C48" s="18">
        <f>(7664.0/B48*100)</f>
        <v/>
      </c>
      <c r="D48" s="19" t="n">
        <v>2177</v>
      </c>
      <c r="E48" s="18" t="n">
        <v>17.97736292</v>
      </c>
      <c r="F48" s="20" t="n">
        <v>1.13799528</v>
      </c>
      <c r="G48" s="18" t="n">
        <v>78.89428927</v>
      </c>
      <c r="H48" s="20" t="n">
        <v>1.18382175</v>
      </c>
      <c r="I48" s="18" t="n">
        <v>0</v>
      </c>
      <c r="J48" s="20" t="n">
        <v>0</v>
      </c>
      <c r="K48" s="18" t="n">
        <v>0.36328905</v>
      </c>
      <c r="L48" s="20" t="n">
        <v>0.16384767</v>
      </c>
      <c r="M48" s="18" t="n">
        <v>0</v>
      </c>
      <c r="N48" s="20" t="n">
        <v>0</v>
      </c>
      <c r="O48" s="18" t="n">
        <v>0</v>
      </c>
      <c r="P48" s="20" t="n">
        <v>0</v>
      </c>
      <c r="Q48" s="18" t="n">
        <v>2.76505876</v>
      </c>
      <c r="R48" s="20" t="n">
        <v>0.44068133</v>
      </c>
    </row>
    <row r="49" spans="1:18">
      <c r="A49" s="15" t="s">
        <v>608</v>
      </c>
      <c r="B49" s="17" t="n">
        <v>11795</v>
      </c>
      <c r="C49" s="18">
        <f>(9250.0/B49*100)</f>
        <v/>
      </c>
      <c r="D49" s="19" t="n">
        <v>2545</v>
      </c>
      <c r="E49" s="18" t="n">
        <v>36.43301899</v>
      </c>
      <c r="F49" s="20" t="n">
        <v>1.18559612</v>
      </c>
      <c r="G49" s="18" t="n">
        <v>55.54060481</v>
      </c>
      <c r="H49" s="20" t="n">
        <v>1.40973045</v>
      </c>
      <c r="I49" s="18" t="n">
        <v>0</v>
      </c>
      <c r="J49" s="20" t="n">
        <v>0</v>
      </c>
      <c r="K49" s="18" t="n">
        <v>0.69013335</v>
      </c>
      <c r="L49" s="20" t="n">
        <v>0.2692596</v>
      </c>
      <c r="M49" s="18" t="n">
        <v>0</v>
      </c>
      <c r="N49" s="20" t="n">
        <v>0</v>
      </c>
      <c r="O49" s="18" t="n">
        <v>0</v>
      </c>
      <c r="P49" s="20" t="n">
        <v>0</v>
      </c>
      <c r="Q49" s="18" t="n">
        <v>7.33624286</v>
      </c>
      <c r="R49" s="20" t="n">
        <v>0.92351161</v>
      </c>
    </row>
    <row r="50" spans="1:18">
      <c r="A50" s="15" t="s">
        <v>609</v>
      </c>
      <c r="B50" s="17" t="n">
        <v>6866</v>
      </c>
      <c r="C50" s="18">
        <f>(5539.0/B50*100)</f>
        <v/>
      </c>
      <c r="D50" s="19" t="n">
        <v>1327</v>
      </c>
      <c r="E50" s="18" t="n">
        <v>34.33502389</v>
      </c>
      <c r="F50" s="20" t="n">
        <v>1.3700773</v>
      </c>
      <c r="G50" s="18" t="n">
        <v>58.65501014</v>
      </c>
      <c r="H50" s="20" t="n">
        <v>1.56932052</v>
      </c>
      <c r="I50" s="18" t="n">
        <v>0</v>
      </c>
      <c r="J50" s="20" t="n">
        <v>0</v>
      </c>
      <c r="K50" s="18" t="n">
        <v>0.25714228</v>
      </c>
      <c r="L50" s="20" t="n">
        <v>0.14198604</v>
      </c>
      <c r="M50" s="18" t="n">
        <v>0</v>
      </c>
      <c r="N50" s="20" t="n">
        <v>0</v>
      </c>
      <c r="O50" s="18" t="n">
        <v>0</v>
      </c>
      <c r="P50" s="20" t="n">
        <v>0</v>
      </c>
      <c r="Q50" s="18" t="n">
        <v>6.75282368</v>
      </c>
      <c r="R50" s="20" t="n">
        <v>0.78230067</v>
      </c>
    </row>
    <row r="51" spans="1:18">
      <c r="A51" s="15" t="s">
        <v>610</v>
      </c>
      <c r="B51" s="17" t="n">
        <v>5809</v>
      </c>
      <c r="C51" s="18">
        <f>(4476.0/B51*100)</f>
        <v/>
      </c>
      <c r="D51" s="19" t="n">
        <v>1333</v>
      </c>
      <c r="E51" s="18" t="n">
        <v>27.37710913</v>
      </c>
      <c r="F51" s="20" t="n">
        <v>1.27466061</v>
      </c>
      <c r="G51" s="18" t="n">
        <v>68.82150606</v>
      </c>
      <c r="H51" s="20" t="n">
        <v>1.31852333</v>
      </c>
      <c r="I51" s="18" t="n">
        <v>0</v>
      </c>
      <c r="J51" s="20" t="n">
        <v>0</v>
      </c>
      <c r="K51" s="18" t="n">
        <v>0</v>
      </c>
      <c r="L51" s="20" t="n">
        <v>0</v>
      </c>
      <c r="M51" s="18" t="n">
        <v>0</v>
      </c>
      <c r="N51" s="20" t="n">
        <v>0</v>
      </c>
      <c r="O51" s="18" t="n">
        <v>0</v>
      </c>
      <c r="P51" s="20" t="n">
        <v>0</v>
      </c>
      <c r="Q51" s="18" t="n">
        <v>3.80138481</v>
      </c>
      <c r="R51" s="20" t="n">
        <v>0.47984367</v>
      </c>
    </row>
    <row r="52" spans="1:18">
      <c r="A52" s="15" t="s">
        <v>611</v>
      </c>
      <c r="B52" s="17" t="n">
        <v>5571</v>
      </c>
      <c r="C52" s="18">
        <f>(4334.0/B52*100)</f>
        <v/>
      </c>
      <c r="D52" s="19" t="n">
        <v>1237</v>
      </c>
      <c r="E52" s="18" t="n">
        <v>31.94370755</v>
      </c>
      <c r="F52" s="20" t="n">
        <v>1.30332219</v>
      </c>
      <c r="G52" s="18" t="n">
        <v>60.11013654</v>
      </c>
      <c r="H52" s="20" t="n">
        <v>1.5044337</v>
      </c>
      <c r="I52" s="18" t="n">
        <v>0</v>
      </c>
      <c r="J52" s="20" t="n">
        <v>0</v>
      </c>
      <c r="K52" s="18" t="n">
        <v>0.11501007</v>
      </c>
      <c r="L52" s="20" t="n">
        <v>0.07926022000000001</v>
      </c>
      <c r="M52" s="18" t="n">
        <v>0</v>
      </c>
      <c r="N52" s="20" t="n">
        <v>0</v>
      </c>
      <c r="O52" s="18" t="n">
        <v>0</v>
      </c>
      <c r="P52" s="20" t="n">
        <v>0</v>
      </c>
      <c r="Q52" s="18" t="n">
        <v>7.83114584</v>
      </c>
      <c r="R52" s="20" t="n">
        <v>0.77887095</v>
      </c>
    </row>
    <row r="53" spans="1:18">
      <c r="A53" s="15" t="s">
        <v>612</v>
      </c>
      <c r="B53" s="17" t="n">
        <v>4740</v>
      </c>
      <c r="C53" s="18">
        <f>(3690.0/B53*100)</f>
        <v/>
      </c>
      <c r="D53" s="19" t="n">
        <v>1050</v>
      </c>
      <c r="E53" s="18" t="n">
        <v>39.42578312</v>
      </c>
      <c r="F53" s="20" t="n">
        <v>1.41003534</v>
      </c>
      <c r="G53" s="18" t="n">
        <v>30.39123228</v>
      </c>
      <c r="H53" s="20" t="n">
        <v>1.49978504</v>
      </c>
      <c r="I53" s="18" t="n">
        <v>0</v>
      </c>
      <c r="J53" s="20" t="n">
        <v>0</v>
      </c>
      <c r="K53" s="18" t="n">
        <v>6.37858914</v>
      </c>
      <c r="L53" s="20" t="n">
        <v>0.8243383</v>
      </c>
      <c r="M53" s="18" t="n">
        <v>0</v>
      </c>
      <c r="N53" s="20" t="n">
        <v>0</v>
      </c>
      <c r="O53" s="18" t="n">
        <v>0</v>
      </c>
      <c r="P53" s="20" t="n">
        <v>0</v>
      </c>
      <c r="Q53" s="18" t="n">
        <v>23.80439546</v>
      </c>
      <c r="R53" s="20" t="n">
        <v>1.27277106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(4140.0/B55*100)</f>
        <v/>
      </c>
      <c r="D55" s="19" t="n">
        <v>1219</v>
      </c>
      <c r="E55" s="18" t="n">
        <v>19.75748493</v>
      </c>
      <c r="F55" s="20" t="n">
        <v>1.45255486</v>
      </c>
      <c r="G55" s="18" t="n">
        <v>78.68380481</v>
      </c>
      <c r="H55" s="20" t="n">
        <v>1.50757897</v>
      </c>
      <c r="I55" s="18" t="n">
        <v>0</v>
      </c>
      <c r="J55" s="20" t="n">
        <v>0</v>
      </c>
      <c r="K55" s="18" t="n">
        <v>0.15954908</v>
      </c>
      <c r="L55" s="20" t="n">
        <v>0.15414903</v>
      </c>
      <c r="M55" s="18" t="n">
        <v>0</v>
      </c>
      <c r="N55" s="20" t="n">
        <v>0</v>
      </c>
      <c r="O55" s="18" t="n">
        <v>0</v>
      </c>
      <c r="P55" s="20" t="n">
        <v>0</v>
      </c>
      <c r="Q55" s="18" t="n">
        <v>1.39916117</v>
      </c>
      <c r="R55" s="20" t="n">
        <v>0.3336863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(5076.0/B61*100)</f>
        <v/>
      </c>
      <c r="D61" s="19" t="n">
        <v>1449</v>
      </c>
      <c r="E61" s="18" t="n">
        <v>26.89342474</v>
      </c>
      <c r="F61" s="20" t="n">
        <v>1.48497615</v>
      </c>
      <c r="G61" s="18" t="n">
        <v>69.35960968000001</v>
      </c>
      <c r="H61" s="20" t="n">
        <v>1.56945058</v>
      </c>
      <c r="I61" s="18" t="n">
        <v>0</v>
      </c>
      <c r="J61" s="20" t="n">
        <v>0</v>
      </c>
      <c r="K61" s="18" t="n">
        <v>0.08977478999999999</v>
      </c>
      <c r="L61" s="20" t="n">
        <v>0.09221654</v>
      </c>
      <c r="M61" s="18" t="n">
        <v>0</v>
      </c>
      <c r="N61" s="20" t="n">
        <v>0</v>
      </c>
      <c r="O61" s="18" t="n">
        <v>0</v>
      </c>
      <c r="P61" s="20" t="n">
        <v>0</v>
      </c>
      <c r="Q61" s="18" t="n">
        <v>3.65719079</v>
      </c>
      <c r="R61" s="20" t="n">
        <v>0.50622213</v>
      </c>
    </row>
    <row r="62" spans="1:18">
      <c r="A62" s="15" t="s">
        <v>622</v>
      </c>
      <c r="B62" s="17" t="n">
        <v>4476</v>
      </c>
      <c r="C62" s="18">
        <f>(3513.0/B62*100)</f>
        <v/>
      </c>
      <c r="D62" s="19" t="n">
        <v>963</v>
      </c>
      <c r="E62" s="18" t="n">
        <v>19.19408922</v>
      </c>
      <c r="F62" s="20" t="n">
        <v>1.28514689</v>
      </c>
      <c r="G62" s="18" t="n">
        <v>80.48961767</v>
      </c>
      <c r="H62" s="20" t="n">
        <v>1.3075868</v>
      </c>
      <c r="I62" s="18" t="n">
        <v>0</v>
      </c>
      <c r="J62" s="20" t="n">
        <v>0</v>
      </c>
      <c r="K62" s="18" t="n">
        <v>0</v>
      </c>
      <c r="L62" s="20" t="n">
        <v>0</v>
      </c>
      <c r="M62" s="18" t="n">
        <v>0</v>
      </c>
      <c r="N62" s="20" t="n">
        <v>0</v>
      </c>
      <c r="O62" s="18" t="n">
        <v>0</v>
      </c>
      <c r="P62" s="20" t="n">
        <v>0</v>
      </c>
      <c r="Q62" s="18" t="n">
        <v>0.31629312</v>
      </c>
      <c r="R62" s="20" t="n">
        <v>0.18184246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(4421.0/B67*100)</f>
        <v/>
      </c>
      <c r="D67" s="19" t="n">
        <v>1244</v>
      </c>
      <c r="E67" s="18" t="n">
        <v>34.0816021</v>
      </c>
      <c r="F67" s="20" t="n">
        <v>1.53985969</v>
      </c>
      <c r="G67" s="18" t="n">
        <v>53.67130319</v>
      </c>
      <c r="H67" s="20" t="n">
        <v>1.56912051</v>
      </c>
      <c r="I67" s="18" t="n">
        <v>0</v>
      </c>
      <c r="J67" s="20" t="n">
        <v>0</v>
      </c>
      <c r="K67" s="18" t="n">
        <v>0.4037933</v>
      </c>
      <c r="L67" s="20" t="n">
        <v>0.18266784</v>
      </c>
      <c r="M67" s="18" t="n">
        <v>0</v>
      </c>
      <c r="N67" s="20" t="n">
        <v>0</v>
      </c>
      <c r="O67" s="18" t="n">
        <v>0</v>
      </c>
      <c r="P67" s="20" t="n">
        <v>0</v>
      </c>
      <c r="Q67" s="18" t="n">
        <v>11.84330141</v>
      </c>
      <c r="R67" s="20" t="n">
        <v>0.90247715</v>
      </c>
    </row>
    <row r="68" spans="1:18">
      <c r="A68" s="15" t="s">
        <v>628</v>
      </c>
      <c r="B68" s="17" t="n">
        <v>6971</v>
      </c>
      <c r="C68" s="18">
        <f>(5526.0/B68*100)</f>
        <v/>
      </c>
      <c r="D68" s="19" t="n">
        <v>1445</v>
      </c>
      <c r="E68" s="18" t="n">
        <v>39.41000805</v>
      </c>
      <c r="F68" s="20" t="n">
        <v>1.48708878</v>
      </c>
      <c r="G68" s="18" t="n">
        <v>52.78522027</v>
      </c>
      <c r="H68" s="20" t="n">
        <v>1.65231243</v>
      </c>
      <c r="I68" s="18" t="n">
        <v>0</v>
      </c>
      <c r="J68" s="20" t="n">
        <v>0</v>
      </c>
      <c r="K68" s="18" t="n">
        <v>0.09197437</v>
      </c>
      <c r="L68" s="20" t="n">
        <v>0.09184581999999999</v>
      </c>
      <c r="M68" s="18" t="n">
        <v>0</v>
      </c>
      <c r="N68" s="20" t="n">
        <v>0</v>
      </c>
      <c r="O68" s="18" t="n">
        <v>0</v>
      </c>
      <c r="P68" s="20" t="n">
        <v>0</v>
      </c>
      <c r="Q68" s="18" t="n">
        <v>7.71279731</v>
      </c>
      <c r="R68" s="20" t="n">
        <v>0.75517794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(9434.0/B70*100)</f>
        <v/>
      </c>
      <c r="D70" s="19" t="n">
        <v>2649</v>
      </c>
      <c r="E70" s="18" t="n">
        <v>37.25807055</v>
      </c>
      <c r="F70" s="20" t="n">
        <v>0.98586792</v>
      </c>
      <c r="G70" s="18" t="n">
        <v>52.46496866</v>
      </c>
      <c r="H70" s="20" t="n">
        <v>0.90704417</v>
      </c>
      <c r="I70" s="18" t="n">
        <v>0</v>
      </c>
      <c r="J70" s="20" t="n">
        <v>0</v>
      </c>
      <c r="K70" s="18" t="n">
        <v>0.72794188</v>
      </c>
      <c r="L70" s="20" t="n">
        <v>0.16744348</v>
      </c>
      <c r="M70" s="18" t="n">
        <v>0</v>
      </c>
      <c r="N70" s="20" t="n">
        <v>0</v>
      </c>
      <c r="O70" s="18" t="n">
        <v>0</v>
      </c>
      <c r="P70" s="20" t="n">
        <v>0</v>
      </c>
      <c r="Q70" s="18" t="n">
        <v>9.549018909999999</v>
      </c>
      <c r="R70" s="20" t="n">
        <v>0.5875299899999999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(4742.0/B72*100)</f>
        <v/>
      </c>
      <c r="D72" s="19" t="n">
        <v>1294</v>
      </c>
      <c r="E72" s="18" t="n">
        <v>26.57339216</v>
      </c>
      <c r="F72" s="20" t="n">
        <v>1.36339425</v>
      </c>
      <c r="G72" s="18" t="n">
        <v>69.49834823</v>
      </c>
      <c r="H72" s="20" t="n">
        <v>1.60880688</v>
      </c>
      <c r="I72" s="18" t="n">
        <v>0</v>
      </c>
      <c r="J72" s="20" t="n">
        <v>0</v>
      </c>
      <c r="K72" s="18" t="n">
        <v>0</v>
      </c>
      <c r="L72" s="20" t="n">
        <v>0</v>
      </c>
      <c r="M72" s="18" t="n">
        <v>0</v>
      </c>
      <c r="N72" s="20" t="n">
        <v>0</v>
      </c>
      <c r="O72" s="18" t="n">
        <v>0</v>
      </c>
      <c r="P72" s="20" t="n">
        <v>0</v>
      </c>
      <c r="Q72" s="18" t="n">
        <v>3.92825961</v>
      </c>
      <c r="R72" s="20" t="n">
        <v>0.78390098</v>
      </c>
    </row>
    <row r="73" spans="1:18">
      <c r="A73" s="15" t="s">
        <v>633</v>
      </c>
      <c r="B73" s="17" t="n">
        <v>6115</v>
      </c>
      <c r="C73" s="18">
        <f>(4766.0/B73*100)</f>
        <v/>
      </c>
      <c r="D73" s="19" t="n">
        <v>1349</v>
      </c>
      <c r="E73" s="18" t="n">
        <v>19.64442102</v>
      </c>
      <c r="F73" s="20" t="n">
        <v>0.99797457</v>
      </c>
      <c r="G73" s="18" t="n">
        <v>78.69955164</v>
      </c>
      <c r="H73" s="20" t="n">
        <v>1.00554443</v>
      </c>
      <c r="I73" s="18" t="n">
        <v>0</v>
      </c>
      <c r="J73" s="20" t="n">
        <v>0</v>
      </c>
      <c r="K73" s="18" t="n">
        <v>0.1040602</v>
      </c>
      <c r="L73" s="20" t="n">
        <v>0.07548819</v>
      </c>
      <c r="M73" s="18" t="n">
        <v>0</v>
      </c>
      <c r="N73" s="20" t="n">
        <v>0</v>
      </c>
      <c r="O73" s="18" t="n">
        <v>0</v>
      </c>
      <c r="P73" s="20" t="n">
        <v>0</v>
      </c>
      <c r="Q73" s="18" t="n">
        <v>1.55196714</v>
      </c>
      <c r="R73" s="20" t="n">
        <v>0.29242864</v>
      </c>
    </row>
    <row r="74" spans="1:18">
      <c r="A74" s="15" t="s">
        <v>634</v>
      </c>
      <c r="B74" s="17" t="n">
        <v>7708</v>
      </c>
      <c r="C74" s="18">
        <f>(5939.0/B74*100)</f>
        <v/>
      </c>
      <c r="D74" s="19" t="n">
        <v>1769</v>
      </c>
      <c r="E74" s="18" t="n">
        <v>19.01528678</v>
      </c>
      <c r="F74" s="20" t="n">
        <v>1.02588528</v>
      </c>
      <c r="G74" s="18" t="n">
        <v>79.59746028000001</v>
      </c>
      <c r="H74" s="20" t="n">
        <v>1.0433772</v>
      </c>
      <c r="I74" s="18" t="n">
        <v>0</v>
      </c>
      <c r="J74" s="20" t="n">
        <v>0</v>
      </c>
      <c r="K74" s="18" t="n">
        <v>0.08066661999999999</v>
      </c>
      <c r="L74" s="20" t="n">
        <v>0.05817262</v>
      </c>
      <c r="M74" s="18" t="n">
        <v>0</v>
      </c>
      <c r="N74" s="20" t="n">
        <v>0</v>
      </c>
      <c r="O74" s="18" t="n">
        <v>0</v>
      </c>
      <c r="P74" s="20" t="n">
        <v>0</v>
      </c>
      <c r="Q74" s="18" t="n">
        <v>1.30658632</v>
      </c>
      <c r="R74" s="20" t="n">
        <v>0.24770162</v>
      </c>
    </row>
    <row r="75" spans="1:18">
      <c r="A75" s="15" t="s">
        <v>635</v>
      </c>
      <c r="B75" s="17" t="n">
        <v>8249</v>
      </c>
      <c r="C75" s="18">
        <f>(6372.0/B75*100)</f>
        <v/>
      </c>
      <c r="D75" s="19" t="n">
        <v>1877</v>
      </c>
      <c r="E75" s="18" t="n">
        <v>30.24095854</v>
      </c>
      <c r="F75" s="20" t="n">
        <v>1.5447244</v>
      </c>
      <c r="G75" s="18" t="n">
        <v>66.57514222</v>
      </c>
      <c r="H75" s="20" t="n">
        <v>1.58289114</v>
      </c>
      <c r="I75" s="18" t="n">
        <v>0</v>
      </c>
      <c r="J75" s="20" t="n">
        <v>0</v>
      </c>
      <c r="K75" s="18" t="n">
        <v>0</v>
      </c>
      <c r="L75" s="20" t="n">
        <v>0</v>
      </c>
      <c r="M75" s="18" t="n">
        <v>0</v>
      </c>
      <c r="N75" s="20" t="n">
        <v>0</v>
      </c>
      <c r="O75" s="18" t="n">
        <v>0</v>
      </c>
      <c r="P75" s="20" t="n">
        <v>0</v>
      </c>
      <c r="Q75" s="18" t="n">
        <v>3.18389924</v>
      </c>
      <c r="R75" s="20" t="n">
        <v>0.5494806800000001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(4245.0/B77*100)</f>
        <v/>
      </c>
      <c r="D77" s="19" t="n">
        <v>1130</v>
      </c>
      <c r="E77" s="18" t="n">
        <v>41.22852313</v>
      </c>
      <c r="F77" s="20" t="n">
        <v>1.46483886</v>
      </c>
      <c r="G77" s="18" t="n">
        <v>47.1311303</v>
      </c>
      <c r="H77" s="20" t="n">
        <v>1.54696851</v>
      </c>
      <c r="I77" s="18" t="n">
        <v>0</v>
      </c>
      <c r="J77" s="20" t="n">
        <v>0</v>
      </c>
      <c r="K77" s="18" t="n">
        <v>1.35308787</v>
      </c>
      <c r="L77" s="20" t="n">
        <v>0.39190062</v>
      </c>
      <c r="M77" s="18" t="n">
        <v>0</v>
      </c>
      <c r="N77" s="20" t="n">
        <v>0</v>
      </c>
      <c r="O77" s="18" t="n">
        <v>0</v>
      </c>
      <c r="P77" s="20" t="n">
        <v>0</v>
      </c>
      <c r="Q77" s="18" t="n">
        <v>10.2872587</v>
      </c>
      <c r="R77" s="20" t="n">
        <v>1.08272673</v>
      </c>
    </row>
    <row r="78" spans="1:18">
      <c r="A78" s="15" t="s">
        <v>638</v>
      </c>
      <c r="B78" s="17" t="n">
        <v>14167</v>
      </c>
      <c r="C78" s="18">
        <f>(11059.0/B78*100)</f>
        <v/>
      </c>
      <c r="D78" s="19" t="n">
        <v>3108</v>
      </c>
      <c r="E78" s="18" t="n">
        <v>35.53352426</v>
      </c>
      <c r="F78" s="20" t="n">
        <v>1.32057621</v>
      </c>
      <c r="G78" s="18" t="n">
        <v>58.96279844</v>
      </c>
      <c r="H78" s="20" t="n">
        <v>1.41298461</v>
      </c>
      <c r="I78" s="18" t="n">
        <v>0</v>
      </c>
      <c r="J78" s="20" t="n">
        <v>0</v>
      </c>
      <c r="K78" s="18" t="n">
        <v>0.35905015</v>
      </c>
      <c r="L78" s="20" t="n">
        <v>0.10920231</v>
      </c>
      <c r="M78" s="18" t="n">
        <v>0</v>
      </c>
      <c r="N78" s="20" t="n">
        <v>0</v>
      </c>
      <c r="O78" s="18" t="n">
        <v>0</v>
      </c>
      <c r="P78" s="20" t="n">
        <v>0</v>
      </c>
      <c r="Q78" s="18" t="n">
        <v>5.14462715</v>
      </c>
      <c r="R78" s="20" t="n">
        <v>0.5209696</v>
      </c>
    </row>
    <row r="79" spans="1:18">
      <c r="A79" s="15" t="s">
        <v>639</v>
      </c>
      <c r="B79" s="17" t="n">
        <v>6062</v>
      </c>
      <c r="C79" s="18">
        <f>(4739.0/B79*100)</f>
        <v/>
      </c>
      <c r="D79" s="19" t="n">
        <v>1323</v>
      </c>
      <c r="E79" s="18" t="n">
        <v>33.13965776</v>
      </c>
      <c r="F79" s="20" t="n">
        <v>1.30509152</v>
      </c>
      <c r="G79" s="18" t="n">
        <v>60.20536272</v>
      </c>
      <c r="H79" s="20" t="n">
        <v>1.31991456</v>
      </c>
      <c r="I79" s="18" t="n">
        <v>0</v>
      </c>
      <c r="J79" s="20" t="n">
        <v>0</v>
      </c>
      <c r="K79" s="18" t="n">
        <v>0.49998981</v>
      </c>
      <c r="L79" s="20" t="n">
        <v>0.1932757</v>
      </c>
      <c r="M79" s="18" t="n">
        <v>0</v>
      </c>
      <c r="N79" s="20" t="n">
        <v>0</v>
      </c>
      <c r="O79" s="18" t="n">
        <v>0</v>
      </c>
      <c r="P79" s="20" t="n">
        <v>0</v>
      </c>
      <c r="Q79" s="18" t="n">
        <v>6.15498971</v>
      </c>
      <c r="R79" s="20" t="n">
        <v>0.83547445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(25146.0/B82*100)</f>
        <v/>
      </c>
      <c r="D82" s="19" t="n">
        <v>7184</v>
      </c>
      <c r="E82" s="18" t="n">
        <v>22.83939717</v>
      </c>
      <c r="F82" s="20" t="n">
        <v>0.69955364</v>
      </c>
      <c r="G82" s="18" t="n">
        <v>74.25951633</v>
      </c>
      <c r="H82" s="20" t="n">
        <v>0.70410219</v>
      </c>
      <c r="I82" s="18" t="n">
        <v>0</v>
      </c>
      <c r="J82" s="20" t="n">
        <v>0</v>
      </c>
      <c r="K82" s="18" t="n">
        <v>0.19197768</v>
      </c>
      <c r="L82" s="20" t="n">
        <v>0.07976446</v>
      </c>
      <c r="M82" s="18" t="n">
        <v>0</v>
      </c>
      <c r="N82" s="20" t="n">
        <v>0</v>
      </c>
      <c r="O82" s="18" t="n">
        <v>0</v>
      </c>
      <c r="P82" s="20" t="n">
        <v>0</v>
      </c>
      <c r="Q82" s="18" t="n">
        <v>2.70910882</v>
      </c>
      <c r="R82" s="20" t="n">
        <v>0.24754215</v>
      </c>
    </row>
    <row r="83" spans="1:18">
      <c r="A83" s="15" t="s">
        <v>643</v>
      </c>
      <c r="B83" s="17" t="n">
        <v>1652</v>
      </c>
      <c r="C83" s="18">
        <f>(1284.0/B83*100)</f>
        <v/>
      </c>
      <c r="D83" s="19" t="n">
        <v>368</v>
      </c>
      <c r="E83" s="18" t="n">
        <v>18.37537365</v>
      </c>
      <c r="F83" s="20" t="n">
        <v>2.10652742</v>
      </c>
      <c r="G83" s="18" t="n">
        <v>80.52134135999999</v>
      </c>
      <c r="H83" s="20" t="n">
        <v>2.11165193</v>
      </c>
      <c r="I83" s="18" t="n">
        <v>0</v>
      </c>
      <c r="J83" s="20" t="n">
        <v>0</v>
      </c>
      <c r="K83" s="18" t="n">
        <v>0</v>
      </c>
      <c r="L83" s="20" t="n">
        <v>0</v>
      </c>
      <c r="M83" s="18" t="n">
        <v>0</v>
      </c>
      <c r="N83" s="20" t="n">
        <v>0</v>
      </c>
      <c r="O83" s="18" t="n">
        <v>0</v>
      </c>
      <c r="P83" s="20" t="n">
        <v>0</v>
      </c>
      <c r="Q83" s="18" t="n">
        <v>1.10328499</v>
      </c>
      <c r="R83" s="20" t="n">
        <v>0.66992473</v>
      </c>
    </row>
    <row r="84" spans="1:18">
      <c r="A84" s="23" t="s">
        <v>644</v>
      </c>
      <c r="B84" s="24" t="n">
        <v>1887</v>
      </c>
      <c r="C84" s="25">
        <f>(1476.0/B84*100)</f>
        <v/>
      </c>
      <c r="D84" s="19" t="n">
        <v>411</v>
      </c>
      <c r="E84" s="18" t="n">
        <v>26.97012277</v>
      </c>
      <c r="F84" s="20" t="n">
        <v>2.83079024</v>
      </c>
      <c r="G84" s="18" t="n">
        <v>72.22175643999999</v>
      </c>
      <c r="H84" s="20" t="n">
        <v>2.80940882</v>
      </c>
      <c r="I84" s="18" t="n">
        <v>0</v>
      </c>
      <c r="J84" s="20" t="n">
        <v>0</v>
      </c>
      <c r="K84" s="18" t="n">
        <v>0</v>
      </c>
      <c r="L84" s="20" t="n">
        <v>0</v>
      </c>
      <c r="M84" s="18" t="n">
        <v>0</v>
      </c>
      <c r="N84" s="20" t="n">
        <v>0</v>
      </c>
      <c r="O84" s="18" t="n">
        <v>0</v>
      </c>
      <c r="P84" s="20" t="n">
        <v>0</v>
      </c>
      <c r="Q84" s="18" t="n">
        <v>0.80812079</v>
      </c>
      <c r="R84" s="20" t="n">
        <v>0.46358204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(11379.0/B7*100)</f>
        <v/>
      </c>
      <c r="D7" s="19" t="n">
        <v>3151</v>
      </c>
      <c r="E7" s="18" t="n">
        <v>51.59156262</v>
      </c>
      <c r="F7" s="20" t="n">
        <v>1.03032095</v>
      </c>
      <c r="G7" s="18" t="n">
        <v>46.19377402</v>
      </c>
      <c r="H7" s="20" t="n">
        <v>1.09001135</v>
      </c>
      <c r="I7" s="18" t="n">
        <v>0</v>
      </c>
      <c r="J7" s="20" t="n">
        <v>0</v>
      </c>
      <c r="K7" s="18" t="n">
        <v>0.08946632</v>
      </c>
      <c r="L7" s="20" t="n">
        <v>0.04527922</v>
      </c>
      <c r="M7" s="18" t="n">
        <v>0.06326925999999999</v>
      </c>
      <c r="N7" s="20" t="n">
        <v>0.05651743</v>
      </c>
      <c r="O7" s="18" t="n">
        <v>0</v>
      </c>
      <c r="P7" s="20" t="n">
        <v>0</v>
      </c>
      <c r="Q7" s="18" t="n">
        <v>2.06192778</v>
      </c>
      <c r="R7" s="20" t="n">
        <v>0.26690685</v>
      </c>
    </row>
    <row r="8" spans="1:18">
      <c r="A8" s="15" t="s">
        <v>566</v>
      </c>
      <c r="B8" s="17" t="n">
        <v>7007</v>
      </c>
      <c r="C8" s="18">
        <f>(5448.0/B8*100)</f>
        <v/>
      </c>
      <c r="D8" s="19" t="n">
        <v>1559</v>
      </c>
      <c r="E8" s="18" t="n">
        <v>60.69113609</v>
      </c>
      <c r="F8" s="20" t="n">
        <v>1.31126255</v>
      </c>
      <c r="G8" s="18" t="n">
        <v>35.68792945</v>
      </c>
      <c r="H8" s="20" t="n">
        <v>1.26705341</v>
      </c>
      <c r="I8" s="18" t="n">
        <v>0</v>
      </c>
      <c r="J8" s="20" t="n">
        <v>0</v>
      </c>
      <c r="K8" s="18" t="n">
        <v>0.16498898</v>
      </c>
      <c r="L8" s="20" t="n">
        <v>0.12067162</v>
      </c>
      <c r="M8" s="18" t="n">
        <v>0</v>
      </c>
      <c r="N8" s="20" t="n">
        <v>0</v>
      </c>
      <c r="O8" s="18" t="n">
        <v>0</v>
      </c>
      <c r="P8" s="20" t="n">
        <v>0</v>
      </c>
      <c r="Q8" s="18" t="n">
        <v>3.45594548</v>
      </c>
      <c r="R8" s="20" t="n">
        <v>0.54531009</v>
      </c>
    </row>
    <row r="9" spans="1:18">
      <c r="A9" s="15" t="s">
        <v>567</v>
      </c>
      <c r="B9" s="17" t="n">
        <v>9651</v>
      </c>
      <c r="C9" s="18">
        <f>(7579.0/B9*100)</f>
        <v/>
      </c>
      <c r="D9" s="19" t="n">
        <v>2072</v>
      </c>
      <c r="E9" s="18" t="n">
        <v>48.24491255</v>
      </c>
      <c r="F9" s="20" t="n">
        <v>1.16117136</v>
      </c>
      <c r="G9" s="18" t="n">
        <v>48.92819</v>
      </c>
      <c r="H9" s="20" t="n">
        <v>1.15973249</v>
      </c>
      <c r="I9" s="18" t="n">
        <v>0</v>
      </c>
      <c r="J9" s="20" t="n">
        <v>0</v>
      </c>
      <c r="K9" s="18" t="n">
        <v>0.08890713</v>
      </c>
      <c r="L9" s="20" t="n">
        <v>0.06175427</v>
      </c>
      <c r="M9" s="18" t="n">
        <v>0.44132167</v>
      </c>
      <c r="N9" s="20" t="n">
        <v>0.16455343</v>
      </c>
      <c r="O9" s="18" t="n">
        <v>0</v>
      </c>
      <c r="P9" s="20" t="n">
        <v>0</v>
      </c>
      <c r="Q9" s="18" t="n">
        <v>2.29666865</v>
      </c>
      <c r="R9" s="20" t="n">
        <v>0.39931924</v>
      </c>
    </row>
    <row r="10" spans="1:18">
      <c r="A10" s="15" t="s">
        <v>568</v>
      </c>
      <c r="B10" s="17" t="n">
        <v>20058</v>
      </c>
      <c r="C10" s="18">
        <f>(15703.0/B10*100)</f>
        <v/>
      </c>
      <c r="D10" s="19" t="n">
        <v>4355</v>
      </c>
      <c r="E10" s="18" t="n">
        <v>44.47850724</v>
      </c>
      <c r="F10" s="20" t="n">
        <v>1.18949683</v>
      </c>
      <c r="G10" s="18" t="n">
        <v>54.0438854</v>
      </c>
      <c r="H10" s="20" t="n">
        <v>1.14605795</v>
      </c>
      <c r="I10" s="18" t="n">
        <v>0</v>
      </c>
      <c r="J10" s="20" t="n">
        <v>0</v>
      </c>
      <c r="K10" s="18" t="n">
        <v>0.20407324</v>
      </c>
      <c r="L10" s="20" t="n">
        <v>0.10232275</v>
      </c>
      <c r="M10" s="18" t="n">
        <v>0.00299911</v>
      </c>
      <c r="N10" s="20" t="n">
        <v>0.00285291</v>
      </c>
      <c r="O10" s="18" t="n">
        <v>0</v>
      </c>
      <c r="P10" s="20" t="n">
        <v>0</v>
      </c>
      <c r="Q10" s="18" t="n">
        <v>1.27053501</v>
      </c>
      <c r="R10" s="20" t="n">
        <v>0.21214333</v>
      </c>
    </row>
    <row r="11" spans="1:18">
      <c r="A11" s="15" t="s">
        <v>569</v>
      </c>
      <c r="B11" s="17" t="n">
        <v>7053</v>
      </c>
      <c r="C11" s="18">
        <f>(5570.0/B11*100)</f>
        <v/>
      </c>
      <c r="D11" s="19" t="n">
        <v>1483</v>
      </c>
      <c r="E11" s="18" t="n">
        <v>64.77410823</v>
      </c>
      <c r="F11" s="20" t="n">
        <v>1.46844965</v>
      </c>
      <c r="G11" s="18" t="n">
        <v>30.18380132</v>
      </c>
      <c r="H11" s="20" t="n">
        <v>1.42779436</v>
      </c>
      <c r="I11" s="18" t="n">
        <v>0</v>
      </c>
      <c r="J11" s="20" t="n">
        <v>0</v>
      </c>
      <c r="K11" s="18" t="n">
        <v>0.30696442</v>
      </c>
      <c r="L11" s="20" t="n">
        <v>0.14476181</v>
      </c>
      <c r="M11" s="18" t="n">
        <v>0.09443595</v>
      </c>
      <c r="N11" s="20" t="n">
        <v>0.09836554</v>
      </c>
      <c r="O11" s="18" t="n">
        <v>0</v>
      </c>
      <c r="P11" s="20" t="n">
        <v>0</v>
      </c>
      <c r="Q11" s="18" t="n">
        <v>4.64069007</v>
      </c>
      <c r="R11" s="20" t="n">
        <v>0.62537813</v>
      </c>
    </row>
    <row r="12" spans="1:18">
      <c r="A12" s="15" t="s">
        <v>570</v>
      </c>
      <c r="B12" s="17" t="n">
        <v>6894</v>
      </c>
      <c r="C12" s="18">
        <f>(5425.0/B12*100)</f>
        <v/>
      </c>
      <c r="D12" s="19" t="n">
        <v>1469</v>
      </c>
      <c r="E12" s="18" t="n">
        <v>66.72847161</v>
      </c>
      <c r="F12" s="20" t="n">
        <v>1.13642674</v>
      </c>
      <c r="G12" s="18" t="n">
        <v>32.49318354</v>
      </c>
      <c r="H12" s="20" t="n">
        <v>1.10362974</v>
      </c>
      <c r="I12" s="18" t="n">
        <v>0</v>
      </c>
      <c r="J12" s="20" t="n">
        <v>0</v>
      </c>
      <c r="K12" s="18" t="n">
        <v>0.06378177</v>
      </c>
      <c r="L12" s="20" t="n">
        <v>0.06257646</v>
      </c>
      <c r="M12" s="18" t="n">
        <v>0</v>
      </c>
      <c r="N12" s="20" t="n">
        <v>0</v>
      </c>
      <c r="O12" s="18" t="n">
        <v>0</v>
      </c>
      <c r="P12" s="20" t="n">
        <v>0</v>
      </c>
      <c r="Q12" s="18" t="n">
        <v>0.71456308</v>
      </c>
      <c r="R12" s="20" t="n">
        <v>0.212592</v>
      </c>
    </row>
    <row r="13" spans="1:18">
      <c r="A13" s="15" t="s">
        <v>571</v>
      </c>
      <c r="B13" s="17" t="n">
        <v>7161</v>
      </c>
      <c r="C13" s="18">
        <f>(5706.0/B13*100)</f>
        <v/>
      </c>
      <c r="D13" s="19" t="n">
        <v>1455</v>
      </c>
      <c r="E13" s="18" t="n">
        <v>57.91444109</v>
      </c>
      <c r="F13" s="20" t="n">
        <v>1.408728</v>
      </c>
      <c r="G13" s="18" t="n">
        <v>39.29142666</v>
      </c>
      <c r="H13" s="20" t="n">
        <v>1.31149011</v>
      </c>
      <c r="I13" s="18" t="n">
        <v>0</v>
      </c>
      <c r="J13" s="20" t="n">
        <v>0</v>
      </c>
      <c r="K13" s="18" t="n">
        <v>0.66686263</v>
      </c>
      <c r="L13" s="20" t="n">
        <v>0.25357587</v>
      </c>
      <c r="M13" s="18" t="n">
        <v>0.06583971</v>
      </c>
      <c r="N13" s="20" t="n">
        <v>0.06648987000000001</v>
      </c>
      <c r="O13" s="18" t="n">
        <v>0</v>
      </c>
      <c r="P13" s="20" t="n">
        <v>0</v>
      </c>
      <c r="Q13" s="18" t="n">
        <v>2.0614299</v>
      </c>
      <c r="R13" s="20" t="n">
        <v>0.4342653</v>
      </c>
    </row>
    <row r="14" spans="1:18">
      <c r="A14" s="15" t="s">
        <v>572</v>
      </c>
      <c r="B14" s="17" t="n">
        <v>5587</v>
      </c>
      <c r="C14" s="18">
        <f>(4397.0/B14*100)</f>
        <v/>
      </c>
      <c r="D14" s="19" t="n">
        <v>1190</v>
      </c>
      <c r="E14" s="18" t="n">
        <v>46.85309428</v>
      </c>
      <c r="F14" s="20" t="n">
        <v>1.73464095</v>
      </c>
      <c r="G14" s="18" t="n">
        <v>52.14716875</v>
      </c>
      <c r="H14" s="20" t="n">
        <v>1.74103026</v>
      </c>
      <c r="I14" s="18" t="n">
        <v>0</v>
      </c>
      <c r="J14" s="20" t="n">
        <v>0</v>
      </c>
      <c r="K14" s="18" t="n">
        <v>0.07195631</v>
      </c>
      <c r="L14" s="20" t="n">
        <v>0.07215414000000001</v>
      </c>
      <c r="M14" s="18" t="n">
        <v>0</v>
      </c>
      <c r="N14" s="20" t="n">
        <v>0</v>
      </c>
      <c r="O14" s="18" t="n">
        <v>0</v>
      </c>
      <c r="P14" s="20" t="n">
        <v>0</v>
      </c>
      <c r="Q14" s="18" t="n">
        <v>0.92778066</v>
      </c>
      <c r="R14" s="20" t="n">
        <v>0.36039991</v>
      </c>
    </row>
    <row r="15" spans="1:18">
      <c r="A15" s="15" t="s">
        <v>573</v>
      </c>
      <c r="B15" s="17" t="n">
        <v>5882</v>
      </c>
      <c r="C15" s="18">
        <f>(4560.0/B15*100)</f>
        <v/>
      </c>
      <c r="D15" s="19" t="n">
        <v>1322</v>
      </c>
      <c r="E15" s="18" t="n">
        <v>61.60267565</v>
      </c>
      <c r="F15" s="20" t="n">
        <v>1.42219842</v>
      </c>
      <c r="G15" s="18" t="n">
        <v>37.09303225</v>
      </c>
      <c r="H15" s="20" t="n">
        <v>1.40194114</v>
      </c>
      <c r="I15" s="18" t="n">
        <v>0</v>
      </c>
      <c r="J15" s="20" t="n">
        <v>0</v>
      </c>
      <c r="K15" s="18" t="n">
        <v>0</v>
      </c>
      <c r="L15" s="20" t="n">
        <v>0</v>
      </c>
      <c r="M15" s="18" t="n">
        <v>0</v>
      </c>
      <c r="N15" s="20" t="n">
        <v>0</v>
      </c>
      <c r="O15" s="18" t="n">
        <v>0</v>
      </c>
      <c r="P15" s="20" t="n">
        <v>0</v>
      </c>
      <c r="Q15" s="18" t="n">
        <v>1.3042921</v>
      </c>
      <c r="R15" s="20" t="n">
        <v>0.34289752</v>
      </c>
    </row>
    <row r="16" spans="1:18">
      <c r="A16" s="15" t="s">
        <v>574</v>
      </c>
      <c r="B16" s="17" t="n">
        <v>6108</v>
      </c>
      <c r="C16" s="18">
        <f>(4744.0/B16*100)</f>
        <v/>
      </c>
      <c r="D16" s="19" t="n">
        <v>1364</v>
      </c>
      <c r="E16" s="18" t="n">
        <v>52.29073483</v>
      </c>
      <c r="F16" s="20" t="n">
        <v>1.29686785</v>
      </c>
      <c r="G16" s="18" t="n">
        <v>43.74254189</v>
      </c>
      <c r="H16" s="20" t="n">
        <v>1.27030535</v>
      </c>
      <c r="I16" s="18" t="n">
        <v>0</v>
      </c>
      <c r="J16" s="20" t="n">
        <v>0</v>
      </c>
      <c r="K16" s="18" t="n">
        <v>0.35372733</v>
      </c>
      <c r="L16" s="20" t="n">
        <v>0.14859773</v>
      </c>
      <c r="M16" s="18" t="n">
        <v>0</v>
      </c>
      <c r="N16" s="20" t="n">
        <v>0</v>
      </c>
      <c r="O16" s="18" t="n">
        <v>0</v>
      </c>
      <c r="P16" s="20" t="n">
        <v>0</v>
      </c>
      <c r="Q16" s="18" t="n">
        <v>3.61299595</v>
      </c>
      <c r="R16" s="20" t="n">
        <v>0.56314212</v>
      </c>
    </row>
    <row r="17" spans="1:18">
      <c r="A17" s="15" t="s">
        <v>575</v>
      </c>
      <c r="B17" s="17" t="n">
        <v>6504</v>
      </c>
      <c r="C17" s="18">
        <f>(5157.0/B17*100)</f>
        <v/>
      </c>
      <c r="D17" s="19" t="n">
        <v>1347</v>
      </c>
      <c r="E17" s="18" t="n">
        <v>54.61965297</v>
      </c>
      <c r="F17" s="20" t="n">
        <v>1.55164466</v>
      </c>
      <c r="G17" s="18" t="n">
        <v>41.94557545</v>
      </c>
      <c r="H17" s="20" t="n">
        <v>1.55015322</v>
      </c>
      <c r="I17" s="18" t="n">
        <v>0</v>
      </c>
      <c r="J17" s="20" t="n">
        <v>0</v>
      </c>
      <c r="K17" s="18" t="n">
        <v>0.1654196</v>
      </c>
      <c r="L17" s="20" t="n">
        <v>0.12602764</v>
      </c>
      <c r="M17" s="18" t="n">
        <v>0</v>
      </c>
      <c r="N17" s="20" t="n">
        <v>0</v>
      </c>
      <c r="O17" s="18" t="n">
        <v>0</v>
      </c>
      <c r="P17" s="20" t="n">
        <v>0</v>
      </c>
      <c r="Q17" s="18" t="n">
        <v>3.26935198</v>
      </c>
      <c r="R17" s="20" t="n">
        <v>0.49351056</v>
      </c>
    </row>
    <row r="18" spans="1:18">
      <c r="A18" s="15" t="s">
        <v>576</v>
      </c>
      <c r="B18" s="17" t="n">
        <v>5532</v>
      </c>
      <c r="C18" s="18">
        <f>(4315.0/B18*100)</f>
        <v/>
      </c>
      <c r="D18" s="19" t="n">
        <v>1217</v>
      </c>
      <c r="E18" s="18" t="n">
        <v>61.10019534</v>
      </c>
      <c r="F18" s="20" t="n">
        <v>1.92473358</v>
      </c>
      <c r="G18" s="18" t="n">
        <v>35.1859587</v>
      </c>
      <c r="H18" s="20" t="n">
        <v>1.86879522</v>
      </c>
      <c r="I18" s="18" t="n">
        <v>0</v>
      </c>
      <c r="J18" s="20" t="n">
        <v>0</v>
      </c>
      <c r="K18" s="18" t="n">
        <v>0.43518969</v>
      </c>
      <c r="L18" s="20" t="n">
        <v>0.20128424</v>
      </c>
      <c r="M18" s="18" t="n">
        <v>0</v>
      </c>
      <c r="N18" s="20" t="n">
        <v>0</v>
      </c>
      <c r="O18" s="18" t="n">
        <v>0</v>
      </c>
      <c r="P18" s="20" t="n">
        <v>0</v>
      </c>
      <c r="Q18" s="18" t="n">
        <v>3.27865627</v>
      </c>
      <c r="R18" s="20" t="n">
        <v>0.63691192</v>
      </c>
    </row>
    <row r="19" spans="1:18">
      <c r="A19" s="15" t="s">
        <v>577</v>
      </c>
      <c r="B19" s="17" t="n">
        <v>5658</v>
      </c>
      <c r="C19" s="18">
        <f>(4461.0/B19*100)</f>
        <v/>
      </c>
      <c r="D19" s="19" t="n">
        <v>1197</v>
      </c>
      <c r="E19" s="18" t="n">
        <v>70.37241032</v>
      </c>
      <c r="F19" s="20" t="n">
        <v>1.42213288</v>
      </c>
      <c r="G19" s="18" t="n">
        <v>27.9215268</v>
      </c>
      <c r="H19" s="20" t="n">
        <v>1.43347672</v>
      </c>
      <c r="I19" s="18" t="n">
        <v>0</v>
      </c>
      <c r="J19" s="20" t="n">
        <v>0</v>
      </c>
      <c r="K19" s="18" t="n">
        <v>0</v>
      </c>
      <c r="L19" s="20" t="n">
        <v>0</v>
      </c>
      <c r="M19" s="18" t="n">
        <v>0</v>
      </c>
      <c r="N19" s="20" t="n">
        <v>0</v>
      </c>
      <c r="O19" s="18" t="n">
        <v>0</v>
      </c>
      <c r="P19" s="20" t="n">
        <v>0</v>
      </c>
      <c r="Q19" s="18" t="n">
        <v>1.70606289</v>
      </c>
      <c r="R19" s="20" t="n">
        <v>0.41251996</v>
      </c>
    </row>
    <row r="20" spans="1:18">
      <c r="A20" s="15" t="s">
        <v>578</v>
      </c>
      <c r="B20" s="17" t="n">
        <v>3371</v>
      </c>
      <c r="C20" s="18">
        <f>(2644.0/B20*100)</f>
        <v/>
      </c>
      <c r="D20" s="19" t="n">
        <v>727</v>
      </c>
      <c r="E20" s="18" t="n">
        <v>56.97955659</v>
      </c>
      <c r="F20" s="20" t="n">
        <v>2.02095507</v>
      </c>
      <c r="G20" s="18" t="n">
        <v>39.59667013</v>
      </c>
      <c r="H20" s="20" t="n">
        <v>1.99823452</v>
      </c>
      <c r="I20" s="18" t="n">
        <v>0</v>
      </c>
      <c r="J20" s="20" t="n">
        <v>0</v>
      </c>
      <c r="K20" s="18" t="n">
        <v>0.27670303</v>
      </c>
      <c r="L20" s="20" t="n">
        <v>0.18836829</v>
      </c>
      <c r="M20" s="18" t="n">
        <v>0.54926073</v>
      </c>
      <c r="N20" s="20" t="n">
        <v>0.14098361</v>
      </c>
      <c r="O20" s="18" t="n">
        <v>0</v>
      </c>
      <c r="P20" s="20" t="n">
        <v>0</v>
      </c>
      <c r="Q20" s="18" t="n">
        <v>2.59780952</v>
      </c>
      <c r="R20" s="20" t="n">
        <v>0.58236968</v>
      </c>
    </row>
    <row r="21" spans="1:18">
      <c r="A21" s="15" t="s">
        <v>579</v>
      </c>
      <c r="B21" s="17" t="n">
        <v>5741</v>
      </c>
      <c r="C21" s="18">
        <f>(4466.0/B21*100)</f>
        <v/>
      </c>
      <c r="D21" s="19" t="n">
        <v>1275</v>
      </c>
      <c r="E21" s="18" t="n">
        <v>64.48318302</v>
      </c>
      <c r="F21" s="20" t="n">
        <v>1.52388739</v>
      </c>
      <c r="G21" s="18" t="n">
        <v>33.18606283</v>
      </c>
      <c r="H21" s="20" t="n">
        <v>1.51993697</v>
      </c>
      <c r="I21" s="18" t="n">
        <v>0</v>
      </c>
      <c r="J21" s="20" t="n">
        <v>0</v>
      </c>
      <c r="K21" s="18" t="n">
        <v>0</v>
      </c>
      <c r="L21" s="20" t="n">
        <v>0</v>
      </c>
      <c r="M21" s="18" t="n">
        <v>0</v>
      </c>
      <c r="N21" s="20" t="n">
        <v>0</v>
      </c>
      <c r="O21" s="18" t="n">
        <v>0</v>
      </c>
      <c r="P21" s="20" t="n">
        <v>0</v>
      </c>
      <c r="Q21" s="18" t="n">
        <v>2.33075415</v>
      </c>
      <c r="R21" s="20" t="n">
        <v>0.41576056</v>
      </c>
    </row>
    <row r="22" spans="1:18">
      <c r="A22" s="15" t="s">
        <v>580</v>
      </c>
      <c r="B22" s="17" t="n">
        <v>6598</v>
      </c>
      <c r="C22" s="18">
        <f>(5173.0/B22*100)</f>
        <v/>
      </c>
      <c r="D22" s="19" t="n">
        <v>1425</v>
      </c>
      <c r="E22" s="18" t="n">
        <v>56.83989631</v>
      </c>
      <c r="F22" s="20" t="n">
        <v>1.41698456</v>
      </c>
      <c r="G22" s="18" t="n">
        <v>39.09218732</v>
      </c>
      <c r="H22" s="20" t="n">
        <v>1.43766761</v>
      </c>
      <c r="I22" s="18" t="n">
        <v>0</v>
      </c>
      <c r="J22" s="20" t="n">
        <v>0</v>
      </c>
      <c r="K22" s="18" t="n">
        <v>0.55012099</v>
      </c>
      <c r="L22" s="20" t="n">
        <v>0.16677342</v>
      </c>
      <c r="M22" s="18" t="n">
        <v>0.10902853</v>
      </c>
      <c r="N22" s="20" t="n">
        <v>0.10873645</v>
      </c>
      <c r="O22" s="18" t="n">
        <v>0</v>
      </c>
      <c r="P22" s="20" t="n">
        <v>0</v>
      </c>
      <c r="Q22" s="18" t="n">
        <v>3.40876685</v>
      </c>
      <c r="R22" s="20" t="n">
        <v>0.55423109</v>
      </c>
    </row>
    <row r="23" spans="1:18">
      <c r="A23" s="15" t="s">
        <v>581</v>
      </c>
      <c r="B23" s="17" t="n">
        <v>11583</v>
      </c>
      <c r="C23" s="18">
        <f>(8983.0/B23*100)</f>
        <v/>
      </c>
      <c r="D23" s="19" t="n">
        <v>2600</v>
      </c>
      <c r="E23" s="18" t="n">
        <v>60.29419355</v>
      </c>
      <c r="F23" s="20" t="n">
        <v>1.49081413</v>
      </c>
      <c r="G23" s="18" t="n">
        <v>34.15990277</v>
      </c>
      <c r="H23" s="20" t="n">
        <v>1.36622557</v>
      </c>
      <c r="I23" s="18" t="n">
        <v>0</v>
      </c>
      <c r="J23" s="20" t="n">
        <v>0</v>
      </c>
      <c r="K23" s="18" t="n">
        <v>0.37477684</v>
      </c>
      <c r="L23" s="20" t="n">
        <v>0.15795966</v>
      </c>
      <c r="M23" s="18" t="n">
        <v>0.0724245</v>
      </c>
      <c r="N23" s="20" t="n">
        <v>0.05284075</v>
      </c>
      <c r="O23" s="18" t="n">
        <v>0</v>
      </c>
      <c r="P23" s="20" t="n">
        <v>0</v>
      </c>
      <c r="Q23" s="18" t="n">
        <v>5.09870234</v>
      </c>
      <c r="R23" s="20" t="n">
        <v>0.66756702</v>
      </c>
    </row>
    <row r="24" spans="1:18">
      <c r="A24" s="15" t="s">
        <v>582</v>
      </c>
      <c r="B24" s="17" t="n">
        <v>6647</v>
      </c>
      <c r="C24" s="18">
        <f>(5176.0/B24*100)</f>
        <v/>
      </c>
      <c r="D24" s="19" t="n">
        <v>1471</v>
      </c>
      <c r="E24" s="18" t="n">
        <v>39.7716258</v>
      </c>
      <c r="F24" s="20" t="n">
        <v>1.37960533</v>
      </c>
      <c r="G24" s="18" t="n">
        <v>58.14047462</v>
      </c>
      <c r="H24" s="20" t="n">
        <v>1.39381707</v>
      </c>
      <c r="I24" s="18" t="n">
        <v>0</v>
      </c>
      <c r="J24" s="20" t="n">
        <v>0</v>
      </c>
      <c r="K24" s="18" t="n">
        <v>0</v>
      </c>
      <c r="L24" s="20" t="n">
        <v>0</v>
      </c>
      <c r="M24" s="18" t="n">
        <v>0</v>
      </c>
      <c r="N24" s="20" t="n">
        <v>0</v>
      </c>
      <c r="O24" s="18" t="n">
        <v>0</v>
      </c>
      <c r="P24" s="20" t="n">
        <v>0</v>
      </c>
      <c r="Q24" s="18" t="n">
        <v>2.08789957</v>
      </c>
      <c r="R24" s="20" t="n">
        <v>0.3368226</v>
      </c>
    </row>
    <row r="25" spans="1:18">
      <c r="A25" s="15" t="s">
        <v>583</v>
      </c>
      <c r="B25" s="17" t="n">
        <v>5581</v>
      </c>
      <c r="C25" s="18">
        <f>(4357.0/B25*100)</f>
        <v/>
      </c>
      <c r="D25" s="19" t="n">
        <v>1224</v>
      </c>
      <c r="E25" s="18" t="n">
        <v>50.54745411</v>
      </c>
      <c r="F25" s="20" t="n">
        <v>1.8113477</v>
      </c>
      <c r="G25" s="18" t="n">
        <v>48.26455952</v>
      </c>
      <c r="H25" s="20" t="n">
        <v>1.80210904</v>
      </c>
      <c r="I25" s="18" t="n">
        <v>0</v>
      </c>
      <c r="J25" s="20" t="n">
        <v>0</v>
      </c>
      <c r="K25" s="18" t="n">
        <v>0</v>
      </c>
      <c r="L25" s="20" t="n">
        <v>0</v>
      </c>
      <c r="M25" s="18" t="n">
        <v>0</v>
      </c>
      <c r="N25" s="20" t="n">
        <v>0</v>
      </c>
      <c r="O25" s="18" t="n">
        <v>0</v>
      </c>
      <c r="P25" s="20" t="n">
        <v>0</v>
      </c>
      <c r="Q25" s="18" t="n">
        <v>1.18798636</v>
      </c>
      <c r="R25" s="20" t="n">
        <v>0.27944999</v>
      </c>
    </row>
    <row r="26" spans="1:18">
      <c r="A26" s="15" t="s">
        <v>584</v>
      </c>
      <c r="B26" s="17" t="n">
        <v>4869</v>
      </c>
      <c r="C26" s="18">
        <f>(3815.0/B26*100)</f>
        <v/>
      </c>
      <c r="D26" s="19" t="n">
        <v>1054</v>
      </c>
      <c r="E26" s="18" t="n">
        <v>64.17190066000001</v>
      </c>
      <c r="F26" s="20" t="n">
        <v>1.74247458</v>
      </c>
      <c r="G26" s="18" t="n">
        <v>34.89880797</v>
      </c>
      <c r="H26" s="20" t="n">
        <v>1.82020991</v>
      </c>
      <c r="I26" s="18" t="n">
        <v>0</v>
      </c>
      <c r="J26" s="20" t="n">
        <v>0</v>
      </c>
      <c r="K26" s="18" t="n">
        <v>0</v>
      </c>
      <c r="L26" s="20" t="n">
        <v>0</v>
      </c>
      <c r="M26" s="18" t="n">
        <v>0.06554921</v>
      </c>
      <c r="N26" s="20" t="n">
        <v>0.06534576</v>
      </c>
      <c r="O26" s="18" t="n">
        <v>0</v>
      </c>
      <c r="P26" s="20" t="n">
        <v>0</v>
      </c>
      <c r="Q26" s="18" t="n">
        <v>0.86374216</v>
      </c>
      <c r="R26" s="20" t="n">
        <v>0.3221527</v>
      </c>
    </row>
    <row r="27" spans="1:18">
      <c r="A27" s="15" t="s">
        <v>585</v>
      </c>
      <c r="B27" s="17" t="n">
        <v>5299</v>
      </c>
      <c r="C27" s="18">
        <f>(4112.0/B27*100)</f>
        <v/>
      </c>
      <c r="D27" s="19" t="n">
        <v>1187</v>
      </c>
      <c r="E27" s="18" t="n">
        <v>62.47083168</v>
      </c>
      <c r="F27" s="20" t="n">
        <v>1.34270069</v>
      </c>
      <c r="G27" s="18" t="n">
        <v>32.24218328</v>
      </c>
      <c r="H27" s="20" t="n">
        <v>1.30082932</v>
      </c>
      <c r="I27" s="18" t="n">
        <v>0</v>
      </c>
      <c r="J27" s="20" t="n">
        <v>0</v>
      </c>
      <c r="K27" s="18" t="n">
        <v>0.35031385</v>
      </c>
      <c r="L27" s="20" t="n">
        <v>0.17362245</v>
      </c>
      <c r="M27" s="18" t="n">
        <v>0</v>
      </c>
      <c r="N27" s="20" t="n">
        <v>0</v>
      </c>
      <c r="O27" s="18" t="n">
        <v>0</v>
      </c>
      <c r="P27" s="20" t="n">
        <v>0</v>
      </c>
      <c r="Q27" s="18" t="n">
        <v>4.9366712</v>
      </c>
      <c r="R27" s="20" t="n">
        <v>0.61437804</v>
      </c>
    </row>
    <row r="28" spans="1:18">
      <c r="A28" s="15" t="s">
        <v>586</v>
      </c>
      <c r="B28" s="17" t="n">
        <v>7568</v>
      </c>
      <c r="C28" s="18">
        <f>(6017.0/B28*100)</f>
        <v/>
      </c>
      <c r="D28" s="19" t="n">
        <v>1551</v>
      </c>
      <c r="E28" s="18" t="n">
        <v>82.67835493</v>
      </c>
      <c r="F28" s="20" t="n">
        <v>1.30862403</v>
      </c>
      <c r="G28" s="18" t="n">
        <v>15.03513442</v>
      </c>
      <c r="H28" s="20" t="n">
        <v>1.21160285</v>
      </c>
      <c r="I28" s="18" t="n">
        <v>0</v>
      </c>
      <c r="J28" s="20" t="n">
        <v>0</v>
      </c>
      <c r="K28" s="18" t="n">
        <v>0.2368256</v>
      </c>
      <c r="L28" s="20" t="n">
        <v>0.12402766</v>
      </c>
      <c r="M28" s="18" t="n">
        <v>0.31464835</v>
      </c>
      <c r="N28" s="20" t="n">
        <v>0.18820877</v>
      </c>
      <c r="O28" s="18" t="n">
        <v>0</v>
      </c>
      <c r="P28" s="20" t="n">
        <v>0</v>
      </c>
      <c r="Q28" s="18" t="n">
        <v>1.73503671</v>
      </c>
      <c r="R28" s="20" t="n">
        <v>0.4049137</v>
      </c>
    </row>
    <row r="29" spans="1:18">
      <c r="A29" s="15" t="s">
        <v>587</v>
      </c>
      <c r="B29" s="17" t="n">
        <v>5385</v>
      </c>
      <c r="C29" s="18">
        <f>(4277.0/B29*100)</f>
        <v/>
      </c>
      <c r="D29" s="19" t="n">
        <v>1108</v>
      </c>
      <c r="E29" s="18" t="n">
        <v>57.86895738</v>
      </c>
      <c r="F29" s="20" t="n">
        <v>1.45771093</v>
      </c>
      <c r="G29" s="18" t="n">
        <v>41.06352322</v>
      </c>
      <c r="H29" s="20" t="n">
        <v>1.51594127</v>
      </c>
      <c r="I29" s="18" t="n">
        <v>0</v>
      </c>
      <c r="J29" s="20" t="n">
        <v>0</v>
      </c>
      <c r="K29" s="18" t="n">
        <v>0.06660658</v>
      </c>
      <c r="L29" s="20" t="n">
        <v>0.09168345</v>
      </c>
      <c r="M29" s="18" t="n">
        <v>0</v>
      </c>
      <c r="N29" s="20" t="n">
        <v>0</v>
      </c>
      <c r="O29" s="18" t="n">
        <v>0</v>
      </c>
      <c r="P29" s="20" t="n">
        <v>0</v>
      </c>
      <c r="Q29" s="18" t="n">
        <v>1.00091282</v>
      </c>
      <c r="R29" s="20" t="n">
        <v>0.24654492</v>
      </c>
    </row>
    <row r="30" spans="1:18">
      <c r="A30" s="15" t="s">
        <v>588</v>
      </c>
      <c r="B30" s="17" t="n">
        <v>4520</v>
      </c>
      <c r="C30" s="18">
        <f>(3530.0/B30*100)</f>
        <v/>
      </c>
      <c r="D30" s="19" t="n">
        <v>990</v>
      </c>
      <c r="E30" s="18" t="n">
        <v>47.92453352</v>
      </c>
      <c r="F30" s="20" t="n">
        <v>1.65483818</v>
      </c>
      <c r="G30" s="18" t="n">
        <v>48.04629676</v>
      </c>
      <c r="H30" s="20" t="n">
        <v>1.60629783</v>
      </c>
      <c r="I30" s="18" t="n">
        <v>0</v>
      </c>
      <c r="J30" s="20" t="n">
        <v>0</v>
      </c>
      <c r="K30" s="18" t="n">
        <v>0.39255569</v>
      </c>
      <c r="L30" s="20" t="n">
        <v>0.20848009</v>
      </c>
      <c r="M30" s="18" t="n">
        <v>0.10799035</v>
      </c>
      <c r="N30" s="20" t="n">
        <v>0.10955173</v>
      </c>
      <c r="O30" s="18" t="n">
        <v>0</v>
      </c>
      <c r="P30" s="20" t="n">
        <v>0</v>
      </c>
      <c r="Q30" s="18" t="n">
        <v>3.52862369</v>
      </c>
      <c r="R30" s="20" t="n">
        <v>0.57766789</v>
      </c>
    </row>
    <row r="31" spans="1:18">
      <c r="A31" s="15" t="s">
        <v>589</v>
      </c>
      <c r="B31" s="17" t="n">
        <v>5456</v>
      </c>
      <c r="C31" s="18">
        <f>(4255.0/B31*100)</f>
        <v/>
      </c>
      <c r="D31" s="19" t="n">
        <v>1201</v>
      </c>
      <c r="E31" s="18" t="n">
        <v>55.76301198</v>
      </c>
      <c r="F31" s="20" t="n">
        <v>1.51938081</v>
      </c>
      <c r="G31" s="18" t="n">
        <v>41.06066134</v>
      </c>
      <c r="H31" s="20" t="n">
        <v>1.56995302</v>
      </c>
      <c r="I31" s="18" t="n">
        <v>0</v>
      </c>
      <c r="J31" s="20" t="n">
        <v>0</v>
      </c>
      <c r="K31" s="18" t="n">
        <v>0.23950024</v>
      </c>
      <c r="L31" s="20" t="n">
        <v>0.13348022</v>
      </c>
      <c r="M31" s="18" t="n">
        <v>0.15878671</v>
      </c>
      <c r="N31" s="20" t="n">
        <v>0.1087849</v>
      </c>
      <c r="O31" s="18" t="n">
        <v>0</v>
      </c>
      <c r="P31" s="20" t="n">
        <v>0</v>
      </c>
      <c r="Q31" s="18" t="n">
        <v>2.77803972</v>
      </c>
      <c r="R31" s="20" t="n">
        <v>0.48166925</v>
      </c>
    </row>
    <row r="32" spans="1:18">
      <c r="A32" s="15" t="s">
        <v>590</v>
      </c>
      <c r="B32" s="17" t="n">
        <v>4478</v>
      </c>
      <c r="C32" s="18">
        <f>(3438.0/B32*100)</f>
        <v/>
      </c>
      <c r="D32" s="19" t="n">
        <v>1040</v>
      </c>
      <c r="E32" s="18" t="n">
        <v>61.13622508</v>
      </c>
      <c r="F32" s="20" t="n">
        <v>1.70737536</v>
      </c>
      <c r="G32" s="18" t="n">
        <v>37.52636254</v>
      </c>
      <c r="H32" s="20" t="n">
        <v>1.71234059</v>
      </c>
      <c r="I32" s="18" t="n">
        <v>0</v>
      </c>
      <c r="J32" s="20" t="n">
        <v>0</v>
      </c>
      <c r="K32" s="18" t="n">
        <v>0</v>
      </c>
      <c r="L32" s="20" t="n">
        <v>0</v>
      </c>
      <c r="M32" s="18" t="n">
        <v>0</v>
      </c>
      <c r="N32" s="20" t="n">
        <v>0</v>
      </c>
      <c r="O32" s="18" t="n">
        <v>0</v>
      </c>
      <c r="P32" s="20" t="n">
        <v>0</v>
      </c>
      <c r="Q32" s="18" t="n">
        <v>1.33741238</v>
      </c>
      <c r="R32" s="20" t="n">
        <v>0.39309123</v>
      </c>
    </row>
    <row r="33" spans="1:18">
      <c r="A33" s="15" t="s">
        <v>591</v>
      </c>
      <c r="B33" s="17" t="n">
        <v>7325</v>
      </c>
      <c r="C33" s="18">
        <f>(5695.0/B33*100)</f>
        <v/>
      </c>
      <c r="D33" s="19" t="n">
        <v>1630</v>
      </c>
      <c r="E33" s="18" t="n">
        <v>47.56443831</v>
      </c>
      <c r="F33" s="20" t="n">
        <v>1.7122984</v>
      </c>
      <c r="G33" s="18" t="n">
        <v>51.6471548</v>
      </c>
      <c r="H33" s="20" t="n">
        <v>1.72034751</v>
      </c>
      <c r="I33" s="18" t="n">
        <v>0</v>
      </c>
      <c r="J33" s="20" t="n">
        <v>0</v>
      </c>
      <c r="K33" s="18" t="n">
        <v>0.08535776</v>
      </c>
      <c r="L33" s="20" t="n">
        <v>0.08445959</v>
      </c>
      <c r="M33" s="18" t="n">
        <v>0.07735212</v>
      </c>
      <c r="N33" s="20" t="n">
        <v>0.07682379</v>
      </c>
      <c r="O33" s="18" t="n">
        <v>0</v>
      </c>
      <c r="P33" s="20" t="n">
        <v>0</v>
      </c>
      <c r="Q33" s="18" t="n">
        <v>0.62569701</v>
      </c>
      <c r="R33" s="20" t="n">
        <v>0.2526685</v>
      </c>
    </row>
    <row r="34" spans="1:18">
      <c r="A34" s="15" t="s">
        <v>592</v>
      </c>
      <c r="B34" s="17" t="n">
        <v>6350</v>
      </c>
      <c r="C34" s="18">
        <f>(5023.0/B34*100)</f>
        <v/>
      </c>
      <c r="D34" s="19" t="n">
        <v>1327</v>
      </c>
      <c r="E34" s="18" t="n">
        <v>74.83767208</v>
      </c>
      <c r="F34" s="20" t="n">
        <v>1.22227288</v>
      </c>
      <c r="G34" s="18" t="n">
        <v>23.66353903</v>
      </c>
      <c r="H34" s="20" t="n">
        <v>1.23442153</v>
      </c>
      <c r="I34" s="18" t="n">
        <v>0</v>
      </c>
      <c r="J34" s="20" t="n">
        <v>0</v>
      </c>
      <c r="K34" s="18" t="n">
        <v>0</v>
      </c>
      <c r="L34" s="20" t="n">
        <v>0</v>
      </c>
      <c r="M34" s="18" t="n">
        <v>0.2582152</v>
      </c>
      <c r="N34" s="20" t="n">
        <v>0.13268678</v>
      </c>
      <c r="O34" s="18" t="n">
        <v>0</v>
      </c>
      <c r="P34" s="20" t="n">
        <v>0</v>
      </c>
      <c r="Q34" s="18" t="n">
        <v>1.24057369</v>
      </c>
      <c r="R34" s="20" t="n">
        <v>0.36696769</v>
      </c>
    </row>
    <row r="35" spans="1:18">
      <c r="A35" s="15" t="s">
        <v>593</v>
      </c>
      <c r="B35" s="17" t="n">
        <v>6406</v>
      </c>
      <c r="C35" s="18">
        <f>(5010.0/B35*100)</f>
        <v/>
      </c>
      <c r="D35" s="19" t="n">
        <v>1396</v>
      </c>
      <c r="E35" s="18" t="n">
        <v>52.32022054</v>
      </c>
      <c r="F35" s="20" t="n">
        <v>1.55408219</v>
      </c>
      <c r="G35" s="18" t="n">
        <v>45.2144213</v>
      </c>
      <c r="H35" s="20" t="n">
        <v>1.66732757</v>
      </c>
      <c r="I35" s="18" t="n">
        <v>0</v>
      </c>
      <c r="J35" s="20" t="n">
        <v>0</v>
      </c>
      <c r="K35" s="18" t="n">
        <v>0.08876195000000001</v>
      </c>
      <c r="L35" s="20" t="n">
        <v>0.05104254</v>
      </c>
      <c r="M35" s="18" t="n">
        <v>0.24614031</v>
      </c>
      <c r="N35" s="20" t="n">
        <v>0.17455667</v>
      </c>
      <c r="O35" s="18" t="n">
        <v>0</v>
      </c>
      <c r="P35" s="20" t="n">
        <v>0</v>
      </c>
      <c r="Q35" s="18" t="n">
        <v>2.1304559</v>
      </c>
      <c r="R35" s="20" t="n">
        <v>0.44018447</v>
      </c>
    </row>
    <row r="36" spans="1:18">
      <c r="A36" s="15" t="s">
        <v>594</v>
      </c>
      <c r="B36" s="17" t="n">
        <v>6736</v>
      </c>
      <c r="C36" s="18">
        <f>(5266.0/B36*100)</f>
        <v/>
      </c>
      <c r="D36" s="19" t="n">
        <v>1470</v>
      </c>
      <c r="E36" s="18" t="n">
        <v>55.90102729</v>
      </c>
      <c r="F36" s="20" t="n">
        <v>1.49700459</v>
      </c>
      <c r="G36" s="18" t="n">
        <v>41.45833036</v>
      </c>
      <c r="H36" s="20" t="n">
        <v>1.49120635</v>
      </c>
      <c r="I36" s="18" t="n">
        <v>0</v>
      </c>
      <c r="J36" s="20" t="n">
        <v>0</v>
      </c>
      <c r="K36" s="18" t="n">
        <v>0.22793116</v>
      </c>
      <c r="L36" s="20" t="n">
        <v>0.02843996</v>
      </c>
      <c r="M36" s="18" t="n">
        <v>0.06556022</v>
      </c>
      <c r="N36" s="20" t="n">
        <v>0.06563194999999999</v>
      </c>
      <c r="O36" s="18" t="n">
        <v>0</v>
      </c>
      <c r="P36" s="20" t="n">
        <v>0</v>
      </c>
      <c r="Q36" s="18" t="n">
        <v>2.34715097</v>
      </c>
      <c r="R36" s="20" t="n">
        <v>0.48410669</v>
      </c>
    </row>
    <row r="37" spans="1:18">
      <c r="A37" s="15" t="s">
        <v>595</v>
      </c>
      <c r="B37" s="17" t="n">
        <v>5458</v>
      </c>
      <c r="C37" s="18">
        <f>(4279.0/B37*100)</f>
        <v/>
      </c>
      <c r="D37" s="19" t="n">
        <v>1179</v>
      </c>
      <c r="E37" s="18" t="n">
        <v>60.49222788</v>
      </c>
      <c r="F37" s="20" t="n">
        <v>1.71485614</v>
      </c>
      <c r="G37" s="18" t="n">
        <v>34.53776635</v>
      </c>
      <c r="H37" s="20" t="n">
        <v>1.76752525</v>
      </c>
      <c r="I37" s="18" t="n">
        <v>0</v>
      </c>
      <c r="J37" s="20" t="n">
        <v>0</v>
      </c>
      <c r="K37" s="18" t="n">
        <v>0.16553751</v>
      </c>
      <c r="L37" s="20" t="n">
        <v>0.13837986</v>
      </c>
      <c r="M37" s="18" t="n">
        <v>0</v>
      </c>
      <c r="N37" s="20" t="n">
        <v>0</v>
      </c>
      <c r="O37" s="18" t="n">
        <v>0</v>
      </c>
      <c r="P37" s="20" t="n">
        <v>0</v>
      </c>
      <c r="Q37" s="18" t="n">
        <v>4.80446826</v>
      </c>
      <c r="R37" s="20" t="n">
        <v>0.60171515</v>
      </c>
    </row>
    <row r="38" spans="1:18">
      <c r="A38" s="15" t="s">
        <v>596</v>
      </c>
      <c r="B38" s="17" t="n">
        <v>5860</v>
      </c>
      <c r="C38" s="18">
        <f>(4585.0/B38*100)</f>
        <v/>
      </c>
      <c r="D38" s="19" t="n">
        <v>1275</v>
      </c>
      <c r="E38" s="18" t="n">
        <v>52.37685513</v>
      </c>
      <c r="F38" s="20" t="n">
        <v>1.73278522</v>
      </c>
      <c r="G38" s="18" t="n">
        <v>43.03535018</v>
      </c>
      <c r="H38" s="20" t="n">
        <v>1.79992627</v>
      </c>
      <c r="I38" s="18" t="n">
        <v>0</v>
      </c>
      <c r="J38" s="20" t="n">
        <v>0</v>
      </c>
      <c r="K38" s="18" t="n">
        <v>0</v>
      </c>
      <c r="L38" s="20" t="n">
        <v>0</v>
      </c>
      <c r="M38" s="18" t="n">
        <v>2.32263356</v>
      </c>
      <c r="N38" s="20" t="n">
        <v>0.57915286</v>
      </c>
      <c r="O38" s="18" t="n">
        <v>0</v>
      </c>
      <c r="P38" s="20" t="n">
        <v>0</v>
      </c>
      <c r="Q38" s="18" t="n">
        <v>2.26516112</v>
      </c>
      <c r="R38" s="20" t="n">
        <v>0.52969687</v>
      </c>
    </row>
    <row r="39" spans="1:18">
      <c r="A39" s="15" t="s">
        <v>597</v>
      </c>
      <c r="B39" s="17" t="n">
        <v>5895</v>
      </c>
      <c r="C39" s="18">
        <f>(4578.0/B39*100)</f>
        <v/>
      </c>
      <c r="D39" s="19" t="n">
        <v>1317</v>
      </c>
      <c r="E39" s="18" t="n">
        <v>73.95351997</v>
      </c>
      <c r="F39" s="20" t="n">
        <v>1.62852514</v>
      </c>
      <c r="G39" s="18" t="n">
        <v>23.36939913</v>
      </c>
      <c r="H39" s="20" t="n">
        <v>1.59718922</v>
      </c>
      <c r="I39" s="18" t="n">
        <v>0</v>
      </c>
      <c r="J39" s="20" t="n">
        <v>0</v>
      </c>
      <c r="K39" s="18" t="n">
        <v>0.30301476</v>
      </c>
      <c r="L39" s="20" t="n">
        <v>0.12399499</v>
      </c>
      <c r="M39" s="18" t="n">
        <v>0</v>
      </c>
      <c r="N39" s="20" t="n">
        <v>0</v>
      </c>
      <c r="O39" s="18" t="n">
        <v>0</v>
      </c>
      <c r="P39" s="20" t="n">
        <v>0</v>
      </c>
      <c r="Q39" s="18" t="n">
        <v>2.37406613</v>
      </c>
      <c r="R39" s="20" t="n">
        <v>0.47344712</v>
      </c>
    </row>
    <row r="40" spans="1:18">
      <c r="A40" s="15" t="s">
        <v>598</v>
      </c>
      <c r="B40" s="17" t="n">
        <v>14157</v>
      </c>
      <c r="C40" s="18">
        <f>(11036.0/B40*100)</f>
        <v/>
      </c>
      <c r="D40" s="19" t="n">
        <v>3121</v>
      </c>
      <c r="E40" s="18" t="n">
        <v>48.86444728</v>
      </c>
      <c r="F40" s="20" t="n">
        <v>1.08545791</v>
      </c>
      <c r="G40" s="18" t="n">
        <v>46.85517169</v>
      </c>
      <c r="H40" s="20" t="n">
        <v>1.13696686</v>
      </c>
      <c r="I40" s="18" t="n">
        <v>0</v>
      </c>
      <c r="J40" s="20" t="n">
        <v>0</v>
      </c>
      <c r="K40" s="18" t="n">
        <v>0.08994094</v>
      </c>
      <c r="L40" s="20" t="n">
        <v>0.05993744</v>
      </c>
      <c r="M40" s="18" t="n">
        <v>0.02515864</v>
      </c>
      <c r="N40" s="20" t="n">
        <v>0.02413711</v>
      </c>
      <c r="O40" s="18" t="n">
        <v>0</v>
      </c>
      <c r="P40" s="20" t="n">
        <v>0</v>
      </c>
      <c r="Q40" s="18" t="n">
        <v>4.16528145</v>
      </c>
      <c r="R40" s="20" t="n">
        <v>0.62879133</v>
      </c>
    </row>
    <row r="41" spans="1:18">
      <c r="A41" s="15" t="s">
        <v>599</v>
      </c>
      <c r="B41" s="17" t="n">
        <v>5712</v>
      </c>
      <c r="C41" s="18">
        <f>(4506.0/B41*100)</f>
        <v/>
      </c>
      <c r="D41" s="19" t="n">
        <v>1206</v>
      </c>
      <c r="E41" s="18" t="n">
        <v>51.72561642</v>
      </c>
      <c r="F41" s="20" t="n">
        <v>1.70874858</v>
      </c>
      <c r="G41" s="18" t="n">
        <v>47.60182244</v>
      </c>
      <c r="H41" s="20" t="n">
        <v>1.70937869</v>
      </c>
      <c r="I41" s="18" t="n">
        <v>0</v>
      </c>
      <c r="J41" s="20" t="n">
        <v>0</v>
      </c>
      <c r="K41" s="18" t="n">
        <v>0</v>
      </c>
      <c r="L41" s="20" t="n">
        <v>0</v>
      </c>
      <c r="M41" s="18" t="n">
        <v>0</v>
      </c>
      <c r="N41" s="20" t="n">
        <v>0</v>
      </c>
      <c r="O41" s="18" t="n">
        <v>0</v>
      </c>
      <c r="P41" s="20" t="n">
        <v>0</v>
      </c>
      <c r="Q41" s="18" t="n">
        <v>0.67256114</v>
      </c>
      <c r="R41" s="20" t="n">
        <v>0.21296583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(18905.0/B46*100)</f>
        <v/>
      </c>
      <c r="D46" s="19" t="n">
        <v>4236</v>
      </c>
      <c r="E46" s="18" t="n">
        <v>78.73680038000001</v>
      </c>
      <c r="F46" s="20" t="n">
        <v>0.90793079</v>
      </c>
      <c r="G46" s="18" t="n">
        <v>14.50084767</v>
      </c>
      <c r="H46" s="20" t="n">
        <v>0.87022306</v>
      </c>
      <c r="I46" s="18" t="n">
        <v>0</v>
      </c>
      <c r="J46" s="20" t="n">
        <v>0</v>
      </c>
      <c r="K46" s="18" t="n">
        <v>0.83464715</v>
      </c>
      <c r="L46" s="20" t="n">
        <v>0.24495468</v>
      </c>
      <c r="M46" s="18" t="n">
        <v>0.54330197</v>
      </c>
      <c r="N46" s="20" t="n">
        <v>0.11976398</v>
      </c>
      <c r="O46" s="18" t="n">
        <v>0</v>
      </c>
      <c r="P46" s="20" t="n">
        <v>0</v>
      </c>
      <c r="Q46" s="18" t="n">
        <v>5.38440283</v>
      </c>
      <c r="R46" s="20" t="n">
        <v>0.49873345</v>
      </c>
    </row>
    <row r="47" spans="1:18">
      <c r="A47" s="15" t="s">
        <v>606</v>
      </c>
      <c r="B47" s="17" t="n">
        <v>5928</v>
      </c>
      <c r="C47" s="18">
        <f>(4686.0/B47*100)</f>
        <v/>
      </c>
      <c r="D47" s="19" t="n">
        <v>1242</v>
      </c>
      <c r="E47" s="18" t="n">
        <v>75.24561803</v>
      </c>
      <c r="F47" s="20" t="n">
        <v>1.42358289</v>
      </c>
      <c r="G47" s="18" t="n">
        <v>21.2484388</v>
      </c>
      <c r="H47" s="20" t="n">
        <v>1.4698914</v>
      </c>
      <c r="I47" s="18" t="n">
        <v>0</v>
      </c>
      <c r="J47" s="20" t="n">
        <v>0</v>
      </c>
      <c r="K47" s="18" t="n">
        <v>0.63452723</v>
      </c>
      <c r="L47" s="20" t="n">
        <v>0.23301603</v>
      </c>
      <c r="M47" s="18" t="n">
        <v>0</v>
      </c>
      <c r="N47" s="20" t="n">
        <v>0</v>
      </c>
      <c r="O47" s="18" t="n">
        <v>0</v>
      </c>
      <c r="P47" s="20" t="n">
        <v>0</v>
      </c>
      <c r="Q47" s="18" t="n">
        <v>2.87141593</v>
      </c>
      <c r="R47" s="20" t="n">
        <v>0.51605468</v>
      </c>
    </row>
    <row r="48" spans="1:18">
      <c r="A48" s="15" t="s">
        <v>607</v>
      </c>
      <c r="B48" s="17" t="n">
        <v>9841</v>
      </c>
      <c r="C48" s="18">
        <f>(7671.0/B48*100)</f>
        <v/>
      </c>
      <c r="D48" s="19" t="n">
        <v>2170</v>
      </c>
      <c r="E48" s="18" t="n">
        <v>45.45600128</v>
      </c>
      <c r="F48" s="20" t="n">
        <v>2.05681075</v>
      </c>
      <c r="G48" s="18" t="n">
        <v>53.59841153</v>
      </c>
      <c r="H48" s="20" t="n">
        <v>2.0624206</v>
      </c>
      <c r="I48" s="18" t="n">
        <v>0</v>
      </c>
      <c r="J48" s="20" t="n">
        <v>0</v>
      </c>
      <c r="K48" s="18" t="n">
        <v>0.45249696</v>
      </c>
      <c r="L48" s="20" t="n">
        <v>0.22113025</v>
      </c>
      <c r="M48" s="18" t="n">
        <v>0</v>
      </c>
      <c r="N48" s="20" t="n">
        <v>0</v>
      </c>
      <c r="O48" s="18" t="n">
        <v>0</v>
      </c>
      <c r="P48" s="20" t="n">
        <v>0</v>
      </c>
      <c r="Q48" s="18" t="n">
        <v>0.49309023</v>
      </c>
      <c r="R48" s="20" t="n">
        <v>0.21587712</v>
      </c>
    </row>
    <row r="49" spans="1:18">
      <c r="A49" s="15" t="s">
        <v>608</v>
      </c>
      <c r="B49" s="17" t="n">
        <v>11795</v>
      </c>
      <c r="C49" s="18">
        <f>(9296.0/B49*100)</f>
        <v/>
      </c>
      <c r="D49" s="19" t="n">
        <v>2499</v>
      </c>
      <c r="E49" s="18" t="n">
        <v>77.59815331999999</v>
      </c>
      <c r="F49" s="20" t="n">
        <v>1.13961005</v>
      </c>
      <c r="G49" s="18" t="n">
        <v>18.68831366</v>
      </c>
      <c r="H49" s="20" t="n">
        <v>1.00402538</v>
      </c>
      <c r="I49" s="18" t="n">
        <v>0</v>
      </c>
      <c r="J49" s="20" t="n">
        <v>0</v>
      </c>
      <c r="K49" s="18" t="n">
        <v>0.87558946</v>
      </c>
      <c r="L49" s="20" t="n">
        <v>0.28279901</v>
      </c>
      <c r="M49" s="18" t="n">
        <v>0.21938071</v>
      </c>
      <c r="N49" s="20" t="n">
        <v>0.08090723</v>
      </c>
      <c r="O49" s="18" t="n">
        <v>0</v>
      </c>
      <c r="P49" s="20" t="n">
        <v>0</v>
      </c>
      <c r="Q49" s="18" t="n">
        <v>2.61856285</v>
      </c>
      <c r="R49" s="20" t="n">
        <v>0.4318495</v>
      </c>
    </row>
    <row r="50" spans="1:18">
      <c r="A50" s="15" t="s">
        <v>609</v>
      </c>
      <c r="B50" s="17" t="n">
        <v>6866</v>
      </c>
      <c r="C50" s="18">
        <f>(5581.0/B50*100)</f>
        <v/>
      </c>
      <c r="D50" s="19" t="n">
        <v>1285</v>
      </c>
      <c r="E50" s="18" t="n">
        <v>81.22590553000001</v>
      </c>
      <c r="F50" s="20" t="n">
        <v>1.21460093</v>
      </c>
      <c r="G50" s="18" t="n">
        <v>16.52758809</v>
      </c>
      <c r="H50" s="20" t="n">
        <v>1.18382832</v>
      </c>
      <c r="I50" s="18" t="n">
        <v>0</v>
      </c>
      <c r="J50" s="20" t="n">
        <v>0</v>
      </c>
      <c r="K50" s="18" t="n">
        <v>0.26448966</v>
      </c>
      <c r="L50" s="20" t="n">
        <v>0.14557859</v>
      </c>
      <c r="M50" s="18" t="n">
        <v>0</v>
      </c>
      <c r="N50" s="20" t="n">
        <v>0</v>
      </c>
      <c r="O50" s="18" t="n">
        <v>0</v>
      </c>
      <c r="P50" s="20" t="n">
        <v>0</v>
      </c>
      <c r="Q50" s="18" t="n">
        <v>1.98201672</v>
      </c>
      <c r="R50" s="20" t="n">
        <v>0.35615574</v>
      </c>
    </row>
    <row r="51" spans="1:18">
      <c r="A51" s="15" t="s">
        <v>610</v>
      </c>
      <c r="B51" s="17" t="n">
        <v>5809</v>
      </c>
      <c r="C51" s="18">
        <f>(4481.0/B51*100)</f>
        <v/>
      </c>
      <c r="D51" s="19" t="n">
        <v>1328</v>
      </c>
      <c r="E51" s="18" t="n">
        <v>64.82121881</v>
      </c>
      <c r="F51" s="20" t="n">
        <v>1.45287671</v>
      </c>
      <c r="G51" s="18" t="n">
        <v>32.9794543</v>
      </c>
      <c r="H51" s="20" t="n">
        <v>1.40201632</v>
      </c>
      <c r="I51" s="18" t="n">
        <v>0</v>
      </c>
      <c r="J51" s="20" t="n">
        <v>0</v>
      </c>
      <c r="K51" s="18" t="n">
        <v>0.05707881</v>
      </c>
      <c r="L51" s="20" t="n">
        <v>0.05468175</v>
      </c>
      <c r="M51" s="18" t="n">
        <v>0</v>
      </c>
      <c r="N51" s="20" t="n">
        <v>0</v>
      </c>
      <c r="O51" s="18" t="n">
        <v>0</v>
      </c>
      <c r="P51" s="20" t="n">
        <v>0</v>
      </c>
      <c r="Q51" s="18" t="n">
        <v>2.14224808</v>
      </c>
      <c r="R51" s="20" t="n">
        <v>0.45353596</v>
      </c>
    </row>
    <row r="52" spans="1:18">
      <c r="A52" s="15" t="s">
        <v>611</v>
      </c>
      <c r="B52" s="17" t="n">
        <v>5571</v>
      </c>
      <c r="C52" s="18">
        <f>(4348.0/B52*100)</f>
        <v/>
      </c>
      <c r="D52" s="19" t="n">
        <v>1223</v>
      </c>
      <c r="E52" s="18" t="n">
        <v>70.7822228</v>
      </c>
      <c r="F52" s="20" t="n">
        <v>1.28172838</v>
      </c>
      <c r="G52" s="18" t="n">
        <v>26.86708558</v>
      </c>
      <c r="H52" s="20" t="n">
        <v>1.27886974</v>
      </c>
      <c r="I52" s="18" t="n">
        <v>0</v>
      </c>
      <c r="J52" s="20" t="n">
        <v>0</v>
      </c>
      <c r="K52" s="18" t="n">
        <v>0.21885241</v>
      </c>
      <c r="L52" s="20" t="n">
        <v>0.12979531</v>
      </c>
      <c r="M52" s="18" t="n">
        <v>0</v>
      </c>
      <c r="N52" s="20" t="n">
        <v>0</v>
      </c>
      <c r="O52" s="18" t="n">
        <v>0</v>
      </c>
      <c r="P52" s="20" t="n">
        <v>0</v>
      </c>
      <c r="Q52" s="18" t="n">
        <v>2.13183921</v>
      </c>
      <c r="R52" s="20" t="n">
        <v>0.40678812</v>
      </c>
    </row>
    <row r="53" spans="1:18">
      <c r="A53" s="15" t="s">
        <v>612</v>
      </c>
      <c r="B53" s="17" t="n">
        <v>4740</v>
      </c>
      <c r="C53" s="18">
        <f>(3694.0/B53*100)</f>
        <v/>
      </c>
      <c r="D53" s="19" t="n">
        <v>1046</v>
      </c>
      <c r="E53" s="18" t="n">
        <v>83.13331386999999</v>
      </c>
      <c r="F53" s="20" t="n">
        <v>1.54050761</v>
      </c>
      <c r="G53" s="18" t="n">
        <v>4.09615943</v>
      </c>
      <c r="H53" s="20" t="n">
        <v>0.78127891</v>
      </c>
      <c r="I53" s="18" t="n">
        <v>0</v>
      </c>
      <c r="J53" s="20" t="n">
        <v>0</v>
      </c>
      <c r="K53" s="18" t="n">
        <v>6.9015962</v>
      </c>
      <c r="L53" s="20" t="n">
        <v>0.8866255199999999</v>
      </c>
      <c r="M53" s="18" t="n">
        <v>0.7014172400000001</v>
      </c>
      <c r="N53" s="20" t="n">
        <v>0.66833204</v>
      </c>
      <c r="O53" s="18" t="n">
        <v>0</v>
      </c>
      <c r="P53" s="20" t="n">
        <v>0</v>
      </c>
      <c r="Q53" s="18" t="n">
        <v>5.16751326</v>
      </c>
      <c r="R53" s="20" t="n">
        <v>0.71171176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(4147.0/B55*100)</f>
        <v/>
      </c>
      <c r="D55" s="19" t="n">
        <v>1212</v>
      </c>
      <c r="E55" s="18" t="n">
        <v>39.13399893</v>
      </c>
      <c r="F55" s="20" t="n">
        <v>1.8344549</v>
      </c>
      <c r="G55" s="18" t="n">
        <v>59.79275453</v>
      </c>
      <c r="H55" s="20" t="n">
        <v>1.90413055</v>
      </c>
      <c r="I55" s="18" t="n">
        <v>0</v>
      </c>
      <c r="J55" s="20" t="n">
        <v>0</v>
      </c>
      <c r="K55" s="18" t="n">
        <v>0.16056468</v>
      </c>
      <c r="L55" s="20" t="n">
        <v>0.15514591</v>
      </c>
      <c r="M55" s="18" t="n">
        <v>0</v>
      </c>
      <c r="N55" s="20" t="n">
        <v>0</v>
      </c>
      <c r="O55" s="18" t="n">
        <v>0</v>
      </c>
      <c r="P55" s="20" t="n">
        <v>0</v>
      </c>
      <c r="Q55" s="18" t="n">
        <v>0.91268185</v>
      </c>
      <c r="R55" s="20" t="n">
        <v>0.31153649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(5079.0/B61*100)</f>
        <v/>
      </c>
      <c r="D61" s="19" t="n">
        <v>1446</v>
      </c>
      <c r="E61" s="18" t="n">
        <v>63.06121424</v>
      </c>
      <c r="F61" s="20" t="n">
        <v>1.43970495</v>
      </c>
      <c r="G61" s="18" t="n">
        <v>35.4664214</v>
      </c>
      <c r="H61" s="20" t="n">
        <v>1.40352632</v>
      </c>
      <c r="I61" s="18" t="n">
        <v>0</v>
      </c>
      <c r="J61" s="20" t="n">
        <v>0</v>
      </c>
      <c r="K61" s="18" t="n">
        <v>0.0900241</v>
      </c>
      <c r="L61" s="20" t="n">
        <v>0.09246983</v>
      </c>
      <c r="M61" s="18" t="n">
        <v>0</v>
      </c>
      <c r="N61" s="20" t="n">
        <v>0</v>
      </c>
      <c r="O61" s="18" t="n">
        <v>0</v>
      </c>
      <c r="P61" s="20" t="n">
        <v>0</v>
      </c>
      <c r="Q61" s="18" t="n">
        <v>1.38234026</v>
      </c>
      <c r="R61" s="20" t="n">
        <v>0.31046169</v>
      </c>
    </row>
    <row r="62" spans="1:18">
      <c r="A62" s="15" t="s">
        <v>622</v>
      </c>
      <c r="B62" s="17" t="n">
        <v>4476</v>
      </c>
      <c r="C62" s="18">
        <f>(3518.0/B62*100)</f>
        <v/>
      </c>
      <c r="D62" s="19" t="n">
        <v>958</v>
      </c>
      <c r="E62" s="18" t="n">
        <v>46.62421497</v>
      </c>
      <c r="F62" s="20" t="n">
        <v>1.50647012</v>
      </c>
      <c r="G62" s="18" t="n">
        <v>53.27209881</v>
      </c>
      <c r="H62" s="20" t="n">
        <v>1.50979079</v>
      </c>
      <c r="I62" s="18" t="n">
        <v>0</v>
      </c>
      <c r="J62" s="20" t="n">
        <v>0</v>
      </c>
      <c r="K62" s="18" t="n">
        <v>0</v>
      </c>
      <c r="L62" s="20" t="n">
        <v>0</v>
      </c>
      <c r="M62" s="18" t="n">
        <v>0.10368623</v>
      </c>
      <c r="N62" s="20" t="n">
        <v>0.10388591</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(4444.0/B67*100)</f>
        <v/>
      </c>
      <c r="D67" s="19" t="n">
        <v>1221</v>
      </c>
      <c r="E67" s="18" t="n">
        <v>76.54969455</v>
      </c>
      <c r="F67" s="20" t="n">
        <v>1.03652125</v>
      </c>
      <c r="G67" s="18" t="n">
        <v>15.77235626</v>
      </c>
      <c r="H67" s="20" t="n">
        <v>0.89132513</v>
      </c>
      <c r="I67" s="18" t="n">
        <v>0</v>
      </c>
      <c r="J67" s="20" t="n">
        <v>0</v>
      </c>
      <c r="K67" s="18" t="n">
        <v>0.41145386</v>
      </c>
      <c r="L67" s="20" t="n">
        <v>0.18586435</v>
      </c>
      <c r="M67" s="18" t="n">
        <v>0.40341519</v>
      </c>
      <c r="N67" s="20" t="n">
        <v>0.18059279</v>
      </c>
      <c r="O67" s="18" t="n">
        <v>0</v>
      </c>
      <c r="P67" s="20" t="n">
        <v>0</v>
      </c>
      <c r="Q67" s="18" t="n">
        <v>6.86308014</v>
      </c>
      <c r="R67" s="20" t="n">
        <v>0.6575055400000001</v>
      </c>
    </row>
    <row r="68" spans="1:18">
      <c r="A68" s="15" t="s">
        <v>628</v>
      </c>
      <c r="B68" s="17" t="n">
        <v>6971</v>
      </c>
      <c r="C68" s="18">
        <f>(5590.0/B68*100)</f>
        <v/>
      </c>
      <c r="D68" s="19" t="n">
        <v>1381</v>
      </c>
      <c r="E68" s="18" t="n">
        <v>82.16826739</v>
      </c>
      <c r="F68" s="20" t="n">
        <v>1.16495854</v>
      </c>
      <c r="G68" s="18" t="n">
        <v>15.21834241</v>
      </c>
      <c r="H68" s="20" t="n">
        <v>1.15404141</v>
      </c>
      <c r="I68" s="18" t="n">
        <v>0</v>
      </c>
      <c r="J68" s="20" t="n">
        <v>0</v>
      </c>
      <c r="K68" s="18" t="n">
        <v>0.0962971</v>
      </c>
      <c r="L68" s="20" t="n">
        <v>0.09615939</v>
      </c>
      <c r="M68" s="18" t="n">
        <v>0.44085899</v>
      </c>
      <c r="N68" s="20" t="n">
        <v>0.2213034</v>
      </c>
      <c r="O68" s="18" t="n">
        <v>0</v>
      </c>
      <c r="P68" s="20" t="n">
        <v>0</v>
      </c>
      <c r="Q68" s="18" t="n">
        <v>2.07623411</v>
      </c>
      <c r="R68" s="20" t="n">
        <v>0.41485153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(9439.0/B70*100)</f>
        <v/>
      </c>
      <c r="D70" s="19" t="n">
        <v>2644</v>
      </c>
      <c r="E70" s="18" t="n">
        <v>70.51276562</v>
      </c>
      <c r="F70" s="20" t="n">
        <v>0.96261762</v>
      </c>
      <c r="G70" s="18" t="n">
        <v>24.09070651</v>
      </c>
      <c r="H70" s="20" t="n">
        <v>0.91657994</v>
      </c>
      <c r="I70" s="18" t="n">
        <v>0</v>
      </c>
      <c r="J70" s="20" t="n">
        <v>0</v>
      </c>
      <c r="K70" s="18" t="n">
        <v>0.90954505</v>
      </c>
      <c r="L70" s="20" t="n">
        <v>0.19946578</v>
      </c>
      <c r="M70" s="18" t="n">
        <v>0.03877458</v>
      </c>
      <c r="N70" s="20" t="n">
        <v>0.03829615</v>
      </c>
      <c r="O70" s="18" t="n">
        <v>0</v>
      </c>
      <c r="P70" s="20" t="n">
        <v>0</v>
      </c>
      <c r="Q70" s="18" t="n">
        <v>4.44820823</v>
      </c>
      <c r="R70" s="20" t="n">
        <v>0.38450033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(4763.0/B72*100)</f>
        <v/>
      </c>
      <c r="D72" s="19" t="n">
        <v>1273</v>
      </c>
      <c r="E72" s="18" t="n">
        <v>62.18287164</v>
      </c>
      <c r="F72" s="20" t="n">
        <v>1.68161061</v>
      </c>
      <c r="G72" s="18" t="n">
        <v>36.30921351</v>
      </c>
      <c r="H72" s="20" t="n">
        <v>1.63629391</v>
      </c>
      <c r="I72" s="18" t="n">
        <v>0</v>
      </c>
      <c r="J72" s="20" t="n">
        <v>0</v>
      </c>
      <c r="K72" s="18" t="n">
        <v>0</v>
      </c>
      <c r="L72" s="20" t="n">
        <v>0</v>
      </c>
      <c r="M72" s="18" t="n">
        <v>0.17680036</v>
      </c>
      <c r="N72" s="20" t="n">
        <v>0.14213935</v>
      </c>
      <c r="O72" s="18" t="n">
        <v>0</v>
      </c>
      <c r="P72" s="20" t="n">
        <v>0</v>
      </c>
      <c r="Q72" s="18" t="n">
        <v>1.33111449</v>
      </c>
      <c r="R72" s="20" t="n">
        <v>0.39100888</v>
      </c>
    </row>
    <row r="73" spans="1:18">
      <c r="A73" s="15" t="s">
        <v>633</v>
      </c>
      <c r="B73" s="17" t="n">
        <v>6115</v>
      </c>
      <c r="C73" s="18">
        <f>(4771.0/B73*100)</f>
        <v/>
      </c>
      <c r="D73" s="19" t="n">
        <v>1344</v>
      </c>
      <c r="E73" s="18" t="n">
        <v>33.47121125</v>
      </c>
      <c r="F73" s="20" t="n">
        <v>1.37548222</v>
      </c>
      <c r="G73" s="18" t="n">
        <v>65.62146423</v>
      </c>
      <c r="H73" s="20" t="n">
        <v>1.38974373</v>
      </c>
      <c r="I73" s="18" t="n">
        <v>0</v>
      </c>
      <c r="J73" s="20" t="n">
        <v>0</v>
      </c>
      <c r="K73" s="18" t="n">
        <v>0.10444838</v>
      </c>
      <c r="L73" s="20" t="n">
        <v>0.07577393</v>
      </c>
      <c r="M73" s="18" t="n">
        <v>0.04510863</v>
      </c>
      <c r="N73" s="20" t="n">
        <v>0.04521925</v>
      </c>
      <c r="O73" s="18" t="n">
        <v>0</v>
      </c>
      <c r="P73" s="20" t="n">
        <v>0</v>
      </c>
      <c r="Q73" s="18" t="n">
        <v>0.75776751</v>
      </c>
      <c r="R73" s="20" t="n">
        <v>0.24571199</v>
      </c>
    </row>
    <row r="74" spans="1:18">
      <c r="A74" s="15" t="s">
        <v>634</v>
      </c>
      <c r="B74" s="17" t="n">
        <v>7708</v>
      </c>
      <c r="C74" s="18">
        <f>(5939.0/B74*100)</f>
        <v/>
      </c>
      <c r="D74" s="19" t="n">
        <v>1769</v>
      </c>
      <c r="E74" s="18" t="n">
        <v>40.83882953</v>
      </c>
      <c r="F74" s="20" t="n">
        <v>1.32361067</v>
      </c>
      <c r="G74" s="18" t="n">
        <v>58.50852542</v>
      </c>
      <c r="H74" s="20" t="n">
        <v>1.34097802</v>
      </c>
      <c r="I74" s="18" t="n">
        <v>0</v>
      </c>
      <c r="J74" s="20" t="n">
        <v>0</v>
      </c>
      <c r="K74" s="18" t="n">
        <v>0.12158735</v>
      </c>
      <c r="L74" s="20" t="n">
        <v>0.07105208</v>
      </c>
      <c r="M74" s="18" t="n">
        <v>0.04587876</v>
      </c>
      <c r="N74" s="20" t="n">
        <v>0.04596937</v>
      </c>
      <c r="O74" s="18" t="n">
        <v>0</v>
      </c>
      <c r="P74" s="20" t="n">
        <v>0</v>
      </c>
      <c r="Q74" s="18" t="n">
        <v>0.48517895</v>
      </c>
      <c r="R74" s="20" t="n">
        <v>0.20236149</v>
      </c>
    </row>
    <row r="75" spans="1:18">
      <c r="A75" s="15" t="s">
        <v>635</v>
      </c>
      <c r="B75" s="17" t="n">
        <v>8249</v>
      </c>
      <c r="C75" s="18">
        <f>(6405.0/B75*100)</f>
        <v/>
      </c>
      <c r="D75" s="19" t="n">
        <v>1844</v>
      </c>
      <c r="E75" s="18" t="n">
        <v>75.33318920000001</v>
      </c>
      <c r="F75" s="20" t="n">
        <v>1.66056374</v>
      </c>
      <c r="G75" s="18" t="n">
        <v>23.60337705</v>
      </c>
      <c r="H75" s="20" t="n">
        <v>1.61040335</v>
      </c>
      <c r="I75" s="18" t="n">
        <v>0</v>
      </c>
      <c r="J75" s="20" t="n">
        <v>0</v>
      </c>
      <c r="K75" s="18" t="n">
        <v>0</v>
      </c>
      <c r="L75" s="20" t="n">
        <v>0</v>
      </c>
      <c r="M75" s="18" t="n">
        <v>0.30957585</v>
      </c>
      <c r="N75" s="20" t="n">
        <v>0.16417686</v>
      </c>
      <c r="O75" s="18" t="n">
        <v>0</v>
      </c>
      <c r="P75" s="20" t="n">
        <v>0</v>
      </c>
      <c r="Q75" s="18" t="n">
        <v>0.7538579</v>
      </c>
      <c r="R75" s="20" t="n">
        <v>0.18613296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(4271.0/B77*100)</f>
        <v/>
      </c>
      <c r="D77" s="19" t="n">
        <v>1104</v>
      </c>
      <c r="E77" s="18" t="n">
        <v>84.71817571</v>
      </c>
      <c r="F77" s="20" t="n">
        <v>1.28901381</v>
      </c>
      <c r="G77" s="18" t="n">
        <v>9.57138402</v>
      </c>
      <c r="H77" s="20" t="n">
        <v>1.00791657</v>
      </c>
      <c r="I77" s="18" t="n">
        <v>0</v>
      </c>
      <c r="J77" s="20" t="n">
        <v>0</v>
      </c>
      <c r="K77" s="18" t="n">
        <v>1.72013639</v>
      </c>
      <c r="L77" s="20" t="n">
        <v>0.44616546</v>
      </c>
      <c r="M77" s="18" t="n">
        <v>0.8640002</v>
      </c>
      <c r="N77" s="20" t="n">
        <v>0.25875651</v>
      </c>
      <c r="O77" s="18" t="n">
        <v>0</v>
      </c>
      <c r="P77" s="20" t="n">
        <v>0</v>
      </c>
      <c r="Q77" s="18" t="n">
        <v>3.12630367</v>
      </c>
      <c r="R77" s="20" t="n">
        <v>0.59531446</v>
      </c>
    </row>
    <row r="78" spans="1:18">
      <c r="A78" s="15" t="s">
        <v>638</v>
      </c>
      <c r="B78" s="17" t="n">
        <v>14167</v>
      </c>
      <c r="C78" s="18">
        <f>(11066.0/B78*100)</f>
        <v/>
      </c>
      <c r="D78" s="19" t="n">
        <v>3101</v>
      </c>
      <c r="E78" s="18" t="n">
        <v>70.43544154</v>
      </c>
      <c r="F78" s="20" t="n">
        <v>0.92338544</v>
      </c>
      <c r="G78" s="18" t="n">
        <v>25.07092138</v>
      </c>
      <c r="H78" s="20" t="n">
        <v>0.97781107</v>
      </c>
      <c r="I78" s="18" t="n">
        <v>0</v>
      </c>
      <c r="J78" s="20" t="n">
        <v>0</v>
      </c>
      <c r="K78" s="18" t="n">
        <v>0.36007263</v>
      </c>
      <c r="L78" s="20" t="n">
        <v>0.10949648</v>
      </c>
      <c r="M78" s="18" t="n">
        <v>0.17073397</v>
      </c>
      <c r="N78" s="20" t="n">
        <v>0.08840879</v>
      </c>
      <c r="O78" s="18" t="n">
        <v>0</v>
      </c>
      <c r="P78" s="20" t="n">
        <v>0</v>
      </c>
      <c r="Q78" s="18" t="n">
        <v>3.96283048</v>
      </c>
      <c r="R78" s="20" t="n">
        <v>0.49058502</v>
      </c>
    </row>
    <row r="79" spans="1:18">
      <c r="A79" s="15" t="s">
        <v>639</v>
      </c>
      <c r="B79" s="17" t="n">
        <v>6062</v>
      </c>
      <c r="C79" s="18">
        <f>(4762.0/B79*100)</f>
        <v/>
      </c>
      <c r="D79" s="19" t="n">
        <v>1300</v>
      </c>
      <c r="E79" s="18" t="n">
        <v>72.08684045</v>
      </c>
      <c r="F79" s="20" t="n">
        <v>1.66744343</v>
      </c>
      <c r="G79" s="18" t="n">
        <v>21.10571703</v>
      </c>
      <c r="H79" s="20" t="n">
        <v>1.62351151</v>
      </c>
      <c r="I79" s="18" t="n">
        <v>0</v>
      </c>
      <c r="J79" s="20" t="n">
        <v>0</v>
      </c>
      <c r="K79" s="18" t="n">
        <v>0.56940928</v>
      </c>
      <c r="L79" s="20" t="n">
        <v>0.22246627</v>
      </c>
      <c r="M79" s="18" t="n">
        <v>0.06121661</v>
      </c>
      <c r="N79" s="20" t="n">
        <v>0.06156888</v>
      </c>
      <c r="O79" s="18" t="n">
        <v>0</v>
      </c>
      <c r="P79" s="20" t="n">
        <v>0</v>
      </c>
      <c r="Q79" s="18" t="n">
        <v>6.17681663</v>
      </c>
      <c r="R79" s="20" t="n">
        <v>0.80766508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(25208.0/B82*100)</f>
        <v/>
      </c>
      <c r="D82" s="19" t="n">
        <v>7122</v>
      </c>
      <c r="E82" s="18" t="n">
        <v>53.57769007</v>
      </c>
      <c r="F82" s="20" t="n">
        <v>0.85047797</v>
      </c>
      <c r="G82" s="18" t="n">
        <v>44.20208978</v>
      </c>
      <c r="H82" s="20" t="n">
        <v>0.82481939</v>
      </c>
      <c r="I82" s="18" t="n">
        <v>0</v>
      </c>
      <c r="J82" s="20" t="n">
        <v>0</v>
      </c>
      <c r="K82" s="18" t="n">
        <v>0.19361404</v>
      </c>
      <c r="L82" s="20" t="n">
        <v>0.08046233</v>
      </c>
      <c r="M82" s="18" t="n">
        <v>0.04654956</v>
      </c>
      <c r="N82" s="20" t="n">
        <v>0.0465967</v>
      </c>
      <c r="O82" s="18" t="n">
        <v>0</v>
      </c>
      <c r="P82" s="20" t="n">
        <v>0</v>
      </c>
      <c r="Q82" s="18" t="n">
        <v>1.98005654</v>
      </c>
      <c r="R82" s="20" t="n">
        <v>0.23734758</v>
      </c>
    </row>
    <row r="83" spans="1:18">
      <c r="A83" s="15" t="s">
        <v>643</v>
      </c>
      <c r="B83" s="17" t="n">
        <v>1652</v>
      </c>
      <c r="C83" s="18">
        <f>(1286.0/B83*100)</f>
        <v/>
      </c>
      <c r="D83" s="19" t="n">
        <v>366</v>
      </c>
      <c r="E83" s="18" t="n">
        <v>40.43648137</v>
      </c>
      <c r="F83" s="20" t="n">
        <v>2.90142951</v>
      </c>
      <c r="G83" s="18" t="n">
        <v>59.10077696</v>
      </c>
      <c r="H83" s="20" t="n">
        <v>3.005635</v>
      </c>
      <c r="I83" s="18" t="n">
        <v>0</v>
      </c>
      <c r="J83" s="20" t="n">
        <v>0</v>
      </c>
      <c r="K83" s="18" t="n">
        <v>0</v>
      </c>
      <c r="L83" s="20" t="n">
        <v>0</v>
      </c>
      <c r="M83" s="18" t="n">
        <v>0</v>
      </c>
      <c r="N83" s="20" t="n">
        <v>0</v>
      </c>
      <c r="O83" s="18" t="n">
        <v>0</v>
      </c>
      <c r="P83" s="20" t="n">
        <v>0</v>
      </c>
      <c r="Q83" s="18" t="n">
        <v>0.46274167</v>
      </c>
      <c r="R83" s="20" t="n">
        <v>0.31433164</v>
      </c>
    </row>
    <row r="84" spans="1:18">
      <c r="A84" s="23" t="s">
        <v>644</v>
      </c>
      <c r="B84" s="24" t="n">
        <v>1887</v>
      </c>
      <c r="C84" s="25">
        <f>(1484.0/B84*100)</f>
        <v/>
      </c>
      <c r="D84" s="19" t="n">
        <v>403</v>
      </c>
      <c r="E84" s="18" t="n">
        <v>55.77091809</v>
      </c>
      <c r="F84" s="20" t="n">
        <v>3.05688769</v>
      </c>
      <c r="G84" s="18" t="n">
        <v>43.72075179</v>
      </c>
      <c r="H84" s="20" t="n">
        <v>3.14738482</v>
      </c>
      <c r="I84" s="18" t="n">
        <v>0</v>
      </c>
      <c r="J84" s="20" t="n">
        <v>0</v>
      </c>
      <c r="K84" s="18" t="n">
        <v>0</v>
      </c>
      <c r="L84" s="20" t="n">
        <v>0</v>
      </c>
      <c r="M84" s="18" t="n">
        <v>0</v>
      </c>
      <c r="N84" s="20" t="n">
        <v>0</v>
      </c>
      <c r="O84" s="18" t="n">
        <v>0</v>
      </c>
      <c r="P84" s="20" t="n">
        <v>0</v>
      </c>
      <c r="Q84" s="18" t="n">
        <v>0.50833012</v>
      </c>
      <c r="R84" s="20" t="n">
        <v>0.40817272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3.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755</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(11372.0/B7*100)</f>
        <v/>
      </c>
      <c r="D7" s="19" t="n">
        <v>3158</v>
      </c>
      <c r="E7" s="18" t="n">
        <v>33.44421075</v>
      </c>
      <c r="F7" s="20" t="n">
        <v>0.99568654</v>
      </c>
      <c r="G7" s="18" t="n">
        <v>33.17828412</v>
      </c>
      <c r="H7" s="20" t="n">
        <v>1.05935807</v>
      </c>
      <c r="I7" s="18" t="n">
        <v>31.72921284</v>
      </c>
      <c r="J7" s="20" t="n">
        <v>1.10160764</v>
      </c>
      <c r="K7" s="18" t="n">
        <v>0</v>
      </c>
      <c r="L7" s="20" t="n">
        <v>0</v>
      </c>
      <c r="M7" s="18" t="n">
        <v>0.14059171</v>
      </c>
      <c r="N7" s="20" t="n">
        <v>0.06691306</v>
      </c>
      <c r="O7" s="18" t="n">
        <v>0</v>
      </c>
      <c r="P7" s="20" t="n">
        <v>0</v>
      </c>
      <c r="Q7" s="18" t="n">
        <v>0</v>
      </c>
      <c r="R7" s="20" t="n">
        <v>0</v>
      </c>
      <c r="S7" s="18" t="n">
        <v>1.50770057</v>
      </c>
      <c r="T7" s="20" t="n">
        <v>0.23726914</v>
      </c>
    </row>
    <row r="8" spans="1:20">
      <c r="A8" s="15" t="s">
        <v>566</v>
      </c>
      <c r="B8" s="17" t="n">
        <v>7007</v>
      </c>
      <c r="C8" s="18">
        <f>(5447.0/B8*100)</f>
        <v/>
      </c>
      <c r="D8" s="19" t="n">
        <v>1560</v>
      </c>
      <c r="E8" s="18" t="n">
        <v>36.0353676</v>
      </c>
      <c r="F8" s="20" t="n">
        <v>1.41124284</v>
      </c>
      <c r="G8" s="18" t="n">
        <v>40.56696388</v>
      </c>
      <c r="H8" s="20" t="n">
        <v>1.40487002</v>
      </c>
      <c r="I8" s="18" t="n">
        <v>21.13772198</v>
      </c>
      <c r="J8" s="20" t="n">
        <v>1.34724823</v>
      </c>
      <c r="K8" s="18" t="n">
        <v>0</v>
      </c>
      <c r="L8" s="20" t="n">
        <v>0</v>
      </c>
      <c r="M8" s="18" t="n">
        <v>0.16484236</v>
      </c>
      <c r="N8" s="20" t="n">
        <v>0.12056695</v>
      </c>
      <c r="O8" s="18" t="n">
        <v>0</v>
      </c>
      <c r="P8" s="20" t="n">
        <v>0</v>
      </c>
      <c r="Q8" s="18" t="n">
        <v>0</v>
      </c>
      <c r="R8" s="20" t="n">
        <v>0</v>
      </c>
      <c r="S8" s="18" t="n">
        <v>2.09510417</v>
      </c>
      <c r="T8" s="20" t="n">
        <v>0.34697349</v>
      </c>
    </row>
    <row r="9" spans="1:20">
      <c r="A9" s="15" t="s">
        <v>567</v>
      </c>
      <c r="B9" s="17" t="n">
        <v>9651</v>
      </c>
      <c r="C9" s="18">
        <f>(7572.0/B9*100)</f>
        <v/>
      </c>
      <c r="D9" s="19" t="n">
        <v>2079</v>
      </c>
      <c r="E9" s="18" t="n">
        <v>30.44666125</v>
      </c>
      <c r="F9" s="20" t="n">
        <v>1.20627443</v>
      </c>
      <c r="G9" s="18" t="n">
        <v>32.00288349</v>
      </c>
      <c r="H9" s="20" t="n">
        <v>1.17729616</v>
      </c>
      <c r="I9" s="18" t="n">
        <v>35.18829935</v>
      </c>
      <c r="J9" s="20" t="n">
        <v>1.23726232</v>
      </c>
      <c r="K9" s="18" t="n">
        <v>0</v>
      </c>
      <c r="L9" s="20" t="n">
        <v>0</v>
      </c>
      <c r="M9" s="18" t="n">
        <v>0.15244194</v>
      </c>
      <c r="N9" s="20" t="n">
        <v>0.08781058999999999</v>
      </c>
      <c r="O9" s="18" t="n">
        <v>0</v>
      </c>
      <c r="P9" s="20" t="n">
        <v>0</v>
      </c>
      <c r="Q9" s="18" t="n">
        <v>0</v>
      </c>
      <c r="R9" s="20" t="n">
        <v>0</v>
      </c>
      <c r="S9" s="18" t="n">
        <v>2.20971398</v>
      </c>
      <c r="T9" s="20" t="n">
        <v>0.41639034</v>
      </c>
    </row>
    <row r="10" spans="1:20">
      <c r="A10" s="15" t="s">
        <v>568</v>
      </c>
      <c r="B10" s="17" t="n">
        <v>20058</v>
      </c>
      <c r="C10" s="18">
        <f>(15695.0/B10*100)</f>
        <v/>
      </c>
      <c r="D10" s="19" t="n">
        <v>4363</v>
      </c>
      <c r="E10" s="18" t="n">
        <v>28.68449601</v>
      </c>
      <c r="F10" s="20" t="n">
        <v>1.14603617</v>
      </c>
      <c r="G10" s="18" t="n">
        <v>33.37500532</v>
      </c>
      <c r="H10" s="20" t="n">
        <v>0.97839356</v>
      </c>
      <c r="I10" s="18" t="n">
        <v>36.96882731</v>
      </c>
      <c r="J10" s="20" t="n">
        <v>1.12398886</v>
      </c>
      <c r="K10" s="18" t="n">
        <v>0</v>
      </c>
      <c r="L10" s="20" t="n">
        <v>0</v>
      </c>
      <c r="M10" s="18" t="n">
        <v>0.29503593</v>
      </c>
      <c r="N10" s="20" t="n">
        <v>0.11433829</v>
      </c>
      <c r="O10" s="18" t="n">
        <v>0</v>
      </c>
      <c r="P10" s="20" t="n">
        <v>0</v>
      </c>
      <c r="Q10" s="18" t="n">
        <v>0</v>
      </c>
      <c r="R10" s="20" t="n">
        <v>0</v>
      </c>
      <c r="S10" s="18" t="n">
        <v>0.67663543</v>
      </c>
      <c r="T10" s="20" t="n">
        <v>0.15798908</v>
      </c>
    </row>
    <row r="11" spans="1:20">
      <c r="A11" s="15" t="s">
        <v>569</v>
      </c>
      <c r="B11" s="17" t="n">
        <v>7053</v>
      </c>
      <c r="C11" s="18">
        <f>(5565.0/B11*100)</f>
        <v/>
      </c>
      <c r="D11" s="19" t="n">
        <v>1488</v>
      </c>
      <c r="E11" s="18" t="n">
        <v>43.57641432</v>
      </c>
      <c r="F11" s="20" t="n">
        <v>1.67603056</v>
      </c>
      <c r="G11" s="18" t="n">
        <v>36.28490752</v>
      </c>
      <c r="H11" s="20" t="n">
        <v>1.50756439</v>
      </c>
      <c r="I11" s="18" t="n">
        <v>16.25152279</v>
      </c>
      <c r="J11" s="20" t="n">
        <v>1.22037529</v>
      </c>
      <c r="K11" s="18" t="n">
        <v>0</v>
      </c>
      <c r="L11" s="20" t="n">
        <v>0</v>
      </c>
      <c r="M11" s="18" t="n">
        <v>0.43578376</v>
      </c>
      <c r="N11" s="20" t="n">
        <v>0.17887558</v>
      </c>
      <c r="O11" s="18" t="n">
        <v>0</v>
      </c>
      <c r="P11" s="20" t="n">
        <v>0</v>
      </c>
      <c r="Q11" s="18" t="n">
        <v>0</v>
      </c>
      <c r="R11" s="20" t="n">
        <v>0</v>
      </c>
      <c r="S11" s="18" t="n">
        <v>3.45137162</v>
      </c>
      <c r="T11" s="20" t="n">
        <v>0.58334036</v>
      </c>
    </row>
    <row r="12" spans="1:20">
      <c r="A12" s="15" t="s">
        <v>570</v>
      </c>
      <c r="B12" s="17" t="n">
        <v>6894</v>
      </c>
      <c r="C12" s="18">
        <f>(5424.0/B12*100)</f>
        <v/>
      </c>
      <c r="D12" s="19" t="n">
        <v>1470</v>
      </c>
      <c r="E12" s="18" t="n">
        <v>32.4264834</v>
      </c>
      <c r="F12" s="20" t="n">
        <v>1.28903009</v>
      </c>
      <c r="G12" s="18" t="n">
        <v>34.19919149</v>
      </c>
      <c r="H12" s="20" t="n">
        <v>1.37071072</v>
      </c>
      <c r="I12" s="18" t="n">
        <v>31.67536517</v>
      </c>
      <c r="J12" s="20" t="n">
        <v>1.20296103</v>
      </c>
      <c r="K12" s="18" t="n">
        <v>0</v>
      </c>
      <c r="L12" s="20" t="n">
        <v>0</v>
      </c>
      <c r="M12" s="18" t="n">
        <v>0.06372191000000001</v>
      </c>
      <c r="N12" s="20" t="n">
        <v>0.06251693</v>
      </c>
      <c r="O12" s="18" t="n">
        <v>0</v>
      </c>
      <c r="P12" s="20" t="n">
        <v>0</v>
      </c>
      <c r="Q12" s="18" t="n">
        <v>0</v>
      </c>
      <c r="R12" s="20" t="n">
        <v>0</v>
      </c>
      <c r="S12" s="18" t="n">
        <v>1.63523803</v>
      </c>
      <c r="T12" s="20" t="n">
        <v>0.42145359</v>
      </c>
    </row>
    <row r="13" spans="1:20">
      <c r="A13" s="15" t="s">
        <v>571</v>
      </c>
      <c r="B13" s="17" t="n">
        <v>7161</v>
      </c>
      <c r="C13" s="18">
        <f>(5701.0/B13*100)</f>
        <v/>
      </c>
      <c r="D13" s="19" t="n">
        <v>1460</v>
      </c>
      <c r="E13" s="18" t="n">
        <v>34.48724523</v>
      </c>
      <c r="F13" s="20" t="n">
        <v>1.46332427</v>
      </c>
      <c r="G13" s="18" t="n">
        <v>37.38865854</v>
      </c>
      <c r="H13" s="20" t="n">
        <v>1.59457278</v>
      </c>
      <c r="I13" s="18" t="n">
        <v>26.05194326</v>
      </c>
      <c r="J13" s="20" t="n">
        <v>1.58000095</v>
      </c>
      <c r="K13" s="18" t="n">
        <v>0</v>
      </c>
      <c r="L13" s="20" t="n">
        <v>0</v>
      </c>
      <c r="M13" s="18" t="n">
        <v>0.6640643899999999</v>
      </c>
      <c r="N13" s="20" t="n">
        <v>0.25280286</v>
      </c>
      <c r="O13" s="18" t="n">
        <v>0</v>
      </c>
      <c r="P13" s="20" t="n">
        <v>0</v>
      </c>
      <c r="Q13" s="18" t="n">
        <v>0</v>
      </c>
      <c r="R13" s="20" t="n">
        <v>0</v>
      </c>
      <c r="S13" s="18" t="n">
        <v>1.40808859</v>
      </c>
      <c r="T13" s="20" t="n">
        <v>0.44382711</v>
      </c>
    </row>
    <row r="14" spans="1:20">
      <c r="A14" s="15" t="s">
        <v>572</v>
      </c>
      <c r="B14" s="17" t="n">
        <v>5587</v>
      </c>
      <c r="C14" s="18">
        <f>(4395.0/B14*100)</f>
        <v/>
      </c>
      <c r="D14" s="19" t="n">
        <v>1192</v>
      </c>
      <c r="E14" s="18" t="n">
        <v>26.98159853</v>
      </c>
      <c r="F14" s="20" t="n">
        <v>1.40089473</v>
      </c>
      <c r="G14" s="18" t="n">
        <v>30.24924074</v>
      </c>
      <c r="H14" s="20" t="n">
        <v>1.29813416</v>
      </c>
      <c r="I14" s="18" t="n">
        <v>42.02111149</v>
      </c>
      <c r="J14" s="20" t="n">
        <v>1.43487997</v>
      </c>
      <c r="K14" s="18" t="n">
        <v>0</v>
      </c>
      <c r="L14" s="20" t="n">
        <v>0</v>
      </c>
      <c r="M14" s="18" t="n">
        <v>0.0718582</v>
      </c>
      <c r="N14" s="20" t="n">
        <v>0.07205607</v>
      </c>
      <c r="O14" s="18" t="n">
        <v>0</v>
      </c>
      <c r="P14" s="20" t="n">
        <v>0</v>
      </c>
      <c r="Q14" s="18" t="n">
        <v>0</v>
      </c>
      <c r="R14" s="20" t="n">
        <v>0</v>
      </c>
      <c r="S14" s="18" t="n">
        <v>0.67619104</v>
      </c>
      <c r="T14" s="20" t="n">
        <v>0.30845595</v>
      </c>
    </row>
    <row r="15" spans="1:20">
      <c r="A15" s="15" t="s">
        <v>573</v>
      </c>
      <c r="B15" s="17" t="n">
        <v>5882</v>
      </c>
      <c r="C15" s="18">
        <f>(4560.0/B15*100)</f>
        <v/>
      </c>
      <c r="D15" s="19" t="n">
        <v>1322</v>
      </c>
      <c r="E15" s="18" t="n">
        <v>31.85829677</v>
      </c>
      <c r="F15" s="20" t="n">
        <v>1.40156725</v>
      </c>
      <c r="G15" s="18" t="n">
        <v>36.74751955</v>
      </c>
      <c r="H15" s="20" t="n">
        <v>1.5154075</v>
      </c>
      <c r="I15" s="18" t="n">
        <v>30.00405115</v>
      </c>
      <c r="J15" s="20" t="n">
        <v>1.42700045</v>
      </c>
      <c r="K15" s="18" t="n">
        <v>0</v>
      </c>
      <c r="L15" s="20" t="n">
        <v>0</v>
      </c>
      <c r="M15" s="18" t="n">
        <v>0</v>
      </c>
      <c r="N15" s="20" t="n">
        <v>0</v>
      </c>
      <c r="O15" s="18" t="n">
        <v>0</v>
      </c>
      <c r="P15" s="20" t="n">
        <v>0</v>
      </c>
      <c r="Q15" s="18" t="n">
        <v>0</v>
      </c>
      <c r="R15" s="20" t="n">
        <v>0</v>
      </c>
      <c r="S15" s="18" t="n">
        <v>1.39013254</v>
      </c>
      <c r="T15" s="20" t="n">
        <v>0.36193426</v>
      </c>
    </row>
    <row r="16" spans="1:20">
      <c r="A16" s="15" t="s">
        <v>574</v>
      </c>
      <c r="B16" s="17" t="n">
        <v>6108</v>
      </c>
      <c r="C16" s="18">
        <f>(4741.0/B16*100)</f>
        <v/>
      </c>
      <c r="D16" s="19" t="n">
        <v>1367</v>
      </c>
      <c r="E16" s="18" t="n">
        <v>27.70316565</v>
      </c>
      <c r="F16" s="20" t="n">
        <v>1.08433303</v>
      </c>
      <c r="G16" s="18" t="n">
        <v>30.49629082</v>
      </c>
      <c r="H16" s="20" t="n">
        <v>1.26341725</v>
      </c>
      <c r="I16" s="18" t="n">
        <v>37.52977025</v>
      </c>
      <c r="J16" s="20" t="n">
        <v>1.19765284</v>
      </c>
      <c r="K16" s="18" t="n">
        <v>0</v>
      </c>
      <c r="L16" s="20" t="n">
        <v>0</v>
      </c>
      <c r="M16" s="18" t="n">
        <v>0.42594547</v>
      </c>
      <c r="N16" s="20" t="n">
        <v>0.16962187</v>
      </c>
      <c r="O16" s="18" t="n">
        <v>0</v>
      </c>
      <c r="P16" s="20" t="n">
        <v>0</v>
      </c>
      <c r="Q16" s="18" t="n">
        <v>0</v>
      </c>
      <c r="R16" s="20" t="n">
        <v>0</v>
      </c>
      <c r="S16" s="18" t="n">
        <v>3.84482781</v>
      </c>
      <c r="T16" s="20" t="n">
        <v>0.46873837</v>
      </c>
    </row>
    <row r="17" spans="1:20">
      <c r="A17" s="15" t="s">
        <v>575</v>
      </c>
      <c r="B17" s="17" t="n">
        <v>6504</v>
      </c>
      <c r="C17" s="18">
        <f>(5151.0/B17*100)</f>
        <v/>
      </c>
      <c r="D17" s="19" t="n">
        <v>1353</v>
      </c>
      <c r="E17" s="18" t="n">
        <v>31.10277771</v>
      </c>
      <c r="F17" s="20" t="n">
        <v>1.35123383</v>
      </c>
      <c r="G17" s="18" t="n">
        <v>35.63187262</v>
      </c>
      <c r="H17" s="20" t="n">
        <v>1.33250212</v>
      </c>
      <c r="I17" s="18" t="n">
        <v>31.03496955</v>
      </c>
      <c r="J17" s="20" t="n">
        <v>1.46253837</v>
      </c>
      <c r="K17" s="18" t="n">
        <v>0</v>
      </c>
      <c r="L17" s="20" t="n">
        <v>0</v>
      </c>
      <c r="M17" s="18" t="n">
        <v>0.1647715</v>
      </c>
      <c r="N17" s="20" t="n">
        <v>0.12538191</v>
      </c>
      <c r="O17" s="18" t="n">
        <v>0</v>
      </c>
      <c r="P17" s="20" t="n">
        <v>0</v>
      </c>
      <c r="Q17" s="18" t="n">
        <v>0</v>
      </c>
      <c r="R17" s="20" t="n">
        <v>0</v>
      </c>
      <c r="S17" s="18" t="n">
        <v>2.06560862</v>
      </c>
      <c r="T17" s="20" t="n">
        <v>0.38809741</v>
      </c>
    </row>
    <row r="18" spans="1:20">
      <c r="A18" s="15" t="s">
        <v>576</v>
      </c>
      <c r="B18" s="17" t="n">
        <v>5532</v>
      </c>
      <c r="C18" s="18">
        <f>(4314.0/B18*100)</f>
        <v/>
      </c>
      <c r="D18" s="19" t="n">
        <v>1218</v>
      </c>
      <c r="E18" s="18" t="n">
        <v>43.63449532</v>
      </c>
      <c r="F18" s="20" t="n">
        <v>1.67746847</v>
      </c>
      <c r="G18" s="18" t="n">
        <v>34.30628723</v>
      </c>
      <c r="H18" s="20" t="n">
        <v>1.36080263</v>
      </c>
      <c r="I18" s="18" t="n">
        <v>19.60355147</v>
      </c>
      <c r="J18" s="20" t="n">
        <v>1.55259945</v>
      </c>
      <c r="K18" s="18" t="n">
        <v>0</v>
      </c>
      <c r="L18" s="20" t="n">
        <v>0</v>
      </c>
      <c r="M18" s="18" t="n">
        <v>0.43485483</v>
      </c>
      <c r="N18" s="20" t="n">
        <v>0.20113423</v>
      </c>
      <c r="O18" s="18" t="n">
        <v>0</v>
      </c>
      <c r="P18" s="20" t="n">
        <v>0</v>
      </c>
      <c r="Q18" s="18" t="n">
        <v>0</v>
      </c>
      <c r="R18" s="20" t="n">
        <v>0</v>
      </c>
      <c r="S18" s="18" t="n">
        <v>2.02081114</v>
      </c>
      <c r="T18" s="20" t="n">
        <v>0.366034</v>
      </c>
    </row>
    <row r="19" spans="1:20">
      <c r="A19" s="15" t="s">
        <v>577</v>
      </c>
      <c r="B19" s="17" t="n">
        <v>5658</v>
      </c>
      <c r="C19" s="18">
        <f>(4452.0/B19*100)</f>
        <v/>
      </c>
      <c r="D19" s="19" t="n">
        <v>1206</v>
      </c>
      <c r="E19" s="18" t="n">
        <v>43.37561876</v>
      </c>
      <c r="F19" s="20" t="n">
        <v>1.57047321</v>
      </c>
      <c r="G19" s="18" t="n">
        <v>30.55665986</v>
      </c>
      <c r="H19" s="20" t="n">
        <v>1.26091726</v>
      </c>
      <c r="I19" s="18" t="n">
        <v>25.22922687</v>
      </c>
      <c r="J19" s="20" t="n">
        <v>1.2727278</v>
      </c>
      <c r="K19" s="18" t="n">
        <v>0</v>
      </c>
      <c r="L19" s="20" t="n">
        <v>0</v>
      </c>
      <c r="M19" s="18" t="n">
        <v>0</v>
      </c>
      <c r="N19" s="20" t="n">
        <v>0</v>
      </c>
      <c r="O19" s="18" t="n">
        <v>0</v>
      </c>
      <c r="P19" s="20" t="n">
        <v>0</v>
      </c>
      <c r="Q19" s="18" t="n">
        <v>0</v>
      </c>
      <c r="R19" s="20" t="n">
        <v>0</v>
      </c>
      <c r="S19" s="18" t="n">
        <v>0.83849451</v>
      </c>
      <c r="T19" s="20" t="n">
        <v>0.29529442</v>
      </c>
    </row>
    <row r="20" spans="1:20">
      <c r="A20" s="15" t="s">
        <v>578</v>
      </c>
      <c r="B20" s="17" t="n">
        <v>3371</v>
      </c>
      <c r="C20" s="18">
        <f>(2642.0/B20*100)</f>
        <v/>
      </c>
      <c r="D20" s="19" t="n">
        <v>729</v>
      </c>
      <c r="E20" s="18" t="n">
        <v>40.55928692</v>
      </c>
      <c r="F20" s="20" t="n">
        <v>1.94406912</v>
      </c>
      <c r="G20" s="18" t="n">
        <v>36.5597737</v>
      </c>
      <c r="H20" s="20" t="n">
        <v>1.74568038</v>
      </c>
      <c r="I20" s="18" t="n">
        <v>20.32861813</v>
      </c>
      <c r="J20" s="20" t="n">
        <v>1.52235219</v>
      </c>
      <c r="K20" s="18" t="n">
        <v>0</v>
      </c>
      <c r="L20" s="20" t="n">
        <v>0</v>
      </c>
      <c r="M20" s="18" t="n">
        <v>0.54033661</v>
      </c>
      <c r="N20" s="20" t="n">
        <v>0.26266618</v>
      </c>
      <c r="O20" s="18" t="n">
        <v>0</v>
      </c>
      <c r="P20" s="20" t="n">
        <v>0</v>
      </c>
      <c r="Q20" s="18" t="n">
        <v>0</v>
      </c>
      <c r="R20" s="20" t="n">
        <v>0</v>
      </c>
      <c r="S20" s="18" t="n">
        <v>2.01198465</v>
      </c>
      <c r="T20" s="20" t="n">
        <v>0.6495957</v>
      </c>
    </row>
    <row r="21" spans="1:20">
      <c r="A21" s="15" t="s">
        <v>579</v>
      </c>
      <c r="B21" s="17" t="n">
        <v>5741</v>
      </c>
      <c r="C21" s="18">
        <f>(4465.0/B21*100)</f>
        <v/>
      </c>
      <c r="D21" s="19" t="n">
        <v>1276</v>
      </c>
      <c r="E21" s="18" t="n">
        <v>35.78683196</v>
      </c>
      <c r="F21" s="20" t="n">
        <v>1.44457043</v>
      </c>
      <c r="G21" s="18" t="n">
        <v>36.00685385</v>
      </c>
      <c r="H21" s="20" t="n">
        <v>1.39478584</v>
      </c>
      <c r="I21" s="18" t="n">
        <v>26.72915957</v>
      </c>
      <c r="J21" s="20" t="n">
        <v>1.5094298</v>
      </c>
      <c r="K21" s="18" t="n">
        <v>0</v>
      </c>
      <c r="L21" s="20" t="n">
        <v>0</v>
      </c>
      <c r="M21" s="18" t="n">
        <v>0</v>
      </c>
      <c r="N21" s="20" t="n">
        <v>0</v>
      </c>
      <c r="O21" s="18" t="n">
        <v>0</v>
      </c>
      <c r="P21" s="20" t="n">
        <v>0</v>
      </c>
      <c r="Q21" s="18" t="n">
        <v>0</v>
      </c>
      <c r="R21" s="20" t="n">
        <v>0</v>
      </c>
      <c r="S21" s="18" t="n">
        <v>1.47715462</v>
      </c>
      <c r="T21" s="20" t="n">
        <v>0.32647487</v>
      </c>
    </row>
    <row r="22" spans="1:20">
      <c r="A22" s="15" t="s">
        <v>580</v>
      </c>
      <c r="B22" s="17" t="n">
        <v>6598</v>
      </c>
      <c r="C22" s="18">
        <f>(5166.0/B22*100)</f>
        <v/>
      </c>
      <c r="D22" s="19" t="n">
        <v>1432</v>
      </c>
      <c r="E22" s="18" t="n">
        <v>38.32244227</v>
      </c>
      <c r="F22" s="20" t="n">
        <v>1.54119307</v>
      </c>
      <c r="G22" s="18" t="n">
        <v>33.03219848</v>
      </c>
      <c r="H22" s="20" t="n">
        <v>1.12327084</v>
      </c>
      <c r="I22" s="18" t="n">
        <v>24.78711737</v>
      </c>
      <c r="J22" s="20" t="n">
        <v>1.44793462</v>
      </c>
      <c r="K22" s="18" t="n">
        <v>0</v>
      </c>
      <c r="L22" s="20" t="n">
        <v>0</v>
      </c>
      <c r="M22" s="18" t="n">
        <v>0.6090288</v>
      </c>
      <c r="N22" s="20" t="n">
        <v>0.17671889</v>
      </c>
      <c r="O22" s="18" t="n">
        <v>0</v>
      </c>
      <c r="P22" s="20" t="n">
        <v>0</v>
      </c>
      <c r="Q22" s="18" t="n">
        <v>0</v>
      </c>
      <c r="R22" s="20" t="n">
        <v>0</v>
      </c>
      <c r="S22" s="18" t="n">
        <v>3.24921308</v>
      </c>
      <c r="T22" s="20" t="n">
        <v>0.66090012</v>
      </c>
    </row>
    <row r="23" spans="1:20">
      <c r="A23" s="15" t="s">
        <v>581</v>
      </c>
      <c r="B23" s="17" t="n">
        <v>11583</v>
      </c>
      <c r="C23" s="18">
        <f>(8976.0/B23*100)</f>
        <v/>
      </c>
      <c r="D23" s="19" t="n">
        <v>2607</v>
      </c>
      <c r="E23" s="18" t="n">
        <v>35.52753245</v>
      </c>
      <c r="F23" s="20" t="n">
        <v>1.37881516</v>
      </c>
      <c r="G23" s="18" t="n">
        <v>34.02953998</v>
      </c>
      <c r="H23" s="20" t="n">
        <v>1.35807751</v>
      </c>
      <c r="I23" s="18" t="n">
        <v>27.22412793</v>
      </c>
      <c r="J23" s="20" t="n">
        <v>1.38712264</v>
      </c>
      <c r="K23" s="18" t="n">
        <v>0</v>
      </c>
      <c r="L23" s="20" t="n">
        <v>0</v>
      </c>
      <c r="M23" s="18" t="n">
        <v>0.48209769</v>
      </c>
      <c r="N23" s="20" t="n">
        <v>0.17564588</v>
      </c>
      <c r="O23" s="18" t="n">
        <v>0</v>
      </c>
      <c r="P23" s="20" t="n">
        <v>0</v>
      </c>
      <c r="Q23" s="18" t="n">
        <v>0</v>
      </c>
      <c r="R23" s="20" t="n">
        <v>0</v>
      </c>
      <c r="S23" s="18" t="n">
        <v>2.73670195</v>
      </c>
      <c r="T23" s="20" t="n">
        <v>0.40541182</v>
      </c>
    </row>
    <row r="24" spans="1:20">
      <c r="A24" s="15" t="s">
        <v>582</v>
      </c>
      <c r="B24" s="17" t="n">
        <v>6647</v>
      </c>
      <c r="C24" s="18">
        <f>(5170.0/B24*100)</f>
        <v/>
      </c>
      <c r="D24" s="19" t="n">
        <v>1477</v>
      </c>
      <c r="E24" s="18" t="n">
        <v>26.91757524</v>
      </c>
      <c r="F24" s="20" t="n">
        <v>1.35502308</v>
      </c>
      <c r="G24" s="18" t="n">
        <v>29.40642579</v>
      </c>
      <c r="H24" s="20" t="n">
        <v>1.20268217</v>
      </c>
      <c r="I24" s="18" t="n">
        <v>42.45407056</v>
      </c>
      <c r="J24" s="20" t="n">
        <v>1.43294515</v>
      </c>
      <c r="K24" s="18" t="n">
        <v>0</v>
      </c>
      <c r="L24" s="20" t="n">
        <v>0</v>
      </c>
      <c r="M24" s="18" t="n">
        <v>0</v>
      </c>
      <c r="N24" s="20" t="n">
        <v>0</v>
      </c>
      <c r="O24" s="18" t="n">
        <v>0</v>
      </c>
      <c r="P24" s="20" t="n">
        <v>0</v>
      </c>
      <c r="Q24" s="18" t="n">
        <v>0</v>
      </c>
      <c r="R24" s="20" t="n">
        <v>0</v>
      </c>
      <c r="S24" s="18" t="n">
        <v>1.22192841</v>
      </c>
      <c r="T24" s="20" t="n">
        <v>0.28941565</v>
      </c>
    </row>
    <row r="25" spans="1:20">
      <c r="A25" s="15" t="s">
        <v>583</v>
      </c>
      <c r="B25" s="17" t="n">
        <v>5581</v>
      </c>
      <c r="C25" s="18">
        <f>(4356.0/B25*100)</f>
        <v/>
      </c>
      <c r="D25" s="19" t="n">
        <v>1225</v>
      </c>
      <c r="E25" s="18" t="n">
        <v>34.3022126</v>
      </c>
      <c r="F25" s="20" t="n">
        <v>1.75134003</v>
      </c>
      <c r="G25" s="18" t="n">
        <v>35.27658763</v>
      </c>
      <c r="H25" s="20" t="n">
        <v>1.42643922</v>
      </c>
      <c r="I25" s="18" t="n">
        <v>29.59048391</v>
      </c>
      <c r="J25" s="20" t="n">
        <v>1.68277512</v>
      </c>
      <c r="K25" s="18" t="n">
        <v>0</v>
      </c>
      <c r="L25" s="20" t="n">
        <v>0</v>
      </c>
      <c r="M25" s="18" t="n">
        <v>0</v>
      </c>
      <c r="N25" s="20" t="n">
        <v>0</v>
      </c>
      <c r="O25" s="18" t="n">
        <v>0</v>
      </c>
      <c r="P25" s="20" t="n">
        <v>0</v>
      </c>
      <c r="Q25" s="18" t="n">
        <v>0</v>
      </c>
      <c r="R25" s="20" t="n">
        <v>0</v>
      </c>
      <c r="S25" s="18" t="n">
        <v>0.83071587</v>
      </c>
      <c r="T25" s="20" t="n">
        <v>0.28789482</v>
      </c>
    </row>
    <row r="26" spans="1:20">
      <c r="A26" s="15" t="s">
        <v>584</v>
      </c>
      <c r="B26" s="17" t="n">
        <v>4869</v>
      </c>
      <c r="C26" s="18">
        <f>(3813.0/B26*100)</f>
        <v/>
      </c>
      <c r="D26" s="19" t="n">
        <v>1056</v>
      </c>
      <c r="E26" s="18" t="n">
        <v>34.35370109</v>
      </c>
      <c r="F26" s="20" t="n">
        <v>1.82301501</v>
      </c>
      <c r="G26" s="18" t="n">
        <v>37.55366134</v>
      </c>
      <c r="H26" s="20" t="n">
        <v>1.60775511</v>
      </c>
      <c r="I26" s="18" t="n">
        <v>26.94752376</v>
      </c>
      <c r="J26" s="20" t="n">
        <v>1.70647591</v>
      </c>
      <c r="K26" s="18" t="n">
        <v>0</v>
      </c>
      <c r="L26" s="20" t="n">
        <v>0</v>
      </c>
      <c r="M26" s="18" t="n">
        <v>0</v>
      </c>
      <c r="N26" s="20" t="n">
        <v>0</v>
      </c>
      <c r="O26" s="18" t="n">
        <v>0</v>
      </c>
      <c r="P26" s="20" t="n">
        <v>0</v>
      </c>
      <c r="Q26" s="18" t="n">
        <v>0</v>
      </c>
      <c r="R26" s="20" t="n">
        <v>0</v>
      </c>
      <c r="S26" s="18" t="n">
        <v>1.14511381</v>
      </c>
      <c r="T26" s="20" t="n">
        <v>0.45783429</v>
      </c>
    </row>
    <row r="27" spans="1:20">
      <c r="A27" s="15" t="s">
        <v>585</v>
      </c>
      <c r="B27" s="17" t="n">
        <v>5299</v>
      </c>
      <c r="C27" s="18">
        <f>(4107.0/B27*100)</f>
        <v/>
      </c>
      <c r="D27" s="19" t="n">
        <v>1192</v>
      </c>
      <c r="E27" s="18" t="n">
        <v>37.99933831</v>
      </c>
      <c r="F27" s="20" t="n">
        <v>1.29918974</v>
      </c>
      <c r="G27" s="18" t="n">
        <v>37.85593928</v>
      </c>
      <c r="H27" s="20" t="n">
        <v>1.15457544</v>
      </c>
      <c r="I27" s="18" t="n">
        <v>21.00714624</v>
      </c>
      <c r="J27" s="20" t="n">
        <v>1.16609759</v>
      </c>
      <c r="K27" s="18" t="n">
        <v>0</v>
      </c>
      <c r="L27" s="20" t="n">
        <v>0</v>
      </c>
      <c r="M27" s="18" t="n">
        <v>0.34892427</v>
      </c>
      <c r="N27" s="20" t="n">
        <v>0.17285633</v>
      </c>
      <c r="O27" s="18" t="n">
        <v>0</v>
      </c>
      <c r="P27" s="20" t="n">
        <v>0</v>
      </c>
      <c r="Q27" s="18" t="n">
        <v>0</v>
      </c>
      <c r="R27" s="20" t="n">
        <v>0</v>
      </c>
      <c r="S27" s="18" t="n">
        <v>2.78865191</v>
      </c>
      <c r="T27" s="20" t="n">
        <v>0.49545177</v>
      </c>
    </row>
    <row r="28" spans="1:20">
      <c r="A28" s="15" t="s">
        <v>586</v>
      </c>
      <c r="B28" s="17" t="n">
        <v>7568</v>
      </c>
      <c r="C28" s="18">
        <f>(5998.0/B28*100)</f>
        <v/>
      </c>
      <c r="D28" s="19" t="n">
        <v>1570</v>
      </c>
      <c r="E28" s="18" t="n">
        <v>54.79673599</v>
      </c>
      <c r="F28" s="20" t="n">
        <v>1.57293924</v>
      </c>
      <c r="G28" s="18" t="n">
        <v>32.06201367</v>
      </c>
      <c r="H28" s="20" t="n">
        <v>1.27744302</v>
      </c>
      <c r="I28" s="18" t="n">
        <v>11.01852647</v>
      </c>
      <c r="J28" s="20" t="n">
        <v>0.92323619</v>
      </c>
      <c r="K28" s="18" t="n">
        <v>0</v>
      </c>
      <c r="L28" s="20" t="n">
        <v>0</v>
      </c>
      <c r="M28" s="18" t="n">
        <v>0.23385992</v>
      </c>
      <c r="N28" s="20" t="n">
        <v>0.12247312</v>
      </c>
      <c r="O28" s="18" t="n">
        <v>0</v>
      </c>
      <c r="P28" s="20" t="n">
        <v>0</v>
      </c>
      <c r="Q28" s="18" t="n">
        <v>0</v>
      </c>
      <c r="R28" s="20" t="n">
        <v>0</v>
      </c>
      <c r="S28" s="18" t="n">
        <v>1.88886394</v>
      </c>
      <c r="T28" s="20" t="n">
        <v>0.46220924</v>
      </c>
    </row>
    <row r="29" spans="1:20">
      <c r="A29" s="15" t="s">
        <v>587</v>
      </c>
      <c r="B29" s="17" t="n">
        <v>5385</v>
      </c>
      <c r="C29" s="18">
        <f>(4277.0/B29*100)</f>
        <v/>
      </c>
      <c r="D29" s="19" t="n">
        <v>1108</v>
      </c>
      <c r="E29" s="18" t="n">
        <v>33.37981802</v>
      </c>
      <c r="F29" s="20" t="n">
        <v>1.67961589</v>
      </c>
      <c r="G29" s="18" t="n">
        <v>38.69993416</v>
      </c>
      <c r="H29" s="20" t="n">
        <v>1.41243229</v>
      </c>
      <c r="I29" s="18" t="n">
        <v>26.68381158</v>
      </c>
      <c r="J29" s="20" t="n">
        <v>1.42023787</v>
      </c>
      <c r="K29" s="18" t="n">
        <v>0</v>
      </c>
      <c r="L29" s="20" t="n">
        <v>0</v>
      </c>
      <c r="M29" s="18" t="n">
        <v>0.06660658</v>
      </c>
      <c r="N29" s="20" t="n">
        <v>0.09168345</v>
      </c>
      <c r="O29" s="18" t="n">
        <v>0</v>
      </c>
      <c r="P29" s="20" t="n">
        <v>0</v>
      </c>
      <c r="Q29" s="18" t="n">
        <v>0</v>
      </c>
      <c r="R29" s="20" t="n">
        <v>0</v>
      </c>
      <c r="S29" s="18" t="n">
        <v>1.16982966</v>
      </c>
      <c r="T29" s="20" t="n">
        <v>0.34681492</v>
      </c>
    </row>
    <row r="30" spans="1:20">
      <c r="A30" s="15" t="s">
        <v>588</v>
      </c>
      <c r="B30" s="17" t="n">
        <v>4520</v>
      </c>
      <c r="C30" s="18">
        <f>(3522.0/B30*100)</f>
        <v/>
      </c>
      <c r="D30" s="19" t="n">
        <v>998</v>
      </c>
      <c r="E30" s="18" t="n">
        <v>33.68117213</v>
      </c>
      <c r="F30" s="20" t="n">
        <v>1.65299804</v>
      </c>
      <c r="G30" s="18" t="n">
        <v>29.31985063</v>
      </c>
      <c r="H30" s="20" t="n">
        <v>1.55090168</v>
      </c>
      <c r="I30" s="18" t="n">
        <v>33.33950948</v>
      </c>
      <c r="J30" s="20" t="n">
        <v>1.67823057</v>
      </c>
      <c r="K30" s="18" t="n">
        <v>0</v>
      </c>
      <c r="L30" s="20" t="n">
        <v>0</v>
      </c>
      <c r="M30" s="18" t="n">
        <v>0.55027868</v>
      </c>
      <c r="N30" s="20" t="n">
        <v>0.2676598</v>
      </c>
      <c r="O30" s="18" t="n">
        <v>0</v>
      </c>
      <c r="P30" s="20" t="n">
        <v>0</v>
      </c>
      <c r="Q30" s="18" t="n">
        <v>0</v>
      </c>
      <c r="R30" s="20" t="n">
        <v>0</v>
      </c>
      <c r="S30" s="18" t="n">
        <v>3.10918907</v>
      </c>
      <c r="T30" s="20" t="n">
        <v>0.5682551300000001</v>
      </c>
    </row>
    <row r="31" spans="1:20">
      <c r="A31" s="15" t="s">
        <v>589</v>
      </c>
      <c r="B31" s="17" t="n">
        <v>5456</v>
      </c>
      <c r="C31" s="18">
        <f>(4250.0/B31*100)</f>
        <v/>
      </c>
      <c r="D31" s="19" t="n">
        <v>1206</v>
      </c>
      <c r="E31" s="18" t="n">
        <v>32.4462925</v>
      </c>
      <c r="F31" s="20" t="n">
        <v>1.54036103</v>
      </c>
      <c r="G31" s="18" t="n">
        <v>35.57712617</v>
      </c>
      <c r="H31" s="20" t="n">
        <v>1.16447749</v>
      </c>
      <c r="I31" s="18" t="n">
        <v>28.62458322</v>
      </c>
      <c r="J31" s="20" t="n">
        <v>1.52800055</v>
      </c>
      <c r="K31" s="18" t="n">
        <v>0</v>
      </c>
      <c r="L31" s="20" t="n">
        <v>0</v>
      </c>
      <c r="M31" s="18" t="n">
        <v>0.23851424</v>
      </c>
      <c r="N31" s="20" t="n">
        <v>0.13295299</v>
      </c>
      <c r="O31" s="18" t="n">
        <v>0</v>
      </c>
      <c r="P31" s="20" t="n">
        <v>0</v>
      </c>
      <c r="Q31" s="18" t="n">
        <v>0</v>
      </c>
      <c r="R31" s="20" t="n">
        <v>0</v>
      </c>
      <c r="S31" s="18" t="n">
        <v>3.11348388</v>
      </c>
      <c r="T31" s="20" t="n">
        <v>0.55485119</v>
      </c>
    </row>
    <row r="32" spans="1:20">
      <c r="A32" s="15" t="s">
        <v>590</v>
      </c>
      <c r="B32" s="17" t="n">
        <v>4478</v>
      </c>
      <c r="C32" s="18">
        <f>(3439.0/B32*100)</f>
        <v/>
      </c>
      <c r="D32" s="19" t="n">
        <v>1039</v>
      </c>
      <c r="E32" s="18" t="n">
        <v>28.1319573</v>
      </c>
      <c r="F32" s="20" t="n">
        <v>1.36741079</v>
      </c>
      <c r="G32" s="18" t="n">
        <v>38.78781311</v>
      </c>
      <c r="H32" s="20" t="n">
        <v>1.43378138</v>
      </c>
      <c r="I32" s="18" t="n">
        <v>32.23697071</v>
      </c>
      <c r="J32" s="20" t="n">
        <v>1.81333016</v>
      </c>
      <c r="K32" s="18" t="n">
        <v>0</v>
      </c>
      <c r="L32" s="20" t="n">
        <v>0</v>
      </c>
      <c r="M32" s="18" t="n">
        <v>0</v>
      </c>
      <c r="N32" s="20" t="n">
        <v>0</v>
      </c>
      <c r="O32" s="18" t="n">
        <v>0</v>
      </c>
      <c r="P32" s="20" t="n">
        <v>0</v>
      </c>
      <c r="Q32" s="18" t="n">
        <v>0</v>
      </c>
      <c r="R32" s="20" t="n">
        <v>0</v>
      </c>
      <c r="S32" s="18" t="n">
        <v>0.84325888</v>
      </c>
      <c r="T32" s="20" t="n">
        <v>0.32488414</v>
      </c>
    </row>
    <row r="33" spans="1:20">
      <c r="A33" s="15" t="s">
        <v>591</v>
      </c>
      <c r="B33" s="17" t="n">
        <v>7325</v>
      </c>
      <c r="C33" s="18">
        <f>(5683.0/B33*100)</f>
        <v/>
      </c>
      <c r="D33" s="19" t="n">
        <v>1642</v>
      </c>
      <c r="E33" s="18" t="n">
        <v>33.76153961</v>
      </c>
      <c r="F33" s="20" t="n">
        <v>1.73177568</v>
      </c>
      <c r="G33" s="18" t="n">
        <v>30.8220622</v>
      </c>
      <c r="H33" s="20" t="n">
        <v>1.42137704</v>
      </c>
      <c r="I33" s="18" t="n">
        <v>34.97306019</v>
      </c>
      <c r="J33" s="20" t="n">
        <v>1.51129103</v>
      </c>
      <c r="K33" s="18" t="n">
        <v>0</v>
      </c>
      <c r="L33" s="20" t="n">
        <v>0</v>
      </c>
      <c r="M33" s="18" t="n">
        <v>0.08468611</v>
      </c>
      <c r="N33" s="20" t="n">
        <v>0.08379312999999999</v>
      </c>
      <c r="O33" s="18" t="n">
        <v>0</v>
      </c>
      <c r="P33" s="20" t="n">
        <v>0</v>
      </c>
      <c r="Q33" s="18" t="n">
        <v>0</v>
      </c>
      <c r="R33" s="20" t="n">
        <v>0</v>
      </c>
      <c r="S33" s="18" t="n">
        <v>0.35865188</v>
      </c>
      <c r="T33" s="20" t="n">
        <v>0.16985619</v>
      </c>
    </row>
    <row r="34" spans="1:20">
      <c r="A34" s="15" t="s">
        <v>592</v>
      </c>
      <c r="B34" s="17" t="n">
        <v>6350</v>
      </c>
      <c r="C34" s="18">
        <f>(5017.0/B34*100)</f>
        <v/>
      </c>
      <c r="D34" s="19" t="n">
        <v>1333</v>
      </c>
      <c r="E34" s="18" t="n">
        <v>39.16626404</v>
      </c>
      <c r="F34" s="20" t="n">
        <v>1.31639738</v>
      </c>
      <c r="G34" s="18" t="n">
        <v>39.82165188</v>
      </c>
      <c r="H34" s="20" t="n">
        <v>1.37877821</v>
      </c>
      <c r="I34" s="18" t="n">
        <v>19.32809389</v>
      </c>
      <c r="J34" s="20" t="n">
        <v>1.32948117</v>
      </c>
      <c r="K34" s="18" t="n">
        <v>0</v>
      </c>
      <c r="L34" s="20" t="n">
        <v>0</v>
      </c>
      <c r="M34" s="18" t="n">
        <v>0</v>
      </c>
      <c r="N34" s="20" t="n">
        <v>0</v>
      </c>
      <c r="O34" s="18" t="n">
        <v>0</v>
      </c>
      <c r="P34" s="20" t="n">
        <v>0</v>
      </c>
      <c r="Q34" s="18" t="n">
        <v>0</v>
      </c>
      <c r="R34" s="20" t="n">
        <v>0</v>
      </c>
      <c r="S34" s="18" t="n">
        <v>1.6839902</v>
      </c>
      <c r="T34" s="20" t="n">
        <v>0.33474557</v>
      </c>
    </row>
    <row r="35" spans="1:20">
      <c r="A35" s="15" t="s">
        <v>593</v>
      </c>
      <c r="B35" s="17" t="n">
        <v>6406</v>
      </c>
      <c r="C35" s="18">
        <f>(5007.0/B35*100)</f>
        <v/>
      </c>
      <c r="D35" s="19" t="n">
        <v>1399</v>
      </c>
      <c r="E35" s="18" t="n">
        <v>32.07451712</v>
      </c>
      <c r="F35" s="20" t="n">
        <v>1.40211734</v>
      </c>
      <c r="G35" s="18" t="n">
        <v>38.11824526</v>
      </c>
      <c r="H35" s="20" t="n">
        <v>1.45512708</v>
      </c>
      <c r="I35" s="18" t="n">
        <v>28.35130675</v>
      </c>
      <c r="J35" s="20" t="n">
        <v>1.58012121</v>
      </c>
      <c r="K35" s="18" t="n">
        <v>0</v>
      </c>
      <c r="L35" s="20" t="n">
        <v>0</v>
      </c>
      <c r="M35" s="18" t="n">
        <v>0.08861955000000001</v>
      </c>
      <c r="N35" s="20" t="n">
        <v>0.0509634</v>
      </c>
      <c r="O35" s="18" t="n">
        <v>0</v>
      </c>
      <c r="P35" s="20" t="n">
        <v>0</v>
      </c>
      <c r="Q35" s="18" t="n">
        <v>0</v>
      </c>
      <c r="R35" s="20" t="n">
        <v>0</v>
      </c>
      <c r="S35" s="18" t="n">
        <v>1.36731133</v>
      </c>
      <c r="T35" s="20" t="n">
        <v>0.3201082</v>
      </c>
    </row>
    <row r="36" spans="1:20">
      <c r="A36" s="15" t="s">
        <v>594</v>
      </c>
      <c r="B36" s="17" t="n">
        <v>6736</v>
      </c>
      <c r="C36" s="18">
        <f>(5259.0/B36*100)</f>
        <v/>
      </c>
      <c r="D36" s="19" t="n">
        <v>1477</v>
      </c>
      <c r="E36" s="18" t="n">
        <v>37.184919</v>
      </c>
      <c r="F36" s="20" t="n">
        <v>1.32281705</v>
      </c>
      <c r="G36" s="18" t="n">
        <v>35.502786</v>
      </c>
      <c r="H36" s="20" t="n">
        <v>1.18168992</v>
      </c>
      <c r="I36" s="18" t="n">
        <v>25.59809698</v>
      </c>
      <c r="J36" s="20" t="n">
        <v>1.35044953</v>
      </c>
      <c r="K36" s="18" t="n">
        <v>0</v>
      </c>
      <c r="L36" s="20" t="n">
        <v>0</v>
      </c>
      <c r="M36" s="18" t="n">
        <v>0.29609073</v>
      </c>
      <c r="N36" s="20" t="n">
        <v>0.07225142</v>
      </c>
      <c r="O36" s="18" t="n">
        <v>0</v>
      </c>
      <c r="P36" s="20" t="n">
        <v>0</v>
      </c>
      <c r="Q36" s="18" t="n">
        <v>0</v>
      </c>
      <c r="R36" s="20" t="n">
        <v>0</v>
      </c>
      <c r="S36" s="18" t="n">
        <v>1.41810728</v>
      </c>
      <c r="T36" s="20" t="n">
        <v>0.38404409</v>
      </c>
    </row>
    <row r="37" spans="1:20">
      <c r="A37" s="15" t="s">
        <v>595</v>
      </c>
      <c r="B37" s="17" t="n">
        <v>5458</v>
      </c>
      <c r="C37" s="18">
        <f>(4273.0/B37*100)</f>
        <v/>
      </c>
      <c r="D37" s="19" t="n">
        <v>1185</v>
      </c>
      <c r="E37" s="18" t="n">
        <v>36.28253077</v>
      </c>
      <c r="F37" s="20" t="n">
        <v>1.52198131</v>
      </c>
      <c r="G37" s="18" t="n">
        <v>36.58274064</v>
      </c>
      <c r="H37" s="20" t="n">
        <v>1.45883001</v>
      </c>
      <c r="I37" s="18" t="n">
        <v>21.52741047</v>
      </c>
      <c r="J37" s="20" t="n">
        <v>1.43375258</v>
      </c>
      <c r="K37" s="18" t="n">
        <v>0</v>
      </c>
      <c r="L37" s="20" t="n">
        <v>0</v>
      </c>
      <c r="M37" s="18" t="n">
        <v>0.24672493</v>
      </c>
      <c r="N37" s="20" t="n">
        <v>0.16020531</v>
      </c>
      <c r="O37" s="18" t="n">
        <v>0</v>
      </c>
      <c r="P37" s="20" t="n">
        <v>0</v>
      </c>
      <c r="Q37" s="18" t="n">
        <v>0</v>
      </c>
      <c r="R37" s="20" t="n">
        <v>0</v>
      </c>
      <c r="S37" s="18" t="n">
        <v>5.36059319</v>
      </c>
      <c r="T37" s="20" t="n">
        <v>0.60554547</v>
      </c>
    </row>
    <row r="38" spans="1:20">
      <c r="A38" s="15" t="s">
        <v>596</v>
      </c>
      <c r="B38" s="17" t="n">
        <v>5860</v>
      </c>
      <c r="C38" s="18">
        <f>(4583.0/B38*100)</f>
        <v/>
      </c>
      <c r="D38" s="19" t="n">
        <v>1277</v>
      </c>
      <c r="E38" s="18" t="n">
        <v>33.10353391</v>
      </c>
      <c r="F38" s="20" t="n">
        <v>1.57033103</v>
      </c>
      <c r="G38" s="18" t="n">
        <v>34.23063798</v>
      </c>
      <c r="H38" s="20" t="n">
        <v>1.74871236</v>
      </c>
      <c r="I38" s="18" t="n">
        <v>30.58084463</v>
      </c>
      <c r="J38" s="20" t="n">
        <v>1.56617485</v>
      </c>
      <c r="K38" s="18" t="n">
        <v>0</v>
      </c>
      <c r="L38" s="20" t="n">
        <v>0</v>
      </c>
      <c r="M38" s="18" t="n">
        <v>0</v>
      </c>
      <c r="N38" s="20" t="n">
        <v>0</v>
      </c>
      <c r="O38" s="18" t="n">
        <v>0</v>
      </c>
      <c r="P38" s="20" t="n">
        <v>0</v>
      </c>
      <c r="Q38" s="18" t="n">
        <v>0</v>
      </c>
      <c r="R38" s="20" t="n">
        <v>0</v>
      </c>
      <c r="S38" s="18" t="n">
        <v>2.08498348</v>
      </c>
      <c r="T38" s="20" t="n">
        <v>0.49091623</v>
      </c>
    </row>
    <row r="39" spans="1:20">
      <c r="A39" s="15" t="s">
        <v>597</v>
      </c>
      <c r="B39" s="17" t="n">
        <v>5895</v>
      </c>
      <c r="C39" s="18">
        <f>(4579.0/B39*100)</f>
        <v/>
      </c>
      <c r="D39" s="19" t="n">
        <v>1316</v>
      </c>
      <c r="E39" s="18" t="n">
        <v>52.96685416</v>
      </c>
      <c r="F39" s="20" t="n">
        <v>1.57187876</v>
      </c>
      <c r="G39" s="18" t="n">
        <v>36.14023001</v>
      </c>
      <c r="H39" s="20" t="n">
        <v>1.43594722</v>
      </c>
      <c r="I39" s="18" t="n">
        <v>9.013524500000001</v>
      </c>
      <c r="J39" s="20" t="n">
        <v>1.17060884</v>
      </c>
      <c r="K39" s="18" t="n">
        <v>0</v>
      </c>
      <c r="L39" s="20" t="n">
        <v>0</v>
      </c>
      <c r="M39" s="18" t="n">
        <v>0.37845273</v>
      </c>
      <c r="N39" s="20" t="n">
        <v>0.14407866</v>
      </c>
      <c r="O39" s="18" t="n">
        <v>0</v>
      </c>
      <c r="P39" s="20" t="n">
        <v>0</v>
      </c>
      <c r="Q39" s="18" t="n">
        <v>0</v>
      </c>
      <c r="R39" s="20" t="n">
        <v>0</v>
      </c>
      <c r="S39" s="18" t="n">
        <v>1.5009386</v>
      </c>
      <c r="T39" s="20" t="n">
        <v>0.30613761</v>
      </c>
    </row>
    <row r="40" spans="1:20">
      <c r="A40" s="15" t="s">
        <v>598</v>
      </c>
      <c r="B40" s="17" t="n">
        <v>14157</v>
      </c>
      <c r="C40" s="18">
        <f>(11034.0/B40*100)</f>
        <v/>
      </c>
      <c r="D40" s="19" t="n">
        <v>3123</v>
      </c>
      <c r="E40" s="18" t="n">
        <v>31.64145922</v>
      </c>
      <c r="F40" s="20" t="n">
        <v>1.18900415</v>
      </c>
      <c r="G40" s="18" t="n">
        <v>30.02887144</v>
      </c>
      <c r="H40" s="20" t="n">
        <v>1.30513519</v>
      </c>
      <c r="I40" s="18" t="n">
        <v>36.46462099</v>
      </c>
      <c r="J40" s="20" t="n">
        <v>1.36171676</v>
      </c>
      <c r="K40" s="18" t="n">
        <v>0</v>
      </c>
      <c r="L40" s="20" t="n">
        <v>0</v>
      </c>
      <c r="M40" s="18" t="n">
        <v>0.21002939</v>
      </c>
      <c r="N40" s="20" t="n">
        <v>0.13418668</v>
      </c>
      <c r="O40" s="18" t="n">
        <v>0</v>
      </c>
      <c r="P40" s="20" t="n">
        <v>0</v>
      </c>
      <c r="Q40" s="18" t="n">
        <v>0</v>
      </c>
      <c r="R40" s="20" t="n">
        <v>0</v>
      </c>
      <c r="S40" s="18" t="n">
        <v>1.65501896</v>
      </c>
      <c r="T40" s="20" t="n">
        <v>0.36055929</v>
      </c>
    </row>
    <row r="41" spans="1:20">
      <c r="A41" s="15" t="s">
        <v>599</v>
      </c>
      <c r="B41" s="17" t="n">
        <v>5712</v>
      </c>
      <c r="C41" s="18">
        <f>(4499.0/B41*100)</f>
        <v/>
      </c>
      <c r="D41" s="19" t="n">
        <v>1213</v>
      </c>
      <c r="E41" s="18" t="n">
        <v>36.04762401</v>
      </c>
      <c r="F41" s="20" t="n">
        <v>1.42951188</v>
      </c>
      <c r="G41" s="18" t="n">
        <v>29.80023498</v>
      </c>
      <c r="H41" s="20" t="n">
        <v>1.66418864</v>
      </c>
      <c r="I41" s="18" t="n">
        <v>33.41063685</v>
      </c>
      <c r="J41" s="20" t="n">
        <v>1.67960019</v>
      </c>
      <c r="K41" s="18" t="n">
        <v>0</v>
      </c>
      <c r="L41" s="20" t="n">
        <v>0</v>
      </c>
      <c r="M41" s="18" t="n">
        <v>0</v>
      </c>
      <c r="N41" s="20" t="n">
        <v>0</v>
      </c>
      <c r="O41" s="18" t="n">
        <v>0</v>
      </c>
      <c r="P41" s="20" t="n">
        <v>0</v>
      </c>
      <c r="Q41" s="18" t="n">
        <v>0</v>
      </c>
      <c r="R41" s="20" t="n">
        <v>0</v>
      </c>
      <c r="S41" s="18" t="n">
        <v>0.74150416</v>
      </c>
      <c r="T41" s="20" t="n">
        <v>0.33132356</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(18801.0/B46*100)</f>
        <v/>
      </c>
      <c r="D46" s="19" t="n">
        <v>4340</v>
      </c>
      <c r="E46" s="18" t="n">
        <v>53.35323168</v>
      </c>
      <c r="F46" s="20" t="n">
        <v>1.23510402</v>
      </c>
      <c r="G46" s="18" t="n">
        <v>30.18613843</v>
      </c>
      <c r="H46" s="20" t="n">
        <v>0.95720139</v>
      </c>
      <c r="I46" s="18" t="n">
        <v>9.322529189999999</v>
      </c>
      <c r="J46" s="20" t="n">
        <v>0.81588277</v>
      </c>
      <c r="K46" s="18" t="n">
        <v>0</v>
      </c>
      <c r="L46" s="20" t="n">
        <v>0</v>
      </c>
      <c r="M46" s="18" t="n">
        <v>0.95192869</v>
      </c>
      <c r="N46" s="20" t="n">
        <v>0.26687852</v>
      </c>
      <c r="O46" s="18" t="n">
        <v>0</v>
      </c>
      <c r="P46" s="20" t="n">
        <v>0</v>
      </c>
      <c r="Q46" s="18" t="n">
        <v>0</v>
      </c>
      <c r="R46" s="20" t="n">
        <v>0</v>
      </c>
      <c r="S46" s="18" t="n">
        <v>6.18617202</v>
      </c>
      <c r="T46" s="20" t="n">
        <v>0.51742382</v>
      </c>
    </row>
    <row r="47" spans="1:20">
      <c r="A47" s="15" t="s">
        <v>606</v>
      </c>
      <c r="B47" s="17" t="n">
        <v>5928</v>
      </c>
      <c r="C47" s="18">
        <f>(4686.0/B47*100)</f>
        <v/>
      </c>
      <c r="D47" s="19" t="n">
        <v>1242</v>
      </c>
      <c r="E47" s="18" t="n">
        <v>46.00481381</v>
      </c>
      <c r="F47" s="20" t="n">
        <v>1.53311398</v>
      </c>
      <c r="G47" s="18" t="n">
        <v>34.5806526</v>
      </c>
      <c r="H47" s="20" t="n">
        <v>1.36940105</v>
      </c>
      <c r="I47" s="18" t="n">
        <v>15.79665774</v>
      </c>
      <c r="J47" s="20" t="n">
        <v>1.27096202</v>
      </c>
      <c r="K47" s="18" t="n">
        <v>0</v>
      </c>
      <c r="L47" s="20" t="n">
        <v>0</v>
      </c>
      <c r="M47" s="18" t="n">
        <v>0.78816052</v>
      </c>
      <c r="N47" s="20" t="n">
        <v>0.25789084</v>
      </c>
      <c r="O47" s="18" t="n">
        <v>0</v>
      </c>
      <c r="P47" s="20" t="n">
        <v>0</v>
      </c>
      <c r="Q47" s="18" t="n">
        <v>0</v>
      </c>
      <c r="R47" s="20" t="n">
        <v>0</v>
      </c>
      <c r="S47" s="18" t="n">
        <v>2.82971533</v>
      </c>
      <c r="T47" s="20" t="n">
        <v>0.5082814</v>
      </c>
    </row>
    <row r="48" spans="1:20">
      <c r="A48" s="15" t="s">
        <v>607</v>
      </c>
      <c r="B48" s="17" t="n">
        <v>9841</v>
      </c>
      <c r="C48" s="18">
        <f>(7670.0/B48*100)</f>
        <v/>
      </c>
      <c r="D48" s="19" t="n">
        <v>2171</v>
      </c>
      <c r="E48" s="18" t="n">
        <v>31.91781707</v>
      </c>
      <c r="F48" s="20" t="n">
        <v>1.49139565</v>
      </c>
      <c r="G48" s="18" t="n">
        <v>33.13114873</v>
      </c>
      <c r="H48" s="20" t="n">
        <v>1.65315918</v>
      </c>
      <c r="I48" s="18" t="n">
        <v>34.10600713</v>
      </c>
      <c r="J48" s="20" t="n">
        <v>2.11476312</v>
      </c>
      <c r="K48" s="18" t="n">
        <v>0</v>
      </c>
      <c r="L48" s="20" t="n">
        <v>0</v>
      </c>
      <c r="M48" s="18" t="n">
        <v>0.45228751</v>
      </c>
      <c r="N48" s="20" t="n">
        <v>0.22103376</v>
      </c>
      <c r="O48" s="18" t="n">
        <v>0</v>
      </c>
      <c r="P48" s="20" t="n">
        <v>0</v>
      </c>
      <c r="Q48" s="18" t="n">
        <v>0</v>
      </c>
      <c r="R48" s="20" t="n">
        <v>0</v>
      </c>
      <c r="S48" s="18" t="n">
        <v>0.39273956</v>
      </c>
      <c r="T48" s="20" t="n">
        <v>0.17697246</v>
      </c>
    </row>
    <row r="49" spans="1:20">
      <c r="A49" s="15" t="s">
        <v>608</v>
      </c>
      <c r="B49" s="17" t="n">
        <v>11795</v>
      </c>
      <c r="C49" s="18">
        <f>(9280.0/B49*100)</f>
        <v/>
      </c>
      <c r="D49" s="19" t="n">
        <v>2515</v>
      </c>
      <c r="E49" s="18" t="n">
        <v>49.97286943</v>
      </c>
      <c r="F49" s="20" t="n">
        <v>1.52191676</v>
      </c>
      <c r="G49" s="18" t="n">
        <v>32.32578231</v>
      </c>
      <c r="H49" s="20" t="n">
        <v>1.52229952</v>
      </c>
      <c r="I49" s="18" t="n">
        <v>14.50631014</v>
      </c>
      <c r="J49" s="20" t="n">
        <v>0.94759574</v>
      </c>
      <c r="K49" s="18" t="n">
        <v>0</v>
      </c>
      <c r="L49" s="20" t="n">
        <v>0</v>
      </c>
      <c r="M49" s="18" t="n">
        <v>1.07197571</v>
      </c>
      <c r="N49" s="20" t="n">
        <v>0.3079457</v>
      </c>
      <c r="O49" s="18" t="n">
        <v>0</v>
      </c>
      <c r="P49" s="20" t="n">
        <v>0</v>
      </c>
      <c r="Q49" s="18" t="n">
        <v>0</v>
      </c>
      <c r="R49" s="20" t="n">
        <v>0</v>
      </c>
      <c r="S49" s="18" t="n">
        <v>2.1230624</v>
      </c>
      <c r="T49" s="20" t="n">
        <v>0.4464413</v>
      </c>
    </row>
    <row r="50" spans="1:20">
      <c r="A50" s="15" t="s">
        <v>609</v>
      </c>
      <c r="B50" s="17" t="n">
        <v>6866</v>
      </c>
      <c r="C50" s="18">
        <f>(5568.0/B50*100)</f>
        <v/>
      </c>
      <c r="D50" s="19" t="n">
        <v>1298</v>
      </c>
      <c r="E50" s="18" t="n">
        <v>56.84860096</v>
      </c>
      <c r="F50" s="20" t="n">
        <v>1.52383603</v>
      </c>
      <c r="G50" s="18" t="n">
        <v>31.4085243</v>
      </c>
      <c r="H50" s="20" t="n">
        <v>1.33077593</v>
      </c>
      <c r="I50" s="18" t="n">
        <v>9.50015747</v>
      </c>
      <c r="J50" s="20" t="n">
        <v>0.81889596</v>
      </c>
      <c r="K50" s="18" t="n">
        <v>0</v>
      </c>
      <c r="L50" s="20" t="n">
        <v>0</v>
      </c>
      <c r="M50" s="18" t="n">
        <v>0.26269857</v>
      </c>
      <c r="N50" s="20" t="n">
        <v>0.14512598</v>
      </c>
      <c r="O50" s="18" t="n">
        <v>0</v>
      </c>
      <c r="P50" s="20" t="n">
        <v>0</v>
      </c>
      <c r="Q50" s="18" t="n">
        <v>0</v>
      </c>
      <c r="R50" s="20" t="n">
        <v>0</v>
      </c>
      <c r="S50" s="18" t="n">
        <v>1.98001871</v>
      </c>
      <c r="T50" s="20" t="n">
        <v>0.45205854</v>
      </c>
    </row>
    <row r="51" spans="1:20">
      <c r="A51" s="15" t="s">
        <v>610</v>
      </c>
      <c r="B51" s="17" t="n">
        <v>5809</v>
      </c>
      <c r="C51" s="18">
        <f>(4479.0/B51*100)</f>
        <v/>
      </c>
      <c r="D51" s="19" t="n">
        <v>1330</v>
      </c>
      <c r="E51" s="18" t="n">
        <v>42.10051612</v>
      </c>
      <c r="F51" s="20" t="n">
        <v>1.6092826</v>
      </c>
      <c r="G51" s="18" t="n">
        <v>32.56956973</v>
      </c>
      <c r="H51" s="20" t="n">
        <v>1.3024905</v>
      </c>
      <c r="I51" s="18" t="n">
        <v>22.82053772</v>
      </c>
      <c r="J51" s="20" t="n">
        <v>1.22512726</v>
      </c>
      <c r="K51" s="18" t="n">
        <v>0</v>
      </c>
      <c r="L51" s="20" t="n">
        <v>0</v>
      </c>
      <c r="M51" s="18" t="n">
        <v>0.05699743</v>
      </c>
      <c r="N51" s="20" t="n">
        <v>0.05460437</v>
      </c>
      <c r="O51" s="18" t="n">
        <v>0</v>
      </c>
      <c r="P51" s="20" t="n">
        <v>0</v>
      </c>
      <c r="Q51" s="18" t="n">
        <v>0</v>
      </c>
      <c r="R51" s="20" t="n">
        <v>0</v>
      </c>
      <c r="S51" s="18" t="n">
        <v>2.452379</v>
      </c>
      <c r="T51" s="20" t="n">
        <v>0.414574</v>
      </c>
    </row>
    <row r="52" spans="1:20">
      <c r="A52" s="15" t="s">
        <v>611</v>
      </c>
      <c r="B52" s="17" t="n">
        <v>5571</v>
      </c>
      <c r="C52" s="18">
        <f>(4344.0/B52*100)</f>
        <v/>
      </c>
      <c r="D52" s="19" t="n">
        <v>1227</v>
      </c>
      <c r="E52" s="18" t="n">
        <v>43.72605135</v>
      </c>
      <c r="F52" s="20" t="n">
        <v>1.3206158</v>
      </c>
      <c r="G52" s="18" t="n">
        <v>36.17732968</v>
      </c>
      <c r="H52" s="20" t="n">
        <v>1.33704295</v>
      </c>
      <c r="I52" s="18" t="n">
        <v>17.46147785</v>
      </c>
      <c r="J52" s="20" t="n">
        <v>1.03147722</v>
      </c>
      <c r="K52" s="18" t="n">
        <v>0</v>
      </c>
      <c r="L52" s="20" t="n">
        <v>0</v>
      </c>
      <c r="M52" s="18" t="n">
        <v>0.21821631</v>
      </c>
      <c r="N52" s="20" t="n">
        <v>0.12948608</v>
      </c>
      <c r="O52" s="18" t="n">
        <v>0</v>
      </c>
      <c r="P52" s="20" t="n">
        <v>0</v>
      </c>
      <c r="Q52" s="18" t="n">
        <v>0</v>
      </c>
      <c r="R52" s="20" t="n">
        <v>0</v>
      </c>
      <c r="S52" s="18" t="n">
        <v>2.41692481</v>
      </c>
      <c r="T52" s="20" t="n">
        <v>0.44993059</v>
      </c>
    </row>
    <row r="53" spans="1:20">
      <c r="A53" s="15" t="s">
        <v>612</v>
      </c>
      <c r="B53" s="17" t="n">
        <v>4740</v>
      </c>
      <c r="C53" s="18">
        <f>(3693.0/B53*100)</f>
        <v/>
      </c>
      <c r="D53" s="19" t="n">
        <v>1047</v>
      </c>
      <c r="E53" s="18" t="n">
        <v>55.85001837</v>
      </c>
      <c r="F53" s="20" t="n">
        <v>1.92059163</v>
      </c>
      <c r="G53" s="18" t="n">
        <v>24.72855881</v>
      </c>
      <c r="H53" s="20" t="n">
        <v>1.49533184</v>
      </c>
      <c r="I53" s="18" t="n">
        <v>2.10112009</v>
      </c>
      <c r="J53" s="20" t="n">
        <v>0.41193289</v>
      </c>
      <c r="K53" s="18" t="n">
        <v>0</v>
      </c>
      <c r="L53" s="20" t="n">
        <v>0</v>
      </c>
      <c r="M53" s="18" t="n">
        <v>8.644697839999999</v>
      </c>
      <c r="N53" s="20" t="n">
        <v>1.08113796</v>
      </c>
      <c r="O53" s="18" t="n">
        <v>0</v>
      </c>
      <c r="P53" s="20" t="n">
        <v>0</v>
      </c>
      <c r="Q53" s="18" t="n">
        <v>0</v>
      </c>
      <c r="R53" s="20" t="n">
        <v>0</v>
      </c>
      <c r="S53" s="18" t="n">
        <v>8.675604890000001</v>
      </c>
      <c r="T53" s="20" t="n">
        <v>1.0016876</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(4145.0/B55*100)</f>
        <v/>
      </c>
      <c r="D55" s="19" t="n">
        <v>1214</v>
      </c>
      <c r="E55" s="18" t="n">
        <v>31.96071202</v>
      </c>
      <c r="F55" s="20" t="n">
        <v>1.38179639</v>
      </c>
      <c r="G55" s="18" t="n">
        <v>44.22207119</v>
      </c>
      <c r="H55" s="20" t="n">
        <v>1.63195177</v>
      </c>
      <c r="I55" s="18" t="n">
        <v>23.18717306</v>
      </c>
      <c r="J55" s="20" t="n">
        <v>1.60728802</v>
      </c>
      <c r="K55" s="18" t="n">
        <v>0</v>
      </c>
      <c r="L55" s="20" t="n">
        <v>0</v>
      </c>
      <c r="M55" s="18" t="n">
        <v>0.16015817</v>
      </c>
      <c r="N55" s="20" t="n">
        <v>0.15474487</v>
      </c>
      <c r="O55" s="18" t="n">
        <v>0</v>
      </c>
      <c r="P55" s="20" t="n">
        <v>0</v>
      </c>
      <c r="Q55" s="18" t="n">
        <v>0</v>
      </c>
      <c r="R55" s="20" t="n">
        <v>0</v>
      </c>
      <c r="S55" s="18" t="n">
        <v>0.46988556</v>
      </c>
      <c r="T55" s="20" t="n">
        <v>0.19627369</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(5078.0/B61*100)</f>
        <v/>
      </c>
      <c r="D61" s="19" t="n">
        <v>1447</v>
      </c>
      <c r="E61" s="18" t="n">
        <v>36.08699053</v>
      </c>
      <c r="F61" s="20" t="n">
        <v>1.50944206</v>
      </c>
      <c r="G61" s="18" t="n">
        <v>54.60082587</v>
      </c>
      <c r="H61" s="20" t="n">
        <v>1.61991135</v>
      </c>
      <c r="I61" s="18" t="n">
        <v>6.8175112</v>
      </c>
      <c r="J61" s="20" t="n">
        <v>0.69846832</v>
      </c>
      <c r="K61" s="18" t="n">
        <v>0</v>
      </c>
      <c r="L61" s="20" t="n">
        <v>0</v>
      </c>
      <c r="M61" s="18" t="n">
        <v>0.08994782</v>
      </c>
      <c r="N61" s="20" t="n">
        <v>0.09239114</v>
      </c>
      <c r="O61" s="18" t="n">
        <v>0</v>
      </c>
      <c r="P61" s="20" t="n">
        <v>0</v>
      </c>
      <c r="Q61" s="18" t="n">
        <v>0</v>
      </c>
      <c r="R61" s="20" t="n">
        <v>0</v>
      </c>
      <c r="S61" s="18" t="n">
        <v>2.40472458</v>
      </c>
      <c r="T61" s="20" t="n">
        <v>0.42357571</v>
      </c>
    </row>
    <row r="62" spans="1:20">
      <c r="A62" s="15" t="s">
        <v>622</v>
      </c>
      <c r="B62" s="17" t="n">
        <v>4476</v>
      </c>
      <c r="C62" s="18">
        <f>(3516.0/B62*100)</f>
        <v/>
      </c>
      <c r="D62" s="19" t="n">
        <v>960</v>
      </c>
      <c r="E62" s="18" t="n">
        <v>30.12925079</v>
      </c>
      <c r="F62" s="20" t="n">
        <v>1.33957413</v>
      </c>
      <c r="G62" s="18" t="n">
        <v>30.21321597</v>
      </c>
      <c r="H62" s="20" t="n">
        <v>1.38553572</v>
      </c>
      <c r="I62" s="18" t="n">
        <v>39.65753324</v>
      </c>
      <c r="J62" s="20" t="n">
        <v>1.5288156</v>
      </c>
      <c r="K62" s="18" t="n">
        <v>0</v>
      </c>
      <c r="L62" s="20" t="n">
        <v>0</v>
      </c>
      <c r="M62" s="18" t="n">
        <v>0</v>
      </c>
      <c r="N62" s="20" t="n">
        <v>0</v>
      </c>
      <c r="O62" s="18" t="n">
        <v>0</v>
      </c>
      <c r="P62" s="20" t="n">
        <v>0</v>
      </c>
      <c r="Q62" s="18" t="n">
        <v>0</v>
      </c>
      <c r="R62" s="20" t="n">
        <v>0</v>
      </c>
      <c r="S62" s="18" t="n">
        <v>0</v>
      </c>
      <c r="T62" s="20" t="n">
        <v>0</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(4438.0/B67*100)</f>
        <v/>
      </c>
      <c r="D67" s="19" t="n">
        <v>1227</v>
      </c>
      <c r="E67" s="18" t="n">
        <v>49.34504575</v>
      </c>
      <c r="F67" s="20" t="n">
        <v>1.60295805</v>
      </c>
      <c r="G67" s="18" t="n">
        <v>32.53913352</v>
      </c>
      <c r="H67" s="20" t="n">
        <v>1.30924357</v>
      </c>
      <c r="I67" s="18" t="n">
        <v>9.83795244</v>
      </c>
      <c r="J67" s="20" t="n">
        <v>0.86912983</v>
      </c>
      <c r="K67" s="18" t="n">
        <v>0</v>
      </c>
      <c r="L67" s="20" t="n">
        <v>0</v>
      </c>
      <c r="M67" s="18" t="n">
        <v>0.56961853</v>
      </c>
      <c r="N67" s="20" t="n">
        <v>0.21837555</v>
      </c>
      <c r="O67" s="18" t="n">
        <v>0</v>
      </c>
      <c r="P67" s="20" t="n">
        <v>0</v>
      </c>
      <c r="Q67" s="18" t="n">
        <v>0</v>
      </c>
      <c r="R67" s="20" t="n">
        <v>0</v>
      </c>
      <c r="S67" s="18" t="n">
        <v>7.70824977</v>
      </c>
      <c r="T67" s="20" t="n">
        <v>0.75536226</v>
      </c>
    </row>
    <row r="68" spans="1:20">
      <c r="A68" s="15" t="s">
        <v>628</v>
      </c>
      <c r="B68" s="17" t="n">
        <v>6971</v>
      </c>
      <c r="C68" s="18">
        <f>(5564.0/B68*100)</f>
        <v/>
      </c>
      <c r="D68" s="19" t="n">
        <v>1407</v>
      </c>
      <c r="E68" s="18" t="n">
        <v>53.80596095</v>
      </c>
      <c r="F68" s="20" t="n">
        <v>1.30477575</v>
      </c>
      <c r="G68" s="18" t="n">
        <v>35.00631576</v>
      </c>
      <c r="H68" s="20" t="n">
        <v>1.18325016</v>
      </c>
      <c r="I68" s="18" t="n">
        <v>7.36882256</v>
      </c>
      <c r="J68" s="20" t="n">
        <v>0.81439731</v>
      </c>
      <c r="K68" s="18" t="n">
        <v>0</v>
      </c>
      <c r="L68" s="20" t="n">
        <v>0</v>
      </c>
      <c r="M68" s="18" t="n">
        <v>0.0943861</v>
      </c>
      <c r="N68" s="20" t="n">
        <v>0.09425260000000001</v>
      </c>
      <c r="O68" s="18" t="n">
        <v>0</v>
      </c>
      <c r="P68" s="20" t="n">
        <v>0</v>
      </c>
      <c r="Q68" s="18" t="n">
        <v>0</v>
      </c>
      <c r="R68" s="20" t="n">
        <v>0</v>
      </c>
      <c r="S68" s="18" t="n">
        <v>3.72451462</v>
      </c>
      <c r="T68" s="20" t="n">
        <v>0.46849504</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(9437.0/B70*100)</f>
        <v/>
      </c>
      <c r="D70" s="19" t="n">
        <v>2646</v>
      </c>
      <c r="E70" s="18" t="n">
        <v>48.45842256</v>
      </c>
      <c r="F70" s="20" t="n">
        <v>0.87906115</v>
      </c>
      <c r="G70" s="18" t="n">
        <v>34.7030676</v>
      </c>
      <c r="H70" s="20" t="n">
        <v>0.78441969</v>
      </c>
      <c r="I70" s="18" t="n">
        <v>11.61505707</v>
      </c>
      <c r="J70" s="20" t="n">
        <v>0.63376586</v>
      </c>
      <c r="K70" s="18" t="n">
        <v>0</v>
      </c>
      <c r="L70" s="20" t="n">
        <v>0</v>
      </c>
      <c r="M70" s="18" t="n">
        <v>1.17568401</v>
      </c>
      <c r="N70" s="20" t="n">
        <v>0.20896857</v>
      </c>
      <c r="O70" s="18" t="n">
        <v>0</v>
      </c>
      <c r="P70" s="20" t="n">
        <v>0</v>
      </c>
      <c r="Q70" s="18" t="n">
        <v>0</v>
      </c>
      <c r="R70" s="20" t="n">
        <v>0</v>
      </c>
      <c r="S70" s="18" t="n">
        <v>4.04776875</v>
      </c>
      <c r="T70" s="20" t="n">
        <v>0.38161186</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(4758.0/B72*100)</f>
        <v/>
      </c>
      <c r="D72" s="19" t="n">
        <v>1278</v>
      </c>
      <c r="E72" s="18" t="n">
        <v>36.15420707</v>
      </c>
      <c r="F72" s="20" t="n">
        <v>1.73734065</v>
      </c>
      <c r="G72" s="18" t="n">
        <v>41.6738124</v>
      </c>
      <c r="H72" s="20" t="n">
        <v>1.63660035</v>
      </c>
      <c r="I72" s="18" t="n">
        <v>20.17400662</v>
      </c>
      <c r="J72" s="20" t="n">
        <v>1.1713098</v>
      </c>
      <c r="K72" s="18" t="n">
        <v>0</v>
      </c>
      <c r="L72" s="20" t="n">
        <v>0</v>
      </c>
      <c r="M72" s="18" t="n">
        <v>0.07096557000000001</v>
      </c>
      <c r="N72" s="20" t="n">
        <v>0.06970743</v>
      </c>
      <c r="O72" s="18" t="n">
        <v>0</v>
      </c>
      <c r="P72" s="20" t="n">
        <v>0</v>
      </c>
      <c r="Q72" s="18" t="n">
        <v>0</v>
      </c>
      <c r="R72" s="20" t="n">
        <v>0</v>
      </c>
      <c r="S72" s="18" t="n">
        <v>1.92700834</v>
      </c>
      <c r="T72" s="20" t="n">
        <v>0.5026431099999999</v>
      </c>
    </row>
    <row r="73" spans="1:20">
      <c r="A73" s="15" t="s">
        <v>633</v>
      </c>
      <c r="B73" s="17" t="n">
        <v>6115</v>
      </c>
      <c r="C73" s="18">
        <f>(4770.0/B73*100)</f>
        <v/>
      </c>
      <c r="D73" s="19" t="n">
        <v>1345</v>
      </c>
      <c r="E73" s="18" t="n">
        <v>27.08428007</v>
      </c>
      <c r="F73" s="20" t="n">
        <v>1.24979889</v>
      </c>
      <c r="G73" s="18" t="n">
        <v>27.35196746</v>
      </c>
      <c r="H73" s="20" t="n">
        <v>1.2712029</v>
      </c>
      <c r="I73" s="18" t="n">
        <v>44.8676351</v>
      </c>
      <c r="J73" s="20" t="n">
        <v>1.48174648</v>
      </c>
      <c r="K73" s="18" t="n">
        <v>0</v>
      </c>
      <c r="L73" s="20" t="n">
        <v>0</v>
      </c>
      <c r="M73" s="18" t="n">
        <v>0.10437436</v>
      </c>
      <c r="N73" s="20" t="n">
        <v>0.07571857</v>
      </c>
      <c r="O73" s="18" t="n">
        <v>0</v>
      </c>
      <c r="P73" s="20" t="n">
        <v>0</v>
      </c>
      <c r="Q73" s="18" t="n">
        <v>0</v>
      </c>
      <c r="R73" s="20" t="n">
        <v>0</v>
      </c>
      <c r="S73" s="18" t="n">
        <v>0.59174302</v>
      </c>
      <c r="T73" s="20" t="n">
        <v>0.18235674</v>
      </c>
    </row>
    <row r="74" spans="1:20">
      <c r="A74" s="15" t="s">
        <v>634</v>
      </c>
      <c r="B74" s="17" t="n">
        <v>7708</v>
      </c>
      <c r="C74" s="18">
        <f>(5939.0/B74*100)</f>
        <v/>
      </c>
      <c r="D74" s="19" t="n">
        <v>1769</v>
      </c>
      <c r="E74" s="18" t="n">
        <v>28.22403533</v>
      </c>
      <c r="F74" s="20" t="n">
        <v>1.2264922</v>
      </c>
      <c r="G74" s="18" t="n">
        <v>40.41036962</v>
      </c>
      <c r="H74" s="20" t="n">
        <v>1.34003456</v>
      </c>
      <c r="I74" s="18" t="n">
        <v>30.9126582</v>
      </c>
      <c r="J74" s="20" t="n">
        <v>1.36933663</v>
      </c>
      <c r="K74" s="18" t="n">
        <v>0</v>
      </c>
      <c r="L74" s="20" t="n">
        <v>0</v>
      </c>
      <c r="M74" s="18" t="n">
        <v>0.12158735</v>
      </c>
      <c r="N74" s="20" t="n">
        <v>0.07105208</v>
      </c>
      <c r="O74" s="18" t="n">
        <v>0</v>
      </c>
      <c r="P74" s="20" t="n">
        <v>0</v>
      </c>
      <c r="Q74" s="18" t="n">
        <v>0</v>
      </c>
      <c r="R74" s="20" t="n">
        <v>0</v>
      </c>
      <c r="S74" s="18" t="n">
        <v>0.33134951</v>
      </c>
      <c r="T74" s="20" t="n">
        <v>0.17608222</v>
      </c>
    </row>
    <row r="75" spans="1:20">
      <c r="A75" s="15" t="s">
        <v>635</v>
      </c>
      <c r="B75" s="17" t="n">
        <v>8249</v>
      </c>
      <c r="C75" s="18">
        <f>(6391.0/B75*100)</f>
        <v/>
      </c>
      <c r="D75" s="19" t="n">
        <v>1858</v>
      </c>
      <c r="E75" s="18" t="n">
        <v>49.76259287</v>
      </c>
      <c r="F75" s="20" t="n">
        <v>1.53072161</v>
      </c>
      <c r="G75" s="18" t="n">
        <v>36.33238237</v>
      </c>
      <c r="H75" s="20" t="n">
        <v>1.30358605</v>
      </c>
      <c r="I75" s="18" t="n">
        <v>13.11506428</v>
      </c>
      <c r="J75" s="20" t="n">
        <v>1.24821754</v>
      </c>
      <c r="K75" s="18" t="n">
        <v>0</v>
      </c>
      <c r="L75" s="20" t="n">
        <v>0</v>
      </c>
      <c r="M75" s="18" t="n">
        <v>0</v>
      </c>
      <c r="N75" s="20" t="n">
        <v>0</v>
      </c>
      <c r="O75" s="18" t="n">
        <v>0</v>
      </c>
      <c r="P75" s="20" t="n">
        <v>0</v>
      </c>
      <c r="Q75" s="18" t="n">
        <v>0</v>
      </c>
      <c r="R75" s="20" t="n">
        <v>0</v>
      </c>
      <c r="S75" s="18" t="n">
        <v>0.78996048</v>
      </c>
      <c r="T75" s="20" t="n">
        <v>0.28047554</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(4261.0/B77*100)</f>
        <v/>
      </c>
      <c r="D77" s="19" t="n">
        <v>1114</v>
      </c>
      <c r="E77" s="18" t="n">
        <v>56.47925556</v>
      </c>
      <c r="F77" s="20" t="n">
        <v>1.84265599</v>
      </c>
      <c r="G77" s="18" t="n">
        <v>33.46591427</v>
      </c>
      <c r="H77" s="20" t="n">
        <v>1.67507202</v>
      </c>
      <c r="I77" s="18" t="n">
        <v>3.38953057</v>
      </c>
      <c r="J77" s="20" t="n">
        <v>0.5767267700000001</v>
      </c>
      <c r="K77" s="18" t="n">
        <v>0</v>
      </c>
      <c r="L77" s="20" t="n">
        <v>0</v>
      </c>
      <c r="M77" s="18" t="n">
        <v>1.93525067</v>
      </c>
      <c r="N77" s="20" t="n">
        <v>0.5119288</v>
      </c>
      <c r="O77" s="18" t="n">
        <v>0</v>
      </c>
      <c r="P77" s="20" t="n">
        <v>0</v>
      </c>
      <c r="Q77" s="18" t="n">
        <v>0</v>
      </c>
      <c r="R77" s="20" t="n">
        <v>0</v>
      </c>
      <c r="S77" s="18" t="n">
        <v>4.73004893</v>
      </c>
      <c r="T77" s="20" t="n">
        <v>0.78260825</v>
      </c>
    </row>
    <row r="78" spans="1:20">
      <c r="A78" s="15" t="s">
        <v>638</v>
      </c>
      <c r="B78" s="17" t="n">
        <v>14167</v>
      </c>
      <c r="C78" s="18">
        <f>(11068.0/B78*100)</f>
        <v/>
      </c>
      <c r="D78" s="19" t="n">
        <v>3099</v>
      </c>
      <c r="E78" s="18" t="n">
        <v>48.1317256</v>
      </c>
      <c r="F78" s="20" t="n">
        <v>1.23277764</v>
      </c>
      <c r="G78" s="18" t="n">
        <v>33.20988857</v>
      </c>
      <c r="H78" s="20" t="n">
        <v>1.0319777</v>
      </c>
      <c r="I78" s="18" t="n">
        <v>17.07094693</v>
      </c>
      <c r="J78" s="20" t="n">
        <v>0.83941822</v>
      </c>
      <c r="K78" s="18" t="n">
        <v>0</v>
      </c>
      <c r="L78" s="20" t="n">
        <v>0</v>
      </c>
      <c r="M78" s="18" t="n">
        <v>0.37113754</v>
      </c>
      <c r="N78" s="20" t="n">
        <v>0.11007945</v>
      </c>
      <c r="O78" s="18" t="n">
        <v>0</v>
      </c>
      <c r="P78" s="20" t="n">
        <v>0</v>
      </c>
      <c r="Q78" s="18" t="n">
        <v>0</v>
      </c>
      <c r="R78" s="20" t="n">
        <v>0</v>
      </c>
      <c r="S78" s="18" t="n">
        <v>1.21630137</v>
      </c>
      <c r="T78" s="20" t="n">
        <v>0.22925968</v>
      </c>
    </row>
    <row r="79" spans="1:20">
      <c r="A79" s="15" t="s">
        <v>639</v>
      </c>
      <c r="B79" s="17" t="n">
        <v>6062</v>
      </c>
      <c r="C79" s="18">
        <f>(4754.0/B79*100)</f>
        <v/>
      </c>
      <c r="D79" s="19" t="n">
        <v>1308</v>
      </c>
      <c r="E79" s="18" t="n">
        <v>44.73011366</v>
      </c>
      <c r="F79" s="20" t="n">
        <v>1.46396919</v>
      </c>
      <c r="G79" s="18" t="n">
        <v>34.6024172</v>
      </c>
      <c r="H79" s="20" t="n">
        <v>1.29094762</v>
      </c>
      <c r="I79" s="18" t="n">
        <v>14.47623099</v>
      </c>
      <c r="J79" s="20" t="n">
        <v>1.18294011</v>
      </c>
      <c r="K79" s="18" t="n">
        <v>0</v>
      </c>
      <c r="L79" s="20" t="n">
        <v>0</v>
      </c>
      <c r="M79" s="18" t="n">
        <v>0.81795103</v>
      </c>
      <c r="N79" s="20" t="n">
        <v>0.23830541</v>
      </c>
      <c r="O79" s="18" t="n">
        <v>0</v>
      </c>
      <c r="P79" s="20" t="n">
        <v>0</v>
      </c>
      <c r="Q79" s="18" t="n">
        <v>0</v>
      </c>
      <c r="R79" s="20" t="n">
        <v>0</v>
      </c>
      <c r="S79" s="18" t="n">
        <v>5.37328712</v>
      </c>
      <c r="T79" s="20" t="n">
        <v>0.67123291</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(25181.0/B82*100)</f>
        <v/>
      </c>
      <c r="D82" s="19" t="n">
        <v>7149</v>
      </c>
      <c r="E82" s="18" t="n">
        <v>35.78752693</v>
      </c>
      <c r="F82" s="20" t="n">
        <v>0.87227819</v>
      </c>
      <c r="G82" s="18" t="n">
        <v>35.29550414</v>
      </c>
      <c r="H82" s="20" t="n">
        <v>0.90086099</v>
      </c>
      <c r="I82" s="18" t="n">
        <v>27.2021632</v>
      </c>
      <c r="J82" s="20" t="n">
        <v>0.97933936</v>
      </c>
      <c r="K82" s="18" t="n">
        <v>0</v>
      </c>
      <c r="L82" s="20" t="n">
        <v>0</v>
      </c>
      <c r="M82" s="18" t="n">
        <v>0.35544967</v>
      </c>
      <c r="N82" s="20" t="n">
        <v>0.13792812</v>
      </c>
      <c r="O82" s="18" t="n">
        <v>0</v>
      </c>
      <c r="P82" s="20" t="n">
        <v>0</v>
      </c>
      <c r="Q82" s="18" t="n">
        <v>0</v>
      </c>
      <c r="R82" s="20" t="n">
        <v>0</v>
      </c>
      <c r="S82" s="18" t="n">
        <v>1.35935607</v>
      </c>
      <c r="T82" s="20" t="n">
        <v>0.21382025</v>
      </c>
    </row>
    <row r="83" spans="1:20">
      <c r="A83" s="15" t="s">
        <v>643</v>
      </c>
      <c r="B83" s="17" t="n">
        <v>1652</v>
      </c>
      <c r="C83" s="18">
        <f>(1286.0/B83*100)</f>
        <v/>
      </c>
      <c r="D83" s="19" t="n">
        <v>366</v>
      </c>
      <c r="E83" s="18" t="n">
        <v>26.24295207</v>
      </c>
      <c r="F83" s="20" t="n">
        <v>2.24731763</v>
      </c>
      <c r="G83" s="18" t="n">
        <v>26.49156178</v>
      </c>
      <c r="H83" s="20" t="n">
        <v>2.41571093</v>
      </c>
      <c r="I83" s="18" t="n">
        <v>46.66908853</v>
      </c>
      <c r="J83" s="20" t="n">
        <v>3.21914543</v>
      </c>
      <c r="K83" s="18" t="n">
        <v>0</v>
      </c>
      <c r="L83" s="20" t="n">
        <v>0</v>
      </c>
      <c r="M83" s="18" t="n">
        <v>0</v>
      </c>
      <c r="N83" s="20" t="n">
        <v>0</v>
      </c>
      <c r="O83" s="18" t="n">
        <v>0</v>
      </c>
      <c r="P83" s="20" t="n">
        <v>0</v>
      </c>
      <c r="Q83" s="18" t="n">
        <v>0</v>
      </c>
      <c r="R83" s="20" t="n">
        <v>0</v>
      </c>
      <c r="S83" s="18" t="n">
        <v>0.59639762</v>
      </c>
      <c r="T83" s="20" t="n">
        <v>0.4295923</v>
      </c>
    </row>
    <row r="84" spans="1:20">
      <c r="A84" s="23" t="s">
        <v>644</v>
      </c>
      <c r="B84" s="24" t="n">
        <v>1887</v>
      </c>
      <c r="C84" s="25">
        <f>(1481.0/B84*100)</f>
        <v/>
      </c>
      <c r="D84" s="19" t="n">
        <v>406</v>
      </c>
      <c r="E84" s="18" t="n">
        <v>34.90018142</v>
      </c>
      <c r="F84" s="20" t="n">
        <v>3.32889005</v>
      </c>
      <c r="G84" s="18" t="n">
        <v>32.4092366</v>
      </c>
      <c r="H84" s="20" t="n">
        <v>2.55791664</v>
      </c>
      <c r="I84" s="18" t="n">
        <v>31.91859478</v>
      </c>
      <c r="J84" s="20" t="n">
        <v>2.35760215</v>
      </c>
      <c r="K84" s="18" t="n">
        <v>0</v>
      </c>
      <c r="L84" s="20" t="n">
        <v>0</v>
      </c>
      <c r="M84" s="18" t="n">
        <v>0</v>
      </c>
      <c r="N84" s="20" t="n">
        <v>0</v>
      </c>
      <c r="O84" s="18" t="n">
        <v>0</v>
      </c>
      <c r="P84" s="20" t="n">
        <v>0</v>
      </c>
      <c r="Q84" s="18" t="n">
        <v>0</v>
      </c>
      <c r="R84" s="20" t="n">
        <v>0</v>
      </c>
      <c r="S84" s="18" t="n">
        <v>0.77198721</v>
      </c>
      <c r="T84" s="20" t="n">
        <v>0.48080404</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9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756</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(11379.0/B7*100)</f>
        <v/>
      </c>
      <c r="D7" s="19" t="n">
        <v>3151</v>
      </c>
      <c r="E7" s="18" t="n">
        <v>69.12961696000001</v>
      </c>
      <c r="F7" s="20" t="n">
        <v>1.13916204</v>
      </c>
      <c r="G7" s="18" t="n">
        <v>12.67176702</v>
      </c>
      <c r="H7" s="20" t="n">
        <v>0.74264332</v>
      </c>
      <c r="I7" s="18" t="n">
        <v>15.76717947</v>
      </c>
      <c r="J7" s="20" t="n">
        <v>0.83802577</v>
      </c>
      <c r="K7" s="18" t="n">
        <v>0</v>
      </c>
      <c r="L7" s="20" t="n">
        <v>0</v>
      </c>
      <c r="M7" s="18" t="n">
        <v>0.1833616</v>
      </c>
      <c r="N7" s="20" t="n">
        <v>0.07113092999999999</v>
      </c>
      <c r="O7" s="18" t="n">
        <v>0.06324124</v>
      </c>
      <c r="P7" s="20" t="n">
        <v>0.05649203</v>
      </c>
      <c r="Q7" s="18" t="n">
        <v>0</v>
      </c>
      <c r="R7" s="20" t="n">
        <v>0</v>
      </c>
      <c r="S7" s="18" t="n">
        <v>2.18483371</v>
      </c>
      <c r="T7" s="20" t="n">
        <v>0.28459987</v>
      </c>
    </row>
    <row r="8" spans="1:20">
      <c r="A8" s="15" t="s">
        <v>566</v>
      </c>
      <c r="B8" s="17" t="n">
        <v>7007</v>
      </c>
      <c r="C8" s="18">
        <f>(5449.0/B8*100)</f>
        <v/>
      </c>
      <c r="D8" s="19" t="n">
        <v>1558</v>
      </c>
      <c r="E8" s="18" t="n">
        <v>77.26229624</v>
      </c>
      <c r="F8" s="20" t="n">
        <v>1.17528021</v>
      </c>
      <c r="G8" s="18" t="n">
        <v>9.093028540000001</v>
      </c>
      <c r="H8" s="20" t="n">
        <v>0.77854043</v>
      </c>
      <c r="I8" s="18" t="n">
        <v>9.5482324</v>
      </c>
      <c r="J8" s="20" t="n">
        <v>0.70739603</v>
      </c>
      <c r="K8" s="18" t="n">
        <v>0</v>
      </c>
      <c r="L8" s="20" t="n">
        <v>0</v>
      </c>
      <c r="M8" s="18" t="n">
        <v>0.19735598</v>
      </c>
      <c r="N8" s="20" t="n">
        <v>0.12463037</v>
      </c>
      <c r="O8" s="18" t="n">
        <v>0</v>
      </c>
      <c r="P8" s="20" t="n">
        <v>0</v>
      </c>
      <c r="Q8" s="18" t="n">
        <v>0</v>
      </c>
      <c r="R8" s="20" t="n">
        <v>0</v>
      </c>
      <c r="S8" s="18" t="n">
        <v>3.89908684</v>
      </c>
      <c r="T8" s="20" t="n">
        <v>0.61119162</v>
      </c>
    </row>
    <row r="9" spans="1:20">
      <c r="A9" s="15" t="s">
        <v>567</v>
      </c>
      <c r="B9" s="17" t="n">
        <v>9651</v>
      </c>
      <c r="C9" s="18">
        <f>(7579.0/B9*100)</f>
        <v/>
      </c>
      <c r="D9" s="19" t="n">
        <v>2072</v>
      </c>
      <c r="E9" s="18" t="n">
        <v>73.37501296000001</v>
      </c>
      <c r="F9" s="20" t="n">
        <v>0.99703569</v>
      </c>
      <c r="G9" s="18" t="n">
        <v>10.30160394</v>
      </c>
      <c r="H9" s="20" t="n">
        <v>0.72835488</v>
      </c>
      <c r="I9" s="18" t="n">
        <v>11.83842528</v>
      </c>
      <c r="J9" s="20" t="n">
        <v>0.71604242</v>
      </c>
      <c r="K9" s="18" t="n">
        <v>0</v>
      </c>
      <c r="L9" s="20" t="n">
        <v>0</v>
      </c>
      <c r="M9" s="18" t="n">
        <v>0.18346904</v>
      </c>
      <c r="N9" s="20" t="n">
        <v>0.09358379</v>
      </c>
      <c r="O9" s="18" t="n">
        <v>0.44132167</v>
      </c>
      <c r="P9" s="20" t="n">
        <v>0.16455343</v>
      </c>
      <c r="Q9" s="18" t="n">
        <v>0</v>
      </c>
      <c r="R9" s="20" t="n">
        <v>0</v>
      </c>
      <c r="S9" s="18" t="n">
        <v>3.86016711</v>
      </c>
      <c r="T9" s="20" t="n">
        <v>0.57370463</v>
      </c>
    </row>
    <row r="10" spans="1:20">
      <c r="A10" s="15" t="s">
        <v>568</v>
      </c>
      <c r="B10" s="17" t="n">
        <v>20058</v>
      </c>
      <c r="C10" s="18">
        <f>(15702.0/B10*100)</f>
        <v/>
      </c>
      <c r="D10" s="19" t="n">
        <v>4356</v>
      </c>
      <c r="E10" s="18" t="n">
        <v>66.49440703</v>
      </c>
      <c r="F10" s="20" t="n">
        <v>1.07268023</v>
      </c>
      <c r="G10" s="18" t="n">
        <v>14.19205527</v>
      </c>
      <c r="H10" s="20" t="n">
        <v>0.89749025</v>
      </c>
      <c r="I10" s="18" t="n">
        <v>17.52697663</v>
      </c>
      <c r="J10" s="20" t="n">
        <v>0.81338666</v>
      </c>
      <c r="K10" s="18" t="n">
        <v>0</v>
      </c>
      <c r="L10" s="20" t="n">
        <v>0</v>
      </c>
      <c r="M10" s="18" t="n">
        <v>0.33402242</v>
      </c>
      <c r="N10" s="20" t="n">
        <v>0.11732817</v>
      </c>
      <c r="O10" s="18" t="n">
        <v>0.00299846</v>
      </c>
      <c r="P10" s="20" t="n">
        <v>0.0028523</v>
      </c>
      <c r="Q10" s="18" t="n">
        <v>0</v>
      </c>
      <c r="R10" s="20" t="n">
        <v>0</v>
      </c>
      <c r="S10" s="18" t="n">
        <v>1.44954019</v>
      </c>
      <c r="T10" s="20" t="n">
        <v>0.23736835</v>
      </c>
    </row>
    <row r="11" spans="1:20">
      <c r="A11" s="15" t="s">
        <v>569</v>
      </c>
      <c r="B11" s="17" t="n">
        <v>7053</v>
      </c>
      <c r="C11" s="18">
        <f>(5570.0/B11*100)</f>
        <v/>
      </c>
      <c r="D11" s="19" t="n">
        <v>1483</v>
      </c>
      <c r="E11" s="18" t="n">
        <v>84.83375374000001</v>
      </c>
      <c r="F11" s="20" t="n">
        <v>0.8296910199999999</v>
      </c>
      <c r="G11" s="18" t="n">
        <v>4.66572113</v>
      </c>
      <c r="H11" s="20" t="n">
        <v>0.42561241</v>
      </c>
      <c r="I11" s="18" t="n">
        <v>4.05290501</v>
      </c>
      <c r="J11" s="20" t="n">
        <v>0.44245615</v>
      </c>
      <c r="K11" s="18" t="n">
        <v>0</v>
      </c>
      <c r="L11" s="20" t="n">
        <v>0</v>
      </c>
      <c r="M11" s="18" t="n">
        <v>0.5117220099999999</v>
      </c>
      <c r="N11" s="20" t="n">
        <v>0.14975743</v>
      </c>
      <c r="O11" s="18" t="n">
        <v>0.09443595</v>
      </c>
      <c r="P11" s="20" t="n">
        <v>0.09836554</v>
      </c>
      <c r="Q11" s="18" t="n">
        <v>0</v>
      </c>
      <c r="R11" s="20" t="n">
        <v>0</v>
      </c>
      <c r="S11" s="18" t="n">
        <v>5.84146215</v>
      </c>
      <c r="T11" s="20" t="n">
        <v>0.62048342</v>
      </c>
    </row>
    <row r="12" spans="1:20">
      <c r="A12" s="15" t="s">
        <v>570</v>
      </c>
      <c r="B12" s="17" t="n">
        <v>6894</v>
      </c>
      <c r="C12" s="18">
        <f>(5425.0/B12*100)</f>
        <v/>
      </c>
      <c r="D12" s="19" t="n">
        <v>1469</v>
      </c>
      <c r="E12" s="18" t="n">
        <v>78.87568544</v>
      </c>
      <c r="F12" s="20" t="n">
        <v>1.04793574</v>
      </c>
      <c r="G12" s="18" t="n">
        <v>11.5820789</v>
      </c>
      <c r="H12" s="20" t="n">
        <v>0.7528350700000001</v>
      </c>
      <c r="I12" s="18" t="n">
        <v>6.87637465</v>
      </c>
      <c r="J12" s="20" t="n">
        <v>0.740445</v>
      </c>
      <c r="K12" s="18" t="n">
        <v>0</v>
      </c>
      <c r="L12" s="20" t="n">
        <v>0</v>
      </c>
      <c r="M12" s="18" t="n">
        <v>0.06378177</v>
      </c>
      <c r="N12" s="20" t="n">
        <v>0.06257646</v>
      </c>
      <c r="O12" s="18" t="n">
        <v>0</v>
      </c>
      <c r="P12" s="20" t="n">
        <v>0</v>
      </c>
      <c r="Q12" s="18" t="n">
        <v>0</v>
      </c>
      <c r="R12" s="20" t="n">
        <v>0</v>
      </c>
      <c r="S12" s="18" t="n">
        <v>2.60207924</v>
      </c>
      <c r="T12" s="20" t="n">
        <v>0.45226606</v>
      </c>
    </row>
    <row r="13" spans="1:20">
      <c r="A13" s="15" t="s">
        <v>571</v>
      </c>
      <c r="B13" s="17" t="n">
        <v>7161</v>
      </c>
      <c r="C13" s="18">
        <f>(5706.0/B13*100)</f>
        <v/>
      </c>
      <c r="D13" s="19" t="n">
        <v>1455</v>
      </c>
      <c r="E13" s="18" t="n">
        <v>75.72255692</v>
      </c>
      <c r="F13" s="20" t="n">
        <v>1.55908469</v>
      </c>
      <c r="G13" s="18" t="n">
        <v>8.894621880000001</v>
      </c>
      <c r="H13" s="20" t="n">
        <v>0.82883344</v>
      </c>
      <c r="I13" s="18" t="n">
        <v>12.38751306</v>
      </c>
      <c r="J13" s="20" t="n">
        <v>1.12203395</v>
      </c>
      <c r="K13" s="18" t="n">
        <v>0</v>
      </c>
      <c r="L13" s="20" t="n">
        <v>0</v>
      </c>
      <c r="M13" s="18" t="n">
        <v>0.6827159900000001</v>
      </c>
      <c r="N13" s="20" t="n">
        <v>0.25426441</v>
      </c>
      <c r="O13" s="18" t="n">
        <v>0.06583971</v>
      </c>
      <c r="P13" s="20" t="n">
        <v>0.06648987000000001</v>
      </c>
      <c r="Q13" s="18" t="n">
        <v>0</v>
      </c>
      <c r="R13" s="20" t="n">
        <v>0</v>
      </c>
      <c r="S13" s="18" t="n">
        <v>2.24675244</v>
      </c>
      <c r="T13" s="20" t="n">
        <v>0.48510532</v>
      </c>
    </row>
    <row r="14" spans="1:20">
      <c r="A14" s="15" t="s">
        <v>572</v>
      </c>
      <c r="B14" s="17" t="n">
        <v>5587</v>
      </c>
      <c r="C14" s="18">
        <f>(4396.0/B14*100)</f>
        <v/>
      </c>
      <c r="D14" s="19" t="n">
        <v>1191</v>
      </c>
      <c r="E14" s="18" t="n">
        <v>69.9400886</v>
      </c>
      <c r="F14" s="20" t="n">
        <v>1.51140033</v>
      </c>
      <c r="G14" s="18" t="n">
        <v>12.27793201</v>
      </c>
      <c r="H14" s="20" t="n">
        <v>1.1613994</v>
      </c>
      <c r="I14" s="18" t="n">
        <v>16.21978366</v>
      </c>
      <c r="J14" s="20" t="n">
        <v>1.22558958</v>
      </c>
      <c r="K14" s="18" t="n">
        <v>0</v>
      </c>
      <c r="L14" s="20" t="n">
        <v>0</v>
      </c>
      <c r="M14" s="18" t="n">
        <v>0.13612489</v>
      </c>
      <c r="N14" s="20" t="n">
        <v>0.09388863</v>
      </c>
      <c r="O14" s="18" t="n">
        <v>0</v>
      </c>
      <c r="P14" s="20" t="n">
        <v>0</v>
      </c>
      <c r="Q14" s="18" t="n">
        <v>0</v>
      </c>
      <c r="R14" s="20" t="n">
        <v>0</v>
      </c>
      <c r="S14" s="18" t="n">
        <v>1.42607083</v>
      </c>
      <c r="T14" s="20" t="n">
        <v>0.42249717</v>
      </c>
    </row>
    <row r="15" spans="1:20">
      <c r="A15" s="15" t="s">
        <v>573</v>
      </c>
      <c r="B15" s="17" t="n">
        <v>5882</v>
      </c>
      <c r="C15" s="18">
        <f>(4560.0/B15*100)</f>
        <v/>
      </c>
      <c r="D15" s="19" t="n">
        <v>1322</v>
      </c>
      <c r="E15" s="18" t="n">
        <v>70.05896352000001</v>
      </c>
      <c r="F15" s="20" t="n">
        <v>1.44588592</v>
      </c>
      <c r="G15" s="18" t="n">
        <v>11.55561895</v>
      </c>
      <c r="H15" s="20" t="n">
        <v>0.90943736</v>
      </c>
      <c r="I15" s="18" t="n">
        <v>16.35610173</v>
      </c>
      <c r="J15" s="20" t="n">
        <v>1.09341579</v>
      </c>
      <c r="K15" s="18" t="n">
        <v>0</v>
      </c>
      <c r="L15" s="20" t="n">
        <v>0</v>
      </c>
      <c r="M15" s="18" t="n">
        <v>0</v>
      </c>
      <c r="N15" s="20" t="n">
        <v>0</v>
      </c>
      <c r="O15" s="18" t="n">
        <v>0</v>
      </c>
      <c r="P15" s="20" t="n">
        <v>0</v>
      </c>
      <c r="Q15" s="18" t="n">
        <v>0</v>
      </c>
      <c r="R15" s="20" t="n">
        <v>0</v>
      </c>
      <c r="S15" s="18" t="n">
        <v>2.0293158</v>
      </c>
      <c r="T15" s="20" t="n">
        <v>0.41117352</v>
      </c>
    </row>
    <row r="16" spans="1:20">
      <c r="A16" s="15" t="s">
        <v>574</v>
      </c>
      <c r="B16" s="17" t="n">
        <v>6108</v>
      </c>
      <c r="C16" s="18">
        <f>(4745.0/B16*100)</f>
        <v/>
      </c>
      <c r="D16" s="19" t="n">
        <v>1363</v>
      </c>
      <c r="E16" s="18" t="n">
        <v>70.46811793000001</v>
      </c>
      <c r="F16" s="20" t="n">
        <v>1.25915637</v>
      </c>
      <c r="G16" s="18" t="n">
        <v>11.54465606</v>
      </c>
      <c r="H16" s="20" t="n">
        <v>0.88490915</v>
      </c>
      <c r="I16" s="18" t="n">
        <v>13.10458325</v>
      </c>
      <c r="J16" s="20" t="n">
        <v>0.84524973</v>
      </c>
      <c r="K16" s="18" t="n">
        <v>0</v>
      </c>
      <c r="L16" s="20" t="n">
        <v>0</v>
      </c>
      <c r="M16" s="18" t="n">
        <v>0.48832193</v>
      </c>
      <c r="N16" s="20" t="n">
        <v>0.15002103</v>
      </c>
      <c r="O16" s="18" t="n">
        <v>0</v>
      </c>
      <c r="P16" s="20" t="n">
        <v>0</v>
      </c>
      <c r="Q16" s="18" t="n">
        <v>0</v>
      </c>
      <c r="R16" s="20" t="n">
        <v>0</v>
      </c>
      <c r="S16" s="18" t="n">
        <v>4.39432083</v>
      </c>
      <c r="T16" s="20" t="n">
        <v>0.51754261</v>
      </c>
    </row>
    <row r="17" spans="1:20">
      <c r="A17" s="15" t="s">
        <v>575</v>
      </c>
      <c r="B17" s="17" t="n">
        <v>6504</v>
      </c>
      <c r="C17" s="18">
        <f>(5156.0/B17*100)</f>
        <v/>
      </c>
      <c r="D17" s="19" t="n">
        <v>1348</v>
      </c>
      <c r="E17" s="18" t="n">
        <v>73.37324950999999</v>
      </c>
      <c r="F17" s="20" t="n">
        <v>1.41223923</v>
      </c>
      <c r="G17" s="18" t="n">
        <v>11.42872498</v>
      </c>
      <c r="H17" s="20" t="n">
        <v>1.04144803</v>
      </c>
      <c r="I17" s="18" t="n">
        <v>11.99416075</v>
      </c>
      <c r="J17" s="20" t="n">
        <v>0.87340637</v>
      </c>
      <c r="K17" s="18" t="n">
        <v>0</v>
      </c>
      <c r="L17" s="20" t="n">
        <v>0</v>
      </c>
      <c r="M17" s="18" t="n">
        <v>0.16533148</v>
      </c>
      <c r="N17" s="20" t="n">
        <v>0.12595356</v>
      </c>
      <c r="O17" s="18" t="n">
        <v>0</v>
      </c>
      <c r="P17" s="20" t="n">
        <v>0</v>
      </c>
      <c r="Q17" s="18" t="n">
        <v>0</v>
      </c>
      <c r="R17" s="20" t="n">
        <v>0</v>
      </c>
      <c r="S17" s="18" t="n">
        <v>3.03853328</v>
      </c>
      <c r="T17" s="20" t="n">
        <v>0.4631364</v>
      </c>
    </row>
    <row r="18" spans="1:20">
      <c r="A18" s="15" t="s">
        <v>576</v>
      </c>
      <c r="B18" s="17" t="n">
        <v>5532</v>
      </c>
      <c r="C18" s="18">
        <f>(4315.0/B18*100)</f>
        <v/>
      </c>
      <c r="D18" s="19" t="n">
        <v>1217</v>
      </c>
      <c r="E18" s="18" t="n">
        <v>83.24246629</v>
      </c>
      <c r="F18" s="20" t="n">
        <v>1.53632162</v>
      </c>
      <c r="G18" s="18" t="n">
        <v>7.08908462</v>
      </c>
      <c r="H18" s="20" t="n">
        <v>0.82686017</v>
      </c>
      <c r="I18" s="18" t="n">
        <v>6.80261096</v>
      </c>
      <c r="J18" s="20" t="n">
        <v>0.9468438</v>
      </c>
      <c r="K18" s="18" t="n">
        <v>0</v>
      </c>
      <c r="L18" s="20" t="n">
        <v>0</v>
      </c>
      <c r="M18" s="18" t="n">
        <v>0.50202557</v>
      </c>
      <c r="N18" s="20" t="n">
        <v>0.23171378</v>
      </c>
      <c r="O18" s="18" t="n">
        <v>0.17418141</v>
      </c>
      <c r="P18" s="20" t="n">
        <v>0.16369407</v>
      </c>
      <c r="Q18" s="18" t="n">
        <v>0</v>
      </c>
      <c r="R18" s="20" t="n">
        <v>0</v>
      </c>
      <c r="S18" s="18" t="n">
        <v>2.18963116</v>
      </c>
      <c r="T18" s="20" t="n">
        <v>0.50568684</v>
      </c>
    </row>
    <row r="19" spans="1:20">
      <c r="A19" s="15" t="s">
        <v>577</v>
      </c>
      <c r="B19" s="17" t="n">
        <v>5658</v>
      </c>
      <c r="C19" s="18">
        <f>(4460.0/B19*100)</f>
        <v/>
      </c>
      <c r="D19" s="19" t="n">
        <v>1198</v>
      </c>
      <c r="E19" s="18" t="n">
        <v>82.51715766</v>
      </c>
      <c r="F19" s="20" t="n">
        <v>1.13737614</v>
      </c>
      <c r="G19" s="18" t="n">
        <v>7.97879022</v>
      </c>
      <c r="H19" s="20" t="n">
        <v>0.87767871</v>
      </c>
      <c r="I19" s="18" t="n">
        <v>7.48845075</v>
      </c>
      <c r="J19" s="20" t="n">
        <v>0.60786239</v>
      </c>
      <c r="K19" s="18" t="n">
        <v>0</v>
      </c>
      <c r="L19" s="20" t="n">
        <v>0</v>
      </c>
      <c r="M19" s="18" t="n">
        <v>0</v>
      </c>
      <c r="N19" s="20" t="n">
        <v>0</v>
      </c>
      <c r="O19" s="18" t="n">
        <v>0</v>
      </c>
      <c r="P19" s="20" t="n">
        <v>0</v>
      </c>
      <c r="Q19" s="18" t="n">
        <v>0</v>
      </c>
      <c r="R19" s="20" t="n">
        <v>0</v>
      </c>
      <c r="S19" s="18" t="n">
        <v>2.01560137</v>
      </c>
      <c r="T19" s="20" t="n">
        <v>0.47821237</v>
      </c>
    </row>
    <row r="20" spans="1:20">
      <c r="A20" s="15" t="s">
        <v>578</v>
      </c>
      <c r="B20" s="17" t="n">
        <v>3371</v>
      </c>
      <c r="C20" s="18">
        <f>(2644.0/B20*100)</f>
        <v/>
      </c>
      <c r="D20" s="19" t="n">
        <v>727</v>
      </c>
      <c r="E20" s="18" t="n">
        <v>74.69185525</v>
      </c>
      <c r="F20" s="20" t="n">
        <v>1.61025818</v>
      </c>
      <c r="G20" s="18" t="n">
        <v>11.14094355</v>
      </c>
      <c r="H20" s="20" t="n">
        <v>1.05080532</v>
      </c>
      <c r="I20" s="18" t="n">
        <v>9.69131979</v>
      </c>
      <c r="J20" s="20" t="n">
        <v>1.14029505</v>
      </c>
      <c r="K20" s="18" t="n">
        <v>0</v>
      </c>
      <c r="L20" s="20" t="n">
        <v>0</v>
      </c>
      <c r="M20" s="18" t="n">
        <v>0.54140323</v>
      </c>
      <c r="N20" s="20" t="n">
        <v>0.26325204</v>
      </c>
      <c r="O20" s="18" t="n">
        <v>0.54926073</v>
      </c>
      <c r="P20" s="20" t="n">
        <v>0.14098361</v>
      </c>
      <c r="Q20" s="18" t="n">
        <v>0</v>
      </c>
      <c r="R20" s="20" t="n">
        <v>0</v>
      </c>
      <c r="S20" s="18" t="n">
        <v>3.38521743</v>
      </c>
      <c r="T20" s="20" t="n">
        <v>0.70301277</v>
      </c>
    </row>
    <row r="21" spans="1:20">
      <c r="A21" s="15" t="s">
        <v>579</v>
      </c>
      <c r="B21" s="17" t="n">
        <v>5741</v>
      </c>
      <c r="C21" s="18">
        <f>(4467.0/B21*100)</f>
        <v/>
      </c>
      <c r="D21" s="19" t="n">
        <v>1274</v>
      </c>
      <c r="E21" s="18" t="n">
        <v>75.14962502</v>
      </c>
      <c r="F21" s="20" t="n">
        <v>1.33632195</v>
      </c>
      <c r="G21" s="18" t="n">
        <v>10.79377432</v>
      </c>
      <c r="H21" s="20" t="n">
        <v>0.89647698</v>
      </c>
      <c r="I21" s="18" t="n">
        <v>11.64224278</v>
      </c>
      <c r="J21" s="20" t="n">
        <v>1.06454379</v>
      </c>
      <c r="K21" s="18" t="n">
        <v>0</v>
      </c>
      <c r="L21" s="20" t="n">
        <v>0</v>
      </c>
      <c r="M21" s="18" t="n">
        <v>0</v>
      </c>
      <c r="N21" s="20" t="n">
        <v>0</v>
      </c>
      <c r="O21" s="18" t="n">
        <v>0</v>
      </c>
      <c r="P21" s="20" t="n">
        <v>0</v>
      </c>
      <c r="Q21" s="18" t="n">
        <v>0</v>
      </c>
      <c r="R21" s="20" t="n">
        <v>0</v>
      </c>
      <c r="S21" s="18" t="n">
        <v>2.41435788</v>
      </c>
      <c r="T21" s="20" t="n">
        <v>0.44726573</v>
      </c>
    </row>
    <row r="22" spans="1:20">
      <c r="A22" s="15" t="s">
        <v>580</v>
      </c>
      <c r="B22" s="17" t="n">
        <v>6598</v>
      </c>
      <c r="C22" s="18">
        <f>(5172.0/B22*100)</f>
        <v/>
      </c>
      <c r="D22" s="19" t="n">
        <v>1426</v>
      </c>
      <c r="E22" s="18" t="n">
        <v>74.55163578</v>
      </c>
      <c r="F22" s="20" t="n">
        <v>1.41143559</v>
      </c>
      <c r="G22" s="18" t="n">
        <v>8.00771282</v>
      </c>
      <c r="H22" s="20" t="n">
        <v>0.73934822</v>
      </c>
      <c r="I22" s="18" t="n">
        <v>11.24463999</v>
      </c>
      <c r="J22" s="20" t="n">
        <v>1.05534572</v>
      </c>
      <c r="K22" s="18" t="n">
        <v>0</v>
      </c>
      <c r="L22" s="20" t="n">
        <v>0</v>
      </c>
      <c r="M22" s="18" t="n">
        <v>0.86133472</v>
      </c>
      <c r="N22" s="20" t="n">
        <v>0.2309277</v>
      </c>
      <c r="O22" s="18" t="n">
        <v>0.10897041</v>
      </c>
      <c r="P22" s="20" t="n">
        <v>0.10867886</v>
      </c>
      <c r="Q22" s="18" t="n">
        <v>0</v>
      </c>
      <c r="R22" s="20" t="n">
        <v>0</v>
      </c>
      <c r="S22" s="18" t="n">
        <v>5.22570628</v>
      </c>
      <c r="T22" s="20" t="n">
        <v>0.71736347</v>
      </c>
    </row>
    <row r="23" spans="1:20">
      <c r="A23" s="15" t="s">
        <v>581</v>
      </c>
      <c r="B23" s="17" t="n">
        <v>11583</v>
      </c>
      <c r="C23" s="18">
        <f>(8984.0/B23*100)</f>
        <v/>
      </c>
      <c r="D23" s="19" t="n">
        <v>2599</v>
      </c>
      <c r="E23" s="18" t="n">
        <v>75.51095099</v>
      </c>
      <c r="F23" s="20" t="n">
        <v>1.26056301</v>
      </c>
      <c r="G23" s="18" t="n">
        <v>8.64015107</v>
      </c>
      <c r="H23" s="20" t="n">
        <v>0.9436809900000001</v>
      </c>
      <c r="I23" s="18" t="n">
        <v>9.10469754</v>
      </c>
      <c r="J23" s="20" t="n">
        <v>0.7726074000000001</v>
      </c>
      <c r="K23" s="18" t="n">
        <v>0</v>
      </c>
      <c r="L23" s="20" t="n">
        <v>0</v>
      </c>
      <c r="M23" s="18" t="n">
        <v>0.74799165</v>
      </c>
      <c r="N23" s="20" t="n">
        <v>0.32310092</v>
      </c>
      <c r="O23" s="18" t="n">
        <v>0.07247711</v>
      </c>
      <c r="P23" s="20" t="n">
        <v>0.05287871</v>
      </c>
      <c r="Q23" s="18" t="n">
        <v>0</v>
      </c>
      <c r="R23" s="20" t="n">
        <v>0</v>
      </c>
      <c r="S23" s="18" t="n">
        <v>5.92373164</v>
      </c>
      <c r="T23" s="20" t="n">
        <v>0.7175591</v>
      </c>
    </row>
    <row r="24" spans="1:20">
      <c r="A24" s="15" t="s">
        <v>582</v>
      </c>
      <c r="B24" s="17" t="n">
        <v>6647</v>
      </c>
      <c r="C24" s="18">
        <f>(5175.0/B24*100)</f>
        <v/>
      </c>
      <c r="D24" s="19" t="n">
        <v>1472</v>
      </c>
      <c r="E24" s="18" t="n">
        <v>70.45483796000001</v>
      </c>
      <c r="F24" s="20" t="n">
        <v>1.36928417</v>
      </c>
      <c r="G24" s="18" t="n">
        <v>9.03989432</v>
      </c>
      <c r="H24" s="20" t="n">
        <v>0.83762861</v>
      </c>
      <c r="I24" s="18" t="n">
        <v>17.76275389</v>
      </c>
      <c r="J24" s="20" t="n">
        <v>1.12047829</v>
      </c>
      <c r="K24" s="18" t="n">
        <v>0</v>
      </c>
      <c r="L24" s="20" t="n">
        <v>0</v>
      </c>
      <c r="M24" s="18" t="n">
        <v>0.06771377000000001</v>
      </c>
      <c r="N24" s="20" t="n">
        <v>0.06792927999999999</v>
      </c>
      <c r="O24" s="18" t="n">
        <v>0.06574582</v>
      </c>
      <c r="P24" s="20" t="n">
        <v>0.06590844999999999</v>
      </c>
      <c r="Q24" s="18" t="n">
        <v>0</v>
      </c>
      <c r="R24" s="20" t="n">
        <v>0</v>
      </c>
      <c r="S24" s="18" t="n">
        <v>2.60905423</v>
      </c>
      <c r="T24" s="20" t="n">
        <v>0.37657763</v>
      </c>
    </row>
    <row r="25" spans="1:20">
      <c r="A25" s="15" t="s">
        <v>583</v>
      </c>
      <c r="B25" s="17" t="n">
        <v>5581</v>
      </c>
      <c r="C25" s="18">
        <f>(4356.0/B25*100)</f>
        <v/>
      </c>
      <c r="D25" s="19" t="n">
        <v>1225</v>
      </c>
      <c r="E25" s="18" t="n">
        <v>81.08694632</v>
      </c>
      <c r="F25" s="20" t="n">
        <v>1.24890407</v>
      </c>
      <c r="G25" s="18" t="n">
        <v>7.62318382</v>
      </c>
      <c r="H25" s="20" t="n">
        <v>0.82988001</v>
      </c>
      <c r="I25" s="18" t="n">
        <v>9.98929131</v>
      </c>
      <c r="J25" s="20" t="n">
        <v>1.04300153</v>
      </c>
      <c r="K25" s="18" t="n">
        <v>0</v>
      </c>
      <c r="L25" s="20" t="n">
        <v>0</v>
      </c>
      <c r="M25" s="18" t="n">
        <v>0</v>
      </c>
      <c r="N25" s="20" t="n">
        <v>0</v>
      </c>
      <c r="O25" s="18" t="n">
        <v>0</v>
      </c>
      <c r="P25" s="20" t="n">
        <v>0</v>
      </c>
      <c r="Q25" s="18" t="n">
        <v>0</v>
      </c>
      <c r="R25" s="20" t="n">
        <v>0</v>
      </c>
      <c r="S25" s="18" t="n">
        <v>1.30057855</v>
      </c>
      <c r="T25" s="20" t="n">
        <v>0.34272917</v>
      </c>
    </row>
    <row r="26" spans="1:20">
      <c r="A26" s="15" t="s">
        <v>584</v>
      </c>
      <c r="B26" s="17" t="n">
        <v>4869</v>
      </c>
      <c r="C26" s="18">
        <f>(3815.0/B26*100)</f>
        <v/>
      </c>
      <c r="D26" s="19" t="n">
        <v>1054</v>
      </c>
      <c r="E26" s="18" t="n">
        <v>81.0262548</v>
      </c>
      <c r="F26" s="20" t="n">
        <v>1.38227125</v>
      </c>
      <c r="G26" s="18" t="n">
        <v>10.52501791</v>
      </c>
      <c r="H26" s="20" t="n">
        <v>1.03729395</v>
      </c>
      <c r="I26" s="18" t="n">
        <v>6.53786403</v>
      </c>
      <c r="J26" s="20" t="n">
        <v>0.83966517</v>
      </c>
      <c r="K26" s="18" t="n">
        <v>0</v>
      </c>
      <c r="L26" s="20" t="n">
        <v>0</v>
      </c>
      <c r="M26" s="18" t="n">
        <v>0.07783978</v>
      </c>
      <c r="N26" s="20" t="n">
        <v>0.07819379</v>
      </c>
      <c r="O26" s="18" t="n">
        <v>0.06554921</v>
      </c>
      <c r="P26" s="20" t="n">
        <v>0.06534576</v>
      </c>
      <c r="Q26" s="18" t="n">
        <v>0</v>
      </c>
      <c r="R26" s="20" t="n">
        <v>0</v>
      </c>
      <c r="S26" s="18" t="n">
        <v>1.76747425</v>
      </c>
      <c r="T26" s="20" t="n">
        <v>0.40007837</v>
      </c>
    </row>
    <row r="27" spans="1:20">
      <c r="A27" s="15" t="s">
        <v>585</v>
      </c>
      <c r="B27" s="17" t="n">
        <v>5299</v>
      </c>
      <c r="C27" s="18">
        <f>(4112.0/B27*100)</f>
        <v/>
      </c>
      <c r="D27" s="19" t="n">
        <v>1187</v>
      </c>
      <c r="E27" s="18" t="n">
        <v>78.76818971</v>
      </c>
      <c r="F27" s="20" t="n">
        <v>1.20128344</v>
      </c>
      <c r="G27" s="18" t="n">
        <v>7.92731411</v>
      </c>
      <c r="H27" s="20" t="n">
        <v>0.71995236</v>
      </c>
      <c r="I27" s="18" t="n">
        <v>8.562949400000001</v>
      </c>
      <c r="J27" s="20" t="n">
        <v>0.77838859</v>
      </c>
      <c r="K27" s="18" t="n">
        <v>0</v>
      </c>
      <c r="L27" s="20" t="n">
        <v>0</v>
      </c>
      <c r="M27" s="18" t="n">
        <v>0.43720422</v>
      </c>
      <c r="N27" s="20" t="n">
        <v>0.19417423</v>
      </c>
      <c r="O27" s="18" t="n">
        <v>0</v>
      </c>
      <c r="P27" s="20" t="n">
        <v>0</v>
      </c>
      <c r="Q27" s="18" t="n">
        <v>0</v>
      </c>
      <c r="R27" s="20" t="n">
        <v>0</v>
      </c>
      <c r="S27" s="18" t="n">
        <v>4.30434256</v>
      </c>
      <c r="T27" s="20" t="n">
        <v>0.5745056200000001</v>
      </c>
    </row>
    <row r="28" spans="1:20">
      <c r="A28" s="15" t="s">
        <v>586</v>
      </c>
      <c r="B28" s="17" t="n">
        <v>7568</v>
      </c>
      <c r="C28" s="18">
        <f>(6017.0/B28*100)</f>
        <v/>
      </c>
      <c r="D28" s="19" t="n">
        <v>1551</v>
      </c>
      <c r="E28" s="18" t="n">
        <v>89.54091664000001</v>
      </c>
      <c r="F28" s="20" t="n">
        <v>0.86805454</v>
      </c>
      <c r="G28" s="18" t="n">
        <v>4.63111107</v>
      </c>
      <c r="H28" s="20" t="n">
        <v>0.5234735</v>
      </c>
      <c r="I28" s="18" t="n">
        <v>2.99403702</v>
      </c>
      <c r="J28" s="20" t="n">
        <v>0.4070578</v>
      </c>
      <c r="K28" s="18" t="n">
        <v>0</v>
      </c>
      <c r="L28" s="20" t="n">
        <v>0</v>
      </c>
      <c r="M28" s="18" t="n">
        <v>0.51820082</v>
      </c>
      <c r="N28" s="20" t="n">
        <v>0.21283878</v>
      </c>
      <c r="O28" s="18" t="n">
        <v>0.31464835</v>
      </c>
      <c r="P28" s="20" t="n">
        <v>0.18820877</v>
      </c>
      <c r="Q28" s="18" t="n">
        <v>0</v>
      </c>
      <c r="R28" s="20" t="n">
        <v>0</v>
      </c>
      <c r="S28" s="18" t="n">
        <v>2.0010861</v>
      </c>
      <c r="T28" s="20" t="n">
        <v>0.40769095</v>
      </c>
    </row>
    <row r="29" spans="1:20">
      <c r="A29" s="15" t="s">
        <v>587</v>
      </c>
      <c r="B29" s="17" t="n">
        <v>5385</v>
      </c>
      <c r="C29" s="18">
        <f>(4277.0/B29*100)</f>
        <v/>
      </c>
      <c r="D29" s="19" t="n">
        <v>1108</v>
      </c>
      <c r="E29" s="18" t="n">
        <v>75.28292974999999</v>
      </c>
      <c r="F29" s="20" t="n">
        <v>1.46950253</v>
      </c>
      <c r="G29" s="18" t="n">
        <v>10.43286106</v>
      </c>
      <c r="H29" s="20" t="n">
        <v>0.99051193</v>
      </c>
      <c r="I29" s="18" t="n">
        <v>12.0386546</v>
      </c>
      <c r="J29" s="20" t="n">
        <v>1.1734758</v>
      </c>
      <c r="K29" s="18" t="n">
        <v>0</v>
      </c>
      <c r="L29" s="20" t="n">
        <v>0</v>
      </c>
      <c r="M29" s="18" t="n">
        <v>0.06660658</v>
      </c>
      <c r="N29" s="20" t="n">
        <v>0.09168345</v>
      </c>
      <c r="O29" s="18" t="n">
        <v>0.06636517</v>
      </c>
      <c r="P29" s="20" t="n">
        <v>0.06677184</v>
      </c>
      <c r="Q29" s="18" t="n">
        <v>0</v>
      </c>
      <c r="R29" s="20" t="n">
        <v>0</v>
      </c>
      <c r="S29" s="18" t="n">
        <v>2.11258284</v>
      </c>
      <c r="T29" s="20" t="n">
        <v>0.45465265</v>
      </c>
    </row>
    <row r="30" spans="1:20">
      <c r="A30" s="15" t="s">
        <v>588</v>
      </c>
      <c r="B30" s="17" t="n">
        <v>4520</v>
      </c>
      <c r="C30" s="18">
        <f>(3530.0/B30*100)</f>
        <v/>
      </c>
      <c r="D30" s="19" t="n">
        <v>990</v>
      </c>
      <c r="E30" s="18" t="n">
        <v>69.21585795</v>
      </c>
      <c r="F30" s="20" t="n">
        <v>1.33899433</v>
      </c>
      <c r="G30" s="18" t="n">
        <v>12.96191683</v>
      </c>
      <c r="H30" s="20" t="n">
        <v>1.17866543</v>
      </c>
      <c r="I30" s="18" t="n">
        <v>13.28543765</v>
      </c>
      <c r="J30" s="20" t="n">
        <v>1.09178629</v>
      </c>
      <c r="K30" s="18" t="n">
        <v>0</v>
      </c>
      <c r="L30" s="20" t="n">
        <v>0</v>
      </c>
      <c r="M30" s="18" t="n">
        <v>0.55473987</v>
      </c>
      <c r="N30" s="20" t="n">
        <v>0.26969512</v>
      </c>
      <c r="O30" s="18" t="n">
        <v>0.10799035</v>
      </c>
      <c r="P30" s="20" t="n">
        <v>0.10955173</v>
      </c>
      <c r="Q30" s="18" t="n">
        <v>0</v>
      </c>
      <c r="R30" s="20" t="n">
        <v>0</v>
      </c>
      <c r="S30" s="18" t="n">
        <v>3.87405735</v>
      </c>
      <c r="T30" s="20" t="n">
        <v>0.50627588</v>
      </c>
    </row>
    <row r="31" spans="1:20">
      <c r="A31" s="15" t="s">
        <v>589</v>
      </c>
      <c r="B31" s="17" t="n">
        <v>5456</v>
      </c>
      <c r="C31" s="18">
        <f>(4255.0/B31*100)</f>
        <v/>
      </c>
      <c r="D31" s="19" t="n">
        <v>1201</v>
      </c>
      <c r="E31" s="18" t="n">
        <v>75.69807075</v>
      </c>
      <c r="F31" s="20" t="n">
        <v>1.08698191</v>
      </c>
      <c r="G31" s="18" t="n">
        <v>9.44926691</v>
      </c>
      <c r="H31" s="20" t="n">
        <v>0.9300605</v>
      </c>
      <c r="I31" s="18" t="n">
        <v>10.16276953</v>
      </c>
      <c r="J31" s="20" t="n">
        <v>0.84081336</v>
      </c>
      <c r="K31" s="18" t="n">
        <v>0</v>
      </c>
      <c r="L31" s="20" t="n">
        <v>0</v>
      </c>
      <c r="M31" s="18" t="n">
        <v>0.31659761</v>
      </c>
      <c r="N31" s="20" t="n">
        <v>0.15349898</v>
      </c>
      <c r="O31" s="18" t="n">
        <v>0.15878671</v>
      </c>
      <c r="P31" s="20" t="n">
        <v>0.1087849</v>
      </c>
      <c r="Q31" s="18" t="n">
        <v>0</v>
      </c>
      <c r="R31" s="20" t="n">
        <v>0</v>
      </c>
      <c r="S31" s="18" t="n">
        <v>4.21450849</v>
      </c>
      <c r="T31" s="20" t="n">
        <v>0.58083339</v>
      </c>
    </row>
    <row r="32" spans="1:20">
      <c r="A32" s="15" t="s">
        <v>590</v>
      </c>
      <c r="B32" s="17" t="n">
        <v>4478</v>
      </c>
      <c r="C32" s="18">
        <f>(3438.0/B32*100)</f>
        <v/>
      </c>
      <c r="D32" s="19" t="n">
        <v>1040</v>
      </c>
      <c r="E32" s="18" t="n">
        <v>76.53764750000001</v>
      </c>
      <c r="F32" s="20" t="n">
        <v>1.42267644</v>
      </c>
      <c r="G32" s="18" t="n">
        <v>11.27743915</v>
      </c>
      <c r="H32" s="20" t="n">
        <v>0.97519353</v>
      </c>
      <c r="I32" s="18" t="n">
        <v>10.48215905</v>
      </c>
      <c r="J32" s="20" t="n">
        <v>1.06393083</v>
      </c>
      <c r="K32" s="18" t="n">
        <v>0</v>
      </c>
      <c r="L32" s="20" t="n">
        <v>0</v>
      </c>
      <c r="M32" s="18" t="n">
        <v>0</v>
      </c>
      <c r="N32" s="20" t="n">
        <v>0</v>
      </c>
      <c r="O32" s="18" t="n">
        <v>0</v>
      </c>
      <c r="P32" s="20" t="n">
        <v>0</v>
      </c>
      <c r="Q32" s="18" t="n">
        <v>0</v>
      </c>
      <c r="R32" s="20" t="n">
        <v>0</v>
      </c>
      <c r="S32" s="18" t="n">
        <v>1.7027543</v>
      </c>
      <c r="T32" s="20" t="n">
        <v>0.43716601</v>
      </c>
    </row>
    <row r="33" spans="1:20">
      <c r="A33" s="15" t="s">
        <v>591</v>
      </c>
      <c r="B33" s="17" t="n">
        <v>7325</v>
      </c>
      <c r="C33" s="18">
        <f>(5695.0/B33*100)</f>
        <v/>
      </c>
      <c r="D33" s="19" t="n">
        <v>1630</v>
      </c>
      <c r="E33" s="18" t="n">
        <v>74.87210435999999</v>
      </c>
      <c r="F33" s="20" t="n">
        <v>1.32036421</v>
      </c>
      <c r="G33" s="18" t="n">
        <v>10.45500057</v>
      </c>
      <c r="H33" s="20" t="n">
        <v>0.82433557</v>
      </c>
      <c r="I33" s="18" t="n">
        <v>12.60369565</v>
      </c>
      <c r="J33" s="20" t="n">
        <v>1.02477853</v>
      </c>
      <c r="K33" s="18" t="n">
        <v>0</v>
      </c>
      <c r="L33" s="20" t="n">
        <v>0</v>
      </c>
      <c r="M33" s="18" t="n">
        <v>0.27671139</v>
      </c>
      <c r="N33" s="20" t="n">
        <v>0.14385692</v>
      </c>
      <c r="O33" s="18" t="n">
        <v>0.16740231</v>
      </c>
      <c r="P33" s="20" t="n">
        <v>0.10798203</v>
      </c>
      <c r="Q33" s="18" t="n">
        <v>0</v>
      </c>
      <c r="R33" s="20" t="n">
        <v>0</v>
      </c>
      <c r="S33" s="18" t="n">
        <v>1.62508572</v>
      </c>
      <c r="T33" s="20" t="n">
        <v>0.36042235</v>
      </c>
    </row>
    <row r="34" spans="1:20">
      <c r="A34" s="15" t="s">
        <v>592</v>
      </c>
      <c r="B34" s="17" t="n">
        <v>6350</v>
      </c>
      <c r="C34" s="18">
        <f>(5026.0/B34*100)</f>
        <v/>
      </c>
      <c r="D34" s="19" t="n">
        <v>1324</v>
      </c>
      <c r="E34" s="18" t="n">
        <v>80.15995895</v>
      </c>
      <c r="F34" s="20" t="n">
        <v>1.07082082</v>
      </c>
      <c r="G34" s="18" t="n">
        <v>8.46265985</v>
      </c>
      <c r="H34" s="20" t="n">
        <v>0.72541639</v>
      </c>
      <c r="I34" s="18" t="n">
        <v>8.992293500000001</v>
      </c>
      <c r="J34" s="20" t="n">
        <v>0.81218631</v>
      </c>
      <c r="K34" s="18" t="n">
        <v>0</v>
      </c>
      <c r="L34" s="20" t="n">
        <v>0</v>
      </c>
      <c r="M34" s="18" t="n">
        <v>0</v>
      </c>
      <c r="N34" s="20" t="n">
        <v>0</v>
      </c>
      <c r="O34" s="18" t="n">
        <v>0.25886017</v>
      </c>
      <c r="P34" s="20" t="n">
        <v>0.13298857</v>
      </c>
      <c r="Q34" s="18" t="n">
        <v>0</v>
      </c>
      <c r="R34" s="20" t="n">
        <v>0</v>
      </c>
      <c r="S34" s="18" t="n">
        <v>2.12622754</v>
      </c>
      <c r="T34" s="20" t="n">
        <v>0.39512868</v>
      </c>
    </row>
    <row r="35" spans="1:20">
      <c r="A35" s="15" t="s">
        <v>593</v>
      </c>
      <c r="B35" s="17" t="n">
        <v>6406</v>
      </c>
      <c r="C35" s="18">
        <f>(5010.0/B35*100)</f>
        <v/>
      </c>
      <c r="D35" s="19" t="n">
        <v>1396</v>
      </c>
      <c r="E35" s="18" t="n">
        <v>67.70719276</v>
      </c>
      <c r="F35" s="20" t="n">
        <v>1.5889087</v>
      </c>
      <c r="G35" s="18" t="n">
        <v>15.84551183</v>
      </c>
      <c r="H35" s="20" t="n">
        <v>1.32765781</v>
      </c>
      <c r="I35" s="18" t="n">
        <v>13.47703305</v>
      </c>
      <c r="J35" s="20" t="n">
        <v>1.22360331</v>
      </c>
      <c r="K35" s="18" t="n">
        <v>0</v>
      </c>
      <c r="L35" s="20" t="n">
        <v>0</v>
      </c>
      <c r="M35" s="18" t="n">
        <v>0.08876195000000001</v>
      </c>
      <c r="N35" s="20" t="n">
        <v>0.05104254</v>
      </c>
      <c r="O35" s="18" t="n">
        <v>0.24614031</v>
      </c>
      <c r="P35" s="20" t="n">
        <v>0.17455667</v>
      </c>
      <c r="Q35" s="18" t="n">
        <v>0</v>
      </c>
      <c r="R35" s="20" t="n">
        <v>0</v>
      </c>
      <c r="S35" s="18" t="n">
        <v>2.6353601</v>
      </c>
      <c r="T35" s="20" t="n">
        <v>0.48547711</v>
      </c>
    </row>
    <row r="36" spans="1:20">
      <c r="A36" s="15" t="s">
        <v>594</v>
      </c>
      <c r="B36" s="17" t="n">
        <v>6736</v>
      </c>
      <c r="C36" s="18">
        <f>(5266.0/B36*100)</f>
        <v/>
      </c>
      <c r="D36" s="19" t="n">
        <v>1470</v>
      </c>
      <c r="E36" s="18" t="n">
        <v>79.29377094</v>
      </c>
      <c r="F36" s="20" t="n">
        <v>1.08449027</v>
      </c>
      <c r="G36" s="18" t="n">
        <v>7.98440624</v>
      </c>
      <c r="H36" s="20" t="n">
        <v>0.65943639</v>
      </c>
      <c r="I36" s="18" t="n">
        <v>8.29455855</v>
      </c>
      <c r="J36" s="20" t="n">
        <v>0.64963495</v>
      </c>
      <c r="K36" s="18" t="n">
        <v>0</v>
      </c>
      <c r="L36" s="20" t="n">
        <v>0</v>
      </c>
      <c r="M36" s="18" t="n">
        <v>0.36030833</v>
      </c>
      <c r="N36" s="20" t="n">
        <v>0.09545184</v>
      </c>
      <c r="O36" s="18" t="n">
        <v>0.06556022</v>
      </c>
      <c r="P36" s="20" t="n">
        <v>0.06563194999999999</v>
      </c>
      <c r="Q36" s="18" t="n">
        <v>0</v>
      </c>
      <c r="R36" s="20" t="n">
        <v>0</v>
      </c>
      <c r="S36" s="18" t="n">
        <v>4.00139573</v>
      </c>
      <c r="T36" s="20" t="n">
        <v>0.52682689</v>
      </c>
    </row>
    <row r="37" spans="1:20">
      <c r="A37" s="15" t="s">
        <v>595</v>
      </c>
      <c r="B37" s="17" t="n">
        <v>5458</v>
      </c>
      <c r="C37" s="18">
        <f>(4279.0/B37*100)</f>
        <v/>
      </c>
      <c r="D37" s="19" t="n">
        <v>1179</v>
      </c>
      <c r="E37" s="18" t="n">
        <v>72.122696</v>
      </c>
      <c r="F37" s="20" t="n">
        <v>1.52253811</v>
      </c>
      <c r="G37" s="18" t="n">
        <v>9.46214975</v>
      </c>
      <c r="H37" s="20" t="n">
        <v>1.10882267</v>
      </c>
      <c r="I37" s="18" t="n">
        <v>12.35611416</v>
      </c>
      <c r="J37" s="20" t="n">
        <v>1.06875298</v>
      </c>
      <c r="K37" s="18" t="n">
        <v>0</v>
      </c>
      <c r="L37" s="20" t="n">
        <v>0</v>
      </c>
      <c r="M37" s="18" t="n">
        <v>0.34346572</v>
      </c>
      <c r="N37" s="20" t="n">
        <v>0.18536867</v>
      </c>
      <c r="O37" s="18" t="n">
        <v>0</v>
      </c>
      <c r="P37" s="20" t="n">
        <v>0</v>
      </c>
      <c r="Q37" s="18" t="n">
        <v>0</v>
      </c>
      <c r="R37" s="20" t="n">
        <v>0</v>
      </c>
      <c r="S37" s="18" t="n">
        <v>5.71557437</v>
      </c>
      <c r="T37" s="20" t="n">
        <v>0.67230837</v>
      </c>
    </row>
    <row r="38" spans="1:20">
      <c r="A38" s="15" t="s">
        <v>596</v>
      </c>
      <c r="B38" s="17" t="n">
        <v>5860</v>
      </c>
      <c r="C38" s="18">
        <f>(4585.0/B38*100)</f>
        <v/>
      </c>
      <c r="D38" s="19" t="n">
        <v>1275</v>
      </c>
      <c r="E38" s="18" t="n">
        <v>71.45529084</v>
      </c>
      <c r="F38" s="20" t="n">
        <v>1.47330626</v>
      </c>
      <c r="G38" s="18" t="n">
        <v>10.40026018</v>
      </c>
      <c r="H38" s="20" t="n">
        <v>1.01609785</v>
      </c>
      <c r="I38" s="18" t="n">
        <v>13.01267428</v>
      </c>
      <c r="J38" s="20" t="n">
        <v>1.19025243</v>
      </c>
      <c r="K38" s="18" t="n">
        <v>0</v>
      </c>
      <c r="L38" s="20" t="n">
        <v>0</v>
      </c>
      <c r="M38" s="18" t="n">
        <v>0.09874089</v>
      </c>
      <c r="N38" s="20" t="n">
        <v>0.09620027</v>
      </c>
      <c r="O38" s="18" t="n">
        <v>1.99046959</v>
      </c>
      <c r="P38" s="20" t="n">
        <v>0.39277666</v>
      </c>
      <c r="Q38" s="18" t="n">
        <v>0</v>
      </c>
      <c r="R38" s="20" t="n">
        <v>0</v>
      </c>
      <c r="S38" s="18" t="n">
        <v>3.04256422</v>
      </c>
      <c r="T38" s="20" t="n">
        <v>0.575225</v>
      </c>
    </row>
    <row r="39" spans="1:20">
      <c r="A39" s="15" t="s">
        <v>597</v>
      </c>
      <c r="B39" s="17" t="n">
        <v>5895</v>
      </c>
      <c r="C39" s="18">
        <f>(4579.0/B39*100)</f>
        <v/>
      </c>
      <c r="D39" s="19" t="n">
        <v>1316</v>
      </c>
      <c r="E39" s="18" t="n">
        <v>90.92818681</v>
      </c>
      <c r="F39" s="20" t="n">
        <v>0.90889419</v>
      </c>
      <c r="G39" s="18" t="n">
        <v>2.85674795</v>
      </c>
      <c r="H39" s="20" t="n">
        <v>0.45894392</v>
      </c>
      <c r="I39" s="18" t="n">
        <v>2.41929719</v>
      </c>
      <c r="J39" s="20" t="n">
        <v>0.5321954</v>
      </c>
      <c r="K39" s="18" t="n">
        <v>0</v>
      </c>
      <c r="L39" s="20" t="n">
        <v>0</v>
      </c>
      <c r="M39" s="18" t="n">
        <v>0.37846526</v>
      </c>
      <c r="N39" s="20" t="n">
        <v>0.14406619</v>
      </c>
      <c r="O39" s="18" t="n">
        <v>0</v>
      </c>
      <c r="P39" s="20" t="n">
        <v>0</v>
      </c>
      <c r="Q39" s="18" t="n">
        <v>0</v>
      </c>
      <c r="R39" s="20" t="n">
        <v>0</v>
      </c>
      <c r="S39" s="18" t="n">
        <v>3.4173028</v>
      </c>
      <c r="T39" s="20" t="n">
        <v>0.59373801</v>
      </c>
    </row>
    <row r="40" spans="1:20">
      <c r="A40" s="15" t="s">
        <v>598</v>
      </c>
      <c r="B40" s="17" t="n">
        <v>14157</v>
      </c>
      <c r="C40" s="18">
        <f>(11036.0/B40*100)</f>
        <v/>
      </c>
      <c r="D40" s="19" t="n">
        <v>3121</v>
      </c>
      <c r="E40" s="18" t="n">
        <v>69.63934946000001</v>
      </c>
      <c r="F40" s="20" t="n">
        <v>1.25454037</v>
      </c>
      <c r="G40" s="18" t="n">
        <v>12.34162865</v>
      </c>
      <c r="H40" s="20" t="n">
        <v>0.82707251</v>
      </c>
      <c r="I40" s="18" t="n">
        <v>14.49145468</v>
      </c>
      <c r="J40" s="20" t="n">
        <v>1.15376634</v>
      </c>
      <c r="K40" s="18" t="n">
        <v>0</v>
      </c>
      <c r="L40" s="20" t="n">
        <v>0</v>
      </c>
      <c r="M40" s="18" t="n">
        <v>0.23609426</v>
      </c>
      <c r="N40" s="20" t="n">
        <v>0.13532711</v>
      </c>
      <c r="O40" s="18" t="n">
        <v>0.02515864</v>
      </c>
      <c r="P40" s="20" t="n">
        <v>0.02413711</v>
      </c>
      <c r="Q40" s="18" t="n">
        <v>0</v>
      </c>
      <c r="R40" s="20" t="n">
        <v>0</v>
      </c>
      <c r="S40" s="18" t="n">
        <v>3.26631431</v>
      </c>
      <c r="T40" s="20" t="n">
        <v>0.51923663</v>
      </c>
    </row>
    <row r="41" spans="1:20">
      <c r="A41" s="15" t="s">
        <v>599</v>
      </c>
      <c r="B41" s="17" t="n">
        <v>5712</v>
      </c>
      <c r="C41" s="18">
        <f>(4506.0/B41*100)</f>
        <v/>
      </c>
      <c r="D41" s="19" t="n">
        <v>1206</v>
      </c>
      <c r="E41" s="18" t="n">
        <v>74.46476038</v>
      </c>
      <c r="F41" s="20" t="n">
        <v>1.48022913</v>
      </c>
      <c r="G41" s="18" t="n">
        <v>10.88375791</v>
      </c>
      <c r="H41" s="20" t="n">
        <v>1.07398863</v>
      </c>
      <c r="I41" s="18" t="n">
        <v>14.12903415</v>
      </c>
      <c r="J41" s="20" t="n">
        <v>1.31135272</v>
      </c>
      <c r="K41" s="18" t="n">
        <v>0</v>
      </c>
      <c r="L41" s="20" t="n">
        <v>0</v>
      </c>
      <c r="M41" s="18" t="n">
        <v>0.10138417</v>
      </c>
      <c r="N41" s="20" t="n">
        <v>0.09298049999999999</v>
      </c>
      <c r="O41" s="18" t="n">
        <v>0</v>
      </c>
      <c r="P41" s="20" t="n">
        <v>0</v>
      </c>
      <c r="Q41" s="18" t="n">
        <v>0</v>
      </c>
      <c r="R41" s="20" t="n">
        <v>0</v>
      </c>
      <c r="S41" s="18" t="n">
        <v>0.42106339</v>
      </c>
      <c r="T41" s="20" t="n">
        <v>0.16789138</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(18915.0/B46*100)</f>
        <v/>
      </c>
      <c r="D46" s="19" t="n">
        <v>4226</v>
      </c>
      <c r="E46" s="18" t="n">
        <v>85.23956153</v>
      </c>
      <c r="F46" s="20" t="n">
        <v>0.84181936</v>
      </c>
      <c r="G46" s="18" t="n">
        <v>5.29947079</v>
      </c>
      <c r="H46" s="20" t="n">
        <v>0.50179912</v>
      </c>
      <c r="I46" s="18" t="n">
        <v>1.84787273</v>
      </c>
      <c r="J46" s="20" t="n">
        <v>0.32025336</v>
      </c>
      <c r="K46" s="18" t="n">
        <v>0</v>
      </c>
      <c r="L46" s="20" t="n">
        <v>0</v>
      </c>
      <c r="M46" s="18" t="n">
        <v>1.22775832</v>
      </c>
      <c r="N46" s="20" t="n">
        <v>0.31618296</v>
      </c>
      <c r="O46" s="18" t="n">
        <v>0.5640719199999999</v>
      </c>
      <c r="P46" s="20" t="n">
        <v>0.12576944</v>
      </c>
      <c r="Q46" s="18" t="n">
        <v>0</v>
      </c>
      <c r="R46" s="20" t="n">
        <v>0</v>
      </c>
      <c r="S46" s="18" t="n">
        <v>5.82126469</v>
      </c>
      <c r="T46" s="20" t="n">
        <v>0.46965694</v>
      </c>
    </row>
    <row r="47" spans="1:20">
      <c r="A47" s="15" t="s">
        <v>606</v>
      </c>
      <c r="B47" s="17" t="n">
        <v>5928</v>
      </c>
      <c r="C47" s="18">
        <f>(4687.0/B47*100)</f>
        <v/>
      </c>
      <c r="D47" s="19" t="n">
        <v>1241</v>
      </c>
      <c r="E47" s="18" t="n">
        <v>82.08264766000001</v>
      </c>
      <c r="F47" s="20" t="n">
        <v>1.06831591</v>
      </c>
      <c r="G47" s="18" t="n">
        <v>7.30347411</v>
      </c>
      <c r="H47" s="20" t="n">
        <v>0.93677595</v>
      </c>
      <c r="I47" s="18" t="n">
        <v>5.2268462</v>
      </c>
      <c r="J47" s="20" t="n">
        <v>0.65206087</v>
      </c>
      <c r="K47" s="18" t="n">
        <v>0</v>
      </c>
      <c r="L47" s="20" t="n">
        <v>0</v>
      </c>
      <c r="M47" s="18" t="n">
        <v>1.03553229</v>
      </c>
      <c r="N47" s="20" t="n">
        <v>0.29836398</v>
      </c>
      <c r="O47" s="18" t="n">
        <v>0</v>
      </c>
      <c r="P47" s="20" t="n">
        <v>0</v>
      </c>
      <c r="Q47" s="18" t="n">
        <v>0</v>
      </c>
      <c r="R47" s="20" t="n">
        <v>0</v>
      </c>
      <c r="S47" s="18" t="n">
        <v>4.35149975</v>
      </c>
      <c r="T47" s="20" t="n">
        <v>0.7161301799999999</v>
      </c>
    </row>
    <row r="48" spans="1:20">
      <c r="A48" s="15" t="s">
        <v>607</v>
      </c>
      <c r="B48" s="17" t="n">
        <v>9841</v>
      </c>
      <c r="C48" s="18">
        <f>(7671.0/B48*100)</f>
        <v/>
      </c>
      <c r="D48" s="19" t="n">
        <v>2170</v>
      </c>
      <c r="E48" s="18" t="n">
        <v>72.65915737</v>
      </c>
      <c r="F48" s="20" t="n">
        <v>1.55212591</v>
      </c>
      <c r="G48" s="18" t="n">
        <v>9.21496391</v>
      </c>
      <c r="H48" s="20" t="n">
        <v>0.81874935</v>
      </c>
      <c r="I48" s="18" t="n">
        <v>17.09844402</v>
      </c>
      <c r="J48" s="20" t="n">
        <v>1.44577732</v>
      </c>
      <c r="K48" s="18" t="n">
        <v>0</v>
      </c>
      <c r="L48" s="20" t="n">
        <v>0</v>
      </c>
      <c r="M48" s="18" t="n">
        <v>0.52837572</v>
      </c>
      <c r="N48" s="20" t="n">
        <v>0.23297384</v>
      </c>
      <c r="O48" s="18" t="n">
        <v>0</v>
      </c>
      <c r="P48" s="20" t="n">
        <v>0</v>
      </c>
      <c r="Q48" s="18" t="n">
        <v>0</v>
      </c>
      <c r="R48" s="20" t="n">
        <v>0</v>
      </c>
      <c r="S48" s="18" t="n">
        <v>0.49905899</v>
      </c>
      <c r="T48" s="20" t="n">
        <v>0.16873422</v>
      </c>
    </row>
    <row r="49" spans="1:20">
      <c r="A49" s="15" t="s">
        <v>608</v>
      </c>
      <c r="B49" s="17" t="n">
        <v>11795</v>
      </c>
      <c r="C49" s="18">
        <f>(9296.0/B49*100)</f>
        <v/>
      </c>
      <c r="D49" s="19" t="n">
        <v>2499</v>
      </c>
      <c r="E49" s="18" t="n">
        <v>92.37811433</v>
      </c>
      <c r="F49" s="20" t="n">
        <v>0.7445779300000001</v>
      </c>
      <c r="G49" s="18" t="n">
        <v>0.48002405</v>
      </c>
      <c r="H49" s="20" t="n">
        <v>0.15503328</v>
      </c>
      <c r="I49" s="18" t="n">
        <v>2.60652067</v>
      </c>
      <c r="J49" s="20" t="n">
        <v>0.37595509</v>
      </c>
      <c r="K49" s="18" t="n">
        <v>0</v>
      </c>
      <c r="L49" s="20" t="n">
        <v>0</v>
      </c>
      <c r="M49" s="18" t="n">
        <v>1.57792901</v>
      </c>
      <c r="N49" s="20" t="n">
        <v>0.34401636</v>
      </c>
      <c r="O49" s="18" t="n">
        <v>0.21938071</v>
      </c>
      <c r="P49" s="20" t="n">
        <v>0.08090723</v>
      </c>
      <c r="Q49" s="18" t="n">
        <v>0</v>
      </c>
      <c r="R49" s="20" t="n">
        <v>0</v>
      </c>
      <c r="S49" s="18" t="n">
        <v>2.73803123</v>
      </c>
      <c r="T49" s="20" t="n">
        <v>0.5539144</v>
      </c>
    </row>
    <row r="50" spans="1:20">
      <c r="A50" s="15" t="s">
        <v>609</v>
      </c>
      <c r="B50" s="17" t="n">
        <v>6866</v>
      </c>
      <c r="C50" s="18">
        <f>(5581.0/B50*100)</f>
        <v/>
      </c>
      <c r="D50" s="19" t="n">
        <v>1285</v>
      </c>
      <c r="E50" s="18" t="n">
        <v>90.14554918</v>
      </c>
      <c r="F50" s="20" t="n">
        <v>0.8989011099999999</v>
      </c>
      <c r="G50" s="18" t="n">
        <v>3.78822494</v>
      </c>
      <c r="H50" s="20" t="n">
        <v>0.51492432</v>
      </c>
      <c r="I50" s="18" t="n">
        <v>2.17067781</v>
      </c>
      <c r="J50" s="20" t="n">
        <v>0.44473289</v>
      </c>
      <c r="K50" s="18" t="n">
        <v>0</v>
      </c>
      <c r="L50" s="20" t="n">
        <v>0</v>
      </c>
      <c r="M50" s="18" t="n">
        <v>0.26448966</v>
      </c>
      <c r="N50" s="20" t="n">
        <v>0.14557859</v>
      </c>
      <c r="O50" s="18" t="n">
        <v>0</v>
      </c>
      <c r="P50" s="20" t="n">
        <v>0</v>
      </c>
      <c r="Q50" s="18" t="n">
        <v>0</v>
      </c>
      <c r="R50" s="20" t="n">
        <v>0</v>
      </c>
      <c r="S50" s="18" t="n">
        <v>3.63105842</v>
      </c>
      <c r="T50" s="20" t="n">
        <v>0.62366435</v>
      </c>
    </row>
    <row r="51" spans="1:20">
      <c r="A51" s="15" t="s">
        <v>610</v>
      </c>
      <c r="B51" s="17" t="n">
        <v>5809</v>
      </c>
      <c r="C51" s="18">
        <f>(4482.0/B51*100)</f>
        <v/>
      </c>
      <c r="D51" s="19" t="n">
        <v>1327</v>
      </c>
      <c r="E51" s="18" t="n">
        <v>79.35676155</v>
      </c>
      <c r="F51" s="20" t="n">
        <v>1.22785761</v>
      </c>
      <c r="G51" s="18" t="n">
        <v>8.840628649999999</v>
      </c>
      <c r="H51" s="20" t="n">
        <v>0.79856197</v>
      </c>
      <c r="I51" s="18" t="n">
        <v>8.827022729999999</v>
      </c>
      <c r="J51" s="20" t="n">
        <v>0.8299561600000001</v>
      </c>
      <c r="K51" s="18" t="n">
        <v>0</v>
      </c>
      <c r="L51" s="20" t="n">
        <v>0</v>
      </c>
      <c r="M51" s="18" t="n">
        <v>0.13493984</v>
      </c>
      <c r="N51" s="20" t="n">
        <v>0.09500201</v>
      </c>
      <c r="O51" s="18" t="n">
        <v>0</v>
      </c>
      <c r="P51" s="20" t="n">
        <v>0</v>
      </c>
      <c r="Q51" s="18" t="n">
        <v>0</v>
      </c>
      <c r="R51" s="20" t="n">
        <v>0</v>
      </c>
      <c r="S51" s="18" t="n">
        <v>2.84064723</v>
      </c>
      <c r="T51" s="20" t="n">
        <v>0.49614857</v>
      </c>
    </row>
    <row r="52" spans="1:20">
      <c r="A52" s="15" t="s">
        <v>611</v>
      </c>
      <c r="B52" s="17" t="n">
        <v>5571</v>
      </c>
      <c r="C52" s="18">
        <f>(4348.0/B52*100)</f>
        <v/>
      </c>
      <c r="D52" s="19" t="n">
        <v>1223</v>
      </c>
      <c r="E52" s="18" t="n">
        <v>85.24231267</v>
      </c>
      <c r="F52" s="20" t="n">
        <v>0.94594583</v>
      </c>
      <c r="G52" s="18" t="n">
        <v>5.27813243</v>
      </c>
      <c r="H52" s="20" t="n">
        <v>0.63952533</v>
      </c>
      <c r="I52" s="18" t="n">
        <v>5.47302344</v>
      </c>
      <c r="J52" s="20" t="n">
        <v>0.6741110300000001</v>
      </c>
      <c r="K52" s="18" t="n">
        <v>0</v>
      </c>
      <c r="L52" s="20" t="n">
        <v>0</v>
      </c>
      <c r="M52" s="18" t="n">
        <v>0.29446242</v>
      </c>
      <c r="N52" s="20" t="n">
        <v>0.15022954</v>
      </c>
      <c r="O52" s="18" t="n">
        <v>0</v>
      </c>
      <c r="P52" s="20" t="n">
        <v>0</v>
      </c>
      <c r="Q52" s="18" t="n">
        <v>0</v>
      </c>
      <c r="R52" s="20" t="n">
        <v>0</v>
      </c>
      <c r="S52" s="18" t="n">
        <v>3.71206903</v>
      </c>
      <c r="T52" s="20" t="n">
        <v>0.5033614</v>
      </c>
    </row>
    <row r="53" spans="1:20">
      <c r="A53" s="15" t="s">
        <v>612</v>
      </c>
      <c r="B53" s="17" t="n">
        <v>4740</v>
      </c>
      <c r="C53" s="18">
        <f>(3694.0/B53*100)</f>
        <v/>
      </c>
      <c r="D53" s="19" t="n">
        <v>1046</v>
      </c>
      <c r="E53" s="18" t="n">
        <v>83.49191908</v>
      </c>
      <c r="F53" s="20" t="n">
        <v>1.57086863</v>
      </c>
      <c r="G53" s="18" t="n">
        <v>0.61451771</v>
      </c>
      <c r="H53" s="20" t="n">
        <v>0.20632262</v>
      </c>
      <c r="I53" s="18" t="n">
        <v>0.48355355</v>
      </c>
      <c r="J53" s="20" t="n">
        <v>0.27284015</v>
      </c>
      <c r="K53" s="18" t="n">
        <v>0</v>
      </c>
      <c r="L53" s="20" t="n">
        <v>0</v>
      </c>
      <c r="M53" s="18" t="n">
        <v>9.648901</v>
      </c>
      <c r="N53" s="20" t="n">
        <v>1.13993633</v>
      </c>
      <c r="O53" s="18" t="n">
        <v>0.7014172400000001</v>
      </c>
      <c r="P53" s="20" t="n">
        <v>0.66833204</v>
      </c>
      <c r="Q53" s="18" t="n">
        <v>0</v>
      </c>
      <c r="R53" s="20" t="n">
        <v>0</v>
      </c>
      <c r="S53" s="18" t="n">
        <v>5.05969142</v>
      </c>
      <c r="T53" s="20" t="n">
        <v>0.75109078</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(4144.0/B55*100)</f>
        <v/>
      </c>
      <c r="D55" s="19" t="n">
        <v>1215</v>
      </c>
      <c r="E55" s="18" t="n">
        <v>76.63517938</v>
      </c>
      <c r="F55" s="20" t="n">
        <v>1.4489302</v>
      </c>
      <c r="G55" s="18" t="n">
        <v>11.87286626</v>
      </c>
      <c r="H55" s="20" t="n">
        <v>0.90933062</v>
      </c>
      <c r="I55" s="18" t="n">
        <v>10.27796364</v>
      </c>
      <c r="J55" s="20" t="n">
        <v>1.06681093</v>
      </c>
      <c r="K55" s="18" t="n">
        <v>0</v>
      </c>
      <c r="L55" s="20" t="n">
        <v>0</v>
      </c>
      <c r="M55" s="18" t="n">
        <v>0.16020688</v>
      </c>
      <c r="N55" s="20" t="n">
        <v>0.15480156</v>
      </c>
      <c r="O55" s="18" t="n">
        <v>0</v>
      </c>
      <c r="P55" s="20" t="n">
        <v>0</v>
      </c>
      <c r="Q55" s="18" t="n">
        <v>0</v>
      </c>
      <c r="R55" s="20" t="n">
        <v>0</v>
      </c>
      <c r="S55" s="18" t="n">
        <v>1.05378384</v>
      </c>
      <c r="T55" s="20" t="n">
        <v>0.33950512</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(5079.0/B61*100)</f>
        <v/>
      </c>
      <c r="D61" s="19" t="n">
        <v>1446</v>
      </c>
      <c r="E61" s="18" t="n">
        <v>83.44977593</v>
      </c>
      <c r="F61" s="20" t="n">
        <v>1.08663261</v>
      </c>
      <c r="G61" s="18" t="n">
        <v>6.90736833</v>
      </c>
      <c r="H61" s="20" t="n">
        <v>0.6438312</v>
      </c>
      <c r="I61" s="18" t="n">
        <v>7.23863716</v>
      </c>
      <c r="J61" s="20" t="n">
        <v>0.9200495400000001</v>
      </c>
      <c r="K61" s="18" t="n">
        <v>0</v>
      </c>
      <c r="L61" s="20" t="n">
        <v>0</v>
      </c>
      <c r="M61" s="18" t="n">
        <v>0.10702477</v>
      </c>
      <c r="N61" s="20" t="n">
        <v>0.09407169</v>
      </c>
      <c r="O61" s="18" t="n">
        <v>0</v>
      </c>
      <c r="P61" s="20" t="n">
        <v>0</v>
      </c>
      <c r="Q61" s="18" t="n">
        <v>0</v>
      </c>
      <c r="R61" s="20" t="n">
        <v>0</v>
      </c>
      <c r="S61" s="18" t="n">
        <v>2.29719381</v>
      </c>
      <c r="T61" s="20" t="n">
        <v>0.40256931</v>
      </c>
    </row>
    <row r="62" spans="1:20">
      <c r="A62" s="15" t="s">
        <v>622</v>
      </c>
      <c r="B62" s="17" t="n">
        <v>4476</v>
      </c>
      <c r="C62" s="18">
        <f>(3518.0/B62*100)</f>
        <v/>
      </c>
      <c r="D62" s="19" t="n">
        <v>958</v>
      </c>
      <c r="E62" s="18" t="n">
        <v>72.98261184</v>
      </c>
      <c r="F62" s="20" t="n">
        <v>1.42565765</v>
      </c>
      <c r="G62" s="18" t="n">
        <v>10.22548996</v>
      </c>
      <c r="H62" s="20" t="n">
        <v>0.9557948000000001</v>
      </c>
      <c r="I62" s="18" t="n">
        <v>16.6857432</v>
      </c>
      <c r="J62" s="20" t="n">
        <v>1.1834811</v>
      </c>
      <c r="K62" s="18" t="n">
        <v>0</v>
      </c>
      <c r="L62" s="20" t="n">
        <v>0</v>
      </c>
      <c r="M62" s="18" t="n">
        <v>0</v>
      </c>
      <c r="N62" s="20" t="n">
        <v>0</v>
      </c>
      <c r="O62" s="18" t="n">
        <v>0</v>
      </c>
      <c r="P62" s="20" t="n">
        <v>0</v>
      </c>
      <c r="Q62" s="18" t="n">
        <v>0</v>
      </c>
      <c r="R62" s="20" t="n">
        <v>0</v>
      </c>
      <c r="S62" s="18" t="n">
        <v>0.10615499</v>
      </c>
      <c r="T62" s="20" t="n">
        <v>0.10600744</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(4445.0/B67*100)</f>
        <v/>
      </c>
      <c r="D67" s="19" t="n">
        <v>1220</v>
      </c>
      <c r="E67" s="18" t="n">
        <v>82.20571390000001</v>
      </c>
      <c r="F67" s="20" t="n">
        <v>1.24037516</v>
      </c>
      <c r="G67" s="18" t="n">
        <v>4.4428798</v>
      </c>
      <c r="H67" s="20" t="n">
        <v>0.69938915</v>
      </c>
      <c r="I67" s="18" t="n">
        <v>2.12958118</v>
      </c>
      <c r="J67" s="20" t="n">
        <v>0.42969264</v>
      </c>
      <c r="K67" s="18" t="n">
        <v>0</v>
      </c>
      <c r="L67" s="20" t="n">
        <v>0</v>
      </c>
      <c r="M67" s="18" t="n">
        <v>0.74048683</v>
      </c>
      <c r="N67" s="20" t="n">
        <v>0.24995448</v>
      </c>
      <c r="O67" s="18" t="n">
        <v>0.3135896</v>
      </c>
      <c r="P67" s="20" t="n">
        <v>0.15569875</v>
      </c>
      <c r="Q67" s="18" t="n">
        <v>0</v>
      </c>
      <c r="R67" s="20" t="n">
        <v>0</v>
      </c>
      <c r="S67" s="18" t="n">
        <v>10.16774869</v>
      </c>
      <c r="T67" s="20" t="n">
        <v>0.8293202</v>
      </c>
    </row>
    <row r="68" spans="1:20">
      <c r="A68" s="15" t="s">
        <v>628</v>
      </c>
      <c r="B68" s="17" t="n">
        <v>6971</v>
      </c>
      <c r="C68" s="18">
        <f>(5590.0/B68*100)</f>
        <v/>
      </c>
      <c r="D68" s="19" t="n">
        <v>1381</v>
      </c>
      <c r="E68" s="18" t="n">
        <v>91.42151115999999</v>
      </c>
      <c r="F68" s="20" t="n">
        <v>0.87107606</v>
      </c>
      <c r="G68" s="18" t="n">
        <v>2.98251331</v>
      </c>
      <c r="H68" s="20" t="n">
        <v>0.54291661</v>
      </c>
      <c r="I68" s="18" t="n">
        <v>1.75549513</v>
      </c>
      <c r="J68" s="20" t="n">
        <v>0.39337518</v>
      </c>
      <c r="K68" s="18" t="n">
        <v>0</v>
      </c>
      <c r="L68" s="20" t="n">
        <v>0</v>
      </c>
      <c r="M68" s="18" t="n">
        <v>0.20658241</v>
      </c>
      <c r="N68" s="20" t="n">
        <v>0.12225814</v>
      </c>
      <c r="O68" s="18" t="n">
        <v>0.44085899</v>
      </c>
      <c r="P68" s="20" t="n">
        <v>0.2213034</v>
      </c>
      <c r="Q68" s="18" t="n">
        <v>0</v>
      </c>
      <c r="R68" s="20" t="n">
        <v>0</v>
      </c>
      <c r="S68" s="18" t="n">
        <v>3.19303899</v>
      </c>
      <c r="T68" s="20" t="n">
        <v>0.56462095</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(9439.0/B70*100)</f>
        <v/>
      </c>
      <c r="D70" s="19" t="n">
        <v>2644</v>
      </c>
      <c r="E70" s="18" t="n">
        <v>84.23898213</v>
      </c>
      <c r="F70" s="20" t="n">
        <v>0.79239842</v>
      </c>
      <c r="G70" s="18" t="n">
        <v>5.96474514</v>
      </c>
      <c r="H70" s="20" t="n">
        <v>0.46597878</v>
      </c>
      <c r="I70" s="18" t="n">
        <v>3.81818613</v>
      </c>
      <c r="J70" s="20" t="n">
        <v>0.36704407</v>
      </c>
      <c r="K70" s="18" t="n">
        <v>0</v>
      </c>
      <c r="L70" s="20" t="n">
        <v>0</v>
      </c>
      <c r="M70" s="18" t="n">
        <v>1.60822484</v>
      </c>
      <c r="N70" s="20" t="n">
        <v>0.25845088</v>
      </c>
      <c r="O70" s="18" t="n">
        <v>0.08132642</v>
      </c>
      <c r="P70" s="20" t="n">
        <v>0.05756418</v>
      </c>
      <c r="Q70" s="18" t="n">
        <v>0</v>
      </c>
      <c r="R70" s="20" t="n">
        <v>0</v>
      </c>
      <c r="S70" s="18" t="n">
        <v>4.28853534</v>
      </c>
      <c r="T70" s="20" t="n">
        <v>0.3857537</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(4766.0/B72*100)</f>
        <v/>
      </c>
      <c r="D72" s="19" t="n">
        <v>1270</v>
      </c>
      <c r="E72" s="18" t="n">
        <v>82.78800647</v>
      </c>
      <c r="F72" s="20" t="n">
        <v>1.20864989</v>
      </c>
      <c r="G72" s="18" t="n">
        <v>8.636409309999999</v>
      </c>
      <c r="H72" s="20" t="n">
        <v>0.77868601</v>
      </c>
      <c r="I72" s="18" t="n">
        <v>5.72328448</v>
      </c>
      <c r="J72" s="20" t="n">
        <v>0.7435958499999999</v>
      </c>
      <c r="K72" s="18" t="n">
        <v>0</v>
      </c>
      <c r="L72" s="20" t="n">
        <v>0</v>
      </c>
      <c r="M72" s="18" t="n">
        <v>0.07160163999999999</v>
      </c>
      <c r="N72" s="20" t="n">
        <v>0.07028421</v>
      </c>
      <c r="O72" s="18" t="n">
        <v>0.08771953</v>
      </c>
      <c r="P72" s="20" t="n">
        <v>0.06361192</v>
      </c>
      <c r="Q72" s="18" t="n">
        <v>0</v>
      </c>
      <c r="R72" s="20" t="n">
        <v>0</v>
      </c>
      <c r="S72" s="18" t="n">
        <v>2.69297858</v>
      </c>
      <c r="T72" s="20" t="n">
        <v>0.59772464</v>
      </c>
    </row>
    <row r="73" spans="1:20">
      <c r="A73" s="15" t="s">
        <v>633</v>
      </c>
      <c r="B73" s="17" t="n">
        <v>6115</v>
      </c>
      <c r="C73" s="18">
        <f>(4771.0/B73*100)</f>
        <v/>
      </c>
      <c r="D73" s="19" t="n">
        <v>1344</v>
      </c>
      <c r="E73" s="18" t="n">
        <v>64.10797933000001</v>
      </c>
      <c r="F73" s="20" t="n">
        <v>1.28194412</v>
      </c>
      <c r="G73" s="18" t="n">
        <v>11.84747004</v>
      </c>
      <c r="H73" s="20" t="n">
        <v>0.9299716</v>
      </c>
      <c r="I73" s="18" t="n">
        <v>23.05139247</v>
      </c>
      <c r="J73" s="20" t="n">
        <v>1.17194787</v>
      </c>
      <c r="K73" s="18" t="n">
        <v>0</v>
      </c>
      <c r="L73" s="20" t="n">
        <v>0</v>
      </c>
      <c r="M73" s="18" t="n">
        <v>0.19080667</v>
      </c>
      <c r="N73" s="20" t="n">
        <v>0.11592473</v>
      </c>
      <c r="O73" s="18" t="n">
        <v>0.04510863</v>
      </c>
      <c r="P73" s="20" t="n">
        <v>0.04521925</v>
      </c>
      <c r="Q73" s="18" t="n">
        <v>0</v>
      </c>
      <c r="R73" s="20" t="n">
        <v>0</v>
      </c>
      <c r="S73" s="18" t="n">
        <v>0.75724287</v>
      </c>
      <c r="T73" s="20" t="n">
        <v>0.2374859</v>
      </c>
    </row>
    <row r="74" spans="1:20">
      <c r="A74" s="15" t="s">
        <v>634</v>
      </c>
      <c r="B74" s="17" t="n">
        <v>7708</v>
      </c>
      <c r="C74" s="18">
        <f>(5939.0/B74*100)</f>
        <v/>
      </c>
      <c r="D74" s="19" t="n">
        <v>1769</v>
      </c>
      <c r="E74" s="18" t="n">
        <v>71.72007467</v>
      </c>
      <c r="F74" s="20" t="n">
        <v>1.30961949</v>
      </c>
      <c r="G74" s="18" t="n">
        <v>12.3596829</v>
      </c>
      <c r="H74" s="20" t="n">
        <v>0.93529421</v>
      </c>
      <c r="I74" s="18" t="n">
        <v>15.12906291</v>
      </c>
      <c r="J74" s="20" t="n">
        <v>0.99097001</v>
      </c>
      <c r="K74" s="18" t="n">
        <v>0</v>
      </c>
      <c r="L74" s="20" t="n">
        <v>0</v>
      </c>
      <c r="M74" s="18" t="n">
        <v>0.12158735</v>
      </c>
      <c r="N74" s="20" t="n">
        <v>0.07105208</v>
      </c>
      <c r="O74" s="18" t="n">
        <v>0.04587876</v>
      </c>
      <c r="P74" s="20" t="n">
        <v>0.04596937</v>
      </c>
      <c r="Q74" s="18" t="n">
        <v>0</v>
      </c>
      <c r="R74" s="20" t="n">
        <v>0</v>
      </c>
      <c r="S74" s="18" t="n">
        <v>0.6237134</v>
      </c>
      <c r="T74" s="20" t="n">
        <v>0.2094414</v>
      </c>
    </row>
    <row r="75" spans="1:20">
      <c r="A75" s="15" t="s">
        <v>635</v>
      </c>
      <c r="B75" s="17" t="n">
        <v>8249</v>
      </c>
      <c r="C75" s="18">
        <f>(6406.0/B75*100)</f>
        <v/>
      </c>
      <c r="D75" s="19" t="n">
        <v>1843</v>
      </c>
      <c r="E75" s="18" t="n">
        <v>91.00910829999999</v>
      </c>
      <c r="F75" s="20" t="n">
        <v>1.01100322</v>
      </c>
      <c r="G75" s="18" t="n">
        <v>4.57944455</v>
      </c>
      <c r="H75" s="20" t="n">
        <v>0.6468777999999999</v>
      </c>
      <c r="I75" s="18" t="n">
        <v>3.05201978</v>
      </c>
      <c r="J75" s="20" t="n">
        <v>0.5390545799999999</v>
      </c>
      <c r="K75" s="18" t="n">
        <v>0</v>
      </c>
      <c r="L75" s="20" t="n">
        <v>0</v>
      </c>
      <c r="M75" s="18" t="n">
        <v>0.07673194</v>
      </c>
      <c r="N75" s="20" t="n">
        <v>0.07578824000000001</v>
      </c>
      <c r="O75" s="18" t="n">
        <v>0.30986224</v>
      </c>
      <c r="P75" s="20" t="n">
        <v>0.16433394</v>
      </c>
      <c r="Q75" s="18" t="n">
        <v>0</v>
      </c>
      <c r="R75" s="20" t="n">
        <v>0</v>
      </c>
      <c r="S75" s="18" t="n">
        <v>0.97283319</v>
      </c>
      <c r="T75" s="20" t="n">
        <v>0.26397877</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(4272.0/B77*100)</f>
        <v/>
      </c>
      <c r="D77" s="19" t="n">
        <v>1103</v>
      </c>
      <c r="E77" s="18" t="n">
        <v>91.04245456</v>
      </c>
      <c r="F77" s="20" t="n">
        <v>0.9914519000000001</v>
      </c>
      <c r="G77" s="18" t="n">
        <v>0.95461468</v>
      </c>
      <c r="H77" s="20" t="n">
        <v>0.32216049</v>
      </c>
      <c r="I77" s="18" t="n">
        <v>0.81698201</v>
      </c>
      <c r="J77" s="20" t="n">
        <v>0.20971774</v>
      </c>
      <c r="K77" s="18" t="n">
        <v>0</v>
      </c>
      <c r="L77" s="20" t="n">
        <v>0</v>
      </c>
      <c r="M77" s="18" t="n">
        <v>2.22844411</v>
      </c>
      <c r="N77" s="20" t="n">
        <v>0.52393656</v>
      </c>
      <c r="O77" s="18" t="n">
        <v>0.79329064</v>
      </c>
      <c r="P77" s="20" t="n">
        <v>0.24924287</v>
      </c>
      <c r="Q77" s="18" t="n">
        <v>0</v>
      </c>
      <c r="R77" s="20" t="n">
        <v>0</v>
      </c>
      <c r="S77" s="18" t="n">
        <v>4.16421401</v>
      </c>
      <c r="T77" s="20" t="n">
        <v>0.66679476</v>
      </c>
    </row>
    <row r="78" spans="1:20">
      <c r="A78" s="15" t="s">
        <v>638</v>
      </c>
      <c r="B78" s="17" t="n">
        <v>14167</v>
      </c>
      <c r="C78" s="18">
        <f>(11066.0/B78*100)</f>
        <v/>
      </c>
      <c r="D78" s="19" t="n">
        <v>3101</v>
      </c>
      <c r="E78" s="18" t="n">
        <v>83.83754902</v>
      </c>
      <c r="F78" s="20" t="n">
        <v>0.90121229</v>
      </c>
      <c r="G78" s="18" t="n">
        <v>8.017919259999999</v>
      </c>
      <c r="H78" s="20" t="n">
        <v>0.5935612</v>
      </c>
      <c r="I78" s="18" t="n">
        <v>5.54483272</v>
      </c>
      <c r="J78" s="20" t="n">
        <v>0.61006408</v>
      </c>
      <c r="K78" s="18" t="n">
        <v>0</v>
      </c>
      <c r="L78" s="20" t="n">
        <v>0</v>
      </c>
      <c r="M78" s="18" t="n">
        <v>0.5336058</v>
      </c>
      <c r="N78" s="20" t="n">
        <v>0.14749774</v>
      </c>
      <c r="O78" s="18" t="n">
        <v>0.17073397</v>
      </c>
      <c r="P78" s="20" t="n">
        <v>0.08840879</v>
      </c>
      <c r="Q78" s="18" t="n">
        <v>0</v>
      </c>
      <c r="R78" s="20" t="n">
        <v>0</v>
      </c>
      <c r="S78" s="18" t="n">
        <v>1.89535923</v>
      </c>
      <c r="T78" s="20" t="n">
        <v>0.29421576</v>
      </c>
    </row>
    <row r="79" spans="1:20">
      <c r="A79" s="15" t="s">
        <v>639</v>
      </c>
      <c r="B79" s="17" t="n">
        <v>6062</v>
      </c>
      <c r="C79" s="18">
        <f>(4762.0/B79*100)</f>
        <v/>
      </c>
      <c r="D79" s="19" t="n">
        <v>1300</v>
      </c>
      <c r="E79" s="18" t="n">
        <v>81.92190952999999</v>
      </c>
      <c r="F79" s="20" t="n">
        <v>1.15127162</v>
      </c>
      <c r="G79" s="18" t="n">
        <v>4.66142435</v>
      </c>
      <c r="H79" s="20" t="n">
        <v>0.6846843500000001</v>
      </c>
      <c r="I79" s="18" t="n">
        <v>4.81360802</v>
      </c>
      <c r="J79" s="20" t="n">
        <v>0.68862682</v>
      </c>
      <c r="K79" s="18" t="n">
        <v>0</v>
      </c>
      <c r="L79" s="20" t="n">
        <v>0</v>
      </c>
      <c r="M79" s="18" t="n">
        <v>1.29459016</v>
      </c>
      <c r="N79" s="20" t="n">
        <v>0.26012538</v>
      </c>
      <c r="O79" s="18" t="n">
        <v>0.06121661</v>
      </c>
      <c r="P79" s="20" t="n">
        <v>0.06156888</v>
      </c>
      <c r="Q79" s="18" t="n">
        <v>0</v>
      </c>
      <c r="R79" s="20" t="n">
        <v>0</v>
      </c>
      <c r="S79" s="18" t="n">
        <v>7.24725133</v>
      </c>
      <c r="T79" s="20" t="n">
        <v>0.78877188</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(25208.0/B82*100)</f>
        <v/>
      </c>
      <c r="D82" s="19" t="n">
        <v>7122</v>
      </c>
      <c r="E82" s="18" t="n">
        <v>77.16586703</v>
      </c>
      <c r="F82" s="20" t="n">
        <v>0.68520621</v>
      </c>
      <c r="G82" s="18" t="n">
        <v>8.728553720000001</v>
      </c>
      <c r="H82" s="20" t="n">
        <v>0.39825149</v>
      </c>
      <c r="I82" s="18" t="n">
        <v>9.5821673</v>
      </c>
      <c r="J82" s="20" t="n">
        <v>0.49620969</v>
      </c>
      <c r="K82" s="18" t="n">
        <v>0</v>
      </c>
      <c r="L82" s="20" t="n">
        <v>0</v>
      </c>
      <c r="M82" s="18" t="n">
        <v>0.43554965</v>
      </c>
      <c r="N82" s="20" t="n">
        <v>0.14831982</v>
      </c>
      <c r="O82" s="18" t="n">
        <v>0.04655267</v>
      </c>
      <c r="P82" s="20" t="n">
        <v>0.04659991</v>
      </c>
      <c r="Q82" s="18" t="n">
        <v>0</v>
      </c>
      <c r="R82" s="20" t="n">
        <v>0</v>
      </c>
      <c r="S82" s="18" t="n">
        <v>4.04130962</v>
      </c>
      <c r="T82" s="20" t="n">
        <v>0.46337905</v>
      </c>
    </row>
    <row r="83" spans="1:20">
      <c r="A83" s="15" t="s">
        <v>643</v>
      </c>
      <c r="B83" s="17" t="n">
        <v>1652</v>
      </c>
      <c r="C83" s="18">
        <f>(1286.0/B83*100)</f>
        <v/>
      </c>
      <c r="D83" s="19" t="n">
        <v>366</v>
      </c>
      <c r="E83" s="18" t="n">
        <v>65.22908665</v>
      </c>
      <c r="F83" s="20" t="n">
        <v>2.8332866</v>
      </c>
      <c r="G83" s="18" t="n">
        <v>15.74291207</v>
      </c>
      <c r="H83" s="20" t="n">
        <v>2.17936147</v>
      </c>
      <c r="I83" s="18" t="n">
        <v>18.77495667</v>
      </c>
      <c r="J83" s="20" t="n">
        <v>2.10200758</v>
      </c>
      <c r="K83" s="18" t="n">
        <v>0</v>
      </c>
      <c r="L83" s="20" t="n">
        <v>0</v>
      </c>
      <c r="M83" s="18" t="n">
        <v>0</v>
      </c>
      <c r="N83" s="20" t="n">
        <v>0</v>
      </c>
      <c r="O83" s="18" t="n">
        <v>0</v>
      </c>
      <c r="P83" s="20" t="n">
        <v>0</v>
      </c>
      <c r="Q83" s="18" t="n">
        <v>0</v>
      </c>
      <c r="R83" s="20" t="n">
        <v>0</v>
      </c>
      <c r="S83" s="18" t="n">
        <v>0.25304461</v>
      </c>
      <c r="T83" s="20" t="n">
        <v>0.26543345</v>
      </c>
    </row>
    <row r="84" spans="1:20">
      <c r="A84" s="23" t="s">
        <v>644</v>
      </c>
      <c r="B84" s="24" t="n">
        <v>1887</v>
      </c>
      <c r="C84" s="25">
        <f>(1484.0/B84*100)</f>
        <v/>
      </c>
      <c r="D84" s="19" t="n">
        <v>403</v>
      </c>
      <c r="E84" s="18" t="n">
        <v>78.12057075</v>
      </c>
      <c r="F84" s="20" t="n">
        <v>2.00864274</v>
      </c>
      <c r="G84" s="18" t="n">
        <v>10.14137912</v>
      </c>
      <c r="H84" s="20" t="n">
        <v>1.63439513</v>
      </c>
      <c r="I84" s="18" t="n">
        <v>11.21417077</v>
      </c>
      <c r="J84" s="20" t="n">
        <v>1.53303824</v>
      </c>
      <c r="K84" s="18" t="n">
        <v>0</v>
      </c>
      <c r="L84" s="20" t="n">
        <v>0</v>
      </c>
      <c r="M84" s="18" t="n">
        <v>0</v>
      </c>
      <c r="N84" s="20" t="n">
        <v>0</v>
      </c>
      <c r="O84" s="18" t="n">
        <v>0</v>
      </c>
      <c r="P84" s="20" t="n">
        <v>0</v>
      </c>
      <c r="Q84" s="18" t="n">
        <v>0</v>
      </c>
      <c r="R84" s="20" t="n">
        <v>0</v>
      </c>
      <c r="S84" s="18" t="n">
        <v>0.52387937</v>
      </c>
      <c r="T84" s="20" t="n">
        <v>0.4129617</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9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(11406.0/B7*100)</f>
        <v/>
      </c>
      <c r="D7" s="19" t="n">
        <v>3124</v>
      </c>
      <c r="E7" s="18" t="n">
        <v>23.21788054</v>
      </c>
      <c r="F7" s="20" t="n">
        <v>1.07616224</v>
      </c>
      <c r="G7" s="18" t="n">
        <v>75.29419317</v>
      </c>
      <c r="H7" s="20" t="n">
        <v>1.05658914</v>
      </c>
      <c r="I7" s="18" t="n">
        <v>0</v>
      </c>
      <c r="J7" s="20" t="n">
        <v>0</v>
      </c>
      <c r="K7" s="18" t="n">
        <v>0.19937499</v>
      </c>
      <c r="L7" s="20" t="n">
        <v>0.07121444</v>
      </c>
      <c r="M7" s="18" t="n">
        <v>0</v>
      </c>
      <c r="N7" s="20" t="n">
        <v>0</v>
      </c>
      <c r="O7" s="18" t="n">
        <v>0</v>
      </c>
      <c r="P7" s="20" t="n">
        <v>0</v>
      </c>
      <c r="Q7" s="18" t="n">
        <v>1.2885513</v>
      </c>
      <c r="R7" s="20" t="n">
        <v>0.27750475</v>
      </c>
    </row>
    <row r="8" spans="1:18">
      <c r="A8" s="15" t="s">
        <v>566</v>
      </c>
      <c r="B8" s="17" t="n">
        <v>7007</v>
      </c>
      <c r="C8" s="18">
        <f>(5452.0/B8*100)</f>
        <v/>
      </c>
      <c r="D8" s="19" t="n">
        <v>1555</v>
      </c>
      <c r="E8" s="18" t="n">
        <v>24.34972296</v>
      </c>
      <c r="F8" s="20" t="n">
        <v>1.29513435</v>
      </c>
      <c r="G8" s="18" t="n">
        <v>73.37434372</v>
      </c>
      <c r="H8" s="20" t="n">
        <v>1.36799652</v>
      </c>
      <c r="I8" s="18" t="n">
        <v>0</v>
      </c>
      <c r="J8" s="20" t="n">
        <v>0</v>
      </c>
      <c r="K8" s="18" t="n">
        <v>0.19781804</v>
      </c>
      <c r="L8" s="20" t="n">
        <v>0.12492352</v>
      </c>
      <c r="M8" s="18" t="n">
        <v>0</v>
      </c>
      <c r="N8" s="20" t="n">
        <v>0</v>
      </c>
      <c r="O8" s="18" t="n">
        <v>0</v>
      </c>
      <c r="P8" s="20" t="n">
        <v>0</v>
      </c>
      <c r="Q8" s="18" t="n">
        <v>2.07811528</v>
      </c>
      <c r="R8" s="20" t="n">
        <v>0.49978987</v>
      </c>
    </row>
    <row r="9" spans="1:18">
      <c r="A9" s="15" t="s">
        <v>567</v>
      </c>
      <c r="B9" s="17" t="n">
        <v>9651</v>
      </c>
      <c r="C9" s="18">
        <f>(7592.0/B9*100)</f>
        <v/>
      </c>
      <c r="D9" s="19" t="n">
        <v>2059</v>
      </c>
      <c r="E9" s="18" t="n">
        <v>24.5022923</v>
      </c>
      <c r="F9" s="20" t="n">
        <v>1.07826016</v>
      </c>
      <c r="G9" s="18" t="n">
        <v>73.68758244999999</v>
      </c>
      <c r="H9" s="20" t="n">
        <v>1.19497771</v>
      </c>
      <c r="I9" s="18" t="n">
        <v>0</v>
      </c>
      <c r="J9" s="20" t="n">
        <v>0</v>
      </c>
      <c r="K9" s="18" t="n">
        <v>0.52218692</v>
      </c>
      <c r="L9" s="20" t="n">
        <v>0.16502446</v>
      </c>
      <c r="M9" s="18" t="n">
        <v>0</v>
      </c>
      <c r="N9" s="20" t="n">
        <v>0</v>
      </c>
      <c r="O9" s="18" t="n">
        <v>0</v>
      </c>
      <c r="P9" s="20" t="n">
        <v>0</v>
      </c>
      <c r="Q9" s="18" t="n">
        <v>1.28793834</v>
      </c>
      <c r="R9" s="20" t="n">
        <v>0.27569235</v>
      </c>
    </row>
    <row r="10" spans="1:18">
      <c r="A10" s="15" t="s">
        <v>568</v>
      </c>
      <c r="B10" s="17" t="n">
        <v>20058</v>
      </c>
      <c r="C10" s="18">
        <f>(15713.0/B10*100)</f>
        <v/>
      </c>
      <c r="D10" s="19" t="n">
        <v>4345</v>
      </c>
      <c r="E10" s="18" t="n">
        <v>19.34172207</v>
      </c>
      <c r="F10" s="20" t="n">
        <v>0.76281173</v>
      </c>
      <c r="G10" s="18" t="n">
        <v>79.41183174</v>
      </c>
      <c r="H10" s="20" t="n">
        <v>0.8290698</v>
      </c>
      <c r="I10" s="18" t="n">
        <v>0</v>
      </c>
      <c r="J10" s="20" t="n">
        <v>0</v>
      </c>
      <c r="K10" s="18" t="n">
        <v>0.45134001</v>
      </c>
      <c r="L10" s="20" t="n">
        <v>0.1295293</v>
      </c>
      <c r="M10" s="18" t="n">
        <v>0</v>
      </c>
      <c r="N10" s="20" t="n">
        <v>0</v>
      </c>
      <c r="O10" s="18" t="n">
        <v>0</v>
      </c>
      <c r="P10" s="20" t="n">
        <v>0</v>
      </c>
      <c r="Q10" s="18" t="n">
        <v>0.79510618</v>
      </c>
      <c r="R10" s="20" t="n">
        <v>0.1808471</v>
      </c>
    </row>
    <row r="11" spans="1:18">
      <c r="A11" s="15" t="s">
        <v>569</v>
      </c>
      <c r="B11" s="17" t="n">
        <v>7053</v>
      </c>
      <c r="C11" s="18">
        <f>(5583.0/B11*100)</f>
        <v/>
      </c>
      <c r="D11" s="19" t="n">
        <v>1470</v>
      </c>
      <c r="E11" s="18" t="n">
        <v>29.67118262</v>
      </c>
      <c r="F11" s="20" t="n">
        <v>1.38462338</v>
      </c>
      <c r="G11" s="18" t="n">
        <v>67.78508929</v>
      </c>
      <c r="H11" s="20" t="n">
        <v>1.36880499</v>
      </c>
      <c r="I11" s="18" t="n">
        <v>0</v>
      </c>
      <c r="J11" s="20" t="n">
        <v>0</v>
      </c>
      <c r="K11" s="18" t="n">
        <v>0.83199771</v>
      </c>
      <c r="L11" s="20" t="n">
        <v>0.2123191</v>
      </c>
      <c r="M11" s="18" t="n">
        <v>0</v>
      </c>
      <c r="N11" s="20" t="n">
        <v>0</v>
      </c>
      <c r="O11" s="18" t="n">
        <v>0</v>
      </c>
      <c r="P11" s="20" t="n">
        <v>0</v>
      </c>
      <c r="Q11" s="18" t="n">
        <v>1.71173038</v>
      </c>
      <c r="R11" s="20" t="n">
        <v>0.3872109</v>
      </c>
    </row>
    <row r="12" spans="1:18">
      <c r="A12" s="15" t="s">
        <v>570</v>
      </c>
      <c r="B12" s="17" t="n">
        <v>6894</v>
      </c>
      <c r="C12" s="18">
        <f>(5428.0/B12*100)</f>
        <v/>
      </c>
      <c r="D12" s="19" t="n">
        <v>1466</v>
      </c>
      <c r="E12" s="18" t="n">
        <v>25.40950994</v>
      </c>
      <c r="F12" s="20" t="n">
        <v>1.55085216</v>
      </c>
      <c r="G12" s="18" t="n">
        <v>73.92021633</v>
      </c>
      <c r="H12" s="20" t="n">
        <v>1.5648849</v>
      </c>
      <c r="I12" s="18" t="n">
        <v>0</v>
      </c>
      <c r="J12" s="20" t="n">
        <v>0</v>
      </c>
      <c r="K12" s="18" t="n">
        <v>0.13164419</v>
      </c>
      <c r="L12" s="20" t="n">
        <v>0.09160937</v>
      </c>
      <c r="M12" s="18" t="n">
        <v>0</v>
      </c>
      <c r="N12" s="20" t="n">
        <v>0</v>
      </c>
      <c r="O12" s="18" t="n">
        <v>0</v>
      </c>
      <c r="P12" s="20" t="n">
        <v>0</v>
      </c>
      <c r="Q12" s="18" t="n">
        <v>0.53862954</v>
      </c>
      <c r="R12" s="20" t="n">
        <v>0.17617578</v>
      </c>
    </row>
    <row r="13" spans="1:18">
      <c r="A13" s="15" t="s">
        <v>571</v>
      </c>
      <c r="B13" s="17" t="n">
        <v>7161</v>
      </c>
      <c r="C13" s="18">
        <f>(5713.0/B13*100)</f>
        <v/>
      </c>
      <c r="D13" s="19" t="n">
        <v>1448</v>
      </c>
      <c r="E13" s="18" t="n">
        <v>22.96436124</v>
      </c>
      <c r="F13" s="20" t="n">
        <v>1.42049122</v>
      </c>
      <c r="G13" s="18" t="n">
        <v>75.08432123</v>
      </c>
      <c r="H13" s="20" t="n">
        <v>1.36959993</v>
      </c>
      <c r="I13" s="18" t="n">
        <v>0</v>
      </c>
      <c r="J13" s="20" t="n">
        <v>0</v>
      </c>
      <c r="K13" s="18" t="n">
        <v>0.81078353</v>
      </c>
      <c r="L13" s="20" t="n">
        <v>0.29716901</v>
      </c>
      <c r="M13" s="18" t="n">
        <v>0</v>
      </c>
      <c r="N13" s="20" t="n">
        <v>0</v>
      </c>
      <c r="O13" s="18" t="n">
        <v>0</v>
      </c>
      <c r="P13" s="20" t="n">
        <v>0</v>
      </c>
      <c r="Q13" s="18" t="n">
        <v>1.14053399</v>
      </c>
      <c r="R13" s="20" t="n">
        <v>0.32165042</v>
      </c>
    </row>
    <row r="14" spans="1:18">
      <c r="A14" s="15" t="s">
        <v>572</v>
      </c>
      <c r="B14" s="17" t="n">
        <v>5587</v>
      </c>
      <c r="C14" s="18">
        <f>(4398.0/B14*100)</f>
        <v/>
      </c>
      <c r="D14" s="19" t="n">
        <v>1189</v>
      </c>
      <c r="E14" s="18" t="n">
        <v>18.60595975</v>
      </c>
      <c r="F14" s="20" t="n">
        <v>1.14704649</v>
      </c>
      <c r="G14" s="18" t="n">
        <v>80.89331133</v>
      </c>
      <c r="H14" s="20" t="n">
        <v>1.14539698</v>
      </c>
      <c r="I14" s="18" t="n">
        <v>0</v>
      </c>
      <c r="J14" s="20" t="n">
        <v>0</v>
      </c>
      <c r="K14" s="18" t="n">
        <v>0.13629972</v>
      </c>
      <c r="L14" s="20" t="n">
        <v>0.09400801</v>
      </c>
      <c r="M14" s="18" t="n">
        <v>0</v>
      </c>
      <c r="N14" s="20" t="n">
        <v>0</v>
      </c>
      <c r="O14" s="18" t="n">
        <v>0</v>
      </c>
      <c r="P14" s="20" t="n">
        <v>0</v>
      </c>
      <c r="Q14" s="18" t="n">
        <v>0.3644292</v>
      </c>
      <c r="R14" s="20" t="n">
        <v>0.16107301</v>
      </c>
    </row>
    <row r="15" spans="1:18">
      <c r="A15" s="15" t="s">
        <v>573</v>
      </c>
      <c r="B15" s="17" t="n">
        <v>5882</v>
      </c>
      <c r="C15" s="18">
        <f>(4565.0/B15*100)</f>
        <v/>
      </c>
      <c r="D15" s="19" t="n">
        <v>1317</v>
      </c>
      <c r="E15" s="18" t="n">
        <v>19.06605817</v>
      </c>
      <c r="F15" s="20" t="n">
        <v>1.16076673</v>
      </c>
      <c r="G15" s="18" t="n">
        <v>80.17782826</v>
      </c>
      <c r="H15" s="20" t="n">
        <v>1.20266757</v>
      </c>
      <c r="I15" s="18" t="n">
        <v>0</v>
      </c>
      <c r="J15" s="20" t="n">
        <v>0</v>
      </c>
      <c r="K15" s="18" t="n">
        <v>0.08799902</v>
      </c>
      <c r="L15" s="20" t="n">
        <v>0.1015707</v>
      </c>
      <c r="M15" s="18" t="n">
        <v>0</v>
      </c>
      <c r="N15" s="20" t="n">
        <v>0</v>
      </c>
      <c r="O15" s="18" t="n">
        <v>0</v>
      </c>
      <c r="P15" s="20" t="n">
        <v>0</v>
      </c>
      <c r="Q15" s="18" t="n">
        <v>0.66811455</v>
      </c>
      <c r="R15" s="20" t="n">
        <v>0.24914543</v>
      </c>
    </row>
    <row r="16" spans="1:18">
      <c r="A16" s="15" t="s">
        <v>574</v>
      </c>
      <c r="B16" s="17" t="n">
        <v>6108</v>
      </c>
      <c r="C16" s="18">
        <f>(4755.0/B16*100)</f>
        <v/>
      </c>
      <c r="D16" s="19" t="n">
        <v>1353</v>
      </c>
      <c r="E16" s="18" t="n">
        <v>25.70210384</v>
      </c>
      <c r="F16" s="20" t="n">
        <v>1.32481551</v>
      </c>
      <c r="G16" s="18" t="n">
        <v>71.61977431</v>
      </c>
      <c r="H16" s="20" t="n">
        <v>1.37152734</v>
      </c>
      <c r="I16" s="18" t="n">
        <v>0</v>
      </c>
      <c r="J16" s="20" t="n">
        <v>0</v>
      </c>
      <c r="K16" s="18" t="n">
        <v>0.5647078800000001</v>
      </c>
      <c r="L16" s="20" t="n">
        <v>0.16740315</v>
      </c>
      <c r="M16" s="18" t="n">
        <v>0</v>
      </c>
      <c r="N16" s="20" t="n">
        <v>0</v>
      </c>
      <c r="O16" s="18" t="n">
        <v>0</v>
      </c>
      <c r="P16" s="20" t="n">
        <v>0</v>
      </c>
      <c r="Q16" s="18" t="n">
        <v>2.11341397</v>
      </c>
      <c r="R16" s="20" t="n">
        <v>0.4528568</v>
      </c>
    </row>
    <row r="17" spans="1:18">
      <c r="A17" s="15" t="s">
        <v>575</v>
      </c>
      <c r="B17" s="17" t="n">
        <v>6504</v>
      </c>
      <c r="C17" s="18">
        <f>(5159.0/B17*100)</f>
        <v/>
      </c>
      <c r="D17" s="19" t="n">
        <v>1345</v>
      </c>
      <c r="E17" s="18" t="n">
        <v>23.69101202</v>
      </c>
      <c r="F17" s="20" t="n">
        <v>1.25014844</v>
      </c>
      <c r="G17" s="18" t="n">
        <v>74.98696873999999</v>
      </c>
      <c r="H17" s="20" t="n">
        <v>1.26534435</v>
      </c>
      <c r="I17" s="18" t="n">
        <v>0</v>
      </c>
      <c r="J17" s="20" t="n">
        <v>0</v>
      </c>
      <c r="K17" s="18" t="n">
        <v>0.36844282</v>
      </c>
      <c r="L17" s="20" t="n">
        <v>0.17193197</v>
      </c>
      <c r="M17" s="18" t="n">
        <v>0</v>
      </c>
      <c r="N17" s="20" t="n">
        <v>0</v>
      </c>
      <c r="O17" s="18" t="n">
        <v>0</v>
      </c>
      <c r="P17" s="20" t="n">
        <v>0</v>
      </c>
      <c r="Q17" s="18" t="n">
        <v>0.95357642</v>
      </c>
      <c r="R17" s="20" t="n">
        <v>0.27149852</v>
      </c>
    </row>
    <row r="18" spans="1:18">
      <c r="A18" s="15" t="s">
        <v>576</v>
      </c>
      <c r="B18" s="17" t="n">
        <v>5532</v>
      </c>
      <c r="C18" s="18">
        <f>(4315.0/B18*100)</f>
        <v/>
      </c>
      <c r="D18" s="19" t="n">
        <v>1217</v>
      </c>
      <c r="E18" s="18" t="n">
        <v>32.35147162</v>
      </c>
      <c r="F18" s="20" t="n">
        <v>2.02114596</v>
      </c>
      <c r="G18" s="18" t="n">
        <v>65.79213125</v>
      </c>
      <c r="H18" s="20" t="n">
        <v>2.0035311</v>
      </c>
      <c r="I18" s="18" t="n">
        <v>0</v>
      </c>
      <c r="J18" s="20" t="n">
        <v>0</v>
      </c>
      <c r="K18" s="18" t="n">
        <v>0.89044937</v>
      </c>
      <c r="L18" s="20" t="n">
        <v>0.36095941</v>
      </c>
      <c r="M18" s="18" t="n">
        <v>0</v>
      </c>
      <c r="N18" s="20" t="n">
        <v>0</v>
      </c>
      <c r="O18" s="18" t="n">
        <v>0</v>
      </c>
      <c r="P18" s="20" t="n">
        <v>0</v>
      </c>
      <c r="Q18" s="18" t="n">
        <v>0.96594775</v>
      </c>
      <c r="R18" s="20" t="n">
        <v>0.31561824</v>
      </c>
    </row>
    <row r="19" spans="1:18">
      <c r="A19" s="15" t="s">
        <v>577</v>
      </c>
      <c r="B19" s="17" t="n">
        <v>5658</v>
      </c>
      <c r="C19" s="18">
        <f>(4466.0/B19*100)</f>
        <v/>
      </c>
      <c r="D19" s="19" t="n">
        <v>1192</v>
      </c>
      <c r="E19" s="18" t="n">
        <v>33.83665481</v>
      </c>
      <c r="F19" s="20" t="n">
        <v>1.50633284</v>
      </c>
      <c r="G19" s="18" t="n">
        <v>65.43767151999999</v>
      </c>
      <c r="H19" s="20" t="n">
        <v>1.54976975</v>
      </c>
      <c r="I19" s="18" t="n">
        <v>0</v>
      </c>
      <c r="J19" s="20" t="n">
        <v>0</v>
      </c>
      <c r="K19" s="18" t="n">
        <v>0.07328560000000001</v>
      </c>
      <c r="L19" s="20" t="n">
        <v>0.07325806999999999</v>
      </c>
      <c r="M19" s="18" t="n">
        <v>0</v>
      </c>
      <c r="N19" s="20" t="n">
        <v>0</v>
      </c>
      <c r="O19" s="18" t="n">
        <v>0</v>
      </c>
      <c r="P19" s="20" t="n">
        <v>0</v>
      </c>
      <c r="Q19" s="18" t="n">
        <v>0.65238807</v>
      </c>
      <c r="R19" s="20" t="n">
        <v>0.24215693</v>
      </c>
    </row>
    <row r="20" spans="1:18">
      <c r="A20" s="15" t="s">
        <v>578</v>
      </c>
      <c r="B20" s="17" t="n">
        <v>3371</v>
      </c>
      <c r="C20" s="18">
        <f>(2647.0/B20*100)</f>
        <v/>
      </c>
      <c r="D20" s="19" t="n">
        <v>724</v>
      </c>
      <c r="E20" s="18" t="n">
        <v>25.32683155</v>
      </c>
      <c r="F20" s="20" t="n">
        <v>1.68165342</v>
      </c>
      <c r="G20" s="18" t="n">
        <v>71.89979235</v>
      </c>
      <c r="H20" s="20" t="n">
        <v>1.82300323</v>
      </c>
      <c r="I20" s="18" t="n">
        <v>0</v>
      </c>
      <c r="J20" s="20" t="n">
        <v>0</v>
      </c>
      <c r="K20" s="18" t="n">
        <v>0.95653584</v>
      </c>
      <c r="L20" s="20" t="n">
        <v>0.35770764</v>
      </c>
      <c r="M20" s="18" t="n">
        <v>0</v>
      </c>
      <c r="N20" s="20" t="n">
        <v>0</v>
      </c>
      <c r="O20" s="18" t="n">
        <v>0</v>
      </c>
      <c r="P20" s="20" t="n">
        <v>0</v>
      </c>
      <c r="Q20" s="18" t="n">
        <v>1.81684026</v>
      </c>
      <c r="R20" s="20" t="n">
        <v>0.60902472</v>
      </c>
    </row>
    <row r="21" spans="1:18">
      <c r="A21" s="15" t="s">
        <v>579</v>
      </c>
      <c r="B21" s="17" t="n">
        <v>5741</v>
      </c>
      <c r="C21" s="18">
        <f>(4467.0/B21*100)</f>
        <v/>
      </c>
      <c r="D21" s="19" t="n">
        <v>1274</v>
      </c>
      <c r="E21" s="18" t="n">
        <v>23.09195934</v>
      </c>
      <c r="F21" s="20" t="n">
        <v>1.23143594</v>
      </c>
      <c r="G21" s="18" t="n">
        <v>75.80402049</v>
      </c>
      <c r="H21" s="20" t="n">
        <v>1.27956094</v>
      </c>
      <c r="I21" s="18" t="n">
        <v>0</v>
      </c>
      <c r="J21" s="20" t="n">
        <v>0</v>
      </c>
      <c r="K21" s="18" t="n">
        <v>0.07393205</v>
      </c>
      <c r="L21" s="20" t="n">
        <v>0.0664791</v>
      </c>
      <c r="M21" s="18" t="n">
        <v>0</v>
      </c>
      <c r="N21" s="20" t="n">
        <v>0</v>
      </c>
      <c r="O21" s="18" t="n">
        <v>0</v>
      </c>
      <c r="P21" s="20" t="n">
        <v>0</v>
      </c>
      <c r="Q21" s="18" t="n">
        <v>1.03008811</v>
      </c>
      <c r="R21" s="20" t="n">
        <v>0.26612249</v>
      </c>
    </row>
    <row r="22" spans="1:18">
      <c r="A22" s="15" t="s">
        <v>580</v>
      </c>
      <c r="B22" s="17" t="n">
        <v>6598</v>
      </c>
      <c r="C22" s="18">
        <f>(5184.0/B22*100)</f>
        <v/>
      </c>
      <c r="D22" s="19" t="n">
        <v>1414</v>
      </c>
      <c r="E22" s="18" t="n">
        <v>34.48842992</v>
      </c>
      <c r="F22" s="20" t="n">
        <v>1.48334325</v>
      </c>
      <c r="G22" s="18" t="n">
        <v>62.94731642</v>
      </c>
      <c r="H22" s="20" t="n">
        <v>1.56857225</v>
      </c>
      <c r="I22" s="18" t="n">
        <v>0</v>
      </c>
      <c r="J22" s="20" t="n">
        <v>0</v>
      </c>
      <c r="K22" s="18" t="n">
        <v>1.14370713</v>
      </c>
      <c r="L22" s="20" t="n">
        <v>0.26673935</v>
      </c>
      <c r="M22" s="18" t="n">
        <v>0</v>
      </c>
      <c r="N22" s="20" t="n">
        <v>0</v>
      </c>
      <c r="O22" s="18" t="n">
        <v>0</v>
      </c>
      <c r="P22" s="20" t="n">
        <v>0</v>
      </c>
      <c r="Q22" s="18" t="n">
        <v>1.42054653</v>
      </c>
      <c r="R22" s="20" t="n">
        <v>0.34004853</v>
      </c>
    </row>
    <row r="23" spans="1:18">
      <c r="A23" s="15" t="s">
        <v>581</v>
      </c>
      <c r="B23" s="17" t="n">
        <v>11583</v>
      </c>
      <c r="C23" s="18">
        <f>(8996.0/B23*100)</f>
        <v/>
      </c>
      <c r="D23" s="19" t="n">
        <v>2587</v>
      </c>
      <c r="E23" s="18" t="n">
        <v>26.83691615</v>
      </c>
      <c r="F23" s="20" t="n">
        <v>1.35464895</v>
      </c>
      <c r="G23" s="18" t="n">
        <v>70.20600724000001</v>
      </c>
      <c r="H23" s="20" t="n">
        <v>1.61816031</v>
      </c>
      <c r="I23" s="18" t="n">
        <v>0</v>
      </c>
      <c r="J23" s="20" t="n">
        <v>0</v>
      </c>
      <c r="K23" s="18" t="n">
        <v>0.75335531</v>
      </c>
      <c r="L23" s="20" t="n">
        <v>0.32493184</v>
      </c>
      <c r="M23" s="18" t="n">
        <v>0</v>
      </c>
      <c r="N23" s="20" t="n">
        <v>0</v>
      </c>
      <c r="O23" s="18" t="n">
        <v>0</v>
      </c>
      <c r="P23" s="20" t="n">
        <v>0</v>
      </c>
      <c r="Q23" s="18" t="n">
        <v>2.20372129</v>
      </c>
      <c r="R23" s="20" t="n">
        <v>0.52068526</v>
      </c>
    </row>
    <row r="24" spans="1:18">
      <c r="A24" s="15" t="s">
        <v>582</v>
      </c>
      <c r="B24" s="17" t="n">
        <v>6647</v>
      </c>
      <c r="C24" s="18">
        <f>(5177.0/B24*100)</f>
        <v/>
      </c>
      <c r="D24" s="19" t="n">
        <v>1470</v>
      </c>
      <c r="E24" s="18" t="n">
        <v>13.93642111</v>
      </c>
      <c r="F24" s="20" t="n">
        <v>0.96844067</v>
      </c>
      <c r="G24" s="18" t="n">
        <v>85.47862861999999</v>
      </c>
      <c r="H24" s="20" t="n">
        <v>0.95726696</v>
      </c>
      <c r="I24" s="18" t="n">
        <v>0</v>
      </c>
      <c r="J24" s="20" t="n">
        <v>0</v>
      </c>
      <c r="K24" s="18" t="n">
        <v>0.06779843000000001</v>
      </c>
      <c r="L24" s="20" t="n">
        <v>0.06801514</v>
      </c>
      <c r="M24" s="18" t="n">
        <v>0</v>
      </c>
      <c r="N24" s="20" t="n">
        <v>0</v>
      </c>
      <c r="O24" s="18" t="n">
        <v>0</v>
      </c>
      <c r="P24" s="20" t="n">
        <v>0</v>
      </c>
      <c r="Q24" s="18" t="n">
        <v>0.51715185</v>
      </c>
      <c r="R24" s="20" t="n">
        <v>0.18099022</v>
      </c>
    </row>
    <row r="25" spans="1:18">
      <c r="A25" s="15" t="s">
        <v>583</v>
      </c>
      <c r="B25" s="17" t="n">
        <v>5581</v>
      </c>
      <c r="C25" s="18">
        <f>(4356.0/B25*100)</f>
        <v/>
      </c>
      <c r="D25" s="19" t="n">
        <v>1225</v>
      </c>
      <c r="E25" s="18" t="n">
        <v>20.78908624</v>
      </c>
      <c r="F25" s="20" t="n">
        <v>1.35686378</v>
      </c>
      <c r="G25" s="18" t="n">
        <v>78.77931091000001</v>
      </c>
      <c r="H25" s="20" t="n">
        <v>1.40383524</v>
      </c>
      <c r="I25" s="18" t="n">
        <v>0</v>
      </c>
      <c r="J25" s="20" t="n">
        <v>0</v>
      </c>
      <c r="K25" s="18" t="n">
        <v>0</v>
      </c>
      <c r="L25" s="20" t="n">
        <v>0</v>
      </c>
      <c r="M25" s="18" t="n">
        <v>0</v>
      </c>
      <c r="N25" s="20" t="n">
        <v>0</v>
      </c>
      <c r="O25" s="18" t="n">
        <v>0</v>
      </c>
      <c r="P25" s="20" t="n">
        <v>0</v>
      </c>
      <c r="Q25" s="18" t="n">
        <v>0.43160284</v>
      </c>
      <c r="R25" s="20" t="n">
        <v>0.19033235</v>
      </c>
    </row>
    <row r="26" spans="1:18">
      <c r="A26" s="15" t="s">
        <v>584</v>
      </c>
      <c r="B26" s="17" t="n">
        <v>4869</v>
      </c>
      <c r="C26" s="18">
        <f>(3823.0/B26*100)</f>
        <v/>
      </c>
      <c r="D26" s="19" t="n">
        <v>1046</v>
      </c>
      <c r="E26" s="18" t="n">
        <v>28.05620117</v>
      </c>
      <c r="F26" s="20" t="n">
        <v>1.55550699</v>
      </c>
      <c r="G26" s="18" t="n">
        <v>71.06958717000001</v>
      </c>
      <c r="H26" s="20" t="n">
        <v>1.55822888</v>
      </c>
      <c r="I26" s="18" t="n">
        <v>0</v>
      </c>
      <c r="J26" s="20" t="n">
        <v>0</v>
      </c>
      <c r="K26" s="18" t="n">
        <v>0.07841668</v>
      </c>
      <c r="L26" s="20" t="n">
        <v>0.07877083999999999</v>
      </c>
      <c r="M26" s="18" t="n">
        <v>0</v>
      </c>
      <c r="N26" s="20" t="n">
        <v>0</v>
      </c>
      <c r="O26" s="18" t="n">
        <v>0</v>
      </c>
      <c r="P26" s="20" t="n">
        <v>0</v>
      </c>
      <c r="Q26" s="18" t="n">
        <v>0.79579498</v>
      </c>
      <c r="R26" s="20" t="n">
        <v>0.24443592</v>
      </c>
    </row>
    <row r="27" spans="1:18">
      <c r="A27" s="15" t="s">
        <v>585</v>
      </c>
      <c r="B27" s="17" t="n">
        <v>5299</v>
      </c>
      <c r="C27" s="18">
        <f>(4122.0/B27*100)</f>
        <v/>
      </c>
      <c r="D27" s="19" t="n">
        <v>1177</v>
      </c>
      <c r="E27" s="18" t="n">
        <v>28.26763029</v>
      </c>
      <c r="F27" s="20" t="n">
        <v>1.19040768</v>
      </c>
      <c r="G27" s="18" t="n">
        <v>69.41339528</v>
      </c>
      <c r="H27" s="20" t="n">
        <v>1.18760471</v>
      </c>
      <c r="I27" s="18" t="n">
        <v>0</v>
      </c>
      <c r="J27" s="20" t="n">
        <v>0</v>
      </c>
      <c r="K27" s="18" t="n">
        <v>0.52887717</v>
      </c>
      <c r="L27" s="20" t="n">
        <v>0.21446908</v>
      </c>
      <c r="M27" s="18" t="n">
        <v>0</v>
      </c>
      <c r="N27" s="20" t="n">
        <v>0</v>
      </c>
      <c r="O27" s="18" t="n">
        <v>0</v>
      </c>
      <c r="P27" s="20" t="n">
        <v>0</v>
      </c>
      <c r="Q27" s="18" t="n">
        <v>1.79009725</v>
      </c>
      <c r="R27" s="20" t="n">
        <v>0.30952031</v>
      </c>
    </row>
    <row r="28" spans="1:18">
      <c r="A28" s="15" t="s">
        <v>586</v>
      </c>
      <c r="B28" s="17" t="n">
        <v>7568</v>
      </c>
      <c r="C28" s="18">
        <f>(6045.0/B28*100)</f>
        <v/>
      </c>
      <c r="D28" s="19" t="n">
        <v>1523</v>
      </c>
      <c r="E28" s="18" t="n">
        <v>35.452935</v>
      </c>
      <c r="F28" s="20" t="n">
        <v>1.44111918</v>
      </c>
      <c r="G28" s="18" t="n">
        <v>62.97077522</v>
      </c>
      <c r="H28" s="20" t="n">
        <v>1.42960732</v>
      </c>
      <c r="I28" s="18" t="n">
        <v>0</v>
      </c>
      <c r="J28" s="20" t="n">
        <v>0</v>
      </c>
      <c r="K28" s="18" t="n">
        <v>0.66097846</v>
      </c>
      <c r="L28" s="20" t="n">
        <v>0.212544</v>
      </c>
      <c r="M28" s="18" t="n">
        <v>0</v>
      </c>
      <c r="N28" s="20" t="n">
        <v>0</v>
      </c>
      <c r="O28" s="18" t="n">
        <v>0</v>
      </c>
      <c r="P28" s="20" t="n">
        <v>0</v>
      </c>
      <c r="Q28" s="18" t="n">
        <v>0.91531133</v>
      </c>
      <c r="R28" s="20" t="n">
        <v>0.28802351</v>
      </c>
    </row>
    <row r="29" spans="1:18">
      <c r="A29" s="15" t="s">
        <v>587</v>
      </c>
      <c r="B29" s="17" t="n">
        <v>5385</v>
      </c>
      <c r="C29" s="18">
        <f>(4277.0/B29*100)</f>
        <v/>
      </c>
      <c r="D29" s="19" t="n">
        <v>1108</v>
      </c>
      <c r="E29" s="18" t="n">
        <v>28.10517366</v>
      </c>
      <c r="F29" s="20" t="n">
        <v>1.59322748</v>
      </c>
      <c r="G29" s="18" t="n">
        <v>70.96722090999999</v>
      </c>
      <c r="H29" s="20" t="n">
        <v>1.54895682</v>
      </c>
      <c r="I29" s="18" t="n">
        <v>0</v>
      </c>
      <c r="J29" s="20" t="n">
        <v>0</v>
      </c>
      <c r="K29" s="18" t="n">
        <v>0.06660658</v>
      </c>
      <c r="L29" s="20" t="n">
        <v>0.09168345</v>
      </c>
      <c r="M29" s="18" t="n">
        <v>0</v>
      </c>
      <c r="N29" s="20" t="n">
        <v>0</v>
      </c>
      <c r="O29" s="18" t="n">
        <v>0</v>
      </c>
      <c r="P29" s="20" t="n">
        <v>0</v>
      </c>
      <c r="Q29" s="18" t="n">
        <v>0.86099885</v>
      </c>
      <c r="R29" s="20" t="n">
        <v>0.27950495</v>
      </c>
    </row>
    <row r="30" spans="1:18">
      <c r="A30" s="15" t="s">
        <v>588</v>
      </c>
      <c r="B30" s="17" t="n">
        <v>4520</v>
      </c>
      <c r="C30" s="18">
        <f>(3535.0/B30*100)</f>
        <v/>
      </c>
      <c r="D30" s="19" t="n">
        <v>985</v>
      </c>
      <c r="E30" s="18" t="n">
        <v>21.3065409</v>
      </c>
      <c r="F30" s="20" t="n">
        <v>1.58307835</v>
      </c>
      <c r="G30" s="18" t="n">
        <v>76.14475392</v>
      </c>
      <c r="H30" s="20" t="n">
        <v>1.7116046</v>
      </c>
      <c r="I30" s="18" t="n">
        <v>0</v>
      </c>
      <c r="J30" s="20" t="n">
        <v>0</v>
      </c>
      <c r="K30" s="18" t="n">
        <v>1.32905187</v>
      </c>
      <c r="L30" s="20" t="n">
        <v>0.40999069</v>
      </c>
      <c r="M30" s="18" t="n">
        <v>0</v>
      </c>
      <c r="N30" s="20" t="n">
        <v>0</v>
      </c>
      <c r="O30" s="18" t="n">
        <v>0</v>
      </c>
      <c r="P30" s="20" t="n">
        <v>0</v>
      </c>
      <c r="Q30" s="18" t="n">
        <v>1.21965331</v>
      </c>
      <c r="R30" s="20" t="n">
        <v>0.35785768</v>
      </c>
    </row>
    <row r="31" spans="1:18">
      <c r="A31" s="15" t="s">
        <v>589</v>
      </c>
      <c r="B31" s="17" t="n">
        <v>5456</v>
      </c>
      <c r="C31" s="18">
        <f>(4260.0/B31*100)</f>
        <v/>
      </c>
      <c r="D31" s="19" t="n">
        <v>1196</v>
      </c>
      <c r="E31" s="18" t="n">
        <v>25.09541648</v>
      </c>
      <c r="F31" s="20" t="n">
        <v>1.25384037</v>
      </c>
      <c r="G31" s="18" t="n">
        <v>72.64060966</v>
      </c>
      <c r="H31" s="20" t="n">
        <v>1.39242728</v>
      </c>
      <c r="I31" s="18" t="n">
        <v>0</v>
      </c>
      <c r="J31" s="20" t="n">
        <v>0</v>
      </c>
      <c r="K31" s="18" t="n">
        <v>0.80380617</v>
      </c>
      <c r="L31" s="20" t="n">
        <v>0.28370894</v>
      </c>
      <c r="M31" s="18" t="n">
        <v>0</v>
      </c>
      <c r="N31" s="20" t="n">
        <v>0</v>
      </c>
      <c r="O31" s="18" t="n">
        <v>0</v>
      </c>
      <c r="P31" s="20" t="n">
        <v>0</v>
      </c>
      <c r="Q31" s="18" t="n">
        <v>1.46016769</v>
      </c>
      <c r="R31" s="20" t="n">
        <v>0.37070602</v>
      </c>
    </row>
    <row r="32" spans="1:18">
      <c r="A32" s="15" t="s">
        <v>590</v>
      </c>
      <c r="B32" s="17" t="n">
        <v>4478</v>
      </c>
      <c r="C32" s="18">
        <f>(3441.0/B32*100)</f>
        <v/>
      </c>
      <c r="D32" s="19" t="n">
        <v>1037</v>
      </c>
      <c r="E32" s="18" t="n">
        <v>24.73285511</v>
      </c>
      <c r="F32" s="20" t="n">
        <v>1.53902741</v>
      </c>
      <c r="G32" s="18" t="n">
        <v>74.98889871</v>
      </c>
      <c r="H32" s="20" t="n">
        <v>1.54115737</v>
      </c>
      <c r="I32" s="18" t="n">
        <v>0</v>
      </c>
      <c r="J32" s="20" t="n">
        <v>0</v>
      </c>
      <c r="K32" s="18" t="n">
        <v>0</v>
      </c>
      <c r="L32" s="20" t="n">
        <v>0</v>
      </c>
      <c r="M32" s="18" t="n">
        <v>0</v>
      </c>
      <c r="N32" s="20" t="n">
        <v>0</v>
      </c>
      <c r="O32" s="18" t="n">
        <v>0</v>
      </c>
      <c r="P32" s="20" t="n">
        <v>0</v>
      </c>
      <c r="Q32" s="18" t="n">
        <v>0.27824618</v>
      </c>
      <c r="R32" s="20" t="n">
        <v>0.16604909</v>
      </c>
    </row>
    <row r="33" spans="1:18">
      <c r="A33" s="15" t="s">
        <v>591</v>
      </c>
      <c r="B33" s="17" t="n">
        <v>7325</v>
      </c>
      <c r="C33" s="18">
        <f>(5724.0/B33*100)</f>
        <v/>
      </c>
      <c r="D33" s="19" t="n">
        <v>1601</v>
      </c>
      <c r="E33" s="18" t="n">
        <v>21.25248</v>
      </c>
      <c r="F33" s="20" t="n">
        <v>1.30838985</v>
      </c>
      <c r="G33" s="18" t="n">
        <v>77.05571333</v>
      </c>
      <c r="H33" s="20" t="n">
        <v>1.50458678</v>
      </c>
      <c r="I33" s="18" t="n">
        <v>0</v>
      </c>
      <c r="J33" s="20" t="n">
        <v>0</v>
      </c>
      <c r="K33" s="18" t="n">
        <v>0.49683035</v>
      </c>
      <c r="L33" s="20" t="n">
        <v>0.23964914</v>
      </c>
      <c r="M33" s="18" t="n">
        <v>0</v>
      </c>
      <c r="N33" s="20" t="n">
        <v>0</v>
      </c>
      <c r="O33" s="18" t="n">
        <v>0</v>
      </c>
      <c r="P33" s="20" t="n">
        <v>0</v>
      </c>
      <c r="Q33" s="18" t="n">
        <v>1.19497632</v>
      </c>
      <c r="R33" s="20" t="n">
        <v>0.38743555</v>
      </c>
    </row>
    <row r="34" spans="1:18">
      <c r="A34" s="15" t="s">
        <v>592</v>
      </c>
      <c r="B34" s="17" t="n">
        <v>6350</v>
      </c>
      <c r="C34" s="18">
        <f>(5034.0/B34*100)</f>
        <v/>
      </c>
      <c r="D34" s="19" t="n">
        <v>1316</v>
      </c>
      <c r="E34" s="18" t="n">
        <v>37.05556799</v>
      </c>
      <c r="F34" s="20" t="n">
        <v>1.68133959</v>
      </c>
      <c r="G34" s="18" t="n">
        <v>61.92774279</v>
      </c>
      <c r="H34" s="20" t="n">
        <v>1.68823312</v>
      </c>
      <c r="I34" s="18" t="n">
        <v>0</v>
      </c>
      <c r="J34" s="20" t="n">
        <v>0</v>
      </c>
      <c r="K34" s="18" t="n">
        <v>0.14346201</v>
      </c>
      <c r="L34" s="20" t="n">
        <v>0.09711023000000001</v>
      </c>
      <c r="M34" s="18" t="n">
        <v>0</v>
      </c>
      <c r="N34" s="20" t="n">
        <v>0</v>
      </c>
      <c r="O34" s="18" t="n">
        <v>0</v>
      </c>
      <c r="P34" s="20" t="n">
        <v>0</v>
      </c>
      <c r="Q34" s="18" t="n">
        <v>0.87322721</v>
      </c>
      <c r="R34" s="20" t="n">
        <v>0.26049663</v>
      </c>
    </row>
    <row r="35" spans="1:18">
      <c r="A35" s="15" t="s">
        <v>593</v>
      </c>
      <c r="B35" s="17" t="n">
        <v>6406</v>
      </c>
      <c r="C35" s="18">
        <f>(5012.0/B35*100)</f>
        <v/>
      </c>
      <c r="D35" s="19" t="n">
        <v>1394</v>
      </c>
      <c r="E35" s="18" t="n">
        <v>22.66933366</v>
      </c>
      <c r="F35" s="20" t="n">
        <v>1.32613064</v>
      </c>
      <c r="G35" s="18" t="n">
        <v>76.08985471</v>
      </c>
      <c r="H35" s="20" t="n">
        <v>1.32853044</v>
      </c>
      <c r="I35" s="18" t="n">
        <v>0</v>
      </c>
      <c r="J35" s="20" t="n">
        <v>0</v>
      </c>
      <c r="K35" s="18" t="n">
        <v>0.08901936000000001</v>
      </c>
      <c r="L35" s="20" t="n">
        <v>0.05118946</v>
      </c>
      <c r="M35" s="18" t="n">
        <v>0</v>
      </c>
      <c r="N35" s="20" t="n">
        <v>0</v>
      </c>
      <c r="O35" s="18" t="n">
        <v>0</v>
      </c>
      <c r="P35" s="20" t="n">
        <v>0</v>
      </c>
      <c r="Q35" s="18" t="n">
        <v>1.15179226</v>
      </c>
      <c r="R35" s="20" t="n">
        <v>0.39791351</v>
      </c>
    </row>
    <row r="36" spans="1:18">
      <c r="A36" s="15" t="s">
        <v>594</v>
      </c>
      <c r="B36" s="17" t="n">
        <v>6736</v>
      </c>
      <c r="C36" s="18">
        <f>(5277.0/B36*100)</f>
        <v/>
      </c>
      <c r="D36" s="19" t="n">
        <v>1459</v>
      </c>
      <c r="E36" s="18" t="n">
        <v>22.89448601</v>
      </c>
      <c r="F36" s="20" t="n">
        <v>1.40224164</v>
      </c>
      <c r="G36" s="18" t="n">
        <v>75.68338335999999</v>
      </c>
      <c r="H36" s="20" t="n">
        <v>1.42306765</v>
      </c>
      <c r="I36" s="18" t="n">
        <v>0</v>
      </c>
      <c r="J36" s="20" t="n">
        <v>0</v>
      </c>
      <c r="K36" s="18" t="n">
        <v>0.43192775</v>
      </c>
      <c r="L36" s="20" t="n">
        <v>0.12233203</v>
      </c>
      <c r="M36" s="18" t="n">
        <v>0</v>
      </c>
      <c r="N36" s="20" t="n">
        <v>0</v>
      </c>
      <c r="O36" s="18" t="n">
        <v>0</v>
      </c>
      <c r="P36" s="20" t="n">
        <v>0</v>
      </c>
      <c r="Q36" s="18" t="n">
        <v>0.99020288</v>
      </c>
      <c r="R36" s="20" t="n">
        <v>0.31258</v>
      </c>
    </row>
    <row r="37" spans="1:18">
      <c r="A37" s="15" t="s">
        <v>595</v>
      </c>
      <c r="B37" s="17" t="n">
        <v>5458</v>
      </c>
      <c r="C37" s="18">
        <f>(4289.0/B37*100)</f>
        <v/>
      </c>
      <c r="D37" s="19" t="n">
        <v>1169</v>
      </c>
      <c r="E37" s="18" t="n">
        <v>28.34070845</v>
      </c>
      <c r="F37" s="20" t="n">
        <v>1.41553963</v>
      </c>
      <c r="G37" s="18" t="n">
        <v>69.54497134</v>
      </c>
      <c r="H37" s="20" t="n">
        <v>1.44529686</v>
      </c>
      <c r="I37" s="18" t="n">
        <v>0</v>
      </c>
      <c r="J37" s="20" t="n">
        <v>0</v>
      </c>
      <c r="K37" s="18" t="n">
        <v>0.43447645</v>
      </c>
      <c r="L37" s="20" t="n">
        <v>0.20677462</v>
      </c>
      <c r="M37" s="18" t="n">
        <v>0</v>
      </c>
      <c r="N37" s="20" t="n">
        <v>0</v>
      </c>
      <c r="O37" s="18" t="n">
        <v>0</v>
      </c>
      <c r="P37" s="20" t="n">
        <v>0</v>
      </c>
      <c r="Q37" s="18" t="n">
        <v>1.67984376</v>
      </c>
      <c r="R37" s="20" t="n">
        <v>0.3828598</v>
      </c>
    </row>
    <row r="38" spans="1:18">
      <c r="A38" s="15" t="s">
        <v>596</v>
      </c>
      <c r="B38" s="17" t="n">
        <v>5860</v>
      </c>
      <c r="C38" s="18">
        <f>(4586.0/B38*100)</f>
        <v/>
      </c>
      <c r="D38" s="19" t="n">
        <v>1274</v>
      </c>
      <c r="E38" s="18" t="n">
        <v>22.54627985</v>
      </c>
      <c r="F38" s="20" t="n">
        <v>1.32772222</v>
      </c>
      <c r="G38" s="18" t="n">
        <v>75.29719267999999</v>
      </c>
      <c r="H38" s="20" t="n">
        <v>1.39502902</v>
      </c>
      <c r="I38" s="18" t="n">
        <v>0</v>
      </c>
      <c r="J38" s="20" t="n">
        <v>0</v>
      </c>
      <c r="K38" s="18" t="n">
        <v>0.17361228</v>
      </c>
      <c r="L38" s="20" t="n">
        <v>0.12151462</v>
      </c>
      <c r="M38" s="18" t="n">
        <v>0</v>
      </c>
      <c r="N38" s="20" t="n">
        <v>0</v>
      </c>
      <c r="O38" s="18" t="n">
        <v>0</v>
      </c>
      <c r="P38" s="20" t="n">
        <v>0</v>
      </c>
      <c r="Q38" s="18" t="n">
        <v>1.98291518</v>
      </c>
      <c r="R38" s="20" t="n">
        <v>0.48843221</v>
      </c>
    </row>
    <row r="39" spans="1:18">
      <c r="A39" s="15" t="s">
        <v>597</v>
      </c>
      <c r="B39" s="17" t="n">
        <v>5895</v>
      </c>
      <c r="C39" s="18">
        <f>(4577.0/B39*100)</f>
        <v/>
      </c>
      <c r="D39" s="19" t="n">
        <v>1318</v>
      </c>
      <c r="E39" s="18" t="n">
        <v>40.73699929</v>
      </c>
      <c r="F39" s="20" t="n">
        <v>1.72628857</v>
      </c>
      <c r="G39" s="18" t="n">
        <v>58.09423061</v>
      </c>
      <c r="H39" s="20" t="n">
        <v>1.75133235</v>
      </c>
      <c r="I39" s="18" t="n">
        <v>0</v>
      </c>
      <c r="J39" s="20" t="n">
        <v>0</v>
      </c>
      <c r="K39" s="18" t="n">
        <v>0.37767244</v>
      </c>
      <c r="L39" s="20" t="n">
        <v>0.14379749</v>
      </c>
      <c r="M39" s="18" t="n">
        <v>0</v>
      </c>
      <c r="N39" s="20" t="n">
        <v>0</v>
      </c>
      <c r="O39" s="18" t="n">
        <v>0</v>
      </c>
      <c r="P39" s="20" t="n">
        <v>0</v>
      </c>
      <c r="Q39" s="18" t="n">
        <v>0.79109767</v>
      </c>
      <c r="R39" s="20" t="n">
        <v>0.26524783</v>
      </c>
    </row>
    <row r="40" spans="1:18">
      <c r="A40" s="15" t="s">
        <v>598</v>
      </c>
      <c r="B40" s="17" t="n">
        <v>14157</v>
      </c>
      <c r="C40" s="18">
        <f>(11039.0/B40*100)</f>
        <v/>
      </c>
      <c r="D40" s="19" t="n">
        <v>3118</v>
      </c>
      <c r="E40" s="18" t="n">
        <v>25.16498108</v>
      </c>
      <c r="F40" s="20" t="n">
        <v>0.93785093</v>
      </c>
      <c r="G40" s="18" t="n">
        <v>72.93606721</v>
      </c>
      <c r="H40" s="20" t="n">
        <v>1.03682232</v>
      </c>
      <c r="I40" s="18" t="n">
        <v>0</v>
      </c>
      <c r="J40" s="20" t="n">
        <v>0</v>
      </c>
      <c r="K40" s="18" t="n">
        <v>0.27989073</v>
      </c>
      <c r="L40" s="20" t="n">
        <v>0.13857337</v>
      </c>
      <c r="M40" s="18" t="n">
        <v>0</v>
      </c>
      <c r="N40" s="20" t="n">
        <v>0</v>
      </c>
      <c r="O40" s="18" t="n">
        <v>0</v>
      </c>
      <c r="P40" s="20" t="n">
        <v>0</v>
      </c>
      <c r="Q40" s="18" t="n">
        <v>1.61906098</v>
      </c>
      <c r="R40" s="20" t="n">
        <v>0.42436354</v>
      </c>
    </row>
    <row r="41" spans="1:18">
      <c r="A41" s="15" t="s">
        <v>599</v>
      </c>
      <c r="B41" s="17" t="n">
        <v>5712</v>
      </c>
      <c r="C41" s="18">
        <f>(4514.0/B41*100)</f>
        <v/>
      </c>
      <c r="D41" s="19" t="n">
        <v>1198</v>
      </c>
      <c r="E41" s="18" t="n">
        <v>26.20141873</v>
      </c>
      <c r="F41" s="20" t="n">
        <v>1.35533615</v>
      </c>
      <c r="G41" s="18" t="n">
        <v>73.43384263</v>
      </c>
      <c r="H41" s="20" t="n">
        <v>1.3507605</v>
      </c>
      <c r="I41" s="18" t="n">
        <v>0</v>
      </c>
      <c r="J41" s="20" t="n">
        <v>0</v>
      </c>
      <c r="K41" s="18" t="n">
        <v>0.10212116</v>
      </c>
      <c r="L41" s="20" t="n">
        <v>0.09366561</v>
      </c>
      <c r="M41" s="18" t="n">
        <v>0</v>
      </c>
      <c r="N41" s="20" t="n">
        <v>0</v>
      </c>
      <c r="O41" s="18" t="n">
        <v>0</v>
      </c>
      <c r="P41" s="20" t="n">
        <v>0</v>
      </c>
      <c r="Q41" s="18" t="n">
        <v>0.26261748</v>
      </c>
      <c r="R41" s="20" t="n">
        <v>0.15248357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(19104.0/B46*100)</f>
        <v/>
      </c>
      <c r="D46" s="19" t="n">
        <v>4037</v>
      </c>
      <c r="E46" s="18" t="n">
        <v>44.08679491</v>
      </c>
      <c r="F46" s="20" t="n">
        <v>1.17112557</v>
      </c>
      <c r="G46" s="18" t="n">
        <v>52.04587426</v>
      </c>
      <c r="H46" s="20" t="n">
        <v>1.21853229</v>
      </c>
      <c r="I46" s="18" t="n">
        <v>0</v>
      </c>
      <c r="J46" s="20" t="n">
        <v>0</v>
      </c>
      <c r="K46" s="18" t="n">
        <v>1.44306321</v>
      </c>
      <c r="L46" s="20" t="n">
        <v>0.33390406</v>
      </c>
      <c r="M46" s="18" t="n">
        <v>0</v>
      </c>
      <c r="N46" s="20" t="n">
        <v>0</v>
      </c>
      <c r="O46" s="18" t="n">
        <v>0</v>
      </c>
      <c r="P46" s="20" t="n">
        <v>0</v>
      </c>
      <c r="Q46" s="18" t="n">
        <v>2.42426762</v>
      </c>
      <c r="R46" s="20" t="n">
        <v>0.39617863</v>
      </c>
    </row>
    <row r="47" spans="1:18">
      <c r="A47" s="15" t="s">
        <v>606</v>
      </c>
      <c r="B47" s="17" t="n">
        <v>5928</v>
      </c>
      <c r="C47" s="18">
        <f>(4698.0/B47*100)</f>
        <v/>
      </c>
      <c r="D47" s="19" t="n">
        <v>1230</v>
      </c>
      <c r="E47" s="18" t="n">
        <v>40.81387086</v>
      </c>
      <c r="F47" s="20" t="n">
        <v>1.54180654</v>
      </c>
      <c r="G47" s="18" t="n">
        <v>57.18715019</v>
      </c>
      <c r="H47" s="20" t="n">
        <v>1.64041122</v>
      </c>
      <c r="I47" s="18" t="n">
        <v>0</v>
      </c>
      <c r="J47" s="20" t="n">
        <v>0</v>
      </c>
      <c r="K47" s="18" t="n">
        <v>1.12426161</v>
      </c>
      <c r="L47" s="20" t="n">
        <v>0.31125552</v>
      </c>
      <c r="M47" s="18" t="n">
        <v>0</v>
      </c>
      <c r="N47" s="20" t="n">
        <v>0</v>
      </c>
      <c r="O47" s="18" t="n">
        <v>0</v>
      </c>
      <c r="P47" s="20" t="n">
        <v>0</v>
      </c>
      <c r="Q47" s="18" t="n">
        <v>0.87471734</v>
      </c>
      <c r="R47" s="20" t="n">
        <v>0.25598676</v>
      </c>
    </row>
    <row r="48" spans="1:18">
      <c r="A48" s="15" t="s">
        <v>607</v>
      </c>
      <c r="B48" s="17" t="n">
        <v>9841</v>
      </c>
      <c r="C48" s="18">
        <f>(7678.0/B48*100)</f>
        <v/>
      </c>
      <c r="D48" s="19" t="n">
        <v>2163</v>
      </c>
      <c r="E48" s="18" t="n">
        <v>21.62468145</v>
      </c>
      <c r="F48" s="20" t="n">
        <v>1.44768404</v>
      </c>
      <c r="G48" s="18" t="n">
        <v>77.26458613</v>
      </c>
      <c r="H48" s="20" t="n">
        <v>1.52200936</v>
      </c>
      <c r="I48" s="18" t="n">
        <v>0</v>
      </c>
      <c r="J48" s="20" t="n">
        <v>0</v>
      </c>
      <c r="K48" s="18" t="n">
        <v>0.68310958</v>
      </c>
      <c r="L48" s="20" t="n">
        <v>0.28532728</v>
      </c>
      <c r="M48" s="18" t="n">
        <v>0</v>
      </c>
      <c r="N48" s="20" t="n">
        <v>0</v>
      </c>
      <c r="O48" s="18" t="n">
        <v>0</v>
      </c>
      <c r="P48" s="20" t="n">
        <v>0</v>
      </c>
      <c r="Q48" s="18" t="n">
        <v>0.42762284</v>
      </c>
      <c r="R48" s="20" t="n">
        <v>0.17699901</v>
      </c>
    </row>
    <row r="49" spans="1:18">
      <c r="A49" s="15" t="s">
        <v>608</v>
      </c>
      <c r="B49" s="17" t="n">
        <v>11795</v>
      </c>
      <c r="C49" s="18">
        <f>(9322.0/B49*100)</f>
        <v/>
      </c>
      <c r="D49" s="19" t="n">
        <v>2473</v>
      </c>
      <c r="E49" s="18" t="n">
        <v>37.24976631</v>
      </c>
      <c r="F49" s="20" t="n">
        <v>1.3469366</v>
      </c>
      <c r="G49" s="18" t="n">
        <v>59.39870237</v>
      </c>
      <c r="H49" s="20" t="n">
        <v>1.36478651</v>
      </c>
      <c r="I49" s="18" t="n">
        <v>0</v>
      </c>
      <c r="J49" s="20" t="n">
        <v>0</v>
      </c>
      <c r="K49" s="18" t="n">
        <v>2.43466812</v>
      </c>
      <c r="L49" s="20" t="n">
        <v>0.43822539</v>
      </c>
      <c r="M49" s="18" t="n">
        <v>0</v>
      </c>
      <c r="N49" s="20" t="n">
        <v>0</v>
      </c>
      <c r="O49" s="18" t="n">
        <v>0</v>
      </c>
      <c r="P49" s="20" t="n">
        <v>0</v>
      </c>
      <c r="Q49" s="18" t="n">
        <v>0.91686321</v>
      </c>
      <c r="R49" s="20" t="n">
        <v>0.2707173</v>
      </c>
    </row>
    <row r="50" spans="1:18">
      <c r="A50" s="15" t="s">
        <v>609</v>
      </c>
      <c r="B50" s="17" t="n">
        <v>6866</v>
      </c>
      <c r="C50" s="18">
        <f>(5607.0/B50*100)</f>
        <v/>
      </c>
      <c r="D50" s="19" t="n">
        <v>1259</v>
      </c>
      <c r="E50" s="18" t="n">
        <v>34.74405821</v>
      </c>
      <c r="F50" s="20" t="n">
        <v>1.53860615</v>
      </c>
      <c r="G50" s="18" t="n">
        <v>64.19356215000001</v>
      </c>
      <c r="H50" s="20" t="n">
        <v>1.51502904</v>
      </c>
      <c r="I50" s="18" t="n">
        <v>0</v>
      </c>
      <c r="J50" s="20" t="n">
        <v>0</v>
      </c>
      <c r="K50" s="18" t="n">
        <v>0.31006733</v>
      </c>
      <c r="L50" s="20" t="n">
        <v>0.15502654</v>
      </c>
      <c r="M50" s="18" t="n">
        <v>0</v>
      </c>
      <c r="N50" s="20" t="n">
        <v>0</v>
      </c>
      <c r="O50" s="18" t="n">
        <v>0</v>
      </c>
      <c r="P50" s="20" t="n">
        <v>0</v>
      </c>
      <c r="Q50" s="18" t="n">
        <v>0.75231231</v>
      </c>
      <c r="R50" s="20" t="n">
        <v>0.24839072</v>
      </c>
    </row>
    <row r="51" spans="1:18">
      <c r="A51" s="15" t="s">
        <v>610</v>
      </c>
      <c r="B51" s="17" t="n">
        <v>5809</v>
      </c>
      <c r="C51" s="18">
        <f>(4483.0/B51*100)</f>
        <v/>
      </c>
      <c r="D51" s="19" t="n">
        <v>1326</v>
      </c>
      <c r="E51" s="18" t="n">
        <v>30.77070479</v>
      </c>
      <c r="F51" s="20" t="n">
        <v>1.40428258</v>
      </c>
      <c r="G51" s="18" t="n">
        <v>68.16482319000001</v>
      </c>
      <c r="H51" s="20" t="n">
        <v>1.41400029</v>
      </c>
      <c r="I51" s="18" t="n">
        <v>0</v>
      </c>
      <c r="J51" s="20" t="n">
        <v>0</v>
      </c>
      <c r="K51" s="18" t="n">
        <v>0.13502907</v>
      </c>
      <c r="L51" s="20" t="n">
        <v>0.09507174</v>
      </c>
      <c r="M51" s="18" t="n">
        <v>0</v>
      </c>
      <c r="N51" s="20" t="n">
        <v>0</v>
      </c>
      <c r="O51" s="18" t="n">
        <v>0</v>
      </c>
      <c r="P51" s="20" t="n">
        <v>0</v>
      </c>
      <c r="Q51" s="18" t="n">
        <v>0.92944295</v>
      </c>
      <c r="R51" s="20" t="n">
        <v>0.24448186</v>
      </c>
    </row>
    <row r="52" spans="1:18">
      <c r="A52" s="15" t="s">
        <v>611</v>
      </c>
      <c r="B52" s="17" t="n">
        <v>5571</v>
      </c>
      <c r="C52" s="18">
        <f>(4351.0/B52*100)</f>
        <v/>
      </c>
      <c r="D52" s="19" t="n">
        <v>1220</v>
      </c>
      <c r="E52" s="18" t="n">
        <v>41.11536637</v>
      </c>
      <c r="F52" s="20" t="n">
        <v>1.35361926</v>
      </c>
      <c r="G52" s="18" t="n">
        <v>56.96311991</v>
      </c>
      <c r="H52" s="20" t="n">
        <v>1.36336329</v>
      </c>
      <c r="I52" s="18" t="n">
        <v>0</v>
      </c>
      <c r="J52" s="20" t="n">
        <v>0</v>
      </c>
      <c r="K52" s="18" t="n">
        <v>0.44677722</v>
      </c>
      <c r="L52" s="20" t="n">
        <v>0.18473869</v>
      </c>
      <c r="M52" s="18" t="n">
        <v>0</v>
      </c>
      <c r="N52" s="20" t="n">
        <v>0</v>
      </c>
      <c r="O52" s="18" t="n">
        <v>0</v>
      </c>
      <c r="P52" s="20" t="n">
        <v>0</v>
      </c>
      <c r="Q52" s="18" t="n">
        <v>1.4747365</v>
      </c>
      <c r="R52" s="20" t="n">
        <v>0.34488575</v>
      </c>
    </row>
    <row r="53" spans="1:18">
      <c r="A53" s="15" t="s">
        <v>612</v>
      </c>
      <c r="B53" s="17" t="n">
        <v>4740</v>
      </c>
      <c r="C53" s="18">
        <f>(3694.0/B53*100)</f>
        <v/>
      </c>
      <c r="D53" s="19" t="n">
        <v>1046</v>
      </c>
      <c r="E53" s="18" t="n">
        <v>47.89518541</v>
      </c>
      <c r="F53" s="20" t="n">
        <v>1.27796498</v>
      </c>
      <c r="G53" s="18" t="n">
        <v>36.57328798</v>
      </c>
      <c r="H53" s="20" t="n">
        <v>1.53984057</v>
      </c>
      <c r="I53" s="18" t="n">
        <v>0</v>
      </c>
      <c r="J53" s="20" t="n">
        <v>0</v>
      </c>
      <c r="K53" s="18" t="n">
        <v>11.71230166</v>
      </c>
      <c r="L53" s="20" t="n">
        <v>1.13691162</v>
      </c>
      <c r="M53" s="18" t="n">
        <v>0</v>
      </c>
      <c r="N53" s="20" t="n">
        <v>0</v>
      </c>
      <c r="O53" s="18" t="n">
        <v>0</v>
      </c>
      <c r="P53" s="20" t="n">
        <v>0</v>
      </c>
      <c r="Q53" s="18" t="n">
        <v>3.81922495</v>
      </c>
      <c r="R53" s="20" t="n">
        <v>0.82768388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(4145.0/B55*100)</f>
        <v/>
      </c>
      <c r="D55" s="19" t="n">
        <v>1214</v>
      </c>
      <c r="E55" s="18" t="n">
        <v>19.16450587</v>
      </c>
      <c r="F55" s="20" t="n">
        <v>1.39268508</v>
      </c>
      <c r="G55" s="18" t="n">
        <v>79.88684456</v>
      </c>
      <c r="H55" s="20" t="n">
        <v>1.46294821</v>
      </c>
      <c r="I55" s="18" t="n">
        <v>0</v>
      </c>
      <c r="J55" s="20" t="n">
        <v>0</v>
      </c>
      <c r="K55" s="18" t="n">
        <v>0.35469117</v>
      </c>
      <c r="L55" s="20" t="n">
        <v>0.20462976</v>
      </c>
      <c r="M55" s="18" t="n">
        <v>0</v>
      </c>
      <c r="N55" s="20" t="n">
        <v>0</v>
      </c>
      <c r="O55" s="18" t="n">
        <v>0</v>
      </c>
      <c r="P55" s="20" t="n">
        <v>0</v>
      </c>
      <c r="Q55" s="18" t="n">
        <v>0.5939584</v>
      </c>
      <c r="R55" s="20" t="n">
        <v>0.23294071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(5082.0/B61*100)</f>
        <v/>
      </c>
      <c r="D61" s="19" t="n">
        <v>1443</v>
      </c>
      <c r="E61" s="18" t="n">
        <v>25.99877322</v>
      </c>
      <c r="F61" s="20" t="n">
        <v>1.58904356</v>
      </c>
      <c r="G61" s="18" t="n">
        <v>73.45343655000001</v>
      </c>
      <c r="H61" s="20" t="n">
        <v>1.60671021</v>
      </c>
      <c r="I61" s="18" t="n">
        <v>0</v>
      </c>
      <c r="J61" s="20" t="n">
        <v>0</v>
      </c>
      <c r="K61" s="18" t="n">
        <v>0.10710547</v>
      </c>
      <c r="L61" s="20" t="n">
        <v>0.09414277</v>
      </c>
      <c r="M61" s="18" t="n">
        <v>0</v>
      </c>
      <c r="N61" s="20" t="n">
        <v>0</v>
      </c>
      <c r="O61" s="18" t="n">
        <v>0</v>
      </c>
      <c r="P61" s="20" t="n">
        <v>0</v>
      </c>
      <c r="Q61" s="18" t="n">
        <v>0.44068476</v>
      </c>
      <c r="R61" s="20" t="n">
        <v>0.17732698</v>
      </c>
    </row>
    <row r="62" spans="1:18">
      <c r="A62" s="15" t="s">
        <v>622</v>
      </c>
      <c r="B62" s="17" t="n">
        <v>4476</v>
      </c>
      <c r="C62" s="18">
        <f>(3523.0/B62*100)</f>
        <v/>
      </c>
      <c r="D62" s="19" t="n">
        <v>953</v>
      </c>
      <c r="E62" s="18" t="n">
        <v>19.62174828</v>
      </c>
      <c r="F62" s="20" t="n">
        <v>1.38978402</v>
      </c>
      <c r="G62" s="18" t="n">
        <v>80.16670952</v>
      </c>
      <c r="H62" s="20" t="n">
        <v>1.36698646</v>
      </c>
      <c r="I62" s="18" t="n">
        <v>0</v>
      </c>
      <c r="J62" s="20" t="n">
        <v>0</v>
      </c>
      <c r="K62" s="18" t="n">
        <v>0</v>
      </c>
      <c r="L62" s="20" t="n">
        <v>0</v>
      </c>
      <c r="M62" s="18" t="n">
        <v>0</v>
      </c>
      <c r="N62" s="20" t="n">
        <v>0</v>
      </c>
      <c r="O62" s="18" t="n">
        <v>0</v>
      </c>
      <c r="P62" s="20" t="n">
        <v>0</v>
      </c>
      <c r="Q62" s="18" t="n">
        <v>0.2115422</v>
      </c>
      <c r="R62" s="20" t="n">
        <v>0.14983807</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(4456.0/B67*100)</f>
        <v/>
      </c>
      <c r="D67" s="19" t="n">
        <v>1209</v>
      </c>
      <c r="E67" s="18" t="n">
        <v>43.31812647</v>
      </c>
      <c r="F67" s="20" t="n">
        <v>1.51677534</v>
      </c>
      <c r="G67" s="18" t="n">
        <v>52.41999877</v>
      </c>
      <c r="H67" s="20" t="n">
        <v>1.59907682</v>
      </c>
      <c r="I67" s="18" t="n">
        <v>0</v>
      </c>
      <c r="J67" s="20" t="n">
        <v>0</v>
      </c>
      <c r="K67" s="18" t="n">
        <v>0.90673978</v>
      </c>
      <c r="L67" s="20" t="n">
        <v>0.27758903</v>
      </c>
      <c r="M67" s="18" t="n">
        <v>0</v>
      </c>
      <c r="N67" s="20" t="n">
        <v>0</v>
      </c>
      <c r="O67" s="18" t="n">
        <v>0</v>
      </c>
      <c r="P67" s="20" t="n">
        <v>0</v>
      </c>
      <c r="Q67" s="18" t="n">
        <v>3.35513498</v>
      </c>
      <c r="R67" s="20" t="n">
        <v>0.41944087</v>
      </c>
    </row>
    <row r="68" spans="1:18">
      <c r="A68" s="15" t="s">
        <v>628</v>
      </c>
      <c r="B68" s="17" t="n">
        <v>6971</v>
      </c>
      <c r="C68" s="18">
        <f>(5632.0/B68*100)</f>
        <v/>
      </c>
      <c r="D68" s="19" t="n">
        <v>1339</v>
      </c>
      <c r="E68" s="18" t="n">
        <v>41.20706721</v>
      </c>
      <c r="F68" s="20" t="n">
        <v>1.41857014</v>
      </c>
      <c r="G68" s="18" t="n">
        <v>58.02665531</v>
      </c>
      <c r="H68" s="20" t="n">
        <v>1.44719763</v>
      </c>
      <c r="I68" s="18" t="n">
        <v>0</v>
      </c>
      <c r="J68" s="20" t="n">
        <v>0</v>
      </c>
      <c r="K68" s="18" t="n">
        <v>0.21274247</v>
      </c>
      <c r="L68" s="20" t="n">
        <v>0.12605143</v>
      </c>
      <c r="M68" s="18" t="n">
        <v>0</v>
      </c>
      <c r="N68" s="20" t="n">
        <v>0</v>
      </c>
      <c r="O68" s="18" t="n">
        <v>0</v>
      </c>
      <c r="P68" s="20" t="n">
        <v>0</v>
      </c>
      <c r="Q68" s="18" t="n">
        <v>0.55353501</v>
      </c>
      <c r="R68" s="20" t="n">
        <v>0.21899851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(9440.0/B70*100)</f>
        <v/>
      </c>
      <c r="D70" s="19" t="n">
        <v>2643</v>
      </c>
      <c r="E70" s="18" t="n">
        <v>42.99600695</v>
      </c>
      <c r="F70" s="20" t="n">
        <v>0.85440403</v>
      </c>
      <c r="G70" s="18" t="n">
        <v>51.88662745</v>
      </c>
      <c r="H70" s="20" t="n">
        <v>0.89189536</v>
      </c>
      <c r="I70" s="18" t="n">
        <v>0</v>
      </c>
      <c r="J70" s="20" t="n">
        <v>0</v>
      </c>
      <c r="K70" s="18" t="n">
        <v>2.63554503</v>
      </c>
      <c r="L70" s="20" t="n">
        <v>0.34962344</v>
      </c>
      <c r="M70" s="18" t="n">
        <v>0</v>
      </c>
      <c r="N70" s="20" t="n">
        <v>0</v>
      </c>
      <c r="O70" s="18" t="n">
        <v>0</v>
      </c>
      <c r="P70" s="20" t="n">
        <v>0</v>
      </c>
      <c r="Q70" s="18" t="n">
        <v>2.48182057</v>
      </c>
      <c r="R70" s="20" t="n">
        <v>0.29558765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(4793.0/B72*100)</f>
        <v/>
      </c>
      <c r="D72" s="19" t="n">
        <v>1243</v>
      </c>
      <c r="E72" s="18" t="n">
        <v>29.44833702</v>
      </c>
      <c r="F72" s="20" t="n">
        <v>1.34872614</v>
      </c>
      <c r="G72" s="18" t="n">
        <v>69.36833218</v>
      </c>
      <c r="H72" s="20" t="n">
        <v>1.41807811</v>
      </c>
      <c r="I72" s="18" t="n">
        <v>0</v>
      </c>
      <c r="J72" s="20" t="n">
        <v>0</v>
      </c>
      <c r="K72" s="18" t="n">
        <v>0.12639685</v>
      </c>
      <c r="L72" s="20" t="n">
        <v>0.08334368</v>
      </c>
      <c r="M72" s="18" t="n">
        <v>0</v>
      </c>
      <c r="N72" s="20" t="n">
        <v>0</v>
      </c>
      <c r="O72" s="18" t="n">
        <v>0</v>
      </c>
      <c r="P72" s="20" t="n">
        <v>0</v>
      </c>
      <c r="Q72" s="18" t="n">
        <v>1.05693396</v>
      </c>
      <c r="R72" s="20" t="n">
        <v>0.3620002</v>
      </c>
    </row>
    <row r="73" spans="1:18">
      <c r="A73" s="15" t="s">
        <v>633</v>
      </c>
      <c r="B73" s="17" t="n">
        <v>6115</v>
      </c>
      <c r="C73" s="18">
        <f>(4772.0/B73*100)</f>
        <v/>
      </c>
      <c r="D73" s="19" t="n">
        <v>1343</v>
      </c>
      <c r="E73" s="18" t="n">
        <v>15.35285786</v>
      </c>
      <c r="F73" s="20" t="n">
        <v>0.96595408</v>
      </c>
      <c r="G73" s="18" t="n">
        <v>84.21138755</v>
      </c>
      <c r="H73" s="20" t="n">
        <v>0.94385763</v>
      </c>
      <c r="I73" s="18" t="n">
        <v>0</v>
      </c>
      <c r="J73" s="20" t="n">
        <v>0</v>
      </c>
      <c r="K73" s="18" t="n">
        <v>0.272728</v>
      </c>
      <c r="L73" s="20" t="n">
        <v>0.14286079</v>
      </c>
      <c r="M73" s="18" t="n">
        <v>0</v>
      </c>
      <c r="N73" s="20" t="n">
        <v>0</v>
      </c>
      <c r="O73" s="18" t="n">
        <v>0</v>
      </c>
      <c r="P73" s="20" t="n">
        <v>0</v>
      </c>
      <c r="Q73" s="18" t="n">
        <v>0.16302659</v>
      </c>
      <c r="R73" s="20" t="n">
        <v>0.09645817</v>
      </c>
    </row>
    <row r="74" spans="1:18">
      <c r="A74" s="15" t="s">
        <v>634</v>
      </c>
      <c r="B74" s="17" t="n">
        <v>7708</v>
      </c>
      <c r="C74" s="18">
        <f>(5939.0/B74*100)</f>
        <v/>
      </c>
      <c r="D74" s="19" t="n">
        <v>1769</v>
      </c>
      <c r="E74" s="18" t="n">
        <v>17.66561928</v>
      </c>
      <c r="F74" s="20" t="n">
        <v>1.05017367</v>
      </c>
      <c r="G74" s="18" t="n">
        <v>81.92813638</v>
      </c>
      <c r="H74" s="20" t="n">
        <v>1.06771685</v>
      </c>
      <c r="I74" s="18" t="n">
        <v>0</v>
      </c>
      <c r="J74" s="20" t="n">
        <v>0</v>
      </c>
      <c r="K74" s="18" t="n">
        <v>0.24668037</v>
      </c>
      <c r="L74" s="20" t="n">
        <v>0.14462447</v>
      </c>
      <c r="M74" s="18" t="n">
        <v>0</v>
      </c>
      <c r="N74" s="20" t="n">
        <v>0</v>
      </c>
      <c r="O74" s="18" t="n">
        <v>0</v>
      </c>
      <c r="P74" s="20" t="n">
        <v>0</v>
      </c>
      <c r="Q74" s="18" t="n">
        <v>0.15956396</v>
      </c>
      <c r="R74" s="20" t="n">
        <v>0.09404648</v>
      </c>
    </row>
    <row r="75" spans="1:18">
      <c r="A75" s="15" t="s">
        <v>635</v>
      </c>
      <c r="B75" s="17" t="n">
        <v>8249</v>
      </c>
      <c r="C75" s="18">
        <f>(6429.0/B75*100)</f>
        <v/>
      </c>
      <c r="D75" s="19" t="n">
        <v>1820</v>
      </c>
      <c r="E75" s="18" t="n">
        <v>41.51753469</v>
      </c>
      <c r="F75" s="20" t="n">
        <v>1.68381962</v>
      </c>
      <c r="G75" s="18" t="n">
        <v>57.71156113</v>
      </c>
      <c r="H75" s="20" t="n">
        <v>1.74136436</v>
      </c>
      <c r="I75" s="18" t="n">
        <v>0</v>
      </c>
      <c r="J75" s="20" t="n">
        <v>0</v>
      </c>
      <c r="K75" s="18" t="n">
        <v>0.07771272999999999</v>
      </c>
      <c r="L75" s="20" t="n">
        <v>0.07682005</v>
      </c>
      <c r="M75" s="18" t="n">
        <v>0</v>
      </c>
      <c r="N75" s="20" t="n">
        <v>0</v>
      </c>
      <c r="O75" s="18" t="n">
        <v>0</v>
      </c>
      <c r="P75" s="20" t="n">
        <v>0</v>
      </c>
      <c r="Q75" s="18" t="n">
        <v>0.69319144</v>
      </c>
      <c r="R75" s="20" t="n">
        <v>0.21171492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(4280.0/B77*100)</f>
        <v/>
      </c>
      <c r="D77" s="19" t="n">
        <v>1095</v>
      </c>
      <c r="E77" s="18" t="n">
        <v>42.04166959</v>
      </c>
      <c r="F77" s="20" t="n">
        <v>1.69992459</v>
      </c>
      <c r="G77" s="18" t="n">
        <v>52.24464027</v>
      </c>
      <c r="H77" s="20" t="n">
        <v>1.64089771</v>
      </c>
      <c r="I77" s="18" t="n">
        <v>0</v>
      </c>
      <c r="J77" s="20" t="n">
        <v>0</v>
      </c>
      <c r="K77" s="18" t="n">
        <v>3.25540569</v>
      </c>
      <c r="L77" s="20" t="n">
        <v>0.67131565</v>
      </c>
      <c r="M77" s="18" t="n">
        <v>0</v>
      </c>
      <c r="N77" s="20" t="n">
        <v>0</v>
      </c>
      <c r="O77" s="18" t="n">
        <v>0</v>
      </c>
      <c r="P77" s="20" t="n">
        <v>0</v>
      </c>
      <c r="Q77" s="18" t="n">
        <v>2.45828445</v>
      </c>
      <c r="R77" s="20" t="n">
        <v>0.50284826</v>
      </c>
    </row>
    <row r="78" spans="1:18">
      <c r="A78" s="15" t="s">
        <v>638</v>
      </c>
      <c r="B78" s="17" t="n">
        <v>14167</v>
      </c>
      <c r="C78" s="18">
        <f>(11074.0/B78*100)</f>
        <v/>
      </c>
      <c r="D78" s="19" t="n">
        <v>3093</v>
      </c>
      <c r="E78" s="18" t="n">
        <v>38.68749429</v>
      </c>
      <c r="F78" s="20" t="n">
        <v>1.01865022</v>
      </c>
      <c r="G78" s="18" t="n">
        <v>59.34750382</v>
      </c>
      <c r="H78" s="20" t="n">
        <v>0.98534425</v>
      </c>
      <c r="I78" s="18" t="n">
        <v>0</v>
      </c>
      <c r="J78" s="20" t="n">
        <v>0</v>
      </c>
      <c r="K78" s="18" t="n">
        <v>0.79199137</v>
      </c>
      <c r="L78" s="20" t="n">
        <v>0.20928489</v>
      </c>
      <c r="M78" s="18" t="n">
        <v>0</v>
      </c>
      <c r="N78" s="20" t="n">
        <v>0</v>
      </c>
      <c r="O78" s="18" t="n">
        <v>0</v>
      </c>
      <c r="P78" s="20" t="n">
        <v>0</v>
      </c>
      <c r="Q78" s="18" t="n">
        <v>1.17301053</v>
      </c>
      <c r="R78" s="20" t="n">
        <v>0.21723274</v>
      </c>
    </row>
    <row r="79" spans="1:18">
      <c r="A79" s="15" t="s">
        <v>639</v>
      </c>
      <c r="B79" s="17" t="n">
        <v>6062</v>
      </c>
      <c r="C79" s="18">
        <f>(4778.0/B79*100)</f>
        <v/>
      </c>
      <c r="D79" s="19" t="n">
        <v>1284</v>
      </c>
      <c r="E79" s="18" t="n">
        <v>33.39705875</v>
      </c>
      <c r="F79" s="20" t="n">
        <v>1.47425124</v>
      </c>
      <c r="G79" s="18" t="n">
        <v>63.17042226</v>
      </c>
      <c r="H79" s="20" t="n">
        <v>1.47157946</v>
      </c>
      <c r="I79" s="18" t="n">
        <v>0</v>
      </c>
      <c r="J79" s="20" t="n">
        <v>0</v>
      </c>
      <c r="K79" s="18" t="n">
        <v>1.80145294</v>
      </c>
      <c r="L79" s="20" t="n">
        <v>0.31511958</v>
      </c>
      <c r="M79" s="18" t="n">
        <v>0</v>
      </c>
      <c r="N79" s="20" t="n">
        <v>0</v>
      </c>
      <c r="O79" s="18" t="n">
        <v>0</v>
      </c>
      <c r="P79" s="20" t="n">
        <v>0</v>
      </c>
      <c r="Q79" s="18" t="n">
        <v>1.63106605</v>
      </c>
      <c r="R79" s="20" t="n">
        <v>0.38222906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(25257.0/B82*100)</f>
        <v/>
      </c>
      <c r="D82" s="19" t="n">
        <v>7073</v>
      </c>
      <c r="E82" s="18" t="n">
        <v>21.99258614</v>
      </c>
      <c r="F82" s="20" t="n">
        <v>0.69335775</v>
      </c>
      <c r="G82" s="18" t="n">
        <v>76.62659182</v>
      </c>
      <c r="H82" s="20" t="n">
        <v>0.71474697</v>
      </c>
      <c r="I82" s="18" t="n">
        <v>0</v>
      </c>
      <c r="J82" s="20" t="n">
        <v>0</v>
      </c>
      <c r="K82" s="18" t="n">
        <v>0.5525411</v>
      </c>
      <c r="L82" s="20" t="n">
        <v>0.16609507</v>
      </c>
      <c r="M82" s="18" t="n">
        <v>0</v>
      </c>
      <c r="N82" s="20" t="n">
        <v>0</v>
      </c>
      <c r="O82" s="18" t="n">
        <v>0</v>
      </c>
      <c r="P82" s="20" t="n">
        <v>0</v>
      </c>
      <c r="Q82" s="18" t="n">
        <v>0.82828094</v>
      </c>
      <c r="R82" s="20" t="n">
        <v>0.16650777</v>
      </c>
    </row>
    <row r="83" spans="1:18">
      <c r="A83" s="15" t="s">
        <v>643</v>
      </c>
      <c r="B83" s="17" t="n">
        <v>1652</v>
      </c>
      <c r="C83" s="18">
        <f>(1286.0/B83*100)</f>
        <v/>
      </c>
      <c r="D83" s="19" t="n">
        <v>366</v>
      </c>
      <c r="E83" s="18" t="n">
        <v>16.539724</v>
      </c>
      <c r="F83" s="20" t="n">
        <v>1.91384846</v>
      </c>
      <c r="G83" s="18" t="n">
        <v>81.73038732000001</v>
      </c>
      <c r="H83" s="20" t="n">
        <v>1.86708864</v>
      </c>
      <c r="I83" s="18" t="n">
        <v>0</v>
      </c>
      <c r="J83" s="20" t="n">
        <v>0</v>
      </c>
      <c r="K83" s="18" t="n">
        <v>0</v>
      </c>
      <c r="L83" s="20" t="n">
        <v>0</v>
      </c>
      <c r="M83" s="18" t="n">
        <v>0</v>
      </c>
      <c r="N83" s="20" t="n">
        <v>0</v>
      </c>
      <c r="O83" s="18" t="n">
        <v>0</v>
      </c>
      <c r="P83" s="20" t="n">
        <v>0</v>
      </c>
      <c r="Q83" s="18" t="n">
        <v>1.72988868</v>
      </c>
      <c r="R83" s="20" t="n">
        <v>0.54380803</v>
      </c>
    </row>
    <row r="84" spans="1:18">
      <c r="A84" s="23" t="s">
        <v>644</v>
      </c>
      <c r="B84" s="24" t="n">
        <v>1887</v>
      </c>
      <c r="C84" s="25">
        <f>(1486.0/B84*100)</f>
        <v/>
      </c>
      <c r="D84" s="19" t="n">
        <v>401</v>
      </c>
      <c r="E84" s="18" t="n">
        <v>27.07349535</v>
      </c>
      <c r="F84" s="20" t="n">
        <v>2.35629076</v>
      </c>
      <c r="G84" s="18" t="n">
        <v>72.12729344</v>
      </c>
      <c r="H84" s="20" t="n">
        <v>2.44160124</v>
      </c>
      <c r="I84" s="18" t="n">
        <v>0</v>
      </c>
      <c r="J84" s="20" t="n">
        <v>0</v>
      </c>
      <c r="K84" s="18" t="n">
        <v>0</v>
      </c>
      <c r="L84" s="20" t="n">
        <v>0</v>
      </c>
      <c r="M84" s="18" t="n">
        <v>0</v>
      </c>
      <c r="N84" s="20" t="n">
        <v>0</v>
      </c>
      <c r="O84" s="18" t="n">
        <v>0</v>
      </c>
      <c r="P84" s="20" t="n">
        <v>0</v>
      </c>
      <c r="Q84" s="18" t="n">
        <v>0.7992112</v>
      </c>
      <c r="R84" s="20" t="n">
        <v>0.45153101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(11446.0/B7*100)</f>
        <v/>
      </c>
      <c r="D7" s="19" t="n">
        <v>3084</v>
      </c>
      <c r="E7" s="18" t="n">
        <v>59.34512021</v>
      </c>
      <c r="F7" s="20" t="n">
        <v>1.17695812</v>
      </c>
      <c r="G7" s="18" t="n">
        <v>38.03376681</v>
      </c>
      <c r="H7" s="20" t="n">
        <v>1.12255231</v>
      </c>
      <c r="I7" s="18" t="n">
        <v>0</v>
      </c>
      <c r="J7" s="20" t="n">
        <v>0</v>
      </c>
      <c r="K7" s="18" t="n">
        <v>0.24144696</v>
      </c>
      <c r="L7" s="20" t="n">
        <v>0.07672037</v>
      </c>
      <c r="M7" s="18" t="n">
        <v>0.0678197</v>
      </c>
      <c r="N7" s="20" t="n">
        <v>0.05774559</v>
      </c>
      <c r="O7" s="18" t="n">
        <v>0</v>
      </c>
      <c r="P7" s="20" t="n">
        <v>0</v>
      </c>
      <c r="Q7" s="18" t="n">
        <v>2.31184632</v>
      </c>
      <c r="R7" s="20" t="n">
        <v>0.29439122</v>
      </c>
    </row>
    <row r="8" spans="1:18">
      <c r="A8" s="15" t="s">
        <v>566</v>
      </c>
      <c r="B8" s="17" t="n">
        <v>7007</v>
      </c>
      <c r="C8" s="18">
        <f>(5458.0/B8*100)</f>
        <v/>
      </c>
      <c r="D8" s="19" t="n">
        <v>1549</v>
      </c>
      <c r="E8" s="18" t="n">
        <v>63.96183951</v>
      </c>
      <c r="F8" s="20" t="n">
        <v>1.44434132</v>
      </c>
      <c r="G8" s="18" t="n">
        <v>31.81594132</v>
      </c>
      <c r="H8" s="20" t="n">
        <v>1.35290139</v>
      </c>
      <c r="I8" s="18" t="n">
        <v>0</v>
      </c>
      <c r="J8" s="20" t="n">
        <v>0</v>
      </c>
      <c r="K8" s="18" t="n">
        <v>0.43837768</v>
      </c>
      <c r="L8" s="20" t="n">
        <v>0.18376251</v>
      </c>
      <c r="M8" s="18" t="n">
        <v>0</v>
      </c>
      <c r="N8" s="20" t="n">
        <v>0</v>
      </c>
      <c r="O8" s="18" t="n">
        <v>0</v>
      </c>
      <c r="P8" s="20" t="n">
        <v>0</v>
      </c>
      <c r="Q8" s="18" t="n">
        <v>3.78384149</v>
      </c>
      <c r="R8" s="20" t="n">
        <v>0.57393097</v>
      </c>
    </row>
    <row r="9" spans="1:18">
      <c r="A9" s="15" t="s">
        <v>567</v>
      </c>
      <c r="B9" s="17" t="n">
        <v>9651</v>
      </c>
      <c r="C9" s="18">
        <f>(7632.0/B9*100)</f>
        <v/>
      </c>
      <c r="D9" s="19" t="n">
        <v>2019</v>
      </c>
      <c r="E9" s="18" t="n">
        <v>54.59281101</v>
      </c>
      <c r="F9" s="20" t="n">
        <v>1.26281453</v>
      </c>
      <c r="G9" s="18" t="n">
        <v>41.89248673</v>
      </c>
      <c r="H9" s="20" t="n">
        <v>1.26208882</v>
      </c>
      <c r="I9" s="18" t="n">
        <v>0</v>
      </c>
      <c r="J9" s="20" t="n">
        <v>0</v>
      </c>
      <c r="K9" s="18" t="n">
        <v>0.64616821</v>
      </c>
      <c r="L9" s="20" t="n">
        <v>0.19184618</v>
      </c>
      <c r="M9" s="18" t="n">
        <v>0.41640763</v>
      </c>
      <c r="N9" s="20" t="n">
        <v>0.16456769</v>
      </c>
      <c r="O9" s="18" t="n">
        <v>0</v>
      </c>
      <c r="P9" s="20" t="n">
        <v>0</v>
      </c>
      <c r="Q9" s="18" t="n">
        <v>2.45212643</v>
      </c>
      <c r="R9" s="20" t="n">
        <v>0.41507803</v>
      </c>
    </row>
    <row r="10" spans="1:18">
      <c r="A10" s="15" t="s">
        <v>568</v>
      </c>
      <c r="B10" s="17" t="n">
        <v>20058</v>
      </c>
      <c r="C10" s="18">
        <f>(15744.0/B10*100)</f>
        <v/>
      </c>
      <c r="D10" s="19" t="n">
        <v>4314</v>
      </c>
      <c r="E10" s="18" t="n">
        <v>53.20025094</v>
      </c>
      <c r="F10" s="20" t="n">
        <v>1.18284507</v>
      </c>
      <c r="G10" s="18" t="n">
        <v>44.67433797</v>
      </c>
      <c r="H10" s="20" t="n">
        <v>1.19614692</v>
      </c>
      <c r="I10" s="18" t="n">
        <v>0</v>
      </c>
      <c r="J10" s="20" t="n">
        <v>0</v>
      </c>
      <c r="K10" s="18" t="n">
        <v>0.46600801</v>
      </c>
      <c r="L10" s="20" t="n">
        <v>0.13127623</v>
      </c>
      <c r="M10" s="18" t="n">
        <v>0</v>
      </c>
      <c r="N10" s="20" t="n">
        <v>0</v>
      </c>
      <c r="O10" s="18" t="n">
        <v>0</v>
      </c>
      <c r="P10" s="20" t="n">
        <v>0</v>
      </c>
      <c r="Q10" s="18" t="n">
        <v>1.65940309</v>
      </c>
      <c r="R10" s="20" t="n">
        <v>0.27027187</v>
      </c>
    </row>
    <row r="11" spans="1:18">
      <c r="A11" s="15" t="s">
        <v>569</v>
      </c>
      <c r="B11" s="17" t="n">
        <v>7053</v>
      </c>
      <c r="C11" s="18">
        <f>(5617.0/B11*100)</f>
        <v/>
      </c>
      <c r="D11" s="19" t="n">
        <v>1436</v>
      </c>
      <c r="E11" s="18" t="n">
        <v>77.51768352000001</v>
      </c>
      <c r="F11" s="20" t="n">
        <v>1.2394502</v>
      </c>
      <c r="G11" s="18" t="n">
        <v>15.47073302</v>
      </c>
      <c r="H11" s="20" t="n">
        <v>1.06323294</v>
      </c>
      <c r="I11" s="18" t="n">
        <v>0</v>
      </c>
      <c r="J11" s="20" t="n">
        <v>0</v>
      </c>
      <c r="K11" s="18" t="n">
        <v>1.28763286</v>
      </c>
      <c r="L11" s="20" t="n">
        <v>0.3760355</v>
      </c>
      <c r="M11" s="18" t="n">
        <v>0.09720085000000001</v>
      </c>
      <c r="N11" s="20" t="n">
        <v>0.1012268</v>
      </c>
      <c r="O11" s="18" t="n">
        <v>0</v>
      </c>
      <c r="P11" s="20" t="n">
        <v>0</v>
      </c>
      <c r="Q11" s="18" t="n">
        <v>5.62674975</v>
      </c>
      <c r="R11" s="20" t="n">
        <v>0.7088735900000001</v>
      </c>
    </row>
    <row r="12" spans="1:18">
      <c r="A12" s="15" t="s">
        <v>570</v>
      </c>
      <c r="B12" s="17" t="n">
        <v>6894</v>
      </c>
      <c r="C12" s="18">
        <f>(5439.0/B12*100)</f>
        <v/>
      </c>
      <c r="D12" s="19" t="n">
        <v>1455</v>
      </c>
      <c r="E12" s="18" t="n">
        <v>64.50504296</v>
      </c>
      <c r="F12" s="20" t="n">
        <v>1.67145376</v>
      </c>
      <c r="G12" s="18" t="n">
        <v>33.7335342</v>
      </c>
      <c r="H12" s="20" t="n">
        <v>1.60847147</v>
      </c>
      <c r="I12" s="18" t="n">
        <v>0</v>
      </c>
      <c r="J12" s="20" t="n">
        <v>0</v>
      </c>
      <c r="K12" s="18" t="n">
        <v>0.2579209</v>
      </c>
      <c r="L12" s="20" t="n">
        <v>0.1298901</v>
      </c>
      <c r="M12" s="18" t="n">
        <v>0</v>
      </c>
      <c r="N12" s="20" t="n">
        <v>0</v>
      </c>
      <c r="O12" s="18" t="n">
        <v>0</v>
      </c>
      <c r="P12" s="20" t="n">
        <v>0</v>
      </c>
      <c r="Q12" s="18" t="n">
        <v>1.50350194</v>
      </c>
      <c r="R12" s="20" t="n">
        <v>0.37880043</v>
      </c>
    </row>
    <row r="13" spans="1:18">
      <c r="A13" s="15" t="s">
        <v>571</v>
      </c>
      <c r="B13" s="17" t="n">
        <v>7161</v>
      </c>
      <c r="C13" s="18">
        <f>(5722.0/B13*100)</f>
        <v/>
      </c>
      <c r="D13" s="19" t="n">
        <v>1439</v>
      </c>
      <c r="E13" s="18" t="n">
        <v>63.21535482</v>
      </c>
      <c r="F13" s="20" t="n">
        <v>1.81601947</v>
      </c>
      <c r="G13" s="18" t="n">
        <v>33.71728119</v>
      </c>
      <c r="H13" s="20" t="n">
        <v>1.74065335</v>
      </c>
      <c r="I13" s="18" t="n">
        <v>0</v>
      </c>
      <c r="J13" s="20" t="n">
        <v>0</v>
      </c>
      <c r="K13" s="18" t="n">
        <v>0.89525537</v>
      </c>
      <c r="L13" s="20" t="n">
        <v>0.309686</v>
      </c>
      <c r="M13" s="18" t="n">
        <v>0.06655397</v>
      </c>
      <c r="N13" s="20" t="n">
        <v>0.06721515</v>
      </c>
      <c r="O13" s="18" t="n">
        <v>0</v>
      </c>
      <c r="P13" s="20" t="n">
        <v>0</v>
      </c>
      <c r="Q13" s="18" t="n">
        <v>2.10555466</v>
      </c>
      <c r="R13" s="20" t="n">
        <v>0.36743679</v>
      </c>
    </row>
    <row r="14" spans="1:18">
      <c r="A14" s="15" t="s">
        <v>572</v>
      </c>
      <c r="B14" s="17" t="n">
        <v>5587</v>
      </c>
      <c r="C14" s="18">
        <f>(4408.0/B14*100)</f>
        <v/>
      </c>
      <c r="D14" s="19" t="n">
        <v>1179</v>
      </c>
      <c r="E14" s="18" t="n">
        <v>53.30141922</v>
      </c>
      <c r="F14" s="20" t="n">
        <v>1.83259416</v>
      </c>
      <c r="G14" s="18" t="n">
        <v>45.64807107</v>
      </c>
      <c r="H14" s="20" t="n">
        <v>1.83668023</v>
      </c>
      <c r="I14" s="18" t="n">
        <v>0</v>
      </c>
      <c r="J14" s="20" t="n">
        <v>0</v>
      </c>
      <c r="K14" s="18" t="n">
        <v>0.13757081</v>
      </c>
      <c r="L14" s="20" t="n">
        <v>0.09508489000000001</v>
      </c>
      <c r="M14" s="18" t="n">
        <v>0</v>
      </c>
      <c r="N14" s="20" t="n">
        <v>0</v>
      </c>
      <c r="O14" s="18" t="n">
        <v>0</v>
      </c>
      <c r="P14" s="20" t="n">
        <v>0</v>
      </c>
      <c r="Q14" s="18" t="n">
        <v>0.9129389</v>
      </c>
      <c r="R14" s="20" t="n">
        <v>0.33186191</v>
      </c>
    </row>
    <row r="15" spans="1:18">
      <c r="A15" s="15" t="s">
        <v>573</v>
      </c>
      <c r="B15" s="17" t="n">
        <v>5882</v>
      </c>
      <c r="C15" s="18">
        <f>(4575.0/B15*100)</f>
        <v/>
      </c>
      <c r="D15" s="19" t="n">
        <v>1307</v>
      </c>
      <c r="E15" s="18" t="n">
        <v>57.95771214</v>
      </c>
      <c r="F15" s="20" t="n">
        <v>1.40436005</v>
      </c>
      <c r="G15" s="18" t="n">
        <v>40.01738933</v>
      </c>
      <c r="H15" s="20" t="n">
        <v>1.41916713</v>
      </c>
      <c r="I15" s="18" t="n">
        <v>0</v>
      </c>
      <c r="J15" s="20" t="n">
        <v>0</v>
      </c>
      <c r="K15" s="18" t="n">
        <v>0.15559479</v>
      </c>
      <c r="L15" s="20" t="n">
        <v>0.12220605</v>
      </c>
      <c r="M15" s="18" t="n">
        <v>0</v>
      </c>
      <c r="N15" s="20" t="n">
        <v>0</v>
      </c>
      <c r="O15" s="18" t="n">
        <v>0</v>
      </c>
      <c r="P15" s="20" t="n">
        <v>0</v>
      </c>
      <c r="Q15" s="18" t="n">
        <v>1.86930374</v>
      </c>
      <c r="R15" s="20" t="n">
        <v>0.33594174</v>
      </c>
    </row>
    <row r="16" spans="1:18">
      <c r="A16" s="15" t="s">
        <v>574</v>
      </c>
      <c r="B16" s="17" t="n">
        <v>6108</v>
      </c>
      <c r="C16" s="18">
        <f>(4765.0/B16*100)</f>
        <v/>
      </c>
      <c r="D16" s="19" t="n">
        <v>1343</v>
      </c>
      <c r="E16" s="18" t="n">
        <v>56.57778207</v>
      </c>
      <c r="F16" s="20" t="n">
        <v>1.15156756</v>
      </c>
      <c r="G16" s="18" t="n">
        <v>38.81230905</v>
      </c>
      <c r="H16" s="20" t="n">
        <v>1.24157628</v>
      </c>
      <c r="I16" s="18" t="n">
        <v>0</v>
      </c>
      <c r="J16" s="20" t="n">
        <v>0</v>
      </c>
      <c r="K16" s="18" t="n">
        <v>0.56878819</v>
      </c>
      <c r="L16" s="20" t="n">
        <v>0.16845256</v>
      </c>
      <c r="M16" s="18" t="n">
        <v>0</v>
      </c>
      <c r="N16" s="20" t="n">
        <v>0</v>
      </c>
      <c r="O16" s="18" t="n">
        <v>0</v>
      </c>
      <c r="P16" s="20" t="n">
        <v>0</v>
      </c>
      <c r="Q16" s="18" t="n">
        <v>4.04112069</v>
      </c>
      <c r="R16" s="20" t="n">
        <v>0.59362822</v>
      </c>
    </row>
    <row r="17" spans="1:18">
      <c r="A17" s="15" t="s">
        <v>575</v>
      </c>
      <c r="B17" s="17" t="n">
        <v>6504</v>
      </c>
      <c r="C17" s="18">
        <f>(5180.0/B17*100)</f>
        <v/>
      </c>
      <c r="D17" s="19" t="n">
        <v>1324</v>
      </c>
      <c r="E17" s="18" t="n">
        <v>60.43909845</v>
      </c>
      <c r="F17" s="20" t="n">
        <v>1.65599048</v>
      </c>
      <c r="G17" s="18" t="n">
        <v>36.02526111</v>
      </c>
      <c r="H17" s="20" t="n">
        <v>1.58970709</v>
      </c>
      <c r="I17" s="18" t="n">
        <v>0</v>
      </c>
      <c r="J17" s="20" t="n">
        <v>0</v>
      </c>
      <c r="K17" s="18" t="n">
        <v>0.37441573</v>
      </c>
      <c r="L17" s="20" t="n">
        <v>0.17499453</v>
      </c>
      <c r="M17" s="18" t="n">
        <v>0</v>
      </c>
      <c r="N17" s="20" t="n">
        <v>0</v>
      </c>
      <c r="O17" s="18" t="n">
        <v>0</v>
      </c>
      <c r="P17" s="20" t="n">
        <v>0</v>
      </c>
      <c r="Q17" s="18" t="n">
        <v>3.16122472</v>
      </c>
      <c r="R17" s="20" t="n">
        <v>0.52628794</v>
      </c>
    </row>
    <row r="18" spans="1:18">
      <c r="A18" s="15" t="s">
        <v>576</v>
      </c>
      <c r="B18" s="17" t="n">
        <v>5532</v>
      </c>
      <c r="C18" s="18">
        <f>(4321.0/B18*100)</f>
        <v/>
      </c>
      <c r="D18" s="19" t="n">
        <v>1211</v>
      </c>
      <c r="E18" s="18" t="n">
        <v>73.26617618</v>
      </c>
      <c r="F18" s="20" t="n">
        <v>1.60259414</v>
      </c>
      <c r="G18" s="18" t="n">
        <v>22.77692255</v>
      </c>
      <c r="H18" s="20" t="n">
        <v>1.37706816</v>
      </c>
      <c r="I18" s="18" t="n">
        <v>0</v>
      </c>
      <c r="J18" s="20" t="n">
        <v>0</v>
      </c>
      <c r="K18" s="18" t="n">
        <v>1.02712991</v>
      </c>
      <c r="L18" s="20" t="n">
        <v>0.40060328</v>
      </c>
      <c r="M18" s="18" t="n">
        <v>0</v>
      </c>
      <c r="N18" s="20" t="n">
        <v>0</v>
      </c>
      <c r="O18" s="18" t="n">
        <v>0</v>
      </c>
      <c r="P18" s="20" t="n">
        <v>0</v>
      </c>
      <c r="Q18" s="18" t="n">
        <v>2.92977136</v>
      </c>
      <c r="R18" s="20" t="n">
        <v>0.54984353</v>
      </c>
    </row>
    <row r="19" spans="1:18">
      <c r="A19" s="15" t="s">
        <v>577</v>
      </c>
      <c r="B19" s="17" t="n">
        <v>5658</v>
      </c>
      <c r="C19" s="18">
        <f>(4492.0/B19*100)</f>
        <v/>
      </c>
      <c r="D19" s="19" t="n">
        <v>1166</v>
      </c>
      <c r="E19" s="18" t="n">
        <v>76.85019663</v>
      </c>
      <c r="F19" s="20" t="n">
        <v>1.29801253</v>
      </c>
      <c r="G19" s="18" t="n">
        <v>20.18805372</v>
      </c>
      <c r="H19" s="20" t="n">
        <v>1.24951333</v>
      </c>
      <c r="I19" s="18" t="n">
        <v>0</v>
      </c>
      <c r="J19" s="20" t="n">
        <v>0</v>
      </c>
      <c r="K19" s="18" t="n">
        <v>0.07489679</v>
      </c>
      <c r="L19" s="20" t="n">
        <v>0.07481044000000001</v>
      </c>
      <c r="M19" s="18" t="n">
        <v>0</v>
      </c>
      <c r="N19" s="20" t="n">
        <v>0</v>
      </c>
      <c r="O19" s="18" t="n">
        <v>0</v>
      </c>
      <c r="P19" s="20" t="n">
        <v>0</v>
      </c>
      <c r="Q19" s="18" t="n">
        <v>2.88685286</v>
      </c>
      <c r="R19" s="20" t="n">
        <v>0.52199439</v>
      </c>
    </row>
    <row r="20" spans="1:18">
      <c r="A20" s="15" t="s">
        <v>578</v>
      </c>
      <c r="B20" s="17" t="n">
        <v>3371</v>
      </c>
      <c r="C20" s="18">
        <f>(2655.0/B20*100)</f>
        <v/>
      </c>
      <c r="D20" s="19" t="n">
        <v>716</v>
      </c>
      <c r="E20" s="18" t="n">
        <v>69.15472878</v>
      </c>
      <c r="F20" s="20" t="n">
        <v>1.90963867</v>
      </c>
      <c r="G20" s="18" t="n">
        <v>27.34684969</v>
      </c>
      <c r="H20" s="20" t="n">
        <v>1.80909118</v>
      </c>
      <c r="I20" s="18" t="n">
        <v>0</v>
      </c>
      <c r="J20" s="20" t="n">
        <v>0</v>
      </c>
      <c r="K20" s="18" t="n">
        <v>1.10239458</v>
      </c>
      <c r="L20" s="20" t="n">
        <v>0.38361048</v>
      </c>
      <c r="M20" s="18" t="n">
        <v>0.55756935</v>
      </c>
      <c r="N20" s="20" t="n">
        <v>0.14313272</v>
      </c>
      <c r="O20" s="18" t="n">
        <v>0</v>
      </c>
      <c r="P20" s="20" t="n">
        <v>0</v>
      </c>
      <c r="Q20" s="18" t="n">
        <v>1.83845761</v>
      </c>
      <c r="R20" s="20" t="n">
        <v>0.58302381</v>
      </c>
    </row>
    <row r="21" spans="1:18">
      <c r="A21" s="15" t="s">
        <v>579</v>
      </c>
      <c r="B21" s="17" t="n">
        <v>5741</v>
      </c>
      <c r="C21" s="18">
        <f>(4474.0/B21*100)</f>
        <v/>
      </c>
      <c r="D21" s="19" t="n">
        <v>1267</v>
      </c>
      <c r="E21" s="18" t="n">
        <v>55.98922399</v>
      </c>
      <c r="F21" s="20" t="n">
        <v>1.32970472</v>
      </c>
      <c r="G21" s="18" t="n">
        <v>41.00836493</v>
      </c>
      <c r="H21" s="20" t="n">
        <v>1.36483175</v>
      </c>
      <c r="I21" s="18" t="n">
        <v>0</v>
      </c>
      <c r="J21" s="20" t="n">
        <v>0</v>
      </c>
      <c r="K21" s="18" t="n">
        <v>0.24403384</v>
      </c>
      <c r="L21" s="20" t="n">
        <v>0.13693388</v>
      </c>
      <c r="M21" s="18" t="n">
        <v>0</v>
      </c>
      <c r="N21" s="20" t="n">
        <v>0</v>
      </c>
      <c r="O21" s="18" t="n">
        <v>0</v>
      </c>
      <c r="P21" s="20" t="n">
        <v>0</v>
      </c>
      <c r="Q21" s="18" t="n">
        <v>2.75837724</v>
      </c>
      <c r="R21" s="20" t="n">
        <v>0.46841269</v>
      </c>
    </row>
    <row r="22" spans="1:18">
      <c r="A22" s="15" t="s">
        <v>580</v>
      </c>
      <c r="B22" s="17" t="n">
        <v>6598</v>
      </c>
      <c r="C22" s="18">
        <f>(5205.0/B22*100)</f>
        <v/>
      </c>
      <c r="D22" s="19" t="n">
        <v>1393</v>
      </c>
      <c r="E22" s="18" t="n">
        <v>55.10580504</v>
      </c>
      <c r="F22" s="20" t="n">
        <v>1.55698462</v>
      </c>
      <c r="G22" s="18" t="n">
        <v>39.79903137</v>
      </c>
      <c r="H22" s="20" t="n">
        <v>1.64656923</v>
      </c>
      <c r="I22" s="18" t="n">
        <v>0</v>
      </c>
      <c r="J22" s="20" t="n">
        <v>0</v>
      </c>
      <c r="K22" s="18" t="n">
        <v>1.40293436</v>
      </c>
      <c r="L22" s="20" t="n">
        <v>0.29831996</v>
      </c>
      <c r="M22" s="18" t="n">
        <v>0.11170978</v>
      </c>
      <c r="N22" s="20" t="n">
        <v>0.11139244</v>
      </c>
      <c r="O22" s="18" t="n">
        <v>0</v>
      </c>
      <c r="P22" s="20" t="n">
        <v>0</v>
      </c>
      <c r="Q22" s="18" t="n">
        <v>3.58051944</v>
      </c>
      <c r="R22" s="20" t="n">
        <v>0.60341056</v>
      </c>
    </row>
    <row r="23" spans="1:18">
      <c r="A23" s="15" t="s">
        <v>581</v>
      </c>
      <c r="B23" s="17" t="n">
        <v>11583</v>
      </c>
      <c r="C23" s="18">
        <f>(9020.0/B23*100)</f>
        <v/>
      </c>
      <c r="D23" s="19" t="n">
        <v>2563</v>
      </c>
      <c r="E23" s="18" t="n">
        <v>66.99748811000001</v>
      </c>
      <c r="F23" s="20" t="n">
        <v>1.37770092</v>
      </c>
      <c r="G23" s="18" t="n">
        <v>27.85693731</v>
      </c>
      <c r="H23" s="20" t="n">
        <v>1.4457262</v>
      </c>
      <c r="I23" s="18" t="n">
        <v>0</v>
      </c>
      <c r="J23" s="20" t="n">
        <v>0</v>
      </c>
      <c r="K23" s="18" t="n">
        <v>0.86072594</v>
      </c>
      <c r="L23" s="20" t="n">
        <v>0.33338118</v>
      </c>
      <c r="M23" s="18" t="n">
        <v>0.07334868</v>
      </c>
      <c r="N23" s="20" t="n">
        <v>0.05352392</v>
      </c>
      <c r="O23" s="18" t="n">
        <v>0</v>
      </c>
      <c r="P23" s="20" t="n">
        <v>0</v>
      </c>
      <c r="Q23" s="18" t="n">
        <v>4.21149996</v>
      </c>
      <c r="R23" s="20" t="n">
        <v>0.535386</v>
      </c>
    </row>
    <row r="24" spans="1:18">
      <c r="A24" s="15" t="s">
        <v>582</v>
      </c>
      <c r="B24" s="17" t="n">
        <v>6647</v>
      </c>
      <c r="C24" s="18">
        <f>(5187.0/B24*100)</f>
        <v/>
      </c>
      <c r="D24" s="19" t="n">
        <v>1460</v>
      </c>
      <c r="E24" s="18" t="n">
        <v>37.04959354</v>
      </c>
      <c r="F24" s="20" t="n">
        <v>1.53029598</v>
      </c>
      <c r="G24" s="18" t="n">
        <v>59.9660157</v>
      </c>
      <c r="H24" s="20" t="n">
        <v>1.43236658</v>
      </c>
      <c r="I24" s="18" t="n">
        <v>0</v>
      </c>
      <c r="J24" s="20" t="n">
        <v>0</v>
      </c>
      <c r="K24" s="18" t="n">
        <v>0.13408964</v>
      </c>
      <c r="L24" s="20" t="n">
        <v>0.09491835</v>
      </c>
      <c r="M24" s="18" t="n">
        <v>0</v>
      </c>
      <c r="N24" s="20" t="n">
        <v>0</v>
      </c>
      <c r="O24" s="18" t="n">
        <v>0</v>
      </c>
      <c r="P24" s="20" t="n">
        <v>0</v>
      </c>
      <c r="Q24" s="18" t="n">
        <v>2.85030112</v>
      </c>
      <c r="R24" s="20" t="n">
        <v>0.4355135</v>
      </c>
    </row>
    <row r="25" spans="1:18">
      <c r="A25" s="15" t="s">
        <v>583</v>
      </c>
      <c r="B25" s="17" t="n">
        <v>5581</v>
      </c>
      <c r="C25" s="18">
        <f>(4357.0/B25*100)</f>
        <v/>
      </c>
      <c r="D25" s="19" t="n">
        <v>1224</v>
      </c>
      <c r="E25" s="18" t="n">
        <v>51.79287257</v>
      </c>
      <c r="F25" s="20" t="n">
        <v>1.70660097</v>
      </c>
      <c r="G25" s="18" t="n">
        <v>47.00512404</v>
      </c>
      <c r="H25" s="20" t="n">
        <v>1.73840259</v>
      </c>
      <c r="I25" s="18" t="n">
        <v>0</v>
      </c>
      <c r="J25" s="20" t="n">
        <v>0</v>
      </c>
      <c r="K25" s="18" t="n">
        <v>0</v>
      </c>
      <c r="L25" s="20" t="n">
        <v>0</v>
      </c>
      <c r="M25" s="18" t="n">
        <v>0</v>
      </c>
      <c r="N25" s="20" t="n">
        <v>0</v>
      </c>
      <c r="O25" s="18" t="n">
        <v>0</v>
      </c>
      <c r="P25" s="20" t="n">
        <v>0</v>
      </c>
      <c r="Q25" s="18" t="n">
        <v>1.20200339</v>
      </c>
      <c r="R25" s="20" t="n">
        <v>0.30693104</v>
      </c>
    </row>
    <row r="26" spans="1:18">
      <c r="A26" s="15" t="s">
        <v>584</v>
      </c>
      <c r="B26" s="17" t="n">
        <v>4869</v>
      </c>
      <c r="C26" s="18">
        <f>(3828.0/B26*100)</f>
        <v/>
      </c>
      <c r="D26" s="19" t="n">
        <v>1041</v>
      </c>
      <c r="E26" s="18" t="n">
        <v>65.67288062999999</v>
      </c>
      <c r="F26" s="20" t="n">
        <v>1.50423406</v>
      </c>
      <c r="G26" s="18" t="n">
        <v>33.66721754</v>
      </c>
      <c r="H26" s="20" t="n">
        <v>1.45035232</v>
      </c>
      <c r="I26" s="18" t="n">
        <v>0</v>
      </c>
      <c r="J26" s="20" t="n">
        <v>0</v>
      </c>
      <c r="K26" s="18" t="n">
        <v>0.07907349</v>
      </c>
      <c r="L26" s="20" t="n">
        <v>0.0794373</v>
      </c>
      <c r="M26" s="18" t="n">
        <v>0</v>
      </c>
      <c r="N26" s="20" t="n">
        <v>0</v>
      </c>
      <c r="O26" s="18" t="n">
        <v>0</v>
      </c>
      <c r="P26" s="20" t="n">
        <v>0</v>
      </c>
      <c r="Q26" s="18" t="n">
        <v>0.5808283400000001</v>
      </c>
      <c r="R26" s="20" t="n">
        <v>0.2477544</v>
      </c>
    </row>
    <row r="27" spans="1:18">
      <c r="A27" s="15" t="s">
        <v>585</v>
      </c>
      <c r="B27" s="17" t="n">
        <v>5299</v>
      </c>
      <c r="C27" s="18">
        <f>(4142.0/B27*100)</f>
        <v/>
      </c>
      <c r="D27" s="19" t="n">
        <v>1157</v>
      </c>
      <c r="E27" s="18" t="n">
        <v>64.16010932</v>
      </c>
      <c r="F27" s="20" t="n">
        <v>1.53365251</v>
      </c>
      <c r="G27" s="18" t="n">
        <v>31.49492081</v>
      </c>
      <c r="H27" s="20" t="n">
        <v>1.45007898</v>
      </c>
      <c r="I27" s="18" t="n">
        <v>0</v>
      </c>
      <c r="J27" s="20" t="n">
        <v>0</v>
      </c>
      <c r="K27" s="18" t="n">
        <v>0.62757799</v>
      </c>
      <c r="L27" s="20" t="n">
        <v>0.23446724</v>
      </c>
      <c r="M27" s="18" t="n">
        <v>0</v>
      </c>
      <c r="N27" s="20" t="n">
        <v>0</v>
      </c>
      <c r="O27" s="18" t="n">
        <v>0</v>
      </c>
      <c r="P27" s="20" t="n">
        <v>0</v>
      </c>
      <c r="Q27" s="18" t="n">
        <v>3.71739187</v>
      </c>
      <c r="R27" s="20" t="n">
        <v>0.5394322</v>
      </c>
    </row>
    <row r="28" spans="1:18">
      <c r="A28" s="15" t="s">
        <v>586</v>
      </c>
      <c r="B28" s="17" t="n">
        <v>7568</v>
      </c>
      <c r="C28" s="18">
        <f>(6102.0/B28*100)</f>
        <v/>
      </c>
      <c r="D28" s="19" t="n">
        <v>1466</v>
      </c>
      <c r="E28" s="18" t="n">
        <v>88.56820956</v>
      </c>
      <c r="F28" s="20" t="n">
        <v>0.95639371</v>
      </c>
      <c r="G28" s="18" t="n">
        <v>8.552646080000001</v>
      </c>
      <c r="H28" s="20" t="n">
        <v>0.80142039</v>
      </c>
      <c r="I28" s="18" t="n">
        <v>0</v>
      </c>
      <c r="J28" s="20" t="n">
        <v>0</v>
      </c>
      <c r="K28" s="18" t="n">
        <v>0.92035901</v>
      </c>
      <c r="L28" s="20" t="n">
        <v>0.26167608</v>
      </c>
      <c r="M28" s="18" t="n">
        <v>0.33438714</v>
      </c>
      <c r="N28" s="20" t="n">
        <v>0.20008103</v>
      </c>
      <c r="O28" s="18" t="n">
        <v>0</v>
      </c>
      <c r="P28" s="20" t="n">
        <v>0</v>
      </c>
      <c r="Q28" s="18" t="n">
        <v>1.62439821</v>
      </c>
      <c r="R28" s="20" t="n">
        <v>0.38589122</v>
      </c>
    </row>
    <row r="29" spans="1:18">
      <c r="A29" s="15" t="s">
        <v>587</v>
      </c>
      <c r="B29" s="17" t="n">
        <v>5385</v>
      </c>
      <c r="C29" s="18">
        <f>(4277.0/B29*100)</f>
        <v/>
      </c>
      <c r="D29" s="19" t="n">
        <v>1108</v>
      </c>
      <c r="E29" s="18" t="n">
        <v>55.92265017</v>
      </c>
      <c r="F29" s="20" t="n">
        <v>1.80414164</v>
      </c>
      <c r="G29" s="18" t="n">
        <v>42.70960006</v>
      </c>
      <c r="H29" s="20" t="n">
        <v>1.78505185</v>
      </c>
      <c r="I29" s="18" t="n">
        <v>0</v>
      </c>
      <c r="J29" s="20" t="n">
        <v>0</v>
      </c>
      <c r="K29" s="18" t="n">
        <v>0.35392549</v>
      </c>
      <c r="L29" s="20" t="n">
        <v>0.18282097</v>
      </c>
      <c r="M29" s="18" t="n">
        <v>0</v>
      </c>
      <c r="N29" s="20" t="n">
        <v>0</v>
      </c>
      <c r="O29" s="18" t="n">
        <v>0</v>
      </c>
      <c r="P29" s="20" t="n">
        <v>0</v>
      </c>
      <c r="Q29" s="18" t="n">
        <v>1.01382429</v>
      </c>
      <c r="R29" s="20" t="n">
        <v>0.27802276</v>
      </c>
    </row>
    <row r="30" spans="1:18">
      <c r="A30" s="15" t="s">
        <v>588</v>
      </c>
      <c r="B30" s="17" t="n">
        <v>4520</v>
      </c>
      <c r="C30" s="18">
        <f>(3564.0/B30*100)</f>
        <v/>
      </c>
      <c r="D30" s="19" t="n">
        <v>956</v>
      </c>
      <c r="E30" s="18" t="n">
        <v>52.60146377</v>
      </c>
      <c r="F30" s="20" t="n">
        <v>1.76360826</v>
      </c>
      <c r="G30" s="18" t="n">
        <v>42.24600473</v>
      </c>
      <c r="H30" s="20" t="n">
        <v>1.6595131</v>
      </c>
      <c r="I30" s="18" t="n">
        <v>0</v>
      </c>
      <c r="J30" s="20" t="n">
        <v>0</v>
      </c>
      <c r="K30" s="18" t="n">
        <v>1.36791965</v>
      </c>
      <c r="L30" s="20" t="n">
        <v>0.42213062</v>
      </c>
      <c r="M30" s="18" t="n">
        <v>0.11185931</v>
      </c>
      <c r="N30" s="20" t="n">
        <v>0.11366646</v>
      </c>
      <c r="O30" s="18" t="n">
        <v>0</v>
      </c>
      <c r="P30" s="20" t="n">
        <v>0</v>
      </c>
      <c r="Q30" s="18" t="n">
        <v>3.67275253</v>
      </c>
      <c r="R30" s="20" t="n">
        <v>0.62588172</v>
      </c>
    </row>
    <row r="31" spans="1:18">
      <c r="A31" s="15" t="s">
        <v>589</v>
      </c>
      <c r="B31" s="17" t="n">
        <v>5456</v>
      </c>
      <c r="C31" s="18">
        <f>(4270.0/B31*100)</f>
        <v/>
      </c>
      <c r="D31" s="19" t="n">
        <v>1186</v>
      </c>
      <c r="E31" s="18" t="n">
        <v>67.64140064999999</v>
      </c>
      <c r="F31" s="20" t="n">
        <v>1.62446151</v>
      </c>
      <c r="G31" s="18" t="n">
        <v>28.02666853</v>
      </c>
      <c r="H31" s="20" t="n">
        <v>1.55173643</v>
      </c>
      <c r="I31" s="18" t="n">
        <v>0</v>
      </c>
      <c r="J31" s="20" t="n">
        <v>0</v>
      </c>
      <c r="K31" s="18" t="n">
        <v>1.05490752</v>
      </c>
      <c r="L31" s="20" t="n">
        <v>0.32003421</v>
      </c>
      <c r="M31" s="18" t="n">
        <v>0.16087569</v>
      </c>
      <c r="N31" s="20" t="n">
        <v>0.11021009</v>
      </c>
      <c r="O31" s="18" t="n">
        <v>0</v>
      </c>
      <c r="P31" s="20" t="n">
        <v>0</v>
      </c>
      <c r="Q31" s="18" t="n">
        <v>3.11614761</v>
      </c>
      <c r="R31" s="20" t="n">
        <v>0.5202906899999999</v>
      </c>
    </row>
    <row r="32" spans="1:18">
      <c r="A32" s="15" t="s">
        <v>590</v>
      </c>
      <c r="B32" s="17" t="n">
        <v>4478</v>
      </c>
      <c r="C32" s="18">
        <f>(3444.0/B32*100)</f>
        <v/>
      </c>
      <c r="D32" s="19" t="n">
        <v>1034</v>
      </c>
      <c r="E32" s="18" t="n">
        <v>65.95161383</v>
      </c>
      <c r="F32" s="20" t="n">
        <v>1.59173898</v>
      </c>
      <c r="G32" s="18" t="n">
        <v>32.89309281</v>
      </c>
      <c r="H32" s="20" t="n">
        <v>1.60311309</v>
      </c>
      <c r="I32" s="18" t="n">
        <v>0</v>
      </c>
      <c r="J32" s="20" t="n">
        <v>0</v>
      </c>
      <c r="K32" s="18" t="n">
        <v>0</v>
      </c>
      <c r="L32" s="20" t="n">
        <v>0</v>
      </c>
      <c r="M32" s="18" t="n">
        <v>0</v>
      </c>
      <c r="N32" s="20" t="n">
        <v>0</v>
      </c>
      <c r="O32" s="18" t="n">
        <v>0</v>
      </c>
      <c r="P32" s="20" t="n">
        <v>0</v>
      </c>
      <c r="Q32" s="18" t="n">
        <v>1.15529336</v>
      </c>
      <c r="R32" s="20" t="n">
        <v>0.35318932</v>
      </c>
    </row>
    <row r="33" spans="1:18">
      <c r="A33" s="15" t="s">
        <v>591</v>
      </c>
      <c r="B33" s="17" t="n">
        <v>7325</v>
      </c>
      <c r="C33" s="18">
        <f>(5768.0/B33*100)</f>
        <v/>
      </c>
      <c r="D33" s="19" t="n">
        <v>1557</v>
      </c>
      <c r="E33" s="18" t="n">
        <v>59.77224219</v>
      </c>
      <c r="F33" s="20" t="n">
        <v>1.63980718</v>
      </c>
      <c r="G33" s="18" t="n">
        <v>37.79919707</v>
      </c>
      <c r="H33" s="20" t="n">
        <v>1.60928332</v>
      </c>
      <c r="I33" s="18" t="n">
        <v>0</v>
      </c>
      <c r="J33" s="20" t="n">
        <v>0</v>
      </c>
      <c r="K33" s="18" t="n">
        <v>0.60570164</v>
      </c>
      <c r="L33" s="20" t="n">
        <v>0.27587159</v>
      </c>
      <c r="M33" s="18" t="n">
        <v>0.08127466</v>
      </c>
      <c r="N33" s="20" t="n">
        <v>0.08068241</v>
      </c>
      <c r="O33" s="18" t="n">
        <v>0</v>
      </c>
      <c r="P33" s="20" t="n">
        <v>0</v>
      </c>
      <c r="Q33" s="18" t="n">
        <v>1.74158445</v>
      </c>
      <c r="R33" s="20" t="n">
        <v>0.41554032</v>
      </c>
    </row>
    <row r="34" spans="1:18">
      <c r="A34" s="15" t="s">
        <v>592</v>
      </c>
      <c r="B34" s="17" t="n">
        <v>6350</v>
      </c>
      <c r="C34" s="18">
        <f>(5050.0/B34*100)</f>
        <v/>
      </c>
      <c r="D34" s="19" t="n">
        <v>1300</v>
      </c>
      <c r="E34" s="18" t="n">
        <v>76.83520319</v>
      </c>
      <c r="F34" s="20" t="n">
        <v>1.30108642</v>
      </c>
      <c r="G34" s="18" t="n">
        <v>20.68137423</v>
      </c>
      <c r="H34" s="20" t="n">
        <v>1.27498194</v>
      </c>
      <c r="I34" s="18" t="n">
        <v>0</v>
      </c>
      <c r="J34" s="20" t="n">
        <v>0</v>
      </c>
      <c r="K34" s="18" t="n">
        <v>0.20250129</v>
      </c>
      <c r="L34" s="20" t="n">
        <v>0.11332891</v>
      </c>
      <c r="M34" s="18" t="n">
        <v>0.3781657</v>
      </c>
      <c r="N34" s="20" t="n">
        <v>0.16760453</v>
      </c>
      <c r="O34" s="18" t="n">
        <v>0</v>
      </c>
      <c r="P34" s="20" t="n">
        <v>0</v>
      </c>
      <c r="Q34" s="18" t="n">
        <v>1.90275559</v>
      </c>
      <c r="R34" s="20" t="n">
        <v>0.47489121</v>
      </c>
    </row>
    <row r="35" spans="1:18">
      <c r="A35" s="15" t="s">
        <v>593</v>
      </c>
      <c r="B35" s="17" t="n">
        <v>6406</v>
      </c>
      <c r="C35" s="18">
        <f>(5015.0/B35*100)</f>
        <v/>
      </c>
      <c r="D35" s="19" t="n">
        <v>1391</v>
      </c>
      <c r="E35" s="18" t="n">
        <v>56.41301119</v>
      </c>
      <c r="F35" s="20" t="n">
        <v>1.74824503</v>
      </c>
      <c r="G35" s="18" t="n">
        <v>41.97339833</v>
      </c>
      <c r="H35" s="20" t="n">
        <v>1.72132683</v>
      </c>
      <c r="I35" s="18" t="n">
        <v>0</v>
      </c>
      <c r="J35" s="20" t="n">
        <v>0</v>
      </c>
      <c r="K35" s="18" t="n">
        <v>0.12371408</v>
      </c>
      <c r="L35" s="20" t="n">
        <v>0.05679261</v>
      </c>
      <c r="M35" s="18" t="n">
        <v>0.24736407</v>
      </c>
      <c r="N35" s="20" t="n">
        <v>0.17542276</v>
      </c>
      <c r="O35" s="18" t="n">
        <v>0</v>
      </c>
      <c r="P35" s="20" t="n">
        <v>0</v>
      </c>
      <c r="Q35" s="18" t="n">
        <v>1.24251233</v>
      </c>
      <c r="R35" s="20" t="n">
        <v>0.3441725</v>
      </c>
    </row>
    <row r="36" spans="1:18">
      <c r="A36" s="15" t="s">
        <v>594</v>
      </c>
      <c r="B36" s="17" t="n">
        <v>6736</v>
      </c>
      <c r="C36" s="18">
        <f>(5305.0/B36*100)</f>
        <v/>
      </c>
      <c r="D36" s="19" t="n">
        <v>1431</v>
      </c>
      <c r="E36" s="18" t="n">
        <v>68.27735695</v>
      </c>
      <c r="F36" s="20" t="n">
        <v>1.53271825</v>
      </c>
      <c r="G36" s="18" t="n">
        <v>28.57536063</v>
      </c>
      <c r="H36" s="20" t="n">
        <v>1.45713189</v>
      </c>
      <c r="I36" s="18" t="n">
        <v>0</v>
      </c>
      <c r="J36" s="20" t="n">
        <v>0</v>
      </c>
      <c r="K36" s="18" t="n">
        <v>0.5750501099999999</v>
      </c>
      <c r="L36" s="20" t="n">
        <v>0.17106654</v>
      </c>
      <c r="M36" s="18" t="n">
        <v>0.06730141000000001</v>
      </c>
      <c r="N36" s="20" t="n">
        <v>0.06736369</v>
      </c>
      <c r="O36" s="18" t="n">
        <v>0</v>
      </c>
      <c r="P36" s="20" t="n">
        <v>0</v>
      </c>
      <c r="Q36" s="18" t="n">
        <v>2.5049309</v>
      </c>
      <c r="R36" s="20" t="n">
        <v>0.42380023</v>
      </c>
    </row>
    <row r="37" spans="1:18">
      <c r="A37" s="15" t="s">
        <v>595</v>
      </c>
      <c r="B37" s="17" t="n">
        <v>5458</v>
      </c>
      <c r="C37" s="18">
        <f>(4331.0/B37*100)</f>
        <v/>
      </c>
      <c r="D37" s="19" t="n">
        <v>1127</v>
      </c>
      <c r="E37" s="18" t="n">
        <v>63.4178251</v>
      </c>
      <c r="F37" s="20" t="n">
        <v>1.33138577</v>
      </c>
      <c r="G37" s="18" t="n">
        <v>29.96391665</v>
      </c>
      <c r="H37" s="20" t="n">
        <v>1.17330147</v>
      </c>
      <c r="I37" s="18" t="n">
        <v>0</v>
      </c>
      <c r="J37" s="20" t="n">
        <v>0</v>
      </c>
      <c r="K37" s="18" t="n">
        <v>0.7148679</v>
      </c>
      <c r="L37" s="20" t="n">
        <v>0.29850823</v>
      </c>
      <c r="M37" s="18" t="n">
        <v>0</v>
      </c>
      <c r="N37" s="20" t="n">
        <v>0</v>
      </c>
      <c r="O37" s="18" t="n">
        <v>0</v>
      </c>
      <c r="P37" s="20" t="n">
        <v>0</v>
      </c>
      <c r="Q37" s="18" t="n">
        <v>5.90339036</v>
      </c>
      <c r="R37" s="20" t="n">
        <v>0.6034039</v>
      </c>
    </row>
    <row r="38" spans="1:18">
      <c r="A38" s="15" t="s">
        <v>596</v>
      </c>
      <c r="B38" s="17" t="n">
        <v>5860</v>
      </c>
      <c r="C38" s="18">
        <f>(4597.0/B38*100)</f>
        <v/>
      </c>
      <c r="D38" s="19" t="n">
        <v>1263</v>
      </c>
      <c r="E38" s="18" t="n">
        <v>56.51169629</v>
      </c>
      <c r="F38" s="20" t="n">
        <v>1.94248016</v>
      </c>
      <c r="G38" s="18" t="n">
        <v>38.50831549</v>
      </c>
      <c r="H38" s="20" t="n">
        <v>1.97820961</v>
      </c>
      <c r="I38" s="18" t="n">
        <v>0</v>
      </c>
      <c r="J38" s="20" t="n">
        <v>0</v>
      </c>
      <c r="K38" s="18" t="n">
        <v>0.24704113</v>
      </c>
      <c r="L38" s="20" t="n">
        <v>0.13951748</v>
      </c>
      <c r="M38" s="18" t="n">
        <v>1.80100152</v>
      </c>
      <c r="N38" s="20" t="n">
        <v>0.40099553</v>
      </c>
      <c r="O38" s="18" t="n">
        <v>0</v>
      </c>
      <c r="P38" s="20" t="n">
        <v>0</v>
      </c>
      <c r="Q38" s="18" t="n">
        <v>2.93194557</v>
      </c>
      <c r="R38" s="20" t="n">
        <v>0.57093932</v>
      </c>
    </row>
    <row r="39" spans="1:18">
      <c r="A39" s="15" t="s">
        <v>597</v>
      </c>
      <c r="B39" s="17" t="n">
        <v>5895</v>
      </c>
      <c r="C39" s="18">
        <f>(4578.0/B39*100)</f>
        <v/>
      </c>
      <c r="D39" s="19" t="n">
        <v>1317</v>
      </c>
      <c r="E39" s="18" t="n">
        <v>71.97806878999999</v>
      </c>
      <c r="F39" s="20" t="n">
        <v>1.76936284</v>
      </c>
      <c r="G39" s="18" t="n">
        <v>24.33162163</v>
      </c>
      <c r="H39" s="20" t="n">
        <v>1.78035193</v>
      </c>
      <c r="I39" s="18" t="n">
        <v>0</v>
      </c>
      <c r="J39" s="20" t="n">
        <v>0</v>
      </c>
      <c r="K39" s="18" t="n">
        <v>0.44913961</v>
      </c>
      <c r="L39" s="20" t="n">
        <v>0.15951554</v>
      </c>
      <c r="M39" s="18" t="n">
        <v>0</v>
      </c>
      <c r="N39" s="20" t="n">
        <v>0</v>
      </c>
      <c r="O39" s="18" t="n">
        <v>0</v>
      </c>
      <c r="P39" s="20" t="n">
        <v>0</v>
      </c>
      <c r="Q39" s="18" t="n">
        <v>3.24116997</v>
      </c>
      <c r="R39" s="20" t="n">
        <v>0.46928718</v>
      </c>
    </row>
    <row r="40" spans="1:18">
      <c r="A40" s="15" t="s">
        <v>598</v>
      </c>
      <c r="B40" s="17" t="n">
        <v>14157</v>
      </c>
      <c r="C40" s="18">
        <f>(11047.0/B40*100)</f>
        <v/>
      </c>
      <c r="D40" s="19" t="n">
        <v>3110</v>
      </c>
      <c r="E40" s="18" t="n">
        <v>54.85558708</v>
      </c>
      <c r="F40" s="20" t="n">
        <v>1.43228218</v>
      </c>
      <c r="G40" s="18" t="n">
        <v>40.58043876</v>
      </c>
      <c r="H40" s="20" t="n">
        <v>1.34344905</v>
      </c>
      <c r="I40" s="18" t="n">
        <v>0</v>
      </c>
      <c r="J40" s="20" t="n">
        <v>0</v>
      </c>
      <c r="K40" s="18" t="n">
        <v>0.4887747</v>
      </c>
      <c r="L40" s="20" t="n">
        <v>0.19494088</v>
      </c>
      <c r="M40" s="18" t="n">
        <v>0.02531414</v>
      </c>
      <c r="N40" s="20" t="n">
        <v>0.02429005</v>
      </c>
      <c r="O40" s="18" t="n">
        <v>0</v>
      </c>
      <c r="P40" s="20" t="n">
        <v>0</v>
      </c>
      <c r="Q40" s="18" t="n">
        <v>4.04988533</v>
      </c>
      <c r="R40" s="20" t="n">
        <v>0.65288898</v>
      </c>
    </row>
    <row r="41" spans="1:18">
      <c r="A41" s="15" t="s">
        <v>599</v>
      </c>
      <c r="B41" s="17" t="n">
        <v>5712</v>
      </c>
      <c r="C41" s="18">
        <f>(4531.0/B41*100)</f>
        <v/>
      </c>
      <c r="D41" s="19" t="n">
        <v>1181</v>
      </c>
      <c r="E41" s="18" t="n">
        <v>61.31554195</v>
      </c>
      <c r="F41" s="20" t="n">
        <v>1.45994343</v>
      </c>
      <c r="G41" s="18" t="n">
        <v>37.55821608</v>
      </c>
      <c r="H41" s="20" t="n">
        <v>1.5518655</v>
      </c>
      <c r="I41" s="18" t="n">
        <v>0</v>
      </c>
      <c r="J41" s="20" t="n">
        <v>0</v>
      </c>
      <c r="K41" s="18" t="n">
        <v>0.10333108</v>
      </c>
      <c r="L41" s="20" t="n">
        <v>0.09470476</v>
      </c>
      <c r="M41" s="18" t="n">
        <v>0</v>
      </c>
      <c r="N41" s="20" t="n">
        <v>0</v>
      </c>
      <c r="O41" s="18" t="n">
        <v>0</v>
      </c>
      <c r="P41" s="20" t="n">
        <v>0</v>
      </c>
      <c r="Q41" s="18" t="n">
        <v>1.02291089</v>
      </c>
      <c r="R41" s="20" t="n">
        <v>0.33383249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(19418.0/B46*100)</f>
        <v/>
      </c>
      <c r="D46" s="19" t="n">
        <v>3723</v>
      </c>
      <c r="E46" s="18" t="n">
        <v>68.95821977999999</v>
      </c>
      <c r="F46" s="20" t="n">
        <v>1.08853615</v>
      </c>
      <c r="G46" s="18" t="n">
        <v>22.71589113</v>
      </c>
      <c r="H46" s="20" t="n">
        <v>0.97610447</v>
      </c>
      <c r="I46" s="18" t="n">
        <v>0</v>
      </c>
      <c r="J46" s="20" t="n">
        <v>0</v>
      </c>
      <c r="K46" s="18" t="n">
        <v>1.71352285</v>
      </c>
      <c r="L46" s="20" t="n">
        <v>0.39221148</v>
      </c>
      <c r="M46" s="18" t="n">
        <v>0.56468653</v>
      </c>
      <c r="N46" s="20" t="n">
        <v>0.13994127</v>
      </c>
      <c r="O46" s="18" t="n">
        <v>0</v>
      </c>
      <c r="P46" s="20" t="n">
        <v>0</v>
      </c>
      <c r="Q46" s="18" t="n">
        <v>6.04767971</v>
      </c>
      <c r="R46" s="20" t="n">
        <v>0.6145919399999999</v>
      </c>
    </row>
    <row r="47" spans="1:18">
      <c r="A47" s="15" t="s">
        <v>606</v>
      </c>
      <c r="B47" s="17" t="n">
        <v>5928</v>
      </c>
      <c r="C47" s="18">
        <f>(4721.0/B47*100)</f>
        <v/>
      </c>
      <c r="D47" s="19" t="n">
        <v>1207</v>
      </c>
      <c r="E47" s="18" t="n">
        <v>86.73261307</v>
      </c>
      <c r="F47" s="20" t="n">
        <v>0.99236439</v>
      </c>
      <c r="G47" s="18" t="n">
        <v>8.48332375</v>
      </c>
      <c r="H47" s="20" t="n">
        <v>0.87303857</v>
      </c>
      <c r="I47" s="18" t="n">
        <v>0</v>
      </c>
      <c r="J47" s="20" t="n">
        <v>0</v>
      </c>
      <c r="K47" s="18" t="n">
        <v>1.30912501</v>
      </c>
      <c r="L47" s="20" t="n">
        <v>0.3578149</v>
      </c>
      <c r="M47" s="18" t="n">
        <v>0</v>
      </c>
      <c r="N47" s="20" t="n">
        <v>0</v>
      </c>
      <c r="O47" s="18" t="n">
        <v>0</v>
      </c>
      <c r="P47" s="20" t="n">
        <v>0</v>
      </c>
      <c r="Q47" s="18" t="n">
        <v>3.47493817</v>
      </c>
      <c r="R47" s="20" t="n">
        <v>0.57029645</v>
      </c>
    </row>
    <row r="48" spans="1:18">
      <c r="A48" s="15" t="s">
        <v>607</v>
      </c>
      <c r="B48" s="17" t="n">
        <v>9841</v>
      </c>
      <c r="C48" s="18">
        <f>(7694.0/B48*100)</f>
        <v/>
      </c>
      <c r="D48" s="19" t="n">
        <v>2147</v>
      </c>
      <c r="E48" s="18" t="n">
        <v>54.92290143</v>
      </c>
      <c r="F48" s="20" t="n">
        <v>2.31974092</v>
      </c>
      <c r="G48" s="18" t="n">
        <v>43.26639178</v>
      </c>
      <c r="H48" s="20" t="n">
        <v>2.44900318</v>
      </c>
      <c r="I48" s="18" t="n">
        <v>0</v>
      </c>
      <c r="J48" s="20" t="n">
        <v>0</v>
      </c>
      <c r="K48" s="18" t="n">
        <v>0.83144063</v>
      </c>
      <c r="L48" s="20" t="n">
        <v>0.31994826</v>
      </c>
      <c r="M48" s="18" t="n">
        <v>0</v>
      </c>
      <c r="N48" s="20" t="n">
        <v>0</v>
      </c>
      <c r="O48" s="18" t="n">
        <v>0</v>
      </c>
      <c r="P48" s="20" t="n">
        <v>0</v>
      </c>
      <c r="Q48" s="18" t="n">
        <v>0.97926616</v>
      </c>
      <c r="R48" s="20" t="n">
        <v>0.30616719</v>
      </c>
    </row>
    <row r="49" spans="1:18">
      <c r="A49" s="15" t="s">
        <v>608</v>
      </c>
      <c r="B49" s="17" t="n">
        <v>11795</v>
      </c>
      <c r="C49" s="18">
        <f>(9366.0/B49*100)</f>
        <v/>
      </c>
      <c r="D49" s="19" t="n">
        <v>2429</v>
      </c>
      <c r="E49" s="18" t="n">
        <v>81.08490381999999</v>
      </c>
      <c r="F49" s="20" t="n">
        <v>0.91375358</v>
      </c>
      <c r="G49" s="18" t="n">
        <v>13.17029987</v>
      </c>
      <c r="H49" s="20" t="n">
        <v>0.76239903</v>
      </c>
      <c r="I49" s="18" t="n">
        <v>0</v>
      </c>
      <c r="J49" s="20" t="n">
        <v>0</v>
      </c>
      <c r="K49" s="18" t="n">
        <v>3.07623693</v>
      </c>
      <c r="L49" s="20" t="n">
        <v>0.4794537</v>
      </c>
      <c r="M49" s="18" t="n">
        <v>0.21305637</v>
      </c>
      <c r="N49" s="20" t="n">
        <v>0.07787587999999999</v>
      </c>
      <c r="O49" s="18" t="n">
        <v>0</v>
      </c>
      <c r="P49" s="20" t="n">
        <v>0</v>
      </c>
      <c r="Q49" s="18" t="n">
        <v>2.455503</v>
      </c>
      <c r="R49" s="20" t="n">
        <v>0.41280188</v>
      </c>
    </row>
    <row r="50" spans="1:18">
      <c r="A50" s="15" t="s">
        <v>609</v>
      </c>
      <c r="B50" s="17" t="n">
        <v>6866</v>
      </c>
      <c r="C50" s="18">
        <f>(5636.0/B50*100)</f>
        <v/>
      </c>
      <c r="D50" s="19" t="n">
        <v>1230</v>
      </c>
      <c r="E50" s="18" t="n">
        <v>82.69198185</v>
      </c>
      <c r="F50" s="20" t="n">
        <v>1.08482539</v>
      </c>
      <c r="G50" s="18" t="n">
        <v>14.2283673</v>
      </c>
      <c r="H50" s="20" t="n">
        <v>1.09014815</v>
      </c>
      <c r="I50" s="18" t="n">
        <v>0</v>
      </c>
      <c r="J50" s="20" t="n">
        <v>0</v>
      </c>
      <c r="K50" s="18" t="n">
        <v>0.39225713</v>
      </c>
      <c r="L50" s="20" t="n">
        <v>0.16757866</v>
      </c>
      <c r="M50" s="18" t="n">
        <v>0</v>
      </c>
      <c r="N50" s="20" t="n">
        <v>0</v>
      </c>
      <c r="O50" s="18" t="n">
        <v>0</v>
      </c>
      <c r="P50" s="20" t="n">
        <v>0</v>
      </c>
      <c r="Q50" s="18" t="n">
        <v>2.68739372</v>
      </c>
      <c r="R50" s="20" t="n">
        <v>0.52941394</v>
      </c>
    </row>
    <row r="51" spans="1:18">
      <c r="A51" s="15" t="s">
        <v>610</v>
      </c>
      <c r="B51" s="17" t="n">
        <v>5809</v>
      </c>
      <c r="C51" s="18">
        <f>(4491.0/B51*100)</f>
        <v/>
      </c>
      <c r="D51" s="19" t="n">
        <v>1318</v>
      </c>
      <c r="E51" s="18" t="n">
        <v>60.6098158</v>
      </c>
      <c r="F51" s="20" t="n">
        <v>1.20822506</v>
      </c>
      <c r="G51" s="18" t="n">
        <v>35.22991763</v>
      </c>
      <c r="H51" s="20" t="n">
        <v>1.19165501</v>
      </c>
      <c r="I51" s="18" t="n">
        <v>0</v>
      </c>
      <c r="J51" s="20" t="n">
        <v>0</v>
      </c>
      <c r="K51" s="18" t="n">
        <v>0.22114392</v>
      </c>
      <c r="L51" s="20" t="n">
        <v>0.12135207</v>
      </c>
      <c r="M51" s="18" t="n">
        <v>0</v>
      </c>
      <c r="N51" s="20" t="n">
        <v>0</v>
      </c>
      <c r="O51" s="18" t="n">
        <v>0</v>
      </c>
      <c r="P51" s="20" t="n">
        <v>0</v>
      </c>
      <c r="Q51" s="18" t="n">
        <v>3.93912265</v>
      </c>
      <c r="R51" s="20" t="n">
        <v>0.48955371</v>
      </c>
    </row>
    <row r="52" spans="1:18">
      <c r="A52" s="15" t="s">
        <v>611</v>
      </c>
      <c r="B52" s="17" t="n">
        <v>5571</v>
      </c>
      <c r="C52" s="18">
        <f>(4363.0/B52*100)</f>
        <v/>
      </c>
      <c r="D52" s="19" t="n">
        <v>1208</v>
      </c>
      <c r="E52" s="18" t="n">
        <v>72.26264308</v>
      </c>
      <c r="F52" s="20" t="n">
        <v>1.33460385</v>
      </c>
      <c r="G52" s="18" t="n">
        <v>25.43549204</v>
      </c>
      <c r="H52" s="20" t="n">
        <v>1.32128507</v>
      </c>
      <c r="I52" s="18" t="n">
        <v>0</v>
      </c>
      <c r="J52" s="20" t="n">
        <v>0</v>
      </c>
      <c r="K52" s="18" t="n">
        <v>0.57073071</v>
      </c>
      <c r="L52" s="20" t="n">
        <v>0.22314351</v>
      </c>
      <c r="M52" s="18" t="n">
        <v>0</v>
      </c>
      <c r="N52" s="20" t="n">
        <v>0</v>
      </c>
      <c r="O52" s="18" t="n">
        <v>0</v>
      </c>
      <c r="P52" s="20" t="n">
        <v>0</v>
      </c>
      <c r="Q52" s="18" t="n">
        <v>1.73113418</v>
      </c>
      <c r="R52" s="20" t="n">
        <v>0.4149505</v>
      </c>
    </row>
    <row r="53" spans="1:18">
      <c r="A53" s="15" t="s">
        <v>612</v>
      </c>
      <c r="B53" s="17" t="n">
        <v>4740</v>
      </c>
      <c r="C53" s="18">
        <f>(3698.0/B53*100)</f>
        <v/>
      </c>
      <c r="D53" s="19" t="n">
        <v>1042</v>
      </c>
      <c r="E53" s="18" t="n">
        <v>71.67419724</v>
      </c>
      <c r="F53" s="20" t="n">
        <v>1.63974641</v>
      </c>
      <c r="G53" s="18" t="n">
        <v>6.95847593</v>
      </c>
      <c r="H53" s="20" t="n">
        <v>0.8145068600000001</v>
      </c>
      <c r="I53" s="18" t="n">
        <v>0</v>
      </c>
      <c r="J53" s="20" t="n">
        <v>0</v>
      </c>
      <c r="K53" s="18" t="n">
        <v>12.93367233</v>
      </c>
      <c r="L53" s="20" t="n">
        <v>1.16285102</v>
      </c>
      <c r="M53" s="18" t="n">
        <v>0.70224464</v>
      </c>
      <c r="N53" s="20" t="n">
        <v>0.66912396</v>
      </c>
      <c r="O53" s="18" t="n">
        <v>0</v>
      </c>
      <c r="P53" s="20" t="n">
        <v>0</v>
      </c>
      <c r="Q53" s="18" t="n">
        <v>7.73140987</v>
      </c>
      <c r="R53" s="20" t="n">
        <v>0.8254648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(4149.0/B55*100)</f>
        <v/>
      </c>
      <c r="D55" s="19" t="n">
        <v>1210</v>
      </c>
      <c r="E55" s="18" t="n">
        <v>46.82304051</v>
      </c>
      <c r="F55" s="20" t="n">
        <v>1.56791996</v>
      </c>
      <c r="G55" s="18" t="n">
        <v>52.50050529</v>
      </c>
      <c r="H55" s="20" t="n">
        <v>1.55165201</v>
      </c>
      <c r="I55" s="18" t="n">
        <v>0</v>
      </c>
      <c r="J55" s="20" t="n">
        <v>0</v>
      </c>
      <c r="K55" s="18" t="n">
        <v>0.35597738</v>
      </c>
      <c r="L55" s="20" t="n">
        <v>0.20537071</v>
      </c>
      <c r="M55" s="18" t="n">
        <v>0</v>
      </c>
      <c r="N55" s="20" t="n">
        <v>0</v>
      </c>
      <c r="O55" s="18" t="n">
        <v>0</v>
      </c>
      <c r="P55" s="20" t="n">
        <v>0</v>
      </c>
      <c r="Q55" s="18" t="n">
        <v>0.32047682</v>
      </c>
      <c r="R55" s="20" t="n">
        <v>0.1885535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(5092.0/B61*100)</f>
        <v/>
      </c>
      <c r="D61" s="19" t="n">
        <v>1433</v>
      </c>
      <c r="E61" s="18" t="n">
        <v>78.32282701</v>
      </c>
      <c r="F61" s="20" t="n">
        <v>1.23662417</v>
      </c>
      <c r="G61" s="18" t="n">
        <v>20.17165455</v>
      </c>
      <c r="H61" s="20" t="n">
        <v>1.21056068</v>
      </c>
      <c r="I61" s="18" t="n">
        <v>0</v>
      </c>
      <c r="J61" s="20" t="n">
        <v>0</v>
      </c>
      <c r="K61" s="18" t="n">
        <v>0.10762941</v>
      </c>
      <c r="L61" s="20" t="n">
        <v>0.09460527000000001</v>
      </c>
      <c r="M61" s="18" t="n">
        <v>0</v>
      </c>
      <c r="N61" s="20" t="n">
        <v>0</v>
      </c>
      <c r="O61" s="18" t="n">
        <v>0</v>
      </c>
      <c r="P61" s="20" t="n">
        <v>0</v>
      </c>
      <c r="Q61" s="18" t="n">
        <v>1.39788903</v>
      </c>
      <c r="R61" s="20" t="n">
        <v>0.34900935</v>
      </c>
    </row>
    <row r="62" spans="1:18">
      <c r="A62" s="15" t="s">
        <v>622</v>
      </c>
      <c r="B62" s="17" t="n">
        <v>4476</v>
      </c>
      <c r="C62" s="18">
        <f>(3550.0/B62*100)</f>
        <v/>
      </c>
      <c r="D62" s="19" t="n">
        <v>926</v>
      </c>
      <c r="E62" s="18" t="n">
        <v>47.18175073</v>
      </c>
      <c r="F62" s="20" t="n">
        <v>1.60930067</v>
      </c>
      <c r="G62" s="18" t="n">
        <v>52.4931913</v>
      </c>
      <c r="H62" s="20" t="n">
        <v>1.63110412</v>
      </c>
      <c r="I62" s="18" t="n">
        <v>0</v>
      </c>
      <c r="J62" s="20" t="n">
        <v>0</v>
      </c>
      <c r="K62" s="18" t="n">
        <v>0</v>
      </c>
      <c r="L62" s="20" t="n">
        <v>0</v>
      </c>
      <c r="M62" s="18" t="n">
        <v>0.10726924</v>
      </c>
      <c r="N62" s="20" t="n">
        <v>0.1074829</v>
      </c>
      <c r="O62" s="18" t="n">
        <v>0</v>
      </c>
      <c r="P62" s="20" t="n">
        <v>0</v>
      </c>
      <c r="Q62" s="18" t="n">
        <v>0.21778873</v>
      </c>
      <c r="R62" s="20" t="n">
        <v>0.15209961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(4474.0/B67*100)</f>
        <v/>
      </c>
      <c r="D67" s="19" t="n">
        <v>1191</v>
      </c>
      <c r="E67" s="18" t="n">
        <v>75.12485889</v>
      </c>
      <c r="F67" s="20" t="n">
        <v>1.30860838</v>
      </c>
      <c r="G67" s="18" t="n">
        <v>15.47349075</v>
      </c>
      <c r="H67" s="20" t="n">
        <v>1.20968048</v>
      </c>
      <c r="I67" s="18" t="n">
        <v>0</v>
      </c>
      <c r="J67" s="20" t="n">
        <v>0</v>
      </c>
      <c r="K67" s="18" t="n">
        <v>0.99450505</v>
      </c>
      <c r="L67" s="20" t="n">
        <v>0.28971857</v>
      </c>
      <c r="M67" s="18" t="n">
        <v>0.23694006</v>
      </c>
      <c r="N67" s="20" t="n">
        <v>0.13685256</v>
      </c>
      <c r="O67" s="18" t="n">
        <v>0</v>
      </c>
      <c r="P67" s="20" t="n">
        <v>0</v>
      </c>
      <c r="Q67" s="18" t="n">
        <v>8.17020524</v>
      </c>
      <c r="R67" s="20" t="n">
        <v>0.79342322</v>
      </c>
    </row>
    <row r="68" spans="1:18">
      <c r="A68" s="15" t="s">
        <v>628</v>
      </c>
      <c r="B68" s="17" t="n">
        <v>6971</v>
      </c>
      <c r="C68" s="18">
        <f>(5708.0/B68*100)</f>
        <v/>
      </c>
      <c r="D68" s="19" t="n">
        <v>1263</v>
      </c>
      <c r="E68" s="18" t="n">
        <v>80.37273862000001</v>
      </c>
      <c r="F68" s="20" t="n">
        <v>1.18616461</v>
      </c>
      <c r="G68" s="18" t="n">
        <v>15.96840303</v>
      </c>
      <c r="H68" s="20" t="n">
        <v>1.08412675</v>
      </c>
      <c r="I68" s="18" t="n">
        <v>0</v>
      </c>
      <c r="J68" s="20" t="n">
        <v>0</v>
      </c>
      <c r="K68" s="18" t="n">
        <v>0.48976594</v>
      </c>
      <c r="L68" s="20" t="n">
        <v>0.25023664</v>
      </c>
      <c r="M68" s="18" t="n">
        <v>0.4808817</v>
      </c>
      <c r="N68" s="20" t="n">
        <v>0.24136235</v>
      </c>
      <c r="O68" s="18" t="n">
        <v>0</v>
      </c>
      <c r="P68" s="20" t="n">
        <v>0</v>
      </c>
      <c r="Q68" s="18" t="n">
        <v>2.68821072</v>
      </c>
      <c r="R68" s="20" t="n">
        <v>0.50646698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(9440.0/B70*100)</f>
        <v/>
      </c>
      <c r="D70" s="19" t="n">
        <v>2643</v>
      </c>
      <c r="E70" s="18" t="n">
        <v>72.31274435</v>
      </c>
      <c r="F70" s="20" t="n">
        <v>0.84192316</v>
      </c>
      <c r="G70" s="18" t="n">
        <v>20.97358019</v>
      </c>
      <c r="H70" s="20" t="n">
        <v>0.79311205</v>
      </c>
      <c r="I70" s="18" t="n">
        <v>0</v>
      </c>
      <c r="J70" s="20" t="n">
        <v>0</v>
      </c>
      <c r="K70" s="18" t="n">
        <v>3.04426105</v>
      </c>
      <c r="L70" s="20" t="n">
        <v>0.37629154</v>
      </c>
      <c r="M70" s="18" t="n">
        <v>0.03879275</v>
      </c>
      <c r="N70" s="20" t="n">
        <v>0.03831465</v>
      </c>
      <c r="O70" s="18" t="n">
        <v>0</v>
      </c>
      <c r="P70" s="20" t="n">
        <v>0</v>
      </c>
      <c r="Q70" s="18" t="n">
        <v>3.63062166</v>
      </c>
      <c r="R70" s="20" t="n">
        <v>0.35074023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(4821.0/B72*100)</f>
        <v/>
      </c>
      <c r="D72" s="19" t="n">
        <v>1215</v>
      </c>
      <c r="E72" s="18" t="n">
        <v>75.41992418</v>
      </c>
      <c r="F72" s="20" t="n">
        <v>1.22562213</v>
      </c>
      <c r="G72" s="18" t="n">
        <v>22.49919205</v>
      </c>
      <c r="H72" s="20" t="n">
        <v>1.25743815</v>
      </c>
      <c r="I72" s="18" t="n">
        <v>0</v>
      </c>
      <c r="J72" s="20" t="n">
        <v>0</v>
      </c>
      <c r="K72" s="18" t="n">
        <v>0.19696569</v>
      </c>
      <c r="L72" s="20" t="n">
        <v>0.12690265</v>
      </c>
      <c r="M72" s="18" t="n">
        <v>0.09161668000000001</v>
      </c>
      <c r="N72" s="20" t="n">
        <v>0.06638764</v>
      </c>
      <c r="O72" s="18" t="n">
        <v>0</v>
      </c>
      <c r="P72" s="20" t="n">
        <v>0</v>
      </c>
      <c r="Q72" s="18" t="n">
        <v>1.7923014</v>
      </c>
      <c r="R72" s="20" t="n">
        <v>0.51493131</v>
      </c>
    </row>
    <row r="73" spans="1:18">
      <c r="A73" s="15" t="s">
        <v>633</v>
      </c>
      <c r="B73" s="17" t="n">
        <v>6115</v>
      </c>
      <c r="C73" s="18">
        <f>(4779.0/B73*100)</f>
        <v/>
      </c>
      <c r="D73" s="19" t="n">
        <v>1336</v>
      </c>
      <c r="E73" s="18" t="n">
        <v>39.17942789</v>
      </c>
      <c r="F73" s="20" t="n">
        <v>1.59273287</v>
      </c>
      <c r="G73" s="18" t="n">
        <v>59.74726325</v>
      </c>
      <c r="H73" s="20" t="n">
        <v>1.60478842</v>
      </c>
      <c r="I73" s="18" t="n">
        <v>0</v>
      </c>
      <c r="J73" s="20" t="n">
        <v>0</v>
      </c>
      <c r="K73" s="18" t="n">
        <v>0.27426732</v>
      </c>
      <c r="L73" s="20" t="n">
        <v>0.14369503</v>
      </c>
      <c r="M73" s="18" t="n">
        <v>0.04537169</v>
      </c>
      <c r="N73" s="20" t="n">
        <v>0.04548363</v>
      </c>
      <c r="O73" s="18" t="n">
        <v>0</v>
      </c>
      <c r="P73" s="20" t="n">
        <v>0</v>
      </c>
      <c r="Q73" s="18" t="n">
        <v>0.75366984</v>
      </c>
      <c r="R73" s="20" t="n">
        <v>0.22245323</v>
      </c>
    </row>
    <row r="74" spans="1:18">
      <c r="A74" s="15" t="s">
        <v>634</v>
      </c>
      <c r="B74" s="17" t="n">
        <v>7708</v>
      </c>
      <c r="C74" s="18">
        <f>(5944.0/B74*100)</f>
        <v/>
      </c>
      <c r="D74" s="19" t="n">
        <v>1764</v>
      </c>
      <c r="E74" s="18" t="n">
        <v>54.95849488</v>
      </c>
      <c r="F74" s="20" t="n">
        <v>1.41941218</v>
      </c>
      <c r="G74" s="18" t="n">
        <v>44.08538113</v>
      </c>
      <c r="H74" s="20" t="n">
        <v>1.44327549</v>
      </c>
      <c r="I74" s="18" t="n">
        <v>0</v>
      </c>
      <c r="J74" s="20" t="n">
        <v>0</v>
      </c>
      <c r="K74" s="18" t="n">
        <v>0.24720011</v>
      </c>
      <c r="L74" s="20" t="n">
        <v>0.14493186</v>
      </c>
      <c r="M74" s="18" t="n">
        <v>0.04597542</v>
      </c>
      <c r="N74" s="20" t="n">
        <v>0.04606585</v>
      </c>
      <c r="O74" s="18" t="n">
        <v>0</v>
      </c>
      <c r="P74" s="20" t="n">
        <v>0</v>
      </c>
      <c r="Q74" s="18" t="n">
        <v>0.66294846</v>
      </c>
      <c r="R74" s="20" t="n">
        <v>0.23711053</v>
      </c>
    </row>
    <row r="75" spans="1:18">
      <c r="A75" s="15" t="s">
        <v>635</v>
      </c>
      <c r="B75" s="17" t="n">
        <v>8249</v>
      </c>
      <c r="C75" s="18">
        <f>(6475.0/B75*100)</f>
        <v/>
      </c>
      <c r="D75" s="19" t="n">
        <v>1774</v>
      </c>
      <c r="E75" s="18" t="n">
        <v>88.13354651</v>
      </c>
      <c r="F75" s="20" t="n">
        <v>1.01891521</v>
      </c>
      <c r="G75" s="18" t="n">
        <v>11.15301859</v>
      </c>
      <c r="H75" s="20" t="n">
        <v>0.9971392</v>
      </c>
      <c r="I75" s="18" t="n">
        <v>0</v>
      </c>
      <c r="J75" s="20" t="n">
        <v>0</v>
      </c>
      <c r="K75" s="18" t="n">
        <v>0.07976567</v>
      </c>
      <c r="L75" s="20" t="n">
        <v>0.07878465</v>
      </c>
      <c r="M75" s="18" t="n">
        <v>0.24915966</v>
      </c>
      <c r="N75" s="20" t="n">
        <v>0.15226215</v>
      </c>
      <c r="O75" s="18" t="n">
        <v>0</v>
      </c>
      <c r="P75" s="20" t="n">
        <v>0</v>
      </c>
      <c r="Q75" s="18" t="n">
        <v>0.38450958</v>
      </c>
      <c r="R75" s="20" t="n">
        <v>0.14412574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(4301.0/B77*100)</f>
        <v/>
      </c>
      <c r="D77" s="19" t="n">
        <v>1074</v>
      </c>
      <c r="E77" s="18" t="n">
        <v>86.05386688999999</v>
      </c>
      <c r="F77" s="20" t="n">
        <v>1.22547</v>
      </c>
      <c r="G77" s="18" t="n">
        <v>4.09856759</v>
      </c>
      <c r="H77" s="20" t="n">
        <v>0.52647655</v>
      </c>
      <c r="I77" s="18" t="n">
        <v>0</v>
      </c>
      <c r="J77" s="20" t="n">
        <v>0</v>
      </c>
      <c r="K77" s="18" t="n">
        <v>3.75727229</v>
      </c>
      <c r="L77" s="20" t="n">
        <v>0.75828101</v>
      </c>
      <c r="M77" s="18" t="n">
        <v>0.70670282</v>
      </c>
      <c r="N77" s="20" t="n">
        <v>0.23519194</v>
      </c>
      <c r="O77" s="18" t="n">
        <v>0</v>
      </c>
      <c r="P77" s="20" t="n">
        <v>0</v>
      </c>
      <c r="Q77" s="18" t="n">
        <v>5.3835904</v>
      </c>
      <c r="R77" s="20" t="n">
        <v>0.93540425</v>
      </c>
    </row>
    <row r="78" spans="1:18">
      <c r="A78" s="15" t="s">
        <v>638</v>
      </c>
      <c r="B78" s="17" t="n">
        <v>14167</v>
      </c>
      <c r="C78" s="18">
        <f>(11085.0/B78*100)</f>
        <v/>
      </c>
      <c r="D78" s="19" t="n">
        <v>3082</v>
      </c>
      <c r="E78" s="18" t="n">
        <v>70.70274113000001</v>
      </c>
      <c r="F78" s="20" t="n">
        <v>0.98117397</v>
      </c>
      <c r="G78" s="18" t="n">
        <v>26.29120332</v>
      </c>
      <c r="H78" s="20" t="n">
        <v>0.93295393</v>
      </c>
      <c r="I78" s="18" t="n">
        <v>0</v>
      </c>
      <c r="J78" s="20" t="n">
        <v>0</v>
      </c>
      <c r="K78" s="18" t="n">
        <v>0.79413667</v>
      </c>
      <c r="L78" s="20" t="n">
        <v>0.20983081</v>
      </c>
      <c r="M78" s="18" t="n">
        <v>0.17155273</v>
      </c>
      <c r="N78" s="20" t="n">
        <v>0.08881196</v>
      </c>
      <c r="O78" s="18" t="n">
        <v>0</v>
      </c>
      <c r="P78" s="20" t="n">
        <v>0</v>
      </c>
      <c r="Q78" s="18" t="n">
        <v>2.04036615</v>
      </c>
      <c r="R78" s="20" t="n">
        <v>0.33028161</v>
      </c>
    </row>
    <row r="79" spans="1:18">
      <c r="A79" s="15" t="s">
        <v>639</v>
      </c>
      <c r="B79" s="17" t="n">
        <v>6062</v>
      </c>
      <c r="C79" s="18">
        <f>(4809.0/B79*100)</f>
        <v/>
      </c>
      <c r="D79" s="19" t="n">
        <v>1253</v>
      </c>
      <c r="E79" s="18" t="n">
        <v>71.15574345</v>
      </c>
      <c r="F79" s="20" t="n">
        <v>1.39934965</v>
      </c>
      <c r="G79" s="18" t="n">
        <v>18.99142973</v>
      </c>
      <c r="H79" s="20" t="n">
        <v>1.15774336</v>
      </c>
      <c r="I79" s="18" t="n">
        <v>0</v>
      </c>
      <c r="J79" s="20" t="n">
        <v>0</v>
      </c>
      <c r="K79" s="18" t="n">
        <v>2.13438621</v>
      </c>
      <c r="L79" s="20" t="n">
        <v>0.40400163</v>
      </c>
      <c r="M79" s="18" t="n">
        <v>0.06357392000000001</v>
      </c>
      <c r="N79" s="20" t="n">
        <v>0.063958</v>
      </c>
      <c r="O79" s="18" t="n">
        <v>0</v>
      </c>
      <c r="P79" s="20" t="n">
        <v>0</v>
      </c>
      <c r="Q79" s="18" t="n">
        <v>7.6548667</v>
      </c>
      <c r="R79" s="20" t="n">
        <v>0.75176786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(25369.0/B82*100)</f>
        <v/>
      </c>
      <c r="D82" s="19" t="n">
        <v>6961</v>
      </c>
      <c r="E82" s="18" t="n">
        <v>67.03966115999999</v>
      </c>
      <c r="F82" s="20" t="n">
        <v>0.9419827200000001</v>
      </c>
      <c r="G82" s="18" t="n">
        <v>29.44755525</v>
      </c>
      <c r="H82" s="20" t="n">
        <v>0.90653248</v>
      </c>
      <c r="I82" s="18" t="n">
        <v>0</v>
      </c>
      <c r="J82" s="20" t="n">
        <v>0</v>
      </c>
      <c r="K82" s="18" t="n">
        <v>0.65009675</v>
      </c>
      <c r="L82" s="20" t="n">
        <v>0.17675125</v>
      </c>
      <c r="M82" s="18" t="n">
        <v>0.04782945</v>
      </c>
      <c r="N82" s="20" t="n">
        <v>0.04788649</v>
      </c>
      <c r="O82" s="18" t="n">
        <v>0</v>
      </c>
      <c r="P82" s="20" t="n">
        <v>0</v>
      </c>
      <c r="Q82" s="18" t="n">
        <v>2.81485739</v>
      </c>
      <c r="R82" s="20" t="n">
        <v>0.25612761</v>
      </c>
    </row>
    <row r="83" spans="1:18">
      <c r="A83" s="15" t="s">
        <v>643</v>
      </c>
      <c r="B83" s="17" t="n">
        <v>1652</v>
      </c>
      <c r="C83" s="18">
        <f>(1290.0/B83*100)</f>
        <v/>
      </c>
      <c r="D83" s="19" t="n">
        <v>362</v>
      </c>
      <c r="E83" s="18" t="n">
        <v>54.42820261</v>
      </c>
      <c r="F83" s="20" t="n">
        <v>2.5106924</v>
      </c>
      <c r="G83" s="18" t="n">
        <v>44.8109342</v>
      </c>
      <c r="H83" s="20" t="n">
        <v>2.60854886</v>
      </c>
      <c r="I83" s="18" t="n">
        <v>0</v>
      </c>
      <c r="J83" s="20" t="n">
        <v>0</v>
      </c>
      <c r="K83" s="18" t="n">
        <v>0.21880984</v>
      </c>
      <c r="L83" s="20" t="n">
        <v>0.21747868</v>
      </c>
      <c r="M83" s="18" t="n">
        <v>0</v>
      </c>
      <c r="N83" s="20" t="n">
        <v>0</v>
      </c>
      <c r="O83" s="18" t="n">
        <v>0</v>
      </c>
      <c r="P83" s="20" t="n">
        <v>0</v>
      </c>
      <c r="Q83" s="18" t="n">
        <v>0.54205335</v>
      </c>
      <c r="R83" s="20" t="n">
        <v>0.38890258</v>
      </c>
    </row>
    <row r="84" spans="1:18">
      <c r="A84" s="23" t="s">
        <v>644</v>
      </c>
      <c r="B84" s="24" t="n">
        <v>1887</v>
      </c>
      <c r="C84" s="25">
        <f>(1489.0/B84*100)</f>
        <v/>
      </c>
      <c r="D84" s="19" t="n">
        <v>398</v>
      </c>
      <c r="E84" s="18" t="n">
        <v>66.05104711</v>
      </c>
      <c r="F84" s="20" t="n">
        <v>2.43957518</v>
      </c>
      <c r="G84" s="18" t="n">
        <v>32.62334322</v>
      </c>
      <c r="H84" s="20" t="n">
        <v>2.61276921</v>
      </c>
      <c r="I84" s="18" t="n">
        <v>0</v>
      </c>
      <c r="J84" s="20" t="n">
        <v>0</v>
      </c>
      <c r="K84" s="18" t="n">
        <v>0</v>
      </c>
      <c r="L84" s="20" t="n">
        <v>0</v>
      </c>
      <c r="M84" s="18" t="n">
        <v>0</v>
      </c>
      <c r="N84" s="20" t="n">
        <v>0</v>
      </c>
      <c r="O84" s="18" t="n">
        <v>0</v>
      </c>
      <c r="P84" s="20" t="n">
        <v>0</v>
      </c>
      <c r="Q84" s="18" t="n">
        <v>1.32560967</v>
      </c>
      <c r="R84" s="20" t="n">
        <v>0.61498873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759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(11428.0/B7*100)</f>
        <v/>
      </c>
      <c r="D7" s="19" t="n">
        <v>3102</v>
      </c>
      <c r="E7" s="18" t="n">
        <v>26.24724923</v>
      </c>
      <c r="F7" s="20" t="n">
        <v>0.98960664</v>
      </c>
      <c r="G7" s="18" t="n">
        <v>72.21465984</v>
      </c>
      <c r="H7" s="20" t="n">
        <v>0.99000535</v>
      </c>
      <c r="I7" s="18" t="n">
        <v>0</v>
      </c>
      <c r="J7" s="20" t="n">
        <v>0</v>
      </c>
      <c r="K7" s="18" t="n">
        <v>0.58812753</v>
      </c>
      <c r="L7" s="20" t="n">
        <v>0.16017932</v>
      </c>
      <c r="M7" s="18" t="n">
        <v>0</v>
      </c>
      <c r="N7" s="20" t="n">
        <v>0</v>
      </c>
      <c r="O7" s="18" t="n">
        <v>0</v>
      </c>
      <c r="P7" s="20" t="n">
        <v>0</v>
      </c>
      <c r="Q7" s="18" t="n">
        <v>0.9499634</v>
      </c>
      <c r="R7" s="20" t="n">
        <v>0.19062056</v>
      </c>
    </row>
    <row r="8" spans="1:18">
      <c r="A8" s="15" t="s">
        <v>566</v>
      </c>
      <c r="B8" s="17" t="n">
        <v>7007</v>
      </c>
      <c r="C8" s="18">
        <f>(5456.0/B8*100)</f>
        <v/>
      </c>
      <c r="D8" s="19" t="n">
        <v>1551</v>
      </c>
      <c r="E8" s="18" t="n">
        <v>34.45980141</v>
      </c>
      <c r="F8" s="20" t="n">
        <v>1.29022388</v>
      </c>
      <c r="G8" s="18" t="n">
        <v>63.8700514</v>
      </c>
      <c r="H8" s="20" t="n">
        <v>1.35107371</v>
      </c>
      <c r="I8" s="18" t="n">
        <v>0</v>
      </c>
      <c r="J8" s="20" t="n">
        <v>0</v>
      </c>
      <c r="K8" s="18" t="n">
        <v>0.54374856</v>
      </c>
      <c r="L8" s="20" t="n">
        <v>0.21576007</v>
      </c>
      <c r="M8" s="18" t="n">
        <v>0</v>
      </c>
      <c r="N8" s="20" t="n">
        <v>0</v>
      </c>
      <c r="O8" s="18" t="n">
        <v>0</v>
      </c>
      <c r="P8" s="20" t="n">
        <v>0</v>
      </c>
      <c r="Q8" s="18" t="n">
        <v>1.12639863</v>
      </c>
      <c r="R8" s="20" t="n">
        <v>0.33071534</v>
      </c>
    </row>
    <row r="9" spans="1:18">
      <c r="A9" s="15" t="s">
        <v>567</v>
      </c>
      <c r="B9" s="17" t="n">
        <v>9651</v>
      </c>
      <c r="C9" s="18">
        <f>(7612.0/B9*100)</f>
        <v/>
      </c>
      <c r="D9" s="19" t="n">
        <v>2039</v>
      </c>
      <c r="E9" s="18" t="n">
        <v>40.39872067</v>
      </c>
      <c r="F9" s="20" t="n">
        <v>1.19901591</v>
      </c>
      <c r="G9" s="18" t="n">
        <v>57.59522978</v>
      </c>
      <c r="H9" s="20" t="n">
        <v>1.24280356</v>
      </c>
      <c r="I9" s="18" t="n">
        <v>0</v>
      </c>
      <c r="J9" s="20" t="n">
        <v>0</v>
      </c>
      <c r="K9" s="18" t="n">
        <v>0.82201814</v>
      </c>
      <c r="L9" s="20" t="n">
        <v>0.18484807</v>
      </c>
      <c r="M9" s="18" t="n">
        <v>0</v>
      </c>
      <c r="N9" s="20" t="n">
        <v>0</v>
      </c>
      <c r="O9" s="18" t="n">
        <v>0</v>
      </c>
      <c r="P9" s="20" t="n">
        <v>0</v>
      </c>
      <c r="Q9" s="18" t="n">
        <v>1.18403142</v>
      </c>
      <c r="R9" s="20" t="n">
        <v>0.25354582</v>
      </c>
    </row>
    <row r="10" spans="1:18">
      <c r="A10" s="15" t="s">
        <v>568</v>
      </c>
      <c r="B10" s="17" t="n">
        <v>20058</v>
      </c>
      <c r="C10" s="18">
        <f>(15735.0/B10*100)</f>
        <v/>
      </c>
      <c r="D10" s="19" t="n">
        <v>4323</v>
      </c>
      <c r="E10" s="18" t="n">
        <v>24.42561276</v>
      </c>
      <c r="F10" s="20" t="n">
        <v>1.0027634</v>
      </c>
      <c r="G10" s="18" t="n">
        <v>74.36564925</v>
      </c>
      <c r="H10" s="20" t="n">
        <v>1.03534998</v>
      </c>
      <c r="I10" s="18" t="n">
        <v>0</v>
      </c>
      <c r="J10" s="20" t="n">
        <v>0</v>
      </c>
      <c r="K10" s="18" t="n">
        <v>0.58866072</v>
      </c>
      <c r="L10" s="20" t="n">
        <v>0.1528079</v>
      </c>
      <c r="M10" s="18" t="n">
        <v>0</v>
      </c>
      <c r="N10" s="20" t="n">
        <v>0</v>
      </c>
      <c r="O10" s="18" t="n">
        <v>0</v>
      </c>
      <c r="P10" s="20" t="n">
        <v>0</v>
      </c>
      <c r="Q10" s="18" t="n">
        <v>0.62007726</v>
      </c>
      <c r="R10" s="20" t="n">
        <v>0.14980937</v>
      </c>
    </row>
    <row r="11" spans="1:18">
      <c r="A11" s="15" t="s">
        <v>569</v>
      </c>
      <c r="B11" s="17" t="n">
        <v>7053</v>
      </c>
      <c r="C11" s="18">
        <f>(5606.0/B11*100)</f>
        <v/>
      </c>
      <c r="D11" s="19" t="n">
        <v>1447</v>
      </c>
      <c r="E11" s="18" t="n">
        <v>24.51078908</v>
      </c>
      <c r="F11" s="20" t="n">
        <v>1.510047</v>
      </c>
      <c r="G11" s="18" t="n">
        <v>72.62710118</v>
      </c>
      <c r="H11" s="20" t="n">
        <v>1.43730527</v>
      </c>
      <c r="I11" s="18" t="n">
        <v>0</v>
      </c>
      <c r="J11" s="20" t="n">
        <v>0</v>
      </c>
      <c r="K11" s="18" t="n">
        <v>1.76483361</v>
      </c>
      <c r="L11" s="20" t="n">
        <v>0.38958898</v>
      </c>
      <c r="M11" s="18" t="n">
        <v>0</v>
      </c>
      <c r="N11" s="20" t="n">
        <v>0</v>
      </c>
      <c r="O11" s="18" t="n">
        <v>0</v>
      </c>
      <c r="P11" s="20" t="n">
        <v>0</v>
      </c>
      <c r="Q11" s="18" t="n">
        <v>1.09727614</v>
      </c>
      <c r="R11" s="20" t="n">
        <v>0.30553959</v>
      </c>
    </row>
    <row r="12" spans="1:18">
      <c r="A12" s="15" t="s">
        <v>570</v>
      </c>
      <c r="B12" s="17" t="n">
        <v>6894</v>
      </c>
      <c r="C12" s="18">
        <f>(5433.0/B12*100)</f>
        <v/>
      </c>
      <c r="D12" s="19" t="n">
        <v>1461</v>
      </c>
      <c r="E12" s="18" t="n">
        <v>29.6362084</v>
      </c>
      <c r="F12" s="20" t="n">
        <v>1.392753</v>
      </c>
      <c r="G12" s="18" t="n">
        <v>69.28882736</v>
      </c>
      <c r="H12" s="20" t="n">
        <v>1.42275717</v>
      </c>
      <c r="I12" s="18" t="n">
        <v>0</v>
      </c>
      <c r="J12" s="20" t="n">
        <v>0</v>
      </c>
      <c r="K12" s="18" t="n">
        <v>0.41110949</v>
      </c>
      <c r="L12" s="20" t="n">
        <v>0.15116956</v>
      </c>
      <c r="M12" s="18" t="n">
        <v>0</v>
      </c>
      <c r="N12" s="20" t="n">
        <v>0</v>
      </c>
      <c r="O12" s="18" t="n">
        <v>0</v>
      </c>
      <c r="P12" s="20" t="n">
        <v>0</v>
      </c>
      <c r="Q12" s="18" t="n">
        <v>0.66385475</v>
      </c>
      <c r="R12" s="20" t="n">
        <v>0.2405963</v>
      </c>
    </row>
    <row r="13" spans="1:18">
      <c r="A13" s="15" t="s">
        <v>571</v>
      </c>
      <c r="B13" s="17" t="n">
        <v>7161</v>
      </c>
      <c r="C13" s="18">
        <f>(5722.0/B13*100)</f>
        <v/>
      </c>
      <c r="D13" s="19" t="n">
        <v>1439</v>
      </c>
      <c r="E13" s="18" t="n">
        <v>42.52907295</v>
      </c>
      <c r="F13" s="20" t="n">
        <v>1.53152048</v>
      </c>
      <c r="G13" s="18" t="n">
        <v>55.38611289</v>
      </c>
      <c r="H13" s="20" t="n">
        <v>1.5490618</v>
      </c>
      <c r="I13" s="18" t="n">
        <v>0</v>
      </c>
      <c r="J13" s="20" t="n">
        <v>0</v>
      </c>
      <c r="K13" s="18" t="n">
        <v>0.97115578</v>
      </c>
      <c r="L13" s="20" t="n">
        <v>0.31898573</v>
      </c>
      <c r="M13" s="18" t="n">
        <v>0</v>
      </c>
      <c r="N13" s="20" t="n">
        <v>0</v>
      </c>
      <c r="O13" s="18" t="n">
        <v>0</v>
      </c>
      <c r="P13" s="20" t="n">
        <v>0</v>
      </c>
      <c r="Q13" s="18" t="n">
        <v>1.11365839</v>
      </c>
      <c r="R13" s="20" t="n">
        <v>0.30111203</v>
      </c>
    </row>
    <row r="14" spans="1:18">
      <c r="A14" s="15" t="s">
        <v>572</v>
      </c>
      <c r="B14" s="17" t="n">
        <v>5587</v>
      </c>
      <c r="C14" s="18">
        <f>(4403.0/B14*100)</f>
        <v/>
      </c>
      <c r="D14" s="19" t="n">
        <v>1184</v>
      </c>
      <c r="E14" s="18" t="n">
        <v>27.20282369</v>
      </c>
      <c r="F14" s="20" t="n">
        <v>1.40842284</v>
      </c>
      <c r="G14" s="18" t="n">
        <v>72.14774156999999</v>
      </c>
      <c r="H14" s="20" t="n">
        <v>1.41920905</v>
      </c>
      <c r="I14" s="18" t="n">
        <v>0</v>
      </c>
      <c r="J14" s="20" t="n">
        <v>0</v>
      </c>
      <c r="K14" s="18" t="n">
        <v>0.13698354</v>
      </c>
      <c r="L14" s="20" t="n">
        <v>0.09460192000000001</v>
      </c>
      <c r="M14" s="18" t="n">
        <v>0</v>
      </c>
      <c r="N14" s="20" t="n">
        <v>0</v>
      </c>
      <c r="O14" s="18" t="n">
        <v>0</v>
      </c>
      <c r="P14" s="20" t="n">
        <v>0</v>
      </c>
      <c r="Q14" s="18" t="n">
        <v>0.5124512</v>
      </c>
      <c r="R14" s="20" t="n">
        <v>0.20196004</v>
      </c>
    </row>
    <row r="15" spans="1:18">
      <c r="A15" s="15" t="s">
        <v>573</v>
      </c>
      <c r="B15" s="17" t="n">
        <v>5882</v>
      </c>
      <c r="C15" s="18">
        <f>(4570.0/B15*100)</f>
        <v/>
      </c>
      <c r="D15" s="19" t="n">
        <v>1312</v>
      </c>
      <c r="E15" s="18" t="n">
        <v>22.43464621</v>
      </c>
      <c r="F15" s="20" t="n">
        <v>1.11001704</v>
      </c>
      <c r="G15" s="18" t="n">
        <v>76.71820442000001</v>
      </c>
      <c r="H15" s="20" t="n">
        <v>1.10987938</v>
      </c>
      <c r="I15" s="18" t="n">
        <v>0</v>
      </c>
      <c r="J15" s="20" t="n">
        <v>0</v>
      </c>
      <c r="K15" s="18" t="n">
        <v>0.23173334</v>
      </c>
      <c r="L15" s="20" t="n">
        <v>0.14302332</v>
      </c>
      <c r="M15" s="18" t="n">
        <v>0</v>
      </c>
      <c r="N15" s="20" t="n">
        <v>0</v>
      </c>
      <c r="O15" s="18" t="n">
        <v>0</v>
      </c>
      <c r="P15" s="20" t="n">
        <v>0</v>
      </c>
      <c r="Q15" s="18" t="n">
        <v>0.6154160400000001</v>
      </c>
      <c r="R15" s="20" t="n">
        <v>0.20811343</v>
      </c>
    </row>
    <row r="16" spans="1:18">
      <c r="A16" s="15" t="s">
        <v>574</v>
      </c>
      <c r="B16" s="17" t="n">
        <v>6108</v>
      </c>
      <c r="C16" s="18">
        <f>(4758.0/B16*100)</f>
        <v/>
      </c>
      <c r="D16" s="19" t="n">
        <v>1350</v>
      </c>
      <c r="E16" s="18" t="n">
        <v>44.30924609</v>
      </c>
      <c r="F16" s="20" t="n">
        <v>1.39421238</v>
      </c>
      <c r="G16" s="18" t="n">
        <v>53.08747607</v>
      </c>
      <c r="H16" s="20" t="n">
        <v>1.46252836</v>
      </c>
      <c r="I16" s="18" t="n">
        <v>0</v>
      </c>
      <c r="J16" s="20" t="n">
        <v>0</v>
      </c>
      <c r="K16" s="18" t="n">
        <v>0.96789152</v>
      </c>
      <c r="L16" s="20" t="n">
        <v>0.2327042</v>
      </c>
      <c r="M16" s="18" t="n">
        <v>0</v>
      </c>
      <c r="N16" s="20" t="n">
        <v>0</v>
      </c>
      <c r="O16" s="18" t="n">
        <v>0</v>
      </c>
      <c r="P16" s="20" t="n">
        <v>0</v>
      </c>
      <c r="Q16" s="18" t="n">
        <v>1.63538632</v>
      </c>
      <c r="R16" s="20" t="n">
        <v>0.39414962</v>
      </c>
    </row>
    <row r="17" spans="1:18">
      <c r="A17" s="15" t="s">
        <v>575</v>
      </c>
      <c r="B17" s="17" t="n">
        <v>6504</v>
      </c>
      <c r="C17" s="18">
        <f>(5172.0/B17*100)</f>
        <v/>
      </c>
      <c r="D17" s="19" t="n">
        <v>1332</v>
      </c>
      <c r="E17" s="18" t="n">
        <v>33.66928899</v>
      </c>
      <c r="F17" s="20" t="n">
        <v>1.21177637</v>
      </c>
      <c r="G17" s="18" t="n">
        <v>64.81054732</v>
      </c>
      <c r="H17" s="20" t="n">
        <v>1.28664657</v>
      </c>
      <c r="I17" s="18" t="n">
        <v>0</v>
      </c>
      <c r="J17" s="20" t="n">
        <v>0</v>
      </c>
      <c r="K17" s="18" t="n">
        <v>0.5107516600000001</v>
      </c>
      <c r="L17" s="20" t="n">
        <v>0.19824773</v>
      </c>
      <c r="M17" s="18" t="n">
        <v>0</v>
      </c>
      <c r="N17" s="20" t="n">
        <v>0</v>
      </c>
      <c r="O17" s="18" t="n">
        <v>0</v>
      </c>
      <c r="P17" s="20" t="n">
        <v>0</v>
      </c>
      <c r="Q17" s="18" t="n">
        <v>1.00941204</v>
      </c>
      <c r="R17" s="20" t="n">
        <v>0.24731689</v>
      </c>
    </row>
    <row r="18" spans="1:18">
      <c r="A18" s="15" t="s">
        <v>576</v>
      </c>
      <c r="B18" s="17" t="n">
        <v>5532</v>
      </c>
      <c r="C18" s="18">
        <f>(4319.0/B18*100)</f>
        <v/>
      </c>
      <c r="D18" s="19" t="n">
        <v>1213</v>
      </c>
      <c r="E18" s="18" t="n">
        <v>46.20554949</v>
      </c>
      <c r="F18" s="20" t="n">
        <v>1.70457781</v>
      </c>
      <c r="G18" s="18" t="n">
        <v>51.20710285</v>
      </c>
      <c r="H18" s="20" t="n">
        <v>1.6193562</v>
      </c>
      <c r="I18" s="18" t="n">
        <v>0</v>
      </c>
      <c r="J18" s="20" t="n">
        <v>0</v>
      </c>
      <c r="K18" s="18" t="n">
        <v>1.08978888</v>
      </c>
      <c r="L18" s="20" t="n">
        <v>0.40543965</v>
      </c>
      <c r="M18" s="18" t="n">
        <v>0</v>
      </c>
      <c r="N18" s="20" t="n">
        <v>0</v>
      </c>
      <c r="O18" s="18" t="n">
        <v>0</v>
      </c>
      <c r="P18" s="20" t="n">
        <v>0</v>
      </c>
      <c r="Q18" s="18" t="n">
        <v>1.49755878</v>
      </c>
      <c r="R18" s="20" t="n">
        <v>0.38199303</v>
      </c>
    </row>
    <row r="19" spans="1:18">
      <c r="A19" s="15" t="s">
        <v>577</v>
      </c>
      <c r="B19" s="17" t="n">
        <v>5658</v>
      </c>
      <c r="C19" s="18">
        <f>(4483.0/B19*100)</f>
        <v/>
      </c>
      <c r="D19" s="19" t="n">
        <v>1175</v>
      </c>
      <c r="E19" s="18" t="n">
        <v>37.3341202</v>
      </c>
      <c r="F19" s="20" t="n">
        <v>1.38808715</v>
      </c>
      <c r="G19" s="18" t="n">
        <v>62.03883709</v>
      </c>
      <c r="H19" s="20" t="n">
        <v>1.4237861</v>
      </c>
      <c r="I19" s="18" t="n">
        <v>0</v>
      </c>
      <c r="J19" s="20" t="n">
        <v>0</v>
      </c>
      <c r="K19" s="18" t="n">
        <v>0.07436421</v>
      </c>
      <c r="L19" s="20" t="n">
        <v>0.07427933</v>
      </c>
      <c r="M19" s="18" t="n">
        <v>0</v>
      </c>
      <c r="N19" s="20" t="n">
        <v>0</v>
      </c>
      <c r="O19" s="18" t="n">
        <v>0</v>
      </c>
      <c r="P19" s="20" t="n">
        <v>0</v>
      </c>
      <c r="Q19" s="18" t="n">
        <v>0.55267851</v>
      </c>
      <c r="R19" s="20" t="n">
        <v>0.23118202</v>
      </c>
    </row>
    <row r="20" spans="1:18">
      <c r="A20" s="15" t="s">
        <v>578</v>
      </c>
      <c r="B20" s="17" t="n">
        <v>3371</v>
      </c>
      <c r="C20" s="18">
        <f>(2652.0/B20*100)</f>
        <v/>
      </c>
      <c r="D20" s="19" t="n">
        <v>719</v>
      </c>
      <c r="E20" s="18" t="n">
        <v>33.43443299</v>
      </c>
      <c r="F20" s="20" t="n">
        <v>1.76682718</v>
      </c>
      <c r="G20" s="18" t="n">
        <v>63.30921886</v>
      </c>
      <c r="H20" s="20" t="n">
        <v>1.80667264</v>
      </c>
      <c r="I20" s="18" t="n">
        <v>0</v>
      </c>
      <c r="J20" s="20" t="n">
        <v>0</v>
      </c>
      <c r="K20" s="18" t="n">
        <v>1.25003709</v>
      </c>
      <c r="L20" s="20" t="n">
        <v>0.4102201</v>
      </c>
      <c r="M20" s="18" t="n">
        <v>0</v>
      </c>
      <c r="N20" s="20" t="n">
        <v>0</v>
      </c>
      <c r="O20" s="18" t="n">
        <v>0</v>
      </c>
      <c r="P20" s="20" t="n">
        <v>0</v>
      </c>
      <c r="Q20" s="18" t="n">
        <v>2.00631106</v>
      </c>
      <c r="R20" s="20" t="n">
        <v>0.58107039</v>
      </c>
    </row>
    <row r="21" spans="1:18">
      <c r="A21" s="15" t="s">
        <v>579</v>
      </c>
      <c r="B21" s="17" t="n">
        <v>5741</v>
      </c>
      <c r="C21" s="18">
        <f>(4473.0/B21*100)</f>
        <v/>
      </c>
      <c r="D21" s="19" t="n">
        <v>1268</v>
      </c>
      <c r="E21" s="18" t="n">
        <v>30.08043686</v>
      </c>
      <c r="F21" s="20" t="n">
        <v>1.23065702</v>
      </c>
      <c r="G21" s="18" t="n">
        <v>68.39917948</v>
      </c>
      <c r="H21" s="20" t="n">
        <v>1.20581628</v>
      </c>
      <c r="I21" s="18" t="n">
        <v>0</v>
      </c>
      <c r="J21" s="20" t="n">
        <v>0</v>
      </c>
      <c r="K21" s="18" t="n">
        <v>0.33235683</v>
      </c>
      <c r="L21" s="20" t="n">
        <v>0.1854262</v>
      </c>
      <c r="M21" s="18" t="n">
        <v>0</v>
      </c>
      <c r="N21" s="20" t="n">
        <v>0</v>
      </c>
      <c r="O21" s="18" t="n">
        <v>0</v>
      </c>
      <c r="P21" s="20" t="n">
        <v>0</v>
      </c>
      <c r="Q21" s="18" t="n">
        <v>1.18802683</v>
      </c>
      <c r="R21" s="20" t="n">
        <v>0.29387862</v>
      </c>
    </row>
    <row r="22" spans="1:18">
      <c r="A22" s="15" t="s">
        <v>580</v>
      </c>
      <c r="B22" s="17" t="n">
        <v>6598</v>
      </c>
      <c r="C22" s="18">
        <f>(5196.0/B22*100)</f>
        <v/>
      </c>
      <c r="D22" s="19" t="n">
        <v>1402</v>
      </c>
      <c r="E22" s="18" t="n">
        <v>31.07525052</v>
      </c>
      <c r="F22" s="20" t="n">
        <v>1.35230242</v>
      </c>
      <c r="G22" s="18" t="n">
        <v>65.22338762</v>
      </c>
      <c r="H22" s="20" t="n">
        <v>1.4516846</v>
      </c>
      <c r="I22" s="18" t="n">
        <v>0</v>
      </c>
      <c r="J22" s="20" t="n">
        <v>0</v>
      </c>
      <c r="K22" s="18" t="n">
        <v>1.59421817</v>
      </c>
      <c r="L22" s="20" t="n">
        <v>0.33344807</v>
      </c>
      <c r="M22" s="18" t="n">
        <v>0</v>
      </c>
      <c r="N22" s="20" t="n">
        <v>0</v>
      </c>
      <c r="O22" s="18" t="n">
        <v>0</v>
      </c>
      <c r="P22" s="20" t="n">
        <v>0</v>
      </c>
      <c r="Q22" s="18" t="n">
        <v>2.10714368</v>
      </c>
      <c r="R22" s="20" t="n">
        <v>0.40836295</v>
      </c>
    </row>
    <row r="23" spans="1:18">
      <c r="A23" s="15" t="s">
        <v>581</v>
      </c>
      <c r="B23" s="17" t="n">
        <v>11583</v>
      </c>
      <c r="C23" s="18">
        <f>(9010.0/B23*100)</f>
        <v/>
      </c>
      <c r="D23" s="19" t="n">
        <v>2573</v>
      </c>
      <c r="E23" s="18" t="n">
        <v>40.11123197</v>
      </c>
      <c r="F23" s="20" t="n">
        <v>1.37785156</v>
      </c>
      <c r="G23" s="18" t="n">
        <v>56.77992573</v>
      </c>
      <c r="H23" s="20" t="n">
        <v>1.48194202</v>
      </c>
      <c r="I23" s="18" t="n">
        <v>0</v>
      </c>
      <c r="J23" s="20" t="n">
        <v>0</v>
      </c>
      <c r="K23" s="18" t="n">
        <v>0.88975452</v>
      </c>
      <c r="L23" s="20" t="n">
        <v>0.33257237</v>
      </c>
      <c r="M23" s="18" t="n">
        <v>0</v>
      </c>
      <c r="N23" s="20" t="n">
        <v>0</v>
      </c>
      <c r="O23" s="18" t="n">
        <v>0</v>
      </c>
      <c r="P23" s="20" t="n">
        <v>0</v>
      </c>
      <c r="Q23" s="18" t="n">
        <v>2.21908779</v>
      </c>
      <c r="R23" s="20" t="n">
        <v>0.45365148</v>
      </c>
    </row>
    <row r="24" spans="1:18">
      <c r="A24" s="15" t="s">
        <v>582</v>
      </c>
      <c r="B24" s="17" t="n">
        <v>6647</v>
      </c>
      <c r="C24" s="18">
        <f>(5183.0/B24*100)</f>
        <v/>
      </c>
      <c r="D24" s="19" t="n">
        <v>1464</v>
      </c>
      <c r="E24" s="18" t="n">
        <v>22.88358376</v>
      </c>
      <c r="F24" s="20" t="n">
        <v>1.17946749</v>
      </c>
      <c r="G24" s="18" t="n">
        <v>75.60816332</v>
      </c>
      <c r="H24" s="20" t="n">
        <v>1.21511466</v>
      </c>
      <c r="I24" s="18" t="n">
        <v>0</v>
      </c>
      <c r="J24" s="20" t="n">
        <v>0</v>
      </c>
      <c r="K24" s="18" t="n">
        <v>0.19849202</v>
      </c>
      <c r="L24" s="20" t="n">
        <v>0.11808938</v>
      </c>
      <c r="M24" s="18" t="n">
        <v>0</v>
      </c>
      <c r="N24" s="20" t="n">
        <v>0</v>
      </c>
      <c r="O24" s="18" t="n">
        <v>0</v>
      </c>
      <c r="P24" s="20" t="n">
        <v>0</v>
      </c>
      <c r="Q24" s="18" t="n">
        <v>1.30976091</v>
      </c>
      <c r="R24" s="20" t="n">
        <v>0.3331611</v>
      </c>
    </row>
    <row r="25" spans="1:18">
      <c r="A25" s="15" t="s">
        <v>583</v>
      </c>
      <c r="B25" s="17" t="n">
        <v>5581</v>
      </c>
      <c r="C25" s="18">
        <f>(4357.0/B25*100)</f>
        <v/>
      </c>
      <c r="D25" s="19" t="n">
        <v>1224</v>
      </c>
      <c r="E25" s="18" t="n">
        <v>22.62616362</v>
      </c>
      <c r="F25" s="20" t="n">
        <v>1.2962107</v>
      </c>
      <c r="G25" s="18" t="n">
        <v>76.86329247</v>
      </c>
      <c r="H25" s="20" t="n">
        <v>1.29542277</v>
      </c>
      <c r="I25" s="18" t="n">
        <v>0</v>
      </c>
      <c r="J25" s="20" t="n">
        <v>0</v>
      </c>
      <c r="K25" s="18" t="n">
        <v>0</v>
      </c>
      <c r="L25" s="20" t="n">
        <v>0</v>
      </c>
      <c r="M25" s="18" t="n">
        <v>0</v>
      </c>
      <c r="N25" s="20" t="n">
        <v>0</v>
      </c>
      <c r="O25" s="18" t="n">
        <v>0</v>
      </c>
      <c r="P25" s="20" t="n">
        <v>0</v>
      </c>
      <c r="Q25" s="18" t="n">
        <v>0.51054391</v>
      </c>
      <c r="R25" s="20" t="n">
        <v>0.20931142</v>
      </c>
    </row>
    <row r="26" spans="1:18">
      <c r="A26" s="15" t="s">
        <v>584</v>
      </c>
      <c r="B26" s="17" t="n">
        <v>4869</v>
      </c>
      <c r="C26" s="18">
        <f>(3824.0/B26*100)</f>
        <v/>
      </c>
      <c r="D26" s="19" t="n">
        <v>1045</v>
      </c>
      <c r="E26" s="18" t="n">
        <v>27.90942476</v>
      </c>
      <c r="F26" s="20" t="n">
        <v>1.42042682</v>
      </c>
      <c r="G26" s="18" t="n">
        <v>71.68023135999999</v>
      </c>
      <c r="H26" s="20" t="n">
        <v>1.45242854</v>
      </c>
      <c r="I26" s="18" t="n">
        <v>0</v>
      </c>
      <c r="J26" s="20" t="n">
        <v>0</v>
      </c>
      <c r="K26" s="18" t="n">
        <v>0.07856146</v>
      </c>
      <c r="L26" s="20" t="n">
        <v>0.0789207</v>
      </c>
      <c r="M26" s="18" t="n">
        <v>0</v>
      </c>
      <c r="N26" s="20" t="n">
        <v>0</v>
      </c>
      <c r="O26" s="18" t="n">
        <v>0</v>
      </c>
      <c r="P26" s="20" t="n">
        <v>0</v>
      </c>
      <c r="Q26" s="18" t="n">
        <v>0.33178242</v>
      </c>
      <c r="R26" s="20" t="n">
        <v>0.16378749</v>
      </c>
    </row>
    <row r="27" spans="1:18">
      <c r="A27" s="15" t="s">
        <v>585</v>
      </c>
      <c r="B27" s="17" t="n">
        <v>5299</v>
      </c>
      <c r="C27" s="18">
        <f>(4134.0/B27*100)</f>
        <v/>
      </c>
      <c r="D27" s="19" t="n">
        <v>1165</v>
      </c>
      <c r="E27" s="18" t="n">
        <v>40.20087257</v>
      </c>
      <c r="F27" s="20" t="n">
        <v>1.33873074</v>
      </c>
      <c r="G27" s="18" t="n">
        <v>57.9043821</v>
      </c>
      <c r="H27" s="20" t="n">
        <v>1.27933261</v>
      </c>
      <c r="I27" s="18" t="n">
        <v>0</v>
      </c>
      <c r="J27" s="20" t="n">
        <v>0</v>
      </c>
      <c r="K27" s="18" t="n">
        <v>0.62325361</v>
      </c>
      <c r="L27" s="20" t="n">
        <v>0.23304068</v>
      </c>
      <c r="M27" s="18" t="n">
        <v>0</v>
      </c>
      <c r="N27" s="20" t="n">
        <v>0</v>
      </c>
      <c r="O27" s="18" t="n">
        <v>0</v>
      </c>
      <c r="P27" s="20" t="n">
        <v>0</v>
      </c>
      <c r="Q27" s="18" t="n">
        <v>1.27149171</v>
      </c>
      <c r="R27" s="20" t="n">
        <v>0.34650381</v>
      </c>
    </row>
    <row r="28" spans="1:18">
      <c r="A28" s="15" t="s">
        <v>586</v>
      </c>
      <c r="B28" s="17" t="n">
        <v>7568</v>
      </c>
      <c r="C28" s="18">
        <f>(6079.0/B28*100)</f>
        <v/>
      </c>
      <c r="D28" s="19" t="n">
        <v>1489</v>
      </c>
      <c r="E28" s="18" t="n">
        <v>41.34020491</v>
      </c>
      <c r="F28" s="20" t="n">
        <v>1.60726365</v>
      </c>
      <c r="G28" s="18" t="n">
        <v>56.31659508</v>
      </c>
      <c r="H28" s="20" t="n">
        <v>1.66026802</v>
      </c>
      <c r="I28" s="18" t="n">
        <v>0</v>
      </c>
      <c r="J28" s="20" t="n">
        <v>0</v>
      </c>
      <c r="K28" s="18" t="n">
        <v>1.31298969</v>
      </c>
      <c r="L28" s="20" t="n">
        <v>0.5242069</v>
      </c>
      <c r="M28" s="18" t="n">
        <v>0</v>
      </c>
      <c r="N28" s="20" t="n">
        <v>0</v>
      </c>
      <c r="O28" s="18" t="n">
        <v>0</v>
      </c>
      <c r="P28" s="20" t="n">
        <v>0</v>
      </c>
      <c r="Q28" s="18" t="n">
        <v>1.03021033</v>
      </c>
      <c r="R28" s="20" t="n">
        <v>0.28750107</v>
      </c>
    </row>
    <row r="29" spans="1:18">
      <c r="A29" s="15" t="s">
        <v>587</v>
      </c>
      <c r="B29" s="17" t="n">
        <v>5385</v>
      </c>
      <c r="C29" s="18">
        <f>(4277.0/B29*100)</f>
        <v/>
      </c>
      <c r="D29" s="19" t="n">
        <v>1108</v>
      </c>
      <c r="E29" s="18" t="n">
        <v>34.1156897</v>
      </c>
      <c r="F29" s="20" t="n">
        <v>1.49527794</v>
      </c>
      <c r="G29" s="18" t="n">
        <v>64.33245054</v>
      </c>
      <c r="H29" s="20" t="n">
        <v>1.52498282</v>
      </c>
      <c r="I29" s="18" t="n">
        <v>0</v>
      </c>
      <c r="J29" s="20" t="n">
        <v>0</v>
      </c>
      <c r="K29" s="18" t="n">
        <v>0.47512178</v>
      </c>
      <c r="L29" s="20" t="n">
        <v>0.2231712</v>
      </c>
      <c r="M29" s="18" t="n">
        <v>0</v>
      </c>
      <c r="N29" s="20" t="n">
        <v>0</v>
      </c>
      <c r="O29" s="18" t="n">
        <v>0</v>
      </c>
      <c r="P29" s="20" t="n">
        <v>0</v>
      </c>
      <c r="Q29" s="18" t="n">
        <v>1.07673799</v>
      </c>
      <c r="R29" s="20" t="n">
        <v>0.36041476</v>
      </c>
    </row>
    <row r="30" spans="1:18">
      <c r="A30" s="15" t="s">
        <v>588</v>
      </c>
      <c r="B30" s="17" t="n">
        <v>4520</v>
      </c>
      <c r="C30" s="18">
        <f>(3547.0/B30*100)</f>
        <v/>
      </c>
      <c r="D30" s="19" t="n">
        <v>973</v>
      </c>
      <c r="E30" s="18" t="n">
        <v>32.41389309</v>
      </c>
      <c r="F30" s="20" t="n">
        <v>1.69341327</v>
      </c>
      <c r="G30" s="18" t="n">
        <v>65.30944663</v>
      </c>
      <c r="H30" s="20" t="n">
        <v>1.66519015</v>
      </c>
      <c r="I30" s="18" t="n">
        <v>0</v>
      </c>
      <c r="J30" s="20" t="n">
        <v>0</v>
      </c>
      <c r="K30" s="18" t="n">
        <v>1.46098183</v>
      </c>
      <c r="L30" s="20" t="n">
        <v>0.43093177</v>
      </c>
      <c r="M30" s="18" t="n">
        <v>0</v>
      </c>
      <c r="N30" s="20" t="n">
        <v>0</v>
      </c>
      <c r="O30" s="18" t="n">
        <v>0</v>
      </c>
      <c r="P30" s="20" t="n">
        <v>0</v>
      </c>
      <c r="Q30" s="18" t="n">
        <v>0.81567846</v>
      </c>
      <c r="R30" s="20" t="n">
        <v>0.26404538</v>
      </c>
    </row>
    <row r="31" spans="1:18">
      <c r="A31" s="15" t="s">
        <v>589</v>
      </c>
      <c r="B31" s="17" t="n">
        <v>5456</v>
      </c>
      <c r="C31" s="18">
        <f>(4264.0/B31*100)</f>
        <v/>
      </c>
      <c r="D31" s="19" t="n">
        <v>1192</v>
      </c>
      <c r="E31" s="18" t="n">
        <v>33.07192713</v>
      </c>
      <c r="F31" s="20" t="n">
        <v>1.32323761</v>
      </c>
      <c r="G31" s="18" t="n">
        <v>64.45700648</v>
      </c>
      <c r="H31" s="20" t="n">
        <v>1.34092392</v>
      </c>
      <c r="I31" s="18" t="n">
        <v>0</v>
      </c>
      <c r="J31" s="20" t="n">
        <v>0</v>
      </c>
      <c r="K31" s="18" t="n">
        <v>1.12746891</v>
      </c>
      <c r="L31" s="20" t="n">
        <v>0.32702224</v>
      </c>
      <c r="M31" s="18" t="n">
        <v>0</v>
      </c>
      <c r="N31" s="20" t="n">
        <v>0</v>
      </c>
      <c r="O31" s="18" t="n">
        <v>0</v>
      </c>
      <c r="P31" s="20" t="n">
        <v>0</v>
      </c>
      <c r="Q31" s="18" t="n">
        <v>1.34359748</v>
      </c>
      <c r="R31" s="20" t="n">
        <v>0.31746363</v>
      </c>
    </row>
    <row r="32" spans="1:18">
      <c r="A32" s="15" t="s">
        <v>590</v>
      </c>
      <c r="B32" s="17" t="n">
        <v>4478</v>
      </c>
      <c r="C32" s="18">
        <f>(3445.0/B32*100)</f>
        <v/>
      </c>
      <c r="D32" s="19" t="n">
        <v>1033</v>
      </c>
      <c r="E32" s="18" t="n">
        <v>23.04224601</v>
      </c>
      <c r="F32" s="20" t="n">
        <v>1.49059065</v>
      </c>
      <c r="G32" s="18" t="n">
        <v>76.77306725</v>
      </c>
      <c r="H32" s="20" t="n">
        <v>1.50396894</v>
      </c>
      <c r="I32" s="18" t="n">
        <v>0</v>
      </c>
      <c r="J32" s="20" t="n">
        <v>0</v>
      </c>
      <c r="K32" s="18" t="n">
        <v>0</v>
      </c>
      <c r="L32" s="20" t="n">
        <v>0</v>
      </c>
      <c r="M32" s="18" t="n">
        <v>0</v>
      </c>
      <c r="N32" s="20" t="n">
        <v>0</v>
      </c>
      <c r="O32" s="18" t="n">
        <v>0</v>
      </c>
      <c r="P32" s="20" t="n">
        <v>0</v>
      </c>
      <c r="Q32" s="18" t="n">
        <v>0.18468673</v>
      </c>
      <c r="R32" s="20" t="n">
        <v>0.12789822</v>
      </c>
    </row>
    <row r="33" spans="1:18">
      <c r="A33" s="15" t="s">
        <v>591</v>
      </c>
      <c r="B33" s="17" t="n">
        <v>7325</v>
      </c>
      <c r="C33" s="18">
        <f>(5749.0/B33*100)</f>
        <v/>
      </c>
      <c r="D33" s="19" t="n">
        <v>1576</v>
      </c>
      <c r="E33" s="18" t="n">
        <v>29.1062148</v>
      </c>
      <c r="F33" s="20" t="n">
        <v>1.4985777</v>
      </c>
      <c r="G33" s="18" t="n">
        <v>69.42409621</v>
      </c>
      <c r="H33" s="20" t="n">
        <v>1.51276081</v>
      </c>
      <c r="I33" s="18" t="n">
        <v>0</v>
      </c>
      <c r="J33" s="20" t="n">
        <v>0</v>
      </c>
      <c r="K33" s="18" t="n">
        <v>0.68255152</v>
      </c>
      <c r="L33" s="20" t="n">
        <v>0.28598238</v>
      </c>
      <c r="M33" s="18" t="n">
        <v>0</v>
      </c>
      <c r="N33" s="20" t="n">
        <v>0</v>
      </c>
      <c r="O33" s="18" t="n">
        <v>0</v>
      </c>
      <c r="P33" s="20" t="n">
        <v>0</v>
      </c>
      <c r="Q33" s="18" t="n">
        <v>0.78713747</v>
      </c>
      <c r="R33" s="20" t="n">
        <v>0.33001783</v>
      </c>
    </row>
    <row r="34" spans="1:18">
      <c r="A34" s="15" t="s">
        <v>592</v>
      </c>
      <c r="B34" s="17" t="n">
        <v>6350</v>
      </c>
      <c r="C34" s="18">
        <f>(5040.0/B34*100)</f>
        <v/>
      </c>
      <c r="D34" s="19" t="n">
        <v>1310</v>
      </c>
      <c r="E34" s="18" t="n">
        <v>40.19427392</v>
      </c>
      <c r="F34" s="20" t="n">
        <v>1.49670524</v>
      </c>
      <c r="G34" s="18" t="n">
        <v>58.59416706</v>
      </c>
      <c r="H34" s="20" t="n">
        <v>1.4862112</v>
      </c>
      <c r="I34" s="18" t="n">
        <v>0</v>
      </c>
      <c r="J34" s="20" t="n">
        <v>0</v>
      </c>
      <c r="K34" s="18" t="n">
        <v>0.20098574</v>
      </c>
      <c r="L34" s="20" t="n">
        <v>0.11245778</v>
      </c>
      <c r="M34" s="18" t="n">
        <v>0</v>
      </c>
      <c r="N34" s="20" t="n">
        <v>0</v>
      </c>
      <c r="O34" s="18" t="n">
        <v>0</v>
      </c>
      <c r="P34" s="20" t="n">
        <v>0</v>
      </c>
      <c r="Q34" s="18" t="n">
        <v>1.01057328</v>
      </c>
      <c r="R34" s="20" t="n">
        <v>0.27454141</v>
      </c>
    </row>
    <row r="35" spans="1:18">
      <c r="A35" s="15" t="s">
        <v>593</v>
      </c>
      <c r="B35" s="17" t="n">
        <v>6406</v>
      </c>
      <c r="C35" s="18">
        <f>(5014.0/B35*100)</f>
        <v/>
      </c>
      <c r="D35" s="19" t="n">
        <v>1392</v>
      </c>
      <c r="E35" s="18" t="n">
        <v>23.91387944</v>
      </c>
      <c r="F35" s="20" t="n">
        <v>1.15040212</v>
      </c>
      <c r="G35" s="18" t="n">
        <v>75.23406276</v>
      </c>
      <c r="H35" s="20" t="n">
        <v>1.21150694</v>
      </c>
      <c r="I35" s="18" t="n">
        <v>0</v>
      </c>
      <c r="J35" s="20" t="n">
        <v>0</v>
      </c>
      <c r="K35" s="18" t="n">
        <v>0.12363421</v>
      </c>
      <c r="L35" s="20" t="n">
        <v>0.05675279</v>
      </c>
      <c r="M35" s="18" t="n">
        <v>0</v>
      </c>
      <c r="N35" s="20" t="n">
        <v>0</v>
      </c>
      <c r="O35" s="18" t="n">
        <v>0</v>
      </c>
      <c r="P35" s="20" t="n">
        <v>0</v>
      </c>
      <c r="Q35" s="18" t="n">
        <v>0.72842359</v>
      </c>
      <c r="R35" s="20" t="n">
        <v>0.24793324</v>
      </c>
    </row>
    <row r="36" spans="1:18">
      <c r="A36" s="15" t="s">
        <v>594</v>
      </c>
      <c r="B36" s="17" t="n">
        <v>6736</v>
      </c>
      <c r="C36" s="18">
        <f>(5291.0/B36*100)</f>
        <v/>
      </c>
      <c r="D36" s="19" t="n">
        <v>1445</v>
      </c>
      <c r="E36" s="18" t="n">
        <v>37.68550978</v>
      </c>
      <c r="F36" s="20" t="n">
        <v>1.35811666</v>
      </c>
      <c r="G36" s="18" t="n">
        <v>60.61587027</v>
      </c>
      <c r="H36" s="20" t="n">
        <v>1.3474709</v>
      </c>
      <c r="I36" s="18" t="n">
        <v>0</v>
      </c>
      <c r="J36" s="20" t="n">
        <v>0</v>
      </c>
      <c r="K36" s="18" t="n">
        <v>0.69831733</v>
      </c>
      <c r="L36" s="20" t="n">
        <v>0.19210706</v>
      </c>
      <c r="M36" s="18" t="n">
        <v>0</v>
      </c>
      <c r="N36" s="20" t="n">
        <v>0</v>
      </c>
      <c r="O36" s="18" t="n">
        <v>0</v>
      </c>
      <c r="P36" s="20" t="n">
        <v>0</v>
      </c>
      <c r="Q36" s="18" t="n">
        <v>1.00030263</v>
      </c>
      <c r="R36" s="20" t="n">
        <v>0.25713552</v>
      </c>
    </row>
    <row r="37" spans="1:18">
      <c r="A37" s="15" t="s">
        <v>595</v>
      </c>
      <c r="B37" s="17" t="n">
        <v>5458</v>
      </c>
      <c r="C37" s="18">
        <f>(4313.0/B37*100)</f>
        <v/>
      </c>
      <c r="D37" s="19" t="n">
        <v>1145</v>
      </c>
      <c r="E37" s="18" t="n">
        <v>37.72081127</v>
      </c>
      <c r="F37" s="20" t="n">
        <v>1.59522599</v>
      </c>
      <c r="G37" s="18" t="n">
        <v>60.05266893</v>
      </c>
      <c r="H37" s="20" t="n">
        <v>1.67583928</v>
      </c>
      <c r="I37" s="18" t="n">
        <v>0</v>
      </c>
      <c r="J37" s="20" t="n">
        <v>0</v>
      </c>
      <c r="K37" s="18" t="n">
        <v>0.7971253700000001</v>
      </c>
      <c r="L37" s="20" t="n">
        <v>0.30648521</v>
      </c>
      <c r="M37" s="18" t="n">
        <v>0</v>
      </c>
      <c r="N37" s="20" t="n">
        <v>0</v>
      </c>
      <c r="O37" s="18" t="n">
        <v>0</v>
      </c>
      <c r="P37" s="20" t="n">
        <v>0</v>
      </c>
      <c r="Q37" s="18" t="n">
        <v>1.42939443</v>
      </c>
      <c r="R37" s="20" t="n">
        <v>0.35657563</v>
      </c>
    </row>
    <row r="38" spans="1:18">
      <c r="A38" s="15" t="s">
        <v>596</v>
      </c>
      <c r="B38" s="17" t="n">
        <v>5860</v>
      </c>
      <c r="C38" s="18">
        <f>(4591.0/B38*100)</f>
        <v/>
      </c>
      <c r="D38" s="19" t="n">
        <v>1269</v>
      </c>
      <c r="E38" s="18" t="n">
        <v>36.82755957</v>
      </c>
      <c r="F38" s="20" t="n">
        <v>1.48979932</v>
      </c>
      <c r="G38" s="18" t="n">
        <v>61.72993478</v>
      </c>
      <c r="H38" s="20" t="n">
        <v>1.59364301</v>
      </c>
      <c r="I38" s="18" t="n">
        <v>0</v>
      </c>
      <c r="J38" s="20" t="n">
        <v>0</v>
      </c>
      <c r="K38" s="18" t="n">
        <v>0.24592537</v>
      </c>
      <c r="L38" s="20" t="n">
        <v>0.13890521</v>
      </c>
      <c r="M38" s="18" t="n">
        <v>0</v>
      </c>
      <c r="N38" s="20" t="n">
        <v>0</v>
      </c>
      <c r="O38" s="18" t="n">
        <v>0</v>
      </c>
      <c r="P38" s="20" t="n">
        <v>0</v>
      </c>
      <c r="Q38" s="18" t="n">
        <v>1.19658027</v>
      </c>
      <c r="R38" s="20" t="n">
        <v>0.35569749</v>
      </c>
    </row>
    <row r="39" spans="1:18">
      <c r="A39" s="15" t="s">
        <v>597</v>
      </c>
      <c r="B39" s="17" t="n">
        <v>5895</v>
      </c>
      <c r="C39" s="18">
        <f>(4578.0/B39*100)</f>
        <v/>
      </c>
      <c r="D39" s="19" t="n">
        <v>1317</v>
      </c>
      <c r="E39" s="18" t="n">
        <v>26.39625608</v>
      </c>
      <c r="F39" s="20" t="n">
        <v>1.47379699</v>
      </c>
      <c r="G39" s="18" t="n">
        <v>72.26828279</v>
      </c>
      <c r="H39" s="20" t="n">
        <v>1.49963862</v>
      </c>
      <c r="I39" s="18" t="n">
        <v>0</v>
      </c>
      <c r="J39" s="20" t="n">
        <v>0</v>
      </c>
      <c r="K39" s="18" t="n">
        <v>0.44930724</v>
      </c>
      <c r="L39" s="20" t="n">
        <v>0.15958177</v>
      </c>
      <c r="M39" s="18" t="n">
        <v>0</v>
      </c>
      <c r="N39" s="20" t="n">
        <v>0</v>
      </c>
      <c r="O39" s="18" t="n">
        <v>0</v>
      </c>
      <c r="P39" s="20" t="n">
        <v>0</v>
      </c>
      <c r="Q39" s="18" t="n">
        <v>0.88615389</v>
      </c>
      <c r="R39" s="20" t="n">
        <v>0.22730573</v>
      </c>
    </row>
    <row r="40" spans="1:18">
      <c r="A40" s="15" t="s">
        <v>598</v>
      </c>
      <c r="B40" s="17" t="n">
        <v>14157</v>
      </c>
      <c r="C40" s="18">
        <f>(11041.0/B40*100)</f>
        <v/>
      </c>
      <c r="D40" s="19" t="n">
        <v>3116</v>
      </c>
      <c r="E40" s="18" t="n">
        <v>27.40619786</v>
      </c>
      <c r="F40" s="20" t="n">
        <v>1.06583368</v>
      </c>
      <c r="G40" s="18" t="n">
        <v>70.88796842000001</v>
      </c>
      <c r="H40" s="20" t="n">
        <v>1.06858304</v>
      </c>
      <c r="I40" s="18" t="n">
        <v>0</v>
      </c>
      <c r="J40" s="20" t="n">
        <v>0</v>
      </c>
      <c r="K40" s="18" t="n">
        <v>0.5106418</v>
      </c>
      <c r="L40" s="20" t="n">
        <v>0.19526877</v>
      </c>
      <c r="M40" s="18" t="n">
        <v>0</v>
      </c>
      <c r="N40" s="20" t="n">
        <v>0</v>
      </c>
      <c r="O40" s="18" t="n">
        <v>0</v>
      </c>
      <c r="P40" s="20" t="n">
        <v>0</v>
      </c>
      <c r="Q40" s="18" t="n">
        <v>1.19519192</v>
      </c>
      <c r="R40" s="20" t="n">
        <v>0.32394658</v>
      </c>
    </row>
    <row r="41" spans="1:18">
      <c r="A41" s="15" t="s">
        <v>599</v>
      </c>
      <c r="B41" s="17" t="n">
        <v>5712</v>
      </c>
      <c r="C41" s="18">
        <f>(4526.0/B41*100)</f>
        <v/>
      </c>
      <c r="D41" s="19" t="n">
        <v>1186</v>
      </c>
      <c r="E41" s="18" t="n">
        <v>27.15285487</v>
      </c>
      <c r="F41" s="20" t="n">
        <v>1.54509258</v>
      </c>
      <c r="G41" s="18" t="n">
        <v>71.46920672</v>
      </c>
      <c r="H41" s="20" t="n">
        <v>1.49933862</v>
      </c>
      <c r="I41" s="18" t="n">
        <v>0</v>
      </c>
      <c r="J41" s="20" t="n">
        <v>0</v>
      </c>
      <c r="K41" s="18" t="n">
        <v>0.10300335</v>
      </c>
      <c r="L41" s="20" t="n">
        <v>0.09440466</v>
      </c>
      <c r="M41" s="18" t="n">
        <v>0</v>
      </c>
      <c r="N41" s="20" t="n">
        <v>0</v>
      </c>
      <c r="O41" s="18" t="n">
        <v>0</v>
      </c>
      <c r="P41" s="20" t="n">
        <v>0</v>
      </c>
      <c r="Q41" s="18" t="n">
        <v>1.27493505</v>
      </c>
      <c r="R41" s="20" t="n">
        <v>0.3062246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(19288.0/B46*100)</f>
        <v/>
      </c>
      <c r="D46" s="19" t="n">
        <v>3853</v>
      </c>
      <c r="E46" s="18" t="n">
        <v>38.32574225</v>
      </c>
      <c r="F46" s="20" t="n">
        <v>1.13174694</v>
      </c>
      <c r="G46" s="18" t="n">
        <v>57.61975876</v>
      </c>
      <c r="H46" s="20" t="n">
        <v>1.23476546</v>
      </c>
      <c r="I46" s="18" t="n">
        <v>0</v>
      </c>
      <c r="J46" s="20" t="n">
        <v>0</v>
      </c>
      <c r="K46" s="18" t="n">
        <v>1.79838062</v>
      </c>
      <c r="L46" s="20" t="n">
        <v>0.43236141</v>
      </c>
      <c r="M46" s="18" t="n">
        <v>0</v>
      </c>
      <c r="N46" s="20" t="n">
        <v>0</v>
      </c>
      <c r="O46" s="18" t="n">
        <v>0</v>
      </c>
      <c r="P46" s="20" t="n">
        <v>0</v>
      </c>
      <c r="Q46" s="18" t="n">
        <v>2.25611837</v>
      </c>
      <c r="R46" s="20" t="n">
        <v>0.31984961</v>
      </c>
    </row>
    <row r="47" spans="1:18">
      <c r="A47" s="15" t="s">
        <v>606</v>
      </c>
      <c r="B47" s="17" t="n">
        <v>5928</v>
      </c>
      <c r="C47" s="18">
        <f>(4715.0/B47*100)</f>
        <v/>
      </c>
      <c r="D47" s="19" t="n">
        <v>1213</v>
      </c>
      <c r="E47" s="18" t="n">
        <v>36.5346551</v>
      </c>
      <c r="F47" s="20" t="n">
        <v>1.31916077</v>
      </c>
      <c r="G47" s="18" t="n">
        <v>60.87256735</v>
      </c>
      <c r="H47" s="20" t="n">
        <v>1.40061318</v>
      </c>
      <c r="I47" s="18" t="n">
        <v>0</v>
      </c>
      <c r="J47" s="20" t="n">
        <v>0</v>
      </c>
      <c r="K47" s="18" t="n">
        <v>1.4620932</v>
      </c>
      <c r="L47" s="20" t="n">
        <v>0.37610041</v>
      </c>
      <c r="M47" s="18" t="n">
        <v>0</v>
      </c>
      <c r="N47" s="20" t="n">
        <v>0</v>
      </c>
      <c r="O47" s="18" t="n">
        <v>0</v>
      </c>
      <c r="P47" s="20" t="n">
        <v>0</v>
      </c>
      <c r="Q47" s="18" t="n">
        <v>1.13068436</v>
      </c>
      <c r="R47" s="20" t="n">
        <v>0.30903872</v>
      </c>
    </row>
    <row r="48" spans="1:18">
      <c r="A48" s="15" t="s">
        <v>607</v>
      </c>
      <c r="B48" s="17" t="n">
        <v>9841</v>
      </c>
      <c r="C48" s="18">
        <f>(7686.0/B48*100)</f>
        <v/>
      </c>
      <c r="D48" s="19" t="n">
        <v>2155</v>
      </c>
      <c r="E48" s="18" t="n">
        <v>12.75942052</v>
      </c>
      <c r="F48" s="20" t="n">
        <v>1.08847089</v>
      </c>
      <c r="G48" s="18" t="n">
        <v>86.17161403</v>
      </c>
      <c r="H48" s="20" t="n">
        <v>1.14950678</v>
      </c>
      <c r="I48" s="18" t="n">
        <v>0</v>
      </c>
      <c r="J48" s="20" t="n">
        <v>0</v>
      </c>
      <c r="K48" s="18" t="n">
        <v>0.82592736</v>
      </c>
      <c r="L48" s="20" t="n">
        <v>0.31757129</v>
      </c>
      <c r="M48" s="18" t="n">
        <v>0</v>
      </c>
      <c r="N48" s="20" t="n">
        <v>0</v>
      </c>
      <c r="O48" s="18" t="n">
        <v>0</v>
      </c>
      <c r="P48" s="20" t="n">
        <v>0</v>
      </c>
      <c r="Q48" s="18" t="n">
        <v>0.24303809</v>
      </c>
      <c r="R48" s="20" t="n">
        <v>0.12525399</v>
      </c>
    </row>
    <row r="49" spans="1:18">
      <c r="A49" s="15" t="s">
        <v>608</v>
      </c>
      <c r="B49" s="17" t="n">
        <v>11795</v>
      </c>
      <c r="C49" s="18">
        <f>(9350.0/B49*100)</f>
        <v/>
      </c>
      <c r="D49" s="19" t="n">
        <v>2445</v>
      </c>
      <c r="E49" s="18" t="n">
        <v>28.22931712</v>
      </c>
      <c r="F49" s="20" t="n">
        <v>1.34172675</v>
      </c>
      <c r="G49" s="18" t="n">
        <v>67.31309509</v>
      </c>
      <c r="H49" s="20" t="n">
        <v>1.45703135</v>
      </c>
      <c r="I49" s="18" t="n">
        <v>0</v>
      </c>
      <c r="J49" s="20" t="n">
        <v>0</v>
      </c>
      <c r="K49" s="18" t="n">
        <v>3.20609379</v>
      </c>
      <c r="L49" s="20" t="n">
        <v>0.48133464</v>
      </c>
      <c r="M49" s="18" t="n">
        <v>0</v>
      </c>
      <c r="N49" s="20" t="n">
        <v>0</v>
      </c>
      <c r="O49" s="18" t="n">
        <v>0</v>
      </c>
      <c r="P49" s="20" t="n">
        <v>0</v>
      </c>
      <c r="Q49" s="18" t="n">
        <v>1.251494</v>
      </c>
      <c r="R49" s="20" t="n">
        <v>0.24095212</v>
      </c>
    </row>
    <row r="50" spans="1:18">
      <c r="A50" s="15" t="s">
        <v>609</v>
      </c>
      <c r="B50" s="17" t="n">
        <v>6866</v>
      </c>
      <c r="C50" s="18">
        <f>(5624.0/B50*100)</f>
        <v/>
      </c>
      <c r="D50" s="19" t="n">
        <v>1242</v>
      </c>
      <c r="E50" s="18" t="n">
        <v>26.19424658</v>
      </c>
      <c r="F50" s="20" t="n">
        <v>1.3999489</v>
      </c>
      <c r="G50" s="18" t="n">
        <v>71.6710027</v>
      </c>
      <c r="H50" s="20" t="n">
        <v>1.41522969</v>
      </c>
      <c r="I50" s="18" t="n">
        <v>0</v>
      </c>
      <c r="J50" s="20" t="n">
        <v>0</v>
      </c>
      <c r="K50" s="18" t="n">
        <v>0.44130814</v>
      </c>
      <c r="L50" s="20" t="n">
        <v>0.1752707</v>
      </c>
      <c r="M50" s="18" t="n">
        <v>0</v>
      </c>
      <c r="N50" s="20" t="n">
        <v>0</v>
      </c>
      <c r="O50" s="18" t="n">
        <v>0</v>
      </c>
      <c r="P50" s="20" t="n">
        <v>0</v>
      </c>
      <c r="Q50" s="18" t="n">
        <v>1.69344258</v>
      </c>
      <c r="R50" s="20" t="n">
        <v>0.40963589</v>
      </c>
    </row>
    <row r="51" spans="1:18">
      <c r="A51" s="15" t="s">
        <v>610</v>
      </c>
      <c r="B51" s="17" t="n">
        <v>5809</v>
      </c>
      <c r="C51" s="18">
        <f>(4486.0/B51*100)</f>
        <v/>
      </c>
      <c r="D51" s="19" t="n">
        <v>1323</v>
      </c>
      <c r="E51" s="18" t="n">
        <v>39.31213973</v>
      </c>
      <c r="F51" s="20" t="n">
        <v>1.61133221</v>
      </c>
      <c r="G51" s="18" t="n">
        <v>59.96978266</v>
      </c>
      <c r="H51" s="20" t="n">
        <v>1.55878542</v>
      </c>
      <c r="I51" s="18" t="n">
        <v>0</v>
      </c>
      <c r="J51" s="20" t="n">
        <v>0</v>
      </c>
      <c r="K51" s="18" t="n">
        <v>0.2203285</v>
      </c>
      <c r="L51" s="20" t="n">
        <v>0.12088363</v>
      </c>
      <c r="M51" s="18" t="n">
        <v>0</v>
      </c>
      <c r="N51" s="20" t="n">
        <v>0</v>
      </c>
      <c r="O51" s="18" t="n">
        <v>0</v>
      </c>
      <c r="P51" s="20" t="n">
        <v>0</v>
      </c>
      <c r="Q51" s="18" t="n">
        <v>0.4977491</v>
      </c>
      <c r="R51" s="20" t="n">
        <v>0.19049221</v>
      </c>
    </row>
    <row r="52" spans="1:18">
      <c r="A52" s="15" t="s">
        <v>611</v>
      </c>
      <c r="B52" s="17" t="n">
        <v>5571</v>
      </c>
      <c r="C52" s="18">
        <f>(4358.0/B52*100)</f>
        <v/>
      </c>
      <c r="D52" s="19" t="n">
        <v>1213</v>
      </c>
      <c r="E52" s="18" t="n">
        <v>39.68111763</v>
      </c>
      <c r="F52" s="20" t="n">
        <v>1.48766511</v>
      </c>
      <c r="G52" s="18" t="n">
        <v>58.33325607</v>
      </c>
      <c r="H52" s="20" t="n">
        <v>1.58681833</v>
      </c>
      <c r="I52" s="18" t="n">
        <v>0</v>
      </c>
      <c r="J52" s="20" t="n">
        <v>0</v>
      </c>
      <c r="K52" s="18" t="n">
        <v>0.56847798</v>
      </c>
      <c r="L52" s="20" t="n">
        <v>0.22228645</v>
      </c>
      <c r="M52" s="18" t="n">
        <v>0</v>
      </c>
      <c r="N52" s="20" t="n">
        <v>0</v>
      </c>
      <c r="O52" s="18" t="n">
        <v>0</v>
      </c>
      <c r="P52" s="20" t="n">
        <v>0</v>
      </c>
      <c r="Q52" s="18" t="n">
        <v>1.41714832</v>
      </c>
      <c r="R52" s="20" t="n">
        <v>0.34534581</v>
      </c>
    </row>
    <row r="53" spans="1:18">
      <c r="A53" s="15" t="s">
        <v>612</v>
      </c>
      <c r="B53" s="17" t="n">
        <v>4740</v>
      </c>
      <c r="C53" s="18">
        <f>(3696.0/B53*100)</f>
        <v/>
      </c>
      <c r="D53" s="19" t="n">
        <v>1044</v>
      </c>
      <c r="E53" s="18" t="n">
        <v>30.46108811</v>
      </c>
      <c r="F53" s="20" t="n">
        <v>1.56237595</v>
      </c>
      <c r="G53" s="18" t="n">
        <v>52.07602428</v>
      </c>
      <c r="H53" s="20" t="n">
        <v>1.83237536</v>
      </c>
      <c r="I53" s="18" t="n">
        <v>0</v>
      </c>
      <c r="J53" s="20" t="n">
        <v>0</v>
      </c>
      <c r="K53" s="18" t="n">
        <v>14.4345328</v>
      </c>
      <c r="L53" s="20" t="n">
        <v>1.26549243</v>
      </c>
      <c r="M53" s="18" t="n">
        <v>0</v>
      </c>
      <c r="N53" s="20" t="n">
        <v>0</v>
      </c>
      <c r="O53" s="18" t="n">
        <v>0</v>
      </c>
      <c r="P53" s="20" t="n">
        <v>0</v>
      </c>
      <c r="Q53" s="18" t="n">
        <v>3.02835481</v>
      </c>
      <c r="R53" s="20" t="n">
        <v>0.63040125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(4148.0/B55*100)</f>
        <v/>
      </c>
      <c r="D55" s="19" t="n">
        <v>1211</v>
      </c>
      <c r="E55" s="18" t="n">
        <v>24.60890668</v>
      </c>
      <c r="F55" s="20" t="n">
        <v>1.06604167</v>
      </c>
      <c r="G55" s="18" t="n">
        <v>74.63478593000001</v>
      </c>
      <c r="H55" s="20" t="n">
        <v>1.08212727</v>
      </c>
      <c r="I55" s="18" t="n">
        <v>0</v>
      </c>
      <c r="J55" s="20" t="n">
        <v>0</v>
      </c>
      <c r="K55" s="18" t="n">
        <v>0.35544856</v>
      </c>
      <c r="L55" s="20" t="n">
        <v>0.20505503</v>
      </c>
      <c r="M55" s="18" t="n">
        <v>0</v>
      </c>
      <c r="N55" s="20" t="n">
        <v>0</v>
      </c>
      <c r="O55" s="18" t="n">
        <v>0</v>
      </c>
      <c r="P55" s="20" t="n">
        <v>0</v>
      </c>
      <c r="Q55" s="18" t="n">
        <v>0.40085882</v>
      </c>
      <c r="R55" s="20" t="n">
        <v>0.18358664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(5085.0/B61*100)</f>
        <v/>
      </c>
      <c r="D61" s="19" t="n">
        <v>1440</v>
      </c>
      <c r="E61" s="18" t="n">
        <v>27.50802673</v>
      </c>
      <c r="F61" s="20" t="n">
        <v>1.21394265</v>
      </c>
      <c r="G61" s="18" t="n">
        <v>71.72707219</v>
      </c>
      <c r="H61" s="20" t="n">
        <v>1.25801333</v>
      </c>
      <c r="I61" s="18" t="n">
        <v>0</v>
      </c>
      <c r="J61" s="20" t="n">
        <v>0</v>
      </c>
      <c r="K61" s="18" t="n">
        <v>0.10742715</v>
      </c>
      <c r="L61" s="20" t="n">
        <v>0.09442542</v>
      </c>
      <c r="M61" s="18" t="n">
        <v>0</v>
      </c>
      <c r="N61" s="20" t="n">
        <v>0</v>
      </c>
      <c r="O61" s="18" t="n">
        <v>0</v>
      </c>
      <c r="P61" s="20" t="n">
        <v>0</v>
      </c>
      <c r="Q61" s="18" t="n">
        <v>0.65747392</v>
      </c>
      <c r="R61" s="20" t="n">
        <v>0.23668253</v>
      </c>
    </row>
    <row r="62" spans="1:18">
      <c r="A62" s="15" t="s">
        <v>622</v>
      </c>
      <c r="B62" s="17" t="n">
        <v>4476</v>
      </c>
      <c r="C62" s="18">
        <f>(3539.0/B62*100)</f>
        <v/>
      </c>
      <c r="D62" s="19" t="n">
        <v>937</v>
      </c>
      <c r="E62" s="18" t="n">
        <v>27.32887781</v>
      </c>
      <c r="F62" s="20" t="n">
        <v>1.43044888</v>
      </c>
      <c r="G62" s="18" t="n">
        <v>72.34527562</v>
      </c>
      <c r="H62" s="20" t="n">
        <v>1.45173002</v>
      </c>
      <c r="I62" s="18" t="n">
        <v>0</v>
      </c>
      <c r="J62" s="20" t="n">
        <v>0</v>
      </c>
      <c r="K62" s="18" t="n">
        <v>0</v>
      </c>
      <c r="L62" s="20" t="n">
        <v>0</v>
      </c>
      <c r="M62" s="18" t="n">
        <v>0</v>
      </c>
      <c r="N62" s="20" t="n">
        <v>0</v>
      </c>
      <c r="O62" s="18" t="n">
        <v>0</v>
      </c>
      <c r="P62" s="20" t="n">
        <v>0</v>
      </c>
      <c r="Q62" s="18" t="n">
        <v>0.32584657</v>
      </c>
      <c r="R62" s="20" t="n">
        <v>0.18674017</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(4461.0/B67*100)</f>
        <v/>
      </c>
      <c r="D67" s="19" t="n">
        <v>1204</v>
      </c>
      <c r="E67" s="18" t="n">
        <v>47.03137504</v>
      </c>
      <c r="F67" s="20" t="n">
        <v>1.41571142</v>
      </c>
      <c r="G67" s="18" t="n">
        <v>49.0241229</v>
      </c>
      <c r="H67" s="20" t="n">
        <v>1.33026588</v>
      </c>
      <c r="I67" s="18" t="n">
        <v>0</v>
      </c>
      <c r="J67" s="20" t="n">
        <v>0</v>
      </c>
      <c r="K67" s="18" t="n">
        <v>1.16905442</v>
      </c>
      <c r="L67" s="20" t="n">
        <v>0.34279351</v>
      </c>
      <c r="M67" s="18" t="n">
        <v>0</v>
      </c>
      <c r="N67" s="20" t="n">
        <v>0</v>
      </c>
      <c r="O67" s="18" t="n">
        <v>0</v>
      </c>
      <c r="P67" s="20" t="n">
        <v>0</v>
      </c>
      <c r="Q67" s="18" t="n">
        <v>2.77544763</v>
      </c>
      <c r="R67" s="20" t="n">
        <v>0.45026045</v>
      </c>
    </row>
    <row r="68" spans="1:18">
      <c r="A68" s="15" t="s">
        <v>628</v>
      </c>
      <c r="B68" s="17" t="n">
        <v>6971</v>
      </c>
      <c r="C68" s="18">
        <f>(5679.0/B68*100)</f>
        <v/>
      </c>
      <c r="D68" s="19" t="n">
        <v>1292</v>
      </c>
      <c r="E68" s="18" t="n">
        <v>40.07957521</v>
      </c>
      <c r="F68" s="20" t="n">
        <v>1.5100529</v>
      </c>
      <c r="G68" s="18" t="n">
        <v>58.75846258</v>
      </c>
      <c r="H68" s="20" t="n">
        <v>1.47482458</v>
      </c>
      <c r="I68" s="18" t="n">
        <v>0</v>
      </c>
      <c r="J68" s="20" t="n">
        <v>0</v>
      </c>
      <c r="K68" s="18" t="n">
        <v>0.47950494</v>
      </c>
      <c r="L68" s="20" t="n">
        <v>0.24511165</v>
      </c>
      <c r="M68" s="18" t="n">
        <v>0</v>
      </c>
      <c r="N68" s="20" t="n">
        <v>0</v>
      </c>
      <c r="O68" s="18" t="n">
        <v>0</v>
      </c>
      <c r="P68" s="20" t="n">
        <v>0</v>
      </c>
      <c r="Q68" s="18" t="n">
        <v>0.68245727</v>
      </c>
      <c r="R68" s="20" t="n">
        <v>0.22761769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(9440.0/B70*100)</f>
        <v/>
      </c>
      <c r="D70" s="19" t="n">
        <v>2643</v>
      </c>
      <c r="E70" s="18" t="n">
        <v>39.06625683</v>
      </c>
      <c r="F70" s="20" t="n">
        <v>0.93754505</v>
      </c>
      <c r="G70" s="18" t="n">
        <v>54.96314486</v>
      </c>
      <c r="H70" s="20" t="n">
        <v>0.93492789</v>
      </c>
      <c r="I70" s="18" t="n">
        <v>0</v>
      </c>
      <c r="J70" s="20" t="n">
        <v>0</v>
      </c>
      <c r="K70" s="18" t="n">
        <v>3.27613277</v>
      </c>
      <c r="L70" s="20" t="n">
        <v>0.37650325</v>
      </c>
      <c r="M70" s="18" t="n">
        <v>0</v>
      </c>
      <c r="N70" s="20" t="n">
        <v>0</v>
      </c>
      <c r="O70" s="18" t="n">
        <v>0</v>
      </c>
      <c r="P70" s="20" t="n">
        <v>0</v>
      </c>
      <c r="Q70" s="18" t="n">
        <v>2.69446554</v>
      </c>
      <c r="R70" s="20" t="n">
        <v>0.30483257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(4810.0/B72*100)</f>
        <v/>
      </c>
      <c r="D72" s="19" t="n">
        <v>1226</v>
      </c>
      <c r="E72" s="18" t="n">
        <v>33.69519457</v>
      </c>
      <c r="F72" s="20" t="n">
        <v>1.5174405</v>
      </c>
      <c r="G72" s="18" t="n">
        <v>65.16896395000001</v>
      </c>
      <c r="H72" s="20" t="n">
        <v>1.43626156</v>
      </c>
      <c r="I72" s="18" t="n">
        <v>0</v>
      </c>
      <c r="J72" s="20" t="n">
        <v>0</v>
      </c>
      <c r="K72" s="18" t="n">
        <v>0.19539616</v>
      </c>
      <c r="L72" s="20" t="n">
        <v>0.12591055</v>
      </c>
      <c r="M72" s="18" t="n">
        <v>0</v>
      </c>
      <c r="N72" s="20" t="n">
        <v>0</v>
      </c>
      <c r="O72" s="18" t="n">
        <v>0</v>
      </c>
      <c r="P72" s="20" t="n">
        <v>0</v>
      </c>
      <c r="Q72" s="18" t="n">
        <v>0.94044531</v>
      </c>
      <c r="R72" s="20" t="n">
        <v>0.32246419</v>
      </c>
    </row>
    <row r="73" spans="1:18">
      <c r="A73" s="15" t="s">
        <v>633</v>
      </c>
      <c r="B73" s="17" t="n">
        <v>6115</v>
      </c>
      <c r="C73" s="18">
        <f>(4776.0/B73*100)</f>
        <v/>
      </c>
      <c r="D73" s="19" t="n">
        <v>1339</v>
      </c>
      <c r="E73" s="18" t="n">
        <v>20.80185779</v>
      </c>
      <c r="F73" s="20" t="n">
        <v>1.03993812</v>
      </c>
      <c r="G73" s="18" t="n">
        <v>78.40441405999999</v>
      </c>
      <c r="H73" s="20" t="n">
        <v>1.0339658</v>
      </c>
      <c r="I73" s="18" t="n">
        <v>0</v>
      </c>
      <c r="J73" s="20" t="n">
        <v>0</v>
      </c>
      <c r="K73" s="18" t="n">
        <v>0.27335832</v>
      </c>
      <c r="L73" s="20" t="n">
        <v>0.14320409</v>
      </c>
      <c r="M73" s="18" t="n">
        <v>0</v>
      </c>
      <c r="N73" s="20" t="n">
        <v>0</v>
      </c>
      <c r="O73" s="18" t="n">
        <v>0</v>
      </c>
      <c r="P73" s="20" t="n">
        <v>0</v>
      </c>
      <c r="Q73" s="18" t="n">
        <v>0.52036983</v>
      </c>
      <c r="R73" s="20" t="n">
        <v>0.17766126</v>
      </c>
    </row>
    <row r="74" spans="1:18">
      <c r="A74" s="15" t="s">
        <v>634</v>
      </c>
      <c r="B74" s="17" t="n">
        <v>7708</v>
      </c>
      <c r="C74" s="18">
        <f>(5942.0/B74*100)</f>
        <v/>
      </c>
      <c r="D74" s="19" t="n">
        <v>1766</v>
      </c>
      <c r="E74" s="18" t="n">
        <v>20.64032404</v>
      </c>
      <c r="F74" s="20" t="n">
        <v>1.23039774</v>
      </c>
      <c r="G74" s="18" t="n">
        <v>78.83342718999999</v>
      </c>
      <c r="H74" s="20" t="n">
        <v>1.22031712</v>
      </c>
      <c r="I74" s="18" t="n">
        <v>0</v>
      </c>
      <c r="J74" s="20" t="n">
        <v>0</v>
      </c>
      <c r="K74" s="18" t="n">
        <v>0.24705185</v>
      </c>
      <c r="L74" s="20" t="n">
        <v>0.14484732</v>
      </c>
      <c r="M74" s="18" t="n">
        <v>0</v>
      </c>
      <c r="N74" s="20" t="n">
        <v>0</v>
      </c>
      <c r="O74" s="18" t="n">
        <v>0</v>
      </c>
      <c r="P74" s="20" t="n">
        <v>0</v>
      </c>
      <c r="Q74" s="18" t="n">
        <v>0.27919691</v>
      </c>
      <c r="R74" s="20" t="n">
        <v>0.12924425</v>
      </c>
    </row>
    <row r="75" spans="1:18">
      <c r="A75" s="15" t="s">
        <v>635</v>
      </c>
      <c r="B75" s="17" t="n">
        <v>8249</v>
      </c>
      <c r="C75" s="18">
        <f>(6454.0/B75*100)</f>
        <v/>
      </c>
      <c r="D75" s="19" t="n">
        <v>1795</v>
      </c>
      <c r="E75" s="18" t="n">
        <v>36.46475409</v>
      </c>
      <c r="F75" s="20" t="n">
        <v>1.79883395</v>
      </c>
      <c r="G75" s="18" t="n">
        <v>62.86145401</v>
      </c>
      <c r="H75" s="20" t="n">
        <v>1.84913545</v>
      </c>
      <c r="I75" s="18" t="n">
        <v>0</v>
      </c>
      <c r="J75" s="20" t="n">
        <v>0</v>
      </c>
      <c r="K75" s="18" t="n">
        <v>0.07878130999999999</v>
      </c>
      <c r="L75" s="20" t="n">
        <v>0.07784394</v>
      </c>
      <c r="M75" s="18" t="n">
        <v>0</v>
      </c>
      <c r="N75" s="20" t="n">
        <v>0</v>
      </c>
      <c r="O75" s="18" t="n">
        <v>0</v>
      </c>
      <c r="P75" s="20" t="n">
        <v>0</v>
      </c>
      <c r="Q75" s="18" t="n">
        <v>0.59501059</v>
      </c>
      <c r="R75" s="20" t="n">
        <v>0.21379063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(4293.0/B77*100)</f>
        <v/>
      </c>
      <c r="D77" s="19" t="n">
        <v>1082</v>
      </c>
      <c r="E77" s="18" t="n">
        <v>45.50259258</v>
      </c>
      <c r="F77" s="20" t="n">
        <v>1.68128203</v>
      </c>
      <c r="G77" s="18" t="n">
        <v>48.05272346</v>
      </c>
      <c r="H77" s="20" t="n">
        <v>1.47420344</v>
      </c>
      <c r="I77" s="18" t="n">
        <v>0</v>
      </c>
      <c r="J77" s="20" t="n">
        <v>0</v>
      </c>
      <c r="K77" s="18" t="n">
        <v>4.04091496</v>
      </c>
      <c r="L77" s="20" t="n">
        <v>0.81615298</v>
      </c>
      <c r="M77" s="18" t="n">
        <v>0</v>
      </c>
      <c r="N77" s="20" t="n">
        <v>0</v>
      </c>
      <c r="O77" s="18" t="n">
        <v>0</v>
      </c>
      <c r="P77" s="20" t="n">
        <v>0</v>
      </c>
      <c r="Q77" s="18" t="n">
        <v>2.40376899</v>
      </c>
      <c r="R77" s="20" t="n">
        <v>0.45798677</v>
      </c>
    </row>
    <row r="78" spans="1:18">
      <c r="A78" s="15" t="s">
        <v>638</v>
      </c>
      <c r="B78" s="17" t="n">
        <v>14167</v>
      </c>
      <c r="C78" s="18">
        <f>(11080.0/B78*100)</f>
        <v/>
      </c>
      <c r="D78" s="19" t="n">
        <v>3087</v>
      </c>
      <c r="E78" s="18" t="n">
        <v>37.76438084</v>
      </c>
      <c r="F78" s="20" t="n">
        <v>0.9954937699999999</v>
      </c>
      <c r="G78" s="18" t="n">
        <v>59.66782633</v>
      </c>
      <c r="H78" s="20" t="n">
        <v>0.9977785</v>
      </c>
      <c r="I78" s="18" t="n">
        <v>0</v>
      </c>
      <c r="J78" s="20" t="n">
        <v>0</v>
      </c>
      <c r="K78" s="18" t="n">
        <v>0.82672462</v>
      </c>
      <c r="L78" s="20" t="n">
        <v>0.21055836</v>
      </c>
      <c r="M78" s="18" t="n">
        <v>0</v>
      </c>
      <c r="N78" s="20" t="n">
        <v>0</v>
      </c>
      <c r="O78" s="18" t="n">
        <v>0</v>
      </c>
      <c r="P78" s="20" t="n">
        <v>0</v>
      </c>
      <c r="Q78" s="18" t="n">
        <v>1.7410682</v>
      </c>
      <c r="R78" s="20" t="n">
        <v>0.29634445</v>
      </c>
    </row>
    <row r="79" spans="1:18">
      <c r="A79" s="15" t="s">
        <v>639</v>
      </c>
      <c r="B79" s="17" t="n">
        <v>6062</v>
      </c>
      <c r="C79" s="18">
        <f>(4800.0/B79*100)</f>
        <v/>
      </c>
      <c r="D79" s="19" t="n">
        <v>1262</v>
      </c>
      <c r="E79" s="18" t="n">
        <v>31.66737349</v>
      </c>
      <c r="F79" s="20" t="n">
        <v>1.40895521</v>
      </c>
      <c r="G79" s="18" t="n">
        <v>64.49408784000001</v>
      </c>
      <c r="H79" s="20" t="n">
        <v>1.51494162</v>
      </c>
      <c r="I79" s="18" t="n">
        <v>0</v>
      </c>
      <c r="J79" s="20" t="n">
        <v>0</v>
      </c>
      <c r="K79" s="18" t="n">
        <v>2.20458254</v>
      </c>
      <c r="L79" s="20" t="n">
        <v>0.38200324</v>
      </c>
      <c r="M79" s="18" t="n">
        <v>0</v>
      </c>
      <c r="N79" s="20" t="n">
        <v>0</v>
      </c>
      <c r="O79" s="18" t="n">
        <v>0</v>
      </c>
      <c r="P79" s="20" t="n">
        <v>0</v>
      </c>
      <c r="Q79" s="18" t="n">
        <v>1.63395613</v>
      </c>
      <c r="R79" s="20" t="n">
        <v>0.4472164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(25322.0/B82*100)</f>
        <v/>
      </c>
      <c r="D82" s="19" t="n">
        <v>7008</v>
      </c>
      <c r="E82" s="18" t="n">
        <v>35.09041129</v>
      </c>
      <c r="F82" s="20" t="n">
        <v>0.91789561</v>
      </c>
      <c r="G82" s="18" t="n">
        <v>63.43648153</v>
      </c>
      <c r="H82" s="20" t="n">
        <v>0.92144813</v>
      </c>
      <c r="I82" s="18" t="n">
        <v>0</v>
      </c>
      <c r="J82" s="20" t="n">
        <v>0</v>
      </c>
      <c r="K82" s="18" t="n">
        <v>0.69944586</v>
      </c>
      <c r="L82" s="20" t="n">
        <v>0.17972583</v>
      </c>
      <c r="M82" s="18" t="n">
        <v>0</v>
      </c>
      <c r="N82" s="20" t="n">
        <v>0</v>
      </c>
      <c r="O82" s="18" t="n">
        <v>0</v>
      </c>
      <c r="P82" s="20" t="n">
        <v>0</v>
      </c>
      <c r="Q82" s="18" t="n">
        <v>0.77366133</v>
      </c>
      <c r="R82" s="20" t="n">
        <v>0.14304464</v>
      </c>
    </row>
    <row r="83" spans="1:18">
      <c r="A83" s="15" t="s">
        <v>643</v>
      </c>
      <c r="B83" s="17" t="n">
        <v>1652</v>
      </c>
      <c r="C83" s="18">
        <f>(1289.0/B83*100)</f>
        <v/>
      </c>
      <c r="D83" s="19" t="n">
        <v>363</v>
      </c>
      <c r="E83" s="18" t="n">
        <v>18.16047006</v>
      </c>
      <c r="F83" s="20" t="n">
        <v>2.16718182</v>
      </c>
      <c r="G83" s="18" t="n">
        <v>81.16322761000001</v>
      </c>
      <c r="H83" s="20" t="n">
        <v>2.31712978</v>
      </c>
      <c r="I83" s="18" t="n">
        <v>0</v>
      </c>
      <c r="J83" s="20" t="n">
        <v>0</v>
      </c>
      <c r="K83" s="18" t="n">
        <v>0.21811016</v>
      </c>
      <c r="L83" s="20" t="n">
        <v>0.21680718</v>
      </c>
      <c r="M83" s="18" t="n">
        <v>0</v>
      </c>
      <c r="N83" s="20" t="n">
        <v>0</v>
      </c>
      <c r="O83" s="18" t="n">
        <v>0</v>
      </c>
      <c r="P83" s="20" t="n">
        <v>0</v>
      </c>
      <c r="Q83" s="18" t="n">
        <v>0.45819217</v>
      </c>
      <c r="R83" s="20" t="n">
        <v>0.33116558</v>
      </c>
    </row>
    <row r="84" spans="1:18">
      <c r="A84" s="23" t="s">
        <v>644</v>
      </c>
      <c r="B84" s="24" t="n">
        <v>1887</v>
      </c>
      <c r="C84" s="25">
        <f>(1489.0/B84*100)</f>
        <v/>
      </c>
      <c r="D84" s="19" t="n">
        <v>398</v>
      </c>
      <c r="E84" s="18" t="n">
        <v>23.69901183</v>
      </c>
      <c r="F84" s="20" t="n">
        <v>3.20988668</v>
      </c>
      <c r="G84" s="18" t="n">
        <v>75.76410366</v>
      </c>
      <c r="H84" s="20" t="n">
        <v>3.25651654</v>
      </c>
      <c r="I84" s="18" t="n">
        <v>0</v>
      </c>
      <c r="J84" s="20" t="n">
        <v>0</v>
      </c>
      <c r="K84" s="18" t="n">
        <v>0</v>
      </c>
      <c r="L84" s="20" t="n">
        <v>0</v>
      </c>
      <c r="M84" s="18" t="n">
        <v>0</v>
      </c>
      <c r="N84" s="20" t="n">
        <v>0</v>
      </c>
      <c r="O84" s="18" t="n">
        <v>0</v>
      </c>
      <c r="P84" s="20" t="n">
        <v>0</v>
      </c>
      <c r="Q84" s="18" t="n">
        <v>0.53688451</v>
      </c>
      <c r="R84" s="20" t="n">
        <v>0.36964278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(11432.0/B7*100)</f>
        <v/>
      </c>
      <c r="D7" s="19" t="n">
        <v>3098</v>
      </c>
      <c r="E7" s="18" t="n">
        <v>37.26438804</v>
      </c>
      <c r="F7" s="20" t="n">
        <v>1.14264789</v>
      </c>
      <c r="G7" s="18" t="n">
        <v>61.18047974</v>
      </c>
      <c r="H7" s="20" t="n">
        <v>1.16895214</v>
      </c>
      <c r="I7" s="18" t="n">
        <v>0</v>
      </c>
      <c r="J7" s="20" t="n">
        <v>0</v>
      </c>
      <c r="K7" s="18" t="n">
        <v>0.66692502</v>
      </c>
      <c r="L7" s="20" t="n">
        <v>0.1717719</v>
      </c>
      <c r="M7" s="18" t="n">
        <v>0</v>
      </c>
      <c r="N7" s="20" t="n">
        <v>0</v>
      </c>
      <c r="O7" s="18" t="n">
        <v>0</v>
      </c>
      <c r="P7" s="20" t="n">
        <v>0</v>
      </c>
      <c r="Q7" s="18" t="n">
        <v>0.8882072</v>
      </c>
      <c r="R7" s="20" t="n">
        <v>0.20038392</v>
      </c>
    </row>
    <row r="8" spans="1:18">
      <c r="A8" s="15" t="s">
        <v>566</v>
      </c>
      <c r="B8" s="17" t="n">
        <v>7007</v>
      </c>
      <c r="C8" s="18">
        <f>(5458.0/B8*100)</f>
        <v/>
      </c>
      <c r="D8" s="19" t="n">
        <v>1549</v>
      </c>
      <c r="E8" s="18" t="n">
        <v>43.93796751</v>
      </c>
      <c r="F8" s="20" t="n">
        <v>1.45403975</v>
      </c>
      <c r="G8" s="18" t="n">
        <v>53.64371891</v>
      </c>
      <c r="H8" s="20" t="n">
        <v>1.52463933</v>
      </c>
      <c r="I8" s="18" t="n">
        <v>0</v>
      </c>
      <c r="J8" s="20" t="n">
        <v>0</v>
      </c>
      <c r="K8" s="18" t="n">
        <v>0.67928205</v>
      </c>
      <c r="L8" s="20" t="n">
        <v>0.2285978</v>
      </c>
      <c r="M8" s="18" t="n">
        <v>0</v>
      </c>
      <c r="N8" s="20" t="n">
        <v>0</v>
      </c>
      <c r="O8" s="18" t="n">
        <v>0</v>
      </c>
      <c r="P8" s="20" t="n">
        <v>0</v>
      </c>
      <c r="Q8" s="18" t="n">
        <v>1.73903152</v>
      </c>
      <c r="R8" s="20" t="n">
        <v>0.39240151</v>
      </c>
    </row>
    <row r="9" spans="1:18">
      <c r="A9" s="15" t="s">
        <v>567</v>
      </c>
      <c r="B9" s="17" t="n">
        <v>9651</v>
      </c>
      <c r="C9" s="18">
        <f>(7621.0/B9*100)</f>
        <v/>
      </c>
      <c r="D9" s="19" t="n">
        <v>2030</v>
      </c>
      <c r="E9" s="18" t="n">
        <v>42.441137</v>
      </c>
      <c r="F9" s="20" t="n">
        <v>1.25508032</v>
      </c>
      <c r="G9" s="18" t="n">
        <v>55.42499017</v>
      </c>
      <c r="H9" s="20" t="n">
        <v>1.33031556</v>
      </c>
      <c r="I9" s="18" t="n">
        <v>0</v>
      </c>
      <c r="J9" s="20" t="n">
        <v>0</v>
      </c>
      <c r="K9" s="18" t="n">
        <v>0.94941197</v>
      </c>
      <c r="L9" s="20" t="n">
        <v>0.20998617</v>
      </c>
      <c r="M9" s="18" t="n">
        <v>0</v>
      </c>
      <c r="N9" s="20" t="n">
        <v>0</v>
      </c>
      <c r="O9" s="18" t="n">
        <v>0</v>
      </c>
      <c r="P9" s="20" t="n">
        <v>0</v>
      </c>
      <c r="Q9" s="18" t="n">
        <v>1.18446086</v>
      </c>
      <c r="R9" s="20" t="n">
        <v>0.29196071</v>
      </c>
    </row>
    <row r="10" spans="1:18">
      <c r="A10" s="15" t="s">
        <v>568</v>
      </c>
      <c r="B10" s="17" t="n">
        <v>20058</v>
      </c>
      <c r="C10" s="18">
        <f>(15739.0/B10*100)</f>
        <v/>
      </c>
      <c r="D10" s="19" t="n">
        <v>4319</v>
      </c>
      <c r="E10" s="18" t="n">
        <v>37.78157877</v>
      </c>
      <c r="F10" s="20" t="n">
        <v>0.9877759699999999</v>
      </c>
      <c r="G10" s="18" t="n">
        <v>60.86252053</v>
      </c>
      <c r="H10" s="20" t="n">
        <v>1.00137419</v>
      </c>
      <c r="I10" s="18" t="n">
        <v>0</v>
      </c>
      <c r="J10" s="20" t="n">
        <v>0</v>
      </c>
      <c r="K10" s="18" t="n">
        <v>0.62406297</v>
      </c>
      <c r="L10" s="20" t="n">
        <v>0.1545176</v>
      </c>
      <c r="M10" s="18" t="n">
        <v>0</v>
      </c>
      <c r="N10" s="20" t="n">
        <v>0</v>
      </c>
      <c r="O10" s="18" t="n">
        <v>0</v>
      </c>
      <c r="P10" s="20" t="n">
        <v>0</v>
      </c>
      <c r="Q10" s="18" t="n">
        <v>0.73183773</v>
      </c>
      <c r="R10" s="20" t="n">
        <v>0.12231247</v>
      </c>
    </row>
    <row r="11" spans="1:18">
      <c r="A11" s="15" t="s">
        <v>569</v>
      </c>
      <c r="B11" s="17" t="n">
        <v>7053</v>
      </c>
      <c r="C11" s="18">
        <f>(5612.0/B11*100)</f>
        <v/>
      </c>
      <c r="D11" s="19" t="n">
        <v>1441</v>
      </c>
      <c r="E11" s="18" t="n">
        <v>47.3635544</v>
      </c>
      <c r="F11" s="20" t="n">
        <v>1.42131056</v>
      </c>
      <c r="G11" s="18" t="n">
        <v>48.95101671</v>
      </c>
      <c r="H11" s="20" t="n">
        <v>1.40500642</v>
      </c>
      <c r="I11" s="18" t="n">
        <v>0</v>
      </c>
      <c r="J11" s="20" t="n">
        <v>0</v>
      </c>
      <c r="K11" s="18" t="n">
        <v>1.95362624</v>
      </c>
      <c r="L11" s="20" t="n">
        <v>0.43426395</v>
      </c>
      <c r="M11" s="18" t="n">
        <v>0</v>
      </c>
      <c r="N11" s="20" t="n">
        <v>0</v>
      </c>
      <c r="O11" s="18" t="n">
        <v>0</v>
      </c>
      <c r="P11" s="20" t="n">
        <v>0</v>
      </c>
      <c r="Q11" s="18" t="n">
        <v>1.73180265</v>
      </c>
      <c r="R11" s="20" t="n">
        <v>0.37514805</v>
      </c>
    </row>
    <row r="12" spans="1:18">
      <c r="A12" s="15" t="s">
        <v>570</v>
      </c>
      <c r="B12" s="17" t="n">
        <v>6894</v>
      </c>
      <c r="C12" s="18">
        <f>(5435.0/B12*100)</f>
        <v/>
      </c>
      <c r="D12" s="19" t="n">
        <v>1459</v>
      </c>
      <c r="E12" s="18" t="n">
        <v>45.6796023</v>
      </c>
      <c r="F12" s="20" t="n">
        <v>1.46088892</v>
      </c>
      <c r="G12" s="18" t="n">
        <v>53.06108869</v>
      </c>
      <c r="H12" s="20" t="n">
        <v>1.3817744</v>
      </c>
      <c r="I12" s="18" t="n">
        <v>0</v>
      </c>
      <c r="J12" s="20" t="n">
        <v>0</v>
      </c>
      <c r="K12" s="18" t="n">
        <v>0.58519711</v>
      </c>
      <c r="L12" s="20" t="n">
        <v>0.15058427</v>
      </c>
      <c r="M12" s="18" t="n">
        <v>0</v>
      </c>
      <c r="N12" s="20" t="n">
        <v>0</v>
      </c>
      <c r="O12" s="18" t="n">
        <v>0</v>
      </c>
      <c r="P12" s="20" t="n">
        <v>0</v>
      </c>
      <c r="Q12" s="18" t="n">
        <v>0.6741119</v>
      </c>
      <c r="R12" s="20" t="n">
        <v>0.24968873</v>
      </c>
    </row>
    <row r="13" spans="1:18">
      <c r="A13" s="15" t="s">
        <v>571</v>
      </c>
      <c r="B13" s="17" t="n">
        <v>7161</v>
      </c>
      <c r="C13" s="18">
        <f>(5722.0/B13*100)</f>
        <v/>
      </c>
      <c r="D13" s="19" t="n">
        <v>1439</v>
      </c>
      <c r="E13" s="18" t="n">
        <v>44.18913152</v>
      </c>
      <c r="F13" s="20" t="n">
        <v>1.77322664</v>
      </c>
      <c r="G13" s="18" t="n">
        <v>53.5548391</v>
      </c>
      <c r="H13" s="20" t="n">
        <v>1.81998701</v>
      </c>
      <c r="I13" s="18" t="n">
        <v>0</v>
      </c>
      <c r="J13" s="20" t="n">
        <v>0</v>
      </c>
      <c r="K13" s="18" t="n">
        <v>1.14830211</v>
      </c>
      <c r="L13" s="20" t="n">
        <v>0.35926126</v>
      </c>
      <c r="M13" s="18" t="n">
        <v>0</v>
      </c>
      <c r="N13" s="20" t="n">
        <v>0</v>
      </c>
      <c r="O13" s="18" t="n">
        <v>0</v>
      </c>
      <c r="P13" s="20" t="n">
        <v>0</v>
      </c>
      <c r="Q13" s="18" t="n">
        <v>1.10772727</v>
      </c>
      <c r="R13" s="20" t="n">
        <v>0.40958892</v>
      </c>
    </row>
    <row r="14" spans="1:18">
      <c r="A14" s="15" t="s">
        <v>572</v>
      </c>
      <c r="B14" s="17" t="n">
        <v>5587</v>
      </c>
      <c r="C14" s="18">
        <f>(4406.0/B14*100)</f>
        <v/>
      </c>
      <c r="D14" s="19" t="n">
        <v>1181</v>
      </c>
      <c r="E14" s="18" t="n">
        <v>43.47287263</v>
      </c>
      <c r="F14" s="20" t="n">
        <v>1.48926341</v>
      </c>
      <c r="G14" s="18" t="n">
        <v>55.49910679</v>
      </c>
      <c r="H14" s="20" t="n">
        <v>1.42247458</v>
      </c>
      <c r="I14" s="18" t="n">
        <v>0</v>
      </c>
      <c r="J14" s="20" t="n">
        <v>0</v>
      </c>
      <c r="K14" s="18" t="n">
        <v>0.40638469</v>
      </c>
      <c r="L14" s="20" t="n">
        <v>0.2252166</v>
      </c>
      <c r="M14" s="18" t="n">
        <v>0</v>
      </c>
      <c r="N14" s="20" t="n">
        <v>0</v>
      </c>
      <c r="O14" s="18" t="n">
        <v>0</v>
      </c>
      <c r="P14" s="20" t="n">
        <v>0</v>
      </c>
      <c r="Q14" s="18" t="n">
        <v>0.62163589</v>
      </c>
      <c r="R14" s="20" t="n">
        <v>0.25822032</v>
      </c>
    </row>
    <row r="15" spans="1:18">
      <c r="A15" s="15" t="s">
        <v>573</v>
      </c>
      <c r="B15" s="17" t="n">
        <v>5882</v>
      </c>
      <c r="C15" s="18">
        <f>(4573.0/B15*100)</f>
        <v/>
      </c>
      <c r="D15" s="19" t="n">
        <v>1309</v>
      </c>
      <c r="E15" s="18" t="n">
        <v>45.05236916</v>
      </c>
      <c r="F15" s="20" t="n">
        <v>1.36775749</v>
      </c>
      <c r="G15" s="18" t="n">
        <v>53.84919566</v>
      </c>
      <c r="H15" s="20" t="n">
        <v>1.43073708</v>
      </c>
      <c r="I15" s="18" t="n">
        <v>0</v>
      </c>
      <c r="J15" s="20" t="n">
        <v>0</v>
      </c>
      <c r="K15" s="18" t="n">
        <v>0.23226962</v>
      </c>
      <c r="L15" s="20" t="n">
        <v>0.14339114</v>
      </c>
      <c r="M15" s="18" t="n">
        <v>0</v>
      </c>
      <c r="N15" s="20" t="n">
        <v>0</v>
      </c>
      <c r="O15" s="18" t="n">
        <v>0</v>
      </c>
      <c r="P15" s="20" t="n">
        <v>0</v>
      </c>
      <c r="Q15" s="18" t="n">
        <v>0.86616556</v>
      </c>
      <c r="R15" s="20" t="n">
        <v>0.24323153</v>
      </c>
    </row>
    <row r="16" spans="1:18">
      <c r="A16" s="15" t="s">
        <v>574</v>
      </c>
      <c r="B16" s="17" t="n">
        <v>6108</v>
      </c>
      <c r="C16" s="18">
        <f>(4762.0/B16*100)</f>
        <v/>
      </c>
      <c r="D16" s="19" t="n">
        <v>1346</v>
      </c>
      <c r="E16" s="18" t="n">
        <v>42.94806406</v>
      </c>
      <c r="F16" s="20" t="n">
        <v>1.30764251</v>
      </c>
      <c r="G16" s="18" t="n">
        <v>53.53919263</v>
      </c>
      <c r="H16" s="20" t="n">
        <v>1.3075443</v>
      </c>
      <c r="I16" s="18" t="n">
        <v>0</v>
      </c>
      <c r="J16" s="20" t="n">
        <v>0</v>
      </c>
      <c r="K16" s="18" t="n">
        <v>1.29727463</v>
      </c>
      <c r="L16" s="20" t="n">
        <v>0.29834842</v>
      </c>
      <c r="M16" s="18" t="n">
        <v>0</v>
      </c>
      <c r="N16" s="20" t="n">
        <v>0</v>
      </c>
      <c r="O16" s="18" t="n">
        <v>0</v>
      </c>
      <c r="P16" s="20" t="n">
        <v>0</v>
      </c>
      <c r="Q16" s="18" t="n">
        <v>2.21546867</v>
      </c>
      <c r="R16" s="20" t="n">
        <v>0.47753891</v>
      </c>
    </row>
    <row r="17" spans="1:18">
      <c r="A17" s="15" t="s">
        <v>575</v>
      </c>
      <c r="B17" s="17" t="n">
        <v>6504</v>
      </c>
      <c r="C17" s="18">
        <f>(5177.0/B17*100)</f>
        <v/>
      </c>
      <c r="D17" s="19" t="n">
        <v>1327</v>
      </c>
      <c r="E17" s="18" t="n">
        <v>45.14290665</v>
      </c>
      <c r="F17" s="20" t="n">
        <v>1.4181814</v>
      </c>
      <c r="G17" s="18" t="n">
        <v>52.86404433</v>
      </c>
      <c r="H17" s="20" t="n">
        <v>1.47563434</v>
      </c>
      <c r="I17" s="18" t="n">
        <v>0</v>
      </c>
      <c r="J17" s="20" t="n">
        <v>0</v>
      </c>
      <c r="K17" s="18" t="n">
        <v>0.5127193799999999</v>
      </c>
      <c r="L17" s="20" t="n">
        <v>0.19908504</v>
      </c>
      <c r="M17" s="18" t="n">
        <v>0</v>
      </c>
      <c r="N17" s="20" t="n">
        <v>0</v>
      </c>
      <c r="O17" s="18" t="n">
        <v>0</v>
      </c>
      <c r="P17" s="20" t="n">
        <v>0</v>
      </c>
      <c r="Q17" s="18" t="n">
        <v>1.48032964</v>
      </c>
      <c r="R17" s="20" t="n">
        <v>0.28506877</v>
      </c>
    </row>
    <row r="18" spans="1:18">
      <c r="A18" s="15" t="s">
        <v>576</v>
      </c>
      <c r="B18" s="17" t="n">
        <v>5532</v>
      </c>
      <c r="C18" s="18">
        <f>(4321.0/B18*100)</f>
        <v/>
      </c>
      <c r="D18" s="19" t="n">
        <v>1211</v>
      </c>
      <c r="E18" s="18" t="n">
        <v>52.86246708</v>
      </c>
      <c r="F18" s="20" t="n">
        <v>1.56210409</v>
      </c>
      <c r="G18" s="18" t="n">
        <v>44.2476887</v>
      </c>
      <c r="H18" s="20" t="n">
        <v>1.64426278</v>
      </c>
      <c r="I18" s="18" t="n">
        <v>0</v>
      </c>
      <c r="J18" s="20" t="n">
        <v>0</v>
      </c>
      <c r="K18" s="18" t="n">
        <v>1.23061906</v>
      </c>
      <c r="L18" s="20" t="n">
        <v>0.41851388</v>
      </c>
      <c r="M18" s="18" t="n">
        <v>0</v>
      </c>
      <c r="N18" s="20" t="n">
        <v>0</v>
      </c>
      <c r="O18" s="18" t="n">
        <v>0</v>
      </c>
      <c r="P18" s="20" t="n">
        <v>0</v>
      </c>
      <c r="Q18" s="18" t="n">
        <v>1.65922516</v>
      </c>
      <c r="R18" s="20" t="n">
        <v>0.41823094</v>
      </c>
    </row>
    <row r="19" spans="1:18">
      <c r="A19" s="15" t="s">
        <v>577</v>
      </c>
      <c r="B19" s="17" t="n">
        <v>5658</v>
      </c>
      <c r="C19" s="18">
        <f>(4486.0/B19*100)</f>
        <v/>
      </c>
      <c r="D19" s="19" t="n">
        <v>1172</v>
      </c>
      <c r="E19" s="18" t="n">
        <v>45.88443225</v>
      </c>
      <c r="F19" s="20" t="n">
        <v>1.51696653</v>
      </c>
      <c r="G19" s="18" t="n">
        <v>52.57914959</v>
      </c>
      <c r="H19" s="20" t="n">
        <v>1.55360401</v>
      </c>
      <c r="I19" s="18" t="n">
        <v>0</v>
      </c>
      <c r="J19" s="20" t="n">
        <v>0</v>
      </c>
      <c r="K19" s="18" t="n">
        <v>0.15392295</v>
      </c>
      <c r="L19" s="20" t="n">
        <v>0.10720328</v>
      </c>
      <c r="M19" s="18" t="n">
        <v>0</v>
      </c>
      <c r="N19" s="20" t="n">
        <v>0</v>
      </c>
      <c r="O19" s="18" t="n">
        <v>0</v>
      </c>
      <c r="P19" s="20" t="n">
        <v>0</v>
      </c>
      <c r="Q19" s="18" t="n">
        <v>1.38249521</v>
      </c>
      <c r="R19" s="20" t="n">
        <v>0.36439368</v>
      </c>
    </row>
    <row r="20" spans="1:18">
      <c r="A20" s="15" t="s">
        <v>578</v>
      </c>
      <c r="B20" s="17" t="n">
        <v>3371</v>
      </c>
      <c r="C20" s="18">
        <f>(2653.0/B20*100)</f>
        <v/>
      </c>
      <c r="D20" s="19" t="n">
        <v>718</v>
      </c>
      <c r="E20" s="18" t="n">
        <v>47.93638066</v>
      </c>
      <c r="F20" s="20" t="n">
        <v>1.90063546</v>
      </c>
      <c r="G20" s="18" t="n">
        <v>49.03393246</v>
      </c>
      <c r="H20" s="20" t="n">
        <v>1.91666054</v>
      </c>
      <c r="I20" s="18" t="n">
        <v>0</v>
      </c>
      <c r="J20" s="20" t="n">
        <v>0</v>
      </c>
      <c r="K20" s="18" t="n">
        <v>1.25173684</v>
      </c>
      <c r="L20" s="20" t="n">
        <v>0.41075712</v>
      </c>
      <c r="M20" s="18" t="n">
        <v>0</v>
      </c>
      <c r="N20" s="20" t="n">
        <v>0</v>
      </c>
      <c r="O20" s="18" t="n">
        <v>0</v>
      </c>
      <c r="P20" s="20" t="n">
        <v>0</v>
      </c>
      <c r="Q20" s="18" t="n">
        <v>1.77795005</v>
      </c>
      <c r="R20" s="20" t="n">
        <v>0.49883889</v>
      </c>
    </row>
    <row r="21" spans="1:18">
      <c r="A21" s="15" t="s">
        <v>579</v>
      </c>
      <c r="B21" s="17" t="n">
        <v>5741</v>
      </c>
      <c r="C21" s="18">
        <f>(4473.0/B21*100)</f>
        <v/>
      </c>
      <c r="D21" s="19" t="n">
        <v>1268</v>
      </c>
      <c r="E21" s="18" t="n">
        <v>40.30092581</v>
      </c>
      <c r="F21" s="20" t="n">
        <v>1.42194808</v>
      </c>
      <c r="G21" s="18" t="n">
        <v>58.28833229</v>
      </c>
      <c r="H21" s="20" t="n">
        <v>1.38377076</v>
      </c>
      <c r="I21" s="18" t="n">
        <v>0</v>
      </c>
      <c r="J21" s="20" t="n">
        <v>0</v>
      </c>
      <c r="K21" s="18" t="n">
        <v>0.42197822</v>
      </c>
      <c r="L21" s="20" t="n">
        <v>0.20376541</v>
      </c>
      <c r="M21" s="18" t="n">
        <v>0</v>
      </c>
      <c r="N21" s="20" t="n">
        <v>0</v>
      </c>
      <c r="O21" s="18" t="n">
        <v>0</v>
      </c>
      <c r="P21" s="20" t="n">
        <v>0</v>
      </c>
      <c r="Q21" s="18" t="n">
        <v>0.98876368</v>
      </c>
      <c r="R21" s="20" t="n">
        <v>0.27887325</v>
      </c>
    </row>
    <row r="22" spans="1:18">
      <c r="A22" s="15" t="s">
        <v>580</v>
      </c>
      <c r="B22" s="17" t="n">
        <v>6598</v>
      </c>
      <c r="C22" s="18">
        <f>(5199.0/B22*100)</f>
        <v/>
      </c>
      <c r="D22" s="19" t="n">
        <v>1399</v>
      </c>
      <c r="E22" s="18" t="n">
        <v>44.25687592</v>
      </c>
      <c r="F22" s="20" t="n">
        <v>1.71997261</v>
      </c>
      <c r="G22" s="18" t="n">
        <v>51.51628545</v>
      </c>
      <c r="H22" s="20" t="n">
        <v>1.659574</v>
      </c>
      <c r="I22" s="18" t="n">
        <v>0</v>
      </c>
      <c r="J22" s="20" t="n">
        <v>0</v>
      </c>
      <c r="K22" s="18" t="n">
        <v>1.73795925</v>
      </c>
      <c r="L22" s="20" t="n">
        <v>0.36536108</v>
      </c>
      <c r="M22" s="18" t="n">
        <v>0</v>
      </c>
      <c r="N22" s="20" t="n">
        <v>0</v>
      </c>
      <c r="O22" s="18" t="n">
        <v>0</v>
      </c>
      <c r="P22" s="20" t="n">
        <v>0</v>
      </c>
      <c r="Q22" s="18" t="n">
        <v>2.48887938</v>
      </c>
      <c r="R22" s="20" t="n">
        <v>0.37384459</v>
      </c>
    </row>
    <row r="23" spans="1:18">
      <c r="A23" s="15" t="s">
        <v>581</v>
      </c>
      <c r="B23" s="17" t="n">
        <v>11583</v>
      </c>
      <c r="C23" s="18">
        <f>(9015.0/B23*100)</f>
        <v/>
      </c>
      <c r="D23" s="19" t="n">
        <v>2568</v>
      </c>
      <c r="E23" s="18" t="n">
        <v>49.63917988</v>
      </c>
      <c r="F23" s="20" t="n">
        <v>1.31871809</v>
      </c>
      <c r="G23" s="18" t="n">
        <v>47.55537889</v>
      </c>
      <c r="H23" s="20" t="n">
        <v>1.35547018</v>
      </c>
      <c r="I23" s="18" t="n">
        <v>0</v>
      </c>
      <c r="J23" s="20" t="n">
        <v>0</v>
      </c>
      <c r="K23" s="18" t="n">
        <v>0.96474875</v>
      </c>
      <c r="L23" s="20" t="n">
        <v>0.34159316</v>
      </c>
      <c r="M23" s="18" t="n">
        <v>0</v>
      </c>
      <c r="N23" s="20" t="n">
        <v>0</v>
      </c>
      <c r="O23" s="18" t="n">
        <v>0</v>
      </c>
      <c r="P23" s="20" t="n">
        <v>0</v>
      </c>
      <c r="Q23" s="18" t="n">
        <v>1.84069249</v>
      </c>
      <c r="R23" s="20" t="n">
        <v>0.43108648</v>
      </c>
    </row>
    <row r="24" spans="1:18">
      <c r="A24" s="15" t="s">
        <v>582</v>
      </c>
      <c r="B24" s="17" t="n">
        <v>6647</v>
      </c>
      <c r="C24" s="18">
        <f>(5186.0/B24*100)</f>
        <v/>
      </c>
      <c r="D24" s="19" t="n">
        <v>1461</v>
      </c>
      <c r="E24" s="18" t="n">
        <v>37.50488967</v>
      </c>
      <c r="F24" s="20" t="n">
        <v>1.22343665</v>
      </c>
      <c r="G24" s="18" t="n">
        <v>61.35958669</v>
      </c>
      <c r="H24" s="20" t="n">
        <v>1.25386735</v>
      </c>
      <c r="I24" s="18" t="n">
        <v>0</v>
      </c>
      <c r="J24" s="20" t="n">
        <v>0</v>
      </c>
      <c r="K24" s="18" t="n">
        <v>0.19888303</v>
      </c>
      <c r="L24" s="20" t="n">
        <v>0.11831324</v>
      </c>
      <c r="M24" s="18" t="n">
        <v>0</v>
      </c>
      <c r="N24" s="20" t="n">
        <v>0</v>
      </c>
      <c r="O24" s="18" t="n">
        <v>0</v>
      </c>
      <c r="P24" s="20" t="n">
        <v>0</v>
      </c>
      <c r="Q24" s="18" t="n">
        <v>0.93664061</v>
      </c>
      <c r="R24" s="20" t="n">
        <v>0.21311698</v>
      </c>
    </row>
    <row r="25" spans="1:18">
      <c r="A25" s="15" t="s">
        <v>583</v>
      </c>
      <c r="B25" s="17" t="n">
        <v>5581</v>
      </c>
      <c r="C25" s="18">
        <f>(4357.0/B25*100)</f>
        <v/>
      </c>
      <c r="D25" s="19" t="n">
        <v>1224</v>
      </c>
      <c r="E25" s="18" t="n">
        <v>27.79816268</v>
      </c>
      <c r="F25" s="20" t="n">
        <v>1.36962575</v>
      </c>
      <c r="G25" s="18" t="n">
        <v>71.77035567999999</v>
      </c>
      <c r="H25" s="20" t="n">
        <v>1.3838859</v>
      </c>
      <c r="I25" s="18" t="n">
        <v>0</v>
      </c>
      <c r="J25" s="20" t="n">
        <v>0</v>
      </c>
      <c r="K25" s="18" t="n">
        <v>0</v>
      </c>
      <c r="L25" s="20" t="n">
        <v>0</v>
      </c>
      <c r="M25" s="18" t="n">
        <v>0</v>
      </c>
      <c r="N25" s="20" t="n">
        <v>0</v>
      </c>
      <c r="O25" s="18" t="n">
        <v>0</v>
      </c>
      <c r="P25" s="20" t="n">
        <v>0</v>
      </c>
      <c r="Q25" s="18" t="n">
        <v>0.43148164</v>
      </c>
      <c r="R25" s="20" t="n">
        <v>0.19083633</v>
      </c>
    </row>
    <row r="26" spans="1:18">
      <c r="A26" s="15" t="s">
        <v>584</v>
      </c>
      <c r="B26" s="17" t="n">
        <v>4869</v>
      </c>
      <c r="C26" s="18">
        <f>(3827.0/B26*100)</f>
        <v/>
      </c>
      <c r="D26" s="19" t="n">
        <v>1042</v>
      </c>
      <c r="E26" s="18" t="n">
        <v>41.48571538</v>
      </c>
      <c r="F26" s="20" t="n">
        <v>1.67539381</v>
      </c>
      <c r="G26" s="18" t="n">
        <v>58.11649289</v>
      </c>
      <c r="H26" s="20" t="n">
        <v>1.69145208</v>
      </c>
      <c r="I26" s="18" t="n">
        <v>0</v>
      </c>
      <c r="J26" s="20" t="n">
        <v>0</v>
      </c>
      <c r="K26" s="18" t="n">
        <v>0.07892181</v>
      </c>
      <c r="L26" s="20" t="n">
        <v>0.0792871</v>
      </c>
      <c r="M26" s="18" t="n">
        <v>0</v>
      </c>
      <c r="N26" s="20" t="n">
        <v>0</v>
      </c>
      <c r="O26" s="18" t="n">
        <v>0</v>
      </c>
      <c r="P26" s="20" t="n">
        <v>0</v>
      </c>
      <c r="Q26" s="18" t="n">
        <v>0.31886992</v>
      </c>
      <c r="R26" s="20" t="n">
        <v>0.15842242</v>
      </c>
    </row>
    <row r="27" spans="1:18">
      <c r="A27" s="15" t="s">
        <v>585</v>
      </c>
      <c r="B27" s="17" t="n">
        <v>5299</v>
      </c>
      <c r="C27" s="18">
        <f>(4138.0/B27*100)</f>
        <v/>
      </c>
      <c r="D27" s="19" t="n">
        <v>1161</v>
      </c>
      <c r="E27" s="18" t="n">
        <v>46.97603161</v>
      </c>
      <c r="F27" s="20" t="n">
        <v>1.41013058</v>
      </c>
      <c r="G27" s="18" t="n">
        <v>50.91953042</v>
      </c>
      <c r="H27" s="20" t="n">
        <v>1.31561099</v>
      </c>
      <c r="I27" s="18" t="n">
        <v>0</v>
      </c>
      <c r="J27" s="20" t="n">
        <v>0</v>
      </c>
      <c r="K27" s="18" t="n">
        <v>0.7127381699999999</v>
      </c>
      <c r="L27" s="20" t="n">
        <v>0.2484992</v>
      </c>
      <c r="M27" s="18" t="n">
        <v>0</v>
      </c>
      <c r="N27" s="20" t="n">
        <v>0</v>
      </c>
      <c r="O27" s="18" t="n">
        <v>0</v>
      </c>
      <c r="P27" s="20" t="n">
        <v>0</v>
      </c>
      <c r="Q27" s="18" t="n">
        <v>1.3916998</v>
      </c>
      <c r="R27" s="20" t="n">
        <v>0.36840731</v>
      </c>
    </row>
    <row r="28" spans="1:18">
      <c r="A28" s="15" t="s">
        <v>586</v>
      </c>
      <c r="B28" s="17" t="n">
        <v>7568</v>
      </c>
      <c r="C28" s="18">
        <f>(6087.0/B28*100)</f>
        <v/>
      </c>
      <c r="D28" s="19" t="n">
        <v>1481</v>
      </c>
      <c r="E28" s="18" t="n">
        <v>55.44203284</v>
      </c>
      <c r="F28" s="20" t="n">
        <v>1.30557719</v>
      </c>
      <c r="G28" s="18" t="n">
        <v>41.9159455</v>
      </c>
      <c r="H28" s="20" t="n">
        <v>1.32572879</v>
      </c>
      <c r="I28" s="18" t="n">
        <v>0</v>
      </c>
      <c r="J28" s="20" t="n">
        <v>0</v>
      </c>
      <c r="K28" s="18" t="n">
        <v>1.37764768</v>
      </c>
      <c r="L28" s="20" t="n">
        <v>0.53686888</v>
      </c>
      <c r="M28" s="18" t="n">
        <v>0</v>
      </c>
      <c r="N28" s="20" t="n">
        <v>0</v>
      </c>
      <c r="O28" s="18" t="n">
        <v>0</v>
      </c>
      <c r="P28" s="20" t="n">
        <v>0</v>
      </c>
      <c r="Q28" s="18" t="n">
        <v>1.26437397</v>
      </c>
      <c r="R28" s="20" t="n">
        <v>0.33575892</v>
      </c>
    </row>
    <row r="29" spans="1:18">
      <c r="A29" s="15" t="s">
        <v>587</v>
      </c>
      <c r="B29" s="17" t="n">
        <v>5385</v>
      </c>
      <c r="C29" s="18">
        <f>(4277.0/B29*100)</f>
        <v/>
      </c>
      <c r="D29" s="19" t="n">
        <v>1108</v>
      </c>
      <c r="E29" s="18" t="n">
        <v>44.53297593</v>
      </c>
      <c r="F29" s="20" t="n">
        <v>1.5203372</v>
      </c>
      <c r="G29" s="18" t="n">
        <v>54.35832108</v>
      </c>
      <c r="H29" s="20" t="n">
        <v>1.4843545</v>
      </c>
      <c r="I29" s="18" t="n">
        <v>0</v>
      </c>
      <c r="J29" s="20" t="n">
        <v>0</v>
      </c>
      <c r="K29" s="18" t="n">
        <v>0.47512178</v>
      </c>
      <c r="L29" s="20" t="n">
        <v>0.2231712</v>
      </c>
      <c r="M29" s="18" t="n">
        <v>0</v>
      </c>
      <c r="N29" s="20" t="n">
        <v>0</v>
      </c>
      <c r="O29" s="18" t="n">
        <v>0</v>
      </c>
      <c r="P29" s="20" t="n">
        <v>0</v>
      </c>
      <c r="Q29" s="18" t="n">
        <v>0.6335812199999999</v>
      </c>
      <c r="R29" s="20" t="n">
        <v>0.23700045</v>
      </c>
    </row>
    <row r="30" spans="1:18">
      <c r="A30" s="15" t="s">
        <v>588</v>
      </c>
      <c r="B30" s="17" t="n">
        <v>4520</v>
      </c>
      <c r="C30" s="18">
        <f>(3553.0/B30*100)</f>
        <v/>
      </c>
      <c r="D30" s="19" t="n">
        <v>967</v>
      </c>
      <c r="E30" s="18" t="n">
        <v>38.63426048</v>
      </c>
      <c r="F30" s="20" t="n">
        <v>1.84857486</v>
      </c>
      <c r="G30" s="18" t="n">
        <v>58.79760143</v>
      </c>
      <c r="H30" s="20" t="n">
        <v>1.89660948</v>
      </c>
      <c r="I30" s="18" t="n">
        <v>0</v>
      </c>
      <c r="J30" s="20" t="n">
        <v>0</v>
      </c>
      <c r="K30" s="18" t="n">
        <v>1.46912673</v>
      </c>
      <c r="L30" s="20" t="n">
        <v>0.43389821</v>
      </c>
      <c r="M30" s="18" t="n">
        <v>0</v>
      </c>
      <c r="N30" s="20" t="n">
        <v>0</v>
      </c>
      <c r="O30" s="18" t="n">
        <v>0</v>
      </c>
      <c r="P30" s="20" t="n">
        <v>0</v>
      </c>
      <c r="Q30" s="18" t="n">
        <v>1.09901136</v>
      </c>
      <c r="R30" s="20" t="n">
        <v>0.30363648</v>
      </c>
    </row>
    <row r="31" spans="1:18">
      <c r="A31" s="15" t="s">
        <v>589</v>
      </c>
      <c r="B31" s="17" t="n">
        <v>5456</v>
      </c>
      <c r="C31" s="18">
        <f>(4268.0/B31*100)</f>
        <v/>
      </c>
      <c r="D31" s="19" t="n">
        <v>1188</v>
      </c>
      <c r="E31" s="18" t="n">
        <v>45.54764724</v>
      </c>
      <c r="F31" s="20" t="n">
        <v>1.45172918</v>
      </c>
      <c r="G31" s="18" t="n">
        <v>51.50292075</v>
      </c>
      <c r="H31" s="20" t="n">
        <v>1.51422656</v>
      </c>
      <c r="I31" s="18" t="n">
        <v>0</v>
      </c>
      <c r="J31" s="20" t="n">
        <v>0</v>
      </c>
      <c r="K31" s="18" t="n">
        <v>1.21445978</v>
      </c>
      <c r="L31" s="20" t="n">
        <v>0.34081527</v>
      </c>
      <c r="M31" s="18" t="n">
        <v>0</v>
      </c>
      <c r="N31" s="20" t="n">
        <v>0</v>
      </c>
      <c r="O31" s="18" t="n">
        <v>0</v>
      </c>
      <c r="P31" s="20" t="n">
        <v>0</v>
      </c>
      <c r="Q31" s="18" t="n">
        <v>1.73497224</v>
      </c>
      <c r="R31" s="20" t="n">
        <v>0.34683755</v>
      </c>
    </row>
    <row r="32" spans="1:18">
      <c r="A32" s="15" t="s">
        <v>590</v>
      </c>
      <c r="B32" s="17" t="n">
        <v>4478</v>
      </c>
      <c r="C32" s="18">
        <f>(3445.0/B32*100)</f>
        <v/>
      </c>
      <c r="D32" s="19" t="n">
        <v>1033</v>
      </c>
      <c r="E32" s="18" t="n">
        <v>47.20806361</v>
      </c>
      <c r="F32" s="20" t="n">
        <v>1.72872583</v>
      </c>
      <c r="G32" s="18" t="n">
        <v>52.35077656</v>
      </c>
      <c r="H32" s="20" t="n">
        <v>1.73791436</v>
      </c>
      <c r="I32" s="18" t="n">
        <v>0</v>
      </c>
      <c r="J32" s="20" t="n">
        <v>0</v>
      </c>
      <c r="K32" s="18" t="n">
        <v>0</v>
      </c>
      <c r="L32" s="20" t="n">
        <v>0</v>
      </c>
      <c r="M32" s="18" t="n">
        <v>0</v>
      </c>
      <c r="N32" s="20" t="n">
        <v>0</v>
      </c>
      <c r="O32" s="18" t="n">
        <v>0</v>
      </c>
      <c r="P32" s="20" t="n">
        <v>0</v>
      </c>
      <c r="Q32" s="18" t="n">
        <v>0.44115983</v>
      </c>
      <c r="R32" s="20" t="n">
        <v>0.19742095</v>
      </c>
    </row>
    <row r="33" spans="1:18">
      <c r="A33" s="15" t="s">
        <v>591</v>
      </c>
      <c r="B33" s="17" t="n">
        <v>7325</v>
      </c>
      <c r="C33" s="18">
        <f>(5757.0/B33*100)</f>
        <v/>
      </c>
      <c r="D33" s="19" t="n">
        <v>1568</v>
      </c>
      <c r="E33" s="18" t="n">
        <v>43.45221788</v>
      </c>
      <c r="F33" s="20" t="n">
        <v>1.31828372</v>
      </c>
      <c r="G33" s="18" t="n">
        <v>54.70999211</v>
      </c>
      <c r="H33" s="20" t="n">
        <v>1.41259448</v>
      </c>
      <c r="I33" s="18" t="n">
        <v>0</v>
      </c>
      <c r="J33" s="20" t="n">
        <v>0</v>
      </c>
      <c r="K33" s="18" t="n">
        <v>0.79612834</v>
      </c>
      <c r="L33" s="20" t="n">
        <v>0.31636033</v>
      </c>
      <c r="M33" s="18" t="n">
        <v>0</v>
      </c>
      <c r="N33" s="20" t="n">
        <v>0</v>
      </c>
      <c r="O33" s="18" t="n">
        <v>0</v>
      </c>
      <c r="P33" s="20" t="n">
        <v>0</v>
      </c>
      <c r="Q33" s="18" t="n">
        <v>1.04166167</v>
      </c>
      <c r="R33" s="20" t="n">
        <v>0.29531928</v>
      </c>
    </row>
    <row r="34" spans="1:18">
      <c r="A34" s="15" t="s">
        <v>592</v>
      </c>
      <c r="B34" s="17" t="n">
        <v>6350</v>
      </c>
      <c r="C34" s="18">
        <f>(5047.0/B34*100)</f>
        <v/>
      </c>
      <c r="D34" s="19" t="n">
        <v>1303</v>
      </c>
      <c r="E34" s="18" t="n">
        <v>49.24645495</v>
      </c>
      <c r="F34" s="20" t="n">
        <v>1.39213717</v>
      </c>
      <c r="G34" s="18" t="n">
        <v>49.03027892</v>
      </c>
      <c r="H34" s="20" t="n">
        <v>1.4013985</v>
      </c>
      <c r="I34" s="18" t="n">
        <v>0</v>
      </c>
      <c r="J34" s="20" t="n">
        <v>0</v>
      </c>
      <c r="K34" s="18" t="n">
        <v>0.20213547</v>
      </c>
      <c r="L34" s="20" t="n">
        <v>0.11309599</v>
      </c>
      <c r="M34" s="18" t="n">
        <v>0</v>
      </c>
      <c r="N34" s="20" t="n">
        <v>0</v>
      </c>
      <c r="O34" s="18" t="n">
        <v>0</v>
      </c>
      <c r="P34" s="20" t="n">
        <v>0</v>
      </c>
      <c r="Q34" s="18" t="n">
        <v>1.52113066</v>
      </c>
      <c r="R34" s="20" t="n">
        <v>0.39590292</v>
      </c>
    </row>
    <row r="35" spans="1:18">
      <c r="A35" s="15" t="s">
        <v>593</v>
      </c>
      <c r="B35" s="17" t="n">
        <v>6406</v>
      </c>
      <c r="C35" s="18">
        <f>(5015.0/B35*100)</f>
        <v/>
      </c>
      <c r="D35" s="19" t="n">
        <v>1391</v>
      </c>
      <c r="E35" s="18" t="n">
        <v>37.67815721</v>
      </c>
      <c r="F35" s="20" t="n">
        <v>1.53646324</v>
      </c>
      <c r="G35" s="18" t="n">
        <v>61.11509719</v>
      </c>
      <c r="H35" s="20" t="n">
        <v>1.51542764</v>
      </c>
      <c r="I35" s="18" t="n">
        <v>0</v>
      </c>
      <c r="J35" s="20" t="n">
        <v>0</v>
      </c>
      <c r="K35" s="18" t="n">
        <v>0.27866605</v>
      </c>
      <c r="L35" s="20" t="n">
        <v>0.13868284</v>
      </c>
      <c r="M35" s="18" t="n">
        <v>0</v>
      </c>
      <c r="N35" s="20" t="n">
        <v>0</v>
      </c>
      <c r="O35" s="18" t="n">
        <v>0</v>
      </c>
      <c r="P35" s="20" t="n">
        <v>0</v>
      </c>
      <c r="Q35" s="18" t="n">
        <v>0.92807956</v>
      </c>
      <c r="R35" s="20" t="n">
        <v>0.26216442</v>
      </c>
    </row>
    <row r="36" spans="1:18">
      <c r="A36" s="15" t="s">
        <v>594</v>
      </c>
      <c r="B36" s="17" t="n">
        <v>6736</v>
      </c>
      <c r="C36" s="18">
        <f>(5294.0/B36*100)</f>
        <v/>
      </c>
      <c r="D36" s="19" t="n">
        <v>1442</v>
      </c>
      <c r="E36" s="18" t="n">
        <v>43.53053499</v>
      </c>
      <c r="F36" s="20" t="n">
        <v>1.20998755</v>
      </c>
      <c r="G36" s="18" t="n">
        <v>54.33912016</v>
      </c>
      <c r="H36" s="20" t="n">
        <v>1.17410109</v>
      </c>
      <c r="I36" s="18" t="n">
        <v>0</v>
      </c>
      <c r="J36" s="20" t="n">
        <v>0</v>
      </c>
      <c r="K36" s="18" t="n">
        <v>0.8533456</v>
      </c>
      <c r="L36" s="20" t="n">
        <v>0.22403479</v>
      </c>
      <c r="M36" s="18" t="n">
        <v>0</v>
      </c>
      <c r="N36" s="20" t="n">
        <v>0</v>
      </c>
      <c r="O36" s="18" t="n">
        <v>0</v>
      </c>
      <c r="P36" s="20" t="n">
        <v>0</v>
      </c>
      <c r="Q36" s="18" t="n">
        <v>1.27699925</v>
      </c>
      <c r="R36" s="20" t="n">
        <v>0.29098894</v>
      </c>
    </row>
    <row r="37" spans="1:18">
      <c r="A37" s="15" t="s">
        <v>595</v>
      </c>
      <c r="B37" s="17" t="n">
        <v>5458</v>
      </c>
      <c r="C37" s="18">
        <f>(4321.0/B37*100)</f>
        <v/>
      </c>
      <c r="D37" s="19" t="n">
        <v>1137</v>
      </c>
      <c r="E37" s="18" t="n">
        <v>44.08548782</v>
      </c>
      <c r="F37" s="20" t="n">
        <v>1.70834703</v>
      </c>
      <c r="G37" s="18" t="n">
        <v>52.52779337</v>
      </c>
      <c r="H37" s="20" t="n">
        <v>1.74298268</v>
      </c>
      <c r="I37" s="18" t="n">
        <v>0</v>
      </c>
      <c r="J37" s="20" t="n">
        <v>0</v>
      </c>
      <c r="K37" s="18" t="n">
        <v>1.25821037</v>
      </c>
      <c r="L37" s="20" t="n">
        <v>0.3434966</v>
      </c>
      <c r="M37" s="18" t="n">
        <v>0</v>
      </c>
      <c r="N37" s="20" t="n">
        <v>0</v>
      </c>
      <c r="O37" s="18" t="n">
        <v>0</v>
      </c>
      <c r="P37" s="20" t="n">
        <v>0</v>
      </c>
      <c r="Q37" s="18" t="n">
        <v>2.12850844</v>
      </c>
      <c r="R37" s="20" t="n">
        <v>0.35768693</v>
      </c>
    </row>
    <row r="38" spans="1:18">
      <c r="A38" s="15" t="s">
        <v>596</v>
      </c>
      <c r="B38" s="17" t="n">
        <v>5860</v>
      </c>
      <c r="C38" s="18">
        <f>(4593.0/B38*100)</f>
        <v/>
      </c>
      <c r="D38" s="19" t="n">
        <v>1267</v>
      </c>
      <c r="E38" s="18" t="n">
        <v>42.19890881</v>
      </c>
      <c r="F38" s="20" t="n">
        <v>1.59924163</v>
      </c>
      <c r="G38" s="18" t="n">
        <v>55.4018146</v>
      </c>
      <c r="H38" s="20" t="n">
        <v>1.70792273</v>
      </c>
      <c r="I38" s="18" t="n">
        <v>0</v>
      </c>
      <c r="J38" s="20" t="n">
        <v>0</v>
      </c>
      <c r="K38" s="18" t="n">
        <v>0.41335272</v>
      </c>
      <c r="L38" s="20" t="n">
        <v>0.17599698</v>
      </c>
      <c r="M38" s="18" t="n">
        <v>0</v>
      </c>
      <c r="N38" s="20" t="n">
        <v>0</v>
      </c>
      <c r="O38" s="18" t="n">
        <v>0</v>
      </c>
      <c r="P38" s="20" t="n">
        <v>0</v>
      </c>
      <c r="Q38" s="18" t="n">
        <v>1.98592387</v>
      </c>
      <c r="R38" s="20" t="n">
        <v>0.57453157</v>
      </c>
    </row>
    <row r="39" spans="1:18">
      <c r="A39" s="15" t="s">
        <v>597</v>
      </c>
      <c r="B39" s="17" t="n">
        <v>5895</v>
      </c>
      <c r="C39" s="18">
        <f>(4578.0/B39*100)</f>
        <v/>
      </c>
      <c r="D39" s="19" t="n">
        <v>1317</v>
      </c>
      <c r="E39" s="18" t="n">
        <v>54.91048653</v>
      </c>
      <c r="F39" s="20" t="n">
        <v>1.48708089</v>
      </c>
      <c r="G39" s="18" t="n">
        <v>44.03994425</v>
      </c>
      <c r="H39" s="20" t="n">
        <v>1.4736304</v>
      </c>
      <c r="I39" s="18" t="n">
        <v>0</v>
      </c>
      <c r="J39" s="20" t="n">
        <v>0</v>
      </c>
      <c r="K39" s="18" t="n">
        <v>0.44930724</v>
      </c>
      <c r="L39" s="20" t="n">
        <v>0.15958177</v>
      </c>
      <c r="M39" s="18" t="n">
        <v>0</v>
      </c>
      <c r="N39" s="20" t="n">
        <v>0</v>
      </c>
      <c r="O39" s="18" t="n">
        <v>0</v>
      </c>
      <c r="P39" s="20" t="n">
        <v>0</v>
      </c>
      <c r="Q39" s="18" t="n">
        <v>0.60026198</v>
      </c>
      <c r="R39" s="20" t="n">
        <v>0.22154046</v>
      </c>
    </row>
    <row r="40" spans="1:18">
      <c r="A40" s="15" t="s">
        <v>598</v>
      </c>
      <c r="B40" s="17" t="n">
        <v>14157</v>
      </c>
      <c r="C40" s="18">
        <f>(11045.0/B40*100)</f>
        <v/>
      </c>
      <c r="D40" s="19" t="n">
        <v>3112</v>
      </c>
      <c r="E40" s="18" t="n">
        <v>40.45480854</v>
      </c>
      <c r="F40" s="20" t="n">
        <v>1.43112768</v>
      </c>
      <c r="G40" s="18" t="n">
        <v>57.66390498</v>
      </c>
      <c r="H40" s="20" t="n">
        <v>1.44651611</v>
      </c>
      <c r="I40" s="18" t="n">
        <v>0</v>
      </c>
      <c r="J40" s="20" t="n">
        <v>0</v>
      </c>
      <c r="K40" s="18" t="n">
        <v>0.6190494600000001</v>
      </c>
      <c r="L40" s="20" t="n">
        <v>0.22223367</v>
      </c>
      <c r="M40" s="18" t="n">
        <v>0</v>
      </c>
      <c r="N40" s="20" t="n">
        <v>0</v>
      </c>
      <c r="O40" s="18" t="n">
        <v>0</v>
      </c>
      <c r="P40" s="20" t="n">
        <v>0</v>
      </c>
      <c r="Q40" s="18" t="n">
        <v>1.26223701</v>
      </c>
      <c r="R40" s="20" t="n">
        <v>0.34818345</v>
      </c>
    </row>
    <row r="41" spans="1:18">
      <c r="A41" s="15" t="s">
        <v>599</v>
      </c>
      <c r="B41" s="17" t="n">
        <v>5712</v>
      </c>
      <c r="C41" s="18">
        <f>(4526.0/B41*100)</f>
        <v/>
      </c>
      <c r="D41" s="19" t="n">
        <v>1186</v>
      </c>
      <c r="E41" s="18" t="n">
        <v>36.40933318</v>
      </c>
      <c r="F41" s="20" t="n">
        <v>1.69763785</v>
      </c>
      <c r="G41" s="18" t="n">
        <v>62.75283264</v>
      </c>
      <c r="H41" s="20" t="n">
        <v>1.76199457</v>
      </c>
      <c r="I41" s="18" t="n">
        <v>0</v>
      </c>
      <c r="J41" s="20" t="n">
        <v>0</v>
      </c>
      <c r="K41" s="18" t="n">
        <v>0.32340977</v>
      </c>
      <c r="L41" s="20" t="n">
        <v>0.16507017</v>
      </c>
      <c r="M41" s="18" t="n">
        <v>0</v>
      </c>
      <c r="N41" s="20" t="n">
        <v>0</v>
      </c>
      <c r="O41" s="18" t="n">
        <v>0</v>
      </c>
      <c r="P41" s="20" t="n">
        <v>0</v>
      </c>
      <c r="Q41" s="18" t="n">
        <v>0.5144244100000001</v>
      </c>
      <c r="R41" s="20" t="n">
        <v>0.27341982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(19339.0/B46*100)</f>
        <v/>
      </c>
      <c r="D46" s="19" t="n">
        <v>3802</v>
      </c>
      <c r="E46" s="18" t="n">
        <v>55.21023262</v>
      </c>
      <c r="F46" s="20" t="n">
        <v>1.04085831</v>
      </c>
      <c r="G46" s="18" t="n">
        <v>40.77745006</v>
      </c>
      <c r="H46" s="20" t="n">
        <v>1.10611091</v>
      </c>
      <c r="I46" s="18" t="n">
        <v>0</v>
      </c>
      <c r="J46" s="20" t="n">
        <v>0</v>
      </c>
      <c r="K46" s="18" t="n">
        <v>2.09184452</v>
      </c>
      <c r="L46" s="20" t="n">
        <v>0.45686904</v>
      </c>
      <c r="M46" s="18" t="n">
        <v>0</v>
      </c>
      <c r="N46" s="20" t="n">
        <v>0</v>
      </c>
      <c r="O46" s="18" t="n">
        <v>0</v>
      </c>
      <c r="P46" s="20" t="n">
        <v>0</v>
      </c>
      <c r="Q46" s="18" t="n">
        <v>1.9204728</v>
      </c>
      <c r="R46" s="20" t="n">
        <v>0.33385777</v>
      </c>
    </row>
    <row r="47" spans="1:18">
      <c r="A47" s="15" t="s">
        <v>606</v>
      </c>
      <c r="B47" s="17" t="n">
        <v>5928</v>
      </c>
      <c r="C47" s="18">
        <f>(4718.0/B47*100)</f>
        <v/>
      </c>
      <c r="D47" s="19" t="n">
        <v>1210</v>
      </c>
      <c r="E47" s="18" t="n">
        <v>48.08850998</v>
      </c>
      <c r="F47" s="20" t="n">
        <v>1.3278297</v>
      </c>
      <c r="G47" s="18" t="n">
        <v>48.71622243</v>
      </c>
      <c r="H47" s="20" t="n">
        <v>1.32576679</v>
      </c>
      <c r="I47" s="18" t="n">
        <v>0</v>
      </c>
      <c r="J47" s="20" t="n">
        <v>0</v>
      </c>
      <c r="K47" s="18" t="n">
        <v>1.5555466</v>
      </c>
      <c r="L47" s="20" t="n">
        <v>0.37028832</v>
      </c>
      <c r="M47" s="18" t="n">
        <v>0</v>
      </c>
      <c r="N47" s="20" t="n">
        <v>0</v>
      </c>
      <c r="O47" s="18" t="n">
        <v>0</v>
      </c>
      <c r="P47" s="20" t="n">
        <v>0</v>
      </c>
      <c r="Q47" s="18" t="n">
        <v>1.63972099</v>
      </c>
      <c r="R47" s="20" t="n">
        <v>0.37242255</v>
      </c>
    </row>
    <row r="48" spans="1:18">
      <c r="A48" s="15" t="s">
        <v>607</v>
      </c>
      <c r="B48" s="17" t="n">
        <v>9841</v>
      </c>
      <c r="C48" s="18">
        <f>(7690.0/B48*100)</f>
        <v/>
      </c>
      <c r="D48" s="19" t="n">
        <v>2151</v>
      </c>
      <c r="E48" s="18" t="n">
        <v>44.05816867</v>
      </c>
      <c r="F48" s="20" t="n">
        <v>1.31622474</v>
      </c>
      <c r="G48" s="18" t="n">
        <v>54.72427062</v>
      </c>
      <c r="H48" s="20" t="n">
        <v>1.33935653</v>
      </c>
      <c r="I48" s="18" t="n">
        <v>0</v>
      </c>
      <c r="J48" s="20" t="n">
        <v>0</v>
      </c>
      <c r="K48" s="18" t="n">
        <v>0.85941678</v>
      </c>
      <c r="L48" s="20" t="n">
        <v>0.31987067</v>
      </c>
      <c r="M48" s="18" t="n">
        <v>0</v>
      </c>
      <c r="N48" s="20" t="n">
        <v>0</v>
      </c>
      <c r="O48" s="18" t="n">
        <v>0</v>
      </c>
      <c r="P48" s="20" t="n">
        <v>0</v>
      </c>
      <c r="Q48" s="18" t="n">
        <v>0.35814393</v>
      </c>
      <c r="R48" s="20" t="n">
        <v>0.16069166</v>
      </c>
    </row>
    <row r="49" spans="1:18">
      <c r="A49" s="15" t="s">
        <v>608</v>
      </c>
      <c r="B49" s="17" t="n">
        <v>11795</v>
      </c>
      <c r="C49" s="18">
        <f>(9356.0/B49*100)</f>
        <v/>
      </c>
      <c r="D49" s="19" t="n">
        <v>2439</v>
      </c>
      <c r="E49" s="18" t="n">
        <v>52.47609213</v>
      </c>
      <c r="F49" s="20" t="n">
        <v>1.46576805</v>
      </c>
      <c r="G49" s="18" t="n">
        <v>42.6226767</v>
      </c>
      <c r="H49" s="20" t="n">
        <v>1.34182818</v>
      </c>
      <c r="I49" s="18" t="n">
        <v>0</v>
      </c>
      <c r="J49" s="20" t="n">
        <v>0</v>
      </c>
      <c r="K49" s="18" t="n">
        <v>3.46752405</v>
      </c>
      <c r="L49" s="20" t="n">
        <v>0.51366469</v>
      </c>
      <c r="M49" s="18" t="n">
        <v>0</v>
      </c>
      <c r="N49" s="20" t="n">
        <v>0</v>
      </c>
      <c r="O49" s="18" t="n">
        <v>0</v>
      </c>
      <c r="P49" s="20" t="n">
        <v>0</v>
      </c>
      <c r="Q49" s="18" t="n">
        <v>1.43370712</v>
      </c>
      <c r="R49" s="20" t="n">
        <v>0.31738909</v>
      </c>
    </row>
    <row r="50" spans="1:18">
      <c r="A50" s="15" t="s">
        <v>609</v>
      </c>
      <c r="B50" s="17" t="n">
        <v>6866</v>
      </c>
      <c r="C50" s="18">
        <f>(5634.0/B50*100)</f>
        <v/>
      </c>
      <c r="D50" s="19" t="n">
        <v>1232</v>
      </c>
      <c r="E50" s="18" t="n">
        <v>51.09202878</v>
      </c>
      <c r="F50" s="20" t="n">
        <v>1.49570837</v>
      </c>
      <c r="G50" s="18" t="n">
        <v>46.96292112</v>
      </c>
      <c r="H50" s="20" t="n">
        <v>1.4012811</v>
      </c>
      <c r="I50" s="18" t="n">
        <v>0</v>
      </c>
      <c r="J50" s="20" t="n">
        <v>0</v>
      </c>
      <c r="K50" s="18" t="n">
        <v>0.44513625</v>
      </c>
      <c r="L50" s="20" t="n">
        <v>0.17680719</v>
      </c>
      <c r="M50" s="18" t="n">
        <v>0</v>
      </c>
      <c r="N50" s="20" t="n">
        <v>0</v>
      </c>
      <c r="O50" s="18" t="n">
        <v>0</v>
      </c>
      <c r="P50" s="20" t="n">
        <v>0</v>
      </c>
      <c r="Q50" s="18" t="n">
        <v>1.49991385</v>
      </c>
      <c r="R50" s="20" t="n">
        <v>0.35701989</v>
      </c>
    </row>
    <row r="51" spans="1:18">
      <c r="A51" s="15" t="s">
        <v>610</v>
      </c>
      <c r="B51" s="17" t="n">
        <v>5809</v>
      </c>
      <c r="C51" s="18">
        <f>(4488.0/B51*100)</f>
        <v/>
      </c>
      <c r="D51" s="19" t="n">
        <v>1321</v>
      </c>
      <c r="E51" s="18" t="n">
        <v>47.97293613</v>
      </c>
      <c r="F51" s="20" t="n">
        <v>1.43204732</v>
      </c>
      <c r="G51" s="18" t="n">
        <v>51.08150715</v>
      </c>
      <c r="H51" s="20" t="n">
        <v>1.43392608</v>
      </c>
      <c r="I51" s="18" t="n">
        <v>0</v>
      </c>
      <c r="J51" s="20" t="n">
        <v>0</v>
      </c>
      <c r="K51" s="18" t="n">
        <v>0.22068351</v>
      </c>
      <c r="L51" s="20" t="n">
        <v>0.12108284</v>
      </c>
      <c r="M51" s="18" t="n">
        <v>0</v>
      </c>
      <c r="N51" s="20" t="n">
        <v>0</v>
      </c>
      <c r="O51" s="18" t="n">
        <v>0</v>
      </c>
      <c r="P51" s="20" t="n">
        <v>0</v>
      </c>
      <c r="Q51" s="18" t="n">
        <v>0.72487321</v>
      </c>
      <c r="R51" s="20" t="n">
        <v>0.27825118</v>
      </c>
    </row>
    <row r="52" spans="1:18">
      <c r="A52" s="15" t="s">
        <v>611</v>
      </c>
      <c r="B52" s="17" t="n">
        <v>5571</v>
      </c>
      <c r="C52" s="18">
        <f>(4361.0/B52*100)</f>
        <v/>
      </c>
      <c r="D52" s="19" t="n">
        <v>1210</v>
      </c>
      <c r="E52" s="18" t="n">
        <v>50.08115816</v>
      </c>
      <c r="F52" s="20" t="n">
        <v>1.35410776</v>
      </c>
      <c r="G52" s="18" t="n">
        <v>48.11885</v>
      </c>
      <c r="H52" s="20" t="n">
        <v>1.3323437</v>
      </c>
      <c r="I52" s="18" t="n">
        <v>0</v>
      </c>
      <c r="J52" s="20" t="n">
        <v>0</v>
      </c>
      <c r="K52" s="18" t="n">
        <v>0.7429505199999999</v>
      </c>
      <c r="L52" s="20" t="n">
        <v>0.2579951</v>
      </c>
      <c r="M52" s="18" t="n">
        <v>0</v>
      </c>
      <c r="N52" s="20" t="n">
        <v>0</v>
      </c>
      <c r="O52" s="18" t="n">
        <v>0</v>
      </c>
      <c r="P52" s="20" t="n">
        <v>0</v>
      </c>
      <c r="Q52" s="18" t="n">
        <v>1.05704132</v>
      </c>
      <c r="R52" s="20" t="n">
        <v>0.34364672</v>
      </c>
    </row>
    <row r="53" spans="1:18">
      <c r="A53" s="15" t="s">
        <v>612</v>
      </c>
      <c r="B53" s="17" t="n">
        <v>4740</v>
      </c>
      <c r="C53" s="18">
        <f>(3697.0/B53*100)</f>
        <v/>
      </c>
      <c r="D53" s="19" t="n">
        <v>1043</v>
      </c>
      <c r="E53" s="18" t="n">
        <v>47.8977138</v>
      </c>
      <c r="F53" s="20" t="n">
        <v>1.90005657</v>
      </c>
      <c r="G53" s="18" t="n">
        <v>34.13027209</v>
      </c>
      <c r="H53" s="20" t="n">
        <v>1.61158637</v>
      </c>
      <c r="I53" s="18" t="n">
        <v>0</v>
      </c>
      <c r="J53" s="20" t="n">
        <v>0</v>
      </c>
      <c r="K53" s="18" t="n">
        <v>15.42738528</v>
      </c>
      <c r="L53" s="20" t="n">
        <v>1.37033898</v>
      </c>
      <c r="M53" s="18" t="n">
        <v>0</v>
      </c>
      <c r="N53" s="20" t="n">
        <v>0</v>
      </c>
      <c r="O53" s="18" t="n">
        <v>0</v>
      </c>
      <c r="P53" s="20" t="n">
        <v>0</v>
      </c>
      <c r="Q53" s="18" t="n">
        <v>2.54462883</v>
      </c>
      <c r="R53" s="20" t="n">
        <v>0.51396614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(4150.0/B55*100)</f>
        <v/>
      </c>
      <c r="D55" s="19" t="n">
        <v>1209</v>
      </c>
      <c r="E55" s="18" t="n">
        <v>40.16898478</v>
      </c>
      <c r="F55" s="20" t="n">
        <v>1.49723558</v>
      </c>
      <c r="G55" s="18" t="n">
        <v>59.28602537</v>
      </c>
      <c r="H55" s="20" t="n">
        <v>1.51710904</v>
      </c>
      <c r="I55" s="18" t="n">
        <v>0</v>
      </c>
      <c r="J55" s="20" t="n">
        <v>0</v>
      </c>
      <c r="K55" s="18" t="n">
        <v>0.35608523</v>
      </c>
      <c r="L55" s="20" t="n">
        <v>0.20541984</v>
      </c>
      <c r="M55" s="18" t="n">
        <v>0</v>
      </c>
      <c r="N55" s="20" t="n">
        <v>0</v>
      </c>
      <c r="O55" s="18" t="n">
        <v>0</v>
      </c>
      <c r="P55" s="20" t="n">
        <v>0</v>
      </c>
      <c r="Q55" s="18" t="n">
        <v>0.18890462</v>
      </c>
      <c r="R55" s="20" t="n">
        <v>0.14805473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(5087.0/B61*100)</f>
        <v/>
      </c>
      <c r="D61" s="19" t="n">
        <v>1438</v>
      </c>
      <c r="E61" s="18" t="n">
        <v>45.9244652</v>
      </c>
      <c r="F61" s="20" t="n">
        <v>1.32876275</v>
      </c>
      <c r="G61" s="18" t="n">
        <v>53.19806813</v>
      </c>
      <c r="H61" s="20" t="n">
        <v>1.30149342</v>
      </c>
      <c r="I61" s="18" t="n">
        <v>0</v>
      </c>
      <c r="J61" s="20" t="n">
        <v>0</v>
      </c>
      <c r="K61" s="18" t="n">
        <v>0.10746863</v>
      </c>
      <c r="L61" s="20" t="n">
        <v>0.09446280999999999</v>
      </c>
      <c r="M61" s="18" t="n">
        <v>0</v>
      </c>
      <c r="N61" s="20" t="n">
        <v>0</v>
      </c>
      <c r="O61" s="18" t="n">
        <v>0</v>
      </c>
      <c r="P61" s="20" t="n">
        <v>0</v>
      </c>
      <c r="Q61" s="18" t="n">
        <v>0.7699980400000001</v>
      </c>
      <c r="R61" s="20" t="n">
        <v>0.24839398</v>
      </c>
    </row>
    <row r="62" spans="1:18">
      <c r="A62" s="15" t="s">
        <v>622</v>
      </c>
      <c r="B62" s="17" t="n">
        <v>4476</v>
      </c>
      <c r="C62" s="18">
        <f>(3544.0/B62*100)</f>
        <v/>
      </c>
      <c r="D62" s="19" t="n">
        <v>932</v>
      </c>
      <c r="E62" s="18" t="n">
        <v>39.56840306</v>
      </c>
      <c r="F62" s="20" t="n">
        <v>1.48274624</v>
      </c>
      <c r="G62" s="18" t="n">
        <v>60.10398347</v>
      </c>
      <c r="H62" s="20" t="n">
        <v>1.49589486</v>
      </c>
      <c r="I62" s="18" t="n">
        <v>0</v>
      </c>
      <c r="J62" s="20" t="n">
        <v>0</v>
      </c>
      <c r="K62" s="18" t="n">
        <v>0</v>
      </c>
      <c r="L62" s="20" t="n">
        <v>0</v>
      </c>
      <c r="M62" s="18" t="n">
        <v>0</v>
      </c>
      <c r="N62" s="20" t="n">
        <v>0</v>
      </c>
      <c r="O62" s="18" t="n">
        <v>0</v>
      </c>
      <c r="P62" s="20" t="n">
        <v>0</v>
      </c>
      <c r="Q62" s="18" t="n">
        <v>0.32761347</v>
      </c>
      <c r="R62" s="20" t="n">
        <v>0.18573721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(4464.0/B67*100)</f>
        <v/>
      </c>
      <c r="D67" s="19" t="n">
        <v>1201</v>
      </c>
      <c r="E67" s="18" t="n">
        <v>47.33455156</v>
      </c>
      <c r="F67" s="20" t="n">
        <v>1.49510968</v>
      </c>
      <c r="G67" s="18" t="n">
        <v>48.69548636</v>
      </c>
      <c r="H67" s="20" t="n">
        <v>1.38066823</v>
      </c>
      <c r="I67" s="18" t="n">
        <v>0</v>
      </c>
      <c r="J67" s="20" t="n">
        <v>0</v>
      </c>
      <c r="K67" s="18" t="n">
        <v>1.57438368</v>
      </c>
      <c r="L67" s="20" t="n">
        <v>0.38890091</v>
      </c>
      <c r="M67" s="18" t="n">
        <v>0</v>
      </c>
      <c r="N67" s="20" t="n">
        <v>0</v>
      </c>
      <c r="O67" s="18" t="n">
        <v>0</v>
      </c>
      <c r="P67" s="20" t="n">
        <v>0</v>
      </c>
      <c r="Q67" s="18" t="n">
        <v>2.3955784</v>
      </c>
      <c r="R67" s="20" t="n">
        <v>0.46633256</v>
      </c>
    </row>
    <row r="68" spans="1:18">
      <c r="A68" s="15" t="s">
        <v>628</v>
      </c>
      <c r="B68" s="17" t="n">
        <v>6971</v>
      </c>
      <c r="C68" s="18">
        <f>(5694.0/B68*100)</f>
        <v/>
      </c>
      <c r="D68" s="19" t="n">
        <v>1277</v>
      </c>
      <c r="E68" s="18" t="n">
        <v>55.43028365</v>
      </c>
      <c r="F68" s="20" t="n">
        <v>1.58202316</v>
      </c>
      <c r="G68" s="18" t="n">
        <v>42.89919037</v>
      </c>
      <c r="H68" s="20" t="n">
        <v>1.52503427</v>
      </c>
      <c r="I68" s="18" t="n">
        <v>0</v>
      </c>
      <c r="J68" s="20" t="n">
        <v>0</v>
      </c>
      <c r="K68" s="18" t="n">
        <v>0.62649984</v>
      </c>
      <c r="L68" s="20" t="n">
        <v>0.28970001</v>
      </c>
      <c r="M68" s="18" t="n">
        <v>0</v>
      </c>
      <c r="N68" s="20" t="n">
        <v>0</v>
      </c>
      <c r="O68" s="18" t="n">
        <v>0</v>
      </c>
      <c r="P68" s="20" t="n">
        <v>0</v>
      </c>
      <c r="Q68" s="18" t="n">
        <v>1.04402615</v>
      </c>
      <c r="R68" s="20" t="n">
        <v>0.28735193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(9440.0/B70*100)</f>
        <v/>
      </c>
      <c r="D70" s="19" t="n">
        <v>2643</v>
      </c>
      <c r="E70" s="18" t="n">
        <v>49.46104935</v>
      </c>
      <c r="F70" s="20" t="n">
        <v>0.89177956</v>
      </c>
      <c r="G70" s="18" t="n">
        <v>44.30886021</v>
      </c>
      <c r="H70" s="20" t="n">
        <v>0.86813043</v>
      </c>
      <c r="I70" s="18" t="n">
        <v>0</v>
      </c>
      <c r="J70" s="20" t="n">
        <v>0</v>
      </c>
      <c r="K70" s="18" t="n">
        <v>3.45756509</v>
      </c>
      <c r="L70" s="20" t="n">
        <v>0.39494385</v>
      </c>
      <c r="M70" s="18" t="n">
        <v>0</v>
      </c>
      <c r="N70" s="20" t="n">
        <v>0</v>
      </c>
      <c r="O70" s="18" t="n">
        <v>0</v>
      </c>
      <c r="P70" s="20" t="n">
        <v>0</v>
      </c>
      <c r="Q70" s="18" t="n">
        <v>2.77252535</v>
      </c>
      <c r="R70" s="20" t="n">
        <v>0.35507521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(4815.0/B72*100)</f>
        <v/>
      </c>
      <c r="D72" s="19" t="n">
        <v>1221</v>
      </c>
      <c r="E72" s="18" t="n">
        <v>52.02602086</v>
      </c>
      <c r="F72" s="20" t="n">
        <v>1.72716975</v>
      </c>
      <c r="G72" s="18" t="n">
        <v>46.60673502</v>
      </c>
      <c r="H72" s="20" t="n">
        <v>1.72461317</v>
      </c>
      <c r="I72" s="18" t="n">
        <v>0</v>
      </c>
      <c r="J72" s="20" t="n">
        <v>0</v>
      </c>
      <c r="K72" s="18" t="n">
        <v>0.23746228</v>
      </c>
      <c r="L72" s="20" t="n">
        <v>0.13282046</v>
      </c>
      <c r="M72" s="18" t="n">
        <v>0</v>
      </c>
      <c r="N72" s="20" t="n">
        <v>0</v>
      </c>
      <c r="O72" s="18" t="n">
        <v>0</v>
      </c>
      <c r="P72" s="20" t="n">
        <v>0</v>
      </c>
      <c r="Q72" s="18" t="n">
        <v>1.12978184</v>
      </c>
      <c r="R72" s="20" t="n">
        <v>0.35373769</v>
      </c>
    </row>
    <row r="73" spans="1:18">
      <c r="A73" s="15" t="s">
        <v>633</v>
      </c>
      <c r="B73" s="17" t="n">
        <v>6115</v>
      </c>
      <c r="C73" s="18">
        <f>(4778.0/B73*100)</f>
        <v/>
      </c>
      <c r="D73" s="19" t="n">
        <v>1337</v>
      </c>
      <c r="E73" s="18" t="n">
        <v>30.63636166</v>
      </c>
      <c r="F73" s="20" t="n">
        <v>1.36335811</v>
      </c>
      <c r="G73" s="18" t="n">
        <v>68.46179796</v>
      </c>
      <c r="H73" s="20" t="n">
        <v>1.34269153</v>
      </c>
      <c r="I73" s="18" t="n">
        <v>0</v>
      </c>
      <c r="J73" s="20" t="n">
        <v>0</v>
      </c>
      <c r="K73" s="18" t="n">
        <v>0.27397964</v>
      </c>
      <c r="L73" s="20" t="n">
        <v>0.14354038</v>
      </c>
      <c r="M73" s="18" t="n">
        <v>0</v>
      </c>
      <c r="N73" s="20" t="n">
        <v>0</v>
      </c>
      <c r="O73" s="18" t="n">
        <v>0</v>
      </c>
      <c r="P73" s="20" t="n">
        <v>0</v>
      </c>
      <c r="Q73" s="18" t="n">
        <v>0.62786073</v>
      </c>
      <c r="R73" s="20" t="n">
        <v>0.18495179</v>
      </c>
    </row>
    <row r="74" spans="1:18">
      <c r="A74" s="15" t="s">
        <v>634</v>
      </c>
      <c r="B74" s="17" t="n">
        <v>7708</v>
      </c>
      <c r="C74" s="18">
        <f>(5943.0/B74*100)</f>
        <v/>
      </c>
      <c r="D74" s="19" t="n">
        <v>1765</v>
      </c>
      <c r="E74" s="18" t="n">
        <v>44.61527225</v>
      </c>
      <c r="F74" s="20" t="n">
        <v>1.20056343</v>
      </c>
      <c r="G74" s="18" t="n">
        <v>54.94090876</v>
      </c>
      <c r="H74" s="20" t="n">
        <v>1.2081838</v>
      </c>
      <c r="I74" s="18" t="n">
        <v>0</v>
      </c>
      <c r="J74" s="20" t="n">
        <v>0</v>
      </c>
      <c r="K74" s="18" t="n">
        <v>0.24716175</v>
      </c>
      <c r="L74" s="20" t="n">
        <v>0.14490895</v>
      </c>
      <c r="M74" s="18" t="n">
        <v>0</v>
      </c>
      <c r="N74" s="20" t="n">
        <v>0</v>
      </c>
      <c r="O74" s="18" t="n">
        <v>0</v>
      </c>
      <c r="P74" s="20" t="n">
        <v>0</v>
      </c>
      <c r="Q74" s="18" t="n">
        <v>0.19665724</v>
      </c>
      <c r="R74" s="20" t="n">
        <v>0.10665597</v>
      </c>
    </row>
    <row r="75" spans="1:18">
      <c r="A75" s="15" t="s">
        <v>635</v>
      </c>
      <c r="B75" s="17" t="n">
        <v>8249</v>
      </c>
      <c r="C75" s="18">
        <f>(6466.0/B75*100)</f>
        <v/>
      </c>
      <c r="D75" s="19" t="n">
        <v>1783</v>
      </c>
      <c r="E75" s="18" t="n">
        <v>49.81077457</v>
      </c>
      <c r="F75" s="20" t="n">
        <v>1.64622121</v>
      </c>
      <c r="G75" s="18" t="n">
        <v>48.87302349</v>
      </c>
      <c r="H75" s="20" t="n">
        <v>1.7461446</v>
      </c>
      <c r="I75" s="18" t="n">
        <v>0</v>
      </c>
      <c r="J75" s="20" t="n">
        <v>0</v>
      </c>
      <c r="K75" s="18" t="n">
        <v>0.07925446</v>
      </c>
      <c r="L75" s="20" t="n">
        <v>0.07829577</v>
      </c>
      <c r="M75" s="18" t="n">
        <v>0</v>
      </c>
      <c r="N75" s="20" t="n">
        <v>0</v>
      </c>
      <c r="O75" s="18" t="n">
        <v>0</v>
      </c>
      <c r="P75" s="20" t="n">
        <v>0</v>
      </c>
      <c r="Q75" s="18" t="n">
        <v>1.23694747</v>
      </c>
      <c r="R75" s="20" t="n">
        <v>0.33750866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(4295.0/B77*100)</f>
        <v/>
      </c>
      <c r="D77" s="19" t="n">
        <v>1080</v>
      </c>
      <c r="E77" s="18" t="n">
        <v>57.21811635</v>
      </c>
      <c r="F77" s="20" t="n">
        <v>1.43232774</v>
      </c>
      <c r="G77" s="18" t="n">
        <v>35.33503874</v>
      </c>
      <c r="H77" s="20" t="n">
        <v>1.32275417</v>
      </c>
      <c r="I77" s="18" t="n">
        <v>0</v>
      </c>
      <c r="J77" s="20" t="n">
        <v>0</v>
      </c>
      <c r="K77" s="18" t="n">
        <v>4.54820111</v>
      </c>
      <c r="L77" s="20" t="n">
        <v>0.86093749</v>
      </c>
      <c r="M77" s="18" t="n">
        <v>0</v>
      </c>
      <c r="N77" s="20" t="n">
        <v>0</v>
      </c>
      <c r="O77" s="18" t="n">
        <v>0</v>
      </c>
      <c r="P77" s="20" t="n">
        <v>0</v>
      </c>
      <c r="Q77" s="18" t="n">
        <v>2.8986438</v>
      </c>
      <c r="R77" s="20" t="n">
        <v>0.49712383</v>
      </c>
    </row>
    <row r="78" spans="1:18">
      <c r="A78" s="15" t="s">
        <v>638</v>
      </c>
      <c r="B78" s="17" t="n">
        <v>14167</v>
      </c>
      <c r="C78" s="18">
        <f>(11084.0/B78*100)</f>
        <v/>
      </c>
      <c r="D78" s="19" t="n">
        <v>3083</v>
      </c>
      <c r="E78" s="18" t="n">
        <v>49.59109276</v>
      </c>
      <c r="F78" s="20" t="n">
        <v>1.06208319</v>
      </c>
      <c r="G78" s="18" t="n">
        <v>48.0693327</v>
      </c>
      <c r="H78" s="20" t="n">
        <v>1.08950112</v>
      </c>
      <c r="I78" s="18" t="n">
        <v>0</v>
      </c>
      <c r="J78" s="20" t="n">
        <v>0</v>
      </c>
      <c r="K78" s="18" t="n">
        <v>0.82801172</v>
      </c>
      <c r="L78" s="20" t="n">
        <v>0.21085616</v>
      </c>
      <c r="M78" s="18" t="n">
        <v>0</v>
      </c>
      <c r="N78" s="20" t="n">
        <v>0</v>
      </c>
      <c r="O78" s="18" t="n">
        <v>0</v>
      </c>
      <c r="P78" s="20" t="n">
        <v>0</v>
      </c>
      <c r="Q78" s="18" t="n">
        <v>1.51156282</v>
      </c>
      <c r="R78" s="20" t="n">
        <v>0.23798204</v>
      </c>
    </row>
    <row r="79" spans="1:18">
      <c r="A79" s="15" t="s">
        <v>639</v>
      </c>
      <c r="B79" s="17" t="n">
        <v>6062</v>
      </c>
      <c r="C79" s="18">
        <f>(4805.0/B79*100)</f>
        <v/>
      </c>
      <c r="D79" s="19" t="n">
        <v>1257</v>
      </c>
      <c r="E79" s="18" t="n">
        <v>53.27067593</v>
      </c>
      <c r="F79" s="20" t="n">
        <v>1.58046009</v>
      </c>
      <c r="G79" s="18" t="n">
        <v>42.33513238</v>
      </c>
      <c r="H79" s="20" t="n">
        <v>1.49028268</v>
      </c>
      <c r="I79" s="18" t="n">
        <v>0</v>
      </c>
      <c r="J79" s="20" t="n">
        <v>0</v>
      </c>
      <c r="K79" s="18" t="n">
        <v>2.37699468</v>
      </c>
      <c r="L79" s="20" t="n">
        <v>0.38478707</v>
      </c>
      <c r="M79" s="18" t="n">
        <v>0</v>
      </c>
      <c r="N79" s="20" t="n">
        <v>0</v>
      </c>
      <c r="O79" s="18" t="n">
        <v>0</v>
      </c>
      <c r="P79" s="20" t="n">
        <v>0</v>
      </c>
      <c r="Q79" s="18" t="n">
        <v>2.01719701</v>
      </c>
      <c r="R79" s="20" t="n">
        <v>0.49940977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(25338.0/B82*100)</f>
        <v/>
      </c>
      <c r="D82" s="19" t="n">
        <v>6992</v>
      </c>
      <c r="E82" s="18" t="n">
        <v>41.52854735</v>
      </c>
      <c r="F82" s="20" t="n">
        <v>0.8896650699999999</v>
      </c>
      <c r="G82" s="18" t="n">
        <v>56.57221068</v>
      </c>
      <c r="H82" s="20" t="n">
        <v>0.84070867</v>
      </c>
      <c r="I82" s="18" t="n">
        <v>0</v>
      </c>
      <c r="J82" s="20" t="n">
        <v>0</v>
      </c>
      <c r="K82" s="18" t="n">
        <v>0.80965286</v>
      </c>
      <c r="L82" s="20" t="n">
        <v>0.19660429</v>
      </c>
      <c r="M82" s="18" t="n">
        <v>0</v>
      </c>
      <c r="N82" s="20" t="n">
        <v>0</v>
      </c>
      <c r="O82" s="18" t="n">
        <v>0</v>
      </c>
      <c r="P82" s="20" t="n">
        <v>0</v>
      </c>
      <c r="Q82" s="18" t="n">
        <v>1.08958912</v>
      </c>
      <c r="R82" s="20" t="n">
        <v>0.1997866</v>
      </c>
    </row>
    <row r="83" spans="1:18">
      <c r="A83" s="15" t="s">
        <v>643</v>
      </c>
      <c r="B83" s="17" t="n">
        <v>1652</v>
      </c>
      <c r="C83" s="18">
        <f>(1289.0/B83*100)</f>
        <v/>
      </c>
      <c r="D83" s="19" t="n">
        <v>363</v>
      </c>
      <c r="E83" s="18" t="n">
        <v>39.38781415</v>
      </c>
      <c r="F83" s="20" t="n">
        <v>2.76467466</v>
      </c>
      <c r="G83" s="18" t="n">
        <v>59.89007568</v>
      </c>
      <c r="H83" s="20" t="n">
        <v>2.89366065</v>
      </c>
      <c r="I83" s="18" t="n">
        <v>0</v>
      </c>
      <c r="J83" s="20" t="n">
        <v>0</v>
      </c>
      <c r="K83" s="18" t="n">
        <v>0.21811016</v>
      </c>
      <c r="L83" s="20" t="n">
        <v>0.21680718</v>
      </c>
      <c r="M83" s="18" t="n">
        <v>0</v>
      </c>
      <c r="N83" s="20" t="n">
        <v>0</v>
      </c>
      <c r="O83" s="18" t="n">
        <v>0</v>
      </c>
      <c r="P83" s="20" t="n">
        <v>0</v>
      </c>
      <c r="Q83" s="18" t="n">
        <v>0.5040000100000001</v>
      </c>
      <c r="R83" s="20" t="n">
        <v>0.35883835</v>
      </c>
    </row>
    <row r="84" spans="1:18">
      <c r="A84" s="23" t="s">
        <v>644</v>
      </c>
      <c r="B84" s="24" t="n">
        <v>1887</v>
      </c>
      <c r="C84" s="25">
        <f>(1489.0/B84*100)</f>
        <v/>
      </c>
      <c r="D84" s="19" t="n">
        <v>398</v>
      </c>
      <c r="E84" s="18" t="n">
        <v>38.40724659</v>
      </c>
      <c r="F84" s="20" t="n">
        <v>3.24121052</v>
      </c>
      <c r="G84" s="18" t="n">
        <v>61.02857163</v>
      </c>
      <c r="H84" s="20" t="n">
        <v>3.38974274</v>
      </c>
      <c r="I84" s="18" t="n">
        <v>0</v>
      </c>
      <c r="J84" s="20" t="n">
        <v>0</v>
      </c>
      <c r="K84" s="18" t="n">
        <v>0.27393752</v>
      </c>
      <c r="L84" s="20" t="n">
        <v>0.27267467</v>
      </c>
      <c r="M84" s="18" t="n">
        <v>0</v>
      </c>
      <c r="N84" s="20" t="n">
        <v>0</v>
      </c>
      <c r="O84" s="18" t="n">
        <v>0</v>
      </c>
      <c r="P84" s="20" t="n">
        <v>0</v>
      </c>
      <c r="Q84" s="18" t="n">
        <v>0.29024426</v>
      </c>
      <c r="R84" s="20" t="n">
        <v>0.27896518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(11445.0/B7*100)</f>
        <v/>
      </c>
      <c r="D7" s="19" t="n">
        <v>3085</v>
      </c>
      <c r="E7" s="18" t="n">
        <v>36.24809824</v>
      </c>
      <c r="F7" s="20" t="n">
        <v>1.21550581</v>
      </c>
      <c r="G7" s="18" t="n">
        <v>62.15619646</v>
      </c>
      <c r="H7" s="20" t="n">
        <v>1.20624707</v>
      </c>
      <c r="I7" s="18" t="n">
        <v>0</v>
      </c>
      <c r="J7" s="20" t="n">
        <v>0</v>
      </c>
      <c r="K7" s="18" t="n">
        <v>0.76926457</v>
      </c>
      <c r="L7" s="20" t="n">
        <v>0.18791496</v>
      </c>
      <c r="M7" s="18" t="n">
        <v>0</v>
      </c>
      <c r="N7" s="20" t="n">
        <v>0</v>
      </c>
      <c r="O7" s="18" t="n">
        <v>0</v>
      </c>
      <c r="P7" s="20" t="n">
        <v>0</v>
      </c>
      <c r="Q7" s="18" t="n">
        <v>0.82644072</v>
      </c>
      <c r="R7" s="20" t="n">
        <v>0.18722859</v>
      </c>
    </row>
    <row r="8" spans="1:18">
      <c r="A8" s="15" t="s">
        <v>566</v>
      </c>
      <c r="B8" s="17" t="n">
        <v>7007</v>
      </c>
      <c r="C8" s="18">
        <f>(5458.0/B8*100)</f>
        <v/>
      </c>
      <c r="D8" s="19" t="n">
        <v>1549</v>
      </c>
      <c r="E8" s="18" t="n">
        <v>41.16810907</v>
      </c>
      <c r="F8" s="20" t="n">
        <v>1.42555186</v>
      </c>
      <c r="G8" s="18" t="n">
        <v>56.56615278</v>
      </c>
      <c r="H8" s="20" t="n">
        <v>1.48167501</v>
      </c>
      <c r="I8" s="18" t="n">
        <v>0</v>
      </c>
      <c r="J8" s="20" t="n">
        <v>0</v>
      </c>
      <c r="K8" s="18" t="n">
        <v>0.67928205</v>
      </c>
      <c r="L8" s="20" t="n">
        <v>0.2285978</v>
      </c>
      <c r="M8" s="18" t="n">
        <v>0</v>
      </c>
      <c r="N8" s="20" t="n">
        <v>0</v>
      </c>
      <c r="O8" s="18" t="n">
        <v>0</v>
      </c>
      <c r="P8" s="20" t="n">
        <v>0</v>
      </c>
      <c r="Q8" s="18" t="n">
        <v>1.5864561</v>
      </c>
      <c r="R8" s="20" t="n">
        <v>0.36350204</v>
      </c>
    </row>
    <row r="9" spans="1:18">
      <c r="A9" s="15" t="s">
        <v>567</v>
      </c>
      <c r="B9" s="17" t="n">
        <v>9651</v>
      </c>
      <c r="C9" s="18">
        <f>(7631.0/B9*100)</f>
        <v/>
      </c>
      <c r="D9" s="19" t="n">
        <v>2020</v>
      </c>
      <c r="E9" s="18" t="n">
        <v>37.89714439</v>
      </c>
      <c r="F9" s="20" t="n">
        <v>1.25387049</v>
      </c>
      <c r="G9" s="18" t="n">
        <v>59.19830473</v>
      </c>
      <c r="H9" s="20" t="n">
        <v>1.30756934</v>
      </c>
      <c r="I9" s="18" t="n">
        <v>0</v>
      </c>
      <c r="J9" s="20" t="n">
        <v>0</v>
      </c>
      <c r="K9" s="18" t="n">
        <v>1.20699427</v>
      </c>
      <c r="L9" s="20" t="n">
        <v>0.25458665</v>
      </c>
      <c r="M9" s="18" t="n">
        <v>0</v>
      </c>
      <c r="N9" s="20" t="n">
        <v>0</v>
      </c>
      <c r="O9" s="18" t="n">
        <v>0</v>
      </c>
      <c r="P9" s="20" t="n">
        <v>0</v>
      </c>
      <c r="Q9" s="18" t="n">
        <v>1.69755662</v>
      </c>
      <c r="R9" s="20" t="n">
        <v>0.31815534</v>
      </c>
    </row>
    <row r="10" spans="1:18">
      <c r="A10" s="15" t="s">
        <v>568</v>
      </c>
      <c r="B10" s="17" t="n">
        <v>20058</v>
      </c>
      <c r="C10" s="18">
        <f>(15744.0/B10*100)</f>
        <v/>
      </c>
      <c r="D10" s="19" t="n">
        <v>4314</v>
      </c>
      <c r="E10" s="18" t="n">
        <v>35.81061969</v>
      </c>
      <c r="F10" s="20" t="n">
        <v>1.15713981</v>
      </c>
      <c r="G10" s="18" t="n">
        <v>62.841844</v>
      </c>
      <c r="H10" s="20" t="n">
        <v>1.13188701</v>
      </c>
      <c r="I10" s="18" t="n">
        <v>0</v>
      </c>
      <c r="J10" s="20" t="n">
        <v>0</v>
      </c>
      <c r="K10" s="18" t="n">
        <v>0.70567609</v>
      </c>
      <c r="L10" s="20" t="n">
        <v>0.18403569</v>
      </c>
      <c r="M10" s="18" t="n">
        <v>0</v>
      </c>
      <c r="N10" s="20" t="n">
        <v>0</v>
      </c>
      <c r="O10" s="18" t="n">
        <v>0</v>
      </c>
      <c r="P10" s="20" t="n">
        <v>0</v>
      </c>
      <c r="Q10" s="18" t="n">
        <v>0.64186021</v>
      </c>
      <c r="R10" s="20" t="n">
        <v>0.15847453</v>
      </c>
    </row>
    <row r="11" spans="1:18">
      <c r="A11" s="15" t="s">
        <v>569</v>
      </c>
      <c r="B11" s="17" t="n">
        <v>7053</v>
      </c>
      <c r="C11" s="18">
        <f>(5616.0/B11*100)</f>
        <v/>
      </c>
      <c r="D11" s="19" t="n">
        <v>1437</v>
      </c>
      <c r="E11" s="18" t="n">
        <v>44.39640063</v>
      </c>
      <c r="F11" s="20" t="n">
        <v>1.49318841</v>
      </c>
      <c r="G11" s="18" t="n">
        <v>51.03452389</v>
      </c>
      <c r="H11" s="20" t="n">
        <v>1.59194776</v>
      </c>
      <c r="I11" s="18" t="n">
        <v>0</v>
      </c>
      <c r="J11" s="20" t="n">
        <v>0</v>
      </c>
      <c r="K11" s="18" t="n">
        <v>2.21925567</v>
      </c>
      <c r="L11" s="20" t="n">
        <v>0.48840907</v>
      </c>
      <c r="M11" s="18" t="n">
        <v>0</v>
      </c>
      <c r="N11" s="20" t="n">
        <v>0</v>
      </c>
      <c r="O11" s="18" t="n">
        <v>0</v>
      </c>
      <c r="P11" s="20" t="n">
        <v>0</v>
      </c>
      <c r="Q11" s="18" t="n">
        <v>2.34981981</v>
      </c>
      <c r="R11" s="20" t="n">
        <v>0.5025332</v>
      </c>
    </row>
    <row r="12" spans="1:18">
      <c r="A12" s="15" t="s">
        <v>570</v>
      </c>
      <c r="B12" s="17" t="n">
        <v>6894</v>
      </c>
      <c r="C12" s="18">
        <f>(5439.0/B12*100)</f>
        <v/>
      </c>
      <c r="D12" s="19" t="n">
        <v>1455</v>
      </c>
      <c r="E12" s="18" t="n">
        <v>43.99591347</v>
      </c>
      <c r="F12" s="20" t="n">
        <v>1.61097246</v>
      </c>
      <c r="G12" s="18" t="n">
        <v>54.40095893</v>
      </c>
      <c r="H12" s="20" t="n">
        <v>1.59708656</v>
      </c>
      <c r="I12" s="18" t="n">
        <v>0</v>
      </c>
      <c r="J12" s="20" t="n">
        <v>0</v>
      </c>
      <c r="K12" s="18" t="n">
        <v>0.78223146</v>
      </c>
      <c r="L12" s="20" t="n">
        <v>0.20860184</v>
      </c>
      <c r="M12" s="18" t="n">
        <v>0</v>
      </c>
      <c r="N12" s="20" t="n">
        <v>0</v>
      </c>
      <c r="O12" s="18" t="n">
        <v>0</v>
      </c>
      <c r="P12" s="20" t="n">
        <v>0</v>
      </c>
      <c r="Q12" s="18" t="n">
        <v>0.8208961299999999</v>
      </c>
      <c r="R12" s="20" t="n">
        <v>0.23988998</v>
      </c>
    </row>
    <row r="13" spans="1:18">
      <c r="A13" s="15" t="s">
        <v>571</v>
      </c>
      <c r="B13" s="17" t="n">
        <v>7161</v>
      </c>
      <c r="C13" s="18">
        <f>(5723.0/B13*100)</f>
        <v/>
      </c>
      <c r="D13" s="19" t="n">
        <v>1438</v>
      </c>
      <c r="E13" s="18" t="n">
        <v>43.17760723</v>
      </c>
      <c r="F13" s="20" t="n">
        <v>1.58875348</v>
      </c>
      <c r="G13" s="18" t="n">
        <v>54.50987314</v>
      </c>
      <c r="H13" s="20" t="n">
        <v>1.5465621</v>
      </c>
      <c r="I13" s="18" t="n">
        <v>0</v>
      </c>
      <c r="J13" s="20" t="n">
        <v>0</v>
      </c>
      <c r="K13" s="18" t="n">
        <v>1.14943398</v>
      </c>
      <c r="L13" s="20" t="n">
        <v>0.35914138</v>
      </c>
      <c r="M13" s="18" t="n">
        <v>0</v>
      </c>
      <c r="N13" s="20" t="n">
        <v>0</v>
      </c>
      <c r="O13" s="18" t="n">
        <v>0</v>
      </c>
      <c r="P13" s="20" t="n">
        <v>0</v>
      </c>
      <c r="Q13" s="18" t="n">
        <v>1.16308564</v>
      </c>
      <c r="R13" s="20" t="n">
        <v>0.41891942</v>
      </c>
    </row>
    <row r="14" spans="1:18">
      <c r="A14" s="15" t="s">
        <v>572</v>
      </c>
      <c r="B14" s="17" t="n">
        <v>5587</v>
      </c>
      <c r="C14" s="18">
        <f>(4407.0/B14*100)</f>
        <v/>
      </c>
      <c r="D14" s="19" t="n">
        <v>1180</v>
      </c>
      <c r="E14" s="18" t="n">
        <v>36.45106129</v>
      </c>
      <c r="F14" s="20" t="n">
        <v>1.53662624</v>
      </c>
      <c r="G14" s="18" t="n">
        <v>62.54680133</v>
      </c>
      <c r="H14" s="20" t="n">
        <v>1.59516283</v>
      </c>
      <c r="I14" s="18" t="n">
        <v>0</v>
      </c>
      <c r="J14" s="20" t="n">
        <v>0</v>
      </c>
      <c r="K14" s="18" t="n">
        <v>0.53693244</v>
      </c>
      <c r="L14" s="20" t="n">
        <v>0.24662249</v>
      </c>
      <c r="M14" s="18" t="n">
        <v>0</v>
      </c>
      <c r="N14" s="20" t="n">
        <v>0</v>
      </c>
      <c r="O14" s="18" t="n">
        <v>0</v>
      </c>
      <c r="P14" s="20" t="n">
        <v>0</v>
      </c>
      <c r="Q14" s="18" t="n">
        <v>0.46520495</v>
      </c>
      <c r="R14" s="20" t="n">
        <v>0.19172687</v>
      </c>
    </row>
    <row r="15" spans="1:18">
      <c r="A15" s="15" t="s">
        <v>573</v>
      </c>
      <c r="B15" s="17" t="n">
        <v>5882</v>
      </c>
      <c r="C15" s="18">
        <f>(4574.0/B15*100)</f>
        <v/>
      </c>
      <c r="D15" s="19" t="n">
        <v>1308</v>
      </c>
      <c r="E15" s="18" t="n">
        <v>35.46602857</v>
      </c>
      <c r="F15" s="20" t="n">
        <v>1.41219969</v>
      </c>
      <c r="G15" s="18" t="n">
        <v>63.42571203</v>
      </c>
      <c r="H15" s="20" t="n">
        <v>1.39196062</v>
      </c>
      <c r="I15" s="18" t="n">
        <v>0</v>
      </c>
      <c r="J15" s="20" t="n">
        <v>0</v>
      </c>
      <c r="K15" s="18" t="n">
        <v>0.36985436</v>
      </c>
      <c r="L15" s="20" t="n">
        <v>0.17461886</v>
      </c>
      <c r="M15" s="18" t="n">
        <v>0</v>
      </c>
      <c r="N15" s="20" t="n">
        <v>0</v>
      </c>
      <c r="O15" s="18" t="n">
        <v>0</v>
      </c>
      <c r="P15" s="20" t="n">
        <v>0</v>
      </c>
      <c r="Q15" s="18" t="n">
        <v>0.73840504</v>
      </c>
      <c r="R15" s="20" t="n">
        <v>0.21528941</v>
      </c>
    </row>
    <row r="16" spans="1:18">
      <c r="A16" s="15" t="s">
        <v>574</v>
      </c>
      <c r="B16" s="17" t="n">
        <v>6108</v>
      </c>
      <c r="C16" s="18">
        <f>(4767.0/B16*100)</f>
        <v/>
      </c>
      <c r="D16" s="19" t="n">
        <v>1341</v>
      </c>
      <c r="E16" s="18" t="n">
        <v>42.00719761</v>
      </c>
      <c r="F16" s="20" t="n">
        <v>1.52835035</v>
      </c>
      <c r="G16" s="18" t="n">
        <v>54.15463525</v>
      </c>
      <c r="H16" s="20" t="n">
        <v>1.53241838</v>
      </c>
      <c r="I16" s="18" t="n">
        <v>0</v>
      </c>
      <c r="J16" s="20" t="n">
        <v>0</v>
      </c>
      <c r="K16" s="18" t="n">
        <v>1.37521339</v>
      </c>
      <c r="L16" s="20" t="n">
        <v>0.32502182</v>
      </c>
      <c r="M16" s="18" t="n">
        <v>0</v>
      </c>
      <c r="N16" s="20" t="n">
        <v>0</v>
      </c>
      <c r="O16" s="18" t="n">
        <v>0</v>
      </c>
      <c r="P16" s="20" t="n">
        <v>0</v>
      </c>
      <c r="Q16" s="18" t="n">
        <v>2.46295376</v>
      </c>
      <c r="R16" s="20" t="n">
        <v>0.5053507699999999</v>
      </c>
    </row>
    <row r="17" spans="1:18">
      <c r="A17" s="15" t="s">
        <v>575</v>
      </c>
      <c r="B17" s="17" t="n">
        <v>6504</v>
      </c>
      <c r="C17" s="18">
        <f>(5180.0/B17*100)</f>
        <v/>
      </c>
      <c r="D17" s="19" t="n">
        <v>1324</v>
      </c>
      <c r="E17" s="18" t="n">
        <v>36.65567054</v>
      </c>
      <c r="F17" s="20" t="n">
        <v>1.63257837</v>
      </c>
      <c r="G17" s="18" t="n">
        <v>61.02625479</v>
      </c>
      <c r="H17" s="20" t="n">
        <v>1.63416451</v>
      </c>
      <c r="I17" s="18" t="n">
        <v>0</v>
      </c>
      <c r="J17" s="20" t="n">
        <v>0</v>
      </c>
      <c r="K17" s="18" t="n">
        <v>0.73777051</v>
      </c>
      <c r="L17" s="20" t="n">
        <v>0.24574741</v>
      </c>
      <c r="M17" s="18" t="n">
        <v>0</v>
      </c>
      <c r="N17" s="20" t="n">
        <v>0</v>
      </c>
      <c r="O17" s="18" t="n">
        <v>0</v>
      </c>
      <c r="P17" s="20" t="n">
        <v>0</v>
      </c>
      <c r="Q17" s="18" t="n">
        <v>1.58030416</v>
      </c>
      <c r="R17" s="20" t="n">
        <v>0.34774711</v>
      </c>
    </row>
    <row r="18" spans="1:18">
      <c r="A18" s="15" t="s">
        <v>576</v>
      </c>
      <c r="B18" s="17" t="n">
        <v>5532</v>
      </c>
      <c r="C18" s="18">
        <f>(4321.0/B18*100)</f>
        <v/>
      </c>
      <c r="D18" s="19" t="n">
        <v>1211</v>
      </c>
      <c r="E18" s="18" t="n">
        <v>59.26903649</v>
      </c>
      <c r="F18" s="20" t="n">
        <v>1.57769748</v>
      </c>
      <c r="G18" s="18" t="n">
        <v>37.68745952</v>
      </c>
      <c r="H18" s="20" t="n">
        <v>1.61303197</v>
      </c>
      <c r="I18" s="18" t="n">
        <v>0</v>
      </c>
      <c r="J18" s="20" t="n">
        <v>0</v>
      </c>
      <c r="K18" s="18" t="n">
        <v>1.42038114</v>
      </c>
      <c r="L18" s="20" t="n">
        <v>0.44304013</v>
      </c>
      <c r="M18" s="18" t="n">
        <v>0</v>
      </c>
      <c r="N18" s="20" t="n">
        <v>0</v>
      </c>
      <c r="O18" s="18" t="n">
        <v>0</v>
      </c>
      <c r="P18" s="20" t="n">
        <v>0</v>
      </c>
      <c r="Q18" s="18" t="n">
        <v>1.62312286</v>
      </c>
      <c r="R18" s="20" t="n">
        <v>0.42747745</v>
      </c>
    </row>
    <row r="19" spans="1:18">
      <c r="A19" s="15" t="s">
        <v>577</v>
      </c>
      <c r="B19" s="17" t="n">
        <v>5658</v>
      </c>
      <c r="C19" s="18">
        <f>(4491.0/B19*100)</f>
        <v/>
      </c>
      <c r="D19" s="19" t="n">
        <v>1167</v>
      </c>
      <c r="E19" s="18" t="n">
        <v>51.90906394</v>
      </c>
      <c r="F19" s="20" t="n">
        <v>1.49856361</v>
      </c>
      <c r="G19" s="18" t="n">
        <v>47.51930586</v>
      </c>
      <c r="H19" s="20" t="n">
        <v>1.47993239</v>
      </c>
      <c r="I19" s="18" t="n">
        <v>0</v>
      </c>
      <c r="J19" s="20" t="n">
        <v>0</v>
      </c>
      <c r="K19" s="18" t="n">
        <v>0.34294636</v>
      </c>
      <c r="L19" s="20" t="n">
        <v>0.17307462</v>
      </c>
      <c r="M19" s="18" t="n">
        <v>0</v>
      </c>
      <c r="N19" s="20" t="n">
        <v>0</v>
      </c>
      <c r="O19" s="18" t="n">
        <v>0</v>
      </c>
      <c r="P19" s="20" t="n">
        <v>0</v>
      </c>
      <c r="Q19" s="18" t="n">
        <v>0.22868384</v>
      </c>
      <c r="R19" s="20" t="n">
        <v>0.13193527</v>
      </c>
    </row>
    <row r="20" spans="1:18">
      <c r="A20" s="15" t="s">
        <v>578</v>
      </c>
      <c r="B20" s="17" t="n">
        <v>3371</v>
      </c>
      <c r="C20" s="18">
        <f>(2655.0/B20*100)</f>
        <v/>
      </c>
      <c r="D20" s="19" t="n">
        <v>716</v>
      </c>
      <c r="E20" s="18" t="n">
        <v>40.06582472</v>
      </c>
      <c r="F20" s="20" t="n">
        <v>1.82733867</v>
      </c>
      <c r="G20" s="18" t="n">
        <v>57.4612368</v>
      </c>
      <c r="H20" s="20" t="n">
        <v>1.80349643</v>
      </c>
      <c r="I20" s="18" t="n">
        <v>0</v>
      </c>
      <c r="J20" s="20" t="n">
        <v>0</v>
      </c>
      <c r="K20" s="18" t="n">
        <v>1.39149849</v>
      </c>
      <c r="L20" s="20" t="n">
        <v>0.43538493</v>
      </c>
      <c r="M20" s="18" t="n">
        <v>0</v>
      </c>
      <c r="N20" s="20" t="n">
        <v>0</v>
      </c>
      <c r="O20" s="18" t="n">
        <v>0</v>
      </c>
      <c r="P20" s="20" t="n">
        <v>0</v>
      </c>
      <c r="Q20" s="18" t="n">
        <v>1.08143999</v>
      </c>
      <c r="R20" s="20" t="n">
        <v>0.37448569</v>
      </c>
    </row>
    <row r="21" spans="1:18">
      <c r="A21" s="15" t="s">
        <v>579</v>
      </c>
      <c r="B21" s="17" t="n">
        <v>5741</v>
      </c>
      <c r="C21" s="18">
        <f>(4474.0/B21*100)</f>
        <v/>
      </c>
      <c r="D21" s="19" t="n">
        <v>1267</v>
      </c>
      <c r="E21" s="18" t="n">
        <v>43.48775414</v>
      </c>
      <c r="F21" s="20" t="n">
        <v>1.57289233</v>
      </c>
      <c r="G21" s="18" t="n">
        <v>54.65429735</v>
      </c>
      <c r="H21" s="20" t="n">
        <v>1.52417895</v>
      </c>
      <c r="I21" s="18" t="n">
        <v>0</v>
      </c>
      <c r="J21" s="20" t="n">
        <v>0</v>
      </c>
      <c r="K21" s="18" t="n">
        <v>0.6032677400000001</v>
      </c>
      <c r="L21" s="20" t="n">
        <v>0.22912816</v>
      </c>
      <c r="M21" s="18" t="n">
        <v>0</v>
      </c>
      <c r="N21" s="20" t="n">
        <v>0</v>
      </c>
      <c r="O21" s="18" t="n">
        <v>0</v>
      </c>
      <c r="P21" s="20" t="n">
        <v>0</v>
      </c>
      <c r="Q21" s="18" t="n">
        <v>1.25468076</v>
      </c>
      <c r="R21" s="20" t="n">
        <v>0.32829138</v>
      </c>
    </row>
    <row r="22" spans="1:18">
      <c r="A22" s="15" t="s">
        <v>580</v>
      </c>
      <c r="B22" s="17" t="n">
        <v>6598</v>
      </c>
      <c r="C22" s="18">
        <f>(5202.0/B22*100)</f>
        <v/>
      </c>
      <c r="D22" s="19" t="n">
        <v>1396</v>
      </c>
      <c r="E22" s="18" t="n">
        <v>39.27504396</v>
      </c>
      <c r="F22" s="20" t="n">
        <v>1.63929913</v>
      </c>
      <c r="G22" s="18" t="n">
        <v>56.3813806</v>
      </c>
      <c r="H22" s="20" t="n">
        <v>1.76088815</v>
      </c>
      <c r="I22" s="18" t="n">
        <v>0</v>
      </c>
      <c r="J22" s="20" t="n">
        <v>0</v>
      </c>
      <c r="K22" s="18" t="n">
        <v>1.88076665</v>
      </c>
      <c r="L22" s="20" t="n">
        <v>0.3770095</v>
      </c>
      <c r="M22" s="18" t="n">
        <v>0</v>
      </c>
      <c r="N22" s="20" t="n">
        <v>0</v>
      </c>
      <c r="O22" s="18" t="n">
        <v>0</v>
      </c>
      <c r="P22" s="20" t="n">
        <v>0</v>
      </c>
      <c r="Q22" s="18" t="n">
        <v>2.46280878</v>
      </c>
      <c r="R22" s="20" t="n">
        <v>0.35567174</v>
      </c>
    </row>
    <row r="23" spans="1:18">
      <c r="A23" s="15" t="s">
        <v>581</v>
      </c>
      <c r="B23" s="17" t="n">
        <v>11583</v>
      </c>
      <c r="C23" s="18">
        <f>(9019.0/B23*100)</f>
        <v/>
      </c>
      <c r="D23" s="19" t="n">
        <v>2564</v>
      </c>
      <c r="E23" s="18" t="n">
        <v>42.45655658</v>
      </c>
      <c r="F23" s="20" t="n">
        <v>1.25915508</v>
      </c>
      <c r="G23" s="18" t="n">
        <v>53.65940066</v>
      </c>
      <c r="H23" s="20" t="n">
        <v>1.30332457</v>
      </c>
      <c r="I23" s="18" t="n">
        <v>0</v>
      </c>
      <c r="J23" s="20" t="n">
        <v>0</v>
      </c>
      <c r="K23" s="18" t="n">
        <v>1.18773903</v>
      </c>
      <c r="L23" s="20" t="n">
        <v>0.36427942</v>
      </c>
      <c r="M23" s="18" t="n">
        <v>0</v>
      </c>
      <c r="N23" s="20" t="n">
        <v>0</v>
      </c>
      <c r="O23" s="18" t="n">
        <v>0</v>
      </c>
      <c r="P23" s="20" t="n">
        <v>0</v>
      </c>
      <c r="Q23" s="18" t="n">
        <v>2.69630373</v>
      </c>
      <c r="R23" s="20" t="n">
        <v>0.49844305</v>
      </c>
    </row>
    <row r="24" spans="1:18">
      <c r="A24" s="15" t="s">
        <v>582</v>
      </c>
      <c r="B24" s="17" t="n">
        <v>6647</v>
      </c>
      <c r="C24" s="18">
        <f>(5188.0/B24*100)</f>
        <v/>
      </c>
      <c r="D24" s="19" t="n">
        <v>1459</v>
      </c>
      <c r="E24" s="18" t="n">
        <v>34.37052302</v>
      </c>
      <c r="F24" s="20" t="n">
        <v>1.35024904</v>
      </c>
      <c r="G24" s="18" t="n">
        <v>64.28566125</v>
      </c>
      <c r="H24" s="20" t="n">
        <v>1.29254736</v>
      </c>
      <c r="I24" s="18" t="n">
        <v>0</v>
      </c>
      <c r="J24" s="20" t="n">
        <v>0</v>
      </c>
      <c r="K24" s="18" t="n">
        <v>0.26116002</v>
      </c>
      <c r="L24" s="20" t="n">
        <v>0.13394391</v>
      </c>
      <c r="M24" s="18" t="n">
        <v>0</v>
      </c>
      <c r="N24" s="20" t="n">
        <v>0</v>
      </c>
      <c r="O24" s="18" t="n">
        <v>0</v>
      </c>
      <c r="P24" s="20" t="n">
        <v>0</v>
      </c>
      <c r="Q24" s="18" t="n">
        <v>1.08265571</v>
      </c>
      <c r="R24" s="20" t="n">
        <v>0.29339842</v>
      </c>
    </row>
    <row r="25" spans="1:18">
      <c r="A25" s="15" t="s">
        <v>583</v>
      </c>
      <c r="B25" s="17" t="n">
        <v>5581</v>
      </c>
      <c r="C25" s="18">
        <f>(4357.0/B25*100)</f>
        <v/>
      </c>
      <c r="D25" s="19" t="n">
        <v>1224</v>
      </c>
      <c r="E25" s="18" t="n">
        <v>44.85829553</v>
      </c>
      <c r="F25" s="20" t="n">
        <v>1.83084871</v>
      </c>
      <c r="G25" s="18" t="n">
        <v>54.28638924</v>
      </c>
      <c r="H25" s="20" t="n">
        <v>1.80711581</v>
      </c>
      <c r="I25" s="18" t="n">
        <v>0</v>
      </c>
      <c r="J25" s="20" t="n">
        <v>0</v>
      </c>
      <c r="K25" s="18" t="n">
        <v>0</v>
      </c>
      <c r="L25" s="20" t="n">
        <v>0</v>
      </c>
      <c r="M25" s="18" t="n">
        <v>0</v>
      </c>
      <c r="N25" s="20" t="n">
        <v>0</v>
      </c>
      <c r="O25" s="18" t="n">
        <v>0</v>
      </c>
      <c r="P25" s="20" t="n">
        <v>0</v>
      </c>
      <c r="Q25" s="18" t="n">
        <v>0.85531523</v>
      </c>
      <c r="R25" s="20" t="n">
        <v>0.24111834</v>
      </c>
    </row>
    <row r="26" spans="1:18">
      <c r="A26" s="15" t="s">
        <v>584</v>
      </c>
      <c r="B26" s="17" t="n">
        <v>4869</v>
      </c>
      <c r="C26" s="18">
        <f>(3827.0/B26*100)</f>
        <v/>
      </c>
      <c r="D26" s="19" t="n">
        <v>1042</v>
      </c>
      <c r="E26" s="18" t="n">
        <v>45.61332235</v>
      </c>
      <c r="F26" s="20" t="n">
        <v>1.58970599</v>
      </c>
      <c r="G26" s="18" t="n">
        <v>53.80139746</v>
      </c>
      <c r="H26" s="20" t="n">
        <v>1.57109517</v>
      </c>
      <c r="I26" s="18" t="n">
        <v>0</v>
      </c>
      <c r="J26" s="20" t="n">
        <v>0</v>
      </c>
      <c r="K26" s="18" t="n">
        <v>0.07892181</v>
      </c>
      <c r="L26" s="20" t="n">
        <v>0.0792871</v>
      </c>
      <c r="M26" s="18" t="n">
        <v>0</v>
      </c>
      <c r="N26" s="20" t="n">
        <v>0</v>
      </c>
      <c r="O26" s="18" t="n">
        <v>0</v>
      </c>
      <c r="P26" s="20" t="n">
        <v>0</v>
      </c>
      <c r="Q26" s="18" t="n">
        <v>0.50635838</v>
      </c>
      <c r="R26" s="20" t="n">
        <v>0.20831992</v>
      </c>
    </row>
    <row r="27" spans="1:18">
      <c r="A27" s="15" t="s">
        <v>585</v>
      </c>
      <c r="B27" s="17" t="n">
        <v>5299</v>
      </c>
      <c r="C27" s="18">
        <f>(4142.0/B27*100)</f>
        <v/>
      </c>
      <c r="D27" s="19" t="n">
        <v>1157</v>
      </c>
      <c r="E27" s="18" t="n">
        <v>47.79968312</v>
      </c>
      <c r="F27" s="20" t="n">
        <v>1.428184</v>
      </c>
      <c r="G27" s="18" t="n">
        <v>49.23162581</v>
      </c>
      <c r="H27" s="20" t="n">
        <v>1.33230515</v>
      </c>
      <c r="I27" s="18" t="n">
        <v>0</v>
      </c>
      <c r="J27" s="20" t="n">
        <v>0</v>
      </c>
      <c r="K27" s="18" t="n">
        <v>0.80150271</v>
      </c>
      <c r="L27" s="20" t="n">
        <v>0.26123032</v>
      </c>
      <c r="M27" s="18" t="n">
        <v>0</v>
      </c>
      <c r="N27" s="20" t="n">
        <v>0</v>
      </c>
      <c r="O27" s="18" t="n">
        <v>0</v>
      </c>
      <c r="P27" s="20" t="n">
        <v>0</v>
      </c>
      <c r="Q27" s="18" t="n">
        <v>2.16718836</v>
      </c>
      <c r="R27" s="20" t="n">
        <v>0.52157045</v>
      </c>
    </row>
    <row r="28" spans="1:18">
      <c r="A28" s="15" t="s">
        <v>586</v>
      </c>
      <c r="B28" s="17" t="n">
        <v>7568</v>
      </c>
      <c r="C28" s="18">
        <f>(6101.0/B28*100)</f>
        <v/>
      </c>
      <c r="D28" s="19" t="n">
        <v>1467</v>
      </c>
      <c r="E28" s="18" t="n">
        <v>60.88421354</v>
      </c>
      <c r="F28" s="20" t="n">
        <v>1.50078558</v>
      </c>
      <c r="G28" s="18" t="n">
        <v>36.55372681</v>
      </c>
      <c r="H28" s="20" t="n">
        <v>1.65190317</v>
      </c>
      <c r="I28" s="18" t="n">
        <v>0</v>
      </c>
      <c r="J28" s="20" t="n">
        <v>0</v>
      </c>
      <c r="K28" s="18" t="n">
        <v>1.42988276</v>
      </c>
      <c r="L28" s="20" t="n">
        <v>0.53670092</v>
      </c>
      <c r="M28" s="18" t="n">
        <v>0</v>
      </c>
      <c r="N28" s="20" t="n">
        <v>0</v>
      </c>
      <c r="O28" s="18" t="n">
        <v>0</v>
      </c>
      <c r="P28" s="20" t="n">
        <v>0</v>
      </c>
      <c r="Q28" s="18" t="n">
        <v>1.1321769</v>
      </c>
      <c r="R28" s="20" t="n">
        <v>0.30241671</v>
      </c>
    </row>
    <row r="29" spans="1:18">
      <c r="A29" s="15" t="s">
        <v>587</v>
      </c>
      <c r="B29" s="17" t="n">
        <v>5385</v>
      </c>
      <c r="C29" s="18">
        <f>(4277.0/B29*100)</f>
        <v/>
      </c>
      <c r="D29" s="19" t="n">
        <v>1108</v>
      </c>
      <c r="E29" s="18" t="n">
        <v>32.64798534</v>
      </c>
      <c r="F29" s="20" t="n">
        <v>1.46187607</v>
      </c>
      <c r="G29" s="18" t="n">
        <v>66.13314013</v>
      </c>
      <c r="H29" s="20" t="n">
        <v>1.5244818</v>
      </c>
      <c r="I29" s="18" t="n">
        <v>0</v>
      </c>
      <c r="J29" s="20" t="n">
        <v>0</v>
      </c>
      <c r="K29" s="18" t="n">
        <v>0.47512178</v>
      </c>
      <c r="L29" s="20" t="n">
        <v>0.2231712</v>
      </c>
      <c r="M29" s="18" t="n">
        <v>0</v>
      </c>
      <c r="N29" s="20" t="n">
        <v>0</v>
      </c>
      <c r="O29" s="18" t="n">
        <v>0</v>
      </c>
      <c r="P29" s="20" t="n">
        <v>0</v>
      </c>
      <c r="Q29" s="18" t="n">
        <v>0.74375275</v>
      </c>
      <c r="R29" s="20" t="n">
        <v>0.23674648</v>
      </c>
    </row>
    <row r="30" spans="1:18">
      <c r="A30" s="15" t="s">
        <v>588</v>
      </c>
      <c r="B30" s="17" t="n">
        <v>4520</v>
      </c>
      <c r="C30" s="18">
        <f>(3564.0/B30*100)</f>
        <v/>
      </c>
      <c r="D30" s="19" t="n">
        <v>956</v>
      </c>
      <c r="E30" s="18" t="n">
        <v>33.48684025</v>
      </c>
      <c r="F30" s="20" t="n">
        <v>1.71520157</v>
      </c>
      <c r="G30" s="18" t="n">
        <v>63.30190892</v>
      </c>
      <c r="H30" s="20" t="n">
        <v>1.85204942</v>
      </c>
      <c r="I30" s="18" t="n">
        <v>0</v>
      </c>
      <c r="J30" s="20" t="n">
        <v>0</v>
      </c>
      <c r="K30" s="18" t="n">
        <v>1.57860671</v>
      </c>
      <c r="L30" s="20" t="n">
        <v>0.48016896</v>
      </c>
      <c r="M30" s="18" t="n">
        <v>0</v>
      </c>
      <c r="N30" s="20" t="n">
        <v>0</v>
      </c>
      <c r="O30" s="18" t="n">
        <v>0</v>
      </c>
      <c r="P30" s="20" t="n">
        <v>0</v>
      </c>
      <c r="Q30" s="18" t="n">
        <v>1.63264413</v>
      </c>
      <c r="R30" s="20" t="n">
        <v>0.39390884</v>
      </c>
    </row>
    <row r="31" spans="1:18">
      <c r="A31" s="15" t="s">
        <v>589</v>
      </c>
      <c r="B31" s="17" t="n">
        <v>5456</v>
      </c>
      <c r="C31" s="18">
        <f>(4271.0/B31*100)</f>
        <v/>
      </c>
      <c r="D31" s="19" t="n">
        <v>1185</v>
      </c>
      <c r="E31" s="18" t="n">
        <v>43.29896453</v>
      </c>
      <c r="F31" s="20" t="n">
        <v>1.52327031</v>
      </c>
      <c r="G31" s="18" t="n">
        <v>53.22518576</v>
      </c>
      <c r="H31" s="20" t="n">
        <v>1.49970063</v>
      </c>
      <c r="I31" s="18" t="n">
        <v>0</v>
      </c>
      <c r="J31" s="20" t="n">
        <v>0</v>
      </c>
      <c r="K31" s="18" t="n">
        <v>1.30852774</v>
      </c>
      <c r="L31" s="20" t="n">
        <v>0.35370901</v>
      </c>
      <c r="M31" s="18" t="n">
        <v>0</v>
      </c>
      <c r="N31" s="20" t="n">
        <v>0</v>
      </c>
      <c r="O31" s="18" t="n">
        <v>0</v>
      </c>
      <c r="P31" s="20" t="n">
        <v>0</v>
      </c>
      <c r="Q31" s="18" t="n">
        <v>2.16732196</v>
      </c>
      <c r="R31" s="20" t="n">
        <v>0.44093546</v>
      </c>
    </row>
    <row r="32" spans="1:18">
      <c r="A32" s="15" t="s">
        <v>590</v>
      </c>
      <c r="B32" s="17" t="n">
        <v>4478</v>
      </c>
      <c r="C32" s="18">
        <f>(3445.0/B32*100)</f>
        <v/>
      </c>
      <c r="D32" s="19" t="n">
        <v>1033</v>
      </c>
      <c r="E32" s="18" t="n">
        <v>39.23710688</v>
      </c>
      <c r="F32" s="20" t="n">
        <v>1.7361839</v>
      </c>
      <c r="G32" s="18" t="n">
        <v>59.82946954</v>
      </c>
      <c r="H32" s="20" t="n">
        <v>1.75733681</v>
      </c>
      <c r="I32" s="18" t="n">
        <v>0</v>
      </c>
      <c r="J32" s="20" t="n">
        <v>0</v>
      </c>
      <c r="K32" s="18" t="n">
        <v>0.09602971</v>
      </c>
      <c r="L32" s="20" t="n">
        <v>0.0888108</v>
      </c>
      <c r="M32" s="18" t="n">
        <v>0</v>
      </c>
      <c r="N32" s="20" t="n">
        <v>0</v>
      </c>
      <c r="O32" s="18" t="n">
        <v>0</v>
      </c>
      <c r="P32" s="20" t="n">
        <v>0</v>
      </c>
      <c r="Q32" s="18" t="n">
        <v>0.83739388</v>
      </c>
      <c r="R32" s="20" t="n">
        <v>0.27630949</v>
      </c>
    </row>
    <row r="33" spans="1:18">
      <c r="A33" s="15" t="s">
        <v>591</v>
      </c>
      <c r="B33" s="17" t="n">
        <v>7325</v>
      </c>
      <c r="C33" s="18">
        <f>(5767.0/B33*100)</f>
        <v/>
      </c>
      <c r="D33" s="19" t="n">
        <v>1558</v>
      </c>
      <c r="E33" s="18" t="n">
        <v>48.72792771</v>
      </c>
      <c r="F33" s="20" t="n">
        <v>1.64246955</v>
      </c>
      <c r="G33" s="18" t="n">
        <v>49.15777046</v>
      </c>
      <c r="H33" s="20" t="n">
        <v>1.66668112</v>
      </c>
      <c r="I33" s="18" t="n">
        <v>0</v>
      </c>
      <c r="J33" s="20" t="n">
        <v>0</v>
      </c>
      <c r="K33" s="18" t="n">
        <v>0.88441314</v>
      </c>
      <c r="L33" s="20" t="n">
        <v>0.32881458</v>
      </c>
      <c r="M33" s="18" t="n">
        <v>0</v>
      </c>
      <c r="N33" s="20" t="n">
        <v>0</v>
      </c>
      <c r="O33" s="18" t="n">
        <v>0</v>
      </c>
      <c r="P33" s="20" t="n">
        <v>0</v>
      </c>
      <c r="Q33" s="18" t="n">
        <v>1.2298887</v>
      </c>
      <c r="R33" s="20" t="n">
        <v>0.3140999</v>
      </c>
    </row>
    <row r="34" spans="1:18">
      <c r="A34" s="15" t="s">
        <v>592</v>
      </c>
      <c r="B34" s="17" t="n">
        <v>6350</v>
      </c>
      <c r="C34" s="18">
        <f>(5051.0/B34*100)</f>
        <v/>
      </c>
      <c r="D34" s="19" t="n">
        <v>1299</v>
      </c>
      <c r="E34" s="18" t="n">
        <v>53.71166087</v>
      </c>
      <c r="F34" s="20" t="n">
        <v>1.55567933</v>
      </c>
      <c r="G34" s="18" t="n">
        <v>45.10445456</v>
      </c>
      <c r="H34" s="20" t="n">
        <v>1.56856292</v>
      </c>
      <c r="I34" s="18" t="n">
        <v>0</v>
      </c>
      <c r="J34" s="20" t="n">
        <v>0</v>
      </c>
      <c r="K34" s="18" t="n">
        <v>0.30057296</v>
      </c>
      <c r="L34" s="20" t="n">
        <v>0.13194836</v>
      </c>
      <c r="M34" s="18" t="n">
        <v>0</v>
      </c>
      <c r="N34" s="20" t="n">
        <v>0</v>
      </c>
      <c r="O34" s="18" t="n">
        <v>0</v>
      </c>
      <c r="P34" s="20" t="n">
        <v>0</v>
      </c>
      <c r="Q34" s="18" t="n">
        <v>0.88331161</v>
      </c>
      <c r="R34" s="20" t="n">
        <v>0.31930655</v>
      </c>
    </row>
    <row r="35" spans="1:18">
      <c r="A35" s="15" t="s">
        <v>593</v>
      </c>
      <c r="B35" s="17" t="n">
        <v>6406</v>
      </c>
      <c r="C35" s="18">
        <f>(5015.0/B35*100)</f>
        <v/>
      </c>
      <c r="D35" s="19" t="n">
        <v>1391</v>
      </c>
      <c r="E35" s="18" t="n">
        <v>35.54627177</v>
      </c>
      <c r="F35" s="20" t="n">
        <v>1.43064492</v>
      </c>
      <c r="G35" s="18" t="n">
        <v>63.25044248</v>
      </c>
      <c r="H35" s="20" t="n">
        <v>1.47006367</v>
      </c>
      <c r="I35" s="18" t="n">
        <v>0</v>
      </c>
      <c r="J35" s="20" t="n">
        <v>0</v>
      </c>
      <c r="K35" s="18" t="n">
        <v>0.46144231</v>
      </c>
      <c r="L35" s="20" t="n">
        <v>0.20291793</v>
      </c>
      <c r="M35" s="18" t="n">
        <v>0</v>
      </c>
      <c r="N35" s="20" t="n">
        <v>0</v>
      </c>
      <c r="O35" s="18" t="n">
        <v>0</v>
      </c>
      <c r="P35" s="20" t="n">
        <v>0</v>
      </c>
      <c r="Q35" s="18" t="n">
        <v>0.74184344</v>
      </c>
      <c r="R35" s="20" t="n">
        <v>0.20208222</v>
      </c>
    </row>
    <row r="36" spans="1:18">
      <c r="A36" s="15" t="s">
        <v>594</v>
      </c>
      <c r="B36" s="17" t="n">
        <v>6736</v>
      </c>
      <c r="C36" s="18">
        <f>(5304.0/B36*100)</f>
        <v/>
      </c>
      <c r="D36" s="19" t="n">
        <v>1432</v>
      </c>
      <c r="E36" s="18" t="n">
        <v>44.29936536</v>
      </c>
      <c r="F36" s="20" t="n">
        <v>1.53056894</v>
      </c>
      <c r="G36" s="18" t="n">
        <v>53.70957697</v>
      </c>
      <c r="H36" s="20" t="n">
        <v>1.61434836</v>
      </c>
      <c r="I36" s="18" t="n">
        <v>0</v>
      </c>
      <c r="J36" s="20" t="n">
        <v>0</v>
      </c>
      <c r="K36" s="18" t="n">
        <v>0.92709702</v>
      </c>
      <c r="L36" s="20" t="n">
        <v>0.21566425</v>
      </c>
      <c r="M36" s="18" t="n">
        <v>0</v>
      </c>
      <c r="N36" s="20" t="n">
        <v>0</v>
      </c>
      <c r="O36" s="18" t="n">
        <v>0</v>
      </c>
      <c r="P36" s="20" t="n">
        <v>0</v>
      </c>
      <c r="Q36" s="18" t="n">
        <v>1.06396065</v>
      </c>
      <c r="R36" s="20" t="n">
        <v>0.29128921</v>
      </c>
    </row>
    <row r="37" spans="1:18">
      <c r="A37" s="15" t="s">
        <v>595</v>
      </c>
      <c r="B37" s="17" t="n">
        <v>5458</v>
      </c>
      <c r="C37" s="18">
        <f>(4330.0/B37*100)</f>
        <v/>
      </c>
      <c r="D37" s="19" t="n">
        <v>1128</v>
      </c>
      <c r="E37" s="18" t="n">
        <v>41.91052881</v>
      </c>
      <c r="F37" s="20" t="n">
        <v>1.62382447</v>
      </c>
      <c r="G37" s="18" t="n">
        <v>53.88655464</v>
      </c>
      <c r="H37" s="20" t="n">
        <v>1.66287539</v>
      </c>
      <c r="I37" s="18" t="n">
        <v>0</v>
      </c>
      <c r="J37" s="20" t="n">
        <v>0</v>
      </c>
      <c r="K37" s="18" t="n">
        <v>1.7021743</v>
      </c>
      <c r="L37" s="20" t="n">
        <v>0.41023693</v>
      </c>
      <c r="M37" s="18" t="n">
        <v>0</v>
      </c>
      <c r="N37" s="20" t="n">
        <v>0</v>
      </c>
      <c r="O37" s="18" t="n">
        <v>0</v>
      </c>
      <c r="P37" s="20" t="n">
        <v>0</v>
      </c>
      <c r="Q37" s="18" t="n">
        <v>2.50074225</v>
      </c>
      <c r="R37" s="20" t="n">
        <v>0.47811331</v>
      </c>
    </row>
    <row r="38" spans="1:18">
      <c r="A38" s="15" t="s">
        <v>596</v>
      </c>
      <c r="B38" s="17" t="n">
        <v>5860</v>
      </c>
      <c r="C38" s="18">
        <f>(4597.0/B38*100)</f>
        <v/>
      </c>
      <c r="D38" s="19" t="n">
        <v>1263</v>
      </c>
      <c r="E38" s="18" t="n">
        <v>41.46229188</v>
      </c>
      <c r="F38" s="20" t="n">
        <v>1.68128005</v>
      </c>
      <c r="G38" s="18" t="n">
        <v>56.32903903</v>
      </c>
      <c r="H38" s="20" t="n">
        <v>1.7976875</v>
      </c>
      <c r="I38" s="18" t="n">
        <v>0</v>
      </c>
      <c r="J38" s="20" t="n">
        <v>0</v>
      </c>
      <c r="K38" s="18" t="n">
        <v>0.66289264</v>
      </c>
      <c r="L38" s="20" t="n">
        <v>0.24731272</v>
      </c>
      <c r="M38" s="18" t="n">
        <v>0</v>
      </c>
      <c r="N38" s="20" t="n">
        <v>0</v>
      </c>
      <c r="O38" s="18" t="n">
        <v>0</v>
      </c>
      <c r="P38" s="20" t="n">
        <v>0</v>
      </c>
      <c r="Q38" s="18" t="n">
        <v>1.54577645</v>
      </c>
      <c r="R38" s="20" t="n">
        <v>0.48175867</v>
      </c>
    </row>
    <row r="39" spans="1:18">
      <c r="A39" s="15" t="s">
        <v>597</v>
      </c>
      <c r="B39" s="17" t="n">
        <v>5895</v>
      </c>
      <c r="C39" s="18">
        <f>(4578.0/B39*100)</f>
        <v/>
      </c>
      <c r="D39" s="19" t="n">
        <v>1317</v>
      </c>
      <c r="E39" s="18" t="n">
        <v>48.09542405</v>
      </c>
      <c r="F39" s="20" t="n">
        <v>1.38880691</v>
      </c>
      <c r="G39" s="18" t="n">
        <v>50.33821561</v>
      </c>
      <c r="H39" s="20" t="n">
        <v>1.47319929</v>
      </c>
      <c r="I39" s="18" t="n">
        <v>0</v>
      </c>
      <c r="J39" s="20" t="n">
        <v>0</v>
      </c>
      <c r="K39" s="18" t="n">
        <v>0.49253242</v>
      </c>
      <c r="L39" s="20" t="n">
        <v>0.17225905</v>
      </c>
      <c r="M39" s="18" t="n">
        <v>0</v>
      </c>
      <c r="N39" s="20" t="n">
        <v>0</v>
      </c>
      <c r="O39" s="18" t="n">
        <v>0</v>
      </c>
      <c r="P39" s="20" t="n">
        <v>0</v>
      </c>
      <c r="Q39" s="18" t="n">
        <v>1.07382792</v>
      </c>
      <c r="R39" s="20" t="n">
        <v>0.22288309</v>
      </c>
    </row>
    <row r="40" spans="1:18">
      <c r="A40" s="15" t="s">
        <v>598</v>
      </c>
      <c r="B40" s="17" t="n">
        <v>14157</v>
      </c>
      <c r="C40" s="18">
        <f>(11048.0/B40*100)</f>
        <v/>
      </c>
      <c r="D40" s="19" t="n">
        <v>3109</v>
      </c>
      <c r="E40" s="18" t="n">
        <v>40.83011394</v>
      </c>
      <c r="F40" s="20" t="n">
        <v>1.3745862</v>
      </c>
      <c r="G40" s="18" t="n">
        <v>56.79684981</v>
      </c>
      <c r="H40" s="20" t="n">
        <v>1.28855133</v>
      </c>
      <c r="I40" s="18" t="n">
        <v>0</v>
      </c>
      <c r="J40" s="20" t="n">
        <v>0</v>
      </c>
      <c r="K40" s="18" t="n">
        <v>0.82015005</v>
      </c>
      <c r="L40" s="20" t="n">
        <v>0.25547251</v>
      </c>
      <c r="M40" s="18" t="n">
        <v>0</v>
      </c>
      <c r="N40" s="20" t="n">
        <v>0</v>
      </c>
      <c r="O40" s="18" t="n">
        <v>0</v>
      </c>
      <c r="P40" s="20" t="n">
        <v>0</v>
      </c>
      <c r="Q40" s="18" t="n">
        <v>1.55288619</v>
      </c>
      <c r="R40" s="20" t="n">
        <v>0.38643248</v>
      </c>
    </row>
    <row r="41" spans="1:18">
      <c r="A41" s="15" t="s">
        <v>599</v>
      </c>
      <c r="B41" s="17" t="n">
        <v>5712</v>
      </c>
      <c r="C41" s="18">
        <f>(4531.0/B41*100)</f>
        <v/>
      </c>
      <c r="D41" s="19" t="n">
        <v>1181</v>
      </c>
      <c r="E41" s="18" t="n">
        <v>38.50191324</v>
      </c>
      <c r="F41" s="20" t="n">
        <v>1.53182737</v>
      </c>
      <c r="G41" s="18" t="n">
        <v>60.94130646</v>
      </c>
      <c r="H41" s="20" t="n">
        <v>1.57562114</v>
      </c>
      <c r="I41" s="18" t="n">
        <v>0</v>
      </c>
      <c r="J41" s="20" t="n">
        <v>0</v>
      </c>
      <c r="K41" s="18" t="n">
        <v>0.32443879</v>
      </c>
      <c r="L41" s="20" t="n">
        <v>0.16564267</v>
      </c>
      <c r="M41" s="18" t="n">
        <v>0</v>
      </c>
      <c r="N41" s="20" t="n">
        <v>0</v>
      </c>
      <c r="O41" s="18" t="n">
        <v>0</v>
      </c>
      <c r="P41" s="20" t="n">
        <v>0</v>
      </c>
      <c r="Q41" s="18" t="n">
        <v>0.23234152</v>
      </c>
      <c r="R41" s="20" t="n">
        <v>0.1297749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(19417.0/B46*100)</f>
        <v/>
      </c>
      <c r="D46" s="19" t="n">
        <v>3724</v>
      </c>
      <c r="E46" s="18" t="n">
        <v>62.7536987</v>
      </c>
      <c r="F46" s="20" t="n">
        <v>1.06913547</v>
      </c>
      <c r="G46" s="18" t="n">
        <v>32.12009248</v>
      </c>
      <c r="H46" s="20" t="n">
        <v>0.97693698</v>
      </c>
      <c r="I46" s="18" t="n">
        <v>0</v>
      </c>
      <c r="J46" s="20" t="n">
        <v>0</v>
      </c>
      <c r="K46" s="18" t="n">
        <v>2.39001252</v>
      </c>
      <c r="L46" s="20" t="n">
        <v>0.44817865</v>
      </c>
      <c r="M46" s="18" t="n">
        <v>0</v>
      </c>
      <c r="N46" s="20" t="n">
        <v>0</v>
      </c>
      <c r="O46" s="18" t="n">
        <v>0</v>
      </c>
      <c r="P46" s="20" t="n">
        <v>0</v>
      </c>
      <c r="Q46" s="18" t="n">
        <v>2.7361963</v>
      </c>
      <c r="R46" s="20" t="n">
        <v>0.35133111</v>
      </c>
    </row>
    <row r="47" spans="1:18">
      <c r="A47" s="15" t="s">
        <v>606</v>
      </c>
      <c r="B47" s="17" t="n">
        <v>5928</v>
      </c>
      <c r="C47" s="18">
        <f>(4722.0/B47*100)</f>
        <v/>
      </c>
      <c r="D47" s="19" t="n">
        <v>1206</v>
      </c>
      <c r="E47" s="18" t="n">
        <v>53.24041309</v>
      </c>
      <c r="F47" s="20" t="n">
        <v>1.80014095</v>
      </c>
      <c r="G47" s="18" t="n">
        <v>43.42368721</v>
      </c>
      <c r="H47" s="20" t="n">
        <v>1.84352159</v>
      </c>
      <c r="I47" s="18" t="n">
        <v>0</v>
      </c>
      <c r="J47" s="20" t="n">
        <v>0</v>
      </c>
      <c r="K47" s="18" t="n">
        <v>1.8708927</v>
      </c>
      <c r="L47" s="20" t="n">
        <v>0.40562324</v>
      </c>
      <c r="M47" s="18" t="n">
        <v>0</v>
      </c>
      <c r="N47" s="20" t="n">
        <v>0</v>
      </c>
      <c r="O47" s="18" t="n">
        <v>0</v>
      </c>
      <c r="P47" s="20" t="n">
        <v>0</v>
      </c>
      <c r="Q47" s="18" t="n">
        <v>1.465007</v>
      </c>
      <c r="R47" s="20" t="n">
        <v>0.33642105</v>
      </c>
    </row>
    <row r="48" spans="1:18">
      <c r="A48" s="15" t="s">
        <v>607</v>
      </c>
      <c r="B48" s="17" t="n">
        <v>9841</v>
      </c>
      <c r="C48" s="18">
        <f>(7695.0/B48*100)</f>
        <v/>
      </c>
      <c r="D48" s="19" t="n">
        <v>2146</v>
      </c>
      <c r="E48" s="18" t="n">
        <v>36.21561983</v>
      </c>
      <c r="F48" s="20" t="n">
        <v>1.72931132</v>
      </c>
      <c r="G48" s="18" t="n">
        <v>62.4142502</v>
      </c>
      <c r="H48" s="20" t="n">
        <v>1.73721352</v>
      </c>
      <c r="I48" s="18" t="n">
        <v>0</v>
      </c>
      <c r="J48" s="20" t="n">
        <v>0</v>
      </c>
      <c r="K48" s="18" t="n">
        <v>0.9429478100000001</v>
      </c>
      <c r="L48" s="20" t="n">
        <v>0.36922073</v>
      </c>
      <c r="M48" s="18" t="n">
        <v>0</v>
      </c>
      <c r="N48" s="20" t="n">
        <v>0</v>
      </c>
      <c r="O48" s="18" t="n">
        <v>0</v>
      </c>
      <c r="P48" s="20" t="n">
        <v>0</v>
      </c>
      <c r="Q48" s="18" t="n">
        <v>0.42718217</v>
      </c>
      <c r="R48" s="20" t="n">
        <v>0.17117202</v>
      </c>
    </row>
    <row r="49" spans="1:18">
      <c r="A49" s="15" t="s">
        <v>608</v>
      </c>
      <c r="B49" s="17" t="n">
        <v>11795</v>
      </c>
      <c r="C49" s="18">
        <f>(9364.0/B49*100)</f>
        <v/>
      </c>
      <c r="D49" s="19" t="n">
        <v>2431</v>
      </c>
      <c r="E49" s="18" t="n">
        <v>52.06390418</v>
      </c>
      <c r="F49" s="20" t="n">
        <v>1.36674653</v>
      </c>
      <c r="G49" s="18" t="n">
        <v>42.23192072</v>
      </c>
      <c r="H49" s="20" t="n">
        <v>1.45261572</v>
      </c>
      <c r="I49" s="18" t="n">
        <v>0</v>
      </c>
      <c r="J49" s="20" t="n">
        <v>0</v>
      </c>
      <c r="K49" s="18" t="n">
        <v>3.80371511</v>
      </c>
      <c r="L49" s="20" t="n">
        <v>0.54238275</v>
      </c>
      <c r="M49" s="18" t="n">
        <v>0</v>
      </c>
      <c r="N49" s="20" t="n">
        <v>0</v>
      </c>
      <c r="O49" s="18" t="n">
        <v>0</v>
      </c>
      <c r="P49" s="20" t="n">
        <v>0</v>
      </c>
      <c r="Q49" s="18" t="n">
        <v>1.90045999</v>
      </c>
      <c r="R49" s="20" t="n">
        <v>0.38887927</v>
      </c>
    </row>
    <row r="50" spans="1:18">
      <c r="A50" s="15" t="s">
        <v>609</v>
      </c>
      <c r="B50" s="17" t="n">
        <v>6866</v>
      </c>
      <c r="C50" s="18">
        <f>(5640.0/B50*100)</f>
        <v/>
      </c>
      <c r="D50" s="19" t="n">
        <v>1226</v>
      </c>
      <c r="E50" s="18" t="n">
        <v>53.10670377</v>
      </c>
      <c r="F50" s="20" t="n">
        <v>1.57828429</v>
      </c>
      <c r="G50" s="18" t="n">
        <v>44.40222923</v>
      </c>
      <c r="H50" s="20" t="n">
        <v>1.61451636</v>
      </c>
      <c r="I50" s="18" t="n">
        <v>0</v>
      </c>
      <c r="J50" s="20" t="n">
        <v>0</v>
      </c>
      <c r="K50" s="18" t="n">
        <v>0.49308201</v>
      </c>
      <c r="L50" s="20" t="n">
        <v>0.18432463</v>
      </c>
      <c r="M50" s="18" t="n">
        <v>0</v>
      </c>
      <c r="N50" s="20" t="n">
        <v>0</v>
      </c>
      <c r="O50" s="18" t="n">
        <v>0</v>
      </c>
      <c r="P50" s="20" t="n">
        <v>0</v>
      </c>
      <c r="Q50" s="18" t="n">
        <v>1.99798498</v>
      </c>
      <c r="R50" s="20" t="n">
        <v>0.47196864</v>
      </c>
    </row>
    <row r="51" spans="1:18">
      <c r="A51" s="15" t="s">
        <v>610</v>
      </c>
      <c r="B51" s="17" t="n">
        <v>5809</v>
      </c>
      <c r="C51" s="18">
        <f>(4491.0/B51*100)</f>
        <v/>
      </c>
      <c r="D51" s="19" t="n">
        <v>1318</v>
      </c>
      <c r="E51" s="18" t="n">
        <v>48.77992283</v>
      </c>
      <c r="F51" s="20" t="n">
        <v>1.39422431</v>
      </c>
      <c r="G51" s="18" t="n">
        <v>50.03454104</v>
      </c>
      <c r="H51" s="20" t="n">
        <v>1.40541399</v>
      </c>
      <c r="I51" s="18" t="n">
        <v>0</v>
      </c>
      <c r="J51" s="20" t="n">
        <v>0</v>
      </c>
      <c r="K51" s="18" t="n">
        <v>0.22114392</v>
      </c>
      <c r="L51" s="20" t="n">
        <v>0.12135207</v>
      </c>
      <c r="M51" s="18" t="n">
        <v>0</v>
      </c>
      <c r="N51" s="20" t="n">
        <v>0</v>
      </c>
      <c r="O51" s="18" t="n">
        <v>0</v>
      </c>
      <c r="P51" s="20" t="n">
        <v>0</v>
      </c>
      <c r="Q51" s="18" t="n">
        <v>0.9643922</v>
      </c>
      <c r="R51" s="20" t="n">
        <v>0.22264136</v>
      </c>
    </row>
    <row r="52" spans="1:18">
      <c r="A52" s="15" t="s">
        <v>611</v>
      </c>
      <c r="B52" s="17" t="n">
        <v>5571</v>
      </c>
      <c r="C52" s="18">
        <f>(4363.0/B52*100)</f>
        <v/>
      </c>
      <c r="D52" s="19" t="n">
        <v>1208</v>
      </c>
      <c r="E52" s="18" t="n">
        <v>60.58000734</v>
      </c>
      <c r="F52" s="20" t="n">
        <v>1.42193323</v>
      </c>
      <c r="G52" s="18" t="n">
        <v>37.59450357</v>
      </c>
      <c r="H52" s="20" t="n">
        <v>1.39370188</v>
      </c>
      <c r="I52" s="18" t="n">
        <v>0</v>
      </c>
      <c r="J52" s="20" t="n">
        <v>0</v>
      </c>
      <c r="K52" s="18" t="n">
        <v>0.92270038</v>
      </c>
      <c r="L52" s="20" t="n">
        <v>0.28876599</v>
      </c>
      <c r="M52" s="18" t="n">
        <v>0</v>
      </c>
      <c r="N52" s="20" t="n">
        <v>0</v>
      </c>
      <c r="O52" s="18" t="n">
        <v>0</v>
      </c>
      <c r="P52" s="20" t="n">
        <v>0</v>
      </c>
      <c r="Q52" s="18" t="n">
        <v>0.90278871</v>
      </c>
      <c r="R52" s="20" t="n">
        <v>0.2926524</v>
      </c>
    </row>
    <row r="53" spans="1:18">
      <c r="A53" s="15" t="s">
        <v>612</v>
      </c>
      <c r="B53" s="17" t="n">
        <v>4740</v>
      </c>
      <c r="C53" s="18">
        <f>(3698.0/B53*100)</f>
        <v/>
      </c>
      <c r="D53" s="19" t="n">
        <v>1042</v>
      </c>
      <c r="E53" s="18" t="n">
        <v>46.36128934</v>
      </c>
      <c r="F53" s="20" t="n">
        <v>1.59667146</v>
      </c>
      <c r="G53" s="18" t="n">
        <v>33.64119919</v>
      </c>
      <c r="H53" s="20" t="n">
        <v>1.48358218</v>
      </c>
      <c r="I53" s="18" t="n">
        <v>0</v>
      </c>
      <c r="J53" s="20" t="n">
        <v>0</v>
      </c>
      <c r="K53" s="18" t="n">
        <v>16.33806863</v>
      </c>
      <c r="L53" s="20" t="n">
        <v>1.4108361</v>
      </c>
      <c r="M53" s="18" t="n">
        <v>0</v>
      </c>
      <c r="N53" s="20" t="n">
        <v>0</v>
      </c>
      <c r="O53" s="18" t="n">
        <v>0</v>
      </c>
      <c r="P53" s="20" t="n">
        <v>0</v>
      </c>
      <c r="Q53" s="18" t="n">
        <v>3.65944285</v>
      </c>
      <c r="R53" s="20" t="n">
        <v>0.67984877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(4151.0/B55*100)</f>
        <v/>
      </c>
      <c r="D55" s="19" t="n">
        <v>1208</v>
      </c>
      <c r="E55" s="18" t="n">
        <v>38.09674398</v>
      </c>
      <c r="F55" s="20" t="n">
        <v>1.55535262</v>
      </c>
      <c r="G55" s="18" t="n">
        <v>61.28012748</v>
      </c>
      <c r="H55" s="20" t="n">
        <v>1.54793086</v>
      </c>
      <c r="I55" s="18" t="n">
        <v>0</v>
      </c>
      <c r="J55" s="20" t="n">
        <v>0</v>
      </c>
      <c r="K55" s="18" t="n">
        <v>0.45595299</v>
      </c>
      <c r="L55" s="20" t="n">
        <v>0.27183169</v>
      </c>
      <c r="M55" s="18" t="n">
        <v>0</v>
      </c>
      <c r="N55" s="20" t="n">
        <v>0</v>
      </c>
      <c r="O55" s="18" t="n">
        <v>0</v>
      </c>
      <c r="P55" s="20" t="n">
        <v>0</v>
      </c>
      <c r="Q55" s="18" t="n">
        <v>0.16717555</v>
      </c>
      <c r="R55" s="20" t="n">
        <v>0.12050584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(5091.0/B61*100)</f>
        <v/>
      </c>
      <c r="D61" s="19" t="n">
        <v>1434</v>
      </c>
      <c r="E61" s="18" t="n">
        <v>41.23656431</v>
      </c>
      <c r="F61" s="20" t="n">
        <v>1.45563687</v>
      </c>
      <c r="G61" s="18" t="n">
        <v>58.02515059</v>
      </c>
      <c r="H61" s="20" t="n">
        <v>1.39844452</v>
      </c>
      <c r="I61" s="18" t="n">
        <v>0</v>
      </c>
      <c r="J61" s="20" t="n">
        <v>0</v>
      </c>
      <c r="K61" s="18" t="n">
        <v>0.10754286</v>
      </c>
      <c r="L61" s="20" t="n">
        <v>0.09452724999999999</v>
      </c>
      <c r="M61" s="18" t="n">
        <v>0</v>
      </c>
      <c r="N61" s="20" t="n">
        <v>0</v>
      </c>
      <c r="O61" s="18" t="n">
        <v>0</v>
      </c>
      <c r="P61" s="20" t="n">
        <v>0</v>
      </c>
      <c r="Q61" s="18" t="n">
        <v>0.6307422499999999</v>
      </c>
      <c r="R61" s="20" t="n">
        <v>0.24615923</v>
      </c>
    </row>
    <row r="62" spans="1:18">
      <c r="A62" s="15" t="s">
        <v>622</v>
      </c>
      <c r="B62" s="17" t="n">
        <v>4476</v>
      </c>
      <c r="C62" s="18">
        <f>(3550.0/B62*100)</f>
        <v/>
      </c>
      <c r="D62" s="19" t="n">
        <v>926</v>
      </c>
      <c r="E62" s="18" t="n">
        <v>41.8866065</v>
      </c>
      <c r="F62" s="20" t="n">
        <v>1.57535639</v>
      </c>
      <c r="G62" s="18" t="n">
        <v>57.46652781</v>
      </c>
      <c r="H62" s="20" t="n">
        <v>1.60444088</v>
      </c>
      <c r="I62" s="18" t="n">
        <v>0</v>
      </c>
      <c r="J62" s="20" t="n">
        <v>0</v>
      </c>
      <c r="K62" s="18" t="n">
        <v>0</v>
      </c>
      <c r="L62" s="20" t="n">
        <v>0</v>
      </c>
      <c r="M62" s="18" t="n">
        <v>0</v>
      </c>
      <c r="N62" s="20" t="n">
        <v>0</v>
      </c>
      <c r="O62" s="18" t="n">
        <v>0</v>
      </c>
      <c r="P62" s="20" t="n">
        <v>0</v>
      </c>
      <c r="Q62" s="18" t="n">
        <v>0.64686568</v>
      </c>
      <c r="R62" s="20" t="n">
        <v>0.26166354</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(4472.0/B67*100)</f>
        <v/>
      </c>
      <c r="D67" s="19" t="n">
        <v>1193</v>
      </c>
      <c r="E67" s="18" t="n">
        <v>53.88262235</v>
      </c>
      <c r="F67" s="20" t="n">
        <v>1.7151791</v>
      </c>
      <c r="G67" s="18" t="n">
        <v>41.19323695</v>
      </c>
      <c r="H67" s="20" t="n">
        <v>1.56091853</v>
      </c>
      <c r="I67" s="18" t="n">
        <v>0</v>
      </c>
      <c r="J67" s="20" t="n">
        <v>0</v>
      </c>
      <c r="K67" s="18" t="n">
        <v>1.92143609</v>
      </c>
      <c r="L67" s="20" t="n">
        <v>0.42757144</v>
      </c>
      <c r="M67" s="18" t="n">
        <v>0</v>
      </c>
      <c r="N67" s="20" t="n">
        <v>0</v>
      </c>
      <c r="O67" s="18" t="n">
        <v>0</v>
      </c>
      <c r="P67" s="20" t="n">
        <v>0</v>
      </c>
      <c r="Q67" s="18" t="n">
        <v>3.00270461</v>
      </c>
      <c r="R67" s="20" t="n">
        <v>0.40808126</v>
      </c>
    </row>
    <row r="68" spans="1:18">
      <c r="A68" s="15" t="s">
        <v>628</v>
      </c>
      <c r="B68" s="17" t="n">
        <v>6971</v>
      </c>
      <c r="C68" s="18">
        <f>(5710.0/B68*100)</f>
        <v/>
      </c>
      <c r="D68" s="19" t="n">
        <v>1261</v>
      </c>
      <c r="E68" s="18" t="n">
        <v>61.12907575</v>
      </c>
      <c r="F68" s="20" t="n">
        <v>1.55388399</v>
      </c>
      <c r="G68" s="18" t="n">
        <v>37.14630068</v>
      </c>
      <c r="H68" s="20" t="n">
        <v>1.44017543</v>
      </c>
      <c r="I68" s="18" t="n">
        <v>0</v>
      </c>
      <c r="J68" s="20" t="n">
        <v>0</v>
      </c>
      <c r="K68" s="18" t="n">
        <v>0.76034032</v>
      </c>
      <c r="L68" s="20" t="n">
        <v>0.31894123</v>
      </c>
      <c r="M68" s="18" t="n">
        <v>0</v>
      </c>
      <c r="N68" s="20" t="n">
        <v>0</v>
      </c>
      <c r="O68" s="18" t="n">
        <v>0</v>
      </c>
      <c r="P68" s="20" t="n">
        <v>0</v>
      </c>
      <c r="Q68" s="18" t="n">
        <v>0.96428326</v>
      </c>
      <c r="R68" s="20" t="n">
        <v>0.28398743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(9441.0/B70*100)</f>
        <v/>
      </c>
      <c r="D70" s="19" t="n">
        <v>2642</v>
      </c>
      <c r="E70" s="18" t="n">
        <v>52.01314929</v>
      </c>
      <c r="F70" s="20" t="n">
        <v>0.95642116</v>
      </c>
      <c r="G70" s="18" t="n">
        <v>41.51415213</v>
      </c>
      <c r="H70" s="20" t="n">
        <v>0.86678264</v>
      </c>
      <c r="I70" s="18" t="n">
        <v>0</v>
      </c>
      <c r="J70" s="20" t="n">
        <v>0</v>
      </c>
      <c r="K70" s="18" t="n">
        <v>3.55763911</v>
      </c>
      <c r="L70" s="20" t="n">
        <v>0.39413988</v>
      </c>
      <c r="M70" s="18" t="n">
        <v>0</v>
      </c>
      <c r="N70" s="20" t="n">
        <v>0</v>
      </c>
      <c r="O70" s="18" t="n">
        <v>0</v>
      </c>
      <c r="P70" s="20" t="n">
        <v>0</v>
      </c>
      <c r="Q70" s="18" t="n">
        <v>2.91505947</v>
      </c>
      <c r="R70" s="20" t="n">
        <v>0.35861886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(4820.0/B72*100)</f>
        <v/>
      </c>
      <c r="D72" s="19" t="n">
        <v>1216</v>
      </c>
      <c r="E72" s="18" t="n">
        <v>51.03626616</v>
      </c>
      <c r="F72" s="20" t="n">
        <v>1.64302283</v>
      </c>
      <c r="G72" s="18" t="n">
        <v>47.72374522</v>
      </c>
      <c r="H72" s="20" t="n">
        <v>1.64465042</v>
      </c>
      <c r="I72" s="18" t="n">
        <v>0</v>
      </c>
      <c r="J72" s="20" t="n">
        <v>0</v>
      </c>
      <c r="K72" s="18" t="n">
        <v>0.31299169</v>
      </c>
      <c r="L72" s="20" t="n">
        <v>0.18243197</v>
      </c>
      <c r="M72" s="18" t="n">
        <v>0</v>
      </c>
      <c r="N72" s="20" t="n">
        <v>0</v>
      </c>
      <c r="O72" s="18" t="n">
        <v>0</v>
      </c>
      <c r="P72" s="20" t="n">
        <v>0</v>
      </c>
      <c r="Q72" s="18" t="n">
        <v>0.9269969300000001</v>
      </c>
      <c r="R72" s="20" t="n">
        <v>0.26886831</v>
      </c>
    </row>
    <row r="73" spans="1:18">
      <c r="A73" s="15" t="s">
        <v>633</v>
      </c>
      <c r="B73" s="17" t="n">
        <v>6115</v>
      </c>
      <c r="C73" s="18">
        <f>(4779.0/B73*100)</f>
        <v/>
      </c>
      <c r="D73" s="19" t="n">
        <v>1336</v>
      </c>
      <c r="E73" s="18" t="n">
        <v>30.37829257</v>
      </c>
      <c r="F73" s="20" t="n">
        <v>1.06214418</v>
      </c>
      <c r="G73" s="18" t="n">
        <v>68.95126299</v>
      </c>
      <c r="H73" s="20" t="n">
        <v>1.04688262</v>
      </c>
      <c r="I73" s="18" t="n">
        <v>0</v>
      </c>
      <c r="J73" s="20" t="n">
        <v>0</v>
      </c>
      <c r="K73" s="18" t="n">
        <v>0.27426732</v>
      </c>
      <c r="L73" s="20" t="n">
        <v>0.14369503</v>
      </c>
      <c r="M73" s="18" t="n">
        <v>0</v>
      </c>
      <c r="N73" s="20" t="n">
        <v>0</v>
      </c>
      <c r="O73" s="18" t="n">
        <v>0</v>
      </c>
      <c r="P73" s="20" t="n">
        <v>0</v>
      </c>
      <c r="Q73" s="18" t="n">
        <v>0.39617711</v>
      </c>
      <c r="R73" s="20" t="n">
        <v>0.16466395</v>
      </c>
    </row>
    <row r="74" spans="1:18">
      <c r="A74" s="15" t="s">
        <v>634</v>
      </c>
      <c r="B74" s="17" t="n">
        <v>7708</v>
      </c>
      <c r="C74" s="18">
        <f>(5944.0/B74*100)</f>
        <v/>
      </c>
      <c r="D74" s="19" t="n">
        <v>1764</v>
      </c>
      <c r="E74" s="18" t="n">
        <v>40.88432223</v>
      </c>
      <c r="F74" s="20" t="n">
        <v>1.32154193</v>
      </c>
      <c r="G74" s="18" t="n">
        <v>58.46400534</v>
      </c>
      <c r="H74" s="20" t="n">
        <v>1.34101219</v>
      </c>
      <c r="I74" s="18" t="n">
        <v>0</v>
      </c>
      <c r="J74" s="20" t="n">
        <v>0</v>
      </c>
      <c r="K74" s="18" t="n">
        <v>0.24720011</v>
      </c>
      <c r="L74" s="20" t="n">
        <v>0.14493186</v>
      </c>
      <c r="M74" s="18" t="n">
        <v>0</v>
      </c>
      <c r="N74" s="20" t="n">
        <v>0</v>
      </c>
      <c r="O74" s="18" t="n">
        <v>0</v>
      </c>
      <c r="P74" s="20" t="n">
        <v>0</v>
      </c>
      <c r="Q74" s="18" t="n">
        <v>0.40447232</v>
      </c>
      <c r="R74" s="20" t="n">
        <v>0.17259888</v>
      </c>
    </row>
    <row r="75" spans="1:18">
      <c r="A75" s="15" t="s">
        <v>635</v>
      </c>
      <c r="B75" s="17" t="n">
        <v>8249</v>
      </c>
      <c r="C75" s="18">
        <f>(6477.0/B75*100)</f>
        <v/>
      </c>
      <c r="D75" s="19" t="n">
        <v>1772</v>
      </c>
      <c r="E75" s="18" t="n">
        <v>66.32373889</v>
      </c>
      <c r="F75" s="20" t="n">
        <v>1.6308943</v>
      </c>
      <c r="G75" s="18" t="n">
        <v>32.71784781</v>
      </c>
      <c r="H75" s="20" t="n">
        <v>1.66482697</v>
      </c>
      <c r="I75" s="18" t="n">
        <v>0</v>
      </c>
      <c r="J75" s="20" t="n">
        <v>0</v>
      </c>
      <c r="K75" s="18" t="n">
        <v>0.07987302</v>
      </c>
      <c r="L75" s="20" t="n">
        <v>0.07889198</v>
      </c>
      <c r="M75" s="18" t="n">
        <v>0</v>
      </c>
      <c r="N75" s="20" t="n">
        <v>0</v>
      </c>
      <c r="O75" s="18" t="n">
        <v>0</v>
      </c>
      <c r="P75" s="20" t="n">
        <v>0</v>
      </c>
      <c r="Q75" s="18" t="n">
        <v>0.87854028</v>
      </c>
      <c r="R75" s="20" t="n">
        <v>0.19305194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(4300.0/B77*100)</f>
        <v/>
      </c>
      <c r="D77" s="19" t="n">
        <v>1075</v>
      </c>
      <c r="E77" s="18" t="n">
        <v>58.55940839</v>
      </c>
      <c r="F77" s="20" t="n">
        <v>1.81140766</v>
      </c>
      <c r="G77" s="18" t="n">
        <v>33.84383375</v>
      </c>
      <c r="H77" s="20" t="n">
        <v>1.49048637</v>
      </c>
      <c r="I77" s="18" t="n">
        <v>0</v>
      </c>
      <c r="J77" s="20" t="n">
        <v>0</v>
      </c>
      <c r="K77" s="18" t="n">
        <v>4.98507132</v>
      </c>
      <c r="L77" s="20" t="n">
        <v>0.85710823</v>
      </c>
      <c r="M77" s="18" t="n">
        <v>0</v>
      </c>
      <c r="N77" s="20" t="n">
        <v>0</v>
      </c>
      <c r="O77" s="18" t="n">
        <v>0</v>
      </c>
      <c r="P77" s="20" t="n">
        <v>0</v>
      </c>
      <c r="Q77" s="18" t="n">
        <v>2.61168654</v>
      </c>
      <c r="R77" s="20" t="n">
        <v>0.48664304</v>
      </c>
    </row>
    <row r="78" spans="1:18">
      <c r="A78" s="15" t="s">
        <v>638</v>
      </c>
      <c r="B78" s="17" t="n">
        <v>14167</v>
      </c>
      <c r="C78" s="18">
        <f>(11085.0/B78*100)</f>
        <v/>
      </c>
      <c r="D78" s="19" t="n">
        <v>3082</v>
      </c>
      <c r="E78" s="18" t="n">
        <v>55.06424123</v>
      </c>
      <c r="F78" s="20" t="n">
        <v>1.0774198</v>
      </c>
      <c r="G78" s="18" t="n">
        <v>42.82896782</v>
      </c>
      <c r="H78" s="20" t="n">
        <v>1.02262131</v>
      </c>
      <c r="I78" s="18" t="n">
        <v>0</v>
      </c>
      <c r="J78" s="20" t="n">
        <v>0</v>
      </c>
      <c r="K78" s="18" t="n">
        <v>0.92679732</v>
      </c>
      <c r="L78" s="20" t="n">
        <v>0.23919511</v>
      </c>
      <c r="M78" s="18" t="n">
        <v>0</v>
      </c>
      <c r="N78" s="20" t="n">
        <v>0</v>
      </c>
      <c r="O78" s="18" t="n">
        <v>0</v>
      </c>
      <c r="P78" s="20" t="n">
        <v>0</v>
      </c>
      <c r="Q78" s="18" t="n">
        <v>1.17999364</v>
      </c>
      <c r="R78" s="20" t="n">
        <v>0.1954494</v>
      </c>
    </row>
    <row r="79" spans="1:18">
      <c r="A79" s="15" t="s">
        <v>639</v>
      </c>
      <c r="B79" s="17" t="n">
        <v>6062</v>
      </c>
      <c r="C79" s="18">
        <f>(4809.0/B79*100)</f>
        <v/>
      </c>
      <c r="D79" s="19" t="n">
        <v>1253</v>
      </c>
      <c r="E79" s="18" t="n">
        <v>46.47473039</v>
      </c>
      <c r="F79" s="20" t="n">
        <v>1.80771952</v>
      </c>
      <c r="G79" s="18" t="n">
        <v>47.75676527</v>
      </c>
      <c r="H79" s="20" t="n">
        <v>1.66759272</v>
      </c>
      <c r="I79" s="18" t="n">
        <v>0</v>
      </c>
      <c r="J79" s="20" t="n">
        <v>0</v>
      </c>
      <c r="K79" s="18" t="n">
        <v>2.80178951</v>
      </c>
      <c r="L79" s="20" t="n">
        <v>0.45156222</v>
      </c>
      <c r="M79" s="18" t="n">
        <v>0</v>
      </c>
      <c r="N79" s="20" t="n">
        <v>0</v>
      </c>
      <c r="O79" s="18" t="n">
        <v>0</v>
      </c>
      <c r="P79" s="20" t="n">
        <v>0</v>
      </c>
      <c r="Q79" s="18" t="n">
        <v>2.96671483</v>
      </c>
      <c r="R79" s="20" t="n">
        <v>0.61299183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(25366.0/B82*100)</f>
        <v/>
      </c>
      <c r="D82" s="19" t="n">
        <v>6964</v>
      </c>
      <c r="E82" s="18" t="n">
        <v>43.11019346</v>
      </c>
      <c r="F82" s="20" t="n">
        <v>0.87937131</v>
      </c>
      <c r="G82" s="18" t="n">
        <v>54.74272134</v>
      </c>
      <c r="H82" s="20" t="n">
        <v>0.85804658</v>
      </c>
      <c r="I82" s="18" t="n">
        <v>0</v>
      </c>
      <c r="J82" s="20" t="n">
        <v>0</v>
      </c>
      <c r="K82" s="18" t="n">
        <v>0.92532329</v>
      </c>
      <c r="L82" s="20" t="n">
        <v>0.20453444</v>
      </c>
      <c r="M82" s="18" t="n">
        <v>0</v>
      </c>
      <c r="N82" s="20" t="n">
        <v>0</v>
      </c>
      <c r="O82" s="18" t="n">
        <v>0</v>
      </c>
      <c r="P82" s="20" t="n">
        <v>0</v>
      </c>
      <c r="Q82" s="18" t="n">
        <v>1.22176191</v>
      </c>
      <c r="R82" s="20" t="n">
        <v>0.2049343</v>
      </c>
    </row>
    <row r="83" spans="1:18">
      <c r="A83" s="15" t="s">
        <v>643</v>
      </c>
      <c r="B83" s="17" t="n">
        <v>1652</v>
      </c>
      <c r="C83" s="18">
        <f>(1289.0/B83*100)</f>
        <v/>
      </c>
      <c r="D83" s="19" t="n">
        <v>363</v>
      </c>
      <c r="E83" s="18" t="n">
        <v>33.93899473</v>
      </c>
      <c r="F83" s="20" t="n">
        <v>2.52398214</v>
      </c>
      <c r="G83" s="18" t="n">
        <v>65.58541117999999</v>
      </c>
      <c r="H83" s="20" t="n">
        <v>2.47627913</v>
      </c>
      <c r="I83" s="18" t="n">
        <v>0</v>
      </c>
      <c r="J83" s="20" t="n">
        <v>0</v>
      </c>
      <c r="K83" s="18" t="n">
        <v>0.21811016</v>
      </c>
      <c r="L83" s="20" t="n">
        <v>0.21680718</v>
      </c>
      <c r="M83" s="18" t="n">
        <v>0</v>
      </c>
      <c r="N83" s="20" t="n">
        <v>0</v>
      </c>
      <c r="O83" s="18" t="n">
        <v>0</v>
      </c>
      <c r="P83" s="20" t="n">
        <v>0</v>
      </c>
      <c r="Q83" s="18" t="n">
        <v>0.25748393</v>
      </c>
      <c r="R83" s="20" t="n">
        <v>0.25759006</v>
      </c>
    </row>
    <row r="84" spans="1:18">
      <c r="A84" s="23" t="s">
        <v>644</v>
      </c>
      <c r="B84" s="24" t="n">
        <v>1887</v>
      </c>
      <c r="C84" s="25">
        <f>(1489.0/B84*100)</f>
        <v/>
      </c>
      <c r="D84" s="19" t="n">
        <v>398</v>
      </c>
      <c r="E84" s="18" t="n">
        <v>40.89304936</v>
      </c>
      <c r="F84" s="20" t="n">
        <v>2.57034535</v>
      </c>
      <c r="G84" s="18" t="n">
        <v>58.08658318</v>
      </c>
      <c r="H84" s="20" t="n">
        <v>2.77620166</v>
      </c>
      <c r="I84" s="18" t="n">
        <v>0</v>
      </c>
      <c r="J84" s="20" t="n">
        <v>0</v>
      </c>
      <c r="K84" s="18" t="n">
        <v>0.27393752</v>
      </c>
      <c r="L84" s="20" t="n">
        <v>0.27267467</v>
      </c>
      <c r="M84" s="18" t="n">
        <v>0</v>
      </c>
      <c r="N84" s="20" t="n">
        <v>0</v>
      </c>
      <c r="O84" s="18" t="n">
        <v>0</v>
      </c>
      <c r="P84" s="20" t="n">
        <v>0</v>
      </c>
      <c r="Q84" s="18" t="n">
        <v>0.74642995</v>
      </c>
      <c r="R84" s="20" t="n">
        <v>0.42765424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(11478.0/B7*100)</f>
        <v/>
      </c>
      <c r="D7" s="19" t="n">
        <v>3052</v>
      </c>
      <c r="E7" s="18" t="n">
        <v>16.88391406</v>
      </c>
      <c r="F7" s="20" t="n">
        <v>0.91910113</v>
      </c>
      <c r="G7" s="18" t="n">
        <v>81.61956616000001</v>
      </c>
      <c r="H7" s="20" t="n">
        <v>0.85512519</v>
      </c>
      <c r="I7" s="18" t="n">
        <v>0</v>
      </c>
      <c r="J7" s="20" t="n">
        <v>0</v>
      </c>
      <c r="K7" s="18" t="n">
        <v>1.09363728</v>
      </c>
      <c r="L7" s="20" t="n">
        <v>0.24449243</v>
      </c>
      <c r="M7" s="18" t="n">
        <v>0</v>
      </c>
      <c r="N7" s="20" t="n">
        <v>0</v>
      </c>
      <c r="O7" s="18" t="n">
        <v>0</v>
      </c>
      <c r="P7" s="20" t="n">
        <v>0</v>
      </c>
      <c r="Q7" s="18" t="n">
        <v>0.40288249</v>
      </c>
      <c r="R7" s="20" t="n">
        <v>0.1170604</v>
      </c>
    </row>
    <row r="8" spans="1:18">
      <c r="A8" s="15" t="s">
        <v>566</v>
      </c>
      <c r="B8" s="17" t="n">
        <v>7007</v>
      </c>
      <c r="C8" s="18">
        <f>(5460.0/B8*100)</f>
        <v/>
      </c>
      <c r="D8" s="19" t="n">
        <v>1547</v>
      </c>
      <c r="E8" s="18" t="n">
        <v>16.74904378</v>
      </c>
      <c r="F8" s="20" t="n">
        <v>1.0535022</v>
      </c>
      <c r="G8" s="18" t="n">
        <v>81.81833302</v>
      </c>
      <c r="H8" s="20" t="n">
        <v>1.08417833</v>
      </c>
      <c r="I8" s="18" t="n">
        <v>0</v>
      </c>
      <c r="J8" s="20" t="n">
        <v>0</v>
      </c>
      <c r="K8" s="18" t="n">
        <v>0.91626308</v>
      </c>
      <c r="L8" s="20" t="n">
        <v>0.24396373</v>
      </c>
      <c r="M8" s="18" t="n">
        <v>0</v>
      </c>
      <c r="N8" s="20" t="n">
        <v>0</v>
      </c>
      <c r="O8" s="18" t="n">
        <v>0</v>
      </c>
      <c r="P8" s="20" t="n">
        <v>0</v>
      </c>
      <c r="Q8" s="18" t="n">
        <v>0.51636011</v>
      </c>
      <c r="R8" s="20" t="n">
        <v>0.22062261</v>
      </c>
    </row>
    <row r="9" spans="1:18">
      <c r="A9" s="15" t="s">
        <v>567</v>
      </c>
      <c r="B9" s="17" t="n">
        <v>9651</v>
      </c>
      <c r="C9" s="18">
        <f>(7656.0/B9*100)</f>
        <v/>
      </c>
      <c r="D9" s="19" t="n">
        <v>1995</v>
      </c>
      <c r="E9" s="18" t="n">
        <v>17.37961075</v>
      </c>
      <c r="F9" s="20" t="n">
        <v>0.97131093</v>
      </c>
      <c r="G9" s="18" t="n">
        <v>80.43370089</v>
      </c>
      <c r="H9" s="20" t="n">
        <v>1.04570147</v>
      </c>
      <c r="I9" s="18" t="n">
        <v>0</v>
      </c>
      <c r="J9" s="20" t="n">
        <v>0</v>
      </c>
      <c r="K9" s="18" t="n">
        <v>1.5873173</v>
      </c>
      <c r="L9" s="20" t="n">
        <v>0.31407903</v>
      </c>
      <c r="M9" s="18" t="n">
        <v>0</v>
      </c>
      <c r="N9" s="20" t="n">
        <v>0</v>
      </c>
      <c r="O9" s="18" t="n">
        <v>0</v>
      </c>
      <c r="P9" s="20" t="n">
        <v>0</v>
      </c>
      <c r="Q9" s="18" t="n">
        <v>0.59937105</v>
      </c>
      <c r="R9" s="20" t="n">
        <v>0.17553201</v>
      </c>
    </row>
    <row r="10" spans="1:18">
      <c r="A10" s="15" t="s">
        <v>568</v>
      </c>
      <c r="B10" s="17" t="n">
        <v>20058</v>
      </c>
      <c r="C10" s="18">
        <f>(15750.0/B10*100)</f>
        <v/>
      </c>
      <c r="D10" s="19" t="n">
        <v>4308</v>
      </c>
      <c r="E10" s="18" t="n">
        <v>14.47894413</v>
      </c>
      <c r="F10" s="20" t="n">
        <v>0.78240764</v>
      </c>
      <c r="G10" s="18" t="n">
        <v>84.10755429</v>
      </c>
      <c r="H10" s="20" t="n">
        <v>0.80602946</v>
      </c>
      <c r="I10" s="18" t="n">
        <v>0</v>
      </c>
      <c r="J10" s="20" t="n">
        <v>0</v>
      </c>
      <c r="K10" s="18" t="n">
        <v>0.91813873</v>
      </c>
      <c r="L10" s="20" t="n">
        <v>0.20581856</v>
      </c>
      <c r="M10" s="18" t="n">
        <v>0</v>
      </c>
      <c r="N10" s="20" t="n">
        <v>0</v>
      </c>
      <c r="O10" s="18" t="n">
        <v>0</v>
      </c>
      <c r="P10" s="20" t="n">
        <v>0</v>
      </c>
      <c r="Q10" s="18" t="n">
        <v>0.49536286</v>
      </c>
      <c r="R10" s="20" t="n">
        <v>0.21558088</v>
      </c>
    </row>
    <row r="11" spans="1:18">
      <c r="A11" s="15" t="s">
        <v>569</v>
      </c>
      <c r="B11" s="17" t="n">
        <v>7053</v>
      </c>
      <c r="C11" s="18">
        <f>(5631.0/B11*100)</f>
        <v/>
      </c>
      <c r="D11" s="19" t="n">
        <v>1422</v>
      </c>
      <c r="E11" s="18" t="n">
        <v>22.90324989</v>
      </c>
      <c r="F11" s="20" t="n">
        <v>1.42048986</v>
      </c>
      <c r="G11" s="18" t="n">
        <v>72.80594096</v>
      </c>
      <c r="H11" s="20" t="n">
        <v>1.43529756</v>
      </c>
      <c r="I11" s="18" t="n">
        <v>0</v>
      </c>
      <c r="J11" s="20" t="n">
        <v>0</v>
      </c>
      <c r="K11" s="18" t="n">
        <v>2.71594891</v>
      </c>
      <c r="L11" s="20" t="n">
        <v>0.51560373</v>
      </c>
      <c r="M11" s="18" t="n">
        <v>0</v>
      </c>
      <c r="N11" s="20" t="n">
        <v>0</v>
      </c>
      <c r="O11" s="18" t="n">
        <v>0</v>
      </c>
      <c r="P11" s="20" t="n">
        <v>0</v>
      </c>
      <c r="Q11" s="18" t="n">
        <v>1.57486024</v>
      </c>
      <c r="R11" s="20" t="n">
        <v>0.32039685</v>
      </c>
    </row>
    <row r="12" spans="1:18">
      <c r="A12" s="15" t="s">
        <v>570</v>
      </c>
      <c r="B12" s="17" t="n">
        <v>6894</v>
      </c>
      <c r="C12" s="18">
        <f>(5449.0/B12*100)</f>
        <v/>
      </c>
      <c r="D12" s="19" t="n">
        <v>1445</v>
      </c>
      <c r="E12" s="18" t="n">
        <v>19.61233837</v>
      </c>
      <c r="F12" s="20" t="n">
        <v>1.26932263</v>
      </c>
      <c r="G12" s="18" t="n">
        <v>78.72742817</v>
      </c>
      <c r="H12" s="20" t="n">
        <v>1.31899921</v>
      </c>
      <c r="I12" s="18" t="n">
        <v>0</v>
      </c>
      <c r="J12" s="20" t="n">
        <v>0</v>
      </c>
      <c r="K12" s="18" t="n">
        <v>1.01834179</v>
      </c>
      <c r="L12" s="20" t="n">
        <v>0.23119844</v>
      </c>
      <c r="M12" s="18" t="n">
        <v>0</v>
      </c>
      <c r="N12" s="20" t="n">
        <v>0</v>
      </c>
      <c r="O12" s="18" t="n">
        <v>0</v>
      </c>
      <c r="P12" s="20" t="n">
        <v>0</v>
      </c>
      <c r="Q12" s="18" t="n">
        <v>0.64189167</v>
      </c>
      <c r="R12" s="20" t="n">
        <v>0.26638757</v>
      </c>
    </row>
    <row r="13" spans="1:18">
      <c r="A13" s="15" t="s">
        <v>571</v>
      </c>
      <c r="B13" s="17" t="n">
        <v>7161</v>
      </c>
      <c r="C13" s="18">
        <f>(5732.0/B13*100)</f>
        <v/>
      </c>
      <c r="D13" s="19" t="n">
        <v>1429</v>
      </c>
      <c r="E13" s="18" t="n">
        <v>12.29326051</v>
      </c>
      <c r="F13" s="20" t="n">
        <v>1.02508095</v>
      </c>
      <c r="G13" s="18" t="n">
        <v>86.30458629</v>
      </c>
      <c r="H13" s="20" t="n">
        <v>1.00855813</v>
      </c>
      <c r="I13" s="18" t="n">
        <v>0</v>
      </c>
      <c r="J13" s="20" t="n">
        <v>0</v>
      </c>
      <c r="K13" s="18" t="n">
        <v>1.30063515</v>
      </c>
      <c r="L13" s="20" t="n">
        <v>0.34069048</v>
      </c>
      <c r="M13" s="18" t="n">
        <v>0</v>
      </c>
      <c r="N13" s="20" t="n">
        <v>0</v>
      </c>
      <c r="O13" s="18" t="n">
        <v>0</v>
      </c>
      <c r="P13" s="20" t="n">
        <v>0</v>
      </c>
      <c r="Q13" s="18" t="n">
        <v>0.10151806</v>
      </c>
      <c r="R13" s="20" t="n">
        <v>0.07532973</v>
      </c>
    </row>
    <row r="14" spans="1:18">
      <c r="A14" s="15" t="s">
        <v>572</v>
      </c>
      <c r="B14" s="17" t="n">
        <v>5587</v>
      </c>
      <c r="C14" s="18">
        <f>(4414.0/B14*100)</f>
        <v/>
      </c>
      <c r="D14" s="19" t="n">
        <v>1173</v>
      </c>
      <c r="E14" s="18" t="n">
        <v>10.45497427</v>
      </c>
      <c r="F14" s="20" t="n">
        <v>0.98060436</v>
      </c>
      <c r="G14" s="18" t="n">
        <v>88.72627155000001</v>
      </c>
      <c r="H14" s="20" t="n">
        <v>1.04606917</v>
      </c>
      <c r="I14" s="18" t="n">
        <v>0</v>
      </c>
      <c r="J14" s="20" t="n">
        <v>0</v>
      </c>
      <c r="K14" s="18" t="n">
        <v>0.75373747</v>
      </c>
      <c r="L14" s="20" t="n">
        <v>0.27879826</v>
      </c>
      <c r="M14" s="18" t="n">
        <v>0</v>
      </c>
      <c r="N14" s="20" t="n">
        <v>0</v>
      </c>
      <c r="O14" s="18" t="n">
        <v>0</v>
      </c>
      <c r="P14" s="20" t="n">
        <v>0</v>
      </c>
      <c r="Q14" s="18" t="n">
        <v>0.06501671000000001</v>
      </c>
      <c r="R14" s="20" t="n">
        <v>0.06873348</v>
      </c>
    </row>
    <row r="15" spans="1:18">
      <c r="A15" s="15" t="s">
        <v>573</v>
      </c>
      <c r="B15" s="17" t="n">
        <v>5882</v>
      </c>
      <c r="C15" s="18">
        <f>(4581.0/B15*100)</f>
        <v/>
      </c>
      <c r="D15" s="19" t="n">
        <v>1301</v>
      </c>
      <c r="E15" s="18" t="n">
        <v>14.19108742</v>
      </c>
      <c r="F15" s="20" t="n">
        <v>1.04361042</v>
      </c>
      <c r="G15" s="18" t="n">
        <v>85.17477116000001</v>
      </c>
      <c r="H15" s="20" t="n">
        <v>1.03425585</v>
      </c>
      <c r="I15" s="18" t="n">
        <v>0</v>
      </c>
      <c r="J15" s="20" t="n">
        <v>0</v>
      </c>
      <c r="K15" s="18" t="n">
        <v>0.46646237</v>
      </c>
      <c r="L15" s="20" t="n">
        <v>0.20310271</v>
      </c>
      <c r="M15" s="18" t="n">
        <v>0</v>
      </c>
      <c r="N15" s="20" t="n">
        <v>0</v>
      </c>
      <c r="O15" s="18" t="n">
        <v>0</v>
      </c>
      <c r="P15" s="20" t="n">
        <v>0</v>
      </c>
      <c r="Q15" s="18" t="n">
        <v>0.16767905</v>
      </c>
      <c r="R15" s="20" t="n">
        <v>0.1202408</v>
      </c>
    </row>
    <row r="16" spans="1:18">
      <c r="A16" s="15" t="s">
        <v>574</v>
      </c>
      <c r="B16" s="17" t="n">
        <v>6108</v>
      </c>
      <c r="C16" s="18">
        <f>(4780.0/B16*100)</f>
        <v/>
      </c>
      <c r="D16" s="19" t="n">
        <v>1328</v>
      </c>
      <c r="E16" s="18" t="n">
        <v>16.30942622</v>
      </c>
      <c r="F16" s="20" t="n">
        <v>1.08492194</v>
      </c>
      <c r="G16" s="18" t="n">
        <v>80.9118003</v>
      </c>
      <c r="H16" s="20" t="n">
        <v>1.21418357</v>
      </c>
      <c r="I16" s="18" t="n">
        <v>0</v>
      </c>
      <c r="J16" s="20" t="n">
        <v>0</v>
      </c>
      <c r="K16" s="18" t="n">
        <v>1.75968696</v>
      </c>
      <c r="L16" s="20" t="n">
        <v>0.40566573</v>
      </c>
      <c r="M16" s="18" t="n">
        <v>0</v>
      </c>
      <c r="N16" s="20" t="n">
        <v>0</v>
      </c>
      <c r="O16" s="18" t="n">
        <v>0</v>
      </c>
      <c r="P16" s="20" t="n">
        <v>0</v>
      </c>
      <c r="Q16" s="18" t="n">
        <v>1.01908651</v>
      </c>
      <c r="R16" s="20" t="n">
        <v>0.31593841</v>
      </c>
    </row>
    <row r="17" spans="1:18">
      <c r="A17" s="15" t="s">
        <v>575</v>
      </c>
      <c r="B17" s="17" t="n">
        <v>6504</v>
      </c>
      <c r="C17" s="18">
        <f>(5185.0/B17*100)</f>
        <v/>
      </c>
      <c r="D17" s="19" t="n">
        <v>1319</v>
      </c>
      <c r="E17" s="18" t="n">
        <v>14.46341862</v>
      </c>
      <c r="F17" s="20" t="n">
        <v>0.99837339</v>
      </c>
      <c r="G17" s="18" t="n">
        <v>83.91170468999999</v>
      </c>
      <c r="H17" s="20" t="n">
        <v>1.07806516</v>
      </c>
      <c r="I17" s="18" t="n">
        <v>0</v>
      </c>
      <c r="J17" s="20" t="n">
        <v>0</v>
      </c>
      <c r="K17" s="18" t="n">
        <v>0.95813417</v>
      </c>
      <c r="L17" s="20" t="n">
        <v>0.28133264</v>
      </c>
      <c r="M17" s="18" t="n">
        <v>0</v>
      </c>
      <c r="N17" s="20" t="n">
        <v>0</v>
      </c>
      <c r="O17" s="18" t="n">
        <v>0</v>
      </c>
      <c r="P17" s="20" t="n">
        <v>0</v>
      </c>
      <c r="Q17" s="18" t="n">
        <v>0.66674252</v>
      </c>
      <c r="R17" s="20" t="n">
        <v>0.20007251</v>
      </c>
    </row>
    <row r="18" spans="1:18">
      <c r="A18" s="15" t="s">
        <v>576</v>
      </c>
      <c r="B18" s="17" t="n">
        <v>5532</v>
      </c>
      <c r="C18" s="18">
        <f>(4325.0/B18*100)</f>
        <v/>
      </c>
      <c r="D18" s="19" t="n">
        <v>1207</v>
      </c>
      <c r="E18" s="18" t="n">
        <v>26.07012077</v>
      </c>
      <c r="F18" s="20" t="n">
        <v>1.61453987</v>
      </c>
      <c r="G18" s="18" t="n">
        <v>70.74916253000001</v>
      </c>
      <c r="H18" s="20" t="n">
        <v>1.71783422</v>
      </c>
      <c r="I18" s="18" t="n">
        <v>0</v>
      </c>
      <c r="J18" s="20" t="n">
        <v>0</v>
      </c>
      <c r="K18" s="18" t="n">
        <v>2.10379116</v>
      </c>
      <c r="L18" s="20" t="n">
        <v>0.52490846</v>
      </c>
      <c r="M18" s="18" t="n">
        <v>0</v>
      </c>
      <c r="N18" s="20" t="n">
        <v>0</v>
      </c>
      <c r="O18" s="18" t="n">
        <v>0</v>
      </c>
      <c r="P18" s="20" t="n">
        <v>0</v>
      </c>
      <c r="Q18" s="18" t="n">
        <v>1.07692553</v>
      </c>
      <c r="R18" s="20" t="n">
        <v>0.37830741</v>
      </c>
    </row>
    <row r="19" spans="1:18">
      <c r="A19" s="15" t="s">
        <v>577</v>
      </c>
      <c r="B19" s="17" t="n">
        <v>5658</v>
      </c>
      <c r="C19" s="18">
        <f>(4499.0/B19*100)</f>
        <v/>
      </c>
      <c r="D19" s="19" t="n">
        <v>1159</v>
      </c>
      <c r="E19" s="18" t="n">
        <v>18.77108575</v>
      </c>
      <c r="F19" s="20" t="n">
        <v>1.25835008</v>
      </c>
      <c r="G19" s="18" t="n">
        <v>79.64622652</v>
      </c>
      <c r="H19" s="20" t="n">
        <v>1.23337469</v>
      </c>
      <c r="I19" s="18" t="n">
        <v>0</v>
      </c>
      <c r="J19" s="20" t="n">
        <v>0</v>
      </c>
      <c r="K19" s="18" t="n">
        <v>0.9277926</v>
      </c>
      <c r="L19" s="20" t="n">
        <v>0.36811692</v>
      </c>
      <c r="M19" s="18" t="n">
        <v>0</v>
      </c>
      <c r="N19" s="20" t="n">
        <v>0</v>
      </c>
      <c r="O19" s="18" t="n">
        <v>0</v>
      </c>
      <c r="P19" s="20" t="n">
        <v>0</v>
      </c>
      <c r="Q19" s="18" t="n">
        <v>0.65489514</v>
      </c>
      <c r="R19" s="20" t="n">
        <v>0.28068575</v>
      </c>
    </row>
    <row r="20" spans="1:18">
      <c r="A20" s="15" t="s">
        <v>578</v>
      </c>
      <c r="B20" s="17" t="n">
        <v>3371</v>
      </c>
      <c r="C20" s="18">
        <f>(2658.0/B20*100)</f>
        <v/>
      </c>
      <c r="D20" s="19" t="n">
        <v>713</v>
      </c>
      <c r="E20" s="18" t="n">
        <v>21.62137845</v>
      </c>
      <c r="F20" s="20" t="n">
        <v>1.72416672</v>
      </c>
      <c r="G20" s="18" t="n">
        <v>76.48350596</v>
      </c>
      <c r="H20" s="20" t="n">
        <v>1.75135648</v>
      </c>
      <c r="I20" s="18" t="n">
        <v>0</v>
      </c>
      <c r="J20" s="20" t="n">
        <v>0</v>
      </c>
      <c r="K20" s="18" t="n">
        <v>1.51614949</v>
      </c>
      <c r="L20" s="20" t="n">
        <v>0.45321058</v>
      </c>
      <c r="M20" s="18" t="n">
        <v>0</v>
      </c>
      <c r="N20" s="20" t="n">
        <v>0</v>
      </c>
      <c r="O20" s="18" t="n">
        <v>0</v>
      </c>
      <c r="P20" s="20" t="n">
        <v>0</v>
      </c>
      <c r="Q20" s="18" t="n">
        <v>0.37896609</v>
      </c>
      <c r="R20" s="20" t="n">
        <v>0.22024949</v>
      </c>
    </row>
    <row r="21" spans="1:18">
      <c r="A21" s="15" t="s">
        <v>579</v>
      </c>
      <c r="B21" s="17" t="n">
        <v>5741</v>
      </c>
      <c r="C21" s="18">
        <f>(4480.0/B21*100)</f>
        <v/>
      </c>
      <c r="D21" s="19" t="n">
        <v>1261</v>
      </c>
      <c r="E21" s="18" t="n">
        <v>17.24013401</v>
      </c>
      <c r="F21" s="20" t="n">
        <v>1.25556352</v>
      </c>
      <c r="G21" s="18" t="n">
        <v>81.67767127</v>
      </c>
      <c r="H21" s="20" t="n">
        <v>1.29719185</v>
      </c>
      <c r="I21" s="18" t="n">
        <v>0</v>
      </c>
      <c r="J21" s="20" t="n">
        <v>0</v>
      </c>
      <c r="K21" s="18" t="n">
        <v>0.88776404</v>
      </c>
      <c r="L21" s="20" t="n">
        <v>0.28749075</v>
      </c>
      <c r="M21" s="18" t="n">
        <v>0</v>
      </c>
      <c r="N21" s="20" t="n">
        <v>0</v>
      </c>
      <c r="O21" s="18" t="n">
        <v>0</v>
      </c>
      <c r="P21" s="20" t="n">
        <v>0</v>
      </c>
      <c r="Q21" s="18" t="n">
        <v>0.19443068</v>
      </c>
      <c r="R21" s="20" t="n">
        <v>0.136132</v>
      </c>
    </row>
    <row r="22" spans="1:18">
      <c r="A22" s="15" t="s">
        <v>580</v>
      </c>
      <c r="B22" s="17" t="n">
        <v>6598</v>
      </c>
      <c r="C22" s="18">
        <f>(5219.0/B22*100)</f>
        <v/>
      </c>
      <c r="D22" s="19" t="n">
        <v>1379</v>
      </c>
      <c r="E22" s="18" t="n">
        <v>35.00311578</v>
      </c>
      <c r="F22" s="20" t="n">
        <v>1.33646168</v>
      </c>
      <c r="G22" s="18" t="n">
        <v>61.62947436</v>
      </c>
      <c r="H22" s="20" t="n">
        <v>1.39963832</v>
      </c>
      <c r="I22" s="18" t="n">
        <v>0</v>
      </c>
      <c r="J22" s="20" t="n">
        <v>0</v>
      </c>
      <c r="K22" s="18" t="n">
        <v>2.25002455</v>
      </c>
      <c r="L22" s="20" t="n">
        <v>0.43959163</v>
      </c>
      <c r="M22" s="18" t="n">
        <v>0</v>
      </c>
      <c r="N22" s="20" t="n">
        <v>0</v>
      </c>
      <c r="O22" s="18" t="n">
        <v>0</v>
      </c>
      <c r="P22" s="20" t="n">
        <v>0</v>
      </c>
      <c r="Q22" s="18" t="n">
        <v>1.11738531</v>
      </c>
      <c r="R22" s="20" t="n">
        <v>0.24225528</v>
      </c>
    </row>
    <row r="23" spans="1:18">
      <c r="A23" s="15" t="s">
        <v>581</v>
      </c>
      <c r="B23" s="17" t="n">
        <v>11583</v>
      </c>
      <c r="C23" s="18">
        <f>(9038.0/B23*100)</f>
        <v/>
      </c>
      <c r="D23" s="19" t="n">
        <v>2545</v>
      </c>
      <c r="E23" s="18" t="n">
        <v>13.75426835</v>
      </c>
      <c r="F23" s="20" t="n">
        <v>0.91931822</v>
      </c>
      <c r="G23" s="18" t="n">
        <v>83.03382612999999</v>
      </c>
      <c r="H23" s="20" t="n">
        <v>1.09204874</v>
      </c>
      <c r="I23" s="18" t="n">
        <v>0</v>
      </c>
      <c r="J23" s="20" t="n">
        <v>0</v>
      </c>
      <c r="K23" s="18" t="n">
        <v>2.05838665</v>
      </c>
      <c r="L23" s="20" t="n">
        <v>0.42127096</v>
      </c>
      <c r="M23" s="18" t="n">
        <v>0</v>
      </c>
      <c r="N23" s="20" t="n">
        <v>0</v>
      </c>
      <c r="O23" s="18" t="n">
        <v>0</v>
      </c>
      <c r="P23" s="20" t="n">
        <v>0</v>
      </c>
      <c r="Q23" s="18" t="n">
        <v>1.15351887</v>
      </c>
      <c r="R23" s="20" t="n">
        <v>0.24676459</v>
      </c>
    </row>
    <row r="24" spans="1:18">
      <c r="A24" s="15" t="s">
        <v>582</v>
      </c>
      <c r="B24" s="17" t="n">
        <v>6647</v>
      </c>
      <c r="C24" s="18">
        <f>(5200.0/B24*100)</f>
        <v/>
      </c>
      <c r="D24" s="19" t="n">
        <v>1447</v>
      </c>
      <c r="E24" s="18" t="n">
        <v>7.0913666</v>
      </c>
      <c r="F24" s="20" t="n">
        <v>0.7381733</v>
      </c>
      <c r="G24" s="18" t="n">
        <v>92.43579262999999</v>
      </c>
      <c r="H24" s="20" t="n">
        <v>0.77064405</v>
      </c>
      <c r="I24" s="18" t="n">
        <v>0</v>
      </c>
      <c r="J24" s="20" t="n">
        <v>0</v>
      </c>
      <c r="K24" s="18" t="n">
        <v>0.39916931</v>
      </c>
      <c r="L24" s="20" t="n">
        <v>0.19254132</v>
      </c>
      <c r="M24" s="18" t="n">
        <v>0</v>
      </c>
      <c r="N24" s="20" t="n">
        <v>0</v>
      </c>
      <c r="O24" s="18" t="n">
        <v>0</v>
      </c>
      <c r="P24" s="20" t="n">
        <v>0</v>
      </c>
      <c r="Q24" s="18" t="n">
        <v>0.07367145999999999</v>
      </c>
      <c r="R24" s="20" t="n">
        <v>0.0647556</v>
      </c>
    </row>
    <row r="25" spans="1:18">
      <c r="A25" s="15" t="s">
        <v>583</v>
      </c>
      <c r="B25" s="17" t="n">
        <v>5581</v>
      </c>
      <c r="C25" s="18">
        <f>(4359.0/B25*100)</f>
        <v/>
      </c>
      <c r="D25" s="19" t="n">
        <v>1222</v>
      </c>
      <c r="E25" s="18" t="n">
        <v>11.16454824</v>
      </c>
      <c r="F25" s="20" t="n">
        <v>1.0019415</v>
      </c>
      <c r="G25" s="18" t="n">
        <v>88.67713166</v>
      </c>
      <c r="H25" s="20" t="n">
        <v>1.01985896</v>
      </c>
      <c r="I25" s="18" t="n">
        <v>0</v>
      </c>
      <c r="J25" s="20" t="n">
        <v>0</v>
      </c>
      <c r="K25" s="18" t="n">
        <v>0</v>
      </c>
      <c r="L25" s="20" t="n">
        <v>0</v>
      </c>
      <c r="M25" s="18" t="n">
        <v>0</v>
      </c>
      <c r="N25" s="20" t="n">
        <v>0</v>
      </c>
      <c r="O25" s="18" t="n">
        <v>0</v>
      </c>
      <c r="P25" s="20" t="n">
        <v>0</v>
      </c>
      <c r="Q25" s="18" t="n">
        <v>0.1583201</v>
      </c>
      <c r="R25" s="20" t="n">
        <v>0.15882383</v>
      </c>
    </row>
    <row r="26" spans="1:18">
      <c r="A26" s="15" t="s">
        <v>584</v>
      </c>
      <c r="B26" s="17" t="n">
        <v>4869</v>
      </c>
      <c r="C26" s="18">
        <f>(3832.0/B26*100)</f>
        <v/>
      </c>
      <c r="D26" s="19" t="n">
        <v>1037</v>
      </c>
      <c r="E26" s="18" t="n">
        <v>17.796315</v>
      </c>
      <c r="F26" s="20" t="n">
        <v>1.23575525</v>
      </c>
      <c r="G26" s="18" t="n">
        <v>81.76849822</v>
      </c>
      <c r="H26" s="20" t="n">
        <v>1.2148928</v>
      </c>
      <c r="I26" s="18" t="n">
        <v>0</v>
      </c>
      <c r="J26" s="20" t="n">
        <v>0</v>
      </c>
      <c r="K26" s="18" t="n">
        <v>0.29652899</v>
      </c>
      <c r="L26" s="20" t="n">
        <v>0.16952188</v>
      </c>
      <c r="M26" s="18" t="n">
        <v>0</v>
      </c>
      <c r="N26" s="20" t="n">
        <v>0</v>
      </c>
      <c r="O26" s="18" t="n">
        <v>0</v>
      </c>
      <c r="P26" s="20" t="n">
        <v>0</v>
      </c>
      <c r="Q26" s="18" t="n">
        <v>0.13865779</v>
      </c>
      <c r="R26" s="20" t="n">
        <v>0.09529587</v>
      </c>
    </row>
    <row r="27" spans="1:18">
      <c r="A27" s="15" t="s">
        <v>585</v>
      </c>
      <c r="B27" s="17" t="n">
        <v>5299</v>
      </c>
      <c r="C27" s="18">
        <f>(4154.0/B27*100)</f>
        <v/>
      </c>
      <c r="D27" s="19" t="n">
        <v>1145</v>
      </c>
      <c r="E27" s="18" t="n">
        <v>22.50912177</v>
      </c>
      <c r="F27" s="20" t="n">
        <v>1.39693826</v>
      </c>
      <c r="G27" s="18" t="n">
        <v>74.85432097</v>
      </c>
      <c r="H27" s="20" t="n">
        <v>1.39509422</v>
      </c>
      <c r="I27" s="18" t="n">
        <v>0</v>
      </c>
      <c r="J27" s="20" t="n">
        <v>0</v>
      </c>
      <c r="K27" s="18" t="n">
        <v>1.4062171</v>
      </c>
      <c r="L27" s="20" t="n">
        <v>0.34527969</v>
      </c>
      <c r="M27" s="18" t="n">
        <v>0</v>
      </c>
      <c r="N27" s="20" t="n">
        <v>0</v>
      </c>
      <c r="O27" s="18" t="n">
        <v>0</v>
      </c>
      <c r="P27" s="20" t="n">
        <v>0</v>
      </c>
      <c r="Q27" s="18" t="n">
        <v>1.23034016</v>
      </c>
      <c r="R27" s="20" t="n">
        <v>0.33218226</v>
      </c>
    </row>
    <row r="28" spans="1:18">
      <c r="A28" s="15" t="s">
        <v>586</v>
      </c>
      <c r="B28" s="17" t="n">
        <v>7568</v>
      </c>
      <c r="C28" s="18">
        <f>(6129.0/B28*100)</f>
        <v/>
      </c>
      <c r="D28" s="19" t="n">
        <v>1439</v>
      </c>
      <c r="E28" s="18" t="n">
        <v>33.14559592</v>
      </c>
      <c r="F28" s="20" t="n">
        <v>1.46312423</v>
      </c>
      <c r="G28" s="18" t="n">
        <v>63.47425568</v>
      </c>
      <c r="H28" s="20" t="n">
        <v>1.5262256</v>
      </c>
      <c r="I28" s="18" t="n">
        <v>0</v>
      </c>
      <c r="J28" s="20" t="n">
        <v>0</v>
      </c>
      <c r="K28" s="18" t="n">
        <v>1.74836678</v>
      </c>
      <c r="L28" s="20" t="n">
        <v>0.57210731</v>
      </c>
      <c r="M28" s="18" t="n">
        <v>0</v>
      </c>
      <c r="N28" s="20" t="n">
        <v>0</v>
      </c>
      <c r="O28" s="18" t="n">
        <v>0</v>
      </c>
      <c r="P28" s="20" t="n">
        <v>0</v>
      </c>
      <c r="Q28" s="18" t="n">
        <v>1.63178162</v>
      </c>
      <c r="R28" s="20" t="n">
        <v>0.46863732</v>
      </c>
    </row>
    <row r="29" spans="1:18">
      <c r="A29" s="15" t="s">
        <v>587</v>
      </c>
      <c r="B29" s="17" t="n">
        <v>5385</v>
      </c>
      <c r="C29" s="18">
        <f>(4277.0/B29*100)</f>
        <v/>
      </c>
      <c r="D29" s="19" t="n">
        <v>1108</v>
      </c>
      <c r="E29" s="18" t="n">
        <v>17.24158951</v>
      </c>
      <c r="F29" s="20" t="n">
        <v>1.21041619</v>
      </c>
      <c r="G29" s="18" t="n">
        <v>82.11051839</v>
      </c>
      <c r="H29" s="20" t="n">
        <v>1.29612097</v>
      </c>
      <c r="I29" s="18" t="n">
        <v>0</v>
      </c>
      <c r="J29" s="20" t="n">
        <v>0</v>
      </c>
      <c r="K29" s="18" t="n">
        <v>0.55618182</v>
      </c>
      <c r="L29" s="20" t="n">
        <v>0.23488765</v>
      </c>
      <c r="M29" s="18" t="n">
        <v>0</v>
      </c>
      <c r="N29" s="20" t="n">
        <v>0</v>
      </c>
      <c r="O29" s="18" t="n">
        <v>0</v>
      </c>
      <c r="P29" s="20" t="n">
        <v>0</v>
      </c>
      <c r="Q29" s="18" t="n">
        <v>0.09171028000000001</v>
      </c>
      <c r="R29" s="20" t="n">
        <v>0.10097061</v>
      </c>
    </row>
    <row r="30" spans="1:18">
      <c r="A30" s="15" t="s">
        <v>588</v>
      </c>
      <c r="B30" s="17" t="n">
        <v>4520</v>
      </c>
      <c r="C30" s="18">
        <f>(3572.0/B30*100)</f>
        <v/>
      </c>
      <c r="D30" s="19" t="n">
        <v>948</v>
      </c>
      <c r="E30" s="18" t="n">
        <v>17.08656309</v>
      </c>
      <c r="F30" s="20" t="n">
        <v>1.54668961</v>
      </c>
      <c r="G30" s="18" t="n">
        <v>80.22846558000001</v>
      </c>
      <c r="H30" s="20" t="n">
        <v>1.51194181</v>
      </c>
      <c r="I30" s="18" t="n">
        <v>0</v>
      </c>
      <c r="J30" s="20" t="n">
        <v>0</v>
      </c>
      <c r="K30" s="18" t="n">
        <v>1.78741314</v>
      </c>
      <c r="L30" s="20" t="n">
        <v>0.54620744</v>
      </c>
      <c r="M30" s="18" t="n">
        <v>0</v>
      </c>
      <c r="N30" s="20" t="n">
        <v>0</v>
      </c>
      <c r="O30" s="18" t="n">
        <v>0</v>
      </c>
      <c r="P30" s="20" t="n">
        <v>0</v>
      </c>
      <c r="Q30" s="18" t="n">
        <v>0.89755819</v>
      </c>
      <c r="R30" s="20" t="n">
        <v>0.3610085</v>
      </c>
    </row>
    <row r="31" spans="1:18">
      <c r="A31" s="15" t="s">
        <v>589</v>
      </c>
      <c r="B31" s="17" t="n">
        <v>5456</v>
      </c>
      <c r="C31" s="18">
        <f>(4278.0/B31*100)</f>
        <v/>
      </c>
      <c r="D31" s="19" t="n">
        <v>1178</v>
      </c>
      <c r="E31" s="18" t="n">
        <v>22.32305412</v>
      </c>
      <c r="F31" s="20" t="n">
        <v>1.33096081</v>
      </c>
      <c r="G31" s="18" t="n">
        <v>75.289053</v>
      </c>
      <c r="H31" s="20" t="n">
        <v>1.49292281</v>
      </c>
      <c r="I31" s="18" t="n">
        <v>0</v>
      </c>
      <c r="J31" s="20" t="n">
        <v>0</v>
      </c>
      <c r="K31" s="18" t="n">
        <v>2.20269687</v>
      </c>
      <c r="L31" s="20" t="n">
        <v>0.45843426</v>
      </c>
      <c r="M31" s="18" t="n">
        <v>0</v>
      </c>
      <c r="N31" s="20" t="n">
        <v>0</v>
      </c>
      <c r="O31" s="18" t="n">
        <v>0</v>
      </c>
      <c r="P31" s="20" t="n">
        <v>0</v>
      </c>
      <c r="Q31" s="18" t="n">
        <v>0.18519602</v>
      </c>
      <c r="R31" s="20" t="n">
        <v>0.12358504</v>
      </c>
    </row>
    <row r="32" spans="1:18">
      <c r="A32" s="15" t="s">
        <v>590</v>
      </c>
      <c r="B32" s="17" t="n">
        <v>4478</v>
      </c>
      <c r="C32" s="18">
        <f>(3450.0/B32*100)</f>
        <v/>
      </c>
      <c r="D32" s="19" t="n">
        <v>1028</v>
      </c>
      <c r="E32" s="18" t="n">
        <v>12.56861101</v>
      </c>
      <c r="F32" s="20" t="n">
        <v>1.11684937</v>
      </c>
      <c r="G32" s="18" t="n">
        <v>87.24540055</v>
      </c>
      <c r="H32" s="20" t="n">
        <v>1.12971398</v>
      </c>
      <c r="I32" s="18" t="n">
        <v>0</v>
      </c>
      <c r="J32" s="20" t="n">
        <v>0</v>
      </c>
      <c r="K32" s="18" t="n">
        <v>0.18598844</v>
      </c>
      <c r="L32" s="20" t="n">
        <v>0.12681404</v>
      </c>
      <c r="M32" s="18" t="n">
        <v>0</v>
      </c>
      <c r="N32" s="20" t="n">
        <v>0</v>
      </c>
      <c r="O32" s="18" t="n">
        <v>0</v>
      </c>
      <c r="P32" s="20" t="n">
        <v>0</v>
      </c>
      <c r="Q32" s="18" t="n">
        <v>0</v>
      </c>
      <c r="R32" s="20" t="n">
        <v>0</v>
      </c>
    </row>
    <row r="33" spans="1:18">
      <c r="A33" s="15" t="s">
        <v>591</v>
      </c>
      <c r="B33" s="17" t="n">
        <v>7325</v>
      </c>
      <c r="C33" s="18">
        <f>(5787.0/B33*100)</f>
        <v/>
      </c>
      <c r="D33" s="19" t="n">
        <v>1538</v>
      </c>
      <c r="E33" s="18" t="n">
        <v>17.72657065</v>
      </c>
      <c r="F33" s="20" t="n">
        <v>1.18380097</v>
      </c>
      <c r="G33" s="18" t="n">
        <v>81.12909526999999</v>
      </c>
      <c r="H33" s="20" t="n">
        <v>1.23579575</v>
      </c>
      <c r="I33" s="18" t="n">
        <v>0</v>
      </c>
      <c r="J33" s="20" t="n">
        <v>0</v>
      </c>
      <c r="K33" s="18" t="n">
        <v>1.12828875</v>
      </c>
      <c r="L33" s="20" t="n">
        <v>0.37865814</v>
      </c>
      <c r="M33" s="18" t="n">
        <v>0</v>
      </c>
      <c r="N33" s="20" t="n">
        <v>0</v>
      </c>
      <c r="O33" s="18" t="n">
        <v>0</v>
      </c>
      <c r="P33" s="20" t="n">
        <v>0</v>
      </c>
      <c r="Q33" s="18" t="n">
        <v>0.01604533</v>
      </c>
      <c r="R33" s="20" t="n">
        <v>0.01211963</v>
      </c>
    </row>
    <row r="34" spans="1:18">
      <c r="A34" s="15" t="s">
        <v>592</v>
      </c>
      <c r="B34" s="17" t="n">
        <v>6350</v>
      </c>
      <c r="C34" s="18">
        <f>(5070.0/B34*100)</f>
        <v/>
      </c>
      <c r="D34" s="19" t="n">
        <v>1280</v>
      </c>
      <c r="E34" s="18" t="n">
        <v>26.32282918</v>
      </c>
      <c r="F34" s="20" t="n">
        <v>1.37607973</v>
      </c>
      <c r="G34" s="18" t="n">
        <v>72.34440762</v>
      </c>
      <c r="H34" s="20" t="n">
        <v>1.40534747</v>
      </c>
      <c r="I34" s="18" t="n">
        <v>0</v>
      </c>
      <c r="J34" s="20" t="n">
        <v>0</v>
      </c>
      <c r="K34" s="18" t="n">
        <v>0.48247537</v>
      </c>
      <c r="L34" s="20" t="n">
        <v>0.21914469</v>
      </c>
      <c r="M34" s="18" t="n">
        <v>0</v>
      </c>
      <c r="N34" s="20" t="n">
        <v>0</v>
      </c>
      <c r="O34" s="18" t="n">
        <v>0</v>
      </c>
      <c r="P34" s="20" t="n">
        <v>0</v>
      </c>
      <c r="Q34" s="18" t="n">
        <v>0.85028783</v>
      </c>
      <c r="R34" s="20" t="n">
        <v>0.27223229</v>
      </c>
    </row>
    <row r="35" spans="1:18">
      <c r="A35" s="15" t="s">
        <v>593</v>
      </c>
      <c r="B35" s="17" t="n">
        <v>6406</v>
      </c>
      <c r="C35" s="18">
        <f>(5019.0/B35*100)</f>
        <v/>
      </c>
      <c r="D35" s="19" t="n">
        <v>1387</v>
      </c>
      <c r="E35" s="18" t="n">
        <v>16.04299151</v>
      </c>
      <c r="F35" s="20" t="n">
        <v>1.11179584</v>
      </c>
      <c r="G35" s="18" t="n">
        <v>82.89916598000001</v>
      </c>
      <c r="H35" s="20" t="n">
        <v>1.16701934</v>
      </c>
      <c r="I35" s="18" t="n">
        <v>0</v>
      </c>
      <c r="J35" s="20" t="n">
        <v>0</v>
      </c>
      <c r="K35" s="18" t="n">
        <v>0.87184935</v>
      </c>
      <c r="L35" s="20" t="n">
        <v>0.37105513</v>
      </c>
      <c r="M35" s="18" t="n">
        <v>0</v>
      </c>
      <c r="N35" s="20" t="n">
        <v>0</v>
      </c>
      <c r="O35" s="18" t="n">
        <v>0</v>
      </c>
      <c r="P35" s="20" t="n">
        <v>0</v>
      </c>
      <c r="Q35" s="18" t="n">
        <v>0.18599316</v>
      </c>
      <c r="R35" s="20" t="n">
        <v>0.0977193</v>
      </c>
    </row>
    <row r="36" spans="1:18">
      <c r="A36" s="15" t="s">
        <v>594</v>
      </c>
      <c r="B36" s="17" t="n">
        <v>6736</v>
      </c>
      <c r="C36" s="18">
        <f>(5327.0/B36*100)</f>
        <v/>
      </c>
      <c r="D36" s="19" t="n">
        <v>1409</v>
      </c>
      <c r="E36" s="18" t="n">
        <v>18.7171315</v>
      </c>
      <c r="F36" s="20" t="n">
        <v>1.22293239</v>
      </c>
      <c r="G36" s="18" t="n">
        <v>79.79472324</v>
      </c>
      <c r="H36" s="20" t="n">
        <v>1.15114946</v>
      </c>
      <c r="I36" s="18" t="n">
        <v>0</v>
      </c>
      <c r="J36" s="20" t="n">
        <v>0</v>
      </c>
      <c r="K36" s="18" t="n">
        <v>1.27751078</v>
      </c>
      <c r="L36" s="20" t="n">
        <v>0.22979246</v>
      </c>
      <c r="M36" s="18" t="n">
        <v>0</v>
      </c>
      <c r="N36" s="20" t="n">
        <v>0</v>
      </c>
      <c r="O36" s="18" t="n">
        <v>0</v>
      </c>
      <c r="P36" s="20" t="n">
        <v>0</v>
      </c>
      <c r="Q36" s="18" t="n">
        <v>0.21063447</v>
      </c>
      <c r="R36" s="20" t="n">
        <v>0.12749991</v>
      </c>
    </row>
    <row r="37" spans="1:18">
      <c r="A37" s="15" t="s">
        <v>595</v>
      </c>
      <c r="B37" s="17" t="n">
        <v>5458</v>
      </c>
      <c r="C37" s="18">
        <f>(4341.0/B37*100)</f>
        <v/>
      </c>
      <c r="D37" s="19" t="n">
        <v>1117</v>
      </c>
      <c r="E37" s="18" t="n">
        <v>27.66217095</v>
      </c>
      <c r="F37" s="20" t="n">
        <v>1.44652932</v>
      </c>
      <c r="G37" s="18" t="n">
        <v>69.14309505</v>
      </c>
      <c r="H37" s="20" t="n">
        <v>1.54185907</v>
      </c>
      <c r="I37" s="18" t="n">
        <v>0</v>
      </c>
      <c r="J37" s="20" t="n">
        <v>0</v>
      </c>
      <c r="K37" s="18" t="n">
        <v>2.63061111</v>
      </c>
      <c r="L37" s="20" t="n">
        <v>0.49505774</v>
      </c>
      <c r="M37" s="18" t="n">
        <v>0</v>
      </c>
      <c r="N37" s="20" t="n">
        <v>0</v>
      </c>
      <c r="O37" s="18" t="n">
        <v>0</v>
      </c>
      <c r="P37" s="20" t="n">
        <v>0</v>
      </c>
      <c r="Q37" s="18" t="n">
        <v>0.56412289</v>
      </c>
      <c r="R37" s="20" t="n">
        <v>0.2158164</v>
      </c>
    </row>
    <row r="38" spans="1:18">
      <c r="A38" s="15" t="s">
        <v>596</v>
      </c>
      <c r="B38" s="17" t="n">
        <v>5860</v>
      </c>
      <c r="C38" s="18">
        <f>(4613.0/B38*100)</f>
        <v/>
      </c>
      <c r="D38" s="19" t="n">
        <v>1247</v>
      </c>
      <c r="E38" s="18" t="n">
        <v>18.60793455</v>
      </c>
      <c r="F38" s="20" t="n">
        <v>1.25605224</v>
      </c>
      <c r="G38" s="18" t="n">
        <v>80.18185422000001</v>
      </c>
      <c r="H38" s="20" t="n">
        <v>1.33772326</v>
      </c>
      <c r="I38" s="18" t="n">
        <v>0</v>
      </c>
      <c r="J38" s="20" t="n">
        <v>0</v>
      </c>
      <c r="K38" s="18" t="n">
        <v>1.08583285</v>
      </c>
      <c r="L38" s="20" t="n">
        <v>0.32641545</v>
      </c>
      <c r="M38" s="18" t="n">
        <v>0</v>
      </c>
      <c r="N38" s="20" t="n">
        <v>0</v>
      </c>
      <c r="O38" s="18" t="n">
        <v>0</v>
      </c>
      <c r="P38" s="20" t="n">
        <v>0</v>
      </c>
      <c r="Q38" s="18" t="n">
        <v>0.12437838</v>
      </c>
      <c r="R38" s="20" t="n">
        <v>0.11942132</v>
      </c>
    </row>
    <row r="39" spans="1:18">
      <c r="A39" s="15" t="s">
        <v>597</v>
      </c>
      <c r="B39" s="17" t="n">
        <v>5895</v>
      </c>
      <c r="C39" s="18">
        <f>(4579.0/B39*100)</f>
        <v/>
      </c>
      <c r="D39" s="19" t="n">
        <v>1316</v>
      </c>
      <c r="E39" s="18" t="n">
        <v>41.16617727</v>
      </c>
      <c r="F39" s="20" t="n">
        <v>1.48334489</v>
      </c>
      <c r="G39" s="18" t="n">
        <v>57.12955279</v>
      </c>
      <c r="H39" s="20" t="n">
        <v>1.52719973</v>
      </c>
      <c r="I39" s="18" t="n">
        <v>0</v>
      </c>
      <c r="J39" s="20" t="n">
        <v>0</v>
      </c>
      <c r="K39" s="18" t="n">
        <v>0.72891658</v>
      </c>
      <c r="L39" s="20" t="n">
        <v>0.19621952</v>
      </c>
      <c r="M39" s="18" t="n">
        <v>0</v>
      </c>
      <c r="N39" s="20" t="n">
        <v>0</v>
      </c>
      <c r="O39" s="18" t="n">
        <v>0</v>
      </c>
      <c r="P39" s="20" t="n">
        <v>0</v>
      </c>
      <c r="Q39" s="18" t="n">
        <v>0.9753533599999999</v>
      </c>
      <c r="R39" s="20" t="n">
        <v>0.25442541</v>
      </c>
    </row>
    <row r="40" spans="1:18">
      <c r="A40" s="15" t="s">
        <v>598</v>
      </c>
      <c r="B40" s="17" t="n">
        <v>14157</v>
      </c>
      <c r="C40" s="18">
        <f>(11058.0/B40*100)</f>
        <v/>
      </c>
      <c r="D40" s="19" t="n">
        <v>3099</v>
      </c>
      <c r="E40" s="18" t="n">
        <v>17.61485332</v>
      </c>
      <c r="F40" s="20" t="n">
        <v>1.03459768</v>
      </c>
      <c r="G40" s="18" t="n">
        <v>81.0890395</v>
      </c>
      <c r="H40" s="20" t="n">
        <v>1.02843276</v>
      </c>
      <c r="I40" s="18" t="n">
        <v>0</v>
      </c>
      <c r="J40" s="20" t="n">
        <v>0</v>
      </c>
      <c r="K40" s="18" t="n">
        <v>1.06796505</v>
      </c>
      <c r="L40" s="20" t="n">
        <v>0.2857391</v>
      </c>
      <c r="M40" s="18" t="n">
        <v>0</v>
      </c>
      <c r="N40" s="20" t="n">
        <v>0</v>
      </c>
      <c r="O40" s="18" t="n">
        <v>0</v>
      </c>
      <c r="P40" s="20" t="n">
        <v>0</v>
      </c>
      <c r="Q40" s="18" t="n">
        <v>0.22814214</v>
      </c>
      <c r="R40" s="20" t="n">
        <v>0.12635241</v>
      </c>
    </row>
    <row r="41" spans="1:18">
      <c r="A41" s="15" t="s">
        <v>599</v>
      </c>
      <c r="B41" s="17" t="n">
        <v>5712</v>
      </c>
      <c r="C41" s="18">
        <f>(4541.0/B41*100)</f>
        <v/>
      </c>
      <c r="D41" s="19" t="n">
        <v>1171</v>
      </c>
      <c r="E41" s="18" t="n">
        <v>20.52988068</v>
      </c>
      <c r="F41" s="20" t="n">
        <v>1.29510077</v>
      </c>
      <c r="G41" s="18" t="n">
        <v>78.59095619</v>
      </c>
      <c r="H41" s="20" t="n">
        <v>1.266757</v>
      </c>
      <c r="I41" s="18" t="n">
        <v>0</v>
      </c>
      <c r="J41" s="20" t="n">
        <v>0</v>
      </c>
      <c r="K41" s="18" t="n">
        <v>0.56779533</v>
      </c>
      <c r="L41" s="20" t="n">
        <v>0.21475682</v>
      </c>
      <c r="M41" s="18" t="n">
        <v>0</v>
      </c>
      <c r="N41" s="20" t="n">
        <v>0</v>
      </c>
      <c r="O41" s="18" t="n">
        <v>0</v>
      </c>
      <c r="P41" s="20" t="n">
        <v>0</v>
      </c>
      <c r="Q41" s="18" t="n">
        <v>0.3113678</v>
      </c>
      <c r="R41" s="20" t="n">
        <v>0.14446407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(19570.0/B46*100)</f>
        <v/>
      </c>
      <c r="D46" s="19" t="n">
        <v>3571</v>
      </c>
      <c r="E46" s="18" t="n">
        <v>29.05897067</v>
      </c>
      <c r="F46" s="20" t="n">
        <v>1.05028111</v>
      </c>
      <c r="G46" s="18" t="n">
        <v>62.70739305</v>
      </c>
      <c r="H46" s="20" t="n">
        <v>1.16625301</v>
      </c>
      <c r="I46" s="18" t="n">
        <v>0</v>
      </c>
      <c r="J46" s="20" t="n">
        <v>0</v>
      </c>
      <c r="K46" s="18" t="n">
        <v>3.2637182</v>
      </c>
      <c r="L46" s="20" t="n">
        <v>0.56140539</v>
      </c>
      <c r="M46" s="18" t="n">
        <v>0</v>
      </c>
      <c r="N46" s="20" t="n">
        <v>0</v>
      </c>
      <c r="O46" s="18" t="n">
        <v>0</v>
      </c>
      <c r="P46" s="20" t="n">
        <v>0</v>
      </c>
      <c r="Q46" s="18" t="n">
        <v>4.96991808</v>
      </c>
      <c r="R46" s="20" t="n">
        <v>0.49564323</v>
      </c>
    </row>
    <row r="47" spans="1:18">
      <c r="A47" s="15" t="s">
        <v>606</v>
      </c>
      <c r="B47" s="17" t="n">
        <v>5928</v>
      </c>
      <c r="C47" s="18">
        <f>(4732.0/B47*100)</f>
        <v/>
      </c>
      <c r="D47" s="19" t="n">
        <v>1196</v>
      </c>
      <c r="E47" s="18" t="n">
        <v>26.74386115</v>
      </c>
      <c r="F47" s="20" t="n">
        <v>1.53706115</v>
      </c>
      <c r="G47" s="18" t="n">
        <v>69.891497</v>
      </c>
      <c r="H47" s="20" t="n">
        <v>1.74166352</v>
      </c>
      <c r="I47" s="18" t="n">
        <v>0</v>
      </c>
      <c r="J47" s="20" t="n">
        <v>0</v>
      </c>
      <c r="K47" s="18" t="n">
        <v>2.05066957</v>
      </c>
      <c r="L47" s="20" t="n">
        <v>0.42343384</v>
      </c>
      <c r="M47" s="18" t="n">
        <v>0</v>
      </c>
      <c r="N47" s="20" t="n">
        <v>0</v>
      </c>
      <c r="O47" s="18" t="n">
        <v>0</v>
      </c>
      <c r="P47" s="20" t="n">
        <v>0</v>
      </c>
      <c r="Q47" s="18" t="n">
        <v>1.31397227</v>
      </c>
      <c r="R47" s="20" t="n">
        <v>0.37210133</v>
      </c>
    </row>
    <row r="48" spans="1:18">
      <c r="A48" s="15" t="s">
        <v>607</v>
      </c>
      <c r="B48" s="17" t="n">
        <v>9841</v>
      </c>
      <c r="C48" s="18">
        <f>(7700.0/B48*100)</f>
        <v/>
      </c>
      <c r="D48" s="19" t="n">
        <v>2141</v>
      </c>
      <c r="E48" s="18" t="n">
        <v>37.31239821</v>
      </c>
      <c r="F48" s="20" t="n">
        <v>1.53933142</v>
      </c>
      <c r="G48" s="18" t="n">
        <v>61.23769733</v>
      </c>
      <c r="H48" s="20" t="n">
        <v>1.60229814</v>
      </c>
      <c r="I48" s="18" t="n">
        <v>0</v>
      </c>
      <c r="J48" s="20" t="n">
        <v>0</v>
      </c>
      <c r="K48" s="18" t="n">
        <v>1.08499235</v>
      </c>
      <c r="L48" s="20" t="n">
        <v>0.36814598</v>
      </c>
      <c r="M48" s="18" t="n">
        <v>0</v>
      </c>
      <c r="N48" s="20" t="n">
        <v>0</v>
      </c>
      <c r="O48" s="18" t="n">
        <v>0</v>
      </c>
      <c r="P48" s="20" t="n">
        <v>0</v>
      </c>
      <c r="Q48" s="18" t="n">
        <v>0.36491212</v>
      </c>
      <c r="R48" s="20" t="n">
        <v>0.13889675</v>
      </c>
    </row>
    <row r="49" spans="1:18">
      <c r="A49" s="15" t="s">
        <v>608</v>
      </c>
      <c r="B49" s="17" t="n">
        <v>11795</v>
      </c>
      <c r="C49" s="18">
        <f>(9400.0/B49*100)</f>
        <v/>
      </c>
      <c r="D49" s="19" t="n">
        <v>2395</v>
      </c>
      <c r="E49" s="18" t="n">
        <v>35.60430443</v>
      </c>
      <c r="F49" s="20" t="n">
        <v>1.27621295</v>
      </c>
      <c r="G49" s="18" t="n">
        <v>58.57809857</v>
      </c>
      <c r="H49" s="20" t="n">
        <v>1.37544719</v>
      </c>
      <c r="I49" s="18" t="n">
        <v>0</v>
      </c>
      <c r="J49" s="20" t="n">
        <v>0</v>
      </c>
      <c r="K49" s="18" t="n">
        <v>4.03383482</v>
      </c>
      <c r="L49" s="20" t="n">
        <v>0.5641223</v>
      </c>
      <c r="M49" s="18" t="n">
        <v>0</v>
      </c>
      <c r="N49" s="20" t="n">
        <v>0</v>
      </c>
      <c r="O49" s="18" t="n">
        <v>0</v>
      </c>
      <c r="P49" s="20" t="n">
        <v>0</v>
      </c>
      <c r="Q49" s="18" t="n">
        <v>1.78376218</v>
      </c>
      <c r="R49" s="20" t="n">
        <v>0.5171373</v>
      </c>
    </row>
    <row r="50" spans="1:18">
      <c r="A50" s="15" t="s">
        <v>609</v>
      </c>
      <c r="B50" s="17" t="n">
        <v>6866</v>
      </c>
      <c r="C50" s="18">
        <f>(5658.0/B50*100)</f>
        <v/>
      </c>
      <c r="D50" s="19" t="n">
        <v>1208</v>
      </c>
      <c r="E50" s="18" t="n">
        <v>32.78513967</v>
      </c>
      <c r="F50" s="20" t="n">
        <v>1.54506949</v>
      </c>
      <c r="G50" s="18" t="n">
        <v>64.82797671</v>
      </c>
      <c r="H50" s="20" t="n">
        <v>1.59448183</v>
      </c>
      <c r="I50" s="18" t="n">
        <v>0</v>
      </c>
      <c r="J50" s="20" t="n">
        <v>0</v>
      </c>
      <c r="K50" s="18" t="n">
        <v>0.80593481</v>
      </c>
      <c r="L50" s="20" t="n">
        <v>0.28471962</v>
      </c>
      <c r="M50" s="18" t="n">
        <v>0</v>
      </c>
      <c r="N50" s="20" t="n">
        <v>0</v>
      </c>
      <c r="O50" s="18" t="n">
        <v>0</v>
      </c>
      <c r="P50" s="20" t="n">
        <v>0</v>
      </c>
      <c r="Q50" s="18" t="n">
        <v>1.5809488</v>
      </c>
      <c r="R50" s="20" t="n">
        <v>0.4379109</v>
      </c>
    </row>
    <row r="51" spans="1:18">
      <c r="A51" s="15" t="s">
        <v>610</v>
      </c>
      <c r="B51" s="17" t="n">
        <v>5809</v>
      </c>
      <c r="C51" s="18">
        <f>(4501.0/B51*100)</f>
        <v/>
      </c>
      <c r="D51" s="19" t="n">
        <v>1308</v>
      </c>
      <c r="E51" s="18" t="n">
        <v>25.55401572</v>
      </c>
      <c r="F51" s="20" t="n">
        <v>1.35417231</v>
      </c>
      <c r="G51" s="18" t="n">
        <v>72.64639468999999</v>
      </c>
      <c r="H51" s="20" t="n">
        <v>1.44305168</v>
      </c>
      <c r="I51" s="18" t="n">
        <v>0</v>
      </c>
      <c r="J51" s="20" t="n">
        <v>0</v>
      </c>
      <c r="K51" s="18" t="n">
        <v>0.70055797</v>
      </c>
      <c r="L51" s="20" t="n">
        <v>0.2654083</v>
      </c>
      <c r="M51" s="18" t="n">
        <v>0</v>
      </c>
      <c r="N51" s="20" t="n">
        <v>0</v>
      </c>
      <c r="O51" s="18" t="n">
        <v>0</v>
      </c>
      <c r="P51" s="20" t="n">
        <v>0</v>
      </c>
      <c r="Q51" s="18" t="n">
        <v>1.09903163</v>
      </c>
      <c r="R51" s="20" t="n">
        <v>0.32128154</v>
      </c>
    </row>
    <row r="52" spans="1:18">
      <c r="A52" s="15" t="s">
        <v>611</v>
      </c>
      <c r="B52" s="17" t="n">
        <v>5571</v>
      </c>
      <c r="C52" s="18">
        <f>(4368.0/B52*100)</f>
        <v/>
      </c>
      <c r="D52" s="19" t="n">
        <v>1203</v>
      </c>
      <c r="E52" s="18" t="n">
        <v>33.58398835</v>
      </c>
      <c r="F52" s="20" t="n">
        <v>1.23573151</v>
      </c>
      <c r="G52" s="18" t="n">
        <v>64.20453655999999</v>
      </c>
      <c r="H52" s="20" t="n">
        <v>1.31937176</v>
      </c>
      <c r="I52" s="18" t="n">
        <v>0</v>
      </c>
      <c r="J52" s="20" t="n">
        <v>0</v>
      </c>
      <c r="K52" s="18" t="n">
        <v>1.36310434</v>
      </c>
      <c r="L52" s="20" t="n">
        <v>0.35285759</v>
      </c>
      <c r="M52" s="18" t="n">
        <v>0</v>
      </c>
      <c r="N52" s="20" t="n">
        <v>0</v>
      </c>
      <c r="O52" s="18" t="n">
        <v>0</v>
      </c>
      <c r="P52" s="20" t="n">
        <v>0</v>
      </c>
      <c r="Q52" s="18" t="n">
        <v>0.84837075</v>
      </c>
      <c r="R52" s="20" t="n">
        <v>0.2717686</v>
      </c>
    </row>
    <row r="53" spans="1:18">
      <c r="A53" s="15" t="s">
        <v>612</v>
      </c>
      <c r="B53" s="17" t="n">
        <v>4740</v>
      </c>
      <c r="C53" s="18">
        <f>(3700.0/B53*100)</f>
        <v/>
      </c>
      <c r="D53" s="19" t="n">
        <v>1040</v>
      </c>
      <c r="E53" s="18" t="n">
        <v>34.42975908</v>
      </c>
      <c r="F53" s="20" t="n">
        <v>1.67014817</v>
      </c>
      <c r="G53" s="18" t="n">
        <v>36.6677768</v>
      </c>
      <c r="H53" s="20" t="n">
        <v>1.75191059</v>
      </c>
      <c r="I53" s="18" t="n">
        <v>0</v>
      </c>
      <c r="J53" s="20" t="n">
        <v>0</v>
      </c>
      <c r="K53" s="18" t="n">
        <v>19.53336241</v>
      </c>
      <c r="L53" s="20" t="n">
        <v>1.57203526</v>
      </c>
      <c r="M53" s="18" t="n">
        <v>0</v>
      </c>
      <c r="N53" s="20" t="n">
        <v>0</v>
      </c>
      <c r="O53" s="18" t="n">
        <v>0</v>
      </c>
      <c r="P53" s="20" t="n">
        <v>0</v>
      </c>
      <c r="Q53" s="18" t="n">
        <v>9.3691017</v>
      </c>
      <c r="R53" s="20" t="n">
        <v>0.9995693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(4152.0/B55*100)</f>
        <v/>
      </c>
      <c r="D55" s="19" t="n">
        <v>1207</v>
      </c>
      <c r="E55" s="18" t="n">
        <v>11.48184003</v>
      </c>
      <c r="F55" s="20" t="n">
        <v>0.97200036</v>
      </c>
      <c r="G55" s="18" t="n">
        <v>87.60585165000001</v>
      </c>
      <c r="H55" s="20" t="n">
        <v>0.98140253</v>
      </c>
      <c r="I55" s="18" t="n">
        <v>0</v>
      </c>
      <c r="J55" s="20" t="n">
        <v>0</v>
      </c>
      <c r="K55" s="18" t="n">
        <v>0.61181507</v>
      </c>
      <c r="L55" s="20" t="n">
        <v>0.29144488</v>
      </c>
      <c r="M55" s="18" t="n">
        <v>0</v>
      </c>
      <c r="N55" s="20" t="n">
        <v>0</v>
      </c>
      <c r="O55" s="18" t="n">
        <v>0</v>
      </c>
      <c r="P55" s="20" t="n">
        <v>0</v>
      </c>
      <c r="Q55" s="18" t="n">
        <v>0.30049325</v>
      </c>
      <c r="R55" s="20" t="n">
        <v>0.15265276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(5101.0/B61*100)</f>
        <v/>
      </c>
      <c r="D61" s="19" t="n">
        <v>1424</v>
      </c>
      <c r="E61" s="18" t="n">
        <v>26.75533436</v>
      </c>
      <c r="F61" s="20" t="n">
        <v>1.37447158</v>
      </c>
      <c r="G61" s="18" t="n">
        <v>72.41056665000001</v>
      </c>
      <c r="H61" s="20" t="n">
        <v>1.4035127</v>
      </c>
      <c r="I61" s="18" t="n">
        <v>0</v>
      </c>
      <c r="J61" s="20" t="n">
        <v>0</v>
      </c>
      <c r="K61" s="18" t="n">
        <v>0.2662962</v>
      </c>
      <c r="L61" s="20" t="n">
        <v>0.15065956</v>
      </c>
      <c r="M61" s="18" t="n">
        <v>0</v>
      </c>
      <c r="N61" s="20" t="n">
        <v>0</v>
      </c>
      <c r="O61" s="18" t="n">
        <v>0</v>
      </c>
      <c r="P61" s="20" t="n">
        <v>0</v>
      </c>
      <c r="Q61" s="18" t="n">
        <v>0.56780279</v>
      </c>
      <c r="R61" s="20" t="n">
        <v>0.21071905</v>
      </c>
    </row>
    <row r="62" spans="1:18">
      <c r="A62" s="15" t="s">
        <v>622</v>
      </c>
      <c r="B62" s="17" t="n">
        <v>4476</v>
      </c>
      <c r="C62" s="18">
        <f>(3559.0/B62*100)</f>
        <v/>
      </c>
      <c r="D62" s="19" t="n">
        <v>917</v>
      </c>
      <c r="E62" s="18" t="n">
        <v>12.33155164</v>
      </c>
      <c r="F62" s="20" t="n">
        <v>1.01186501</v>
      </c>
      <c r="G62" s="18" t="n">
        <v>87.66844836</v>
      </c>
      <c r="H62" s="20" t="n">
        <v>1.01186501</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(4478.0/B67*100)</f>
        <v/>
      </c>
      <c r="D67" s="19" t="n">
        <v>1187</v>
      </c>
      <c r="E67" s="18" t="n">
        <v>22.61590885</v>
      </c>
      <c r="F67" s="20" t="n">
        <v>1.20941351</v>
      </c>
      <c r="G67" s="18" t="n">
        <v>70.4382105</v>
      </c>
      <c r="H67" s="20" t="n">
        <v>1.16034911</v>
      </c>
      <c r="I67" s="18" t="n">
        <v>0</v>
      </c>
      <c r="J67" s="20" t="n">
        <v>0</v>
      </c>
      <c r="K67" s="18" t="n">
        <v>3.13743886</v>
      </c>
      <c r="L67" s="20" t="n">
        <v>0.55046558</v>
      </c>
      <c r="M67" s="18" t="n">
        <v>0</v>
      </c>
      <c r="N67" s="20" t="n">
        <v>0</v>
      </c>
      <c r="O67" s="18" t="n">
        <v>0</v>
      </c>
      <c r="P67" s="20" t="n">
        <v>0</v>
      </c>
      <c r="Q67" s="18" t="n">
        <v>3.80844179</v>
      </c>
      <c r="R67" s="20" t="n">
        <v>0.5874805400000001</v>
      </c>
    </row>
    <row r="68" spans="1:18">
      <c r="A68" s="15" t="s">
        <v>628</v>
      </c>
      <c r="B68" s="17" t="n">
        <v>6971</v>
      </c>
      <c r="C68" s="18">
        <f>(5749.0/B68*100)</f>
        <v/>
      </c>
      <c r="D68" s="19" t="n">
        <v>1222</v>
      </c>
      <c r="E68" s="18" t="n">
        <v>39.77586436</v>
      </c>
      <c r="F68" s="20" t="n">
        <v>1.41893746</v>
      </c>
      <c r="G68" s="18" t="n">
        <v>56.3375324</v>
      </c>
      <c r="H68" s="20" t="n">
        <v>1.34963458</v>
      </c>
      <c r="I68" s="18" t="n">
        <v>0</v>
      </c>
      <c r="J68" s="20" t="n">
        <v>0</v>
      </c>
      <c r="K68" s="18" t="n">
        <v>0.99289182</v>
      </c>
      <c r="L68" s="20" t="n">
        <v>0.36314666</v>
      </c>
      <c r="M68" s="18" t="n">
        <v>0</v>
      </c>
      <c r="N68" s="20" t="n">
        <v>0</v>
      </c>
      <c r="O68" s="18" t="n">
        <v>0</v>
      </c>
      <c r="P68" s="20" t="n">
        <v>0</v>
      </c>
      <c r="Q68" s="18" t="n">
        <v>2.89371142</v>
      </c>
      <c r="R68" s="20" t="n">
        <v>0.51693008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(9443.0/B70*100)</f>
        <v/>
      </c>
      <c r="D70" s="19" t="n">
        <v>2640</v>
      </c>
      <c r="E70" s="18" t="n">
        <v>35.23529511</v>
      </c>
      <c r="F70" s="20" t="n">
        <v>0.8786794999999999</v>
      </c>
      <c r="G70" s="18" t="n">
        <v>58.59840894</v>
      </c>
      <c r="H70" s="20" t="n">
        <v>0.89403181</v>
      </c>
      <c r="I70" s="18" t="n">
        <v>0</v>
      </c>
      <c r="J70" s="20" t="n">
        <v>0</v>
      </c>
      <c r="K70" s="18" t="n">
        <v>4.41179904</v>
      </c>
      <c r="L70" s="20" t="n">
        <v>0.45270303</v>
      </c>
      <c r="M70" s="18" t="n">
        <v>0</v>
      </c>
      <c r="N70" s="20" t="n">
        <v>0</v>
      </c>
      <c r="O70" s="18" t="n">
        <v>0</v>
      </c>
      <c r="P70" s="20" t="n">
        <v>0</v>
      </c>
      <c r="Q70" s="18" t="n">
        <v>1.7544969</v>
      </c>
      <c r="R70" s="20" t="n">
        <v>0.24300665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(4833.0/B72*100)</f>
        <v/>
      </c>
      <c r="D72" s="19" t="n">
        <v>1203</v>
      </c>
      <c r="E72" s="18" t="n">
        <v>15.80679869</v>
      </c>
      <c r="F72" s="20" t="n">
        <v>1.10076086</v>
      </c>
      <c r="G72" s="18" t="n">
        <v>82.25878797999999</v>
      </c>
      <c r="H72" s="20" t="n">
        <v>1.34571848</v>
      </c>
      <c r="I72" s="18" t="n">
        <v>0</v>
      </c>
      <c r="J72" s="20" t="n">
        <v>0</v>
      </c>
      <c r="K72" s="18" t="n">
        <v>0.79003758</v>
      </c>
      <c r="L72" s="20" t="n">
        <v>0.24101292</v>
      </c>
      <c r="M72" s="18" t="n">
        <v>0</v>
      </c>
      <c r="N72" s="20" t="n">
        <v>0</v>
      </c>
      <c r="O72" s="18" t="n">
        <v>0</v>
      </c>
      <c r="P72" s="20" t="n">
        <v>0</v>
      </c>
      <c r="Q72" s="18" t="n">
        <v>1.14437575</v>
      </c>
      <c r="R72" s="20" t="n">
        <v>0.37213823</v>
      </c>
    </row>
    <row r="73" spans="1:18">
      <c r="A73" s="15" t="s">
        <v>633</v>
      </c>
      <c r="B73" s="17" t="n">
        <v>6115</v>
      </c>
      <c r="C73" s="18">
        <f>(4783.0/B73*100)</f>
        <v/>
      </c>
      <c r="D73" s="19" t="n">
        <v>1332</v>
      </c>
      <c r="E73" s="18" t="n">
        <v>10.92801814</v>
      </c>
      <c r="F73" s="20" t="n">
        <v>0.82350976</v>
      </c>
      <c r="G73" s="18" t="n">
        <v>88.29207776</v>
      </c>
      <c r="H73" s="20" t="n">
        <v>0.84352475</v>
      </c>
      <c r="I73" s="18" t="n">
        <v>0</v>
      </c>
      <c r="J73" s="20" t="n">
        <v>0</v>
      </c>
      <c r="K73" s="18" t="n">
        <v>0.4063665</v>
      </c>
      <c r="L73" s="20" t="n">
        <v>0.19236755</v>
      </c>
      <c r="M73" s="18" t="n">
        <v>0</v>
      </c>
      <c r="N73" s="20" t="n">
        <v>0</v>
      </c>
      <c r="O73" s="18" t="n">
        <v>0</v>
      </c>
      <c r="P73" s="20" t="n">
        <v>0</v>
      </c>
      <c r="Q73" s="18" t="n">
        <v>0.37353759</v>
      </c>
      <c r="R73" s="20" t="n">
        <v>0.19239814</v>
      </c>
    </row>
    <row r="74" spans="1:18">
      <c r="A74" s="15" t="s">
        <v>634</v>
      </c>
      <c r="B74" s="17" t="n">
        <v>7708</v>
      </c>
      <c r="C74" s="18">
        <f>(5947.0/B74*100)</f>
        <v/>
      </c>
      <c r="D74" s="19" t="n">
        <v>1761</v>
      </c>
      <c r="E74" s="18" t="n">
        <v>13.92116498</v>
      </c>
      <c r="F74" s="20" t="n">
        <v>0.7936249399999999</v>
      </c>
      <c r="G74" s="18" t="n">
        <v>85.83128739999999</v>
      </c>
      <c r="H74" s="20" t="n">
        <v>0.81919573</v>
      </c>
      <c r="I74" s="18" t="n">
        <v>0</v>
      </c>
      <c r="J74" s="20" t="n">
        <v>0</v>
      </c>
      <c r="K74" s="18" t="n">
        <v>0.24754761</v>
      </c>
      <c r="L74" s="20" t="n">
        <v>0.14513896</v>
      </c>
      <c r="M74" s="18" t="n">
        <v>0</v>
      </c>
      <c r="N74" s="20" t="n">
        <v>0</v>
      </c>
      <c r="O74" s="18" t="n">
        <v>0</v>
      </c>
      <c r="P74" s="20" t="n">
        <v>0</v>
      </c>
      <c r="Q74" s="18" t="n">
        <v>0</v>
      </c>
      <c r="R74" s="20" t="n">
        <v>0</v>
      </c>
    </row>
    <row r="75" spans="1:18">
      <c r="A75" s="15" t="s">
        <v>635</v>
      </c>
      <c r="B75" s="17" t="n">
        <v>8249</v>
      </c>
      <c r="C75" s="18">
        <f>(6504.0/B75*100)</f>
        <v/>
      </c>
      <c r="D75" s="19" t="n">
        <v>1745</v>
      </c>
      <c r="E75" s="18" t="n">
        <v>29.74244435</v>
      </c>
      <c r="F75" s="20" t="n">
        <v>1.43585164</v>
      </c>
      <c r="G75" s="18" t="n">
        <v>69.24776111</v>
      </c>
      <c r="H75" s="20" t="n">
        <v>1.45893792</v>
      </c>
      <c r="I75" s="18" t="n">
        <v>0</v>
      </c>
      <c r="J75" s="20" t="n">
        <v>0</v>
      </c>
      <c r="K75" s="18" t="n">
        <v>0.0836401</v>
      </c>
      <c r="L75" s="20" t="n">
        <v>0.08016267000000001</v>
      </c>
      <c r="M75" s="18" t="n">
        <v>0</v>
      </c>
      <c r="N75" s="20" t="n">
        <v>0</v>
      </c>
      <c r="O75" s="18" t="n">
        <v>0</v>
      </c>
      <c r="P75" s="20" t="n">
        <v>0</v>
      </c>
      <c r="Q75" s="18" t="n">
        <v>0.92615444</v>
      </c>
      <c r="R75" s="20" t="n">
        <v>0.25518192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(4324.0/B77*100)</f>
        <v/>
      </c>
      <c r="D77" s="19" t="n">
        <v>1051</v>
      </c>
      <c r="E77" s="18" t="n">
        <v>35.67838342</v>
      </c>
      <c r="F77" s="20" t="n">
        <v>1.63604222</v>
      </c>
      <c r="G77" s="18" t="n">
        <v>54.06050819</v>
      </c>
      <c r="H77" s="20" t="n">
        <v>1.63480321</v>
      </c>
      <c r="I77" s="18" t="n">
        <v>0</v>
      </c>
      <c r="J77" s="20" t="n">
        <v>0</v>
      </c>
      <c r="K77" s="18" t="n">
        <v>6.14510904</v>
      </c>
      <c r="L77" s="20" t="n">
        <v>0.91604696</v>
      </c>
      <c r="M77" s="18" t="n">
        <v>0</v>
      </c>
      <c r="N77" s="20" t="n">
        <v>0</v>
      </c>
      <c r="O77" s="18" t="n">
        <v>0</v>
      </c>
      <c r="P77" s="20" t="n">
        <v>0</v>
      </c>
      <c r="Q77" s="18" t="n">
        <v>4.11599935</v>
      </c>
      <c r="R77" s="20" t="n">
        <v>0.66670611</v>
      </c>
    </row>
    <row r="78" spans="1:18">
      <c r="A78" s="15" t="s">
        <v>638</v>
      </c>
      <c r="B78" s="17" t="n">
        <v>14167</v>
      </c>
      <c r="C78" s="18">
        <f>(11091.0/B78*100)</f>
        <v/>
      </c>
      <c r="D78" s="19" t="n">
        <v>3076</v>
      </c>
      <c r="E78" s="18" t="n">
        <v>29.22994709</v>
      </c>
      <c r="F78" s="20" t="n">
        <v>1.07025199</v>
      </c>
      <c r="G78" s="18" t="n">
        <v>68.44860847</v>
      </c>
      <c r="H78" s="20" t="n">
        <v>1.1000374</v>
      </c>
      <c r="I78" s="18" t="n">
        <v>0</v>
      </c>
      <c r="J78" s="20" t="n">
        <v>0</v>
      </c>
      <c r="K78" s="18" t="n">
        <v>1.54004879</v>
      </c>
      <c r="L78" s="20" t="n">
        <v>0.31317182</v>
      </c>
      <c r="M78" s="18" t="n">
        <v>0</v>
      </c>
      <c r="N78" s="20" t="n">
        <v>0</v>
      </c>
      <c r="O78" s="18" t="n">
        <v>0</v>
      </c>
      <c r="P78" s="20" t="n">
        <v>0</v>
      </c>
      <c r="Q78" s="18" t="n">
        <v>0.78139565</v>
      </c>
      <c r="R78" s="20" t="n">
        <v>0.17678274</v>
      </c>
    </row>
    <row r="79" spans="1:18">
      <c r="A79" s="15" t="s">
        <v>639</v>
      </c>
      <c r="B79" s="17" t="n">
        <v>6062</v>
      </c>
      <c r="C79" s="18">
        <f>(4821.0/B79*100)</f>
        <v/>
      </c>
      <c r="D79" s="19" t="n">
        <v>1241</v>
      </c>
      <c r="E79" s="18" t="n">
        <v>18.77887315</v>
      </c>
      <c r="F79" s="20" t="n">
        <v>1.13828267</v>
      </c>
      <c r="G79" s="18" t="n">
        <v>75.28762682</v>
      </c>
      <c r="H79" s="20" t="n">
        <v>1.33042611</v>
      </c>
      <c r="I79" s="18" t="n">
        <v>0</v>
      </c>
      <c r="J79" s="20" t="n">
        <v>0</v>
      </c>
      <c r="K79" s="18" t="n">
        <v>3.85108737</v>
      </c>
      <c r="L79" s="20" t="n">
        <v>0.63006873</v>
      </c>
      <c r="M79" s="18" t="n">
        <v>0</v>
      </c>
      <c r="N79" s="20" t="n">
        <v>0</v>
      </c>
      <c r="O79" s="18" t="n">
        <v>0</v>
      </c>
      <c r="P79" s="20" t="n">
        <v>0</v>
      </c>
      <c r="Q79" s="18" t="n">
        <v>2.08241266</v>
      </c>
      <c r="R79" s="20" t="n">
        <v>0.42166042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(25438.0/B82*100)</f>
        <v/>
      </c>
      <c r="D82" s="19" t="n">
        <v>6892</v>
      </c>
      <c r="E82" s="18" t="n">
        <v>17.25948604</v>
      </c>
      <c r="F82" s="20" t="n">
        <v>0.64432991</v>
      </c>
      <c r="G82" s="18" t="n">
        <v>81.26090867000001</v>
      </c>
      <c r="H82" s="20" t="n">
        <v>0.65139831</v>
      </c>
      <c r="I82" s="18" t="n">
        <v>0</v>
      </c>
      <c r="J82" s="20" t="n">
        <v>0</v>
      </c>
      <c r="K82" s="18" t="n">
        <v>1.11129862</v>
      </c>
      <c r="L82" s="20" t="n">
        <v>0.20582829</v>
      </c>
      <c r="M82" s="18" t="n">
        <v>0</v>
      </c>
      <c r="N82" s="20" t="n">
        <v>0</v>
      </c>
      <c r="O82" s="18" t="n">
        <v>0</v>
      </c>
      <c r="P82" s="20" t="n">
        <v>0</v>
      </c>
      <c r="Q82" s="18" t="n">
        <v>0.36830667</v>
      </c>
      <c r="R82" s="20" t="n">
        <v>0.09543516</v>
      </c>
    </row>
    <row r="83" spans="1:18">
      <c r="A83" s="15" t="s">
        <v>643</v>
      </c>
      <c r="B83" s="17" t="n">
        <v>1652</v>
      </c>
      <c r="C83" s="18">
        <f>(1292.0/B83*100)</f>
        <v/>
      </c>
      <c r="D83" s="19" t="n">
        <v>360</v>
      </c>
      <c r="E83" s="18" t="n">
        <v>12.22378452</v>
      </c>
      <c r="F83" s="20" t="n">
        <v>1.68227433</v>
      </c>
      <c r="G83" s="18" t="n">
        <v>87.55636366</v>
      </c>
      <c r="H83" s="20" t="n">
        <v>1.7241634</v>
      </c>
      <c r="I83" s="18" t="n">
        <v>0</v>
      </c>
      <c r="J83" s="20" t="n">
        <v>0</v>
      </c>
      <c r="K83" s="18" t="n">
        <v>0.21985182</v>
      </c>
      <c r="L83" s="20" t="n">
        <v>0.2185161</v>
      </c>
      <c r="M83" s="18" t="n">
        <v>0</v>
      </c>
      <c r="N83" s="20" t="n">
        <v>0</v>
      </c>
      <c r="O83" s="18" t="n">
        <v>0</v>
      </c>
      <c r="P83" s="20" t="n">
        <v>0</v>
      </c>
      <c r="Q83" s="18" t="n">
        <v>0</v>
      </c>
      <c r="R83" s="20" t="n">
        <v>0</v>
      </c>
    </row>
    <row r="84" spans="1:18">
      <c r="A84" s="23" t="s">
        <v>644</v>
      </c>
      <c r="B84" s="24" t="n">
        <v>1887</v>
      </c>
      <c r="C84" s="25">
        <f>(1493.0/B84*100)</f>
        <v/>
      </c>
      <c r="D84" s="19" t="n">
        <v>394</v>
      </c>
      <c r="E84" s="18" t="n">
        <v>18.82040778</v>
      </c>
      <c r="F84" s="20" t="n">
        <v>2.68716732</v>
      </c>
      <c r="G84" s="18" t="n">
        <v>80.60911086999999</v>
      </c>
      <c r="H84" s="20" t="n">
        <v>2.84494642</v>
      </c>
      <c r="I84" s="18" t="n">
        <v>0</v>
      </c>
      <c r="J84" s="20" t="n">
        <v>0</v>
      </c>
      <c r="K84" s="18" t="n">
        <v>0.27699626</v>
      </c>
      <c r="L84" s="20" t="n">
        <v>0.27644</v>
      </c>
      <c r="M84" s="18" t="n">
        <v>0</v>
      </c>
      <c r="N84" s="20" t="n">
        <v>0</v>
      </c>
      <c r="O84" s="18" t="n">
        <v>0</v>
      </c>
      <c r="P84" s="20" t="n">
        <v>0</v>
      </c>
      <c r="Q84" s="18" t="n">
        <v>0.29348509</v>
      </c>
      <c r="R84" s="20" t="n">
        <v>0.28283945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(11494.0/B7*100)</f>
        <v/>
      </c>
      <c r="D7" s="19" t="n">
        <v>3036</v>
      </c>
      <c r="E7" s="18" t="n">
        <v>69.32108526</v>
      </c>
      <c r="F7" s="20" t="n">
        <v>1.13999451</v>
      </c>
      <c r="G7" s="18" t="n">
        <v>28.89616354</v>
      </c>
      <c r="H7" s="20" t="n">
        <v>1.06678432</v>
      </c>
      <c r="I7" s="18" t="n">
        <v>0</v>
      </c>
      <c r="J7" s="20" t="n">
        <v>0</v>
      </c>
      <c r="K7" s="18" t="n">
        <v>1.32063824</v>
      </c>
      <c r="L7" s="20" t="n">
        <v>0.27670232</v>
      </c>
      <c r="M7" s="18" t="n">
        <v>0</v>
      </c>
      <c r="N7" s="20" t="n">
        <v>0</v>
      </c>
      <c r="O7" s="18" t="n">
        <v>0</v>
      </c>
      <c r="P7" s="20" t="n">
        <v>0</v>
      </c>
      <c r="Q7" s="18" t="n">
        <v>0.46211296</v>
      </c>
      <c r="R7" s="20" t="n">
        <v>0.12589173</v>
      </c>
    </row>
    <row r="8" spans="1:18">
      <c r="A8" s="15" t="s">
        <v>566</v>
      </c>
      <c r="B8" s="17" t="n">
        <v>7007</v>
      </c>
      <c r="C8" s="18">
        <f>(5467.0/B8*100)</f>
        <v/>
      </c>
      <c r="D8" s="19" t="n">
        <v>1540</v>
      </c>
      <c r="E8" s="18" t="n">
        <v>48.8196375</v>
      </c>
      <c r="F8" s="20" t="n">
        <v>1.33456482</v>
      </c>
      <c r="G8" s="18" t="n">
        <v>49.24185388</v>
      </c>
      <c r="H8" s="20" t="n">
        <v>1.35827334</v>
      </c>
      <c r="I8" s="18" t="n">
        <v>0</v>
      </c>
      <c r="J8" s="20" t="n">
        <v>0</v>
      </c>
      <c r="K8" s="18" t="n">
        <v>1.27692256</v>
      </c>
      <c r="L8" s="20" t="n">
        <v>0.30257296</v>
      </c>
      <c r="M8" s="18" t="n">
        <v>0</v>
      </c>
      <c r="N8" s="20" t="n">
        <v>0</v>
      </c>
      <c r="O8" s="18" t="n">
        <v>0</v>
      </c>
      <c r="P8" s="20" t="n">
        <v>0</v>
      </c>
      <c r="Q8" s="18" t="n">
        <v>0.66158606</v>
      </c>
      <c r="R8" s="20" t="n">
        <v>0.27892735</v>
      </c>
    </row>
    <row r="9" spans="1:18">
      <c r="A9" s="15" t="s">
        <v>567</v>
      </c>
      <c r="B9" s="17" t="n">
        <v>9651</v>
      </c>
      <c r="C9" s="18">
        <f>(7665.0/B9*100)</f>
        <v/>
      </c>
      <c r="D9" s="19" t="n">
        <v>1986</v>
      </c>
      <c r="E9" s="18" t="n">
        <v>61.27269162</v>
      </c>
      <c r="F9" s="20" t="n">
        <v>1.15943014</v>
      </c>
      <c r="G9" s="18" t="n">
        <v>35.7521683</v>
      </c>
      <c r="H9" s="20" t="n">
        <v>1.17572269</v>
      </c>
      <c r="I9" s="18" t="n">
        <v>0</v>
      </c>
      <c r="J9" s="20" t="n">
        <v>0</v>
      </c>
      <c r="K9" s="18" t="n">
        <v>2.09858636</v>
      </c>
      <c r="L9" s="20" t="n">
        <v>0.36771048</v>
      </c>
      <c r="M9" s="18" t="n">
        <v>0</v>
      </c>
      <c r="N9" s="20" t="n">
        <v>0</v>
      </c>
      <c r="O9" s="18" t="n">
        <v>0</v>
      </c>
      <c r="P9" s="20" t="n">
        <v>0</v>
      </c>
      <c r="Q9" s="18" t="n">
        <v>0.87655371</v>
      </c>
      <c r="R9" s="20" t="n">
        <v>0.22760892</v>
      </c>
    </row>
    <row r="10" spans="1:18">
      <c r="A10" s="15" t="s">
        <v>568</v>
      </c>
      <c r="B10" s="17" t="n">
        <v>20058</v>
      </c>
      <c r="C10" s="18">
        <f>(15761.0/B10*100)</f>
        <v/>
      </c>
      <c r="D10" s="19" t="n">
        <v>4297</v>
      </c>
      <c r="E10" s="18" t="n">
        <v>66.09717555</v>
      </c>
      <c r="F10" s="20" t="n">
        <v>1.02505384</v>
      </c>
      <c r="G10" s="18" t="n">
        <v>32.3448032</v>
      </c>
      <c r="H10" s="20" t="n">
        <v>1.03520889</v>
      </c>
      <c r="I10" s="18" t="n">
        <v>0</v>
      </c>
      <c r="J10" s="20" t="n">
        <v>0</v>
      </c>
      <c r="K10" s="18" t="n">
        <v>1.19018553</v>
      </c>
      <c r="L10" s="20" t="n">
        <v>0.2459419</v>
      </c>
      <c r="M10" s="18" t="n">
        <v>0</v>
      </c>
      <c r="N10" s="20" t="n">
        <v>0</v>
      </c>
      <c r="O10" s="18" t="n">
        <v>0</v>
      </c>
      <c r="P10" s="20" t="n">
        <v>0</v>
      </c>
      <c r="Q10" s="18" t="n">
        <v>0.36783572</v>
      </c>
      <c r="R10" s="20" t="n">
        <v>0.1072107</v>
      </c>
    </row>
    <row r="11" spans="1:18">
      <c r="A11" s="15" t="s">
        <v>569</v>
      </c>
      <c r="B11" s="17" t="n">
        <v>7053</v>
      </c>
      <c r="C11" s="18">
        <f>(5641.0/B11*100)</f>
        <v/>
      </c>
      <c r="D11" s="19" t="n">
        <v>1412</v>
      </c>
      <c r="E11" s="18" t="n">
        <v>71.60333965</v>
      </c>
      <c r="F11" s="20" t="n">
        <v>1.41881517</v>
      </c>
      <c r="G11" s="18" t="n">
        <v>23.18709006</v>
      </c>
      <c r="H11" s="20" t="n">
        <v>1.27472342</v>
      </c>
      <c r="I11" s="18" t="n">
        <v>0</v>
      </c>
      <c r="J11" s="20" t="n">
        <v>0</v>
      </c>
      <c r="K11" s="18" t="n">
        <v>3.88617419</v>
      </c>
      <c r="L11" s="20" t="n">
        <v>0.58404582</v>
      </c>
      <c r="M11" s="18" t="n">
        <v>0</v>
      </c>
      <c r="N11" s="20" t="n">
        <v>0</v>
      </c>
      <c r="O11" s="18" t="n">
        <v>0</v>
      </c>
      <c r="P11" s="20" t="n">
        <v>0</v>
      </c>
      <c r="Q11" s="18" t="n">
        <v>1.32339611</v>
      </c>
      <c r="R11" s="20" t="n">
        <v>0.37449315</v>
      </c>
    </row>
    <row r="12" spans="1:18">
      <c r="A12" s="15" t="s">
        <v>570</v>
      </c>
      <c r="B12" s="17" t="n">
        <v>6894</v>
      </c>
      <c r="C12" s="18">
        <f>(5451.0/B12*100)</f>
        <v/>
      </c>
      <c r="D12" s="19" t="n">
        <v>1443</v>
      </c>
      <c r="E12" s="18" t="n">
        <v>62.30917664</v>
      </c>
      <c r="F12" s="20" t="n">
        <v>1.69827855</v>
      </c>
      <c r="G12" s="18" t="n">
        <v>35.48128388</v>
      </c>
      <c r="H12" s="20" t="n">
        <v>1.69020294</v>
      </c>
      <c r="I12" s="18" t="n">
        <v>0</v>
      </c>
      <c r="J12" s="20" t="n">
        <v>0</v>
      </c>
      <c r="K12" s="18" t="n">
        <v>1.08668422</v>
      </c>
      <c r="L12" s="20" t="n">
        <v>0.23670109</v>
      </c>
      <c r="M12" s="18" t="n">
        <v>0</v>
      </c>
      <c r="N12" s="20" t="n">
        <v>0</v>
      </c>
      <c r="O12" s="18" t="n">
        <v>0</v>
      </c>
      <c r="P12" s="20" t="n">
        <v>0</v>
      </c>
      <c r="Q12" s="18" t="n">
        <v>1.12285526</v>
      </c>
      <c r="R12" s="20" t="n">
        <v>0.33758185</v>
      </c>
    </row>
    <row r="13" spans="1:18">
      <c r="A13" s="15" t="s">
        <v>571</v>
      </c>
      <c r="B13" s="17" t="n">
        <v>7161</v>
      </c>
      <c r="C13" s="18">
        <f>(5736.0/B13*100)</f>
        <v/>
      </c>
      <c r="D13" s="19" t="n">
        <v>1425</v>
      </c>
      <c r="E13" s="18" t="n">
        <v>61.66159404</v>
      </c>
      <c r="F13" s="20" t="n">
        <v>1.66944008</v>
      </c>
      <c r="G13" s="18" t="n">
        <v>36.50315127</v>
      </c>
      <c r="H13" s="20" t="n">
        <v>1.61275973</v>
      </c>
      <c r="I13" s="18" t="n">
        <v>0</v>
      </c>
      <c r="J13" s="20" t="n">
        <v>0</v>
      </c>
      <c r="K13" s="18" t="n">
        <v>1.52775707</v>
      </c>
      <c r="L13" s="20" t="n">
        <v>0.37730902</v>
      </c>
      <c r="M13" s="18" t="n">
        <v>0</v>
      </c>
      <c r="N13" s="20" t="n">
        <v>0</v>
      </c>
      <c r="O13" s="18" t="n">
        <v>0</v>
      </c>
      <c r="P13" s="20" t="n">
        <v>0</v>
      </c>
      <c r="Q13" s="18" t="n">
        <v>0.30749761</v>
      </c>
      <c r="R13" s="20" t="n">
        <v>0.14909698</v>
      </c>
    </row>
    <row r="14" spans="1:18">
      <c r="A14" s="15" t="s">
        <v>572</v>
      </c>
      <c r="B14" s="17" t="n">
        <v>5587</v>
      </c>
      <c r="C14" s="18">
        <f>(4418.0/B14*100)</f>
        <v/>
      </c>
      <c r="D14" s="19" t="n">
        <v>1169</v>
      </c>
      <c r="E14" s="18" t="n">
        <v>56.09002754</v>
      </c>
      <c r="F14" s="20" t="n">
        <v>1.71761447</v>
      </c>
      <c r="G14" s="18" t="n">
        <v>42.72107644</v>
      </c>
      <c r="H14" s="20" t="n">
        <v>1.69114972</v>
      </c>
      <c r="I14" s="18" t="n">
        <v>0</v>
      </c>
      <c r="J14" s="20" t="n">
        <v>0</v>
      </c>
      <c r="K14" s="18" t="n">
        <v>0.86442473</v>
      </c>
      <c r="L14" s="20" t="n">
        <v>0.30099479</v>
      </c>
      <c r="M14" s="18" t="n">
        <v>0</v>
      </c>
      <c r="N14" s="20" t="n">
        <v>0</v>
      </c>
      <c r="O14" s="18" t="n">
        <v>0</v>
      </c>
      <c r="P14" s="20" t="n">
        <v>0</v>
      </c>
      <c r="Q14" s="18" t="n">
        <v>0.3244713</v>
      </c>
      <c r="R14" s="20" t="n">
        <v>0.20932527</v>
      </c>
    </row>
    <row r="15" spans="1:18">
      <c r="A15" s="15" t="s">
        <v>573</v>
      </c>
      <c r="B15" s="17" t="n">
        <v>5882</v>
      </c>
      <c r="C15" s="18">
        <f>(4585.0/B15*100)</f>
        <v/>
      </c>
      <c r="D15" s="19" t="n">
        <v>1297</v>
      </c>
      <c r="E15" s="18" t="n">
        <v>62.48609577</v>
      </c>
      <c r="F15" s="20" t="n">
        <v>1.34149643</v>
      </c>
      <c r="G15" s="18" t="n">
        <v>36.4492759</v>
      </c>
      <c r="H15" s="20" t="n">
        <v>1.39669686</v>
      </c>
      <c r="I15" s="18" t="n">
        <v>0</v>
      </c>
      <c r="J15" s="20" t="n">
        <v>0</v>
      </c>
      <c r="K15" s="18" t="n">
        <v>0.62842289</v>
      </c>
      <c r="L15" s="20" t="n">
        <v>0.23483154</v>
      </c>
      <c r="M15" s="18" t="n">
        <v>0</v>
      </c>
      <c r="N15" s="20" t="n">
        <v>0</v>
      </c>
      <c r="O15" s="18" t="n">
        <v>0</v>
      </c>
      <c r="P15" s="20" t="n">
        <v>0</v>
      </c>
      <c r="Q15" s="18" t="n">
        <v>0.43620543</v>
      </c>
      <c r="R15" s="20" t="n">
        <v>0.2033038</v>
      </c>
    </row>
    <row r="16" spans="1:18">
      <c r="A16" s="15" t="s">
        <v>574</v>
      </c>
      <c r="B16" s="17" t="n">
        <v>6108</v>
      </c>
      <c r="C16" s="18">
        <f>(4785.0/B16*100)</f>
        <v/>
      </c>
      <c r="D16" s="19" t="n">
        <v>1323</v>
      </c>
      <c r="E16" s="18" t="n">
        <v>59.1779374</v>
      </c>
      <c r="F16" s="20" t="n">
        <v>1.37302563</v>
      </c>
      <c r="G16" s="18" t="n">
        <v>36.86565985</v>
      </c>
      <c r="H16" s="20" t="n">
        <v>1.40316068</v>
      </c>
      <c r="I16" s="18" t="n">
        <v>0</v>
      </c>
      <c r="J16" s="20" t="n">
        <v>0</v>
      </c>
      <c r="K16" s="18" t="n">
        <v>2.20701482</v>
      </c>
      <c r="L16" s="20" t="n">
        <v>0.47583719</v>
      </c>
      <c r="M16" s="18" t="n">
        <v>0</v>
      </c>
      <c r="N16" s="20" t="n">
        <v>0</v>
      </c>
      <c r="O16" s="18" t="n">
        <v>0</v>
      </c>
      <c r="P16" s="20" t="n">
        <v>0</v>
      </c>
      <c r="Q16" s="18" t="n">
        <v>1.74938793</v>
      </c>
      <c r="R16" s="20" t="n">
        <v>0.38294434</v>
      </c>
    </row>
    <row r="17" spans="1:18">
      <c r="A17" s="15" t="s">
        <v>575</v>
      </c>
      <c r="B17" s="17" t="n">
        <v>6504</v>
      </c>
      <c r="C17" s="18">
        <f>(5191.0/B17*100)</f>
        <v/>
      </c>
      <c r="D17" s="19" t="n">
        <v>1313</v>
      </c>
      <c r="E17" s="18" t="n">
        <v>54.4667063</v>
      </c>
      <c r="F17" s="20" t="n">
        <v>1.41893502</v>
      </c>
      <c r="G17" s="18" t="n">
        <v>43.51390471</v>
      </c>
      <c r="H17" s="20" t="n">
        <v>1.44834231</v>
      </c>
      <c r="I17" s="18" t="n">
        <v>0</v>
      </c>
      <c r="J17" s="20" t="n">
        <v>0</v>
      </c>
      <c r="K17" s="18" t="n">
        <v>1.34465066</v>
      </c>
      <c r="L17" s="20" t="n">
        <v>0.31469495</v>
      </c>
      <c r="M17" s="18" t="n">
        <v>0</v>
      </c>
      <c r="N17" s="20" t="n">
        <v>0</v>
      </c>
      <c r="O17" s="18" t="n">
        <v>0</v>
      </c>
      <c r="P17" s="20" t="n">
        <v>0</v>
      </c>
      <c r="Q17" s="18" t="n">
        <v>0.6747383300000001</v>
      </c>
      <c r="R17" s="20" t="n">
        <v>0.25529888</v>
      </c>
    </row>
    <row r="18" spans="1:18">
      <c r="A18" s="15" t="s">
        <v>576</v>
      </c>
      <c r="B18" s="17" t="n">
        <v>5532</v>
      </c>
      <c r="C18" s="18">
        <f>(4329.0/B18*100)</f>
        <v/>
      </c>
      <c r="D18" s="19" t="n">
        <v>1203</v>
      </c>
      <c r="E18" s="18" t="n">
        <v>72.59202854999999</v>
      </c>
      <c r="F18" s="20" t="n">
        <v>1.4346594</v>
      </c>
      <c r="G18" s="18" t="n">
        <v>23.9551461</v>
      </c>
      <c r="H18" s="20" t="n">
        <v>1.30467717</v>
      </c>
      <c r="I18" s="18" t="n">
        <v>0</v>
      </c>
      <c r="J18" s="20" t="n">
        <v>0</v>
      </c>
      <c r="K18" s="18" t="n">
        <v>2.44119135</v>
      </c>
      <c r="L18" s="20" t="n">
        <v>0.52843659</v>
      </c>
      <c r="M18" s="18" t="n">
        <v>0</v>
      </c>
      <c r="N18" s="20" t="n">
        <v>0</v>
      </c>
      <c r="O18" s="18" t="n">
        <v>0</v>
      </c>
      <c r="P18" s="20" t="n">
        <v>0</v>
      </c>
      <c r="Q18" s="18" t="n">
        <v>1.011634</v>
      </c>
      <c r="R18" s="20" t="n">
        <v>0.34155281</v>
      </c>
    </row>
    <row r="19" spans="1:18">
      <c r="A19" s="15" t="s">
        <v>577</v>
      </c>
      <c r="B19" s="17" t="n">
        <v>5658</v>
      </c>
      <c r="C19" s="18">
        <f>(4508.0/B19*100)</f>
        <v/>
      </c>
      <c r="D19" s="19" t="n">
        <v>1150</v>
      </c>
      <c r="E19" s="18" t="n">
        <v>59.57764035</v>
      </c>
      <c r="F19" s="20" t="n">
        <v>1.38965028</v>
      </c>
      <c r="G19" s="18" t="n">
        <v>38.82168865</v>
      </c>
      <c r="H19" s="20" t="n">
        <v>1.41302158</v>
      </c>
      <c r="I19" s="18" t="n">
        <v>0</v>
      </c>
      <c r="J19" s="20" t="n">
        <v>0</v>
      </c>
      <c r="K19" s="18" t="n">
        <v>1.09741428</v>
      </c>
      <c r="L19" s="20" t="n">
        <v>0.35122888</v>
      </c>
      <c r="M19" s="18" t="n">
        <v>0</v>
      </c>
      <c r="N19" s="20" t="n">
        <v>0</v>
      </c>
      <c r="O19" s="18" t="n">
        <v>0</v>
      </c>
      <c r="P19" s="20" t="n">
        <v>0</v>
      </c>
      <c r="Q19" s="18" t="n">
        <v>0.50325672</v>
      </c>
      <c r="R19" s="20" t="n">
        <v>0.22067148</v>
      </c>
    </row>
    <row r="20" spans="1:18">
      <c r="A20" s="15" t="s">
        <v>578</v>
      </c>
      <c r="B20" s="17" t="n">
        <v>3371</v>
      </c>
      <c r="C20" s="18">
        <f>(2661.0/B20*100)</f>
        <v/>
      </c>
      <c r="D20" s="19" t="n">
        <v>710</v>
      </c>
      <c r="E20" s="18" t="n">
        <v>77.74498097999999</v>
      </c>
      <c r="F20" s="20" t="n">
        <v>1.58275048</v>
      </c>
      <c r="G20" s="18" t="n">
        <v>18.95003898</v>
      </c>
      <c r="H20" s="20" t="n">
        <v>1.36194632</v>
      </c>
      <c r="I20" s="18" t="n">
        <v>0</v>
      </c>
      <c r="J20" s="20" t="n">
        <v>0</v>
      </c>
      <c r="K20" s="18" t="n">
        <v>1.80792831</v>
      </c>
      <c r="L20" s="20" t="n">
        <v>0.49275269</v>
      </c>
      <c r="M20" s="18" t="n">
        <v>0</v>
      </c>
      <c r="N20" s="20" t="n">
        <v>0</v>
      </c>
      <c r="O20" s="18" t="n">
        <v>0</v>
      </c>
      <c r="P20" s="20" t="n">
        <v>0</v>
      </c>
      <c r="Q20" s="18" t="n">
        <v>1.49705173</v>
      </c>
      <c r="R20" s="20" t="n">
        <v>0.55430642</v>
      </c>
    </row>
    <row r="21" spans="1:18">
      <c r="A21" s="15" t="s">
        <v>579</v>
      </c>
      <c r="B21" s="17" t="n">
        <v>5741</v>
      </c>
      <c r="C21" s="18">
        <f>(4485.0/B21*100)</f>
        <v/>
      </c>
      <c r="D21" s="19" t="n">
        <v>1256</v>
      </c>
      <c r="E21" s="18" t="n">
        <v>76.00628213</v>
      </c>
      <c r="F21" s="20" t="n">
        <v>1.27898675</v>
      </c>
      <c r="G21" s="18" t="n">
        <v>22.62819366</v>
      </c>
      <c r="H21" s="20" t="n">
        <v>1.23942896</v>
      </c>
      <c r="I21" s="18" t="n">
        <v>0</v>
      </c>
      <c r="J21" s="20" t="n">
        <v>0</v>
      </c>
      <c r="K21" s="18" t="n">
        <v>1.09082899</v>
      </c>
      <c r="L21" s="20" t="n">
        <v>0.31360996</v>
      </c>
      <c r="M21" s="18" t="n">
        <v>0</v>
      </c>
      <c r="N21" s="20" t="n">
        <v>0</v>
      </c>
      <c r="O21" s="18" t="n">
        <v>0</v>
      </c>
      <c r="P21" s="20" t="n">
        <v>0</v>
      </c>
      <c r="Q21" s="18" t="n">
        <v>0.27469522</v>
      </c>
      <c r="R21" s="20" t="n">
        <v>0.13656549</v>
      </c>
    </row>
    <row r="22" spans="1:18">
      <c r="A22" s="15" t="s">
        <v>580</v>
      </c>
      <c r="B22" s="17" t="n">
        <v>6598</v>
      </c>
      <c r="C22" s="18">
        <f>(5224.0/B22*100)</f>
        <v/>
      </c>
      <c r="D22" s="19" t="n">
        <v>1374</v>
      </c>
      <c r="E22" s="18" t="n">
        <v>72.914175</v>
      </c>
      <c r="F22" s="20" t="n">
        <v>1.19319587</v>
      </c>
      <c r="G22" s="18" t="n">
        <v>23.81029516</v>
      </c>
      <c r="H22" s="20" t="n">
        <v>1.24034931</v>
      </c>
      <c r="I22" s="18" t="n">
        <v>0</v>
      </c>
      <c r="J22" s="20" t="n">
        <v>0</v>
      </c>
      <c r="K22" s="18" t="n">
        <v>2.53721558</v>
      </c>
      <c r="L22" s="20" t="n">
        <v>0.44608369</v>
      </c>
      <c r="M22" s="18" t="n">
        <v>0</v>
      </c>
      <c r="N22" s="20" t="n">
        <v>0</v>
      </c>
      <c r="O22" s="18" t="n">
        <v>0</v>
      </c>
      <c r="P22" s="20" t="n">
        <v>0</v>
      </c>
      <c r="Q22" s="18" t="n">
        <v>0.7383142499999999</v>
      </c>
      <c r="R22" s="20" t="n">
        <v>0.23996938</v>
      </c>
    </row>
    <row r="23" spans="1:18">
      <c r="A23" s="15" t="s">
        <v>581</v>
      </c>
      <c r="B23" s="17" t="n">
        <v>11583</v>
      </c>
      <c r="C23" s="18">
        <f>(9052.0/B23*100)</f>
        <v/>
      </c>
      <c r="D23" s="19" t="n">
        <v>2531</v>
      </c>
      <c r="E23" s="18" t="n">
        <v>68.47937372</v>
      </c>
      <c r="F23" s="20" t="n">
        <v>1.16680516</v>
      </c>
      <c r="G23" s="18" t="n">
        <v>28.15122047</v>
      </c>
      <c r="H23" s="20" t="n">
        <v>1.10168222</v>
      </c>
      <c r="I23" s="18" t="n">
        <v>0</v>
      </c>
      <c r="J23" s="20" t="n">
        <v>0</v>
      </c>
      <c r="K23" s="18" t="n">
        <v>2.60699179</v>
      </c>
      <c r="L23" s="20" t="n">
        <v>0.4705145</v>
      </c>
      <c r="M23" s="18" t="n">
        <v>0</v>
      </c>
      <c r="N23" s="20" t="n">
        <v>0</v>
      </c>
      <c r="O23" s="18" t="n">
        <v>0</v>
      </c>
      <c r="P23" s="20" t="n">
        <v>0</v>
      </c>
      <c r="Q23" s="18" t="n">
        <v>0.76241402</v>
      </c>
      <c r="R23" s="20" t="n">
        <v>0.25590157</v>
      </c>
    </row>
    <row r="24" spans="1:18">
      <c r="A24" s="15" t="s">
        <v>582</v>
      </c>
      <c r="B24" s="17" t="n">
        <v>6647</v>
      </c>
      <c r="C24" s="18">
        <f>(5211.0/B24*100)</f>
        <v/>
      </c>
      <c r="D24" s="19" t="n">
        <v>1436</v>
      </c>
      <c r="E24" s="18" t="n">
        <v>50.06274134</v>
      </c>
      <c r="F24" s="20" t="n">
        <v>1.43856527</v>
      </c>
      <c r="G24" s="18" t="n">
        <v>49.16514595</v>
      </c>
      <c r="H24" s="20" t="n">
        <v>1.38211508</v>
      </c>
      <c r="I24" s="18" t="n">
        <v>0</v>
      </c>
      <c r="J24" s="20" t="n">
        <v>0</v>
      </c>
      <c r="K24" s="18" t="n">
        <v>0.40222509</v>
      </c>
      <c r="L24" s="20" t="n">
        <v>0.19422808</v>
      </c>
      <c r="M24" s="18" t="n">
        <v>0</v>
      </c>
      <c r="N24" s="20" t="n">
        <v>0</v>
      </c>
      <c r="O24" s="18" t="n">
        <v>0</v>
      </c>
      <c r="P24" s="20" t="n">
        <v>0</v>
      </c>
      <c r="Q24" s="18" t="n">
        <v>0.36988762</v>
      </c>
      <c r="R24" s="20" t="n">
        <v>0.16484047</v>
      </c>
    </row>
    <row r="25" spans="1:18">
      <c r="A25" s="15" t="s">
        <v>583</v>
      </c>
      <c r="B25" s="17" t="n">
        <v>5581</v>
      </c>
      <c r="C25" s="18">
        <f>(4358.0/B25*100)</f>
        <v/>
      </c>
      <c r="D25" s="19" t="n">
        <v>1223</v>
      </c>
      <c r="E25" s="18" t="n">
        <v>74.48760458</v>
      </c>
      <c r="F25" s="20" t="n">
        <v>1.42161457</v>
      </c>
      <c r="G25" s="18" t="n">
        <v>25.03820909</v>
      </c>
      <c r="H25" s="20" t="n">
        <v>1.41987467</v>
      </c>
      <c r="I25" s="18" t="n">
        <v>0</v>
      </c>
      <c r="J25" s="20" t="n">
        <v>0</v>
      </c>
      <c r="K25" s="18" t="n">
        <v>0.0894412</v>
      </c>
      <c r="L25" s="20" t="n">
        <v>0.08918904</v>
      </c>
      <c r="M25" s="18" t="n">
        <v>0</v>
      </c>
      <c r="N25" s="20" t="n">
        <v>0</v>
      </c>
      <c r="O25" s="18" t="n">
        <v>0</v>
      </c>
      <c r="P25" s="20" t="n">
        <v>0</v>
      </c>
      <c r="Q25" s="18" t="n">
        <v>0.38474513</v>
      </c>
      <c r="R25" s="20" t="n">
        <v>0.16875122</v>
      </c>
    </row>
    <row r="26" spans="1:18">
      <c r="A26" s="15" t="s">
        <v>584</v>
      </c>
      <c r="B26" s="17" t="n">
        <v>4869</v>
      </c>
      <c r="C26" s="18">
        <f>(3833.0/B26*100)</f>
        <v/>
      </c>
      <c r="D26" s="19" t="n">
        <v>1036</v>
      </c>
      <c r="E26" s="18" t="n">
        <v>66.41766868000001</v>
      </c>
      <c r="F26" s="20" t="n">
        <v>1.52171461</v>
      </c>
      <c r="G26" s="18" t="n">
        <v>32.8944394</v>
      </c>
      <c r="H26" s="20" t="n">
        <v>1.50230886</v>
      </c>
      <c r="I26" s="18" t="n">
        <v>0</v>
      </c>
      <c r="J26" s="20" t="n">
        <v>0</v>
      </c>
      <c r="K26" s="18" t="n">
        <v>0.29673151</v>
      </c>
      <c r="L26" s="20" t="n">
        <v>0.16963553</v>
      </c>
      <c r="M26" s="18" t="n">
        <v>0</v>
      </c>
      <c r="N26" s="20" t="n">
        <v>0</v>
      </c>
      <c r="O26" s="18" t="n">
        <v>0</v>
      </c>
      <c r="P26" s="20" t="n">
        <v>0</v>
      </c>
      <c r="Q26" s="18" t="n">
        <v>0.39116041</v>
      </c>
      <c r="R26" s="20" t="n">
        <v>0.24674165</v>
      </c>
    </row>
    <row r="27" spans="1:18">
      <c r="A27" s="15" t="s">
        <v>585</v>
      </c>
      <c r="B27" s="17" t="n">
        <v>5299</v>
      </c>
      <c r="C27" s="18">
        <f>(4164.0/B27*100)</f>
        <v/>
      </c>
      <c r="D27" s="19" t="n">
        <v>1135</v>
      </c>
      <c r="E27" s="18" t="n">
        <v>64.87703195</v>
      </c>
      <c r="F27" s="20" t="n">
        <v>1.36348591</v>
      </c>
      <c r="G27" s="18" t="n">
        <v>32.47289491</v>
      </c>
      <c r="H27" s="20" t="n">
        <v>1.30507906</v>
      </c>
      <c r="I27" s="18" t="n">
        <v>0</v>
      </c>
      <c r="J27" s="20" t="n">
        <v>0</v>
      </c>
      <c r="K27" s="18" t="n">
        <v>2.0317648</v>
      </c>
      <c r="L27" s="20" t="n">
        <v>0.42973468</v>
      </c>
      <c r="M27" s="18" t="n">
        <v>0</v>
      </c>
      <c r="N27" s="20" t="n">
        <v>0</v>
      </c>
      <c r="O27" s="18" t="n">
        <v>0</v>
      </c>
      <c r="P27" s="20" t="n">
        <v>0</v>
      </c>
      <c r="Q27" s="18" t="n">
        <v>0.61830834</v>
      </c>
      <c r="R27" s="20" t="n">
        <v>0.23337721</v>
      </c>
    </row>
    <row r="28" spans="1:18">
      <c r="A28" s="15" t="s">
        <v>586</v>
      </c>
      <c r="B28" s="17" t="n">
        <v>7568</v>
      </c>
      <c r="C28" s="18">
        <f>(6152.0/B28*100)</f>
        <v/>
      </c>
      <c r="D28" s="19" t="n">
        <v>1416</v>
      </c>
      <c r="E28" s="18" t="n">
        <v>73.0069033</v>
      </c>
      <c r="F28" s="20" t="n">
        <v>1.43364169</v>
      </c>
      <c r="G28" s="18" t="n">
        <v>24.49979525</v>
      </c>
      <c r="H28" s="20" t="n">
        <v>1.33258687</v>
      </c>
      <c r="I28" s="18" t="n">
        <v>0</v>
      </c>
      <c r="J28" s="20" t="n">
        <v>0</v>
      </c>
      <c r="K28" s="18" t="n">
        <v>2.12655851</v>
      </c>
      <c r="L28" s="20" t="n">
        <v>0.60567898</v>
      </c>
      <c r="M28" s="18" t="n">
        <v>0</v>
      </c>
      <c r="N28" s="20" t="n">
        <v>0</v>
      </c>
      <c r="O28" s="18" t="n">
        <v>0</v>
      </c>
      <c r="P28" s="20" t="n">
        <v>0</v>
      </c>
      <c r="Q28" s="18" t="n">
        <v>0.36674294</v>
      </c>
      <c r="R28" s="20" t="n">
        <v>0.16455336</v>
      </c>
    </row>
    <row r="29" spans="1:18">
      <c r="A29" s="15" t="s">
        <v>587</v>
      </c>
      <c r="B29" s="17" t="n">
        <v>5385</v>
      </c>
      <c r="C29" s="18">
        <f>(4277.0/B29*100)</f>
        <v/>
      </c>
      <c r="D29" s="19" t="n">
        <v>1108</v>
      </c>
      <c r="E29" s="18" t="n">
        <v>64.14577221</v>
      </c>
      <c r="F29" s="20" t="n">
        <v>1.55554321</v>
      </c>
      <c r="G29" s="18" t="n">
        <v>34.68541352</v>
      </c>
      <c r="H29" s="20" t="n">
        <v>1.60978123</v>
      </c>
      <c r="I29" s="18" t="n">
        <v>0</v>
      </c>
      <c r="J29" s="20" t="n">
        <v>0</v>
      </c>
      <c r="K29" s="18" t="n">
        <v>0.6226828599999999</v>
      </c>
      <c r="L29" s="20" t="n">
        <v>0.26175242</v>
      </c>
      <c r="M29" s="18" t="n">
        <v>0</v>
      </c>
      <c r="N29" s="20" t="n">
        <v>0</v>
      </c>
      <c r="O29" s="18" t="n">
        <v>0</v>
      </c>
      <c r="P29" s="20" t="n">
        <v>0</v>
      </c>
      <c r="Q29" s="18" t="n">
        <v>0.54613141</v>
      </c>
      <c r="R29" s="20" t="n">
        <v>0.23491836</v>
      </c>
    </row>
    <row r="30" spans="1:18">
      <c r="A30" s="15" t="s">
        <v>588</v>
      </c>
      <c r="B30" s="17" t="n">
        <v>4520</v>
      </c>
      <c r="C30" s="18">
        <f>(3577.0/B30*100)</f>
        <v/>
      </c>
      <c r="D30" s="19" t="n">
        <v>943</v>
      </c>
      <c r="E30" s="18" t="n">
        <v>69.03529698</v>
      </c>
      <c r="F30" s="20" t="n">
        <v>1.52167524</v>
      </c>
      <c r="G30" s="18" t="n">
        <v>27.61947254</v>
      </c>
      <c r="H30" s="20" t="n">
        <v>1.42389413</v>
      </c>
      <c r="I30" s="18" t="n">
        <v>0</v>
      </c>
      <c r="J30" s="20" t="n">
        <v>0</v>
      </c>
      <c r="K30" s="18" t="n">
        <v>2.25020808</v>
      </c>
      <c r="L30" s="20" t="n">
        <v>0.6093913</v>
      </c>
      <c r="M30" s="18" t="n">
        <v>0</v>
      </c>
      <c r="N30" s="20" t="n">
        <v>0</v>
      </c>
      <c r="O30" s="18" t="n">
        <v>0</v>
      </c>
      <c r="P30" s="20" t="n">
        <v>0</v>
      </c>
      <c r="Q30" s="18" t="n">
        <v>1.09502241</v>
      </c>
      <c r="R30" s="20" t="n">
        <v>0.40973636</v>
      </c>
    </row>
    <row r="31" spans="1:18">
      <c r="A31" s="15" t="s">
        <v>589</v>
      </c>
      <c r="B31" s="17" t="n">
        <v>5456</v>
      </c>
      <c r="C31" s="18">
        <f>(4282.0/B31*100)</f>
        <v/>
      </c>
      <c r="D31" s="19" t="n">
        <v>1174</v>
      </c>
      <c r="E31" s="18" t="n">
        <v>67.40496403</v>
      </c>
      <c r="F31" s="20" t="n">
        <v>1.49516485</v>
      </c>
      <c r="G31" s="18" t="n">
        <v>29.42680556</v>
      </c>
      <c r="H31" s="20" t="n">
        <v>1.4650879</v>
      </c>
      <c r="I31" s="18" t="n">
        <v>0</v>
      </c>
      <c r="J31" s="20" t="n">
        <v>0</v>
      </c>
      <c r="K31" s="18" t="n">
        <v>2.53088626</v>
      </c>
      <c r="L31" s="20" t="n">
        <v>0.48797236</v>
      </c>
      <c r="M31" s="18" t="n">
        <v>0</v>
      </c>
      <c r="N31" s="20" t="n">
        <v>0</v>
      </c>
      <c r="O31" s="18" t="n">
        <v>0</v>
      </c>
      <c r="P31" s="20" t="n">
        <v>0</v>
      </c>
      <c r="Q31" s="18" t="n">
        <v>0.6373441399999999</v>
      </c>
      <c r="R31" s="20" t="n">
        <v>0.22635439</v>
      </c>
    </row>
    <row r="32" spans="1:18">
      <c r="A32" s="15" t="s">
        <v>590</v>
      </c>
      <c r="B32" s="17" t="n">
        <v>4478</v>
      </c>
      <c r="C32" s="18">
        <f>(3452.0/B32*100)</f>
        <v/>
      </c>
      <c r="D32" s="19" t="n">
        <v>1026</v>
      </c>
      <c r="E32" s="18" t="n">
        <v>62.99421897</v>
      </c>
      <c r="F32" s="20" t="n">
        <v>1.61312225</v>
      </c>
      <c r="G32" s="18" t="n">
        <v>36.5600414</v>
      </c>
      <c r="H32" s="20" t="n">
        <v>1.6236242</v>
      </c>
      <c r="I32" s="18" t="n">
        <v>0</v>
      </c>
      <c r="J32" s="20" t="n">
        <v>0</v>
      </c>
      <c r="K32" s="18" t="n">
        <v>0.27315269</v>
      </c>
      <c r="L32" s="20" t="n">
        <v>0.15257516</v>
      </c>
      <c r="M32" s="18" t="n">
        <v>0</v>
      </c>
      <c r="N32" s="20" t="n">
        <v>0</v>
      </c>
      <c r="O32" s="18" t="n">
        <v>0</v>
      </c>
      <c r="P32" s="20" t="n">
        <v>0</v>
      </c>
      <c r="Q32" s="18" t="n">
        <v>0.17258693</v>
      </c>
      <c r="R32" s="20" t="n">
        <v>0.12095452</v>
      </c>
    </row>
    <row r="33" spans="1:18">
      <c r="A33" s="15" t="s">
        <v>591</v>
      </c>
      <c r="B33" s="17" t="n">
        <v>7325</v>
      </c>
      <c r="C33" s="18">
        <f>(5802.0/B33*100)</f>
        <v/>
      </c>
      <c r="D33" s="19" t="n">
        <v>1523</v>
      </c>
      <c r="E33" s="18" t="n">
        <v>69.36372255000001</v>
      </c>
      <c r="F33" s="20" t="n">
        <v>1.43168965</v>
      </c>
      <c r="G33" s="18" t="n">
        <v>28.39562509</v>
      </c>
      <c r="H33" s="20" t="n">
        <v>1.33021243</v>
      </c>
      <c r="I33" s="18" t="n">
        <v>0</v>
      </c>
      <c r="J33" s="20" t="n">
        <v>0</v>
      </c>
      <c r="K33" s="18" t="n">
        <v>1.30173301</v>
      </c>
      <c r="L33" s="20" t="n">
        <v>0.40462648</v>
      </c>
      <c r="M33" s="18" t="n">
        <v>0</v>
      </c>
      <c r="N33" s="20" t="n">
        <v>0</v>
      </c>
      <c r="O33" s="18" t="n">
        <v>0</v>
      </c>
      <c r="P33" s="20" t="n">
        <v>0</v>
      </c>
      <c r="Q33" s="18" t="n">
        <v>0.93891935</v>
      </c>
      <c r="R33" s="20" t="n">
        <v>0.30643889</v>
      </c>
    </row>
    <row r="34" spans="1:18">
      <c r="A34" s="15" t="s">
        <v>592</v>
      </c>
      <c r="B34" s="17" t="n">
        <v>6350</v>
      </c>
      <c r="C34" s="18">
        <f>(5071.0/B34*100)</f>
        <v/>
      </c>
      <c r="D34" s="19" t="n">
        <v>1279</v>
      </c>
      <c r="E34" s="18" t="n">
        <v>65.07516873</v>
      </c>
      <c r="F34" s="20" t="n">
        <v>1.48487804</v>
      </c>
      <c r="G34" s="18" t="n">
        <v>33.58676532</v>
      </c>
      <c r="H34" s="20" t="n">
        <v>1.40339124</v>
      </c>
      <c r="I34" s="18" t="n">
        <v>0</v>
      </c>
      <c r="J34" s="20" t="n">
        <v>0</v>
      </c>
      <c r="K34" s="18" t="n">
        <v>0.7986091400000001</v>
      </c>
      <c r="L34" s="20" t="n">
        <v>0.28782353</v>
      </c>
      <c r="M34" s="18" t="n">
        <v>0</v>
      </c>
      <c r="N34" s="20" t="n">
        <v>0</v>
      </c>
      <c r="O34" s="18" t="n">
        <v>0</v>
      </c>
      <c r="P34" s="20" t="n">
        <v>0</v>
      </c>
      <c r="Q34" s="18" t="n">
        <v>0.53945681</v>
      </c>
      <c r="R34" s="20" t="n">
        <v>0.25776485</v>
      </c>
    </row>
    <row r="35" spans="1:18">
      <c r="A35" s="15" t="s">
        <v>593</v>
      </c>
      <c r="B35" s="17" t="n">
        <v>6406</v>
      </c>
      <c r="C35" s="18">
        <f>(5019.0/B35*100)</f>
        <v/>
      </c>
      <c r="D35" s="19" t="n">
        <v>1387</v>
      </c>
      <c r="E35" s="18" t="n">
        <v>64.82446831999999</v>
      </c>
      <c r="F35" s="20" t="n">
        <v>1.63216198</v>
      </c>
      <c r="G35" s="18" t="n">
        <v>33.57544316</v>
      </c>
      <c r="H35" s="20" t="n">
        <v>1.60386404</v>
      </c>
      <c r="I35" s="18" t="n">
        <v>0</v>
      </c>
      <c r="J35" s="20" t="n">
        <v>0</v>
      </c>
      <c r="K35" s="18" t="n">
        <v>1.02883798</v>
      </c>
      <c r="L35" s="20" t="n">
        <v>0.35762815</v>
      </c>
      <c r="M35" s="18" t="n">
        <v>0</v>
      </c>
      <c r="N35" s="20" t="n">
        <v>0</v>
      </c>
      <c r="O35" s="18" t="n">
        <v>0</v>
      </c>
      <c r="P35" s="20" t="n">
        <v>0</v>
      </c>
      <c r="Q35" s="18" t="n">
        <v>0.57125054</v>
      </c>
      <c r="R35" s="20" t="n">
        <v>0.22340619</v>
      </c>
    </row>
    <row r="36" spans="1:18">
      <c r="A36" s="15" t="s">
        <v>594</v>
      </c>
      <c r="B36" s="17" t="n">
        <v>6736</v>
      </c>
      <c r="C36" s="18">
        <f>(5338.0/B36*100)</f>
        <v/>
      </c>
      <c r="D36" s="19" t="n">
        <v>1398</v>
      </c>
      <c r="E36" s="18" t="n">
        <v>64.29880850000001</v>
      </c>
      <c r="F36" s="20" t="n">
        <v>1.29205515</v>
      </c>
      <c r="G36" s="18" t="n">
        <v>34.08438647</v>
      </c>
      <c r="H36" s="20" t="n">
        <v>1.19716332</v>
      </c>
      <c r="I36" s="18" t="n">
        <v>0</v>
      </c>
      <c r="J36" s="20" t="n">
        <v>0</v>
      </c>
      <c r="K36" s="18" t="n">
        <v>1.57522849</v>
      </c>
      <c r="L36" s="20" t="n">
        <v>0.26314709</v>
      </c>
      <c r="M36" s="18" t="n">
        <v>0</v>
      </c>
      <c r="N36" s="20" t="n">
        <v>0</v>
      </c>
      <c r="O36" s="18" t="n">
        <v>0</v>
      </c>
      <c r="P36" s="20" t="n">
        <v>0</v>
      </c>
      <c r="Q36" s="18" t="n">
        <v>0.04157654</v>
      </c>
      <c r="R36" s="20" t="n">
        <v>0.0381727</v>
      </c>
    </row>
    <row r="37" spans="1:18">
      <c r="A37" s="15" t="s">
        <v>595</v>
      </c>
      <c r="B37" s="17" t="n">
        <v>5458</v>
      </c>
      <c r="C37" s="18">
        <f>(4349.0/B37*100)</f>
        <v/>
      </c>
      <c r="D37" s="19" t="n">
        <v>1109</v>
      </c>
      <c r="E37" s="18" t="n">
        <v>66.23535298</v>
      </c>
      <c r="F37" s="20" t="n">
        <v>1.75166975</v>
      </c>
      <c r="G37" s="18" t="n">
        <v>29.21883699</v>
      </c>
      <c r="H37" s="20" t="n">
        <v>1.66647787</v>
      </c>
      <c r="I37" s="18" t="n">
        <v>0</v>
      </c>
      <c r="J37" s="20" t="n">
        <v>0</v>
      </c>
      <c r="K37" s="18" t="n">
        <v>3.65884735</v>
      </c>
      <c r="L37" s="20" t="n">
        <v>0.51886572</v>
      </c>
      <c r="M37" s="18" t="n">
        <v>0</v>
      </c>
      <c r="N37" s="20" t="n">
        <v>0</v>
      </c>
      <c r="O37" s="18" t="n">
        <v>0</v>
      </c>
      <c r="P37" s="20" t="n">
        <v>0</v>
      </c>
      <c r="Q37" s="18" t="n">
        <v>0.88696268</v>
      </c>
      <c r="R37" s="20" t="n">
        <v>0.2803638</v>
      </c>
    </row>
    <row r="38" spans="1:18">
      <c r="A38" s="15" t="s">
        <v>596</v>
      </c>
      <c r="B38" s="17" t="n">
        <v>5860</v>
      </c>
      <c r="C38" s="18">
        <f>(4618.0/B38*100)</f>
        <v/>
      </c>
      <c r="D38" s="19" t="n">
        <v>1242</v>
      </c>
      <c r="E38" s="18" t="n">
        <v>52.75571268</v>
      </c>
      <c r="F38" s="20" t="n">
        <v>1.7619431</v>
      </c>
      <c r="G38" s="18" t="n">
        <v>45.06366194</v>
      </c>
      <c r="H38" s="20" t="n">
        <v>1.82807066</v>
      </c>
      <c r="I38" s="18" t="n">
        <v>0</v>
      </c>
      <c r="J38" s="20" t="n">
        <v>0</v>
      </c>
      <c r="K38" s="18" t="n">
        <v>1.51003706</v>
      </c>
      <c r="L38" s="20" t="n">
        <v>0.35381638</v>
      </c>
      <c r="M38" s="18" t="n">
        <v>0</v>
      </c>
      <c r="N38" s="20" t="n">
        <v>0</v>
      </c>
      <c r="O38" s="18" t="n">
        <v>0</v>
      </c>
      <c r="P38" s="20" t="n">
        <v>0</v>
      </c>
      <c r="Q38" s="18" t="n">
        <v>0.67058832</v>
      </c>
      <c r="R38" s="20" t="n">
        <v>0.21944268</v>
      </c>
    </row>
    <row r="39" spans="1:18">
      <c r="A39" s="15" t="s">
        <v>597</v>
      </c>
      <c r="B39" s="17" t="n">
        <v>5895</v>
      </c>
      <c r="C39" s="18">
        <f>(4579.0/B39*100)</f>
        <v/>
      </c>
      <c r="D39" s="19" t="n">
        <v>1316</v>
      </c>
      <c r="E39" s="18" t="n">
        <v>76.84457856</v>
      </c>
      <c r="F39" s="20" t="n">
        <v>1.247177</v>
      </c>
      <c r="G39" s="18" t="n">
        <v>21.80831801</v>
      </c>
      <c r="H39" s="20" t="n">
        <v>1.22814259</v>
      </c>
      <c r="I39" s="18" t="n">
        <v>0</v>
      </c>
      <c r="J39" s="20" t="n">
        <v>0</v>
      </c>
      <c r="K39" s="18" t="n">
        <v>0.92029619</v>
      </c>
      <c r="L39" s="20" t="n">
        <v>0.19956762</v>
      </c>
      <c r="M39" s="18" t="n">
        <v>0</v>
      </c>
      <c r="N39" s="20" t="n">
        <v>0</v>
      </c>
      <c r="O39" s="18" t="n">
        <v>0</v>
      </c>
      <c r="P39" s="20" t="n">
        <v>0</v>
      </c>
      <c r="Q39" s="18" t="n">
        <v>0.42680724</v>
      </c>
      <c r="R39" s="20" t="n">
        <v>0.16749054</v>
      </c>
    </row>
    <row r="40" spans="1:18">
      <c r="A40" s="15" t="s">
        <v>598</v>
      </c>
      <c r="B40" s="17" t="n">
        <v>14157</v>
      </c>
      <c r="C40" s="18">
        <f>(11057.0/B40*100)</f>
        <v/>
      </c>
      <c r="D40" s="19" t="n">
        <v>3100</v>
      </c>
      <c r="E40" s="18" t="n">
        <v>73.55084780999999</v>
      </c>
      <c r="F40" s="20" t="n">
        <v>1.2285851</v>
      </c>
      <c r="G40" s="18" t="n">
        <v>23.76363015</v>
      </c>
      <c r="H40" s="20" t="n">
        <v>1.2055967</v>
      </c>
      <c r="I40" s="18" t="n">
        <v>0</v>
      </c>
      <c r="J40" s="20" t="n">
        <v>0</v>
      </c>
      <c r="K40" s="18" t="n">
        <v>1.78322039</v>
      </c>
      <c r="L40" s="20" t="n">
        <v>0.35133509</v>
      </c>
      <c r="M40" s="18" t="n">
        <v>0</v>
      </c>
      <c r="N40" s="20" t="n">
        <v>0</v>
      </c>
      <c r="O40" s="18" t="n">
        <v>0</v>
      </c>
      <c r="P40" s="20" t="n">
        <v>0</v>
      </c>
      <c r="Q40" s="18" t="n">
        <v>0.90230165</v>
      </c>
      <c r="R40" s="20" t="n">
        <v>0.24940072</v>
      </c>
    </row>
    <row r="41" spans="1:18">
      <c r="A41" s="15" t="s">
        <v>599</v>
      </c>
      <c r="B41" s="17" t="n">
        <v>5712</v>
      </c>
      <c r="C41" s="18">
        <f>(4544.0/B41*100)</f>
        <v/>
      </c>
      <c r="D41" s="19" t="n">
        <v>1168</v>
      </c>
      <c r="E41" s="18" t="n">
        <v>69.09698493</v>
      </c>
      <c r="F41" s="20" t="n">
        <v>1.32196601</v>
      </c>
      <c r="G41" s="18" t="n">
        <v>29.89526542</v>
      </c>
      <c r="H41" s="20" t="n">
        <v>1.30313183</v>
      </c>
      <c r="I41" s="18" t="n">
        <v>0</v>
      </c>
      <c r="J41" s="20" t="n">
        <v>0</v>
      </c>
      <c r="K41" s="18" t="n">
        <v>0.93001418</v>
      </c>
      <c r="L41" s="20" t="n">
        <v>0.28219985</v>
      </c>
      <c r="M41" s="18" t="n">
        <v>0</v>
      </c>
      <c r="N41" s="20" t="n">
        <v>0</v>
      </c>
      <c r="O41" s="18" t="n">
        <v>0</v>
      </c>
      <c r="P41" s="20" t="n">
        <v>0</v>
      </c>
      <c r="Q41" s="18" t="n">
        <v>0.07773547</v>
      </c>
      <c r="R41" s="20" t="n">
        <v>0.0757536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(19618.0/B46*100)</f>
        <v/>
      </c>
      <c r="D46" s="19" t="n">
        <v>3523</v>
      </c>
      <c r="E46" s="18" t="n">
        <v>68.02166551000001</v>
      </c>
      <c r="F46" s="20" t="n">
        <v>1.13784596</v>
      </c>
      <c r="G46" s="18" t="n">
        <v>27.06702019</v>
      </c>
      <c r="H46" s="20" t="n">
        <v>1.13609901</v>
      </c>
      <c r="I46" s="18" t="n">
        <v>0</v>
      </c>
      <c r="J46" s="20" t="n">
        <v>0</v>
      </c>
      <c r="K46" s="18" t="n">
        <v>3.86672752</v>
      </c>
      <c r="L46" s="20" t="n">
        <v>0.63362371</v>
      </c>
      <c r="M46" s="18" t="n">
        <v>0</v>
      </c>
      <c r="N46" s="20" t="n">
        <v>0</v>
      </c>
      <c r="O46" s="18" t="n">
        <v>0</v>
      </c>
      <c r="P46" s="20" t="n">
        <v>0</v>
      </c>
      <c r="Q46" s="18" t="n">
        <v>1.04458677</v>
      </c>
      <c r="R46" s="20" t="n">
        <v>0.2232399</v>
      </c>
    </row>
    <row r="47" spans="1:18">
      <c r="A47" s="15" t="s">
        <v>606</v>
      </c>
      <c r="B47" s="17" t="n">
        <v>5928</v>
      </c>
      <c r="C47" s="18">
        <f>(4734.0/B47*100)</f>
        <v/>
      </c>
      <c r="D47" s="19" t="n">
        <v>1194</v>
      </c>
      <c r="E47" s="18" t="n">
        <v>67.50470946</v>
      </c>
      <c r="F47" s="20" t="n">
        <v>1.73059647</v>
      </c>
      <c r="G47" s="18" t="n">
        <v>29.17251369</v>
      </c>
      <c r="H47" s="20" t="n">
        <v>1.78456906</v>
      </c>
      <c r="I47" s="18" t="n">
        <v>0</v>
      </c>
      <c r="J47" s="20" t="n">
        <v>0</v>
      </c>
      <c r="K47" s="18" t="n">
        <v>2.54274513</v>
      </c>
      <c r="L47" s="20" t="n">
        <v>0.51991402</v>
      </c>
      <c r="M47" s="18" t="n">
        <v>0</v>
      </c>
      <c r="N47" s="20" t="n">
        <v>0</v>
      </c>
      <c r="O47" s="18" t="n">
        <v>0</v>
      </c>
      <c r="P47" s="20" t="n">
        <v>0</v>
      </c>
      <c r="Q47" s="18" t="n">
        <v>0.78003173</v>
      </c>
      <c r="R47" s="20" t="n">
        <v>0.26164959</v>
      </c>
    </row>
    <row r="48" spans="1:18">
      <c r="A48" s="15" t="s">
        <v>607</v>
      </c>
      <c r="B48" s="17" t="n">
        <v>9841</v>
      </c>
      <c r="C48" s="18">
        <f>(7704.0/B48*100)</f>
        <v/>
      </c>
      <c r="D48" s="19" t="n">
        <v>2137</v>
      </c>
      <c r="E48" s="18" t="n">
        <v>73.36615883</v>
      </c>
      <c r="F48" s="20" t="n">
        <v>1.18593437</v>
      </c>
      <c r="G48" s="18" t="n">
        <v>25.45012513</v>
      </c>
      <c r="H48" s="20" t="n">
        <v>1.15679125</v>
      </c>
      <c r="I48" s="18" t="n">
        <v>0</v>
      </c>
      <c r="J48" s="20" t="n">
        <v>0</v>
      </c>
      <c r="K48" s="18" t="n">
        <v>1.11441436</v>
      </c>
      <c r="L48" s="20" t="n">
        <v>0.36951079</v>
      </c>
      <c r="M48" s="18" t="n">
        <v>0</v>
      </c>
      <c r="N48" s="20" t="n">
        <v>0</v>
      </c>
      <c r="O48" s="18" t="n">
        <v>0</v>
      </c>
      <c r="P48" s="20" t="n">
        <v>0</v>
      </c>
      <c r="Q48" s="18" t="n">
        <v>0.06930168</v>
      </c>
      <c r="R48" s="20" t="n">
        <v>0.06951749</v>
      </c>
    </row>
    <row r="49" spans="1:18">
      <c r="A49" s="15" t="s">
        <v>608</v>
      </c>
      <c r="B49" s="17" t="n">
        <v>11795</v>
      </c>
      <c r="C49" s="18">
        <f>(9408.0/B49*100)</f>
        <v/>
      </c>
      <c r="D49" s="19" t="n">
        <v>2387</v>
      </c>
      <c r="E49" s="18" t="n">
        <v>73.21199154999999</v>
      </c>
      <c r="F49" s="20" t="n">
        <v>1.36410676</v>
      </c>
      <c r="G49" s="18" t="n">
        <v>21.48430843</v>
      </c>
      <c r="H49" s="20" t="n">
        <v>1.32999223</v>
      </c>
      <c r="I49" s="18" t="n">
        <v>0</v>
      </c>
      <c r="J49" s="20" t="n">
        <v>0</v>
      </c>
      <c r="K49" s="18" t="n">
        <v>4.71043862</v>
      </c>
      <c r="L49" s="20" t="n">
        <v>0.61650666</v>
      </c>
      <c r="M49" s="18" t="n">
        <v>0</v>
      </c>
      <c r="N49" s="20" t="n">
        <v>0</v>
      </c>
      <c r="O49" s="18" t="n">
        <v>0</v>
      </c>
      <c r="P49" s="20" t="n">
        <v>0</v>
      </c>
      <c r="Q49" s="18" t="n">
        <v>0.5932614</v>
      </c>
      <c r="R49" s="20" t="n">
        <v>0.20489383</v>
      </c>
    </row>
    <row r="50" spans="1:18">
      <c r="A50" s="15" t="s">
        <v>609</v>
      </c>
      <c r="B50" s="17" t="n">
        <v>6866</v>
      </c>
      <c r="C50" s="18">
        <f>(5674.0/B50*100)</f>
        <v/>
      </c>
      <c r="D50" s="19" t="n">
        <v>1192</v>
      </c>
      <c r="E50" s="18" t="n">
        <v>72.80909244</v>
      </c>
      <c r="F50" s="20" t="n">
        <v>1.42188341</v>
      </c>
      <c r="G50" s="18" t="n">
        <v>25.36752182</v>
      </c>
      <c r="H50" s="20" t="n">
        <v>1.47106238</v>
      </c>
      <c r="I50" s="18" t="n">
        <v>0</v>
      </c>
      <c r="J50" s="20" t="n">
        <v>0</v>
      </c>
      <c r="K50" s="18" t="n">
        <v>1.15005509</v>
      </c>
      <c r="L50" s="20" t="n">
        <v>0.32481428</v>
      </c>
      <c r="M50" s="18" t="n">
        <v>0</v>
      </c>
      <c r="N50" s="20" t="n">
        <v>0</v>
      </c>
      <c r="O50" s="18" t="n">
        <v>0</v>
      </c>
      <c r="P50" s="20" t="n">
        <v>0</v>
      </c>
      <c r="Q50" s="18" t="n">
        <v>0.67333066</v>
      </c>
      <c r="R50" s="20" t="n">
        <v>0.28589244</v>
      </c>
    </row>
    <row r="51" spans="1:18">
      <c r="A51" s="15" t="s">
        <v>610</v>
      </c>
      <c r="B51" s="17" t="n">
        <v>5809</v>
      </c>
      <c r="C51" s="18">
        <f>(4505.0/B51*100)</f>
        <v/>
      </c>
      <c r="D51" s="19" t="n">
        <v>1304</v>
      </c>
      <c r="E51" s="18" t="n">
        <v>65.85920467</v>
      </c>
      <c r="F51" s="20" t="n">
        <v>1.4074435</v>
      </c>
      <c r="G51" s="18" t="n">
        <v>32.30165051</v>
      </c>
      <c r="H51" s="20" t="n">
        <v>1.37955066</v>
      </c>
      <c r="I51" s="18" t="n">
        <v>0</v>
      </c>
      <c r="J51" s="20" t="n">
        <v>0</v>
      </c>
      <c r="K51" s="18" t="n">
        <v>0.78502014</v>
      </c>
      <c r="L51" s="20" t="n">
        <v>0.27850368</v>
      </c>
      <c r="M51" s="18" t="n">
        <v>0</v>
      </c>
      <c r="N51" s="20" t="n">
        <v>0</v>
      </c>
      <c r="O51" s="18" t="n">
        <v>0</v>
      </c>
      <c r="P51" s="20" t="n">
        <v>0</v>
      </c>
      <c r="Q51" s="18" t="n">
        <v>1.05412468</v>
      </c>
      <c r="R51" s="20" t="n">
        <v>0.29373306</v>
      </c>
    </row>
    <row r="52" spans="1:18">
      <c r="A52" s="15" t="s">
        <v>611</v>
      </c>
      <c r="B52" s="17" t="n">
        <v>5571</v>
      </c>
      <c r="C52" s="18">
        <f>(4374.0/B52*100)</f>
        <v/>
      </c>
      <c r="D52" s="19" t="n">
        <v>1197</v>
      </c>
      <c r="E52" s="18" t="n">
        <v>76.42123678999999</v>
      </c>
      <c r="F52" s="20" t="n">
        <v>1.35391191</v>
      </c>
      <c r="G52" s="18" t="n">
        <v>21.20394247</v>
      </c>
      <c r="H52" s="20" t="n">
        <v>1.23490447</v>
      </c>
      <c r="I52" s="18" t="n">
        <v>0</v>
      </c>
      <c r="J52" s="20" t="n">
        <v>0</v>
      </c>
      <c r="K52" s="18" t="n">
        <v>1.70666561</v>
      </c>
      <c r="L52" s="20" t="n">
        <v>0.37592568</v>
      </c>
      <c r="M52" s="18" t="n">
        <v>0</v>
      </c>
      <c r="N52" s="20" t="n">
        <v>0</v>
      </c>
      <c r="O52" s="18" t="n">
        <v>0</v>
      </c>
      <c r="P52" s="20" t="n">
        <v>0</v>
      </c>
      <c r="Q52" s="18" t="n">
        <v>0.66815512</v>
      </c>
      <c r="R52" s="20" t="n">
        <v>0.24439285</v>
      </c>
    </row>
    <row r="53" spans="1:18">
      <c r="A53" s="15" t="s">
        <v>612</v>
      </c>
      <c r="B53" s="17" t="n">
        <v>4740</v>
      </c>
      <c r="C53" s="18">
        <f>(3700.0/B53*100)</f>
        <v/>
      </c>
      <c r="D53" s="19" t="n">
        <v>1040</v>
      </c>
      <c r="E53" s="18" t="n">
        <v>67.69135815</v>
      </c>
      <c r="F53" s="20" t="n">
        <v>1.9787421</v>
      </c>
      <c r="G53" s="18" t="n">
        <v>8.8924374</v>
      </c>
      <c r="H53" s="20" t="n">
        <v>0.99263692</v>
      </c>
      <c r="I53" s="18" t="n">
        <v>0</v>
      </c>
      <c r="J53" s="20" t="n">
        <v>0</v>
      </c>
      <c r="K53" s="18" t="n">
        <v>21.49707115</v>
      </c>
      <c r="L53" s="20" t="n">
        <v>1.65543957</v>
      </c>
      <c r="M53" s="18" t="n">
        <v>0</v>
      </c>
      <c r="N53" s="20" t="n">
        <v>0</v>
      </c>
      <c r="O53" s="18" t="n">
        <v>0</v>
      </c>
      <c r="P53" s="20" t="n">
        <v>0</v>
      </c>
      <c r="Q53" s="18" t="n">
        <v>1.91913329</v>
      </c>
      <c r="R53" s="20" t="n">
        <v>0.55395638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(4155.0/B55*100)</f>
        <v/>
      </c>
      <c r="D55" s="19" t="n">
        <v>1204</v>
      </c>
      <c r="E55" s="18" t="n">
        <v>71.80816064</v>
      </c>
      <c r="F55" s="20" t="n">
        <v>1.45717105</v>
      </c>
      <c r="G55" s="18" t="n">
        <v>27.13611615</v>
      </c>
      <c r="H55" s="20" t="n">
        <v>1.41425422</v>
      </c>
      <c r="I55" s="18" t="n">
        <v>0</v>
      </c>
      <c r="J55" s="20" t="n">
        <v>0</v>
      </c>
      <c r="K55" s="18" t="n">
        <v>0.61325083</v>
      </c>
      <c r="L55" s="20" t="n">
        <v>0.29211941</v>
      </c>
      <c r="M55" s="18" t="n">
        <v>0</v>
      </c>
      <c r="N55" s="20" t="n">
        <v>0</v>
      </c>
      <c r="O55" s="18" t="n">
        <v>0</v>
      </c>
      <c r="P55" s="20" t="n">
        <v>0</v>
      </c>
      <c r="Q55" s="18" t="n">
        <v>0.44247237</v>
      </c>
      <c r="R55" s="20" t="n">
        <v>0.21035274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(5101.0/B61*100)</f>
        <v/>
      </c>
      <c r="D61" s="19" t="n">
        <v>1424</v>
      </c>
      <c r="E61" s="18" t="n">
        <v>64.08788188</v>
      </c>
      <c r="F61" s="20" t="n">
        <v>1.55194363</v>
      </c>
      <c r="G61" s="18" t="n">
        <v>35.01155402</v>
      </c>
      <c r="H61" s="20" t="n">
        <v>1.55077449</v>
      </c>
      <c r="I61" s="18" t="n">
        <v>0</v>
      </c>
      <c r="J61" s="20" t="n">
        <v>0</v>
      </c>
      <c r="K61" s="18" t="n">
        <v>0.47470519</v>
      </c>
      <c r="L61" s="20" t="n">
        <v>0.20703391</v>
      </c>
      <c r="M61" s="18" t="n">
        <v>0</v>
      </c>
      <c r="N61" s="20" t="n">
        <v>0</v>
      </c>
      <c r="O61" s="18" t="n">
        <v>0</v>
      </c>
      <c r="P61" s="20" t="n">
        <v>0</v>
      </c>
      <c r="Q61" s="18" t="n">
        <v>0.42585891</v>
      </c>
      <c r="R61" s="20" t="n">
        <v>0.18133038</v>
      </c>
    </row>
    <row r="62" spans="1:18">
      <c r="A62" s="15" t="s">
        <v>622</v>
      </c>
      <c r="B62" s="17" t="n">
        <v>4476</v>
      </c>
      <c r="C62" s="18">
        <f>(3565.0/B62*100)</f>
        <v/>
      </c>
      <c r="D62" s="19" t="n">
        <v>911</v>
      </c>
      <c r="E62" s="18" t="n">
        <v>57.03884824</v>
      </c>
      <c r="F62" s="20" t="n">
        <v>1.78031122</v>
      </c>
      <c r="G62" s="18" t="n">
        <v>42.85211632</v>
      </c>
      <c r="H62" s="20" t="n">
        <v>1.76183563</v>
      </c>
      <c r="I62" s="18" t="n">
        <v>0</v>
      </c>
      <c r="J62" s="20" t="n">
        <v>0</v>
      </c>
      <c r="K62" s="18" t="n">
        <v>0.10903543</v>
      </c>
      <c r="L62" s="20" t="n">
        <v>0.10882052</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(4479.0/B67*100)</f>
        <v/>
      </c>
      <c r="D67" s="19" t="n">
        <v>1186</v>
      </c>
      <c r="E67" s="18" t="n">
        <v>69.96493171</v>
      </c>
      <c r="F67" s="20" t="n">
        <v>1.36663331</v>
      </c>
      <c r="G67" s="18" t="n">
        <v>24.43172211</v>
      </c>
      <c r="H67" s="20" t="n">
        <v>1.25442865</v>
      </c>
      <c r="I67" s="18" t="n">
        <v>0</v>
      </c>
      <c r="J67" s="20" t="n">
        <v>0</v>
      </c>
      <c r="K67" s="18" t="n">
        <v>3.92771843</v>
      </c>
      <c r="L67" s="20" t="n">
        <v>0.61303211</v>
      </c>
      <c r="M67" s="18" t="n">
        <v>0</v>
      </c>
      <c r="N67" s="20" t="n">
        <v>0</v>
      </c>
      <c r="O67" s="18" t="n">
        <v>0</v>
      </c>
      <c r="P67" s="20" t="n">
        <v>0</v>
      </c>
      <c r="Q67" s="18" t="n">
        <v>1.67562775</v>
      </c>
      <c r="R67" s="20" t="n">
        <v>0.3418449</v>
      </c>
    </row>
    <row r="68" spans="1:18">
      <c r="A68" s="15" t="s">
        <v>628</v>
      </c>
      <c r="B68" s="17" t="n">
        <v>6971</v>
      </c>
      <c r="C68" s="18">
        <f>(5780.0/B68*100)</f>
        <v/>
      </c>
      <c r="D68" s="19" t="n">
        <v>1191</v>
      </c>
      <c r="E68" s="18" t="n">
        <v>84.84978774</v>
      </c>
      <c r="F68" s="20" t="n">
        <v>1.1073084</v>
      </c>
      <c r="G68" s="18" t="n">
        <v>13.24313874</v>
      </c>
      <c r="H68" s="20" t="n">
        <v>1.05809807</v>
      </c>
      <c r="I68" s="18" t="n">
        <v>0</v>
      </c>
      <c r="J68" s="20" t="n">
        <v>0</v>
      </c>
      <c r="K68" s="18" t="n">
        <v>1.09255041</v>
      </c>
      <c r="L68" s="20" t="n">
        <v>0.38108897</v>
      </c>
      <c r="M68" s="18" t="n">
        <v>0</v>
      </c>
      <c r="N68" s="20" t="n">
        <v>0</v>
      </c>
      <c r="O68" s="18" t="n">
        <v>0</v>
      </c>
      <c r="P68" s="20" t="n">
        <v>0</v>
      </c>
      <c r="Q68" s="18" t="n">
        <v>0.8145231000000001</v>
      </c>
      <c r="R68" s="20" t="n">
        <v>0.29847245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(9442.0/B70*100)</f>
        <v/>
      </c>
      <c r="D70" s="19" t="n">
        <v>2641</v>
      </c>
      <c r="E70" s="18" t="n">
        <v>77.1754131</v>
      </c>
      <c r="F70" s="20" t="n">
        <v>0.80634824</v>
      </c>
      <c r="G70" s="18" t="n">
        <v>16.13223337</v>
      </c>
      <c r="H70" s="20" t="n">
        <v>0.69741819</v>
      </c>
      <c r="I70" s="18" t="n">
        <v>0</v>
      </c>
      <c r="J70" s="20" t="n">
        <v>0</v>
      </c>
      <c r="K70" s="18" t="n">
        <v>5.46145651</v>
      </c>
      <c r="L70" s="20" t="n">
        <v>0.47697098</v>
      </c>
      <c r="M70" s="18" t="n">
        <v>0</v>
      </c>
      <c r="N70" s="20" t="n">
        <v>0</v>
      </c>
      <c r="O70" s="18" t="n">
        <v>0</v>
      </c>
      <c r="P70" s="20" t="n">
        <v>0</v>
      </c>
      <c r="Q70" s="18" t="n">
        <v>1.23089702</v>
      </c>
      <c r="R70" s="20" t="n">
        <v>0.2194008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(4838.0/B72*100)</f>
        <v/>
      </c>
      <c r="D72" s="19" t="n">
        <v>1198</v>
      </c>
      <c r="E72" s="18" t="n">
        <v>75.1491674</v>
      </c>
      <c r="F72" s="20" t="n">
        <v>1.65464617</v>
      </c>
      <c r="G72" s="18" t="n">
        <v>22.8907745</v>
      </c>
      <c r="H72" s="20" t="n">
        <v>1.64991202</v>
      </c>
      <c r="I72" s="18" t="n">
        <v>0</v>
      </c>
      <c r="J72" s="20" t="n">
        <v>0</v>
      </c>
      <c r="K72" s="18" t="n">
        <v>1.15744683</v>
      </c>
      <c r="L72" s="20" t="n">
        <v>0.29754514</v>
      </c>
      <c r="M72" s="18" t="n">
        <v>0</v>
      </c>
      <c r="N72" s="20" t="n">
        <v>0</v>
      </c>
      <c r="O72" s="18" t="n">
        <v>0</v>
      </c>
      <c r="P72" s="20" t="n">
        <v>0</v>
      </c>
      <c r="Q72" s="18" t="n">
        <v>0.80261128</v>
      </c>
      <c r="R72" s="20" t="n">
        <v>0.26280673</v>
      </c>
    </row>
    <row r="73" spans="1:18">
      <c r="A73" s="15" t="s">
        <v>633</v>
      </c>
      <c r="B73" s="17" t="n">
        <v>6115</v>
      </c>
      <c r="C73" s="18">
        <f>(4788.0/B73*100)</f>
        <v/>
      </c>
      <c r="D73" s="19" t="n">
        <v>1327</v>
      </c>
      <c r="E73" s="18" t="n">
        <v>63.48215355</v>
      </c>
      <c r="F73" s="20" t="n">
        <v>1.33153332</v>
      </c>
      <c r="G73" s="18" t="n">
        <v>35.75280343</v>
      </c>
      <c r="H73" s="20" t="n">
        <v>1.31875649</v>
      </c>
      <c r="I73" s="18" t="n">
        <v>0</v>
      </c>
      <c r="J73" s="20" t="n">
        <v>0</v>
      </c>
      <c r="K73" s="18" t="n">
        <v>0.47857989</v>
      </c>
      <c r="L73" s="20" t="n">
        <v>0.20631184</v>
      </c>
      <c r="M73" s="18" t="n">
        <v>0</v>
      </c>
      <c r="N73" s="20" t="n">
        <v>0</v>
      </c>
      <c r="O73" s="18" t="n">
        <v>0</v>
      </c>
      <c r="P73" s="20" t="n">
        <v>0</v>
      </c>
      <c r="Q73" s="18" t="n">
        <v>0.28646313</v>
      </c>
      <c r="R73" s="20" t="n">
        <v>0.14454398</v>
      </c>
    </row>
    <row r="74" spans="1:18">
      <c r="A74" s="15" t="s">
        <v>634</v>
      </c>
      <c r="B74" s="17" t="n">
        <v>7708</v>
      </c>
      <c r="C74" s="18">
        <f>(5948.0/B74*100)</f>
        <v/>
      </c>
      <c r="D74" s="19" t="n">
        <v>1760</v>
      </c>
      <c r="E74" s="18" t="n">
        <v>68.43191179999999</v>
      </c>
      <c r="F74" s="20" t="n">
        <v>1.10191479</v>
      </c>
      <c r="G74" s="18" t="n">
        <v>31.20894053</v>
      </c>
      <c r="H74" s="20" t="n">
        <v>1.09736515</v>
      </c>
      <c r="I74" s="18" t="n">
        <v>0</v>
      </c>
      <c r="J74" s="20" t="n">
        <v>0</v>
      </c>
      <c r="K74" s="18" t="n">
        <v>0.24768277</v>
      </c>
      <c r="L74" s="20" t="n">
        <v>0.1452162</v>
      </c>
      <c r="M74" s="18" t="n">
        <v>0</v>
      </c>
      <c r="N74" s="20" t="n">
        <v>0</v>
      </c>
      <c r="O74" s="18" t="n">
        <v>0</v>
      </c>
      <c r="P74" s="20" t="n">
        <v>0</v>
      </c>
      <c r="Q74" s="18" t="n">
        <v>0.11146489</v>
      </c>
      <c r="R74" s="20" t="n">
        <v>0.07978038</v>
      </c>
    </row>
    <row r="75" spans="1:18">
      <c r="A75" s="15" t="s">
        <v>635</v>
      </c>
      <c r="B75" s="17" t="n">
        <v>8249</v>
      </c>
      <c r="C75" s="18">
        <f>(6520.0/B75*100)</f>
        <v/>
      </c>
      <c r="D75" s="19" t="n">
        <v>1729</v>
      </c>
      <c r="E75" s="18" t="n">
        <v>71.29913882</v>
      </c>
      <c r="F75" s="20" t="n">
        <v>1.56475374</v>
      </c>
      <c r="G75" s="18" t="n">
        <v>28.43968428</v>
      </c>
      <c r="H75" s="20" t="n">
        <v>1.54740169</v>
      </c>
      <c r="I75" s="18" t="n">
        <v>0</v>
      </c>
      <c r="J75" s="20" t="n">
        <v>0</v>
      </c>
      <c r="K75" s="18" t="n">
        <v>0.08437839</v>
      </c>
      <c r="L75" s="20" t="n">
        <v>0.08087174</v>
      </c>
      <c r="M75" s="18" t="n">
        <v>0</v>
      </c>
      <c r="N75" s="20" t="n">
        <v>0</v>
      </c>
      <c r="O75" s="18" t="n">
        <v>0</v>
      </c>
      <c r="P75" s="20" t="n">
        <v>0</v>
      </c>
      <c r="Q75" s="18" t="n">
        <v>0.17679852</v>
      </c>
      <c r="R75" s="20" t="n">
        <v>0.1243376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(4327.0/B77*100)</f>
        <v/>
      </c>
      <c r="D77" s="19" t="n">
        <v>1048</v>
      </c>
      <c r="E77" s="18" t="n">
        <v>69.28704157999999</v>
      </c>
      <c r="F77" s="20" t="n">
        <v>1.48152276</v>
      </c>
      <c r="G77" s="18" t="n">
        <v>22.29936483</v>
      </c>
      <c r="H77" s="20" t="n">
        <v>1.19853412</v>
      </c>
      <c r="I77" s="18" t="n">
        <v>0</v>
      </c>
      <c r="J77" s="20" t="n">
        <v>0</v>
      </c>
      <c r="K77" s="18" t="n">
        <v>7.19104461</v>
      </c>
      <c r="L77" s="20" t="n">
        <v>0.99838215</v>
      </c>
      <c r="M77" s="18" t="n">
        <v>0</v>
      </c>
      <c r="N77" s="20" t="n">
        <v>0</v>
      </c>
      <c r="O77" s="18" t="n">
        <v>0</v>
      </c>
      <c r="P77" s="20" t="n">
        <v>0</v>
      </c>
      <c r="Q77" s="18" t="n">
        <v>1.22254899</v>
      </c>
      <c r="R77" s="20" t="n">
        <v>0.36357764</v>
      </c>
    </row>
    <row r="78" spans="1:18">
      <c r="A78" s="15" t="s">
        <v>638</v>
      </c>
      <c r="B78" s="17" t="n">
        <v>14167</v>
      </c>
      <c r="C78" s="18">
        <f>(11093.0/B78*100)</f>
        <v/>
      </c>
      <c r="D78" s="19" t="n">
        <v>3074</v>
      </c>
      <c r="E78" s="18" t="n">
        <v>75.67658169000001</v>
      </c>
      <c r="F78" s="20" t="n">
        <v>1.08514409</v>
      </c>
      <c r="G78" s="18" t="n">
        <v>21.71018332</v>
      </c>
      <c r="H78" s="20" t="n">
        <v>1.08290539</v>
      </c>
      <c r="I78" s="18" t="n">
        <v>0</v>
      </c>
      <c r="J78" s="20" t="n">
        <v>0</v>
      </c>
      <c r="K78" s="18" t="n">
        <v>1.70621149</v>
      </c>
      <c r="L78" s="20" t="n">
        <v>0.31233665</v>
      </c>
      <c r="M78" s="18" t="n">
        <v>0</v>
      </c>
      <c r="N78" s="20" t="n">
        <v>0</v>
      </c>
      <c r="O78" s="18" t="n">
        <v>0</v>
      </c>
      <c r="P78" s="20" t="n">
        <v>0</v>
      </c>
      <c r="Q78" s="18" t="n">
        <v>0.90702349</v>
      </c>
      <c r="R78" s="20" t="n">
        <v>0.21921279</v>
      </c>
    </row>
    <row r="79" spans="1:18">
      <c r="A79" s="15" t="s">
        <v>639</v>
      </c>
      <c r="B79" s="17" t="n">
        <v>6062</v>
      </c>
      <c r="C79" s="18">
        <f>(4831.0/B79*100)</f>
        <v/>
      </c>
      <c r="D79" s="19" t="n">
        <v>1231</v>
      </c>
      <c r="E79" s="18" t="n">
        <v>71.11729124999999</v>
      </c>
      <c r="F79" s="20" t="n">
        <v>1.42842472</v>
      </c>
      <c r="G79" s="18" t="n">
        <v>23.12191109</v>
      </c>
      <c r="H79" s="20" t="n">
        <v>1.30867261</v>
      </c>
      <c r="I79" s="18" t="n">
        <v>0</v>
      </c>
      <c r="J79" s="20" t="n">
        <v>0</v>
      </c>
      <c r="K79" s="18" t="n">
        <v>4.50671511</v>
      </c>
      <c r="L79" s="20" t="n">
        <v>0.69242255</v>
      </c>
      <c r="M79" s="18" t="n">
        <v>0</v>
      </c>
      <c r="N79" s="20" t="n">
        <v>0</v>
      </c>
      <c r="O79" s="18" t="n">
        <v>0</v>
      </c>
      <c r="P79" s="20" t="n">
        <v>0</v>
      </c>
      <c r="Q79" s="18" t="n">
        <v>1.25408255</v>
      </c>
      <c r="R79" s="20" t="n">
        <v>0.37652776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(25471.0/B82*100)</f>
        <v/>
      </c>
      <c r="D82" s="19" t="n">
        <v>6859</v>
      </c>
      <c r="E82" s="18" t="n">
        <v>64.87593056</v>
      </c>
      <c r="F82" s="20" t="n">
        <v>0.7672400700000001</v>
      </c>
      <c r="G82" s="18" t="n">
        <v>33.16005012</v>
      </c>
      <c r="H82" s="20" t="n">
        <v>0.71958424</v>
      </c>
      <c r="I82" s="18" t="n">
        <v>0</v>
      </c>
      <c r="J82" s="20" t="n">
        <v>0</v>
      </c>
      <c r="K82" s="18" t="n">
        <v>1.45615974</v>
      </c>
      <c r="L82" s="20" t="n">
        <v>0.2295512</v>
      </c>
      <c r="M82" s="18" t="n">
        <v>0</v>
      </c>
      <c r="N82" s="20" t="n">
        <v>0</v>
      </c>
      <c r="O82" s="18" t="n">
        <v>0</v>
      </c>
      <c r="P82" s="20" t="n">
        <v>0</v>
      </c>
      <c r="Q82" s="18" t="n">
        <v>0.50785958</v>
      </c>
      <c r="R82" s="20" t="n">
        <v>0.10215082</v>
      </c>
    </row>
    <row r="83" spans="1:18">
      <c r="A83" s="15" t="s">
        <v>643</v>
      </c>
      <c r="B83" s="17" t="n">
        <v>1652</v>
      </c>
      <c r="C83" s="18">
        <f>(1296.0/B83*100)</f>
        <v/>
      </c>
      <c r="D83" s="19" t="n">
        <v>356</v>
      </c>
      <c r="E83" s="18" t="n">
        <v>62.83278119</v>
      </c>
      <c r="F83" s="20" t="n">
        <v>2.09052242</v>
      </c>
      <c r="G83" s="18" t="n">
        <v>36.71990109</v>
      </c>
      <c r="H83" s="20" t="n">
        <v>1.97624471</v>
      </c>
      <c r="I83" s="18" t="n">
        <v>0</v>
      </c>
      <c r="J83" s="20" t="n">
        <v>0</v>
      </c>
      <c r="K83" s="18" t="n">
        <v>0.22214077</v>
      </c>
      <c r="L83" s="20" t="n">
        <v>0.22078197</v>
      </c>
      <c r="M83" s="18" t="n">
        <v>0</v>
      </c>
      <c r="N83" s="20" t="n">
        <v>0</v>
      </c>
      <c r="O83" s="18" t="n">
        <v>0</v>
      </c>
      <c r="P83" s="20" t="n">
        <v>0</v>
      </c>
      <c r="Q83" s="18" t="n">
        <v>0.22517695</v>
      </c>
      <c r="R83" s="20" t="n">
        <v>0.22570301</v>
      </c>
    </row>
    <row r="84" spans="1:18">
      <c r="A84" s="23" t="s">
        <v>644</v>
      </c>
      <c r="B84" s="24" t="n">
        <v>1887</v>
      </c>
      <c r="C84" s="25">
        <f>(1493.0/B84*100)</f>
        <v/>
      </c>
      <c r="D84" s="19" t="n">
        <v>394</v>
      </c>
      <c r="E84" s="18" t="n">
        <v>68.20536174</v>
      </c>
      <c r="F84" s="20" t="n">
        <v>2.36660781</v>
      </c>
      <c r="G84" s="18" t="n">
        <v>30.12569739</v>
      </c>
      <c r="H84" s="20" t="n">
        <v>2.52182452</v>
      </c>
      <c r="I84" s="18" t="n">
        <v>0</v>
      </c>
      <c r="J84" s="20" t="n">
        <v>0</v>
      </c>
      <c r="K84" s="18" t="n">
        <v>0.27699626</v>
      </c>
      <c r="L84" s="20" t="n">
        <v>0.27644</v>
      </c>
      <c r="M84" s="18" t="n">
        <v>0</v>
      </c>
      <c r="N84" s="20" t="n">
        <v>0</v>
      </c>
      <c r="O84" s="18" t="n">
        <v>0</v>
      </c>
      <c r="P84" s="20" t="n">
        <v>0</v>
      </c>
      <c r="Q84" s="18" t="n">
        <v>1.3919446</v>
      </c>
      <c r="R84" s="20" t="n">
        <v>0.71955339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(11533.0/B7*100)</f>
        <v/>
      </c>
      <c r="D7" s="19" t="n">
        <v>2997</v>
      </c>
      <c r="E7" s="18" t="n">
        <v>50.89875545</v>
      </c>
      <c r="F7" s="20" t="n">
        <v>1.06055068</v>
      </c>
      <c r="G7" s="18" t="n">
        <v>32.78868782</v>
      </c>
      <c r="H7" s="20" t="n">
        <v>1.03804288</v>
      </c>
      <c r="I7" s="18" t="n">
        <v>0</v>
      </c>
      <c r="J7" s="20" t="n">
        <v>0</v>
      </c>
      <c r="K7" s="18" t="n">
        <v>2.0886608</v>
      </c>
      <c r="L7" s="20" t="n">
        <v>0.35281128</v>
      </c>
      <c r="M7" s="18" t="n">
        <v>0.06978278</v>
      </c>
      <c r="N7" s="20" t="n">
        <v>0.05941685</v>
      </c>
      <c r="O7" s="18" t="n">
        <v>0</v>
      </c>
      <c r="P7" s="20" t="n">
        <v>0</v>
      </c>
      <c r="Q7" s="18" t="n">
        <v>14.15411315</v>
      </c>
      <c r="R7" s="20" t="n">
        <v>0.85376376</v>
      </c>
    </row>
    <row r="8" spans="1:18">
      <c r="A8" s="15" t="s">
        <v>566</v>
      </c>
      <c r="B8" s="17" t="n">
        <v>7007</v>
      </c>
      <c r="C8" s="18">
        <f>(5475.0/B8*100)</f>
        <v/>
      </c>
      <c r="D8" s="19" t="n">
        <v>1532</v>
      </c>
      <c r="E8" s="18" t="n">
        <v>37.76958261</v>
      </c>
      <c r="F8" s="20" t="n">
        <v>1.42754258</v>
      </c>
      <c r="G8" s="18" t="n">
        <v>32.27060436</v>
      </c>
      <c r="H8" s="20" t="n">
        <v>1.39421095</v>
      </c>
      <c r="I8" s="18" t="n">
        <v>0</v>
      </c>
      <c r="J8" s="20" t="n">
        <v>0</v>
      </c>
      <c r="K8" s="18" t="n">
        <v>1.94897112</v>
      </c>
      <c r="L8" s="20" t="n">
        <v>0.356839</v>
      </c>
      <c r="M8" s="18" t="n">
        <v>0</v>
      </c>
      <c r="N8" s="20" t="n">
        <v>0</v>
      </c>
      <c r="O8" s="18" t="n">
        <v>0</v>
      </c>
      <c r="P8" s="20" t="n">
        <v>0</v>
      </c>
      <c r="Q8" s="18" t="n">
        <v>28.01084191</v>
      </c>
      <c r="R8" s="20" t="n">
        <v>1.24653277</v>
      </c>
    </row>
    <row r="9" spans="1:18">
      <c r="A9" s="15" t="s">
        <v>567</v>
      </c>
      <c r="B9" s="17" t="n">
        <v>9651</v>
      </c>
      <c r="C9" s="18">
        <f>(7699.0/B9*100)</f>
        <v/>
      </c>
      <c r="D9" s="19" t="n">
        <v>1952</v>
      </c>
      <c r="E9" s="18" t="n">
        <v>44.84584334</v>
      </c>
      <c r="F9" s="20" t="n">
        <v>1.28485214</v>
      </c>
      <c r="G9" s="18" t="n">
        <v>29.19683923</v>
      </c>
      <c r="H9" s="20" t="n">
        <v>1.25220769</v>
      </c>
      <c r="I9" s="18" t="n">
        <v>0</v>
      </c>
      <c r="J9" s="20" t="n">
        <v>0</v>
      </c>
      <c r="K9" s="18" t="n">
        <v>3.88800194</v>
      </c>
      <c r="L9" s="20" t="n">
        <v>0.44468872</v>
      </c>
      <c r="M9" s="18" t="n">
        <v>0.38045143</v>
      </c>
      <c r="N9" s="20" t="n">
        <v>0.16328678</v>
      </c>
      <c r="O9" s="18" t="n">
        <v>0</v>
      </c>
      <c r="P9" s="20" t="n">
        <v>0</v>
      </c>
      <c r="Q9" s="18" t="n">
        <v>21.68886405</v>
      </c>
      <c r="R9" s="20" t="n">
        <v>1.19062979</v>
      </c>
    </row>
    <row r="10" spans="1:18">
      <c r="A10" s="15" t="s">
        <v>568</v>
      </c>
      <c r="B10" s="17" t="n">
        <v>20058</v>
      </c>
      <c r="C10" s="18">
        <f>(15786.0/B10*100)</f>
        <v/>
      </c>
      <c r="D10" s="19" t="n">
        <v>4272</v>
      </c>
      <c r="E10" s="18" t="n">
        <v>50.66079442</v>
      </c>
      <c r="F10" s="20" t="n">
        <v>0.90043854</v>
      </c>
      <c r="G10" s="18" t="n">
        <v>37.13535327</v>
      </c>
      <c r="H10" s="20" t="n">
        <v>0.9561985200000001</v>
      </c>
      <c r="I10" s="18" t="n">
        <v>0</v>
      </c>
      <c r="J10" s="20" t="n">
        <v>0</v>
      </c>
      <c r="K10" s="18" t="n">
        <v>1.5670573</v>
      </c>
      <c r="L10" s="20" t="n">
        <v>0.31767883</v>
      </c>
      <c r="M10" s="18" t="n">
        <v>0</v>
      </c>
      <c r="N10" s="20" t="n">
        <v>0</v>
      </c>
      <c r="O10" s="18" t="n">
        <v>0</v>
      </c>
      <c r="P10" s="20" t="n">
        <v>0</v>
      </c>
      <c r="Q10" s="18" t="n">
        <v>10.63679501</v>
      </c>
      <c r="R10" s="20" t="n">
        <v>0.71295988</v>
      </c>
    </row>
    <row r="11" spans="1:18">
      <c r="A11" s="15" t="s">
        <v>569</v>
      </c>
      <c r="B11" s="17" t="n">
        <v>7053</v>
      </c>
      <c r="C11" s="18">
        <f>(5662.0/B11*100)</f>
        <v/>
      </c>
      <c r="D11" s="19" t="n">
        <v>1391</v>
      </c>
      <c r="E11" s="18" t="n">
        <v>56.51325595</v>
      </c>
      <c r="F11" s="20" t="n">
        <v>1.60799562</v>
      </c>
      <c r="G11" s="18" t="n">
        <v>11.96343666</v>
      </c>
      <c r="H11" s="20" t="n">
        <v>1.11503051</v>
      </c>
      <c r="I11" s="18" t="n">
        <v>0</v>
      </c>
      <c r="J11" s="20" t="n">
        <v>0</v>
      </c>
      <c r="K11" s="18" t="n">
        <v>5.93078831</v>
      </c>
      <c r="L11" s="20" t="n">
        <v>0.64749325</v>
      </c>
      <c r="M11" s="18" t="n">
        <v>0</v>
      </c>
      <c r="N11" s="20" t="n">
        <v>0</v>
      </c>
      <c r="O11" s="18" t="n">
        <v>0</v>
      </c>
      <c r="P11" s="20" t="n">
        <v>0</v>
      </c>
      <c r="Q11" s="18" t="n">
        <v>25.59251907</v>
      </c>
      <c r="R11" s="20" t="n">
        <v>1.42352252</v>
      </c>
    </row>
    <row r="12" spans="1:18">
      <c r="A12" s="15" t="s">
        <v>570</v>
      </c>
      <c r="B12" s="17" t="n">
        <v>6894</v>
      </c>
      <c r="C12" s="18">
        <f>(5470.0/B12*100)</f>
        <v/>
      </c>
      <c r="D12" s="19" t="n">
        <v>1424</v>
      </c>
      <c r="E12" s="18" t="n">
        <v>34.72224438</v>
      </c>
      <c r="F12" s="20" t="n">
        <v>1.33092453</v>
      </c>
      <c r="G12" s="18" t="n">
        <v>27.34247339</v>
      </c>
      <c r="H12" s="20" t="n">
        <v>1.36806801</v>
      </c>
      <c r="I12" s="18" t="n">
        <v>0</v>
      </c>
      <c r="J12" s="20" t="n">
        <v>0</v>
      </c>
      <c r="K12" s="18" t="n">
        <v>2.06765932</v>
      </c>
      <c r="L12" s="20" t="n">
        <v>0.31139599</v>
      </c>
      <c r="M12" s="18" t="n">
        <v>0</v>
      </c>
      <c r="N12" s="20" t="n">
        <v>0</v>
      </c>
      <c r="O12" s="18" t="n">
        <v>0</v>
      </c>
      <c r="P12" s="20" t="n">
        <v>0</v>
      </c>
      <c r="Q12" s="18" t="n">
        <v>35.86762291</v>
      </c>
      <c r="R12" s="20" t="n">
        <v>1.62419184</v>
      </c>
    </row>
    <row r="13" spans="1:18">
      <c r="A13" s="15" t="s">
        <v>571</v>
      </c>
      <c r="B13" s="17" t="n">
        <v>7161</v>
      </c>
      <c r="C13" s="18">
        <f>(5746.0/B13*100)</f>
        <v/>
      </c>
      <c r="D13" s="19" t="n">
        <v>1415</v>
      </c>
      <c r="E13" s="18" t="n">
        <v>57.58533002</v>
      </c>
      <c r="F13" s="20" t="n">
        <v>1.72285625</v>
      </c>
      <c r="G13" s="18" t="n">
        <v>19.66425211</v>
      </c>
      <c r="H13" s="20" t="n">
        <v>1.11728496</v>
      </c>
      <c r="I13" s="18" t="n">
        <v>0</v>
      </c>
      <c r="J13" s="20" t="n">
        <v>0</v>
      </c>
      <c r="K13" s="18" t="n">
        <v>2.47709436</v>
      </c>
      <c r="L13" s="20" t="n">
        <v>0.53764947</v>
      </c>
      <c r="M13" s="18" t="n">
        <v>0.06788358999999999</v>
      </c>
      <c r="N13" s="20" t="n">
        <v>0.06856203</v>
      </c>
      <c r="O13" s="18" t="n">
        <v>0</v>
      </c>
      <c r="P13" s="20" t="n">
        <v>0</v>
      </c>
      <c r="Q13" s="18" t="n">
        <v>20.20543992</v>
      </c>
      <c r="R13" s="20" t="n">
        <v>1.25330214</v>
      </c>
    </row>
    <row r="14" spans="1:18">
      <c r="A14" s="15" t="s">
        <v>572</v>
      </c>
      <c r="B14" s="17" t="n">
        <v>5587</v>
      </c>
      <c r="C14" s="18">
        <f>(4423.0/B14*100)</f>
        <v/>
      </c>
      <c r="D14" s="19" t="n">
        <v>1164</v>
      </c>
      <c r="E14" s="18" t="n">
        <v>45.19230933</v>
      </c>
      <c r="F14" s="20" t="n">
        <v>1.55939188</v>
      </c>
      <c r="G14" s="18" t="n">
        <v>32.63359055</v>
      </c>
      <c r="H14" s="20" t="n">
        <v>1.35054675</v>
      </c>
      <c r="I14" s="18" t="n">
        <v>0</v>
      </c>
      <c r="J14" s="20" t="n">
        <v>0</v>
      </c>
      <c r="K14" s="18" t="n">
        <v>1.03900024</v>
      </c>
      <c r="L14" s="20" t="n">
        <v>0.33499315</v>
      </c>
      <c r="M14" s="18" t="n">
        <v>0</v>
      </c>
      <c r="N14" s="20" t="n">
        <v>0</v>
      </c>
      <c r="O14" s="18" t="n">
        <v>0</v>
      </c>
      <c r="P14" s="20" t="n">
        <v>0</v>
      </c>
      <c r="Q14" s="18" t="n">
        <v>21.13509988</v>
      </c>
      <c r="R14" s="20" t="n">
        <v>1.31107208</v>
      </c>
    </row>
    <row r="15" spans="1:18">
      <c r="A15" s="15" t="s">
        <v>573</v>
      </c>
      <c r="B15" s="17" t="n">
        <v>5882</v>
      </c>
      <c r="C15" s="18">
        <f>(4596.0/B15*100)</f>
        <v/>
      </c>
      <c r="D15" s="19" t="n">
        <v>1286</v>
      </c>
      <c r="E15" s="18" t="n">
        <v>48.27518407</v>
      </c>
      <c r="F15" s="20" t="n">
        <v>1.40600658</v>
      </c>
      <c r="G15" s="18" t="n">
        <v>29.10769038</v>
      </c>
      <c r="H15" s="20" t="n">
        <v>1.45550482</v>
      </c>
      <c r="I15" s="18" t="n">
        <v>0</v>
      </c>
      <c r="J15" s="20" t="n">
        <v>0</v>
      </c>
      <c r="K15" s="18" t="n">
        <v>0.91668119</v>
      </c>
      <c r="L15" s="20" t="n">
        <v>0.27655228</v>
      </c>
      <c r="M15" s="18" t="n">
        <v>0</v>
      </c>
      <c r="N15" s="20" t="n">
        <v>0</v>
      </c>
      <c r="O15" s="18" t="n">
        <v>0</v>
      </c>
      <c r="P15" s="20" t="n">
        <v>0</v>
      </c>
      <c r="Q15" s="18" t="n">
        <v>21.70044436</v>
      </c>
      <c r="R15" s="20" t="n">
        <v>1.0830284</v>
      </c>
    </row>
    <row r="16" spans="1:18">
      <c r="A16" s="15" t="s">
        <v>574</v>
      </c>
      <c r="B16" s="17" t="n">
        <v>6108</v>
      </c>
      <c r="C16" s="18">
        <f>(4796.0/B16*100)</f>
        <v/>
      </c>
      <c r="D16" s="19" t="n">
        <v>1312</v>
      </c>
      <c r="E16" s="18" t="n">
        <v>37.6505241</v>
      </c>
      <c r="F16" s="20" t="n">
        <v>1.34139767</v>
      </c>
      <c r="G16" s="18" t="n">
        <v>24.57995596</v>
      </c>
      <c r="H16" s="20" t="n">
        <v>1.19987426</v>
      </c>
      <c r="I16" s="18" t="n">
        <v>0</v>
      </c>
      <c r="J16" s="20" t="n">
        <v>0</v>
      </c>
      <c r="K16" s="18" t="n">
        <v>3.79536962</v>
      </c>
      <c r="L16" s="20" t="n">
        <v>0.6416944999999999</v>
      </c>
      <c r="M16" s="18" t="n">
        <v>0</v>
      </c>
      <c r="N16" s="20" t="n">
        <v>0</v>
      </c>
      <c r="O16" s="18" t="n">
        <v>0</v>
      </c>
      <c r="P16" s="20" t="n">
        <v>0</v>
      </c>
      <c r="Q16" s="18" t="n">
        <v>33.97415032</v>
      </c>
      <c r="R16" s="20" t="n">
        <v>1.35626829</v>
      </c>
    </row>
    <row r="17" spans="1:18">
      <c r="A17" s="15" t="s">
        <v>575</v>
      </c>
      <c r="B17" s="17" t="n">
        <v>6504</v>
      </c>
      <c r="C17" s="18">
        <f>(5208.0/B17*100)</f>
        <v/>
      </c>
      <c r="D17" s="19" t="n">
        <v>1296</v>
      </c>
      <c r="E17" s="18" t="n">
        <v>43.02606143</v>
      </c>
      <c r="F17" s="20" t="n">
        <v>1.48865846</v>
      </c>
      <c r="G17" s="18" t="n">
        <v>25.26723857</v>
      </c>
      <c r="H17" s="20" t="n">
        <v>1.35446772</v>
      </c>
      <c r="I17" s="18" t="n">
        <v>0</v>
      </c>
      <c r="J17" s="20" t="n">
        <v>0</v>
      </c>
      <c r="K17" s="18" t="n">
        <v>2.75935517</v>
      </c>
      <c r="L17" s="20" t="n">
        <v>0.44165184</v>
      </c>
      <c r="M17" s="18" t="n">
        <v>0</v>
      </c>
      <c r="N17" s="20" t="n">
        <v>0</v>
      </c>
      <c r="O17" s="18" t="n">
        <v>0</v>
      </c>
      <c r="P17" s="20" t="n">
        <v>0</v>
      </c>
      <c r="Q17" s="18" t="n">
        <v>28.94734482</v>
      </c>
      <c r="R17" s="20" t="n">
        <v>1.46780995</v>
      </c>
    </row>
    <row r="18" spans="1:18">
      <c r="A18" s="15" t="s">
        <v>576</v>
      </c>
      <c r="B18" s="17" t="n">
        <v>5532</v>
      </c>
      <c r="C18" s="18">
        <f>(4332.0/B18*100)</f>
        <v/>
      </c>
      <c r="D18" s="19" t="n">
        <v>1200</v>
      </c>
      <c r="E18" s="18" t="n">
        <v>49.45249869</v>
      </c>
      <c r="F18" s="20" t="n">
        <v>1.5298732</v>
      </c>
      <c r="G18" s="18" t="n">
        <v>20.23772691</v>
      </c>
      <c r="H18" s="20" t="n">
        <v>1.4150189</v>
      </c>
      <c r="I18" s="18" t="n">
        <v>0</v>
      </c>
      <c r="J18" s="20" t="n">
        <v>0</v>
      </c>
      <c r="K18" s="18" t="n">
        <v>4.02355257</v>
      </c>
      <c r="L18" s="20" t="n">
        <v>0.6837477199999999</v>
      </c>
      <c r="M18" s="18" t="n">
        <v>0</v>
      </c>
      <c r="N18" s="20" t="n">
        <v>0</v>
      </c>
      <c r="O18" s="18" t="n">
        <v>0</v>
      </c>
      <c r="P18" s="20" t="n">
        <v>0</v>
      </c>
      <c r="Q18" s="18" t="n">
        <v>26.28622183</v>
      </c>
      <c r="R18" s="20" t="n">
        <v>1.46923627</v>
      </c>
    </row>
    <row r="19" spans="1:18">
      <c r="A19" s="15" t="s">
        <v>577</v>
      </c>
      <c r="B19" s="17" t="n">
        <v>5658</v>
      </c>
      <c r="C19" s="18">
        <f>(4525.0/B19*100)</f>
        <v/>
      </c>
      <c r="D19" s="19" t="n">
        <v>1133</v>
      </c>
      <c r="E19" s="18" t="n">
        <v>37.62389199</v>
      </c>
      <c r="F19" s="20" t="n">
        <v>1.55365546</v>
      </c>
      <c r="G19" s="18" t="n">
        <v>23.4288957</v>
      </c>
      <c r="H19" s="20" t="n">
        <v>1.25639248</v>
      </c>
      <c r="I19" s="18" t="n">
        <v>0</v>
      </c>
      <c r="J19" s="20" t="n">
        <v>0</v>
      </c>
      <c r="K19" s="18" t="n">
        <v>2.26010211</v>
      </c>
      <c r="L19" s="20" t="n">
        <v>0.5178684099999999</v>
      </c>
      <c r="M19" s="18" t="n">
        <v>0</v>
      </c>
      <c r="N19" s="20" t="n">
        <v>0</v>
      </c>
      <c r="O19" s="18" t="n">
        <v>0</v>
      </c>
      <c r="P19" s="20" t="n">
        <v>0</v>
      </c>
      <c r="Q19" s="18" t="n">
        <v>36.68711021</v>
      </c>
      <c r="R19" s="20" t="n">
        <v>1.68850595</v>
      </c>
    </row>
    <row r="20" spans="1:18">
      <c r="A20" s="15" t="s">
        <v>578</v>
      </c>
      <c r="B20" s="17" t="n">
        <v>3371</v>
      </c>
      <c r="C20" s="18">
        <f>(2662.0/B20*100)</f>
        <v/>
      </c>
      <c r="D20" s="19" t="n">
        <v>709</v>
      </c>
      <c r="E20" s="18" t="n">
        <v>54.40078053</v>
      </c>
      <c r="F20" s="20" t="n">
        <v>2.09026325</v>
      </c>
      <c r="G20" s="18" t="n">
        <v>17.51415012</v>
      </c>
      <c r="H20" s="20" t="n">
        <v>1.56613492</v>
      </c>
      <c r="I20" s="18" t="n">
        <v>0</v>
      </c>
      <c r="J20" s="20" t="n">
        <v>0</v>
      </c>
      <c r="K20" s="18" t="n">
        <v>3.16562681</v>
      </c>
      <c r="L20" s="20" t="n">
        <v>0.70616823</v>
      </c>
      <c r="M20" s="18" t="n">
        <v>0.56285229</v>
      </c>
      <c r="N20" s="20" t="n">
        <v>0.14451007</v>
      </c>
      <c r="O20" s="18" t="n">
        <v>0</v>
      </c>
      <c r="P20" s="20" t="n">
        <v>0</v>
      </c>
      <c r="Q20" s="18" t="n">
        <v>24.35659024</v>
      </c>
      <c r="R20" s="20" t="n">
        <v>1.73013222</v>
      </c>
    </row>
    <row r="21" spans="1:18">
      <c r="A21" s="15" t="s">
        <v>579</v>
      </c>
      <c r="B21" s="17" t="n">
        <v>5741</v>
      </c>
      <c r="C21" s="18">
        <f>(4494.0/B21*100)</f>
        <v/>
      </c>
      <c r="D21" s="19" t="n">
        <v>1247</v>
      </c>
      <c r="E21" s="18" t="n">
        <v>57.37377917</v>
      </c>
      <c r="F21" s="20" t="n">
        <v>1.49081806</v>
      </c>
      <c r="G21" s="18" t="n">
        <v>22.05979544</v>
      </c>
      <c r="H21" s="20" t="n">
        <v>1.23959266</v>
      </c>
      <c r="I21" s="18" t="n">
        <v>0</v>
      </c>
      <c r="J21" s="20" t="n">
        <v>0</v>
      </c>
      <c r="K21" s="18" t="n">
        <v>1.65497888</v>
      </c>
      <c r="L21" s="20" t="n">
        <v>0.40697617</v>
      </c>
      <c r="M21" s="18" t="n">
        <v>0</v>
      </c>
      <c r="N21" s="20" t="n">
        <v>0</v>
      </c>
      <c r="O21" s="18" t="n">
        <v>0</v>
      </c>
      <c r="P21" s="20" t="n">
        <v>0</v>
      </c>
      <c r="Q21" s="18" t="n">
        <v>18.9114465</v>
      </c>
      <c r="R21" s="20" t="n">
        <v>1.1028085</v>
      </c>
    </row>
    <row r="22" spans="1:18">
      <c r="A22" s="15" t="s">
        <v>580</v>
      </c>
      <c r="B22" s="17" t="n">
        <v>6598</v>
      </c>
      <c r="C22" s="18">
        <f>(5236.0/B22*100)</f>
        <v/>
      </c>
      <c r="D22" s="19" t="n">
        <v>1362</v>
      </c>
      <c r="E22" s="18" t="n">
        <v>49.92382365</v>
      </c>
      <c r="F22" s="20" t="n">
        <v>1.10482523</v>
      </c>
      <c r="G22" s="18" t="n">
        <v>18.96119311</v>
      </c>
      <c r="H22" s="20" t="n">
        <v>1.25618374</v>
      </c>
      <c r="I22" s="18" t="n">
        <v>0</v>
      </c>
      <c r="J22" s="20" t="n">
        <v>0</v>
      </c>
      <c r="K22" s="18" t="n">
        <v>4.22482817</v>
      </c>
      <c r="L22" s="20" t="n">
        <v>0.63387985</v>
      </c>
      <c r="M22" s="18" t="n">
        <v>0.11425884</v>
      </c>
      <c r="N22" s="20" t="n">
        <v>0.11404758</v>
      </c>
      <c r="O22" s="18" t="n">
        <v>0</v>
      </c>
      <c r="P22" s="20" t="n">
        <v>0</v>
      </c>
      <c r="Q22" s="18" t="n">
        <v>26.77589622</v>
      </c>
      <c r="R22" s="20" t="n">
        <v>1.1122581</v>
      </c>
    </row>
    <row r="23" spans="1:18">
      <c r="A23" s="15" t="s">
        <v>581</v>
      </c>
      <c r="B23" s="17" t="n">
        <v>11583</v>
      </c>
      <c r="C23" s="18">
        <f>(9077.0/B23*100)</f>
        <v/>
      </c>
      <c r="D23" s="19" t="n">
        <v>2506</v>
      </c>
      <c r="E23" s="18" t="n">
        <v>45.08296808</v>
      </c>
      <c r="F23" s="20" t="n">
        <v>1.3043962</v>
      </c>
      <c r="G23" s="18" t="n">
        <v>19.78449355</v>
      </c>
      <c r="H23" s="20" t="n">
        <v>1.31284095</v>
      </c>
      <c r="I23" s="18" t="n">
        <v>0</v>
      </c>
      <c r="J23" s="20" t="n">
        <v>0</v>
      </c>
      <c r="K23" s="18" t="n">
        <v>4.00809433</v>
      </c>
      <c r="L23" s="20" t="n">
        <v>0.6476757</v>
      </c>
      <c r="M23" s="18" t="n">
        <v>0.13437536</v>
      </c>
      <c r="N23" s="20" t="n">
        <v>0.08111819000000001</v>
      </c>
      <c r="O23" s="18" t="n">
        <v>0</v>
      </c>
      <c r="P23" s="20" t="n">
        <v>0</v>
      </c>
      <c r="Q23" s="18" t="n">
        <v>30.99006869</v>
      </c>
      <c r="R23" s="20" t="n">
        <v>1.29674957</v>
      </c>
    </row>
    <row r="24" spans="1:18">
      <c r="A24" s="15" t="s">
        <v>582</v>
      </c>
      <c r="B24" s="17" t="n">
        <v>6647</v>
      </c>
      <c r="C24" s="18">
        <f>(5229.0/B24*100)</f>
        <v/>
      </c>
      <c r="D24" s="19" t="n">
        <v>1418</v>
      </c>
      <c r="E24" s="18" t="n">
        <v>49.42751516</v>
      </c>
      <c r="F24" s="20" t="n">
        <v>1.2437928</v>
      </c>
      <c r="G24" s="18" t="n">
        <v>37.16973921</v>
      </c>
      <c r="H24" s="20" t="n">
        <v>1.23185536</v>
      </c>
      <c r="I24" s="18" t="n">
        <v>0</v>
      </c>
      <c r="J24" s="20" t="n">
        <v>0</v>
      </c>
      <c r="K24" s="18" t="n">
        <v>0.5956117399999999</v>
      </c>
      <c r="L24" s="20" t="n">
        <v>0.22655083</v>
      </c>
      <c r="M24" s="18" t="n">
        <v>0</v>
      </c>
      <c r="N24" s="20" t="n">
        <v>0</v>
      </c>
      <c r="O24" s="18" t="n">
        <v>0</v>
      </c>
      <c r="P24" s="20" t="n">
        <v>0</v>
      </c>
      <c r="Q24" s="18" t="n">
        <v>12.80713389</v>
      </c>
      <c r="R24" s="20" t="n">
        <v>1.01183324</v>
      </c>
    </row>
    <row r="25" spans="1:18">
      <c r="A25" s="15" t="s">
        <v>583</v>
      </c>
      <c r="B25" s="17" t="n">
        <v>5581</v>
      </c>
      <c r="C25" s="18">
        <f>(4358.0/B25*100)</f>
        <v/>
      </c>
      <c r="D25" s="19" t="n">
        <v>1223</v>
      </c>
      <c r="E25" s="18" t="n">
        <v>51.07917342</v>
      </c>
      <c r="F25" s="20" t="n">
        <v>1.60051384</v>
      </c>
      <c r="G25" s="18" t="n">
        <v>35.79297051</v>
      </c>
      <c r="H25" s="20" t="n">
        <v>1.59300254</v>
      </c>
      <c r="I25" s="18" t="n">
        <v>0</v>
      </c>
      <c r="J25" s="20" t="n">
        <v>0</v>
      </c>
      <c r="K25" s="18" t="n">
        <v>0.55729185</v>
      </c>
      <c r="L25" s="20" t="n">
        <v>0.26789785</v>
      </c>
      <c r="M25" s="18" t="n">
        <v>0</v>
      </c>
      <c r="N25" s="20" t="n">
        <v>0</v>
      </c>
      <c r="O25" s="18" t="n">
        <v>0</v>
      </c>
      <c r="P25" s="20" t="n">
        <v>0</v>
      </c>
      <c r="Q25" s="18" t="n">
        <v>12.57056422</v>
      </c>
      <c r="R25" s="20" t="n">
        <v>1.1666438</v>
      </c>
    </row>
    <row r="26" spans="1:18">
      <c r="A26" s="15" t="s">
        <v>584</v>
      </c>
      <c r="B26" s="17" t="n">
        <v>4869</v>
      </c>
      <c r="C26" s="18">
        <f>(3840.0/B26*100)</f>
        <v/>
      </c>
      <c r="D26" s="19" t="n">
        <v>1029</v>
      </c>
      <c r="E26" s="18" t="n">
        <v>53.19291997</v>
      </c>
      <c r="F26" s="20" t="n">
        <v>1.73169297</v>
      </c>
      <c r="G26" s="18" t="n">
        <v>22.65030956</v>
      </c>
      <c r="H26" s="20" t="n">
        <v>1.19280659</v>
      </c>
      <c r="I26" s="18" t="n">
        <v>0</v>
      </c>
      <c r="J26" s="20" t="n">
        <v>0</v>
      </c>
      <c r="K26" s="18" t="n">
        <v>0.87607318</v>
      </c>
      <c r="L26" s="20" t="n">
        <v>0.30159103</v>
      </c>
      <c r="M26" s="18" t="n">
        <v>0</v>
      </c>
      <c r="N26" s="20" t="n">
        <v>0</v>
      </c>
      <c r="O26" s="18" t="n">
        <v>0</v>
      </c>
      <c r="P26" s="20" t="n">
        <v>0</v>
      </c>
      <c r="Q26" s="18" t="n">
        <v>23.28069729</v>
      </c>
      <c r="R26" s="20" t="n">
        <v>1.49844587</v>
      </c>
    </row>
    <row r="27" spans="1:18">
      <c r="A27" s="15" t="s">
        <v>585</v>
      </c>
      <c r="B27" s="17" t="n">
        <v>5299</v>
      </c>
      <c r="C27" s="18">
        <f>(4189.0/B27*100)</f>
        <v/>
      </c>
      <c r="D27" s="19" t="n">
        <v>1110</v>
      </c>
      <c r="E27" s="18" t="n">
        <v>47.79658344</v>
      </c>
      <c r="F27" s="20" t="n">
        <v>1.39373304</v>
      </c>
      <c r="G27" s="18" t="n">
        <v>18.54635109</v>
      </c>
      <c r="H27" s="20" t="n">
        <v>1.04794966</v>
      </c>
      <c r="I27" s="18" t="n">
        <v>0</v>
      </c>
      <c r="J27" s="20" t="n">
        <v>0</v>
      </c>
      <c r="K27" s="18" t="n">
        <v>3.7783792</v>
      </c>
      <c r="L27" s="20" t="n">
        <v>0.54921533</v>
      </c>
      <c r="M27" s="18" t="n">
        <v>0</v>
      </c>
      <c r="N27" s="20" t="n">
        <v>0</v>
      </c>
      <c r="O27" s="18" t="n">
        <v>0</v>
      </c>
      <c r="P27" s="20" t="n">
        <v>0</v>
      </c>
      <c r="Q27" s="18" t="n">
        <v>29.87868627</v>
      </c>
      <c r="R27" s="20" t="n">
        <v>1.26744142</v>
      </c>
    </row>
    <row r="28" spans="1:18">
      <c r="A28" s="15" t="s">
        <v>586</v>
      </c>
      <c r="B28" s="17" t="n">
        <v>7568</v>
      </c>
      <c r="C28" s="18">
        <f>(6191.0/B28*100)</f>
        <v/>
      </c>
      <c r="D28" s="19" t="n">
        <v>1377</v>
      </c>
      <c r="E28" s="18" t="n">
        <v>79.8837597</v>
      </c>
      <c r="F28" s="20" t="n">
        <v>1.47941267</v>
      </c>
      <c r="G28" s="18" t="n">
        <v>11.26680664</v>
      </c>
      <c r="H28" s="20" t="n">
        <v>1.019161</v>
      </c>
      <c r="I28" s="18" t="n">
        <v>0</v>
      </c>
      <c r="J28" s="20" t="n">
        <v>0</v>
      </c>
      <c r="K28" s="18" t="n">
        <v>2.75047237</v>
      </c>
      <c r="L28" s="20" t="n">
        <v>0.63100543</v>
      </c>
      <c r="M28" s="18" t="n">
        <v>0.35689097</v>
      </c>
      <c r="N28" s="20" t="n">
        <v>0.21320869</v>
      </c>
      <c r="O28" s="18" t="n">
        <v>0</v>
      </c>
      <c r="P28" s="20" t="n">
        <v>0</v>
      </c>
      <c r="Q28" s="18" t="n">
        <v>5.74207033</v>
      </c>
      <c r="R28" s="20" t="n">
        <v>0.66606129</v>
      </c>
    </row>
    <row r="29" spans="1:18">
      <c r="A29" s="15" t="s">
        <v>587</v>
      </c>
      <c r="B29" s="17" t="n">
        <v>5385</v>
      </c>
      <c r="C29" s="18">
        <f>(4277.0/B29*100)</f>
        <v/>
      </c>
      <c r="D29" s="19" t="n">
        <v>1108</v>
      </c>
      <c r="E29" s="18" t="n">
        <v>58.87595649</v>
      </c>
      <c r="F29" s="20" t="n">
        <v>1.40312751</v>
      </c>
      <c r="G29" s="18" t="n">
        <v>31.88764179</v>
      </c>
      <c r="H29" s="20" t="n">
        <v>1.4841517</v>
      </c>
      <c r="I29" s="18" t="n">
        <v>0</v>
      </c>
      <c r="J29" s="20" t="n">
        <v>0</v>
      </c>
      <c r="K29" s="18" t="n">
        <v>0.98555836</v>
      </c>
      <c r="L29" s="20" t="n">
        <v>0.37604074</v>
      </c>
      <c r="M29" s="18" t="n">
        <v>0</v>
      </c>
      <c r="N29" s="20" t="n">
        <v>0</v>
      </c>
      <c r="O29" s="18" t="n">
        <v>0</v>
      </c>
      <c r="P29" s="20" t="n">
        <v>0</v>
      </c>
      <c r="Q29" s="18" t="n">
        <v>8.250843359999999</v>
      </c>
      <c r="R29" s="20" t="n">
        <v>0.96051453</v>
      </c>
    </row>
    <row r="30" spans="1:18">
      <c r="A30" s="15" t="s">
        <v>588</v>
      </c>
      <c r="B30" s="17" t="n">
        <v>4520</v>
      </c>
      <c r="C30" s="18">
        <f>(3596.0/B30*100)</f>
        <v/>
      </c>
      <c r="D30" s="19" t="n">
        <v>924</v>
      </c>
      <c r="E30" s="18" t="n">
        <v>48.74294567</v>
      </c>
      <c r="F30" s="20" t="n">
        <v>1.63045074</v>
      </c>
      <c r="G30" s="18" t="n">
        <v>26.38478399</v>
      </c>
      <c r="H30" s="20" t="n">
        <v>1.41943685</v>
      </c>
      <c r="I30" s="18" t="n">
        <v>0</v>
      </c>
      <c r="J30" s="20" t="n">
        <v>0</v>
      </c>
      <c r="K30" s="18" t="n">
        <v>4.13222378</v>
      </c>
      <c r="L30" s="20" t="n">
        <v>0.87485138</v>
      </c>
      <c r="M30" s="18" t="n">
        <v>0.1155701</v>
      </c>
      <c r="N30" s="20" t="n">
        <v>0.11738565</v>
      </c>
      <c r="O30" s="18" t="n">
        <v>0</v>
      </c>
      <c r="P30" s="20" t="n">
        <v>0</v>
      </c>
      <c r="Q30" s="18" t="n">
        <v>20.62447647</v>
      </c>
      <c r="R30" s="20" t="n">
        <v>1.21494962</v>
      </c>
    </row>
    <row r="31" spans="1:18">
      <c r="A31" s="15" t="s">
        <v>589</v>
      </c>
      <c r="B31" s="17" t="n">
        <v>5456</v>
      </c>
      <c r="C31" s="18">
        <f>(4287.0/B31*100)</f>
        <v/>
      </c>
      <c r="D31" s="19" t="n">
        <v>1169</v>
      </c>
      <c r="E31" s="18" t="n">
        <v>51.05183944</v>
      </c>
      <c r="F31" s="20" t="n">
        <v>1.53951913</v>
      </c>
      <c r="G31" s="18" t="n">
        <v>20.43185502</v>
      </c>
      <c r="H31" s="20" t="n">
        <v>1.2319135</v>
      </c>
      <c r="I31" s="18" t="n">
        <v>0</v>
      </c>
      <c r="J31" s="20" t="n">
        <v>0</v>
      </c>
      <c r="K31" s="18" t="n">
        <v>3.98992939</v>
      </c>
      <c r="L31" s="20" t="n">
        <v>0.6414265300000001</v>
      </c>
      <c r="M31" s="18" t="n">
        <v>0.08397354</v>
      </c>
      <c r="N31" s="20" t="n">
        <v>0.07629444000000001</v>
      </c>
      <c r="O31" s="18" t="n">
        <v>0</v>
      </c>
      <c r="P31" s="20" t="n">
        <v>0</v>
      </c>
      <c r="Q31" s="18" t="n">
        <v>24.44240261</v>
      </c>
      <c r="R31" s="20" t="n">
        <v>1.2709797</v>
      </c>
    </row>
    <row r="32" spans="1:18">
      <c r="A32" s="15" t="s">
        <v>590</v>
      </c>
      <c r="B32" s="17" t="n">
        <v>4478</v>
      </c>
      <c r="C32" s="18">
        <f>(3457.0/B32*100)</f>
        <v/>
      </c>
      <c r="D32" s="19" t="n">
        <v>1021</v>
      </c>
      <c r="E32" s="18" t="n">
        <v>41.12667335</v>
      </c>
      <c r="F32" s="20" t="n">
        <v>1.66845833</v>
      </c>
      <c r="G32" s="18" t="n">
        <v>28.10957927</v>
      </c>
      <c r="H32" s="20" t="n">
        <v>1.67175487</v>
      </c>
      <c r="I32" s="18" t="n">
        <v>0</v>
      </c>
      <c r="J32" s="20" t="n">
        <v>0</v>
      </c>
      <c r="K32" s="18" t="n">
        <v>0.5528937900000001</v>
      </c>
      <c r="L32" s="20" t="n">
        <v>0.22344177</v>
      </c>
      <c r="M32" s="18" t="n">
        <v>0</v>
      </c>
      <c r="N32" s="20" t="n">
        <v>0</v>
      </c>
      <c r="O32" s="18" t="n">
        <v>0</v>
      </c>
      <c r="P32" s="20" t="n">
        <v>0</v>
      </c>
      <c r="Q32" s="18" t="n">
        <v>30.2108536</v>
      </c>
      <c r="R32" s="20" t="n">
        <v>1.39654996</v>
      </c>
    </row>
    <row r="33" spans="1:18">
      <c r="A33" s="15" t="s">
        <v>591</v>
      </c>
      <c r="B33" s="17" t="n">
        <v>7325</v>
      </c>
      <c r="C33" s="18">
        <f>(5843.0/B33*100)</f>
        <v/>
      </c>
      <c r="D33" s="19" t="n">
        <v>1482</v>
      </c>
      <c r="E33" s="18" t="n">
        <v>49.85761048</v>
      </c>
      <c r="F33" s="20" t="n">
        <v>1.59494255</v>
      </c>
      <c r="G33" s="18" t="n">
        <v>17.6302057</v>
      </c>
      <c r="H33" s="20" t="n">
        <v>1.34481626</v>
      </c>
      <c r="I33" s="18" t="n">
        <v>0</v>
      </c>
      <c r="J33" s="20" t="n">
        <v>0</v>
      </c>
      <c r="K33" s="18" t="n">
        <v>2.15346359</v>
      </c>
      <c r="L33" s="20" t="n">
        <v>0.50645945</v>
      </c>
      <c r="M33" s="18" t="n">
        <v>0.08647075</v>
      </c>
      <c r="N33" s="20" t="n">
        <v>0.08575866</v>
      </c>
      <c r="O33" s="18" t="n">
        <v>0</v>
      </c>
      <c r="P33" s="20" t="n">
        <v>0</v>
      </c>
      <c r="Q33" s="18" t="n">
        <v>30.27224948</v>
      </c>
      <c r="R33" s="20" t="n">
        <v>1.41038791</v>
      </c>
    </row>
    <row r="34" spans="1:18">
      <c r="A34" s="15" t="s">
        <v>592</v>
      </c>
      <c r="B34" s="17" t="n">
        <v>6350</v>
      </c>
      <c r="C34" s="18">
        <f>(5085.0/B34*100)</f>
        <v/>
      </c>
      <c r="D34" s="19" t="n">
        <v>1265</v>
      </c>
      <c r="E34" s="18" t="n">
        <v>49.29063671</v>
      </c>
      <c r="F34" s="20" t="n">
        <v>1.57255643</v>
      </c>
      <c r="G34" s="18" t="n">
        <v>12.36271423</v>
      </c>
      <c r="H34" s="20" t="n">
        <v>1.06849823</v>
      </c>
      <c r="I34" s="18" t="n">
        <v>0</v>
      </c>
      <c r="J34" s="20" t="n">
        <v>0</v>
      </c>
      <c r="K34" s="18" t="n">
        <v>2.31981264</v>
      </c>
      <c r="L34" s="20" t="n">
        <v>0.54676537</v>
      </c>
      <c r="M34" s="18" t="n">
        <v>0.24060824</v>
      </c>
      <c r="N34" s="20" t="n">
        <v>0.1357598</v>
      </c>
      <c r="O34" s="18" t="n">
        <v>0</v>
      </c>
      <c r="P34" s="20" t="n">
        <v>0</v>
      </c>
      <c r="Q34" s="18" t="n">
        <v>35.78622818</v>
      </c>
      <c r="R34" s="20" t="n">
        <v>1.57291577</v>
      </c>
    </row>
    <row r="35" spans="1:18">
      <c r="A35" s="15" t="s">
        <v>593</v>
      </c>
      <c r="B35" s="17" t="n">
        <v>6406</v>
      </c>
      <c r="C35" s="18">
        <f>(5023.0/B35*100)</f>
        <v/>
      </c>
      <c r="D35" s="19" t="n">
        <v>1383</v>
      </c>
      <c r="E35" s="18" t="n">
        <v>46.51787731</v>
      </c>
      <c r="F35" s="20" t="n">
        <v>1.59919241</v>
      </c>
      <c r="G35" s="18" t="n">
        <v>22.83409328</v>
      </c>
      <c r="H35" s="20" t="n">
        <v>1.33180343</v>
      </c>
      <c r="I35" s="18" t="n">
        <v>0</v>
      </c>
      <c r="J35" s="20" t="n">
        <v>0</v>
      </c>
      <c r="K35" s="18" t="n">
        <v>1.56703456</v>
      </c>
      <c r="L35" s="20" t="n">
        <v>0.40869322</v>
      </c>
      <c r="M35" s="18" t="n">
        <v>0.24915534</v>
      </c>
      <c r="N35" s="20" t="n">
        <v>0.17667903</v>
      </c>
      <c r="O35" s="18" t="n">
        <v>0</v>
      </c>
      <c r="P35" s="20" t="n">
        <v>0</v>
      </c>
      <c r="Q35" s="18" t="n">
        <v>28.83183951</v>
      </c>
      <c r="R35" s="20" t="n">
        <v>1.44775137</v>
      </c>
    </row>
    <row r="36" spans="1:18">
      <c r="A36" s="15" t="s">
        <v>594</v>
      </c>
      <c r="B36" s="17" t="n">
        <v>6736</v>
      </c>
      <c r="C36" s="18">
        <f>(5365.0/B36*100)</f>
        <v/>
      </c>
      <c r="D36" s="19" t="n">
        <v>1371</v>
      </c>
      <c r="E36" s="18" t="n">
        <v>49.31119724</v>
      </c>
      <c r="F36" s="20" t="n">
        <v>1.41545798</v>
      </c>
      <c r="G36" s="18" t="n">
        <v>27.96357468</v>
      </c>
      <c r="H36" s="20" t="n">
        <v>1.10927245</v>
      </c>
      <c r="I36" s="18" t="n">
        <v>0</v>
      </c>
      <c r="J36" s="20" t="n">
        <v>0</v>
      </c>
      <c r="K36" s="18" t="n">
        <v>2.57805046</v>
      </c>
      <c r="L36" s="20" t="n">
        <v>0.31704342</v>
      </c>
      <c r="M36" s="18" t="n">
        <v>0.07009633</v>
      </c>
      <c r="N36" s="20" t="n">
        <v>0.07021603999999999</v>
      </c>
      <c r="O36" s="18" t="n">
        <v>0</v>
      </c>
      <c r="P36" s="20" t="n">
        <v>0</v>
      </c>
      <c r="Q36" s="18" t="n">
        <v>20.07708129</v>
      </c>
      <c r="R36" s="20" t="n">
        <v>1.35091073</v>
      </c>
    </row>
    <row r="37" spans="1:18">
      <c r="A37" s="15" t="s">
        <v>595</v>
      </c>
      <c r="B37" s="17" t="n">
        <v>5458</v>
      </c>
      <c r="C37" s="18">
        <f>(4362.0/B37*100)</f>
        <v/>
      </c>
      <c r="D37" s="19" t="n">
        <v>1096</v>
      </c>
      <c r="E37" s="18" t="n">
        <v>43.87309479</v>
      </c>
      <c r="F37" s="20" t="n">
        <v>1.7070168</v>
      </c>
      <c r="G37" s="18" t="n">
        <v>17.92236596</v>
      </c>
      <c r="H37" s="20" t="n">
        <v>1.38565851</v>
      </c>
      <c r="I37" s="18" t="n">
        <v>0</v>
      </c>
      <c r="J37" s="20" t="n">
        <v>0</v>
      </c>
      <c r="K37" s="18" t="n">
        <v>5.43505455</v>
      </c>
      <c r="L37" s="20" t="n">
        <v>0.65081156</v>
      </c>
      <c r="M37" s="18" t="n">
        <v>0</v>
      </c>
      <c r="N37" s="20" t="n">
        <v>0</v>
      </c>
      <c r="O37" s="18" t="n">
        <v>0</v>
      </c>
      <c r="P37" s="20" t="n">
        <v>0</v>
      </c>
      <c r="Q37" s="18" t="n">
        <v>32.7694847</v>
      </c>
      <c r="R37" s="20" t="n">
        <v>1.85570908</v>
      </c>
    </row>
    <row r="38" spans="1:18">
      <c r="A38" s="15" t="s">
        <v>596</v>
      </c>
      <c r="B38" s="17" t="n">
        <v>5860</v>
      </c>
      <c r="C38" s="18">
        <f>(4627.0/B38*100)</f>
        <v/>
      </c>
      <c r="D38" s="19" t="n">
        <v>1233</v>
      </c>
      <c r="E38" s="18" t="n">
        <v>46.22573812</v>
      </c>
      <c r="F38" s="20" t="n">
        <v>1.41415538</v>
      </c>
      <c r="G38" s="18" t="n">
        <v>25.88457037</v>
      </c>
      <c r="H38" s="20" t="n">
        <v>1.27658623</v>
      </c>
      <c r="I38" s="18" t="n">
        <v>0</v>
      </c>
      <c r="J38" s="20" t="n">
        <v>0</v>
      </c>
      <c r="K38" s="18" t="n">
        <v>2.48432937</v>
      </c>
      <c r="L38" s="20" t="n">
        <v>0.5076932199999999</v>
      </c>
      <c r="M38" s="18" t="n">
        <v>2.26479124</v>
      </c>
      <c r="N38" s="20" t="n">
        <v>0.6452172900000001</v>
      </c>
      <c r="O38" s="18" t="n">
        <v>0</v>
      </c>
      <c r="P38" s="20" t="n">
        <v>0</v>
      </c>
      <c r="Q38" s="18" t="n">
        <v>23.14057089</v>
      </c>
      <c r="R38" s="20" t="n">
        <v>1.27529822</v>
      </c>
    </row>
    <row r="39" spans="1:18">
      <c r="A39" s="15" t="s">
        <v>597</v>
      </c>
      <c r="B39" s="17" t="n">
        <v>5895</v>
      </c>
      <c r="C39" s="18">
        <f>(4578.0/B39*100)</f>
        <v/>
      </c>
      <c r="D39" s="19" t="n">
        <v>1317</v>
      </c>
      <c r="E39" s="18" t="n">
        <v>58.79773839</v>
      </c>
      <c r="F39" s="20" t="n">
        <v>1.4801855</v>
      </c>
      <c r="G39" s="18" t="n">
        <v>13.26130674</v>
      </c>
      <c r="H39" s="20" t="n">
        <v>1.4991744</v>
      </c>
      <c r="I39" s="18" t="n">
        <v>0</v>
      </c>
      <c r="J39" s="20" t="n">
        <v>0</v>
      </c>
      <c r="K39" s="18" t="n">
        <v>1.73637031</v>
      </c>
      <c r="L39" s="20" t="n">
        <v>0.33078155</v>
      </c>
      <c r="M39" s="18" t="n">
        <v>0</v>
      </c>
      <c r="N39" s="20" t="n">
        <v>0</v>
      </c>
      <c r="O39" s="18" t="n">
        <v>0</v>
      </c>
      <c r="P39" s="20" t="n">
        <v>0</v>
      </c>
      <c r="Q39" s="18" t="n">
        <v>26.20458456</v>
      </c>
      <c r="R39" s="20" t="n">
        <v>1.2100291</v>
      </c>
    </row>
    <row r="40" spans="1:18">
      <c r="A40" s="15" t="s">
        <v>598</v>
      </c>
      <c r="B40" s="17" t="n">
        <v>14157</v>
      </c>
      <c r="C40" s="18">
        <f>(11069.0/B40*100)</f>
        <v/>
      </c>
      <c r="D40" s="19" t="n">
        <v>3088</v>
      </c>
      <c r="E40" s="18" t="n">
        <v>43.55954705</v>
      </c>
      <c r="F40" s="20" t="n">
        <v>1.21275896</v>
      </c>
      <c r="G40" s="18" t="n">
        <v>30.23925466</v>
      </c>
      <c r="H40" s="20" t="n">
        <v>1.2427042</v>
      </c>
      <c r="I40" s="18" t="n">
        <v>0</v>
      </c>
      <c r="J40" s="20" t="n">
        <v>0</v>
      </c>
      <c r="K40" s="18" t="n">
        <v>3.03248723</v>
      </c>
      <c r="L40" s="20" t="n">
        <v>0.5139652300000001</v>
      </c>
      <c r="M40" s="18" t="n">
        <v>0.02554407</v>
      </c>
      <c r="N40" s="20" t="n">
        <v>0.02451496</v>
      </c>
      <c r="O40" s="18" t="n">
        <v>0</v>
      </c>
      <c r="P40" s="20" t="n">
        <v>0</v>
      </c>
      <c r="Q40" s="18" t="n">
        <v>23.143167</v>
      </c>
      <c r="R40" s="20" t="n">
        <v>1.18236941</v>
      </c>
    </row>
    <row r="41" spans="1:18">
      <c r="A41" s="15" t="s">
        <v>599</v>
      </c>
      <c r="B41" s="17" t="n">
        <v>5712</v>
      </c>
      <c r="C41" s="18">
        <f>(4567.0/B41*100)</f>
        <v/>
      </c>
      <c r="D41" s="19" t="n">
        <v>1145</v>
      </c>
      <c r="E41" s="18" t="n">
        <v>48.05017151</v>
      </c>
      <c r="F41" s="20" t="n">
        <v>1.71126116</v>
      </c>
      <c r="G41" s="18" t="n">
        <v>43.89085771</v>
      </c>
      <c r="H41" s="20" t="n">
        <v>1.68126451</v>
      </c>
      <c r="I41" s="18" t="n">
        <v>0</v>
      </c>
      <c r="J41" s="20" t="n">
        <v>0</v>
      </c>
      <c r="K41" s="18" t="n">
        <v>1.22231975</v>
      </c>
      <c r="L41" s="20" t="n">
        <v>0.36251756</v>
      </c>
      <c r="M41" s="18" t="n">
        <v>0</v>
      </c>
      <c r="N41" s="20" t="n">
        <v>0</v>
      </c>
      <c r="O41" s="18" t="n">
        <v>0</v>
      </c>
      <c r="P41" s="20" t="n">
        <v>0</v>
      </c>
      <c r="Q41" s="18" t="n">
        <v>6.83665104</v>
      </c>
      <c r="R41" s="20" t="n">
        <v>0.9080567899999999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(19842.0/B46*100)</f>
        <v/>
      </c>
      <c r="D46" s="19" t="n">
        <v>3299</v>
      </c>
      <c r="E46" s="18" t="n">
        <v>52.95914237</v>
      </c>
      <c r="F46" s="20" t="n">
        <v>1.16928762</v>
      </c>
      <c r="G46" s="18" t="n">
        <v>14.72604155</v>
      </c>
      <c r="H46" s="20" t="n">
        <v>1.00139557</v>
      </c>
      <c r="I46" s="18" t="n">
        <v>0</v>
      </c>
      <c r="J46" s="20" t="n">
        <v>0</v>
      </c>
      <c r="K46" s="18" t="n">
        <v>7.28412988</v>
      </c>
      <c r="L46" s="20" t="n">
        <v>0.77735938</v>
      </c>
      <c r="M46" s="18" t="n">
        <v>0.34745839</v>
      </c>
      <c r="N46" s="20" t="n">
        <v>0.12142804</v>
      </c>
      <c r="O46" s="18" t="n">
        <v>0</v>
      </c>
      <c r="P46" s="20" t="n">
        <v>0</v>
      </c>
      <c r="Q46" s="18" t="n">
        <v>24.68322781</v>
      </c>
      <c r="R46" s="20" t="n">
        <v>1.06991751</v>
      </c>
    </row>
    <row r="47" spans="1:18">
      <c r="A47" s="15" t="s">
        <v>606</v>
      </c>
      <c r="B47" s="17" t="n">
        <v>5928</v>
      </c>
      <c r="C47" s="18">
        <f>(4750.0/B47*100)</f>
        <v/>
      </c>
      <c r="D47" s="19" t="n">
        <v>1178</v>
      </c>
      <c r="E47" s="18" t="n">
        <v>33.2017207</v>
      </c>
      <c r="F47" s="20" t="n">
        <v>1.28061336</v>
      </c>
      <c r="G47" s="18" t="n">
        <v>22.42414609</v>
      </c>
      <c r="H47" s="20" t="n">
        <v>1.45985232</v>
      </c>
      <c r="I47" s="18" t="n">
        <v>0</v>
      </c>
      <c r="J47" s="20" t="n">
        <v>0</v>
      </c>
      <c r="K47" s="18" t="n">
        <v>3.63381658</v>
      </c>
      <c r="L47" s="20" t="n">
        <v>0.63471192</v>
      </c>
      <c r="M47" s="18" t="n">
        <v>0</v>
      </c>
      <c r="N47" s="20" t="n">
        <v>0</v>
      </c>
      <c r="O47" s="18" t="n">
        <v>0</v>
      </c>
      <c r="P47" s="20" t="n">
        <v>0</v>
      </c>
      <c r="Q47" s="18" t="n">
        <v>40.74031663</v>
      </c>
      <c r="R47" s="20" t="n">
        <v>1.68596057</v>
      </c>
    </row>
    <row r="48" spans="1:18">
      <c r="A48" s="15" t="s">
        <v>607</v>
      </c>
      <c r="B48" s="17" t="n">
        <v>9841</v>
      </c>
      <c r="C48" s="18">
        <f>(7717.0/B48*100)</f>
        <v/>
      </c>
      <c r="D48" s="19" t="n">
        <v>2124</v>
      </c>
      <c r="E48" s="18" t="n">
        <v>55.48141344</v>
      </c>
      <c r="F48" s="20" t="n">
        <v>1.41938905</v>
      </c>
      <c r="G48" s="18" t="n">
        <v>31.54341169</v>
      </c>
      <c r="H48" s="20" t="n">
        <v>1.36064194</v>
      </c>
      <c r="I48" s="18" t="n">
        <v>0</v>
      </c>
      <c r="J48" s="20" t="n">
        <v>0</v>
      </c>
      <c r="K48" s="18" t="n">
        <v>1.29177412</v>
      </c>
      <c r="L48" s="20" t="n">
        <v>0.39360324</v>
      </c>
      <c r="M48" s="18" t="n">
        <v>0</v>
      </c>
      <c r="N48" s="20" t="n">
        <v>0</v>
      </c>
      <c r="O48" s="18" t="n">
        <v>0</v>
      </c>
      <c r="P48" s="20" t="n">
        <v>0</v>
      </c>
      <c r="Q48" s="18" t="n">
        <v>11.68340075</v>
      </c>
      <c r="R48" s="20" t="n">
        <v>1.10705985</v>
      </c>
    </row>
    <row r="49" spans="1:18">
      <c r="A49" s="15" t="s">
        <v>608</v>
      </c>
      <c r="B49" s="17" t="n">
        <v>11795</v>
      </c>
      <c r="C49" s="18">
        <f>(9441.0/B49*100)</f>
        <v/>
      </c>
      <c r="D49" s="19" t="n">
        <v>2354</v>
      </c>
      <c r="E49" s="18" t="n">
        <v>67.3754012</v>
      </c>
      <c r="F49" s="20" t="n">
        <v>1.3009356</v>
      </c>
      <c r="G49" s="18" t="n">
        <v>15.7380033</v>
      </c>
      <c r="H49" s="20" t="n">
        <v>1.03391582</v>
      </c>
      <c r="I49" s="18" t="n">
        <v>0</v>
      </c>
      <c r="J49" s="20" t="n">
        <v>0</v>
      </c>
      <c r="K49" s="18" t="n">
        <v>6.50839802</v>
      </c>
      <c r="L49" s="20" t="n">
        <v>0.74260922</v>
      </c>
      <c r="M49" s="18" t="n">
        <v>0.16240859</v>
      </c>
      <c r="N49" s="20" t="n">
        <v>0.04125268</v>
      </c>
      <c r="O49" s="18" t="n">
        <v>0</v>
      </c>
      <c r="P49" s="20" t="n">
        <v>0</v>
      </c>
      <c r="Q49" s="18" t="n">
        <v>10.2157889</v>
      </c>
      <c r="R49" s="20" t="n">
        <v>0.73536774</v>
      </c>
    </row>
    <row r="50" spans="1:18">
      <c r="A50" s="15" t="s">
        <v>609</v>
      </c>
      <c r="B50" s="17" t="n">
        <v>6866</v>
      </c>
      <c r="C50" s="18">
        <f>(5713.0/B50*100)</f>
        <v/>
      </c>
      <c r="D50" s="19" t="n">
        <v>1153</v>
      </c>
      <c r="E50" s="18" t="n">
        <v>73.4324379</v>
      </c>
      <c r="F50" s="20" t="n">
        <v>1.57884746</v>
      </c>
      <c r="G50" s="18" t="n">
        <v>9.56398272</v>
      </c>
      <c r="H50" s="20" t="n">
        <v>0.86638731</v>
      </c>
      <c r="I50" s="18" t="n">
        <v>0</v>
      </c>
      <c r="J50" s="20" t="n">
        <v>0</v>
      </c>
      <c r="K50" s="18" t="n">
        <v>2.45954211</v>
      </c>
      <c r="L50" s="20" t="n">
        <v>0.48748522</v>
      </c>
      <c r="M50" s="18" t="n">
        <v>0</v>
      </c>
      <c r="N50" s="20" t="n">
        <v>0</v>
      </c>
      <c r="O50" s="18" t="n">
        <v>0</v>
      </c>
      <c r="P50" s="20" t="n">
        <v>0</v>
      </c>
      <c r="Q50" s="18" t="n">
        <v>14.54403726</v>
      </c>
      <c r="R50" s="20" t="n">
        <v>1.26169323</v>
      </c>
    </row>
    <row r="51" spans="1:18">
      <c r="A51" s="15" t="s">
        <v>610</v>
      </c>
      <c r="B51" s="17" t="n">
        <v>5809</v>
      </c>
      <c r="C51" s="18">
        <f>(4522.0/B51*100)</f>
        <v/>
      </c>
      <c r="D51" s="19" t="n">
        <v>1287</v>
      </c>
      <c r="E51" s="18" t="n">
        <v>37.94265579</v>
      </c>
      <c r="F51" s="20" t="n">
        <v>1.17301566</v>
      </c>
      <c r="G51" s="18" t="n">
        <v>22.89563051</v>
      </c>
      <c r="H51" s="20" t="n">
        <v>1.19597209</v>
      </c>
      <c r="I51" s="18" t="n">
        <v>0</v>
      </c>
      <c r="J51" s="20" t="n">
        <v>0</v>
      </c>
      <c r="K51" s="18" t="n">
        <v>2.49769421</v>
      </c>
      <c r="L51" s="20" t="n">
        <v>0.50767794</v>
      </c>
      <c r="M51" s="18" t="n">
        <v>0</v>
      </c>
      <c r="N51" s="20" t="n">
        <v>0</v>
      </c>
      <c r="O51" s="18" t="n">
        <v>0</v>
      </c>
      <c r="P51" s="20" t="n">
        <v>0</v>
      </c>
      <c r="Q51" s="18" t="n">
        <v>36.66401948</v>
      </c>
      <c r="R51" s="20" t="n">
        <v>1.39630973</v>
      </c>
    </row>
    <row r="52" spans="1:18">
      <c r="A52" s="15" t="s">
        <v>611</v>
      </c>
      <c r="B52" s="17" t="n">
        <v>5571</v>
      </c>
      <c r="C52" s="18">
        <f>(4381.0/B52*100)</f>
        <v/>
      </c>
      <c r="D52" s="19" t="n">
        <v>1190</v>
      </c>
      <c r="E52" s="18" t="n">
        <v>52.47645422</v>
      </c>
      <c r="F52" s="20" t="n">
        <v>1.40417227</v>
      </c>
      <c r="G52" s="18" t="n">
        <v>8.185446689999999</v>
      </c>
      <c r="H52" s="20" t="n">
        <v>0.77385117</v>
      </c>
      <c r="I52" s="18" t="n">
        <v>0</v>
      </c>
      <c r="J52" s="20" t="n">
        <v>0</v>
      </c>
      <c r="K52" s="18" t="n">
        <v>2.83852025</v>
      </c>
      <c r="L52" s="20" t="n">
        <v>0.47836361</v>
      </c>
      <c r="M52" s="18" t="n">
        <v>0</v>
      </c>
      <c r="N52" s="20" t="n">
        <v>0</v>
      </c>
      <c r="O52" s="18" t="n">
        <v>0</v>
      </c>
      <c r="P52" s="20" t="n">
        <v>0</v>
      </c>
      <c r="Q52" s="18" t="n">
        <v>36.49957884</v>
      </c>
      <c r="R52" s="20" t="n">
        <v>1.45924647</v>
      </c>
    </row>
    <row r="53" spans="1:18">
      <c r="A53" s="15" t="s">
        <v>612</v>
      </c>
      <c r="B53" s="17" t="n">
        <v>4740</v>
      </c>
      <c r="C53" s="18">
        <f>(3704.0/B53*100)</f>
        <v/>
      </c>
      <c r="D53" s="19" t="n">
        <v>1036</v>
      </c>
      <c r="E53" s="18" t="n">
        <v>47.44222224</v>
      </c>
      <c r="F53" s="20" t="n">
        <v>1.89717939</v>
      </c>
      <c r="G53" s="18" t="n">
        <v>8.215376450000001</v>
      </c>
      <c r="H53" s="20" t="n">
        <v>0.88994891</v>
      </c>
      <c r="I53" s="18" t="n">
        <v>0</v>
      </c>
      <c r="J53" s="20" t="n">
        <v>0</v>
      </c>
      <c r="K53" s="18" t="n">
        <v>27.14167871</v>
      </c>
      <c r="L53" s="20" t="n">
        <v>1.89934679</v>
      </c>
      <c r="M53" s="18" t="n">
        <v>0.70579773</v>
      </c>
      <c r="N53" s="20" t="n">
        <v>0.67182952</v>
      </c>
      <c r="O53" s="18" t="n">
        <v>0</v>
      </c>
      <c r="P53" s="20" t="n">
        <v>0</v>
      </c>
      <c r="Q53" s="18" t="n">
        <v>16.49492487</v>
      </c>
      <c r="R53" s="20" t="n">
        <v>1.13500677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(4168.0/B55*100)</f>
        <v/>
      </c>
      <c r="D55" s="19" t="n">
        <v>1191</v>
      </c>
      <c r="E55" s="18" t="n">
        <v>63.98794616</v>
      </c>
      <c r="F55" s="20" t="n">
        <v>1.63480672</v>
      </c>
      <c r="G55" s="18" t="n">
        <v>28.36354602</v>
      </c>
      <c r="H55" s="20" t="n">
        <v>1.54075708</v>
      </c>
      <c r="I55" s="18" t="n">
        <v>0</v>
      </c>
      <c r="J55" s="20" t="n">
        <v>0</v>
      </c>
      <c r="K55" s="18" t="n">
        <v>0.91295841</v>
      </c>
      <c r="L55" s="20" t="n">
        <v>0.34050483</v>
      </c>
      <c r="M55" s="18" t="n">
        <v>0</v>
      </c>
      <c r="N55" s="20" t="n">
        <v>0</v>
      </c>
      <c r="O55" s="18" t="n">
        <v>0</v>
      </c>
      <c r="P55" s="20" t="n">
        <v>0</v>
      </c>
      <c r="Q55" s="18" t="n">
        <v>6.73554942</v>
      </c>
      <c r="R55" s="20" t="n">
        <v>0.86913042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(5113.0/B61*100)</f>
        <v/>
      </c>
      <c r="D61" s="19" t="n">
        <v>1412</v>
      </c>
      <c r="E61" s="18" t="n">
        <v>43.25717429</v>
      </c>
      <c r="F61" s="20" t="n">
        <v>1.33531176</v>
      </c>
      <c r="G61" s="18" t="n">
        <v>28.88679014</v>
      </c>
      <c r="H61" s="20" t="n">
        <v>1.40262168</v>
      </c>
      <c r="I61" s="18" t="n">
        <v>0</v>
      </c>
      <c r="J61" s="20" t="n">
        <v>0</v>
      </c>
      <c r="K61" s="18" t="n">
        <v>1.42829874</v>
      </c>
      <c r="L61" s="20" t="n">
        <v>0.33893926</v>
      </c>
      <c r="M61" s="18" t="n">
        <v>0</v>
      </c>
      <c r="N61" s="20" t="n">
        <v>0</v>
      </c>
      <c r="O61" s="18" t="n">
        <v>0</v>
      </c>
      <c r="P61" s="20" t="n">
        <v>0</v>
      </c>
      <c r="Q61" s="18" t="n">
        <v>26.42773683</v>
      </c>
      <c r="R61" s="20" t="n">
        <v>1.36514056</v>
      </c>
    </row>
    <row r="62" spans="1:18">
      <c r="A62" s="15" t="s">
        <v>622</v>
      </c>
      <c r="B62" s="17" t="n">
        <v>4476</v>
      </c>
      <c r="C62" s="18">
        <f>(3596.0/B62*100)</f>
        <v/>
      </c>
      <c r="D62" s="19" t="n">
        <v>880</v>
      </c>
      <c r="E62" s="18" t="n">
        <v>60.4693128</v>
      </c>
      <c r="F62" s="20" t="n">
        <v>1.82573579</v>
      </c>
      <c r="G62" s="18" t="n">
        <v>32.69922461</v>
      </c>
      <c r="H62" s="20" t="n">
        <v>1.80539129</v>
      </c>
      <c r="I62" s="18" t="n">
        <v>0</v>
      </c>
      <c r="J62" s="20" t="n">
        <v>0</v>
      </c>
      <c r="K62" s="18" t="n">
        <v>0.11287191</v>
      </c>
      <c r="L62" s="20" t="n">
        <v>0.11271232</v>
      </c>
      <c r="M62" s="18" t="n">
        <v>0.11287191</v>
      </c>
      <c r="N62" s="20" t="n">
        <v>0.11305728</v>
      </c>
      <c r="O62" s="18" t="n">
        <v>0</v>
      </c>
      <c r="P62" s="20" t="n">
        <v>0</v>
      </c>
      <c r="Q62" s="18" t="n">
        <v>6.60571877</v>
      </c>
      <c r="R62" s="20" t="n">
        <v>0.85557877</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(4487.0/B67*100)</f>
        <v/>
      </c>
      <c r="D67" s="19" t="n">
        <v>1178</v>
      </c>
      <c r="E67" s="18" t="n">
        <v>29.65924493</v>
      </c>
      <c r="F67" s="20" t="n">
        <v>1.24090618</v>
      </c>
      <c r="G67" s="18" t="n">
        <v>9.939135589999999</v>
      </c>
      <c r="H67" s="20" t="n">
        <v>0.80107549</v>
      </c>
      <c r="I67" s="18" t="n">
        <v>0</v>
      </c>
      <c r="J67" s="20" t="n">
        <v>0</v>
      </c>
      <c r="K67" s="18" t="n">
        <v>8.47789173</v>
      </c>
      <c r="L67" s="20" t="n">
        <v>0.8307278</v>
      </c>
      <c r="M67" s="18" t="n">
        <v>0.31862078</v>
      </c>
      <c r="N67" s="20" t="n">
        <v>0.1602071</v>
      </c>
      <c r="O67" s="18" t="n">
        <v>0</v>
      </c>
      <c r="P67" s="20" t="n">
        <v>0</v>
      </c>
      <c r="Q67" s="18" t="n">
        <v>51.60510696</v>
      </c>
      <c r="R67" s="20" t="n">
        <v>1.39975653</v>
      </c>
    </row>
    <row r="68" spans="1:18">
      <c r="A68" s="15" t="s">
        <v>628</v>
      </c>
      <c r="B68" s="17" t="n">
        <v>6971</v>
      </c>
      <c r="C68" s="18">
        <f>(5842.0/B68*100)</f>
        <v/>
      </c>
      <c r="D68" s="19" t="n">
        <v>1129</v>
      </c>
      <c r="E68" s="18" t="n">
        <v>68.85276030999999</v>
      </c>
      <c r="F68" s="20" t="n">
        <v>1.56676585</v>
      </c>
      <c r="G68" s="18" t="n">
        <v>9.648542490000001</v>
      </c>
      <c r="H68" s="20" t="n">
        <v>1.17705803</v>
      </c>
      <c r="I68" s="18" t="n">
        <v>0</v>
      </c>
      <c r="J68" s="20" t="n">
        <v>0</v>
      </c>
      <c r="K68" s="18" t="n">
        <v>2.85195622</v>
      </c>
      <c r="L68" s="20" t="n">
        <v>0.62880795</v>
      </c>
      <c r="M68" s="18" t="n">
        <v>0.40497294</v>
      </c>
      <c r="N68" s="20" t="n">
        <v>0.20875856</v>
      </c>
      <c r="O68" s="18" t="n">
        <v>0</v>
      </c>
      <c r="P68" s="20" t="n">
        <v>0</v>
      </c>
      <c r="Q68" s="18" t="n">
        <v>18.24176804</v>
      </c>
      <c r="R68" s="20" t="n">
        <v>1.31085451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(9444.0/B70*100)</f>
        <v/>
      </c>
      <c r="D70" s="19" t="n">
        <v>2639</v>
      </c>
      <c r="E70" s="18" t="n">
        <v>59.43482401</v>
      </c>
      <c r="F70" s="20" t="n">
        <v>0.8544972199999999</v>
      </c>
      <c r="G70" s="18" t="n">
        <v>12.04633288</v>
      </c>
      <c r="H70" s="20" t="n">
        <v>0.56258056</v>
      </c>
      <c r="I70" s="18" t="n">
        <v>0</v>
      </c>
      <c r="J70" s="20" t="n">
        <v>0</v>
      </c>
      <c r="K70" s="18" t="n">
        <v>8.346230670000001</v>
      </c>
      <c r="L70" s="20" t="n">
        <v>0.54531855</v>
      </c>
      <c r="M70" s="18" t="n">
        <v>0.03885274</v>
      </c>
      <c r="N70" s="20" t="n">
        <v>0.03837409</v>
      </c>
      <c r="O70" s="18" t="n">
        <v>0</v>
      </c>
      <c r="P70" s="20" t="n">
        <v>0</v>
      </c>
      <c r="Q70" s="18" t="n">
        <v>20.13375969</v>
      </c>
      <c r="R70" s="20" t="n">
        <v>0.71695925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(4855.0/B72*100)</f>
        <v/>
      </c>
      <c r="D72" s="19" t="n">
        <v>1181</v>
      </c>
      <c r="E72" s="18" t="n">
        <v>36.54636731</v>
      </c>
      <c r="F72" s="20" t="n">
        <v>1.44312668</v>
      </c>
      <c r="G72" s="18" t="n">
        <v>29.03153093</v>
      </c>
      <c r="H72" s="20" t="n">
        <v>1.79772262</v>
      </c>
      <c r="I72" s="18" t="n">
        <v>0</v>
      </c>
      <c r="J72" s="20" t="n">
        <v>0</v>
      </c>
      <c r="K72" s="18" t="n">
        <v>2.0625642</v>
      </c>
      <c r="L72" s="20" t="n">
        <v>0.5099800799999999</v>
      </c>
      <c r="M72" s="18" t="n">
        <v>0.03752036</v>
      </c>
      <c r="N72" s="20" t="n">
        <v>0.03752884</v>
      </c>
      <c r="O72" s="18" t="n">
        <v>0</v>
      </c>
      <c r="P72" s="20" t="n">
        <v>0</v>
      </c>
      <c r="Q72" s="18" t="n">
        <v>32.32201721</v>
      </c>
      <c r="R72" s="20" t="n">
        <v>1.6883234</v>
      </c>
    </row>
    <row r="73" spans="1:18">
      <c r="A73" s="15" t="s">
        <v>633</v>
      </c>
      <c r="B73" s="17" t="n">
        <v>6115</v>
      </c>
      <c r="C73" s="18">
        <f>(4792.0/B73*100)</f>
        <v/>
      </c>
      <c r="D73" s="19" t="n">
        <v>1323</v>
      </c>
      <c r="E73" s="18" t="n">
        <v>63.41404463</v>
      </c>
      <c r="F73" s="20" t="n">
        <v>1.45956271</v>
      </c>
      <c r="G73" s="18" t="n">
        <v>29.17209108</v>
      </c>
      <c r="H73" s="20" t="n">
        <v>1.43828191</v>
      </c>
      <c r="I73" s="18" t="n">
        <v>0</v>
      </c>
      <c r="J73" s="20" t="n">
        <v>0</v>
      </c>
      <c r="K73" s="18" t="n">
        <v>0.58521491</v>
      </c>
      <c r="L73" s="20" t="n">
        <v>0.2209047</v>
      </c>
      <c r="M73" s="18" t="n">
        <v>0</v>
      </c>
      <c r="N73" s="20" t="n">
        <v>0</v>
      </c>
      <c r="O73" s="18" t="n">
        <v>0</v>
      </c>
      <c r="P73" s="20" t="n">
        <v>0</v>
      </c>
      <c r="Q73" s="18" t="n">
        <v>6.82864938</v>
      </c>
      <c r="R73" s="20" t="n">
        <v>0.66713588</v>
      </c>
    </row>
    <row r="74" spans="1:18">
      <c r="A74" s="15" t="s">
        <v>634</v>
      </c>
      <c r="B74" s="17" t="n">
        <v>7708</v>
      </c>
      <c r="C74" s="18">
        <f>(5951.0/B74*100)</f>
        <v/>
      </c>
      <c r="D74" s="19" t="n">
        <v>1757</v>
      </c>
      <c r="E74" s="18" t="n">
        <v>60.15101805</v>
      </c>
      <c r="F74" s="20" t="n">
        <v>1.03325793</v>
      </c>
      <c r="G74" s="18" t="n">
        <v>30.4938883</v>
      </c>
      <c r="H74" s="20" t="n">
        <v>0.98198171</v>
      </c>
      <c r="I74" s="18" t="n">
        <v>0</v>
      </c>
      <c r="J74" s="20" t="n">
        <v>0</v>
      </c>
      <c r="K74" s="18" t="n">
        <v>0.2479511</v>
      </c>
      <c r="L74" s="20" t="n">
        <v>0.14537808</v>
      </c>
      <c r="M74" s="18" t="n">
        <v>0.0461151</v>
      </c>
      <c r="N74" s="20" t="n">
        <v>0.04620618</v>
      </c>
      <c r="O74" s="18" t="n">
        <v>0</v>
      </c>
      <c r="P74" s="20" t="n">
        <v>0</v>
      </c>
      <c r="Q74" s="18" t="n">
        <v>9.061027449999999</v>
      </c>
      <c r="R74" s="20" t="n">
        <v>0.62302413</v>
      </c>
    </row>
    <row r="75" spans="1:18">
      <c r="A75" s="15" t="s">
        <v>635</v>
      </c>
      <c r="B75" s="17" t="n">
        <v>8249</v>
      </c>
      <c r="C75" s="18">
        <f>(6558.0/B75*100)</f>
        <v/>
      </c>
      <c r="D75" s="19" t="n">
        <v>1691</v>
      </c>
      <c r="E75" s="18" t="n">
        <v>71.20125053</v>
      </c>
      <c r="F75" s="20" t="n">
        <v>1.49270168</v>
      </c>
      <c r="G75" s="18" t="n">
        <v>24.16135038</v>
      </c>
      <c r="H75" s="20" t="n">
        <v>1.35448114</v>
      </c>
      <c r="I75" s="18" t="n">
        <v>0</v>
      </c>
      <c r="J75" s="20" t="n">
        <v>0</v>
      </c>
      <c r="K75" s="18" t="n">
        <v>0.42361138</v>
      </c>
      <c r="L75" s="20" t="n">
        <v>0.18916359</v>
      </c>
      <c r="M75" s="18" t="n">
        <v>0.22678147</v>
      </c>
      <c r="N75" s="20" t="n">
        <v>0.15757184</v>
      </c>
      <c r="O75" s="18" t="n">
        <v>0</v>
      </c>
      <c r="P75" s="20" t="n">
        <v>0</v>
      </c>
      <c r="Q75" s="18" t="n">
        <v>3.98700624</v>
      </c>
      <c r="R75" s="20" t="n">
        <v>0.55892307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(4348.0/B77*100)</f>
        <v/>
      </c>
      <c r="D77" s="19" t="n">
        <v>1027</v>
      </c>
      <c r="E77" s="18" t="n">
        <v>37.60823737</v>
      </c>
      <c r="F77" s="20" t="n">
        <v>1.86102828</v>
      </c>
      <c r="G77" s="18" t="n">
        <v>8.6890733</v>
      </c>
      <c r="H77" s="20" t="n">
        <v>0.9626046700000001</v>
      </c>
      <c r="I77" s="18" t="n">
        <v>0</v>
      </c>
      <c r="J77" s="20" t="n">
        <v>0</v>
      </c>
      <c r="K77" s="18" t="n">
        <v>11.2598142</v>
      </c>
      <c r="L77" s="20" t="n">
        <v>1.23847611</v>
      </c>
      <c r="M77" s="18" t="n">
        <v>0.43484612</v>
      </c>
      <c r="N77" s="20" t="n">
        <v>0.22837623</v>
      </c>
      <c r="O77" s="18" t="n">
        <v>0</v>
      </c>
      <c r="P77" s="20" t="n">
        <v>0</v>
      </c>
      <c r="Q77" s="18" t="n">
        <v>42.00802901</v>
      </c>
      <c r="R77" s="20" t="n">
        <v>1.66226552</v>
      </c>
    </row>
    <row r="78" spans="1:18">
      <c r="A78" s="15" t="s">
        <v>638</v>
      </c>
      <c r="B78" s="17" t="n">
        <v>14167</v>
      </c>
      <c r="C78" s="18">
        <f>(11097.0/B78*100)</f>
        <v/>
      </c>
      <c r="D78" s="19" t="n">
        <v>3070</v>
      </c>
      <c r="E78" s="18" t="n">
        <v>65.67555053</v>
      </c>
      <c r="F78" s="20" t="n">
        <v>1.0116417</v>
      </c>
      <c r="G78" s="18" t="n">
        <v>18.56447545</v>
      </c>
      <c r="H78" s="20" t="n">
        <v>0.95583154</v>
      </c>
      <c r="I78" s="18" t="n">
        <v>0</v>
      </c>
      <c r="J78" s="20" t="n">
        <v>0</v>
      </c>
      <c r="K78" s="18" t="n">
        <v>2.48766264</v>
      </c>
      <c r="L78" s="20" t="n">
        <v>0.33782429</v>
      </c>
      <c r="M78" s="18" t="n">
        <v>0.17218304</v>
      </c>
      <c r="N78" s="20" t="n">
        <v>0.08913324</v>
      </c>
      <c r="O78" s="18" t="n">
        <v>0</v>
      </c>
      <c r="P78" s="20" t="n">
        <v>0</v>
      </c>
      <c r="Q78" s="18" t="n">
        <v>13.10012834</v>
      </c>
      <c r="R78" s="20" t="n">
        <v>0.65122931</v>
      </c>
    </row>
    <row r="79" spans="1:18">
      <c r="A79" s="15" t="s">
        <v>639</v>
      </c>
      <c r="B79" s="17" t="n">
        <v>6062</v>
      </c>
      <c r="C79" s="18">
        <f>(4848.0/B79*100)</f>
        <v/>
      </c>
      <c r="D79" s="19" t="n">
        <v>1214</v>
      </c>
      <c r="E79" s="18" t="n">
        <v>37.48392313</v>
      </c>
      <c r="F79" s="20" t="n">
        <v>1.61024964</v>
      </c>
      <c r="G79" s="18" t="n">
        <v>18.87556527</v>
      </c>
      <c r="H79" s="20" t="n">
        <v>1.30928386</v>
      </c>
      <c r="I79" s="18" t="n">
        <v>0</v>
      </c>
      <c r="J79" s="20" t="n">
        <v>0</v>
      </c>
      <c r="K79" s="18" t="n">
        <v>7.05177123</v>
      </c>
      <c r="L79" s="20" t="n">
        <v>0.75425718</v>
      </c>
      <c r="M79" s="18" t="n">
        <v>0.06568153</v>
      </c>
      <c r="N79" s="20" t="n">
        <v>0.06608772</v>
      </c>
      <c r="O79" s="18" t="n">
        <v>0</v>
      </c>
      <c r="P79" s="20" t="n">
        <v>0</v>
      </c>
      <c r="Q79" s="18" t="n">
        <v>36.52305884</v>
      </c>
      <c r="R79" s="20" t="n">
        <v>1.66918235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(25589.0/B82*100)</f>
        <v/>
      </c>
      <c r="D82" s="19" t="n">
        <v>6741</v>
      </c>
      <c r="E82" s="18" t="n">
        <v>49.76056465</v>
      </c>
      <c r="F82" s="20" t="n">
        <v>0.89367791</v>
      </c>
      <c r="G82" s="18" t="n">
        <v>29.25789553</v>
      </c>
      <c r="H82" s="20" t="n">
        <v>0.91081045</v>
      </c>
      <c r="I82" s="18" t="n">
        <v>0</v>
      </c>
      <c r="J82" s="20" t="n">
        <v>0</v>
      </c>
      <c r="K82" s="18" t="n">
        <v>2.42739907</v>
      </c>
      <c r="L82" s="20" t="n">
        <v>0.27057289</v>
      </c>
      <c r="M82" s="18" t="n">
        <v>0.04961646</v>
      </c>
      <c r="N82" s="20" t="n">
        <v>0.04968461</v>
      </c>
      <c r="O82" s="18" t="n">
        <v>0</v>
      </c>
      <c r="P82" s="20" t="n">
        <v>0</v>
      </c>
      <c r="Q82" s="18" t="n">
        <v>18.50452429</v>
      </c>
      <c r="R82" s="20" t="n">
        <v>0.7417448</v>
      </c>
    </row>
    <row r="83" spans="1:18">
      <c r="A83" s="15" t="s">
        <v>643</v>
      </c>
      <c r="B83" s="17" t="n">
        <v>1652</v>
      </c>
      <c r="C83" s="18">
        <f>(1301.0/B83*100)</f>
        <v/>
      </c>
      <c r="D83" s="19" t="n">
        <v>351</v>
      </c>
      <c r="E83" s="18" t="n">
        <v>45.44682794</v>
      </c>
      <c r="F83" s="20" t="n">
        <v>2.6317995</v>
      </c>
      <c r="G83" s="18" t="n">
        <v>48.76379909</v>
      </c>
      <c r="H83" s="20" t="n">
        <v>3.14061214</v>
      </c>
      <c r="I83" s="18" t="n">
        <v>0</v>
      </c>
      <c r="J83" s="20" t="n">
        <v>0</v>
      </c>
      <c r="K83" s="18" t="n">
        <v>0.22556743</v>
      </c>
      <c r="L83" s="20" t="n">
        <v>0.224199</v>
      </c>
      <c r="M83" s="18" t="n">
        <v>0</v>
      </c>
      <c r="N83" s="20" t="n">
        <v>0</v>
      </c>
      <c r="O83" s="18" t="n">
        <v>0</v>
      </c>
      <c r="P83" s="20" t="n">
        <v>0</v>
      </c>
      <c r="Q83" s="18" t="n">
        <v>5.56380554</v>
      </c>
      <c r="R83" s="20" t="n">
        <v>1.22126962</v>
      </c>
    </row>
    <row r="84" spans="1:18">
      <c r="A84" s="23" t="s">
        <v>644</v>
      </c>
      <c r="B84" s="24" t="n">
        <v>1887</v>
      </c>
      <c r="C84" s="25">
        <f>(1498.0/B84*100)</f>
        <v/>
      </c>
      <c r="D84" s="19" t="n">
        <v>389</v>
      </c>
      <c r="E84" s="18" t="n">
        <v>56.4773332</v>
      </c>
      <c r="F84" s="20" t="n">
        <v>2.4996159</v>
      </c>
      <c r="G84" s="18" t="n">
        <v>36.44581205</v>
      </c>
      <c r="H84" s="20" t="n">
        <v>2.18958804</v>
      </c>
      <c r="I84" s="18" t="n">
        <v>0</v>
      </c>
      <c r="J84" s="20" t="n">
        <v>0</v>
      </c>
      <c r="K84" s="18" t="n">
        <v>0.73018297</v>
      </c>
      <c r="L84" s="20" t="n">
        <v>0.43727796</v>
      </c>
      <c r="M84" s="18" t="n">
        <v>0</v>
      </c>
      <c r="N84" s="20" t="n">
        <v>0</v>
      </c>
      <c r="O84" s="18" t="n">
        <v>0</v>
      </c>
      <c r="P84" s="20" t="n">
        <v>0</v>
      </c>
      <c r="Q84" s="18" t="n">
        <v>6.34667178</v>
      </c>
      <c r="R84" s="20" t="n">
        <v>1.49014398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(11536.0/B7*100)</f>
        <v/>
      </c>
      <c r="D7" s="19" t="n">
        <v>2994</v>
      </c>
      <c r="E7" s="18" t="n">
        <v>32.15889394</v>
      </c>
      <c r="F7" s="20" t="n">
        <v>1.09056524</v>
      </c>
      <c r="G7" s="18" t="n">
        <v>65.21990683999999</v>
      </c>
      <c r="H7" s="20" t="n">
        <v>1.07096418</v>
      </c>
      <c r="I7" s="18" t="n">
        <v>0</v>
      </c>
      <c r="J7" s="20" t="n">
        <v>0</v>
      </c>
      <c r="K7" s="18" t="n">
        <v>2.62119922</v>
      </c>
      <c r="L7" s="20" t="n">
        <v>0.36795697</v>
      </c>
      <c r="M7" s="18" t="n">
        <v>0</v>
      </c>
      <c r="N7" s="20" t="n">
        <v>0</v>
      </c>
      <c r="O7" s="18" t="n">
        <v>0</v>
      </c>
      <c r="P7" s="20" t="n">
        <v>0</v>
      </c>
      <c r="Q7" s="18" t="n">
        <v>0</v>
      </c>
      <c r="R7" s="20" t="n">
        <v>0</v>
      </c>
    </row>
    <row r="8" spans="1:18">
      <c r="A8" s="15" t="s">
        <v>566</v>
      </c>
      <c r="B8" s="17" t="n">
        <v>7007</v>
      </c>
      <c r="C8" s="18">
        <f>(5473.0/B8*100)</f>
        <v/>
      </c>
      <c r="D8" s="19" t="n">
        <v>1534</v>
      </c>
      <c r="E8" s="18" t="n">
        <v>19.44414797</v>
      </c>
      <c r="F8" s="20" t="n">
        <v>1.12536818</v>
      </c>
      <c r="G8" s="18" t="n">
        <v>77.97535016</v>
      </c>
      <c r="H8" s="20" t="n">
        <v>1.22235681</v>
      </c>
      <c r="I8" s="18" t="n">
        <v>0</v>
      </c>
      <c r="J8" s="20" t="n">
        <v>0</v>
      </c>
      <c r="K8" s="18" t="n">
        <v>2.58050186</v>
      </c>
      <c r="L8" s="20" t="n">
        <v>0.36228063</v>
      </c>
      <c r="M8" s="18" t="n">
        <v>0</v>
      </c>
      <c r="N8" s="20" t="n">
        <v>0</v>
      </c>
      <c r="O8" s="18" t="n">
        <v>0</v>
      </c>
      <c r="P8" s="20" t="n">
        <v>0</v>
      </c>
      <c r="Q8" s="18" t="n">
        <v>0</v>
      </c>
      <c r="R8" s="20" t="n">
        <v>0</v>
      </c>
    </row>
    <row r="9" spans="1:18">
      <c r="A9" s="15" t="s">
        <v>567</v>
      </c>
      <c r="B9" s="17" t="n">
        <v>9651</v>
      </c>
      <c r="C9" s="18">
        <f>(7698.0/B9*100)</f>
        <v/>
      </c>
      <c r="D9" s="19" t="n">
        <v>1953</v>
      </c>
      <c r="E9" s="18" t="n">
        <v>22.993506</v>
      </c>
      <c r="F9" s="20" t="n">
        <v>1.04065284</v>
      </c>
      <c r="G9" s="18" t="n">
        <v>72.86723782</v>
      </c>
      <c r="H9" s="20" t="n">
        <v>1.13051455</v>
      </c>
      <c r="I9" s="18" t="n">
        <v>0</v>
      </c>
      <c r="J9" s="20" t="n">
        <v>0</v>
      </c>
      <c r="K9" s="18" t="n">
        <v>4.13925618</v>
      </c>
      <c r="L9" s="20" t="n">
        <v>0.47377508</v>
      </c>
      <c r="M9" s="18" t="n">
        <v>0</v>
      </c>
      <c r="N9" s="20" t="n">
        <v>0</v>
      </c>
      <c r="O9" s="18" t="n">
        <v>0</v>
      </c>
      <c r="P9" s="20" t="n">
        <v>0</v>
      </c>
      <c r="Q9" s="18" t="n">
        <v>0</v>
      </c>
      <c r="R9" s="20" t="n">
        <v>0</v>
      </c>
    </row>
    <row r="10" spans="1:18">
      <c r="A10" s="15" t="s">
        <v>568</v>
      </c>
      <c r="B10" s="17" t="n">
        <v>20058</v>
      </c>
      <c r="C10" s="18">
        <f>(15785.0/B10*100)</f>
        <v/>
      </c>
      <c r="D10" s="19" t="n">
        <v>4273</v>
      </c>
      <c r="E10" s="18" t="n">
        <v>27.3369028</v>
      </c>
      <c r="F10" s="20" t="n">
        <v>1.08982968</v>
      </c>
      <c r="G10" s="18" t="n">
        <v>70.71287282999999</v>
      </c>
      <c r="H10" s="20" t="n">
        <v>1.11362579</v>
      </c>
      <c r="I10" s="18" t="n">
        <v>0</v>
      </c>
      <c r="J10" s="20" t="n">
        <v>0</v>
      </c>
      <c r="K10" s="18" t="n">
        <v>1.95022437</v>
      </c>
      <c r="L10" s="20" t="n">
        <v>0.35698017</v>
      </c>
      <c r="M10" s="18" t="n">
        <v>0</v>
      </c>
      <c r="N10" s="20" t="n">
        <v>0</v>
      </c>
      <c r="O10" s="18" t="n">
        <v>0</v>
      </c>
      <c r="P10" s="20" t="n">
        <v>0</v>
      </c>
      <c r="Q10" s="18" t="n">
        <v>0</v>
      </c>
      <c r="R10" s="20" t="n">
        <v>0</v>
      </c>
    </row>
    <row r="11" spans="1:18">
      <c r="A11" s="15" t="s">
        <v>569</v>
      </c>
      <c r="B11" s="17" t="n">
        <v>7053</v>
      </c>
      <c r="C11" s="18">
        <f>(5661.0/B11*100)</f>
        <v/>
      </c>
      <c r="D11" s="19" t="n">
        <v>1392</v>
      </c>
      <c r="E11" s="18" t="n">
        <v>33.94054112</v>
      </c>
      <c r="F11" s="20" t="n">
        <v>1.74409765</v>
      </c>
      <c r="G11" s="18" t="n">
        <v>58.89913594</v>
      </c>
      <c r="H11" s="20" t="n">
        <v>1.54111654</v>
      </c>
      <c r="I11" s="18" t="n">
        <v>0</v>
      </c>
      <c r="J11" s="20" t="n">
        <v>0</v>
      </c>
      <c r="K11" s="18" t="n">
        <v>7.16032294</v>
      </c>
      <c r="L11" s="20" t="n">
        <v>0.73084565</v>
      </c>
      <c r="M11" s="18" t="n">
        <v>0</v>
      </c>
      <c r="N11" s="20" t="n">
        <v>0</v>
      </c>
      <c r="O11" s="18" t="n">
        <v>0</v>
      </c>
      <c r="P11" s="20" t="n">
        <v>0</v>
      </c>
      <c r="Q11" s="18" t="n">
        <v>0</v>
      </c>
      <c r="R11" s="20" t="n">
        <v>0</v>
      </c>
    </row>
    <row r="12" spans="1:18">
      <c r="A12" s="15" t="s">
        <v>570</v>
      </c>
      <c r="B12" s="17" t="n">
        <v>6894</v>
      </c>
      <c r="C12" s="18">
        <f>(5469.0/B12*100)</f>
        <v/>
      </c>
      <c r="D12" s="19" t="n">
        <v>1425</v>
      </c>
      <c r="E12" s="18" t="n">
        <v>30.32211237</v>
      </c>
      <c r="F12" s="20" t="n">
        <v>1.56678519</v>
      </c>
      <c r="G12" s="18" t="n">
        <v>67.46451316</v>
      </c>
      <c r="H12" s="20" t="n">
        <v>1.51751604</v>
      </c>
      <c r="I12" s="18" t="n">
        <v>0</v>
      </c>
      <c r="J12" s="20" t="n">
        <v>0</v>
      </c>
      <c r="K12" s="18" t="n">
        <v>2.21337448</v>
      </c>
      <c r="L12" s="20" t="n">
        <v>0.32081487</v>
      </c>
      <c r="M12" s="18" t="n">
        <v>0</v>
      </c>
      <c r="N12" s="20" t="n">
        <v>0</v>
      </c>
      <c r="O12" s="18" t="n">
        <v>0</v>
      </c>
      <c r="P12" s="20" t="n">
        <v>0</v>
      </c>
      <c r="Q12" s="18" t="n">
        <v>0</v>
      </c>
      <c r="R12" s="20" t="n">
        <v>0</v>
      </c>
    </row>
    <row r="13" spans="1:18">
      <c r="A13" s="15" t="s">
        <v>571</v>
      </c>
      <c r="B13" s="17" t="n">
        <v>7161</v>
      </c>
      <c r="C13" s="18">
        <f>(5747.0/B13*100)</f>
        <v/>
      </c>
      <c r="D13" s="19" t="n">
        <v>1414</v>
      </c>
      <c r="E13" s="18" t="n">
        <v>23.63504426</v>
      </c>
      <c r="F13" s="20" t="n">
        <v>1.35778076</v>
      </c>
      <c r="G13" s="18" t="n">
        <v>73.75832511999999</v>
      </c>
      <c r="H13" s="20" t="n">
        <v>1.40959345</v>
      </c>
      <c r="I13" s="18" t="n">
        <v>0</v>
      </c>
      <c r="J13" s="20" t="n">
        <v>0</v>
      </c>
      <c r="K13" s="18" t="n">
        <v>2.60663061</v>
      </c>
      <c r="L13" s="20" t="n">
        <v>0.54043829</v>
      </c>
      <c r="M13" s="18" t="n">
        <v>0</v>
      </c>
      <c r="N13" s="20" t="n">
        <v>0</v>
      </c>
      <c r="O13" s="18" t="n">
        <v>0</v>
      </c>
      <c r="P13" s="20" t="n">
        <v>0</v>
      </c>
      <c r="Q13" s="18" t="n">
        <v>0</v>
      </c>
      <c r="R13" s="20" t="n">
        <v>0</v>
      </c>
    </row>
    <row r="14" spans="1:18">
      <c r="A14" s="15" t="s">
        <v>572</v>
      </c>
      <c r="B14" s="17" t="n">
        <v>5587</v>
      </c>
      <c r="C14" s="18">
        <f>(4422.0/B14*100)</f>
        <v/>
      </c>
      <c r="D14" s="19" t="n">
        <v>1165</v>
      </c>
      <c r="E14" s="18" t="n">
        <v>19.23410445</v>
      </c>
      <c r="F14" s="20" t="n">
        <v>1.44217804</v>
      </c>
      <c r="G14" s="18" t="n">
        <v>79.59390758000001</v>
      </c>
      <c r="H14" s="20" t="n">
        <v>1.50006889</v>
      </c>
      <c r="I14" s="18" t="n">
        <v>0</v>
      </c>
      <c r="J14" s="20" t="n">
        <v>0</v>
      </c>
      <c r="K14" s="18" t="n">
        <v>1.17198797</v>
      </c>
      <c r="L14" s="20" t="n">
        <v>0.34989882</v>
      </c>
      <c r="M14" s="18" t="n">
        <v>0</v>
      </c>
      <c r="N14" s="20" t="n">
        <v>0</v>
      </c>
      <c r="O14" s="18" t="n">
        <v>0</v>
      </c>
      <c r="P14" s="20" t="n">
        <v>0</v>
      </c>
      <c r="Q14" s="18" t="n">
        <v>0</v>
      </c>
      <c r="R14" s="20" t="n">
        <v>0</v>
      </c>
    </row>
    <row r="15" spans="1:18">
      <c r="A15" s="15" t="s">
        <v>573</v>
      </c>
      <c r="B15" s="17" t="n">
        <v>5882</v>
      </c>
      <c r="C15" s="18">
        <f>(4596.0/B15*100)</f>
        <v/>
      </c>
      <c r="D15" s="19" t="n">
        <v>1286</v>
      </c>
      <c r="E15" s="18" t="n">
        <v>22.65287483</v>
      </c>
      <c r="F15" s="20" t="n">
        <v>1.12492587</v>
      </c>
      <c r="G15" s="18" t="n">
        <v>76.06231578000001</v>
      </c>
      <c r="H15" s="20" t="n">
        <v>1.24667634</v>
      </c>
      <c r="I15" s="18" t="n">
        <v>0</v>
      </c>
      <c r="J15" s="20" t="n">
        <v>0</v>
      </c>
      <c r="K15" s="18" t="n">
        <v>1.28480939</v>
      </c>
      <c r="L15" s="20" t="n">
        <v>0.33479994</v>
      </c>
      <c r="M15" s="18" t="n">
        <v>0</v>
      </c>
      <c r="N15" s="20" t="n">
        <v>0</v>
      </c>
      <c r="O15" s="18" t="n">
        <v>0</v>
      </c>
      <c r="P15" s="20" t="n">
        <v>0</v>
      </c>
      <c r="Q15" s="18" t="n">
        <v>0</v>
      </c>
      <c r="R15" s="20" t="n">
        <v>0</v>
      </c>
    </row>
    <row r="16" spans="1:18">
      <c r="A16" s="15" t="s">
        <v>574</v>
      </c>
      <c r="B16" s="17" t="n">
        <v>6108</v>
      </c>
      <c r="C16" s="18">
        <f>(4796.0/B16*100)</f>
        <v/>
      </c>
      <c r="D16" s="19" t="n">
        <v>1312</v>
      </c>
      <c r="E16" s="18" t="n">
        <v>24.54369287</v>
      </c>
      <c r="F16" s="20" t="n">
        <v>1.43666888</v>
      </c>
      <c r="G16" s="18" t="n">
        <v>71.00656672</v>
      </c>
      <c r="H16" s="20" t="n">
        <v>1.47507614</v>
      </c>
      <c r="I16" s="18" t="n">
        <v>0</v>
      </c>
      <c r="J16" s="20" t="n">
        <v>0</v>
      </c>
      <c r="K16" s="18" t="n">
        <v>4.44974041</v>
      </c>
      <c r="L16" s="20" t="n">
        <v>0.65514702</v>
      </c>
      <c r="M16" s="18" t="n">
        <v>0</v>
      </c>
      <c r="N16" s="20" t="n">
        <v>0</v>
      </c>
      <c r="O16" s="18" t="n">
        <v>0</v>
      </c>
      <c r="P16" s="20" t="n">
        <v>0</v>
      </c>
      <c r="Q16" s="18" t="n">
        <v>0</v>
      </c>
      <c r="R16" s="20" t="n">
        <v>0</v>
      </c>
    </row>
    <row r="17" spans="1:18">
      <c r="A17" s="15" t="s">
        <v>575</v>
      </c>
      <c r="B17" s="17" t="n">
        <v>6504</v>
      </c>
      <c r="C17" s="18">
        <f>(5205.0/B17*100)</f>
        <v/>
      </c>
      <c r="D17" s="19" t="n">
        <v>1299</v>
      </c>
      <c r="E17" s="18" t="n">
        <v>22.07726886</v>
      </c>
      <c r="F17" s="20" t="n">
        <v>1.16637973</v>
      </c>
      <c r="G17" s="18" t="n">
        <v>74.63793527999999</v>
      </c>
      <c r="H17" s="20" t="n">
        <v>1.30062839</v>
      </c>
      <c r="I17" s="18" t="n">
        <v>0</v>
      </c>
      <c r="J17" s="20" t="n">
        <v>0</v>
      </c>
      <c r="K17" s="18" t="n">
        <v>3.28479586</v>
      </c>
      <c r="L17" s="20" t="n">
        <v>0.51740995</v>
      </c>
      <c r="M17" s="18" t="n">
        <v>0</v>
      </c>
      <c r="N17" s="20" t="n">
        <v>0</v>
      </c>
      <c r="O17" s="18" t="n">
        <v>0</v>
      </c>
      <c r="P17" s="20" t="n">
        <v>0</v>
      </c>
      <c r="Q17" s="18" t="n">
        <v>0</v>
      </c>
      <c r="R17" s="20" t="n">
        <v>0</v>
      </c>
    </row>
    <row r="18" spans="1:18">
      <c r="A18" s="15" t="s">
        <v>576</v>
      </c>
      <c r="B18" s="17" t="n">
        <v>5532</v>
      </c>
      <c r="C18" s="18">
        <f>(4332.0/B18*100)</f>
        <v/>
      </c>
      <c r="D18" s="19" t="n">
        <v>1200</v>
      </c>
      <c r="E18" s="18" t="n">
        <v>33.62301842</v>
      </c>
      <c r="F18" s="20" t="n">
        <v>1.60552662</v>
      </c>
      <c r="G18" s="18" t="n">
        <v>61.79117335</v>
      </c>
      <c r="H18" s="20" t="n">
        <v>1.65663861</v>
      </c>
      <c r="I18" s="18" t="n">
        <v>0</v>
      </c>
      <c r="J18" s="20" t="n">
        <v>0</v>
      </c>
      <c r="K18" s="18" t="n">
        <v>4.58580822</v>
      </c>
      <c r="L18" s="20" t="n">
        <v>0.72396642</v>
      </c>
      <c r="M18" s="18" t="n">
        <v>0</v>
      </c>
      <c r="N18" s="20" t="n">
        <v>0</v>
      </c>
      <c r="O18" s="18" t="n">
        <v>0</v>
      </c>
      <c r="P18" s="20" t="n">
        <v>0</v>
      </c>
      <c r="Q18" s="18" t="n">
        <v>0</v>
      </c>
      <c r="R18" s="20" t="n">
        <v>0</v>
      </c>
    </row>
    <row r="19" spans="1:18">
      <c r="A19" s="15" t="s">
        <v>577</v>
      </c>
      <c r="B19" s="17" t="n">
        <v>5658</v>
      </c>
      <c r="C19" s="18">
        <f>(4525.0/B19*100)</f>
        <v/>
      </c>
      <c r="D19" s="19" t="n">
        <v>1133</v>
      </c>
      <c r="E19" s="18" t="n">
        <v>38.68035375</v>
      </c>
      <c r="F19" s="20" t="n">
        <v>1.65085578</v>
      </c>
      <c r="G19" s="18" t="n">
        <v>58.77348862</v>
      </c>
      <c r="H19" s="20" t="n">
        <v>1.6128359</v>
      </c>
      <c r="I19" s="18" t="n">
        <v>0</v>
      </c>
      <c r="J19" s="20" t="n">
        <v>0</v>
      </c>
      <c r="K19" s="18" t="n">
        <v>2.54615763</v>
      </c>
      <c r="L19" s="20" t="n">
        <v>0.56804358</v>
      </c>
      <c r="M19" s="18" t="n">
        <v>0</v>
      </c>
      <c r="N19" s="20" t="n">
        <v>0</v>
      </c>
      <c r="O19" s="18" t="n">
        <v>0</v>
      </c>
      <c r="P19" s="20" t="n">
        <v>0</v>
      </c>
      <c r="Q19" s="18" t="n">
        <v>0</v>
      </c>
      <c r="R19" s="20" t="n">
        <v>0</v>
      </c>
    </row>
    <row r="20" spans="1:18">
      <c r="A20" s="15" t="s">
        <v>578</v>
      </c>
      <c r="B20" s="17" t="n">
        <v>3371</v>
      </c>
      <c r="C20" s="18">
        <f>(2662.0/B20*100)</f>
        <v/>
      </c>
      <c r="D20" s="19" t="n">
        <v>709</v>
      </c>
      <c r="E20" s="18" t="n">
        <v>31.71308157</v>
      </c>
      <c r="F20" s="20" t="n">
        <v>1.85580603</v>
      </c>
      <c r="G20" s="18" t="n">
        <v>63.78132295</v>
      </c>
      <c r="H20" s="20" t="n">
        <v>1.96220523</v>
      </c>
      <c r="I20" s="18" t="n">
        <v>0</v>
      </c>
      <c r="J20" s="20" t="n">
        <v>0</v>
      </c>
      <c r="K20" s="18" t="n">
        <v>4.50559548</v>
      </c>
      <c r="L20" s="20" t="n">
        <v>0.8362699099999999</v>
      </c>
      <c r="M20" s="18" t="n">
        <v>0</v>
      </c>
      <c r="N20" s="20" t="n">
        <v>0</v>
      </c>
      <c r="O20" s="18" t="n">
        <v>0</v>
      </c>
      <c r="P20" s="20" t="n">
        <v>0</v>
      </c>
      <c r="Q20" s="18" t="n">
        <v>0</v>
      </c>
      <c r="R20" s="20" t="n">
        <v>0</v>
      </c>
    </row>
    <row r="21" spans="1:18">
      <c r="A21" s="15" t="s">
        <v>579</v>
      </c>
      <c r="B21" s="17" t="n">
        <v>5741</v>
      </c>
      <c r="C21" s="18">
        <f>(4494.0/B21*100)</f>
        <v/>
      </c>
      <c r="D21" s="19" t="n">
        <v>1247</v>
      </c>
      <c r="E21" s="18" t="n">
        <v>31.29575552</v>
      </c>
      <c r="F21" s="20" t="n">
        <v>1.72351543</v>
      </c>
      <c r="G21" s="18" t="n">
        <v>66.79159165</v>
      </c>
      <c r="H21" s="20" t="n">
        <v>1.79831538</v>
      </c>
      <c r="I21" s="18" t="n">
        <v>0</v>
      </c>
      <c r="J21" s="20" t="n">
        <v>0</v>
      </c>
      <c r="K21" s="18" t="n">
        <v>1.91265283</v>
      </c>
      <c r="L21" s="20" t="n">
        <v>0.4467022</v>
      </c>
      <c r="M21" s="18" t="n">
        <v>0</v>
      </c>
      <c r="N21" s="20" t="n">
        <v>0</v>
      </c>
      <c r="O21" s="18" t="n">
        <v>0</v>
      </c>
      <c r="P21" s="20" t="n">
        <v>0</v>
      </c>
      <c r="Q21" s="18" t="n">
        <v>0</v>
      </c>
      <c r="R21" s="20" t="n">
        <v>0</v>
      </c>
    </row>
    <row r="22" spans="1:18">
      <c r="A22" s="15" t="s">
        <v>580</v>
      </c>
      <c r="B22" s="17" t="n">
        <v>6598</v>
      </c>
      <c r="C22" s="18">
        <f>(5235.0/B22*100)</f>
        <v/>
      </c>
      <c r="D22" s="19" t="n">
        <v>1363</v>
      </c>
      <c r="E22" s="18" t="n">
        <v>36.68905721</v>
      </c>
      <c r="F22" s="20" t="n">
        <v>1.76973347</v>
      </c>
      <c r="G22" s="18" t="n">
        <v>58.5140404</v>
      </c>
      <c r="H22" s="20" t="n">
        <v>1.84143934</v>
      </c>
      <c r="I22" s="18" t="n">
        <v>0</v>
      </c>
      <c r="J22" s="20" t="n">
        <v>0</v>
      </c>
      <c r="K22" s="18" t="n">
        <v>4.79690239</v>
      </c>
      <c r="L22" s="20" t="n">
        <v>0.66117495</v>
      </c>
      <c r="M22" s="18" t="n">
        <v>0</v>
      </c>
      <c r="N22" s="20" t="n">
        <v>0</v>
      </c>
      <c r="O22" s="18" t="n">
        <v>0</v>
      </c>
      <c r="P22" s="20" t="n">
        <v>0</v>
      </c>
      <c r="Q22" s="18" t="n">
        <v>0</v>
      </c>
      <c r="R22" s="20" t="n">
        <v>0</v>
      </c>
    </row>
    <row r="23" spans="1:18">
      <c r="A23" s="15" t="s">
        <v>581</v>
      </c>
      <c r="B23" s="17" t="n">
        <v>11583</v>
      </c>
      <c r="C23" s="18">
        <f>(9075.0/B23*100)</f>
        <v/>
      </c>
      <c r="D23" s="19" t="n">
        <v>2508</v>
      </c>
      <c r="E23" s="18" t="n">
        <v>32.13844919</v>
      </c>
      <c r="F23" s="20" t="n">
        <v>1.25239671</v>
      </c>
      <c r="G23" s="18" t="n">
        <v>62.77817729</v>
      </c>
      <c r="H23" s="20" t="n">
        <v>1.3516126</v>
      </c>
      <c r="I23" s="18" t="n">
        <v>0</v>
      </c>
      <c r="J23" s="20" t="n">
        <v>0</v>
      </c>
      <c r="K23" s="18" t="n">
        <v>5.08337352</v>
      </c>
      <c r="L23" s="20" t="n">
        <v>0.62590871</v>
      </c>
      <c r="M23" s="18" t="n">
        <v>0</v>
      </c>
      <c r="N23" s="20" t="n">
        <v>0</v>
      </c>
      <c r="O23" s="18" t="n">
        <v>0</v>
      </c>
      <c r="P23" s="20" t="n">
        <v>0</v>
      </c>
      <c r="Q23" s="18" t="n">
        <v>0</v>
      </c>
      <c r="R23" s="20" t="n">
        <v>0</v>
      </c>
    </row>
    <row r="24" spans="1:18">
      <c r="A24" s="15" t="s">
        <v>582</v>
      </c>
      <c r="B24" s="17" t="n">
        <v>6647</v>
      </c>
      <c r="C24" s="18">
        <f>(5228.0/B24*100)</f>
        <v/>
      </c>
      <c r="D24" s="19" t="n">
        <v>1419</v>
      </c>
      <c r="E24" s="18" t="n">
        <v>10.05487987</v>
      </c>
      <c r="F24" s="20" t="n">
        <v>0.93340279</v>
      </c>
      <c r="G24" s="18" t="n">
        <v>88.995183</v>
      </c>
      <c r="H24" s="20" t="n">
        <v>0.97790822</v>
      </c>
      <c r="I24" s="18" t="n">
        <v>0</v>
      </c>
      <c r="J24" s="20" t="n">
        <v>0</v>
      </c>
      <c r="K24" s="18" t="n">
        <v>0.94993714</v>
      </c>
      <c r="L24" s="20" t="n">
        <v>0.30954802</v>
      </c>
      <c r="M24" s="18" t="n">
        <v>0</v>
      </c>
      <c r="N24" s="20" t="n">
        <v>0</v>
      </c>
      <c r="O24" s="18" t="n">
        <v>0</v>
      </c>
      <c r="P24" s="20" t="n">
        <v>0</v>
      </c>
      <c r="Q24" s="18" t="n">
        <v>0</v>
      </c>
      <c r="R24" s="20" t="n">
        <v>0</v>
      </c>
    </row>
    <row r="25" spans="1:18">
      <c r="A25" s="15" t="s">
        <v>583</v>
      </c>
      <c r="B25" s="17" t="n">
        <v>5581</v>
      </c>
      <c r="C25" s="18">
        <f>(4358.0/B25*100)</f>
        <v/>
      </c>
      <c r="D25" s="19" t="n">
        <v>1223</v>
      </c>
      <c r="E25" s="18" t="n">
        <v>16.95518832</v>
      </c>
      <c r="F25" s="20" t="n">
        <v>1.2673</v>
      </c>
      <c r="G25" s="18" t="n">
        <v>82.38978007999999</v>
      </c>
      <c r="H25" s="20" t="n">
        <v>1.23947378</v>
      </c>
      <c r="I25" s="18" t="n">
        <v>0</v>
      </c>
      <c r="J25" s="20" t="n">
        <v>0</v>
      </c>
      <c r="K25" s="18" t="n">
        <v>0.6550316</v>
      </c>
      <c r="L25" s="20" t="n">
        <v>0.28494468</v>
      </c>
      <c r="M25" s="18" t="n">
        <v>0</v>
      </c>
      <c r="N25" s="20" t="n">
        <v>0</v>
      </c>
      <c r="O25" s="18" t="n">
        <v>0</v>
      </c>
      <c r="P25" s="20" t="n">
        <v>0</v>
      </c>
      <c r="Q25" s="18" t="n">
        <v>0</v>
      </c>
      <c r="R25" s="20" t="n">
        <v>0</v>
      </c>
    </row>
    <row r="26" spans="1:18">
      <c r="A26" s="15" t="s">
        <v>584</v>
      </c>
      <c r="B26" s="17" t="n">
        <v>4869</v>
      </c>
      <c r="C26" s="18">
        <f>(3840.0/B26*100)</f>
        <v/>
      </c>
      <c r="D26" s="19" t="n">
        <v>1029</v>
      </c>
      <c r="E26" s="18" t="n">
        <v>27.45096579</v>
      </c>
      <c r="F26" s="20" t="n">
        <v>1.48017188</v>
      </c>
      <c r="G26" s="18" t="n">
        <v>71.60600219</v>
      </c>
      <c r="H26" s="20" t="n">
        <v>1.49640855</v>
      </c>
      <c r="I26" s="18" t="n">
        <v>0</v>
      </c>
      <c r="J26" s="20" t="n">
        <v>0</v>
      </c>
      <c r="K26" s="18" t="n">
        <v>0.94303202</v>
      </c>
      <c r="L26" s="20" t="n">
        <v>0.30783342</v>
      </c>
      <c r="M26" s="18" t="n">
        <v>0</v>
      </c>
      <c r="N26" s="20" t="n">
        <v>0</v>
      </c>
      <c r="O26" s="18" t="n">
        <v>0</v>
      </c>
      <c r="P26" s="20" t="n">
        <v>0</v>
      </c>
      <c r="Q26" s="18" t="n">
        <v>0</v>
      </c>
      <c r="R26" s="20" t="n">
        <v>0</v>
      </c>
    </row>
    <row r="27" spans="1:18">
      <c r="A27" s="15" t="s">
        <v>585</v>
      </c>
      <c r="B27" s="17" t="n">
        <v>5299</v>
      </c>
      <c r="C27" s="18">
        <f>(4190.0/B27*100)</f>
        <v/>
      </c>
      <c r="D27" s="19" t="n">
        <v>1109</v>
      </c>
      <c r="E27" s="18" t="n">
        <v>28.16132645</v>
      </c>
      <c r="F27" s="20" t="n">
        <v>1.53227427</v>
      </c>
      <c r="G27" s="18" t="n">
        <v>67.43845066999999</v>
      </c>
      <c r="H27" s="20" t="n">
        <v>1.49981487</v>
      </c>
      <c r="I27" s="18" t="n">
        <v>0</v>
      </c>
      <c r="J27" s="20" t="n">
        <v>0</v>
      </c>
      <c r="K27" s="18" t="n">
        <v>4.40022288</v>
      </c>
      <c r="L27" s="20" t="n">
        <v>0.57745315</v>
      </c>
      <c r="M27" s="18" t="n">
        <v>0</v>
      </c>
      <c r="N27" s="20" t="n">
        <v>0</v>
      </c>
      <c r="O27" s="18" t="n">
        <v>0</v>
      </c>
      <c r="P27" s="20" t="n">
        <v>0</v>
      </c>
      <c r="Q27" s="18" t="n">
        <v>0</v>
      </c>
      <c r="R27" s="20" t="n">
        <v>0</v>
      </c>
    </row>
    <row r="28" spans="1:18">
      <c r="A28" s="15" t="s">
        <v>586</v>
      </c>
      <c r="B28" s="17" t="n">
        <v>7568</v>
      </c>
      <c r="C28" s="18">
        <f>(6191.0/B28*100)</f>
        <v/>
      </c>
      <c r="D28" s="19" t="n">
        <v>1377</v>
      </c>
      <c r="E28" s="18" t="n">
        <v>29.24689339</v>
      </c>
      <c r="F28" s="20" t="n">
        <v>1.43904327</v>
      </c>
      <c r="G28" s="18" t="n">
        <v>66.22965560999999</v>
      </c>
      <c r="H28" s="20" t="n">
        <v>1.52536506</v>
      </c>
      <c r="I28" s="18" t="n">
        <v>0</v>
      </c>
      <c r="J28" s="20" t="n">
        <v>0</v>
      </c>
      <c r="K28" s="18" t="n">
        <v>4.523451</v>
      </c>
      <c r="L28" s="20" t="n">
        <v>0.74715723</v>
      </c>
      <c r="M28" s="18" t="n">
        <v>0</v>
      </c>
      <c r="N28" s="20" t="n">
        <v>0</v>
      </c>
      <c r="O28" s="18" t="n">
        <v>0</v>
      </c>
      <c r="P28" s="20" t="n">
        <v>0</v>
      </c>
      <c r="Q28" s="18" t="n">
        <v>0</v>
      </c>
      <c r="R28" s="20" t="n">
        <v>0</v>
      </c>
    </row>
    <row r="29" spans="1:18">
      <c r="A29" s="15" t="s">
        <v>587</v>
      </c>
      <c r="B29" s="17" t="n">
        <v>5385</v>
      </c>
      <c r="C29" s="18">
        <f>(4277.0/B29*100)</f>
        <v/>
      </c>
      <c r="D29" s="19" t="n">
        <v>1108</v>
      </c>
      <c r="E29" s="18" t="n">
        <v>25.97257089</v>
      </c>
      <c r="F29" s="20" t="n">
        <v>1.52276063</v>
      </c>
      <c r="G29" s="18" t="n">
        <v>72.97859386</v>
      </c>
      <c r="H29" s="20" t="n">
        <v>1.57242981</v>
      </c>
      <c r="I29" s="18" t="n">
        <v>0</v>
      </c>
      <c r="J29" s="20" t="n">
        <v>0</v>
      </c>
      <c r="K29" s="18" t="n">
        <v>1.04883526</v>
      </c>
      <c r="L29" s="20" t="n">
        <v>0.38128515</v>
      </c>
      <c r="M29" s="18" t="n">
        <v>0</v>
      </c>
      <c r="N29" s="20" t="n">
        <v>0</v>
      </c>
      <c r="O29" s="18" t="n">
        <v>0</v>
      </c>
      <c r="P29" s="20" t="n">
        <v>0</v>
      </c>
      <c r="Q29" s="18" t="n">
        <v>0</v>
      </c>
      <c r="R29" s="20" t="n">
        <v>0</v>
      </c>
    </row>
    <row r="30" spans="1:18">
      <c r="A30" s="15" t="s">
        <v>588</v>
      </c>
      <c r="B30" s="17" t="n">
        <v>4520</v>
      </c>
      <c r="C30" s="18">
        <f>(3595.0/B30*100)</f>
        <v/>
      </c>
      <c r="D30" s="19" t="n">
        <v>925</v>
      </c>
      <c r="E30" s="18" t="n">
        <v>32.27332841</v>
      </c>
      <c r="F30" s="20" t="n">
        <v>1.60011755</v>
      </c>
      <c r="G30" s="18" t="n">
        <v>63.21214905</v>
      </c>
      <c r="H30" s="20" t="n">
        <v>1.45792805</v>
      </c>
      <c r="I30" s="18" t="n">
        <v>0</v>
      </c>
      <c r="J30" s="20" t="n">
        <v>0</v>
      </c>
      <c r="K30" s="18" t="n">
        <v>4.51452253</v>
      </c>
      <c r="L30" s="20" t="n">
        <v>0.92296816</v>
      </c>
      <c r="M30" s="18" t="n">
        <v>0</v>
      </c>
      <c r="N30" s="20" t="n">
        <v>0</v>
      </c>
      <c r="O30" s="18" t="n">
        <v>0</v>
      </c>
      <c r="P30" s="20" t="n">
        <v>0</v>
      </c>
      <c r="Q30" s="18" t="n">
        <v>0</v>
      </c>
      <c r="R30" s="20" t="n">
        <v>0</v>
      </c>
    </row>
    <row r="31" spans="1:18">
      <c r="A31" s="15" t="s">
        <v>589</v>
      </c>
      <c r="B31" s="17" t="n">
        <v>5456</v>
      </c>
      <c r="C31" s="18">
        <f>(4288.0/B31*100)</f>
        <v/>
      </c>
      <c r="D31" s="19" t="n">
        <v>1168</v>
      </c>
      <c r="E31" s="18" t="n">
        <v>30.48041845</v>
      </c>
      <c r="F31" s="20" t="n">
        <v>1.3092562</v>
      </c>
      <c r="G31" s="18" t="n">
        <v>65.05110601</v>
      </c>
      <c r="H31" s="20" t="n">
        <v>1.43072923</v>
      </c>
      <c r="I31" s="18" t="n">
        <v>0</v>
      </c>
      <c r="J31" s="20" t="n">
        <v>0</v>
      </c>
      <c r="K31" s="18" t="n">
        <v>4.46847554</v>
      </c>
      <c r="L31" s="20" t="n">
        <v>0.69012397</v>
      </c>
      <c r="M31" s="18" t="n">
        <v>0</v>
      </c>
      <c r="N31" s="20" t="n">
        <v>0</v>
      </c>
      <c r="O31" s="18" t="n">
        <v>0</v>
      </c>
      <c r="P31" s="20" t="n">
        <v>0</v>
      </c>
      <c r="Q31" s="18" t="n">
        <v>0</v>
      </c>
      <c r="R31" s="20" t="n">
        <v>0</v>
      </c>
    </row>
    <row r="32" spans="1:18">
      <c r="A32" s="15" t="s">
        <v>590</v>
      </c>
      <c r="B32" s="17" t="n">
        <v>4478</v>
      </c>
      <c r="C32" s="18">
        <f>(3457.0/B32*100)</f>
        <v/>
      </c>
      <c r="D32" s="19" t="n">
        <v>1021</v>
      </c>
      <c r="E32" s="18" t="n">
        <v>33.02499765</v>
      </c>
      <c r="F32" s="20" t="n">
        <v>1.52831064</v>
      </c>
      <c r="G32" s="18" t="n">
        <v>66.00166113</v>
      </c>
      <c r="H32" s="20" t="n">
        <v>1.52099204</v>
      </c>
      <c r="I32" s="18" t="n">
        <v>0</v>
      </c>
      <c r="J32" s="20" t="n">
        <v>0</v>
      </c>
      <c r="K32" s="18" t="n">
        <v>0.97334122</v>
      </c>
      <c r="L32" s="20" t="n">
        <v>0.3086211</v>
      </c>
      <c r="M32" s="18" t="n">
        <v>0</v>
      </c>
      <c r="N32" s="20" t="n">
        <v>0</v>
      </c>
      <c r="O32" s="18" t="n">
        <v>0</v>
      </c>
      <c r="P32" s="20" t="n">
        <v>0</v>
      </c>
      <c r="Q32" s="18" t="n">
        <v>0</v>
      </c>
      <c r="R32" s="20" t="n">
        <v>0</v>
      </c>
    </row>
    <row r="33" spans="1:18">
      <c r="A33" s="15" t="s">
        <v>591</v>
      </c>
      <c r="B33" s="17" t="n">
        <v>7325</v>
      </c>
      <c r="C33" s="18">
        <f>(5841.0/B33*100)</f>
        <v/>
      </c>
      <c r="D33" s="19" t="n">
        <v>1484</v>
      </c>
      <c r="E33" s="18" t="n">
        <v>22.94758107</v>
      </c>
      <c r="F33" s="20" t="n">
        <v>1.32197427</v>
      </c>
      <c r="G33" s="18" t="n">
        <v>74.70369743000001</v>
      </c>
      <c r="H33" s="20" t="n">
        <v>1.38150748</v>
      </c>
      <c r="I33" s="18" t="n">
        <v>0</v>
      </c>
      <c r="J33" s="20" t="n">
        <v>0</v>
      </c>
      <c r="K33" s="18" t="n">
        <v>2.3487215</v>
      </c>
      <c r="L33" s="20" t="n">
        <v>0.51991719</v>
      </c>
      <c r="M33" s="18" t="n">
        <v>0</v>
      </c>
      <c r="N33" s="20" t="n">
        <v>0</v>
      </c>
      <c r="O33" s="18" t="n">
        <v>0</v>
      </c>
      <c r="P33" s="20" t="n">
        <v>0</v>
      </c>
      <c r="Q33" s="18" t="n">
        <v>0</v>
      </c>
      <c r="R33" s="20" t="n">
        <v>0</v>
      </c>
    </row>
    <row r="34" spans="1:18">
      <c r="A34" s="15" t="s">
        <v>592</v>
      </c>
      <c r="B34" s="17" t="n">
        <v>6350</v>
      </c>
      <c r="C34" s="18">
        <f>(5085.0/B34*100)</f>
        <v/>
      </c>
      <c r="D34" s="19" t="n">
        <v>1265</v>
      </c>
      <c r="E34" s="18" t="n">
        <v>34.9938427</v>
      </c>
      <c r="F34" s="20" t="n">
        <v>1.57110487</v>
      </c>
      <c r="G34" s="18" t="n">
        <v>62.28374423</v>
      </c>
      <c r="H34" s="20" t="n">
        <v>1.59992167</v>
      </c>
      <c r="I34" s="18" t="n">
        <v>0</v>
      </c>
      <c r="J34" s="20" t="n">
        <v>0</v>
      </c>
      <c r="K34" s="18" t="n">
        <v>2.72241307</v>
      </c>
      <c r="L34" s="20" t="n">
        <v>0.61844717</v>
      </c>
      <c r="M34" s="18" t="n">
        <v>0</v>
      </c>
      <c r="N34" s="20" t="n">
        <v>0</v>
      </c>
      <c r="O34" s="18" t="n">
        <v>0</v>
      </c>
      <c r="P34" s="20" t="n">
        <v>0</v>
      </c>
      <c r="Q34" s="18" t="n">
        <v>0</v>
      </c>
      <c r="R34" s="20" t="n">
        <v>0</v>
      </c>
    </row>
    <row r="35" spans="1:18">
      <c r="A35" s="15" t="s">
        <v>593</v>
      </c>
      <c r="B35" s="17" t="n">
        <v>6406</v>
      </c>
      <c r="C35" s="18">
        <f>(5023.0/B35*100)</f>
        <v/>
      </c>
      <c r="D35" s="19" t="n">
        <v>1383</v>
      </c>
      <c r="E35" s="18" t="n">
        <v>25.97743856</v>
      </c>
      <c r="F35" s="20" t="n">
        <v>1.58257275</v>
      </c>
      <c r="G35" s="18" t="n">
        <v>72.45552687</v>
      </c>
      <c r="H35" s="20" t="n">
        <v>1.68420713</v>
      </c>
      <c r="I35" s="18" t="n">
        <v>0</v>
      </c>
      <c r="J35" s="20" t="n">
        <v>0</v>
      </c>
      <c r="K35" s="18" t="n">
        <v>1.56703456</v>
      </c>
      <c r="L35" s="20" t="n">
        <v>0.40869322</v>
      </c>
      <c r="M35" s="18" t="n">
        <v>0</v>
      </c>
      <c r="N35" s="20" t="n">
        <v>0</v>
      </c>
      <c r="O35" s="18" t="n">
        <v>0</v>
      </c>
      <c r="P35" s="20" t="n">
        <v>0</v>
      </c>
      <c r="Q35" s="18" t="n">
        <v>0</v>
      </c>
      <c r="R35" s="20" t="n">
        <v>0</v>
      </c>
    </row>
    <row r="36" spans="1:18">
      <c r="A36" s="15" t="s">
        <v>594</v>
      </c>
      <c r="B36" s="17" t="n">
        <v>6736</v>
      </c>
      <c r="C36" s="18">
        <f>(5364.0/B36*100)</f>
        <v/>
      </c>
      <c r="D36" s="19" t="n">
        <v>1372</v>
      </c>
      <c r="E36" s="18" t="n">
        <v>30.19484074</v>
      </c>
      <c r="F36" s="20" t="n">
        <v>1.41329581</v>
      </c>
      <c r="G36" s="18" t="n">
        <v>67.05865231999999</v>
      </c>
      <c r="H36" s="20" t="n">
        <v>1.47194421</v>
      </c>
      <c r="I36" s="18" t="n">
        <v>0</v>
      </c>
      <c r="J36" s="20" t="n">
        <v>0</v>
      </c>
      <c r="K36" s="18" t="n">
        <v>2.74650694</v>
      </c>
      <c r="L36" s="20" t="n">
        <v>0.33155855</v>
      </c>
      <c r="M36" s="18" t="n">
        <v>0</v>
      </c>
      <c r="N36" s="20" t="n">
        <v>0</v>
      </c>
      <c r="O36" s="18" t="n">
        <v>0</v>
      </c>
      <c r="P36" s="20" t="n">
        <v>0</v>
      </c>
      <c r="Q36" s="18" t="n">
        <v>0</v>
      </c>
      <c r="R36" s="20" t="n">
        <v>0</v>
      </c>
    </row>
    <row r="37" spans="1:18">
      <c r="A37" s="15" t="s">
        <v>595</v>
      </c>
      <c r="B37" s="17" t="n">
        <v>5458</v>
      </c>
      <c r="C37" s="18">
        <f>(4360.0/B37*100)</f>
        <v/>
      </c>
      <c r="D37" s="19" t="n">
        <v>1098</v>
      </c>
      <c r="E37" s="18" t="n">
        <v>30.42519273</v>
      </c>
      <c r="F37" s="20" t="n">
        <v>1.50363083</v>
      </c>
      <c r="G37" s="18" t="n">
        <v>63.27228004</v>
      </c>
      <c r="H37" s="20" t="n">
        <v>1.48351994</v>
      </c>
      <c r="I37" s="18" t="n">
        <v>0</v>
      </c>
      <c r="J37" s="20" t="n">
        <v>0</v>
      </c>
      <c r="K37" s="18" t="n">
        <v>6.30252724</v>
      </c>
      <c r="L37" s="20" t="n">
        <v>0.8212286</v>
      </c>
      <c r="M37" s="18" t="n">
        <v>0</v>
      </c>
      <c r="N37" s="20" t="n">
        <v>0</v>
      </c>
      <c r="O37" s="18" t="n">
        <v>0</v>
      </c>
      <c r="P37" s="20" t="n">
        <v>0</v>
      </c>
      <c r="Q37" s="18" t="n">
        <v>0</v>
      </c>
      <c r="R37" s="20" t="n">
        <v>0</v>
      </c>
    </row>
    <row r="38" spans="1:18">
      <c r="A38" s="15" t="s">
        <v>596</v>
      </c>
      <c r="B38" s="17" t="n">
        <v>5860</v>
      </c>
      <c r="C38" s="18">
        <f>(4627.0/B38*100)</f>
        <v/>
      </c>
      <c r="D38" s="19" t="n">
        <v>1233</v>
      </c>
      <c r="E38" s="18" t="n">
        <v>27.58442853</v>
      </c>
      <c r="F38" s="20" t="n">
        <v>1.53883979</v>
      </c>
      <c r="G38" s="18" t="n">
        <v>69.15280944</v>
      </c>
      <c r="H38" s="20" t="n">
        <v>1.78771632</v>
      </c>
      <c r="I38" s="18" t="n">
        <v>0</v>
      </c>
      <c r="J38" s="20" t="n">
        <v>0</v>
      </c>
      <c r="K38" s="18" t="n">
        <v>3.26276203</v>
      </c>
      <c r="L38" s="20" t="n">
        <v>0.53802592</v>
      </c>
      <c r="M38" s="18" t="n">
        <v>0</v>
      </c>
      <c r="N38" s="20" t="n">
        <v>0</v>
      </c>
      <c r="O38" s="18" t="n">
        <v>0</v>
      </c>
      <c r="P38" s="20" t="n">
        <v>0</v>
      </c>
      <c r="Q38" s="18" t="n">
        <v>0</v>
      </c>
      <c r="R38" s="20" t="n">
        <v>0</v>
      </c>
    </row>
    <row r="39" spans="1:18">
      <c r="A39" s="15" t="s">
        <v>597</v>
      </c>
      <c r="B39" s="17" t="n">
        <v>5895</v>
      </c>
      <c r="C39" s="18">
        <f>(4579.0/B39*100)</f>
        <v/>
      </c>
      <c r="D39" s="19" t="n">
        <v>1316</v>
      </c>
      <c r="E39" s="18" t="n">
        <v>49.66428651</v>
      </c>
      <c r="F39" s="20" t="n">
        <v>1.51065184</v>
      </c>
      <c r="G39" s="18" t="n">
        <v>48.14033037</v>
      </c>
      <c r="H39" s="20" t="n">
        <v>1.53618886</v>
      </c>
      <c r="I39" s="18" t="n">
        <v>0</v>
      </c>
      <c r="J39" s="20" t="n">
        <v>0</v>
      </c>
      <c r="K39" s="18" t="n">
        <v>2.19538312</v>
      </c>
      <c r="L39" s="20" t="n">
        <v>0.37554577</v>
      </c>
      <c r="M39" s="18" t="n">
        <v>0</v>
      </c>
      <c r="N39" s="20" t="n">
        <v>0</v>
      </c>
      <c r="O39" s="18" t="n">
        <v>0</v>
      </c>
      <c r="P39" s="20" t="n">
        <v>0</v>
      </c>
      <c r="Q39" s="18" t="n">
        <v>0</v>
      </c>
      <c r="R39" s="20" t="n">
        <v>0</v>
      </c>
    </row>
    <row r="40" spans="1:18">
      <c r="A40" s="15" t="s">
        <v>598</v>
      </c>
      <c r="B40" s="17" t="n">
        <v>14157</v>
      </c>
      <c r="C40" s="18">
        <f>(11070.0/B40*100)</f>
        <v/>
      </c>
      <c r="D40" s="19" t="n">
        <v>3087</v>
      </c>
      <c r="E40" s="18" t="n">
        <v>29.81927938</v>
      </c>
      <c r="F40" s="20" t="n">
        <v>1.21928318</v>
      </c>
      <c r="G40" s="18" t="n">
        <v>67.11084605000001</v>
      </c>
      <c r="H40" s="20" t="n">
        <v>1.27594658</v>
      </c>
      <c r="I40" s="18" t="n">
        <v>0</v>
      </c>
      <c r="J40" s="20" t="n">
        <v>0</v>
      </c>
      <c r="K40" s="18" t="n">
        <v>3.06987457</v>
      </c>
      <c r="L40" s="20" t="n">
        <v>0.51441867</v>
      </c>
      <c r="M40" s="18" t="n">
        <v>0</v>
      </c>
      <c r="N40" s="20" t="n">
        <v>0</v>
      </c>
      <c r="O40" s="18" t="n">
        <v>0</v>
      </c>
      <c r="P40" s="20" t="n">
        <v>0</v>
      </c>
      <c r="Q40" s="18" t="n">
        <v>0</v>
      </c>
      <c r="R40" s="20" t="n">
        <v>0</v>
      </c>
    </row>
    <row r="41" spans="1:18">
      <c r="A41" s="15" t="s">
        <v>599</v>
      </c>
      <c r="B41" s="17" t="n">
        <v>5712</v>
      </c>
      <c r="C41" s="18">
        <f>(4566.0/B41*100)</f>
        <v/>
      </c>
      <c r="D41" s="19" t="n">
        <v>1146</v>
      </c>
      <c r="E41" s="18" t="n">
        <v>32.20980502</v>
      </c>
      <c r="F41" s="20" t="n">
        <v>1.80221864</v>
      </c>
      <c r="G41" s="18" t="n">
        <v>65.91292230000001</v>
      </c>
      <c r="H41" s="20" t="n">
        <v>1.77754127</v>
      </c>
      <c r="I41" s="18" t="n">
        <v>0</v>
      </c>
      <c r="J41" s="20" t="n">
        <v>0</v>
      </c>
      <c r="K41" s="18" t="n">
        <v>1.87727268</v>
      </c>
      <c r="L41" s="20" t="n">
        <v>0.44127543</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(19841.0/B46*100)</f>
        <v/>
      </c>
      <c r="D46" s="19" t="n">
        <v>3300</v>
      </c>
      <c r="E46" s="18" t="n">
        <v>41.75359425</v>
      </c>
      <c r="F46" s="20" t="n">
        <v>1.26607738</v>
      </c>
      <c r="G46" s="18" t="n">
        <v>48.74168358</v>
      </c>
      <c r="H46" s="20" t="n">
        <v>1.41574758</v>
      </c>
      <c r="I46" s="18" t="n">
        <v>0</v>
      </c>
      <c r="J46" s="20" t="n">
        <v>0</v>
      </c>
      <c r="K46" s="18" t="n">
        <v>9.504722170000001</v>
      </c>
      <c r="L46" s="20" t="n">
        <v>0.85211404</v>
      </c>
      <c r="M46" s="18" t="n">
        <v>0</v>
      </c>
      <c r="N46" s="20" t="n">
        <v>0</v>
      </c>
      <c r="O46" s="18" t="n">
        <v>0</v>
      </c>
      <c r="P46" s="20" t="n">
        <v>0</v>
      </c>
      <c r="Q46" s="18" t="n">
        <v>0</v>
      </c>
      <c r="R46" s="20" t="n">
        <v>0</v>
      </c>
    </row>
    <row r="47" spans="1:18">
      <c r="A47" s="15" t="s">
        <v>606</v>
      </c>
      <c r="B47" s="17" t="n">
        <v>5928</v>
      </c>
      <c r="C47" s="18">
        <f>(4752.0/B47*100)</f>
        <v/>
      </c>
      <c r="D47" s="19" t="n">
        <v>1176</v>
      </c>
      <c r="E47" s="18" t="n">
        <v>33.68463558</v>
      </c>
      <c r="F47" s="20" t="n">
        <v>1.45165263</v>
      </c>
      <c r="G47" s="18" t="n">
        <v>61.93548815</v>
      </c>
      <c r="H47" s="20" t="n">
        <v>1.59523861</v>
      </c>
      <c r="I47" s="18" t="n">
        <v>0</v>
      </c>
      <c r="J47" s="20" t="n">
        <v>0</v>
      </c>
      <c r="K47" s="18" t="n">
        <v>4.37987627</v>
      </c>
      <c r="L47" s="20" t="n">
        <v>0.73093134</v>
      </c>
      <c r="M47" s="18" t="n">
        <v>0</v>
      </c>
      <c r="N47" s="20" t="n">
        <v>0</v>
      </c>
      <c r="O47" s="18" t="n">
        <v>0</v>
      </c>
      <c r="P47" s="20" t="n">
        <v>0</v>
      </c>
      <c r="Q47" s="18" t="n">
        <v>0</v>
      </c>
      <c r="R47" s="20" t="n">
        <v>0</v>
      </c>
    </row>
    <row r="48" spans="1:18">
      <c r="A48" s="15" t="s">
        <v>607</v>
      </c>
      <c r="B48" s="17" t="n">
        <v>9841</v>
      </c>
      <c r="C48" s="18">
        <f>(7717.0/B48*100)</f>
        <v/>
      </c>
      <c r="D48" s="19" t="n">
        <v>2124</v>
      </c>
      <c r="E48" s="18" t="n">
        <v>16.15704732</v>
      </c>
      <c r="F48" s="20" t="n">
        <v>1.21246341</v>
      </c>
      <c r="G48" s="18" t="n">
        <v>82.38777315999999</v>
      </c>
      <c r="H48" s="20" t="n">
        <v>1.2077606</v>
      </c>
      <c r="I48" s="18" t="n">
        <v>0</v>
      </c>
      <c r="J48" s="20" t="n">
        <v>0</v>
      </c>
      <c r="K48" s="18" t="n">
        <v>1.45517952</v>
      </c>
      <c r="L48" s="20" t="n">
        <v>0.41071557</v>
      </c>
      <c r="M48" s="18" t="n">
        <v>0</v>
      </c>
      <c r="N48" s="20" t="n">
        <v>0</v>
      </c>
      <c r="O48" s="18" t="n">
        <v>0</v>
      </c>
      <c r="P48" s="20" t="n">
        <v>0</v>
      </c>
      <c r="Q48" s="18" t="n">
        <v>0</v>
      </c>
      <c r="R48" s="20" t="n">
        <v>0</v>
      </c>
    </row>
    <row r="49" spans="1:18">
      <c r="A49" s="15" t="s">
        <v>608</v>
      </c>
      <c r="B49" s="17" t="n">
        <v>11795</v>
      </c>
      <c r="C49" s="18">
        <f>(9438.0/B49*100)</f>
        <v/>
      </c>
      <c r="D49" s="19" t="n">
        <v>2357</v>
      </c>
      <c r="E49" s="18" t="n">
        <v>42.63629424</v>
      </c>
      <c r="F49" s="20" t="n">
        <v>1.48007177</v>
      </c>
      <c r="G49" s="18" t="n">
        <v>48.88120752</v>
      </c>
      <c r="H49" s="20" t="n">
        <v>1.44374744</v>
      </c>
      <c r="I49" s="18" t="n">
        <v>0</v>
      </c>
      <c r="J49" s="20" t="n">
        <v>0</v>
      </c>
      <c r="K49" s="18" t="n">
        <v>8.482498250000001</v>
      </c>
      <c r="L49" s="20" t="n">
        <v>0.99487429</v>
      </c>
      <c r="M49" s="18" t="n">
        <v>0</v>
      </c>
      <c r="N49" s="20" t="n">
        <v>0</v>
      </c>
      <c r="O49" s="18" t="n">
        <v>0</v>
      </c>
      <c r="P49" s="20" t="n">
        <v>0</v>
      </c>
      <c r="Q49" s="18" t="n">
        <v>0</v>
      </c>
      <c r="R49" s="20" t="n">
        <v>0</v>
      </c>
    </row>
    <row r="50" spans="1:18">
      <c r="A50" s="15" t="s">
        <v>609</v>
      </c>
      <c r="B50" s="17" t="n">
        <v>6866</v>
      </c>
      <c r="C50" s="18">
        <f>(5714.0/B50*100)</f>
        <v/>
      </c>
      <c r="D50" s="19" t="n">
        <v>1152</v>
      </c>
      <c r="E50" s="18" t="n">
        <v>47.9103515</v>
      </c>
      <c r="F50" s="20" t="n">
        <v>1.69704175</v>
      </c>
      <c r="G50" s="18" t="n">
        <v>48.53957342</v>
      </c>
      <c r="H50" s="20" t="n">
        <v>1.72547869</v>
      </c>
      <c r="I50" s="18" t="n">
        <v>0</v>
      </c>
      <c r="J50" s="20" t="n">
        <v>0</v>
      </c>
      <c r="K50" s="18" t="n">
        <v>3.55007508</v>
      </c>
      <c r="L50" s="20" t="n">
        <v>0.63099675</v>
      </c>
      <c r="M50" s="18" t="n">
        <v>0</v>
      </c>
      <c r="N50" s="20" t="n">
        <v>0</v>
      </c>
      <c r="O50" s="18" t="n">
        <v>0</v>
      </c>
      <c r="P50" s="20" t="n">
        <v>0</v>
      </c>
      <c r="Q50" s="18" t="n">
        <v>0</v>
      </c>
      <c r="R50" s="20" t="n">
        <v>0</v>
      </c>
    </row>
    <row r="51" spans="1:18">
      <c r="A51" s="15" t="s">
        <v>610</v>
      </c>
      <c r="B51" s="17" t="n">
        <v>5809</v>
      </c>
      <c r="C51" s="18">
        <f>(4521.0/B51*100)</f>
        <v/>
      </c>
      <c r="D51" s="19" t="n">
        <v>1288</v>
      </c>
      <c r="E51" s="18" t="n">
        <v>29.67559347</v>
      </c>
      <c r="F51" s="20" t="n">
        <v>1.45273573</v>
      </c>
      <c r="G51" s="18" t="n">
        <v>67.59814682</v>
      </c>
      <c r="H51" s="20" t="n">
        <v>1.52742614</v>
      </c>
      <c r="I51" s="18" t="n">
        <v>0</v>
      </c>
      <c r="J51" s="20" t="n">
        <v>0</v>
      </c>
      <c r="K51" s="18" t="n">
        <v>2.72625971</v>
      </c>
      <c r="L51" s="20" t="n">
        <v>0.56589599</v>
      </c>
      <c r="M51" s="18" t="n">
        <v>0</v>
      </c>
      <c r="N51" s="20" t="n">
        <v>0</v>
      </c>
      <c r="O51" s="18" t="n">
        <v>0</v>
      </c>
      <c r="P51" s="20" t="n">
        <v>0</v>
      </c>
      <c r="Q51" s="18" t="n">
        <v>0</v>
      </c>
      <c r="R51" s="20" t="n">
        <v>0</v>
      </c>
    </row>
    <row r="52" spans="1:18">
      <c r="A52" s="15" t="s">
        <v>611</v>
      </c>
      <c r="B52" s="17" t="n">
        <v>5571</v>
      </c>
      <c r="C52" s="18">
        <f>(4380.0/B52*100)</f>
        <v/>
      </c>
      <c r="D52" s="19" t="n">
        <v>1191</v>
      </c>
      <c r="E52" s="18" t="n">
        <v>53.83124778</v>
      </c>
      <c r="F52" s="20" t="n">
        <v>1.31230348</v>
      </c>
      <c r="G52" s="18" t="n">
        <v>42.95718316</v>
      </c>
      <c r="H52" s="20" t="n">
        <v>1.29385588</v>
      </c>
      <c r="I52" s="18" t="n">
        <v>0</v>
      </c>
      <c r="J52" s="20" t="n">
        <v>0</v>
      </c>
      <c r="K52" s="18" t="n">
        <v>3.21156907</v>
      </c>
      <c r="L52" s="20" t="n">
        <v>0.5264171</v>
      </c>
      <c r="M52" s="18" t="n">
        <v>0</v>
      </c>
      <c r="N52" s="20" t="n">
        <v>0</v>
      </c>
      <c r="O52" s="18" t="n">
        <v>0</v>
      </c>
      <c r="P52" s="20" t="n">
        <v>0</v>
      </c>
      <c r="Q52" s="18" t="n">
        <v>0</v>
      </c>
      <c r="R52" s="20" t="n">
        <v>0</v>
      </c>
    </row>
    <row r="53" spans="1:18">
      <c r="A53" s="15" t="s">
        <v>612</v>
      </c>
      <c r="B53" s="17" t="n">
        <v>4740</v>
      </c>
      <c r="C53" s="18">
        <f>(3704.0/B53*100)</f>
        <v/>
      </c>
      <c r="D53" s="19" t="n">
        <v>1036</v>
      </c>
      <c r="E53" s="18" t="n">
        <v>40.45769012</v>
      </c>
      <c r="F53" s="20" t="n">
        <v>1.88926835</v>
      </c>
      <c r="G53" s="18" t="n">
        <v>26.75532234</v>
      </c>
      <c r="H53" s="20" t="n">
        <v>1.64815238</v>
      </c>
      <c r="I53" s="18" t="n">
        <v>0</v>
      </c>
      <c r="J53" s="20" t="n">
        <v>0</v>
      </c>
      <c r="K53" s="18" t="n">
        <v>32.78698754</v>
      </c>
      <c r="L53" s="20" t="n">
        <v>1.87218397</v>
      </c>
      <c r="M53" s="18" t="n">
        <v>0</v>
      </c>
      <c r="N53" s="20" t="n">
        <v>0</v>
      </c>
      <c r="O53" s="18" t="n">
        <v>0</v>
      </c>
      <c r="P53" s="20" t="n">
        <v>0</v>
      </c>
      <c r="Q53" s="18" t="n">
        <v>0</v>
      </c>
      <c r="R53" s="20" t="n">
        <v>0</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(4167.0/B55*100)</f>
        <v/>
      </c>
      <c r="D55" s="19" t="n">
        <v>1192</v>
      </c>
      <c r="E55" s="18" t="n">
        <v>16.64749804</v>
      </c>
      <c r="F55" s="20" t="n">
        <v>1.02450413</v>
      </c>
      <c r="G55" s="18" t="n">
        <v>82.28245436</v>
      </c>
      <c r="H55" s="20" t="n">
        <v>1.02846613</v>
      </c>
      <c r="I55" s="18" t="n">
        <v>0</v>
      </c>
      <c r="J55" s="20" t="n">
        <v>0</v>
      </c>
      <c r="K55" s="18" t="n">
        <v>1.0700476</v>
      </c>
      <c r="L55" s="20" t="n">
        <v>0.35745194</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(5113.0/B61*100)</f>
        <v/>
      </c>
      <c r="D61" s="19" t="n">
        <v>1412</v>
      </c>
      <c r="E61" s="18" t="n">
        <v>29.32666646</v>
      </c>
      <c r="F61" s="20" t="n">
        <v>1.34228995</v>
      </c>
      <c r="G61" s="18" t="n">
        <v>68.8025087</v>
      </c>
      <c r="H61" s="20" t="n">
        <v>1.35874956</v>
      </c>
      <c r="I61" s="18" t="n">
        <v>0</v>
      </c>
      <c r="J61" s="20" t="n">
        <v>0</v>
      </c>
      <c r="K61" s="18" t="n">
        <v>1.87082484</v>
      </c>
      <c r="L61" s="20" t="n">
        <v>0.32895659</v>
      </c>
      <c r="M61" s="18" t="n">
        <v>0</v>
      </c>
      <c r="N61" s="20" t="n">
        <v>0</v>
      </c>
      <c r="O61" s="18" t="n">
        <v>0</v>
      </c>
      <c r="P61" s="20" t="n">
        <v>0</v>
      </c>
      <c r="Q61" s="18" t="n">
        <v>0</v>
      </c>
      <c r="R61" s="20" t="n">
        <v>0</v>
      </c>
    </row>
    <row r="62" spans="1:18">
      <c r="A62" s="15" t="s">
        <v>622</v>
      </c>
      <c r="B62" s="17" t="n">
        <v>4476</v>
      </c>
      <c r="C62" s="18">
        <f>(3593.0/B62*100)</f>
        <v/>
      </c>
      <c r="D62" s="19" t="n">
        <v>883</v>
      </c>
      <c r="E62" s="18" t="n">
        <v>17.47615843</v>
      </c>
      <c r="F62" s="20" t="n">
        <v>1.34454439</v>
      </c>
      <c r="G62" s="18" t="n">
        <v>82.41135255</v>
      </c>
      <c r="H62" s="20" t="n">
        <v>1.35681133</v>
      </c>
      <c r="I62" s="18" t="n">
        <v>0</v>
      </c>
      <c r="J62" s="20" t="n">
        <v>0</v>
      </c>
      <c r="K62" s="18" t="n">
        <v>0.11248902</v>
      </c>
      <c r="L62" s="20" t="n">
        <v>0.11232971</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(4487.0/B67*100)</f>
        <v/>
      </c>
      <c r="D67" s="19" t="n">
        <v>1178</v>
      </c>
      <c r="E67" s="18" t="n">
        <v>35.36496246</v>
      </c>
      <c r="F67" s="20" t="n">
        <v>1.2568914</v>
      </c>
      <c r="G67" s="18" t="n">
        <v>55.2411767</v>
      </c>
      <c r="H67" s="20" t="n">
        <v>1.34697175</v>
      </c>
      <c r="I67" s="18" t="n">
        <v>0</v>
      </c>
      <c r="J67" s="20" t="n">
        <v>0</v>
      </c>
      <c r="K67" s="18" t="n">
        <v>9.39386084</v>
      </c>
      <c r="L67" s="20" t="n">
        <v>0.86437791</v>
      </c>
      <c r="M67" s="18" t="n">
        <v>0</v>
      </c>
      <c r="N67" s="20" t="n">
        <v>0</v>
      </c>
      <c r="O67" s="18" t="n">
        <v>0</v>
      </c>
      <c r="P67" s="20" t="n">
        <v>0</v>
      </c>
      <c r="Q67" s="18" t="n">
        <v>0</v>
      </c>
      <c r="R67" s="20" t="n">
        <v>0</v>
      </c>
    </row>
    <row r="68" spans="1:18">
      <c r="A68" s="15" t="s">
        <v>628</v>
      </c>
      <c r="B68" s="17" t="n">
        <v>6971</v>
      </c>
      <c r="C68" s="18">
        <f>(5839.0/B68*100)</f>
        <v/>
      </c>
      <c r="D68" s="19" t="n">
        <v>1132</v>
      </c>
      <c r="E68" s="18" t="n">
        <v>49.27351896</v>
      </c>
      <c r="F68" s="20" t="n">
        <v>1.68899022</v>
      </c>
      <c r="G68" s="18" t="n">
        <v>45.81230966</v>
      </c>
      <c r="H68" s="20" t="n">
        <v>1.63464664</v>
      </c>
      <c r="I68" s="18" t="n">
        <v>0</v>
      </c>
      <c r="J68" s="20" t="n">
        <v>0</v>
      </c>
      <c r="K68" s="18" t="n">
        <v>4.91417138</v>
      </c>
      <c r="L68" s="20" t="n">
        <v>0.73120296</v>
      </c>
      <c r="M68" s="18" t="n">
        <v>0</v>
      </c>
      <c r="N68" s="20" t="n">
        <v>0</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(9444.0/B70*100)</f>
        <v/>
      </c>
      <c r="D70" s="19" t="n">
        <v>2639</v>
      </c>
      <c r="E70" s="18" t="n">
        <v>44.65980873</v>
      </c>
      <c r="F70" s="20" t="n">
        <v>0.92712633</v>
      </c>
      <c r="G70" s="18" t="n">
        <v>45.61847153</v>
      </c>
      <c r="H70" s="20" t="n">
        <v>0.96673332</v>
      </c>
      <c r="I70" s="18" t="n">
        <v>0</v>
      </c>
      <c r="J70" s="20" t="n">
        <v>0</v>
      </c>
      <c r="K70" s="18" t="n">
        <v>9.72171973</v>
      </c>
      <c r="L70" s="20" t="n">
        <v>0.5705895</v>
      </c>
      <c r="M70" s="18" t="n">
        <v>0</v>
      </c>
      <c r="N70" s="20" t="n">
        <v>0</v>
      </c>
      <c r="O70" s="18" t="n">
        <v>0</v>
      </c>
      <c r="P70" s="20" t="n">
        <v>0</v>
      </c>
      <c r="Q70" s="18" t="n">
        <v>0</v>
      </c>
      <c r="R70" s="20" t="n">
        <v>0</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(4855.0/B72*100)</f>
        <v/>
      </c>
      <c r="D72" s="19" t="n">
        <v>1181</v>
      </c>
      <c r="E72" s="18" t="n">
        <v>28.38004271</v>
      </c>
      <c r="F72" s="20" t="n">
        <v>0.97120918</v>
      </c>
      <c r="G72" s="18" t="n">
        <v>69.46489266</v>
      </c>
      <c r="H72" s="20" t="n">
        <v>1.06883912</v>
      </c>
      <c r="I72" s="18" t="n">
        <v>0</v>
      </c>
      <c r="J72" s="20" t="n">
        <v>0</v>
      </c>
      <c r="K72" s="18" t="n">
        <v>2.15506463</v>
      </c>
      <c r="L72" s="20" t="n">
        <v>0.53285126</v>
      </c>
      <c r="M72" s="18" t="n">
        <v>0</v>
      </c>
      <c r="N72" s="20" t="n">
        <v>0</v>
      </c>
      <c r="O72" s="18" t="n">
        <v>0</v>
      </c>
      <c r="P72" s="20" t="n">
        <v>0</v>
      </c>
      <c r="Q72" s="18" t="n">
        <v>0</v>
      </c>
      <c r="R72" s="20" t="n">
        <v>0</v>
      </c>
    </row>
    <row r="73" spans="1:18">
      <c r="A73" s="15" t="s">
        <v>633</v>
      </c>
      <c r="B73" s="17" t="n">
        <v>6115</v>
      </c>
      <c r="C73" s="18">
        <f>(4792.0/B73*100)</f>
        <v/>
      </c>
      <c r="D73" s="19" t="n">
        <v>1323</v>
      </c>
      <c r="E73" s="18" t="n">
        <v>20.60778667</v>
      </c>
      <c r="F73" s="20" t="n">
        <v>1.11706875</v>
      </c>
      <c r="G73" s="18" t="n">
        <v>78.64794523</v>
      </c>
      <c r="H73" s="20" t="n">
        <v>1.12252269</v>
      </c>
      <c r="I73" s="18" t="n">
        <v>0</v>
      </c>
      <c r="J73" s="20" t="n">
        <v>0</v>
      </c>
      <c r="K73" s="18" t="n">
        <v>0.7442681</v>
      </c>
      <c r="L73" s="20" t="n">
        <v>0.18797337</v>
      </c>
      <c r="M73" s="18" t="n">
        <v>0</v>
      </c>
      <c r="N73" s="20" t="n">
        <v>0</v>
      </c>
      <c r="O73" s="18" t="n">
        <v>0</v>
      </c>
      <c r="P73" s="20" t="n">
        <v>0</v>
      </c>
      <c r="Q73" s="18" t="n">
        <v>0</v>
      </c>
      <c r="R73" s="20" t="n">
        <v>0</v>
      </c>
    </row>
    <row r="74" spans="1:18">
      <c r="A74" s="15" t="s">
        <v>634</v>
      </c>
      <c r="B74" s="17" t="n">
        <v>7708</v>
      </c>
      <c r="C74" s="18">
        <f>(5949.0/B74*100)</f>
        <v/>
      </c>
      <c r="D74" s="19" t="n">
        <v>1759</v>
      </c>
      <c r="E74" s="18" t="n">
        <v>18.10896657</v>
      </c>
      <c r="F74" s="20" t="n">
        <v>0.95948028</v>
      </c>
      <c r="G74" s="18" t="n">
        <v>81.64325791</v>
      </c>
      <c r="H74" s="20" t="n">
        <v>0.96858574</v>
      </c>
      <c r="I74" s="18" t="n">
        <v>0</v>
      </c>
      <c r="J74" s="20" t="n">
        <v>0</v>
      </c>
      <c r="K74" s="18" t="n">
        <v>0.24777552</v>
      </c>
      <c r="L74" s="20" t="n">
        <v>0.14527198</v>
      </c>
      <c r="M74" s="18" t="n">
        <v>0</v>
      </c>
      <c r="N74" s="20" t="n">
        <v>0</v>
      </c>
      <c r="O74" s="18" t="n">
        <v>0</v>
      </c>
      <c r="P74" s="20" t="n">
        <v>0</v>
      </c>
      <c r="Q74" s="18" t="n">
        <v>0</v>
      </c>
      <c r="R74" s="20" t="n">
        <v>0</v>
      </c>
    </row>
    <row r="75" spans="1:18">
      <c r="A75" s="15" t="s">
        <v>635</v>
      </c>
      <c r="B75" s="17" t="n">
        <v>8249</v>
      </c>
      <c r="C75" s="18">
        <f>(6559.0/B75*100)</f>
        <v/>
      </c>
      <c r="D75" s="19" t="n">
        <v>1690</v>
      </c>
      <c r="E75" s="18" t="n">
        <v>43.17611598</v>
      </c>
      <c r="F75" s="20" t="n">
        <v>1.56533021</v>
      </c>
      <c r="G75" s="18" t="n">
        <v>55.82133262</v>
      </c>
      <c r="H75" s="20" t="n">
        <v>1.53530592</v>
      </c>
      <c r="I75" s="18" t="n">
        <v>0</v>
      </c>
      <c r="J75" s="20" t="n">
        <v>0</v>
      </c>
      <c r="K75" s="18" t="n">
        <v>1.0025514</v>
      </c>
      <c r="L75" s="20" t="n">
        <v>0.30599069</v>
      </c>
      <c r="M75" s="18" t="n">
        <v>0</v>
      </c>
      <c r="N75" s="20" t="n">
        <v>0</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(4345.0/B77*100)</f>
        <v/>
      </c>
      <c r="D77" s="19" t="n">
        <v>1030</v>
      </c>
      <c r="E77" s="18" t="n">
        <v>40.02424238</v>
      </c>
      <c r="F77" s="20" t="n">
        <v>1.70387796</v>
      </c>
      <c r="G77" s="18" t="n">
        <v>47.2538483</v>
      </c>
      <c r="H77" s="20" t="n">
        <v>1.77854335</v>
      </c>
      <c r="I77" s="18" t="n">
        <v>0</v>
      </c>
      <c r="J77" s="20" t="n">
        <v>0</v>
      </c>
      <c r="K77" s="18" t="n">
        <v>12.72190933</v>
      </c>
      <c r="L77" s="20" t="n">
        <v>1.30437816</v>
      </c>
      <c r="M77" s="18" t="n">
        <v>0</v>
      </c>
      <c r="N77" s="20" t="n">
        <v>0</v>
      </c>
      <c r="O77" s="18" t="n">
        <v>0</v>
      </c>
      <c r="P77" s="20" t="n">
        <v>0</v>
      </c>
      <c r="Q77" s="18" t="n">
        <v>0</v>
      </c>
      <c r="R77" s="20" t="n">
        <v>0</v>
      </c>
    </row>
    <row r="78" spans="1:18">
      <c r="A78" s="15" t="s">
        <v>638</v>
      </c>
      <c r="B78" s="17" t="n">
        <v>14167</v>
      </c>
      <c r="C78" s="18">
        <f>(11099.0/B78*100)</f>
        <v/>
      </c>
      <c r="D78" s="19" t="n">
        <v>3068</v>
      </c>
      <c r="E78" s="18" t="n">
        <v>43.03457269</v>
      </c>
      <c r="F78" s="20" t="n">
        <v>1.30417826</v>
      </c>
      <c r="G78" s="18" t="n">
        <v>53.82603209</v>
      </c>
      <c r="H78" s="20" t="n">
        <v>1.34115561</v>
      </c>
      <c r="I78" s="18" t="n">
        <v>0</v>
      </c>
      <c r="J78" s="20" t="n">
        <v>0</v>
      </c>
      <c r="K78" s="18" t="n">
        <v>3.13939522</v>
      </c>
      <c r="L78" s="20" t="n">
        <v>0.40911357</v>
      </c>
      <c r="M78" s="18" t="n">
        <v>0</v>
      </c>
      <c r="N78" s="20" t="n">
        <v>0</v>
      </c>
      <c r="O78" s="18" t="n">
        <v>0</v>
      </c>
      <c r="P78" s="20" t="n">
        <v>0</v>
      </c>
      <c r="Q78" s="18" t="n">
        <v>0</v>
      </c>
      <c r="R78" s="20" t="n">
        <v>0</v>
      </c>
    </row>
    <row r="79" spans="1:18">
      <c r="A79" s="15" t="s">
        <v>639</v>
      </c>
      <c r="B79" s="17" t="n">
        <v>6062</v>
      </c>
      <c r="C79" s="18">
        <f>(4848.0/B79*100)</f>
        <v/>
      </c>
      <c r="D79" s="19" t="n">
        <v>1214</v>
      </c>
      <c r="E79" s="18" t="n">
        <v>36.0815082</v>
      </c>
      <c r="F79" s="20" t="n">
        <v>1.40290989</v>
      </c>
      <c r="G79" s="18" t="n">
        <v>56.13285196</v>
      </c>
      <c r="H79" s="20" t="n">
        <v>1.60046039</v>
      </c>
      <c r="I79" s="18" t="n">
        <v>0</v>
      </c>
      <c r="J79" s="20" t="n">
        <v>0</v>
      </c>
      <c r="K79" s="18" t="n">
        <v>7.78563984</v>
      </c>
      <c r="L79" s="20" t="n">
        <v>0.80387373</v>
      </c>
      <c r="M79" s="18" t="n">
        <v>0</v>
      </c>
      <c r="N79" s="20" t="n">
        <v>0</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(25580.0/B82*100)</f>
        <v/>
      </c>
      <c r="D82" s="19" t="n">
        <v>6750</v>
      </c>
      <c r="E82" s="18" t="n">
        <v>30.05292612</v>
      </c>
      <c r="F82" s="20" t="n">
        <v>0.81510823</v>
      </c>
      <c r="G82" s="18" t="n">
        <v>67.23745466</v>
      </c>
      <c r="H82" s="20" t="n">
        <v>0.85835838</v>
      </c>
      <c r="I82" s="18" t="n">
        <v>0</v>
      </c>
      <c r="J82" s="20" t="n">
        <v>0</v>
      </c>
      <c r="K82" s="18" t="n">
        <v>2.70961922</v>
      </c>
      <c r="L82" s="20" t="n">
        <v>0.27589527</v>
      </c>
      <c r="M82" s="18" t="n">
        <v>0</v>
      </c>
      <c r="N82" s="20" t="n">
        <v>0</v>
      </c>
      <c r="O82" s="18" t="n">
        <v>0</v>
      </c>
      <c r="P82" s="20" t="n">
        <v>0</v>
      </c>
      <c r="Q82" s="18" t="n">
        <v>0</v>
      </c>
      <c r="R82" s="20" t="n">
        <v>0</v>
      </c>
    </row>
    <row r="83" spans="1:18">
      <c r="A83" s="15" t="s">
        <v>643</v>
      </c>
      <c r="B83" s="17" t="n">
        <v>1652</v>
      </c>
      <c r="C83" s="18">
        <f>(1301.0/B83*100)</f>
        <v/>
      </c>
      <c r="D83" s="19" t="n">
        <v>351</v>
      </c>
      <c r="E83" s="18" t="n">
        <v>24.35508986</v>
      </c>
      <c r="F83" s="20" t="n">
        <v>2.41198951</v>
      </c>
      <c r="G83" s="18" t="n">
        <v>74.97256484</v>
      </c>
      <c r="H83" s="20" t="n">
        <v>2.39876308</v>
      </c>
      <c r="I83" s="18" t="n">
        <v>0</v>
      </c>
      <c r="J83" s="20" t="n">
        <v>0</v>
      </c>
      <c r="K83" s="18" t="n">
        <v>0.6723453</v>
      </c>
      <c r="L83" s="20" t="n">
        <v>0.54429697</v>
      </c>
      <c r="M83" s="18" t="n">
        <v>0</v>
      </c>
      <c r="N83" s="20" t="n">
        <v>0</v>
      </c>
      <c r="O83" s="18" t="n">
        <v>0</v>
      </c>
      <c r="P83" s="20" t="n">
        <v>0</v>
      </c>
      <c r="Q83" s="18" t="n">
        <v>0</v>
      </c>
      <c r="R83" s="20" t="n">
        <v>0</v>
      </c>
    </row>
    <row r="84" spans="1:18">
      <c r="A84" s="23" t="s">
        <v>644</v>
      </c>
      <c r="B84" s="24" t="n">
        <v>1887</v>
      </c>
      <c r="C84" s="25">
        <f>(1499.0/B84*100)</f>
        <v/>
      </c>
      <c r="D84" s="19" t="n">
        <v>388</v>
      </c>
      <c r="E84" s="18" t="n">
        <v>35.57421136</v>
      </c>
      <c r="F84" s="20" t="n">
        <v>2.58316881</v>
      </c>
      <c r="G84" s="18" t="n">
        <v>63.396158</v>
      </c>
      <c r="H84" s="20" t="n">
        <v>2.61244137</v>
      </c>
      <c r="I84" s="18" t="n">
        <v>0</v>
      </c>
      <c r="J84" s="20" t="n">
        <v>0</v>
      </c>
      <c r="K84" s="18" t="n">
        <v>1.02963063</v>
      </c>
      <c r="L84" s="20" t="n">
        <v>0.6589838099999999</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(11354.0/B7*100)</f>
        <v/>
      </c>
      <c r="D7" s="19" t="n">
        <v>3176</v>
      </c>
      <c r="E7" s="18" t="n">
        <v>9.01859866</v>
      </c>
      <c r="F7" s="20" t="n">
        <v>0.66032223</v>
      </c>
      <c r="G7" s="18" t="n">
        <v>85.72911932</v>
      </c>
      <c r="H7" s="20" t="n">
        <v>0.81122141</v>
      </c>
      <c r="I7" s="18" t="n">
        <v>0</v>
      </c>
      <c r="J7" s="20" t="n">
        <v>0</v>
      </c>
      <c r="K7" s="18" t="n">
        <v>0.15533928</v>
      </c>
      <c r="L7" s="20" t="n">
        <v>0.07773007999999999</v>
      </c>
      <c r="M7" s="18" t="n">
        <v>0</v>
      </c>
      <c r="N7" s="20" t="n">
        <v>0</v>
      </c>
      <c r="O7" s="18" t="n">
        <v>0</v>
      </c>
      <c r="P7" s="20" t="n">
        <v>0</v>
      </c>
      <c r="Q7" s="18" t="n">
        <v>5.09694273</v>
      </c>
      <c r="R7" s="20" t="n">
        <v>0.44025517</v>
      </c>
    </row>
    <row r="8" spans="1:18">
      <c r="A8" s="15" t="s">
        <v>566</v>
      </c>
      <c r="B8" s="17" t="n">
        <v>7007</v>
      </c>
      <c r="C8" s="18">
        <f>(5416.0/B8*100)</f>
        <v/>
      </c>
      <c r="D8" s="19" t="n">
        <v>1591</v>
      </c>
      <c r="E8" s="18" t="n">
        <v>12.38573996</v>
      </c>
      <c r="F8" s="20" t="n">
        <v>1.12001304</v>
      </c>
      <c r="G8" s="18" t="n">
        <v>82.83366875999999</v>
      </c>
      <c r="H8" s="20" t="n">
        <v>1.19195725</v>
      </c>
      <c r="I8" s="18" t="n">
        <v>0</v>
      </c>
      <c r="J8" s="20" t="n">
        <v>0</v>
      </c>
      <c r="K8" s="18" t="n">
        <v>0.11647031</v>
      </c>
      <c r="L8" s="20" t="n">
        <v>0.08947163</v>
      </c>
      <c r="M8" s="18" t="n">
        <v>0</v>
      </c>
      <c r="N8" s="20" t="n">
        <v>0</v>
      </c>
      <c r="O8" s="18" t="n">
        <v>0</v>
      </c>
      <c r="P8" s="20" t="n">
        <v>0</v>
      </c>
      <c r="Q8" s="18" t="n">
        <v>4.66412096</v>
      </c>
      <c r="R8" s="20" t="n">
        <v>0.57362256</v>
      </c>
    </row>
    <row r="9" spans="1:18">
      <c r="A9" s="15" t="s">
        <v>567</v>
      </c>
      <c r="B9" s="17" t="n">
        <v>9651</v>
      </c>
      <c r="C9" s="18">
        <f>(7605.0/B9*100)</f>
        <v/>
      </c>
      <c r="D9" s="19" t="n">
        <v>2046</v>
      </c>
      <c r="E9" s="18" t="n">
        <v>12.31778087</v>
      </c>
      <c r="F9" s="20" t="n">
        <v>0.7504504400000001</v>
      </c>
      <c r="G9" s="18" t="n">
        <v>83.17844289</v>
      </c>
      <c r="H9" s="20" t="n">
        <v>0.93866861</v>
      </c>
      <c r="I9" s="18" t="n">
        <v>0</v>
      </c>
      <c r="J9" s="20" t="n">
        <v>0</v>
      </c>
      <c r="K9" s="18" t="n">
        <v>0.11350811</v>
      </c>
      <c r="L9" s="20" t="n">
        <v>0.08760336000000001</v>
      </c>
      <c r="M9" s="18" t="n">
        <v>0</v>
      </c>
      <c r="N9" s="20" t="n">
        <v>0</v>
      </c>
      <c r="O9" s="18" t="n">
        <v>0</v>
      </c>
      <c r="P9" s="20" t="n">
        <v>0</v>
      </c>
      <c r="Q9" s="18" t="n">
        <v>4.39026813</v>
      </c>
      <c r="R9" s="20" t="n">
        <v>0.6374960200000001</v>
      </c>
    </row>
    <row r="10" spans="1:18">
      <c r="A10" s="15" t="s">
        <v>568</v>
      </c>
      <c r="B10" s="17" t="n">
        <v>20058</v>
      </c>
      <c r="C10" s="18">
        <f>(15621.0/B10*100)</f>
        <v/>
      </c>
      <c r="D10" s="19" t="n">
        <v>4437</v>
      </c>
      <c r="E10" s="18" t="n">
        <v>6.07911636</v>
      </c>
      <c r="F10" s="20" t="n">
        <v>0.53317614</v>
      </c>
      <c r="G10" s="18" t="n">
        <v>88.67444927</v>
      </c>
      <c r="H10" s="20" t="n">
        <v>0.72910816</v>
      </c>
      <c r="I10" s="18" t="n">
        <v>0</v>
      </c>
      <c r="J10" s="20" t="n">
        <v>0</v>
      </c>
      <c r="K10" s="18" t="n">
        <v>0.18944321</v>
      </c>
      <c r="L10" s="20" t="n">
        <v>0.12537993</v>
      </c>
      <c r="M10" s="18" t="n">
        <v>0</v>
      </c>
      <c r="N10" s="20" t="n">
        <v>0</v>
      </c>
      <c r="O10" s="18" t="n">
        <v>0</v>
      </c>
      <c r="P10" s="20" t="n">
        <v>0</v>
      </c>
      <c r="Q10" s="18" t="n">
        <v>5.05699116</v>
      </c>
      <c r="R10" s="20" t="n">
        <v>0.41685178</v>
      </c>
    </row>
    <row r="11" spans="1:18">
      <c r="A11" s="15" t="s">
        <v>569</v>
      </c>
      <c r="B11" s="17" t="n">
        <v>7053</v>
      </c>
      <c r="C11" s="18">
        <f>(5509.0/B11*100)</f>
        <v/>
      </c>
      <c r="D11" s="19" t="n">
        <v>1544</v>
      </c>
      <c r="E11" s="18" t="n">
        <v>14.52543738</v>
      </c>
      <c r="F11" s="20" t="n">
        <v>1.21748153</v>
      </c>
      <c r="G11" s="18" t="n">
        <v>78.11965643000001</v>
      </c>
      <c r="H11" s="20" t="n">
        <v>1.31495169</v>
      </c>
      <c r="I11" s="18" t="n">
        <v>0</v>
      </c>
      <c r="J11" s="20" t="n">
        <v>0</v>
      </c>
      <c r="K11" s="18" t="n">
        <v>0.07013773</v>
      </c>
      <c r="L11" s="20" t="n">
        <v>0.07039971</v>
      </c>
      <c r="M11" s="18" t="n">
        <v>0</v>
      </c>
      <c r="N11" s="20" t="n">
        <v>0</v>
      </c>
      <c r="O11" s="18" t="n">
        <v>0</v>
      </c>
      <c r="P11" s="20" t="n">
        <v>0</v>
      </c>
      <c r="Q11" s="18" t="n">
        <v>7.28476847</v>
      </c>
      <c r="R11" s="20" t="n">
        <v>0.75540031</v>
      </c>
    </row>
    <row r="12" spans="1:18">
      <c r="A12" s="15" t="s">
        <v>570</v>
      </c>
      <c r="B12" s="17" t="n">
        <v>6894</v>
      </c>
      <c r="C12" s="18">
        <f>(5395.0/B12*100)</f>
        <v/>
      </c>
      <c r="D12" s="19" t="n">
        <v>1499</v>
      </c>
      <c r="E12" s="18" t="n">
        <v>21.72549353</v>
      </c>
      <c r="F12" s="20" t="n">
        <v>1.07001456</v>
      </c>
      <c r="G12" s="18" t="n">
        <v>75.94298642</v>
      </c>
      <c r="H12" s="20" t="n">
        <v>1.05803508</v>
      </c>
      <c r="I12" s="18" t="n">
        <v>0</v>
      </c>
      <c r="J12" s="20" t="n">
        <v>0</v>
      </c>
      <c r="K12" s="18" t="n">
        <v>0</v>
      </c>
      <c r="L12" s="20" t="n">
        <v>0</v>
      </c>
      <c r="M12" s="18" t="n">
        <v>0</v>
      </c>
      <c r="N12" s="20" t="n">
        <v>0</v>
      </c>
      <c r="O12" s="18" t="n">
        <v>0</v>
      </c>
      <c r="P12" s="20" t="n">
        <v>0</v>
      </c>
      <c r="Q12" s="18" t="n">
        <v>2.33152005</v>
      </c>
      <c r="R12" s="20" t="n">
        <v>0.47205052</v>
      </c>
    </row>
    <row r="13" spans="1:18">
      <c r="A13" s="15" t="s">
        <v>571</v>
      </c>
      <c r="B13" s="17" t="n">
        <v>7161</v>
      </c>
      <c r="C13" s="18">
        <f>(5633.0/B13*100)</f>
        <v/>
      </c>
      <c r="D13" s="19" t="n">
        <v>1528</v>
      </c>
      <c r="E13" s="18" t="n">
        <v>13.43431994</v>
      </c>
      <c r="F13" s="20" t="n">
        <v>1.03673198</v>
      </c>
      <c r="G13" s="18" t="n">
        <v>83.31856922999999</v>
      </c>
      <c r="H13" s="20" t="n">
        <v>1.26411353</v>
      </c>
      <c r="I13" s="18" t="n">
        <v>0</v>
      </c>
      <c r="J13" s="20" t="n">
        <v>0</v>
      </c>
      <c r="K13" s="18" t="n">
        <v>0.27966995</v>
      </c>
      <c r="L13" s="20" t="n">
        <v>0.20261053</v>
      </c>
      <c r="M13" s="18" t="n">
        <v>0</v>
      </c>
      <c r="N13" s="20" t="n">
        <v>0</v>
      </c>
      <c r="O13" s="18" t="n">
        <v>0</v>
      </c>
      <c r="P13" s="20" t="n">
        <v>0</v>
      </c>
      <c r="Q13" s="18" t="n">
        <v>2.96744088</v>
      </c>
      <c r="R13" s="20" t="n">
        <v>0.62740347</v>
      </c>
    </row>
    <row r="14" spans="1:18">
      <c r="A14" s="15" t="s">
        <v>572</v>
      </c>
      <c r="B14" s="17" t="n">
        <v>5587</v>
      </c>
      <c r="C14" s="18">
        <f>(4285.0/B14*100)</f>
        <v/>
      </c>
      <c r="D14" s="19" t="n">
        <v>1302</v>
      </c>
      <c r="E14" s="18" t="n">
        <v>8.314596290000001</v>
      </c>
      <c r="F14" s="20" t="n">
        <v>0.80928787</v>
      </c>
      <c r="G14" s="18" t="n">
        <v>89.83428662999999</v>
      </c>
      <c r="H14" s="20" t="n">
        <v>0.86622914</v>
      </c>
      <c r="I14" s="18" t="n">
        <v>0</v>
      </c>
      <c r="J14" s="20" t="n">
        <v>0</v>
      </c>
      <c r="K14" s="18" t="n">
        <v>0.06183092</v>
      </c>
      <c r="L14" s="20" t="n">
        <v>0.05507289</v>
      </c>
      <c r="M14" s="18" t="n">
        <v>0</v>
      </c>
      <c r="N14" s="20" t="n">
        <v>0</v>
      </c>
      <c r="O14" s="18" t="n">
        <v>0</v>
      </c>
      <c r="P14" s="20" t="n">
        <v>0</v>
      </c>
      <c r="Q14" s="18" t="n">
        <v>1.78928616</v>
      </c>
      <c r="R14" s="20" t="n">
        <v>0.34735297</v>
      </c>
    </row>
    <row r="15" spans="1:18">
      <c r="A15" s="15" t="s">
        <v>573</v>
      </c>
      <c r="B15" s="17" t="n">
        <v>5882</v>
      </c>
      <c r="C15" s="18">
        <f>(4573.0/B15*100)</f>
        <v/>
      </c>
      <c r="D15" s="19" t="n">
        <v>1309</v>
      </c>
      <c r="E15" s="18" t="n">
        <v>14.03803628</v>
      </c>
      <c r="F15" s="20" t="n">
        <v>1.1075038</v>
      </c>
      <c r="G15" s="18" t="n">
        <v>84.44458839000001</v>
      </c>
      <c r="H15" s="20" t="n">
        <v>1.08365419</v>
      </c>
      <c r="I15" s="18" t="n">
        <v>0</v>
      </c>
      <c r="J15" s="20" t="n">
        <v>0</v>
      </c>
      <c r="K15" s="18" t="n">
        <v>0</v>
      </c>
      <c r="L15" s="20" t="n">
        <v>0</v>
      </c>
      <c r="M15" s="18" t="n">
        <v>0</v>
      </c>
      <c r="N15" s="20" t="n">
        <v>0</v>
      </c>
      <c r="O15" s="18" t="n">
        <v>0</v>
      </c>
      <c r="P15" s="20" t="n">
        <v>0</v>
      </c>
      <c r="Q15" s="18" t="n">
        <v>1.51737533</v>
      </c>
      <c r="R15" s="20" t="n">
        <v>0.28828187</v>
      </c>
    </row>
    <row r="16" spans="1:18">
      <c r="A16" s="15" t="s">
        <v>574</v>
      </c>
      <c r="B16" s="17" t="n">
        <v>6108</v>
      </c>
      <c r="C16" s="18">
        <f>(4749.0/B16*100)</f>
        <v/>
      </c>
      <c r="D16" s="19" t="n">
        <v>1359</v>
      </c>
      <c r="E16" s="18" t="n">
        <v>10.13720428</v>
      </c>
      <c r="F16" s="20" t="n">
        <v>0.86265074</v>
      </c>
      <c r="G16" s="18" t="n">
        <v>82.48105751</v>
      </c>
      <c r="H16" s="20" t="n">
        <v>1.22854004</v>
      </c>
      <c r="I16" s="18" t="n">
        <v>0</v>
      </c>
      <c r="J16" s="20" t="n">
        <v>0</v>
      </c>
      <c r="K16" s="18" t="n">
        <v>0.62614619</v>
      </c>
      <c r="L16" s="20" t="n">
        <v>0.19897412</v>
      </c>
      <c r="M16" s="18" t="n">
        <v>0</v>
      </c>
      <c r="N16" s="20" t="n">
        <v>0</v>
      </c>
      <c r="O16" s="18" t="n">
        <v>0</v>
      </c>
      <c r="P16" s="20" t="n">
        <v>0</v>
      </c>
      <c r="Q16" s="18" t="n">
        <v>6.75559202</v>
      </c>
      <c r="R16" s="20" t="n">
        <v>0.74549018</v>
      </c>
    </row>
    <row r="17" spans="1:18">
      <c r="A17" s="15" t="s">
        <v>575</v>
      </c>
      <c r="B17" s="17" t="n">
        <v>6504</v>
      </c>
      <c r="C17" s="18">
        <f>(5082.0/B17*100)</f>
        <v/>
      </c>
      <c r="D17" s="19" t="n">
        <v>1422</v>
      </c>
      <c r="E17" s="18" t="n">
        <v>12.39812599</v>
      </c>
      <c r="F17" s="20" t="n">
        <v>0.86038242</v>
      </c>
      <c r="G17" s="18" t="n">
        <v>84.60386128</v>
      </c>
      <c r="H17" s="20" t="n">
        <v>1.01692697</v>
      </c>
      <c r="I17" s="18" t="n">
        <v>0</v>
      </c>
      <c r="J17" s="20" t="n">
        <v>0</v>
      </c>
      <c r="K17" s="18" t="n">
        <v>0</v>
      </c>
      <c r="L17" s="20" t="n">
        <v>0</v>
      </c>
      <c r="M17" s="18" t="n">
        <v>0</v>
      </c>
      <c r="N17" s="20" t="n">
        <v>0</v>
      </c>
      <c r="O17" s="18" t="n">
        <v>0</v>
      </c>
      <c r="P17" s="20" t="n">
        <v>0</v>
      </c>
      <c r="Q17" s="18" t="n">
        <v>2.99801273</v>
      </c>
      <c r="R17" s="20" t="n">
        <v>0.49247908</v>
      </c>
    </row>
    <row r="18" spans="1:18">
      <c r="A18" s="15" t="s">
        <v>576</v>
      </c>
      <c r="B18" s="17" t="n">
        <v>5532</v>
      </c>
      <c r="C18" s="18">
        <f>(4295.0/B18*100)</f>
        <v/>
      </c>
      <c r="D18" s="19" t="n">
        <v>1237</v>
      </c>
      <c r="E18" s="18" t="n">
        <v>16.98010198</v>
      </c>
      <c r="F18" s="20" t="n">
        <v>1.31188099</v>
      </c>
      <c r="G18" s="18" t="n">
        <v>77.44092769</v>
      </c>
      <c r="H18" s="20" t="n">
        <v>1.46858674</v>
      </c>
      <c r="I18" s="18" t="n">
        <v>0</v>
      </c>
      <c r="J18" s="20" t="n">
        <v>0</v>
      </c>
      <c r="K18" s="18" t="n">
        <v>0</v>
      </c>
      <c r="L18" s="20" t="n">
        <v>0</v>
      </c>
      <c r="M18" s="18" t="n">
        <v>0</v>
      </c>
      <c r="N18" s="20" t="n">
        <v>0</v>
      </c>
      <c r="O18" s="18" t="n">
        <v>0</v>
      </c>
      <c r="P18" s="20" t="n">
        <v>0</v>
      </c>
      <c r="Q18" s="18" t="n">
        <v>5.57897034</v>
      </c>
      <c r="R18" s="20" t="n">
        <v>0.70626269</v>
      </c>
    </row>
    <row r="19" spans="1:18">
      <c r="A19" s="15" t="s">
        <v>577</v>
      </c>
      <c r="B19" s="17" t="n">
        <v>5658</v>
      </c>
      <c r="C19" s="18">
        <f>(4413.0/B19*100)</f>
        <v/>
      </c>
      <c r="D19" s="19" t="n">
        <v>1245</v>
      </c>
      <c r="E19" s="18" t="n">
        <v>17.85909705</v>
      </c>
      <c r="F19" s="20" t="n">
        <v>1.4099896</v>
      </c>
      <c r="G19" s="18" t="n">
        <v>78.65287857</v>
      </c>
      <c r="H19" s="20" t="n">
        <v>1.5687059</v>
      </c>
      <c r="I19" s="18" t="n">
        <v>0</v>
      </c>
      <c r="J19" s="20" t="n">
        <v>0</v>
      </c>
      <c r="K19" s="18" t="n">
        <v>0</v>
      </c>
      <c r="L19" s="20" t="n">
        <v>0</v>
      </c>
      <c r="M19" s="18" t="n">
        <v>0</v>
      </c>
      <c r="N19" s="20" t="n">
        <v>0</v>
      </c>
      <c r="O19" s="18" t="n">
        <v>0</v>
      </c>
      <c r="P19" s="20" t="n">
        <v>0</v>
      </c>
      <c r="Q19" s="18" t="n">
        <v>3.48802438</v>
      </c>
      <c r="R19" s="20" t="n">
        <v>0.5998170900000001</v>
      </c>
    </row>
    <row r="20" spans="1:18">
      <c r="A20" s="15" t="s">
        <v>578</v>
      </c>
      <c r="B20" s="17" t="n">
        <v>3371</v>
      </c>
      <c r="C20" s="18">
        <f>(2627.0/B20*100)</f>
        <v/>
      </c>
      <c r="D20" s="19" t="n">
        <v>744</v>
      </c>
      <c r="E20" s="18" t="n">
        <v>15.60819372</v>
      </c>
      <c r="F20" s="20" t="n">
        <v>1.50675646</v>
      </c>
      <c r="G20" s="18" t="n">
        <v>78.05738172</v>
      </c>
      <c r="H20" s="20" t="n">
        <v>1.60282931</v>
      </c>
      <c r="I20" s="18" t="n">
        <v>0</v>
      </c>
      <c r="J20" s="20" t="n">
        <v>0</v>
      </c>
      <c r="K20" s="18" t="n">
        <v>0.26560261</v>
      </c>
      <c r="L20" s="20" t="n">
        <v>0.18927385</v>
      </c>
      <c r="M20" s="18" t="n">
        <v>0</v>
      </c>
      <c r="N20" s="20" t="n">
        <v>0</v>
      </c>
      <c r="O20" s="18" t="n">
        <v>0</v>
      </c>
      <c r="P20" s="20" t="n">
        <v>0</v>
      </c>
      <c r="Q20" s="18" t="n">
        <v>6.06882196</v>
      </c>
      <c r="R20" s="20" t="n">
        <v>0.8574060100000001</v>
      </c>
    </row>
    <row r="21" spans="1:18">
      <c r="A21" s="15" t="s">
        <v>579</v>
      </c>
      <c r="B21" s="17" t="n">
        <v>5741</v>
      </c>
      <c r="C21" s="18">
        <f>(4459.0/B21*100)</f>
        <v/>
      </c>
      <c r="D21" s="19" t="n">
        <v>1282</v>
      </c>
      <c r="E21" s="18" t="n">
        <v>10.70505088</v>
      </c>
      <c r="F21" s="20" t="n">
        <v>0.83326628</v>
      </c>
      <c r="G21" s="18" t="n">
        <v>85.77266057</v>
      </c>
      <c r="H21" s="20" t="n">
        <v>0.93750117</v>
      </c>
      <c r="I21" s="18" t="n">
        <v>0</v>
      </c>
      <c r="J21" s="20" t="n">
        <v>0</v>
      </c>
      <c r="K21" s="18" t="n">
        <v>0</v>
      </c>
      <c r="L21" s="20" t="n">
        <v>0</v>
      </c>
      <c r="M21" s="18" t="n">
        <v>0</v>
      </c>
      <c r="N21" s="20" t="n">
        <v>0</v>
      </c>
      <c r="O21" s="18" t="n">
        <v>0</v>
      </c>
      <c r="P21" s="20" t="n">
        <v>0</v>
      </c>
      <c r="Q21" s="18" t="n">
        <v>3.52228855</v>
      </c>
      <c r="R21" s="20" t="n">
        <v>0.56550968</v>
      </c>
    </row>
    <row r="22" spans="1:18">
      <c r="A22" s="15" t="s">
        <v>580</v>
      </c>
      <c r="B22" s="17" t="n">
        <v>6598</v>
      </c>
      <c r="C22" s="18">
        <f>(5250.0/B22*100)</f>
        <v/>
      </c>
      <c r="D22" s="19" t="n">
        <v>1348</v>
      </c>
      <c r="E22" s="18" t="n">
        <v>15.11139944</v>
      </c>
      <c r="F22" s="20" t="n">
        <v>1.01207702</v>
      </c>
      <c r="G22" s="18" t="n">
        <v>78.69462344</v>
      </c>
      <c r="H22" s="20" t="n">
        <v>1.25606141</v>
      </c>
      <c r="I22" s="18" t="n">
        <v>0</v>
      </c>
      <c r="J22" s="20" t="n">
        <v>0</v>
      </c>
      <c r="K22" s="18" t="n">
        <v>0.05881803</v>
      </c>
      <c r="L22" s="20" t="n">
        <v>0.05889502</v>
      </c>
      <c r="M22" s="18" t="n">
        <v>0</v>
      </c>
      <c r="N22" s="20" t="n">
        <v>0</v>
      </c>
      <c r="O22" s="18" t="n">
        <v>0</v>
      </c>
      <c r="P22" s="20" t="n">
        <v>0</v>
      </c>
      <c r="Q22" s="18" t="n">
        <v>6.13515909</v>
      </c>
      <c r="R22" s="20" t="n">
        <v>0.73176814</v>
      </c>
    </row>
    <row r="23" spans="1:18">
      <c r="A23" s="15" t="s">
        <v>581</v>
      </c>
      <c r="B23" s="17" t="n">
        <v>11583</v>
      </c>
      <c r="C23" s="18">
        <f>(9030.0/B23*100)</f>
        <v/>
      </c>
      <c r="D23" s="19" t="n">
        <v>2553</v>
      </c>
      <c r="E23" s="18" t="n">
        <v>14.6503623</v>
      </c>
      <c r="F23" s="20" t="n">
        <v>1.04372705</v>
      </c>
      <c r="G23" s="18" t="n">
        <v>80.36831134000001</v>
      </c>
      <c r="H23" s="20" t="n">
        <v>1.28739146</v>
      </c>
      <c r="I23" s="18" t="n">
        <v>0</v>
      </c>
      <c r="J23" s="20" t="n">
        <v>0</v>
      </c>
      <c r="K23" s="18" t="n">
        <v>0.22399516</v>
      </c>
      <c r="L23" s="20" t="n">
        <v>0.12510679</v>
      </c>
      <c r="M23" s="18" t="n">
        <v>0</v>
      </c>
      <c r="N23" s="20" t="n">
        <v>0</v>
      </c>
      <c r="O23" s="18" t="n">
        <v>0</v>
      </c>
      <c r="P23" s="20" t="n">
        <v>0</v>
      </c>
      <c r="Q23" s="18" t="n">
        <v>4.7573312</v>
      </c>
      <c r="R23" s="20" t="n">
        <v>0.75711253</v>
      </c>
    </row>
    <row r="24" spans="1:18">
      <c r="A24" s="15" t="s">
        <v>582</v>
      </c>
      <c r="B24" s="17" t="n">
        <v>6647</v>
      </c>
      <c r="C24" s="18">
        <f>(5193.0/B24*100)</f>
        <v/>
      </c>
      <c r="D24" s="19" t="n">
        <v>1454</v>
      </c>
      <c r="E24" s="18" t="n">
        <v>9.69064259</v>
      </c>
      <c r="F24" s="20" t="n">
        <v>0.80468088</v>
      </c>
      <c r="G24" s="18" t="n">
        <v>87.90506107</v>
      </c>
      <c r="H24" s="20" t="n">
        <v>0.87874981</v>
      </c>
      <c r="I24" s="18" t="n">
        <v>0</v>
      </c>
      <c r="J24" s="20" t="n">
        <v>0</v>
      </c>
      <c r="K24" s="18" t="n">
        <v>0.20149181</v>
      </c>
      <c r="L24" s="20" t="n">
        <v>0.1165416</v>
      </c>
      <c r="M24" s="18" t="n">
        <v>0</v>
      </c>
      <c r="N24" s="20" t="n">
        <v>0</v>
      </c>
      <c r="O24" s="18" t="n">
        <v>0</v>
      </c>
      <c r="P24" s="20" t="n">
        <v>0</v>
      </c>
      <c r="Q24" s="18" t="n">
        <v>2.20280453</v>
      </c>
      <c r="R24" s="20" t="n">
        <v>0.38054554</v>
      </c>
    </row>
    <row r="25" spans="1:18">
      <c r="A25" s="15" t="s">
        <v>583</v>
      </c>
      <c r="B25" s="17" t="n">
        <v>5581</v>
      </c>
      <c r="C25" s="18">
        <f>(4317.0/B25*100)</f>
        <v/>
      </c>
      <c r="D25" s="19" t="n">
        <v>1264</v>
      </c>
      <c r="E25" s="18" t="n">
        <v>12.80107464</v>
      </c>
      <c r="F25" s="20" t="n">
        <v>1.0189009</v>
      </c>
      <c r="G25" s="18" t="n">
        <v>85.91150325</v>
      </c>
      <c r="H25" s="20" t="n">
        <v>1.06892456</v>
      </c>
      <c r="I25" s="18" t="n">
        <v>0</v>
      </c>
      <c r="J25" s="20" t="n">
        <v>0</v>
      </c>
      <c r="K25" s="18" t="n">
        <v>0</v>
      </c>
      <c r="L25" s="20" t="n">
        <v>0</v>
      </c>
      <c r="M25" s="18" t="n">
        <v>0</v>
      </c>
      <c r="N25" s="20" t="n">
        <v>0</v>
      </c>
      <c r="O25" s="18" t="n">
        <v>0</v>
      </c>
      <c r="P25" s="20" t="n">
        <v>0</v>
      </c>
      <c r="Q25" s="18" t="n">
        <v>1.28742211</v>
      </c>
      <c r="R25" s="20" t="n">
        <v>0.42509037</v>
      </c>
    </row>
    <row r="26" spans="1:18">
      <c r="A26" s="15" t="s">
        <v>584</v>
      </c>
      <c r="B26" s="17" t="n">
        <v>4869</v>
      </c>
      <c r="C26" s="18">
        <f>(3771.0/B26*100)</f>
        <v/>
      </c>
      <c r="D26" s="19" t="n">
        <v>1098</v>
      </c>
      <c r="E26" s="18" t="n">
        <v>12.53941709</v>
      </c>
      <c r="F26" s="20" t="n">
        <v>0.98308755</v>
      </c>
      <c r="G26" s="18" t="n">
        <v>85.23824967</v>
      </c>
      <c r="H26" s="20" t="n">
        <v>0.9985346899999999</v>
      </c>
      <c r="I26" s="18" t="n">
        <v>0</v>
      </c>
      <c r="J26" s="20" t="n">
        <v>0</v>
      </c>
      <c r="K26" s="18" t="n">
        <v>0</v>
      </c>
      <c r="L26" s="20" t="n">
        <v>0</v>
      </c>
      <c r="M26" s="18" t="n">
        <v>0</v>
      </c>
      <c r="N26" s="20" t="n">
        <v>0</v>
      </c>
      <c r="O26" s="18" t="n">
        <v>0</v>
      </c>
      <c r="P26" s="20" t="n">
        <v>0</v>
      </c>
      <c r="Q26" s="18" t="n">
        <v>2.22233324</v>
      </c>
      <c r="R26" s="20" t="n">
        <v>0.44252975</v>
      </c>
    </row>
    <row r="27" spans="1:18">
      <c r="A27" s="15" t="s">
        <v>585</v>
      </c>
      <c r="B27" s="17" t="n">
        <v>5299</v>
      </c>
      <c r="C27" s="18">
        <f>(4144.0/B27*100)</f>
        <v/>
      </c>
      <c r="D27" s="19" t="n">
        <v>1155</v>
      </c>
      <c r="E27" s="18" t="n">
        <v>15.10219564</v>
      </c>
      <c r="F27" s="20" t="n">
        <v>1.02520509</v>
      </c>
      <c r="G27" s="18" t="n">
        <v>80.68654859</v>
      </c>
      <c r="H27" s="20" t="n">
        <v>1.26017625</v>
      </c>
      <c r="I27" s="18" t="n">
        <v>0</v>
      </c>
      <c r="J27" s="20" t="n">
        <v>0</v>
      </c>
      <c r="K27" s="18" t="n">
        <v>0</v>
      </c>
      <c r="L27" s="20" t="n">
        <v>0</v>
      </c>
      <c r="M27" s="18" t="n">
        <v>0</v>
      </c>
      <c r="N27" s="20" t="n">
        <v>0</v>
      </c>
      <c r="O27" s="18" t="n">
        <v>0</v>
      </c>
      <c r="P27" s="20" t="n">
        <v>0</v>
      </c>
      <c r="Q27" s="18" t="n">
        <v>4.21125577</v>
      </c>
      <c r="R27" s="20" t="n">
        <v>0.68575714</v>
      </c>
    </row>
    <row r="28" spans="1:18">
      <c r="A28" s="15" t="s">
        <v>586</v>
      </c>
      <c r="B28" s="17" t="n">
        <v>7568</v>
      </c>
      <c r="C28" s="18">
        <f>(5850.0/B28*100)</f>
        <v/>
      </c>
      <c r="D28" s="19" t="n">
        <v>1718</v>
      </c>
      <c r="E28" s="18" t="n">
        <v>21.43040193</v>
      </c>
      <c r="F28" s="20" t="n">
        <v>1.07184825</v>
      </c>
      <c r="G28" s="18" t="n">
        <v>71.79199057</v>
      </c>
      <c r="H28" s="20" t="n">
        <v>1.35385062</v>
      </c>
      <c r="I28" s="18" t="n">
        <v>0</v>
      </c>
      <c r="J28" s="20" t="n">
        <v>0</v>
      </c>
      <c r="K28" s="18" t="n">
        <v>0.1299169</v>
      </c>
      <c r="L28" s="20" t="n">
        <v>0.10338602</v>
      </c>
      <c r="M28" s="18" t="n">
        <v>0</v>
      </c>
      <c r="N28" s="20" t="n">
        <v>0</v>
      </c>
      <c r="O28" s="18" t="n">
        <v>0</v>
      </c>
      <c r="P28" s="20" t="n">
        <v>0</v>
      </c>
      <c r="Q28" s="18" t="n">
        <v>6.6476906</v>
      </c>
      <c r="R28" s="20" t="n">
        <v>0.71329787</v>
      </c>
    </row>
    <row r="29" spans="1:18">
      <c r="A29" s="15" t="s">
        <v>587</v>
      </c>
      <c r="B29" s="17" t="n">
        <v>5385</v>
      </c>
      <c r="C29" s="18">
        <f>(4242.0/B29*100)</f>
        <v/>
      </c>
      <c r="D29" s="19" t="n">
        <v>1143</v>
      </c>
      <c r="E29" s="18" t="n">
        <v>14.58485146</v>
      </c>
      <c r="F29" s="20" t="n">
        <v>1.11084415</v>
      </c>
      <c r="G29" s="18" t="n">
        <v>80.95135725999999</v>
      </c>
      <c r="H29" s="20" t="n">
        <v>1.27909536</v>
      </c>
      <c r="I29" s="18" t="n">
        <v>0</v>
      </c>
      <c r="J29" s="20" t="n">
        <v>0</v>
      </c>
      <c r="K29" s="18" t="n">
        <v>0.08975223</v>
      </c>
      <c r="L29" s="20" t="n">
        <v>0.08922898999999999</v>
      </c>
      <c r="M29" s="18" t="n">
        <v>0</v>
      </c>
      <c r="N29" s="20" t="n">
        <v>0</v>
      </c>
      <c r="O29" s="18" t="n">
        <v>0</v>
      </c>
      <c r="P29" s="20" t="n">
        <v>0</v>
      </c>
      <c r="Q29" s="18" t="n">
        <v>4.37403905</v>
      </c>
      <c r="R29" s="20" t="n">
        <v>0.616521</v>
      </c>
    </row>
    <row r="30" spans="1:18">
      <c r="A30" s="15" t="s">
        <v>588</v>
      </c>
      <c r="B30" s="17" t="n">
        <v>4520</v>
      </c>
      <c r="C30" s="18">
        <f>(3520.0/B30*100)</f>
        <v/>
      </c>
      <c r="D30" s="19" t="n">
        <v>1000</v>
      </c>
      <c r="E30" s="18" t="n">
        <v>10.40569733</v>
      </c>
      <c r="F30" s="20" t="n">
        <v>1.03161692</v>
      </c>
      <c r="G30" s="18" t="n">
        <v>83.48871828</v>
      </c>
      <c r="H30" s="20" t="n">
        <v>1.32583467</v>
      </c>
      <c r="I30" s="18" t="n">
        <v>0</v>
      </c>
      <c r="J30" s="20" t="n">
        <v>0</v>
      </c>
      <c r="K30" s="18" t="n">
        <v>0</v>
      </c>
      <c r="L30" s="20" t="n">
        <v>0</v>
      </c>
      <c r="M30" s="18" t="n">
        <v>0</v>
      </c>
      <c r="N30" s="20" t="n">
        <v>0</v>
      </c>
      <c r="O30" s="18" t="n">
        <v>0</v>
      </c>
      <c r="P30" s="20" t="n">
        <v>0</v>
      </c>
      <c r="Q30" s="18" t="n">
        <v>6.10558439</v>
      </c>
      <c r="R30" s="20" t="n">
        <v>0.74222427</v>
      </c>
    </row>
    <row r="31" spans="1:18">
      <c r="A31" s="15" t="s">
        <v>589</v>
      </c>
      <c r="B31" s="17" t="n">
        <v>5456</v>
      </c>
      <c r="C31" s="18">
        <f>(4213.0/B31*100)</f>
        <v/>
      </c>
      <c r="D31" s="19" t="n">
        <v>1243</v>
      </c>
      <c r="E31" s="18" t="n">
        <v>10.84485931</v>
      </c>
      <c r="F31" s="20" t="n">
        <v>0.88913451</v>
      </c>
      <c r="G31" s="18" t="n">
        <v>83.87251187</v>
      </c>
      <c r="H31" s="20" t="n">
        <v>1.00151299</v>
      </c>
      <c r="I31" s="18" t="n">
        <v>0</v>
      </c>
      <c r="J31" s="20" t="n">
        <v>0</v>
      </c>
      <c r="K31" s="18" t="n">
        <v>0.16502403</v>
      </c>
      <c r="L31" s="20" t="n">
        <v>0.11646285</v>
      </c>
      <c r="M31" s="18" t="n">
        <v>0</v>
      </c>
      <c r="N31" s="20" t="n">
        <v>0</v>
      </c>
      <c r="O31" s="18" t="n">
        <v>0</v>
      </c>
      <c r="P31" s="20" t="n">
        <v>0</v>
      </c>
      <c r="Q31" s="18" t="n">
        <v>5.11760478</v>
      </c>
      <c r="R31" s="20" t="n">
        <v>0.67111933</v>
      </c>
    </row>
    <row r="32" spans="1:18">
      <c r="A32" s="15" t="s">
        <v>590</v>
      </c>
      <c r="B32" s="17" t="n">
        <v>4478</v>
      </c>
      <c r="C32" s="18">
        <f>(3460.0/B32*100)</f>
        <v/>
      </c>
      <c r="D32" s="19" t="n">
        <v>1018</v>
      </c>
      <c r="E32" s="18" t="n">
        <v>15.86480558</v>
      </c>
      <c r="F32" s="20" t="n">
        <v>1.00896411</v>
      </c>
      <c r="G32" s="18" t="n">
        <v>81.68066803000001</v>
      </c>
      <c r="H32" s="20" t="n">
        <v>1.07486602</v>
      </c>
      <c r="I32" s="18" t="n">
        <v>0</v>
      </c>
      <c r="J32" s="20" t="n">
        <v>0</v>
      </c>
      <c r="K32" s="18" t="n">
        <v>0</v>
      </c>
      <c r="L32" s="20" t="n">
        <v>0</v>
      </c>
      <c r="M32" s="18" t="n">
        <v>0</v>
      </c>
      <c r="N32" s="20" t="n">
        <v>0</v>
      </c>
      <c r="O32" s="18" t="n">
        <v>0</v>
      </c>
      <c r="P32" s="20" t="n">
        <v>0</v>
      </c>
      <c r="Q32" s="18" t="n">
        <v>2.45452639</v>
      </c>
      <c r="R32" s="20" t="n">
        <v>0.50747257</v>
      </c>
    </row>
    <row r="33" spans="1:18">
      <c r="A33" s="15" t="s">
        <v>591</v>
      </c>
      <c r="B33" s="17" t="n">
        <v>7325</v>
      </c>
      <c r="C33" s="18">
        <f>(5655.0/B33*100)</f>
        <v/>
      </c>
      <c r="D33" s="19" t="n">
        <v>1670</v>
      </c>
      <c r="E33" s="18" t="n">
        <v>11.25075997</v>
      </c>
      <c r="F33" s="20" t="n">
        <v>0.87051269</v>
      </c>
      <c r="G33" s="18" t="n">
        <v>85.07036952999999</v>
      </c>
      <c r="H33" s="20" t="n">
        <v>1.00770658</v>
      </c>
      <c r="I33" s="18" t="n">
        <v>0</v>
      </c>
      <c r="J33" s="20" t="n">
        <v>0</v>
      </c>
      <c r="K33" s="18" t="n">
        <v>0.02300265</v>
      </c>
      <c r="L33" s="20" t="n">
        <v>0.02849596</v>
      </c>
      <c r="M33" s="18" t="n">
        <v>0</v>
      </c>
      <c r="N33" s="20" t="n">
        <v>0</v>
      </c>
      <c r="O33" s="18" t="n">
        <v>0</v>
      </c>
      <c r="P33" s="20" t="n">
        <v>0</v>
      </c>
      <c r="Q33" s="18" t="n">
        <v>3.65586786</v>
      </c>
      <c r="R33" s="20" t="n">
        <v>0.5107308699999999</v>
      </c>
    </row>
    <row r="34" spans="1:18">
      <c r="A34" s="15" t="s">
        <v>592</v>
      </c>
      <c r="B34" s="17" t="n">
        <v>6350</v>
      </c>
      <c r="C34" s="18">
        <f>(5009.0/B34*100)</f>
        <v/>
      </c>
      <c r="D34" s="19" t="n">
        <v>1341</v>
      </c>
      <c r="E34" s="18" t="n">
        <v>27.34075693</v>
      </c>
      <c r="F34" s="20" t="n">
        <v>1.19866694</v>
      </c>
      <c r="G34" s="18" t="n">
        <v>68.93708710999999</v>
      </c>
      <c r="H34" s="20" t="n">
        <v>1.36185156</v>
      </c>
      <c r="I34" s="18" t="n">
        <v>0</v>
      </c>
      <c r="J34" s="20" t="n">
        <v>0</v>
      </c>
      <c r="K34" s="18" t="n">
        <v>0.06578297</v>
      </c>
      <c r="L34" s="20" t="n">
        <v>0.06837864</v>
      </c>
      <c r="M34" s="18" t="n">
        <v>0</v>
      </c>
      <c r="N34" s="20" t="n">
        <v>0</v>
      </c>
      <c r="O34" s="18" t="n">
        <v>0</v>
      </c>
      <c r="P34" s="20" t="n">
        <v>0</v>
      </c>
      <c r="Q34" s="18" t="n">
        <v>3.65637299</v>
      </c>
      <c r="R34" s="20" t="n">
        <v>0.56802625</v>
      </c>
    </row>
    <row r="35" spans="1:18">
      <c r="A35" s="15" t="s">
        <v>593</v>
      </c>
      <c r="B35" s="17" t="n">
        <v>6406</v>
      </c>
      <c r="C35" s="18">
        <f>(5058.0/B35*100)</f>
        <v/>
      </c>
      <c r="D35" s="19" t="n">
        <v>1348</v>
      </c>
      <c r="E35" s="18" t="n">
        <v>4.93315103</v>
      </c>
      <c r="F35" s="20" t="n">
        <v>0.65984997</v>
      </c>
      <c r="G35" s="18" t="n">
        <v>90.55189669000001</v>
      </c>
      <c r="H35" s="20" t="n">
        <v>0.92690904</v>
      </c>
      <c r="I35" s="18" t="n">
        <v>0</v>
      </c>
      <c r="J35" s="20" t="n">
        <v>0</v>
      </c>
      <c r="K35" s="18" t="n">
        <v>0.03513254</v>
      </c>
      <c r="L35" s="20" t="n">
        <v>0.03548354</v>
      </c>
      <c r="M35" s="18" t="n">
        <v>0</v>
      </c>
      <c r="N35" s="20" t="n">
        <v>0</v>
      </c>
      <c r="O35" s="18" t="n">
        <v>0</v>
      </c>
      <c r="P35" s="20" t="n">
        <v>0</v>
      </c>
      <c r="Q35" s="18" t="n">
        <v>4.47981975</v>
      </c>
      <c r="R35" s="20" t="n">
        <v>0.62301448</v>
      </c>
    </row>
    <row r="36" spans="1:18">
      <c r="A36" s="15" t="s">
        <v>594</v>
      </c>
      <c r="B36" s="17" t="n">
        <v>6736</v>
      </c>
      <c r="C36" s="18">
        <f>(5243.0/B36*100)</f>
        <v/>
      </c>
      <c r="D36" s="19" t="n">
        <v>1493</v>
      </c>
      <c r="E36" s="18" t="n">
        <v>11.50705986</v>
      </c>
      <c r="F36" s="20" t="n">
        <v>0.89033003</v>
      </c>
      <c r="G36" s="18" t="n">
        <v>83.24659224</v>
      </c>
      <c r="H36" s="20" t="n">
        <v>1.09712106</v>
      </c>
      <c r="I36" s="18" t="n">
        <v>0</v>
      </c>
      <c r="J36" s="20" t="n">
        <v>0</v>
      </c>
      <c r="K36" s="18" t="n">
        <v>0.13582047</v>
      </c>
      <c r="L36" s="20" t="n">
        <v>0.09901330999999999</v>
      </c>
      <c r="M36" s="18" t="n">
        <v>0</v>
      </c>
      <c r="N36" s="20" t="n">
        <v>0</v>
      </c>
      <c r="O36" s="18" t="n">
        <v>0</v>
      </c>
      <c r="P36" s="20" t="n">
        <v>0</v>
      </c>
      <c r="Q36" s="18" t="n">
        <v>5.11052743</v>
      </c>
      <c r="R36" s="20" t="n">
        <v>0.67587925</v>
      </c>
    </row>
    <row r="37" spans="1:18">
      <c r="A37" s="15" t="s">
        <v>595</v>
      </c>
      <c r="B37" s="17" t="n">
        <v>5458</v>
      </c>
      <c r="C37" s="18">
        <f>(4254.0/B37*100)</f>
        <v/>
      </c>
      <c r="D37" s="19" t="n">
        <v>1204</v>
      </c>
      <c r="E37" s="18" t="n">
        <v>15.64211485</v>
      </c>
      <c r="F37" s="20" t="n">
        <v>1.18096808</v>
      </c>
      <c r="G37" s="18" t="n">
        <v>80.15605221</v>
      </c>
      <c r="H37" s="20" t="n">
        <v>1.43358371</v>
      </c>
      <c r="I37" s="18" t="n">
        <v>0</v>
      </c>
      <c r="J37" s="20" t="n">
        <v>0</v>
      </c>
      <c r="K37" s="18" t="n">
        <v>0.16746259</v>
      </c>
      <c r="L37" s="20" t="n">
        <v>0.11930573</v>
      </c>
      <c r="M37" s="18" t="n">
        <v>0</v>
      </c>
      <c r="N37" s="20" t="n">
        <v>0</v>
      </c>
      <c r="O37" s="18" t="n">
        <v>0</v>
      </c>
      <c r="P37" s="20" t="n">
        <v>0</v>
      </c>
      <c r="Q37" s="18" t="n">
        <v>4.03437036</v>
      </c>
      <c r="R37" s="20" t="n">
        <v>0.66822024</v>
      </c>
    </row>
    <row r="38" spans="1:18">
      <c r="A38" s="15" t="s">
        <v>596</v>
      </c>
      <c r="B38" s="17" t="n">
        <v>5860</v>
      </c>
      <c r="C38" s="18">
        <f>(4554.0/B38*100)</f>
        <v/>
      </c>
      <c r="D38" s="19" t="n">
        <v>1306</v>
      </c>
      <c r="E38" s="18" t="n">
        <v>12.95723417</v>
      </c>
      <c r="F38" s="20" t="n">
        <v>1.26762064</v>
      </c>
      <c r="G38" s="18" t="n">
        <v>83.55426975</v>
      </c>
      <c r="H38" s="20" t="n">
        <v>1.37890922</v>
      </c>
      <c r="I38" s="18" t="n">
        <v>0</v>
      </c>
      <c r="J38" s="20" t="n">
        <v>0</v>
      </c>
      <c r="K38" s="18" t="n">
        <v>0.16837345</v>
      </c>
      <c r="L38" s="20" t="n">
        <v>0.11185353</v>
      </c>
      <c r="M38" s="18" t="n">
        <v>0</v>
      </c>
      <c r="N38" s="20" t="n">
        <v>0</v>
      </c>
      <c r="O38" s="18" t="n">
        <v>0</v>
      </c>
      <c r="P38" s="20" t="n">
        <v>0</v>
      </c>
      <c r="Q38" s="18" t="n">
        <v>3.32012263</v>
      </c>
      <c r="R38" s="20" t="n">
        <v>0.64212748</v>
      </c>
    </row>
    <row r="39" spans="1:18">
      <c r="A39" s="15" t="s">
        <v>597</v>
      </c>
      <c r="B39" s="17" t="n">
        <v>5895</v>
      </c>
      <c r="C39" s="18">
        <f>(4574.0/B39*100)</f>
        <v/>
      </c>
      <c r="D39" s="19" t="n">
        <v>1321</v>
      </c>
      <c r="E39" s="18" t="n">
        <v>24.58278004</v>
      </c>
      <c r="F39" s="20" t="n">
        <v>1.69615216</v>
      </c>
      <c r="G39" s="18" t="n">
        <v>70.70137400999999</v>
      </c>
      <c r="H39" s="20" t="n">
        <v>1.91747897</v>
      </c>
      <c r="I39" s="18" t="n">
        <v>0</v>
      </c>
      <c r="J39" s="20" t="n">
        <v>0</v>
      </c>
      <c r="K39" s="18" t="n">
        <v>0</v>
      </c>
      <c r="L39" s="20" t="n">
        <v>0</v>
      </c>
      <c r="M39" s="18" t="n">
        <v>0</v>
      </c>
      <c r="N39" s="20" t="n">
        <v>0</v>
      </c>
      <c r="O39" s="18" t="n">
        <v>0</v>
      </c>
      <c r="P39" s="20" t="n">
        <v>0</v>
      </c>
      <c r="Q39" s="18" t="n">
        <v>4.71584595</v>
      </c>
      <c r="R39" s="20" t="n">
        <v>0.6965544</v>
      </c>
    </row>
    <row r="40" spans="1:18">
      <c r="A40" s="15" t="s">
        <v>598</v>
      </c>
      <c r="B40" s="17" t="n">
        <v>14157</v>
      </c>
      <c r="C40" s="18">
        <f>(10993.0/B40*100)</f>
        <v/>
      </c>
      <c r="D40" s="19" t="n">
        <v>3164</v>
      </c>
      <c r="E40" s="18" t="n">
        <v>7.53871287</v>
      </c>
      <c r="F40" s="20" t="n">
        <v>0.66963555</v>
      </c>
      <c r="G40" s="18" t="n">
        <v>88.50531341</v>
      </c>
      <c r="H40" s="20" t="n">
        <v>0.74564053</v>
      </c>
      <c r="I40" s="18" t="n">
        <v>0</v>
      </c>
      <c r="J40" s="20" t="n">
        <v>0</v>
      </c>
      <c r="K40" s="18" t="n">
        <v>0</v>
      </c>
      <c r="L40" s="20" t="n">
        <v>0</v>
      </c>
      <c r="M40" s="18" t="n">
        <v>0</v>
      </c>
      <c r="N40" s="20" t="n">
        <v>0</v>
      </c>
      <c r="O40" s="18" t="n">
        <v>0</v>
      </c>
      <c r="P40" s="20" t="n">
        <v>0</v>
      </c>
      <c r="Q40" s="18" t="n">
        <v>3.95597371</v>
      </c>
      <c r="R40" s="20" t="n">
        <v>0.50830821</v>
      </c>
    </row>
    <row r="41" spans="1:18">
      <c r="A41" s="15" t="s">
        <v>599</v>
      </c>
      <c r="B41" s="17" t="n">
        <v>5712</v>
      </c>
      <c r="C41" s="18">
        <f>(4482.0/B41*100)</f>
        <v/>
      </c>
      <c r="D41" s="19" t="n">
        <v>1230</v>
      </c>
      <c r="E41" s="18" t="n">
        <v>9.04346398</v>
      </c>
      <c r="F41" s="20" t="n">
        <v>0.7341408</v>
      </c>
      <c r="G41" s="18" t="n">
        <v>85.53389894999999</v>
      </c>
      <c r="H41" s="20" t="n">
        <v>0.98881811</v>
      </c>
      <c r="I41" s="18" t="n">
        <v>0</v>
      </c>
      <c r="J41" s="20" t="n">
        <v>0</v>
      </c>
      <c r="K41" s="18" t="n">
        <v>0.07990996</v>
      </c>
      <c r="L41" s="20" t="n">
        <v>0.07719487</v>
      </c>
      <c r="M41" s="18" t="n">
        <v>0</v>
      </c>
      <c r="N41" s="20" t="n">
        <v>0</v>
      </c>
      <c r="O41" s="18" t="n">
        <v>0</v>
      </c>
      <c r="P41" s="20" t="n">
        <v>0</v>
      </c>
      <c r="Q41" s="18" t="n">
        <v>5.34272711</v>
      </c>
      <c r="R41" s="20" t="n">
        <v>0.92066258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(18600.0/B46*100)</f>
        <v/>
      </c>
      <c r="D46" s="19" t="n">
        <v>4541</v>
      </c>
      <c r="E46" s="18" t="n">
        <v>27.27494004</v>
      </c>
      <c r="F46" s="20" t="n">
        <v>0.86153594</v>
      </c>
      <c r="G46" s="18" t="n">
        <v>60.20369622</v>
      </c>
      <c r="H46" s="20" t="n">
        <v>1.10490973</v>
      </c>
      <c r="I46" s="18" t="n">
        <v>0</v>
      </c>
      <c r="J46" s="20" t="n">
        <v>0</v>
      </c>
      <c r="K46" s="18" t="n">
        <v>0.37779978</v>
      </c>
      <c r="L46" s="20" t="n">
        <v>0.15222796</v>
      </c>
      <c r="M46" s="18" t="n">
        <v>0</v>
      </c>
      <c r="N46" s="20" t="n">
        <v>0</v>
      </c>
      <c r="O46" s="18" t="n">
        <v>0</v>
      </c>
      <c r="P46" s="20" t="n">
        <v>0</v>
      </c>
      <c r="Q46" s="18" t="n">
        <v>12.14356396</v>
      </c>
      <c r="R46" s="20" t="n">
        <v>0.7225573</v>
      </c>
    </row>
    <row r="47" spans="1:18">
      <c r="A47" s="15" t="s">
        <v>606</v>
      </c>
      <c r="B47" s="17" t="n">
        <v>5928</v>
      </c>
      <c r="C47" s="18">
        <f>(4580.0/B47*100)</f>
        <v/>
      </c>
      <c r="D47" s="19" t="n">
        <v>1348</v>
      </c>
      <c r="E47" s="18" t="n">
        <v>28.70930525</v>
      </c>
      <c r="F47" s="20" t="n">
        <v>1.64776776</v>
      </c>
      <c r="G47" s="18" t="n">
        <v>66.51293893</v>
      </c>
      <c r="H47" s="20" t="n">
        <v>1.77188337</v>
      </c>
      <c r="I47" s="18" t="n">
        <v>0</v>
      </c>
      <c r="J47" s="20" t="n">
        <v>0</v>
      </c>
      <c r="K47" s="18" t="n">
        <v>0.13716537</v>
      </c>
      <c r="L47" s="20" t="n">
        <v>0.09738433000000001</v>
      </c>
      <c r="M47" s="18" t="n">
        <v>0</v>
      </c>
      <c r="N47" s="20" t="n">
        <v>0</v>
      </c>
      <c r="O47" s="18" t="n">
        <v>0</v>
      </c>
      <c r="P47" s="20" t="n">
        <v>0</v>
      </c>
      <c r="Q47" s="18" t="n">
        <v>4.64059044</v>
      </c>
      <c r="R47" s="20" t="n">
        <v>0.65778328</v>
      </c>
    </row>
    <row r="48" spans="1:18">
      <c r="A48" s="15" t="s">
        <v>607</v>
      </c>
      <c r="B48" s="17" t="n">
        <v>9841</v>
      </c>
      <c r="C48" s="18">
        <f>(7665.0/B48*100)</f>
        <v/>
      </c>
      <c r="D48" s="19" t="n">
        <v>2176</v>
      </c>
      <c r="E48" s="18" t="n">
        <v>9.56694978</v>
      </c>
      <c r="F48" s="20" t="n">
        <v>0.9351269</v>
      </c>
      <c r="G48" s="18" t="n">
        <v>85.93656780000001</v>
      </c>
      <c r="H48" s="20" t="n">
        <v>1.10711191</v>
      </c>
      <c r="I48" s="18" t="n">
        <v>0</v>
      </c>
      <c r="J48" s="20" t="n">
        <v>0</v>
      </c>
      <c r="K48" s="18" t="n">
        <v>0.07918538</v>
      </c>
      <c r="L48" s="20" t="n">
        <v>0.07892813999999999</v>
      </c>
      <c r="M48" s="18" t="n">
        <v>0</v>
      </c>
      <c r="N48" s="20" t="n">
        <v>0</v>
      </c>
      <c r="O48" s="18" t="n">
        <v>0</v>
      </c>
      <c r="P48" s="20" t="n">
        <v>0</v>
      </c>
      <c r="Q48" s="18" t="n">
        <v>4.41729703</v>
      </c>
      <c r="R48" s="20" t="n">
        <v>0.5454496</v>
      </c>
    </row>
    <row r="49" spans="1:18">
      <c r="A49" s="15" t="s">
        <v>608</v>
      </c>
      <c r="B49" s="17" t="n">
        <v>11795</v>
      </c>
      <c r="C49" s="18">
        <f>(9162.0/B49*100)</f>
        <v/>
      </c>
      <c r="D49" s="19" t="n">
        <v>2633</v>
      </c>
      <c r="E49" s="18" t="n">
        <v>27.27349685</v>
      </c>
      <c r="F49" s="20" t="n">
        <v>1.34464418</v>
      </c>
      <c r="G49" s="18" t="n">
        <v>65.24388458999999</v>
      </c>
      <c r="H49" s="20" t="n">
        <v>1.47893591</v>
      </c>
      <c r="I49" s="18" t="n">
        <v>0</v>
      </c>
      <c r="J49" s="20" t="n">
        <v>0</v>
      </c>
      <c r="K49" s="18" t="n">
        <v>0.25946815</v>
      </c>
      <c r="L49" s="20" t="n">
        <v>0.18991225</v>
      </c>
      <c r="M49" s="18" t="n">
        <v>0</v>
      </c>
      <c r="N49" s="20" t="n">
        <v>0</v>
      </c>
      <c r="O49" s="18" t="n">
        <v>0</v>
      </c>
      <c r="P49" s="20" t="n">
        <v>0</v>
      </c>
      <c r="Q49" s="18" t="n">
        <v>7.22315041</v>
      </c>
      <c r="R49" s="20" t="n">
        <v>0.88870028</v>
      </c>
    </row>
    <row r="50" spans="1:18">
      <c r="A50" s="15" t="s">
        <v>609</v>
      </c>
      <c r="B50" s="17" t="n">
        <v>6866</v>
      </c>
      <c r="C50" s="18">
        <f>(5586.0/B50*100)</f>
        <v/>
      </c>
      <c r="D50" s="19" t="n">
        <v>1280</v>
      </c>
      <c r="E50" s="18" t="n">
        <v>24.1437518</v>
      </c>
      <c r="F50" s="20" t="n">
        <v>1.33278326</v>
      </c>
      <c r="G50" s="18" t="n">
        <v>67.56308674</v>
      </c>
      <c r="H50" s="20" t="n">
        <v>1.41544221</v>
      </c>
      <c r="I50" s="18" t="n">
        <v>0</v>
      </c>
      <c r="J50" s="20" t="n">
        <v>0</v>
      </c>
      <c r="K50" s="18" t="n">
        <v>0.07372975</v>
      </c>
      <c r="L50" s="20" t="n">
        <v>0.07354521999999999</v>
      </c>
      <c r="M50" s="18" t="n">
        <v>0</v>
      </c>
      <c r="N50" s="20" t="n">
        <v>0</v>
      </c>
      <c r="O50" s="18" t="n">
        <v>0</v>
      </c>
      <c r="P50" s="20" t="n">
        <v>0</v>
      </c>
      <c r="Q50" s="18" t="n">
        <v>8.219431719999999</v>
      </c>
      <c r="R50" s="20" t="n">
        <v>0.92907584</v>
      </c>
    </row>
    <row r="51" spans="1:18">
      <c r="A51" s="15" t="s">
        <v>610</v>
      </c>
      <c r="B51" s="17" t="n">
        <v>5809</v>
      </c>
      <c r="C51" s="18">
        <f>(4521.0/B51*100)</f>
        <v/>
      </c>
      <c r="D51" s="19" t="n">
        <v>1288</v>
      </c>
      <c r="E51" s="18" t="n">
        <v>19.22791767</v>
      </c>
      <c r="F51" s="20" t="n">
        <v>1.19776602</v>
      </c>
      <c r="G51" s="18" t="n">
        <v>78.72901304</v>
      </c>
      <c r="H51" s="20" t="n">
        <v>1.27510378</v>
      </c>
      <c r="I51" s="18" t="n">
        <v>0</v>
      </c>
      <c r="J51" s="20" t="n">
        <v>0</v>
      </c>
      <c r="K51" s="18" t="n">
        <v>0</v>
      </c>
      <c r="L51" s="20" t="n">
        <v>0</v>
      </c>
      <c r="M51" s="18" t="n">
        <v>0</v>
      </c>
      <c r="N51" s="20" t="n">
        <v>0</v>
      </c>
      <c r="O51" s="18" t="n">
        <v>0</v>
      </c>
      <c r="P51" s="20" t="n">
        <v>0</v>
      </c>
      <c r="Q51" s="18" t="n">
        <v>2.04306929</v>
      </c>
      <c r="R51" s="20" t="n">
        <v>0.46035092</v>
      </c>
    </row>
    <row r="52" spans="1:18">
      <c r="A52" s="15" t="s">
        <v>611</v>
      </c>
      <c r="B52" s="17" t="n">
        <v>5571</v>
      </c>
      <c r="C52" s="18">
        <f>(4282.0/B52*100)</f>
        <v/>
      </c>
      <c r="D52" s="19" t="n">
        <v>1289</v>
      </c>
      <c r="E52" s="18" t="n">
        <v>16.71525763</v>
      </c>
      <c r="F52" s="20" t="n">
        <v>1.11020613</v>
      </c>
      <c r="G52" s="18" t="n">
        <v>72.66069103</v>
      </c>
      <c r="H52" s="20" t="n">
        <v>1.23590093</v>
      </c>
      <c r="I52" s="18" t="n">
        <v>0</v>
      </c>
      <c r="J52" s="20" t="n">
        <v>0</v>
      </c>
      <c r="K52" s="18" t="n">
        <v>0.32780779</v>
      </c>
      <c r="L52" s="20" t="n">
        <v>0.16720314</v>
      </c>
      <c r="M52" s="18" t="n">
        <v>0</v>
      </c>
      <c r="N52" s="20" t="n">
        <v>0</v>
      </c>
      <c r="O52" s="18" t="n">
        <v>0</v>
      </c>
      <c r="P52" s="20" t="n">
        <v>0</v>
      </c>
      <c r="Q52" s="18" t="n">
        <v>10.29624355</v>
      </c>
      <c r="R52" s="20" t="n">
        <v>0.85529186</v>
      </c>
    </row>
    <row r="53" spans="1:18">
      <c r="A53" s="15" t="s">
        <v>612</v>
      </c>
      <c r="B53" s="17" t="n">
        <v>4740</v>
      </c>
      <c r="C53" s="18">
        <f>(3696.0/B53*100)</f>
        <v/>
      </c>
      <c r="D53" s="19" t="n">
        <v>1044</v>
      </c>
      <c r="E53" s="18" t="n">
        <v>39.70988336</v>
      </c>
      <c r="F53" s="20" t="n">
        <v>1.82172593</v>
      </c>
      <c r="G53" s="18" t="n">
        <v>45.44481598</v>
      </c>
      <c r="H53" s="20" t="n">
        <v>1.87321914</v>
      </c>
      <c r="I53" s="18" t="n">
        <v>0</v>
      </c>
      <c r="J53" s="20" t="n">
        <v>0</v>
      </c>
      <c r="K53" s="18" t="n">
        <v>3.50291785</v>
      </c>
      <c r="L53" s="20" t="n">
        <v>0.67684252</v>
      </c>
      <c r="M53" s="18" t="n">
        <v>0</v>
      </c>
      <c r="N53" s="20" t="n">
        <v>0</v>
      </c>
      <c r="O53" s="18" t="n">
        <v>0</v>
      </c>
      <c r="P53" s="20" t="n">
        <v>0</v>
      </c>
      <c r="Q53" s="18" t="n">
        <v>11.34238281</v>
      </c>
      <c r="R53" s="20" t="n">
        <v>1.22364549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(4233.0/B55*100)</f>
        <v/>
      </c>
      <c r="D55" s="19" t="n">
        <v>1126</v>
      </c>
      <c r="E55" s="18" t="n">
        <v>7.00783374</v>
      </c>
      <c r="F55" s="20" t="n">
        <v>0.78035527</v>
      </c>
      <c r="G55" s="18" t="n">
        <v>88.52068025</v>
      </c>
      <c r="H55" s="20" t="n">
        <v>0.90732779</v>
      </c>
      <c r="I55" s="18" t="n">
        <v>0</v>
      </c>
      <c r="J55" s="20" t="n">
        <v>0</v>
      </c>
      <c r="K55" s="18" t="n">
        <v>0.07799108</v>
      </c>
      <c r="L55" s="20" t="n">
        <v>0.07993943000000001</v>
      </c>
      <c r="M55" s="18" t="n">
        <v>0</v>
      </c>
      <c r="N55" s="20" t="n">
        <v>0</v>
      </c>
      <c r="O55" s="18" t="n">
        <v>0</v>
      </c>
      <c r="P55" s="20" t="n">
        <v>0</v>
      </c>
      <c r="Q55" s="18" t="n">
        <v>4.39349493</v>
      </c>
      <c r="R55" s="20" t="n">
        <v>0.6335777500000001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(5085.0/B61*100)</f>
        <v/>
      </c>
      <c r="D61" s="19" t="n">
        <v>1440</v>
      </c>
      <c r="E61" s="18" t="n">
        <v>10.9901581</v>
      </c>
      <c r="F61" s="20" t="n">
        <v>0.92586477</v>
      </c>
      <c r="G61" s="18" t="n">
        <v>85.61304803</v>
      </c>
      <c r="H61" s="20" t="n">
        <v>1.02677847</v>
      </c>
      <c r="I61" s="18" t="n">
        <v>0</v>
      </c>
      <c r="J61" s="20" t="n">
        <v>0</v>
      </c>
      <c r="K61" s="18" t="n">
        <v>0</v>
      </c>
      <c r="L61" s="20" t="n">
        <v>0</v>
      </c>
      <c r="M61" s="18" t="n">
        <v>0</v>
      </c>
      <c r="N61" s="20" t="n">
        <v>0</v>
      </c>
      <c r="O61" s="18" t="n">
        <v>0</v>
      </c>
      <c r="P61" s="20" t="n">
        <v>0</v>
      </c>
      <c r="Q61" s="18" t="n">
        <v>3.39679387</v>
      </c>
      <c r="R61" s="20" t="n">
        <v>0.53352192</v>
      </c>
    </row>
    <row r="62" spans="1:18">
      <c r="A62" s="15" t="s">
        <v>622</v>
      </c>
      <c r="B62" s="17" t="n">
        <v>4476</v>
      </c>
      <c r="C62" s="18">
        <f>(3478.0/B62*100)</f>
        <v/>
      </c>
      <c r="D62" s="19" t="n">
        <v>998</v>
      </c>
      <c r="E62" s="18" t="n">
        <v>9.44170886</v>
      </c>
      <c r="F62" s="20" t="n">
        <v>1.01207149</v>
      </c>
      <c r="G62" s="18" t="n">
        <v>88.1534855</v>
      </c>
      <c r="H62" s="20" t="n">
        <v>1.14051869</v>
      </c>
      <c r="I62" s="18" t="n">
        <v>0</v>
      </c>
      <c r="J62" s="20" t="n">
        <v>0</v>
      </c>
      <c r="K62" s="18" t="n">
        <v>0.10288734</v>
      </c>
      <c r="L62" s="20" t="n">
        <v>0.10293581</v>
      </c>
      <c r="M62" s="18" t="n">
        <v>0</v>
      </c>
      <c r="N62" s="20" t="n">
        <v>0</v>
      </c>
      <c r="O62" s="18" t="n">
        <v>0</v>
      </c>
      <c r="P62" s="20" t="n">
        <v>0</v>
      </c>
      <c r="Q62" s="18" t="n">
        <v>2.30191829</v>
      </c>
      <c r="R62" s="20" t="n">
        <v>0.47161186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(4414.0/B67*100)</f>
        <v/>
      </c>
      <c r="D67" s="19" t="n">
        <v>1251</v>
      </c>
      <c r="E67" s="18" t="n">
        <v>21.2493698</v>
      </c>
      <c r="F67" s="20" t="n">
        <v>1.28369624</v>
      </c>
      <c r="G67" s="18" t="n">
        <v>72.35697879</v>
      </c>
      <c r="H67" s="20" t="n">
        <v>1.29969752</v>
      </c>
      <c r="I67" s="18" t="n">
        <v>0</v>
      </c>
      <c r="J67" s="20" t="n">
        <v>0</v>
      </c>
      <c r="K67" s="18" t="n">
        <v>0.08162044</v>
      </c>
      <c r="L67" s="20" t="n">
        <v>0.08086154</v>
      </c>
      <c r="M67" s="18" t="n">
        <v>0</v>
      </c>
      <c r="N67" s="20" t="n">
        <v>0</v>
      </c>
      <c r="O67" s="18" t="n">
        <v>0</v>
      </c>
      <c r="P67" s="20" t="n">
        <v>0</v>
      </c>
      <c r="Q67" s="18" t="n">
        <v>6.31203098</v>
      </c>
      <c r="R67" s="20" t="n">
        <v>0.687105</v>
      </c>
    </row>
    <row r="68" spans="1:18">
      <c r="A68" s="15" t="s">
        <v>628</v>
      </c>
      <c r="B68" s="17" t="n">
        <v>6971</v>
      </c>
      <c r="C68" s="18">
        <f>(5480.0/B68*100)</f>
        <v/>
      </c>
      <c r="D68" s="19" t="n">
        <v>1491</v>
      </c>
      <c r="E68" s="18" t="n">
        <v>27.0958182</v>
      </c>
      <c r="F68" s="20" t="n">
        <v>1.21686724</v>
      </c>
      <c r="G68" s="18" t="n">
        <v>61.9883627</v>
      </c>
      <c r="H68" s="20" t="n">
        <v>1.3533714</v>
      </c>
      <c r="I68" s="18" t="n">
        <v>0</v>
      </c>
      <c r="J68" s="20" t="n">
        <v>0</v>
      </c>
      <c r="K68" s="18" t="n">
        <v>0</v>
      </c>
      <c r="L68" s="20" t="n">
        <v>0</v>
      </c>
      <c r="M68" s="18" t="n">
        <v>0</v>
      </c>
      <c r="N68" s="20" t="n">
        <v>0</v>
      </c>
      <c r="O68" s="18" t="n">
        <v>0</v>
      </c>
      <c r="P68" s="20" t="n">
        <v>0</v>
      </c>
      <c r="Q68" s="18" t="n">
        <v>10.9158191</v>
      </c>
      <c r="R68" s="20" t="n">
        <v>0.86337902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(9377.0/B70*100)</f>
        <v/>
      </c>
      <c r="D70" s="19" t="n">
        <v>2706</v>
      </c>
      <c r="E70" s="18" t="n">
        <v>18.66879203</v>
      </c>
      <c r="F70" s="20" t="n">
        <v>0.70148719</v>
      </c>
      <c r="G70" s="18" t="n">
        <v>70.81836099</v>
      </c>
      <c r="H70" s="20" t="n">
        <v>0.96684416</v>
      </c>
      <c r="I70" s="18" t="n">
        <v>0</v>
      </c>
      <c r="J70" s="20" t="n">
        <v>0</v>
      </c>
      <c r="K70" s="18" t="n">
        <v>0.4984823</v>
      </c>
      <c r="L70" s="20" t="n">
        <v>0.130033</v>
      </c>
      <c r="M70" s="18" t="n">
        <v>0</v>
      </c>
      <c r="N70" s="20" t="n">
        <v>0</v>
      </c>
      <c r="O70" s="18" t="n">
        <v>0</v>
      </c>
      <c r="P70" s="20" t="n">
        <v>0</v>
      </c>
      <c r="Q70" s="18" t="n">
        <v>10.01436468</v>
      </c>
      <c r="R70" s="20" t="n">
        <v>0.63329142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(4676.0/B72*100)</f>
        <v/>
      </c>
      <c r="D72" s="19" t="n">
        <v>1360</v>
      </c>
      <c r="E72" s="18" t="n">
        <v>15.6682532</v>
      </c>
      <c r="F72" s="20" t="n">
        <v>1.02775387</v>
      </c>
      <c r="G72" s="18" t="n">
        <v>80.04687459</v>
      </c>
      <c r="H72" s="20" t="n">
        <v>1.27480529</v>
      </c>
      <c r="I72" s="18" t="n">
        <v>0</v>
      </c>
      <c r="J72" s="20" t="n">
        <v>0</v>
      </c>
      <c r="K72" s="18" t="n">
        <v>0.06150526</v>
      </c>
      <c r="L72" s="20" t="n">
        <v>0.06180113</v>
      </c>
      <c r="M72" s="18" t="n">
        <v>0</v>
      </c>
      <c r="N72" s="20" t="n">
        <v>0</v>
      </c>
      <c r="O72" s="18" t="n">
        <v>0</v>
      </c>
      <c r="P72" s="20" t="n">
        <v>0</v>
      </c>
      <c r="Q72" s="18" t="n">
        <v>4.22336694</v>
      </c>
      <c r="R72" s="20" t="n">
        <v>0.59572334</v>
      </c>
    </row>
    <row r="73" spans="1:18">
      <c r="A73" s="15" t="s">
        <v>633</v>
      </c>
      <c r="B73" s="17" t="n">
        <v>6115</v>
      </c>
      <c r="C73" s="18">
        <f>(4759.0/B73*100)</f>
        <v/>
      </c>
      <c r="D73" s="19" t="n">
        <v>1356</v>
      </c>
      <c r="E73" s="18" t="n">
        <v>4.85337388</v>
      </c>
      <c r="F73" s="20" t="n">
        <v>0.6457406</v>
      </c>
      <c r="G73" s="18" t="n">
        <v>92.90290432</v>
      </c>
      <c r="H73" s="20" t="n">
        <v>0.71259692</v>
      </c>
      <c r="I73" s="18" t="n">
        <v>0</v>
      </c>
      <c r="J73" s="20" t="n">
        <v>0</v>
      </c>
      <c r="K73" s="18" t="n">
        <v>0</v>
      </c>
      <c r="L73" s="20" t="n">
        <v>0</v>
      </c>
      <c r="M73" s="18" t="n">
        <v>0</v>
      </c>
      <c r="N73" s="20" t="n">
        <v>0</v>
      </c>
      <c r="O73" s="18" t="n">
        <v>0</v>
      </c>
      <c r="P73" s="20" t="n">
        <v>0</v>
      </c>
      <c r="Q73" s="18" t="n">
        <v>2.24372179</v>
      </c>
      <c r="R73" s="20" t="n">
        <v>0.3326476</v>
      </c>
    </row>
    <row r="74" spans="1:18">
      <c r="A74" s="15" t="s">
        <v>634</v>
      </c>
      <c r="B74" s="17" t="n">
        <v>7708</v>
      </c>
      <c r="C74" s="18">
        <f>(6055.0/B74*100)</f>
        <v/>
      </c>
      <c r="D74" s="19" t="n">
        <v>1653</v>
      </c>
      <c r="E74" s="18" t="n">
        <v>5.13417832</v>
      </c>
      <c r="F74" s="20" t="n">
        <v>0.54268514</v>
      </c>
      <c r="G74" s="18" t="n">
        <v>91.10866125</v>
      </c>
      <c r="H74" s="20" t="n">
        <v>0.70360916</v>
      </c>
      <c r="I74" s="18" t="n">
        <v>0</v>
      </c>
      <c r="J74" s="20" t="n">
        <v>0</v>
      </c>
      <c r="K74" s="18" t="n">
        <v>0</v>
      </c>
      <c r="L74" s="20" t="n">
        <v>0</v>
      </c>
      <c r="M74" s="18" t="n">
        <v>0</v>
      </c>
      <c r="N74" s="20" t="n">
        <v>0</v>
      </c>
      <c r="O74" s="18" t="n">
        <v>0</v>
      </c>
      <c r="P74" s="20" t="n">
        <v>0</v>
      </c>
      <c r="Q74" s="18" t="n">
        <v>3.75716043</v>
      </c>
      <c r="R74" s="20" t="n">
        <v>0.46518503</v>
      </c>
    </row>
    <row r="75" spans="1:18">
      <c r="A75" s="15" t="s">
        <v>635</v>
      </c>
      <c r="B75" s="17" t="n">
        <v>8249</v>
      </c>
      <c r="C75" s="18">
        <f>(6466.0/B75*100)</f>
        <v/>
      </c>
      <c r="D75" s="19" t="n">
        <v>1783</v>
      </c>
      <c r="E75" s="18" t="n">
        <v>9.077716130000001</v>
      </c>
      <c r="F75" s="20" t="n">
        <v>0.91468615</v>
      </c>
      <c r="G75" s="18" t="n">
        <v>76.24940608</v>
      </c>
      <c r="H75" s="20" t="n">
        <v>1.51991387</v>
      </c>
      <c r="I75" s="18" t="n">
        <v>0</v>
      </c>
      <c r="J75" s="20" t="n">
        <v>0</v>
      </c>
      <c r="K75" s="18" t="n">
        <v>0</v>
      </c>
      <c r="L75" s="20" t="n">
        <v>0</v>
      </c>
      <c r="M75" s="18" t="n">
        <v>0</v>
      </c>
      <c r="N75" s="20" t="n">
        <v>0</v>
      </c>
      <c r="O75" s="18" t="n">
        <v>0</v>
      </c>
      <c r="P75" s="20" t="n">
        <v>0</v>
      </c>
      <c r="Q75" s="18" t="n">
        <v>14.67287779</v>
      </c>
      <c r="R75" s="20" t="n">
        <v>1.11152597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(4291.0/B77*100)</f>
        <v/>
      </c>
      <c r="D77" s="19" t="n">
        <v>1084</v>
      </c>
      <c r="E77" s="18" t="n">
        <v>24.04676157</v>
      </c>
      <c r="F77" s="20" t="n">
        <v>1.2560458</v>
      </c>
      <c r="G77" s="18" t="n">
        <v>66.07636133</v>
      </c>
      <c r="H77" s="20" t="n">
        <v>1.52353704</v>
      </c>
      <c r="I77" s="18" t="n">
        <v>0</v>
      </c>
      <c r="J77" s="20" t="n">
        <v>0</v>
      </c>
      <c r="K77" s="18" t="n">
        <v>1.34693876</v>
      </c>
      <c r="L77" s="20" t="n">
        <v>0.39848422</v>
      </c>
      <c r="M77" s="18" t="n">
        <v>0</v>
      </c>
      <c r="N77" s="20" t="n">
        <v>0</v>
      </c>
      <c r="O77" s="18" t="n">
        <v>0</v>
      </c>
      <c r="P77" s="20" t="n">
        <v>0</v>
      </c>
      <c r="Q77" s="18" t="n">
        <v>8.52993835</v>
      </c>
      <c r="R77" s="20" t="n">
        <v>1.07040393</v>
      </c>
    </row>
    <row r="78" spans="1:18">
      <c r="A78" s="15" t="s">
        <v>638</v>
      </c>
      <c r="B78" s="17" t="n">
        <v>14167</v>
      </c>
      <c r="C78" s="18">
        <f>(11151.0/B78*100)</f>
        <v/>
      </c>
      <c r="D78" s="19" t="n">
        <v>3016</v>
      </c>
      <c r="E78" s="18" t="n">
        <v>18.99333863</v>
      </c>
      <c r="F78" s="20" t="n">
        <v>0.89495837</v>
      </c>
      <c r="G78" s="18" t="n">
        <v>73.59228303</v>
      </c>
      <c r="H78" s="20" t="n">
        <v>1.16996209</v>
      </c>
      <c r="I78" s="18" t="n">
        <v>0</v>
      </c>
      <c r="J78" s="20" t="n">
        <v>0</v>
      </c>
      <c r="K78" s="18" t="n">
        <v>0.41802932</v>
      </c>
      <c r="L78" s="20" t="n">
        <v>0.13161432</v>
      </c>
      <c r="M78" s="18" t="n">
        <v>0</v>
      </c>
      <c r="N78" s="20" t="n">
        <v>0</v>
      </c>
      <c r="O78" s="18" t="n">
        <v>0</v>
      </c>
      <c r="P78" s="20" t="n">
        <v>0</v>
      </c>
      <c r="Q78" s="18" t="n">
        <v>6.99634902</v>
      </c>
      <c r="R78" s="20" t="n">
        <v>0.55115954</v>
      </c>
    </row>
    <row r="79" spans="1:18">
      <c r="A79" s="15" t="s">
        <v>639</v>
      </c>
      <c r="B79" s="17" t="n">
        <v>6062</v>
      </c>
      <c r="C79" s="18">
        <f>(4688.0/B79*100)</f>
        <v/>
      </c>
      <c r="D79" s="19" t="n">
        <v>1374</v>
      </c>
      <c r="E79" s="18" t="n">
        <v>19.8647369</v>
      </c>
      <c r="F79" s="20" t="n">
        <v>1.02216806</v>
      </c>
      <c r="G79" s="18" t="n">
        <v>74.82887126</v>
      </c>
      <c r="H79" s="20" t="n">
        <v>1.2390048</v>
      </c>
      <c r="I79" s="18" t="n">
        <v>0</v>
      </c>
      <c r="J79" s="20" t="n">
        <v>0</v>
      </c>
      <c r="K79" s="18" t="n">
        <v>0.16610985</v>
      </c>
      <c r="L79" s="20" t="n">
        <v>0.12810398</v>
      </c>
      <c r="M79" s="18" t="n">
        <v>0</v>
      </c>
      <c r="N79" s="20" t="n">
        <v>0</v>
      </c>
      <c r="O79" s="18" t="n">
        <v>0</v>
      </c>
      <c r="P79" s="20" t="n">
        <v>0</v>
      </c>
      <c r="Q79" s="18" t="n">
        <v>5.14028198</v>
      </c>
      <c r="R79" s="20" t="n">
        <v>0.60009181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(25224.0/B82*100)</f>
        <v/>
      </c>
      <c r="D82" s="19" t="n">
        <v>7106</v>
      </c>
      <c r="E82" s="18" t="n">
        <v>11.97438146</v>
      </c>
      <c r="F82" s="20" t="n">
        <v>0.63110293</v>
      </c>
      <c r="G82" s="18" t="n">
        <v>83.20751677</v>
      </c>
      <c r="H82" s="20" t="n">
        <v>0.71465428</v>
      </c>
      <c r="I82" s="18" t="n">
        <v>0</v>
      </c>
      <c r="J82" s="20" t="n">
        <v>0</v>
      </c>
      <c r="K82" s="18" t="n">
        <v>0.16719792</v>
      </c>
      <c r="L82" s="20" t="n">
        <v>0.07472152</v>
      </c>
      <c r="M82" s="18" t="n">
        <v>0</v>
      </c>
      <c r="N82" s="20" t="n">
        <v>0</v>
      </c>
      <c r="O82" s="18" t="n">
        <v>0</v>
      </c>
      <c r="P82" s="20" t="n">
        <v>0</v>
      </c>
      <c r="Q82" s="18" t="n">
        <v>4.65090385</v>
      </c>
      <c r="R82" s="20" t="n">
        <v>0.3399726</v>
      </c>
    </row>
    <row r="83" spans="1:18">
      <c r="A83" s="15" t="s">
        <v>643</v>
      </c>
      <c r="B83" s="17" t="n">
        <v>1652</v>
      </c>
      <c r="C83" s="18">
        <f>(1311.0/B83*100)</f>
        <v/>
      </c>
      <c r="D83" s="19" t="n">
        <v>341</v>
      </c>
      <c r="E83" s="18" t="n">
        <v>2.80114899</v>
      </c>
      <c r="F83" s="20" t="n">
        <v>0.95118923</v>
      </c>
      <c r="G83" s="18" t="n">
        <v>93.05062707</v>
      </c>
      <c r="H83" s="20" t="n">
        <v>1.83187321</v>
      </c>
      <c r="I83" s="18" t="n">
        <v>0</v>
      </c>
      <c r="J83" s="20" t="n">
        <v>0</v>
      </c>
      <c r="K83" s="18" t="n">
        <v>0</v>
      </c>
      <c r="L83" s="20" t="n">
        <v>0</v>
      </c>
      <c r="M83" s="18" t="n">
        <v>0</v>
      </c>
      <c r="N83" s="20" t="n">
        <v>0</v>
      </c>
      <c r="O83" s="18" t="n">
        <v>0</v>
      </c>
      <c r="P83" s="20" t="n">
        <v>0</v>
      </c>
      <c r="Q83" s="18" t="n">
        <v>4.14822393</v>
      </c>
      <c r="R83" s="20" t="n">
        <v>1.2238541</v>
      </c>
    </row>
    <row r="84" spans="1:18">
      <c r="A84" s="23" t="s">
        <v>644</v>
      </c>
      <c r="B84" s="24" t="n">
        <v>1887</v>
      </c>
      <c r="C84" s="25">
        <f>(1499.0/B84*100)</f>
        <v/>
      </c>
      <c r="D84" s="19" t="n">
        <v>388</v>
      </c>
      <c r="E84" s="18" t="n">
        <v>2.12112556</v>
      </c>
      <c r="F84" s="20" t="n">
        <v>0.7824727299999999</v>
      </c>
      <c r="G84" s="18" t="n">
        <v>93.21312592</v>
      </c>
      <c r="H84" s="20" t="n">
        <v>1.25707489</v>
      </c>
      <c r="I84" s="18" t="n">
        <v>0</v>
      </c>
      <c r="J84" s="20" t="n">
        <v>0</v>
      </c>
      <c r="K84" s="18" t="n">
        <v>0.23854307</v>
      </c>
      <c r="L84" s="20" t="n">
        <v>0.23577566</v>
      </c>
      <c r="M84" s="18" t="n">
        <v>0</v>
      </c>
      <c r="N84" s="20" t="n">
        <v>0</v>
      </c>
      <c r="O84" s="18" t="n">
        <v>0</v>
      </c>
      <c r="P84" s="20" t="n">
        <v>0</v>
      </c>
      <c r="Q84" s="18" t="n">
        <v>4.42720545</v>
      </c>
      <c r="R84" s="20" t="n">
        <v>0.96227126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(11357.0/B7*100)</f>
        <v/>
      </c>
      <c r="D7" s="19" t="n">
        <v>3173</v>
      </c>
      <c r="E7" s="18" t="n">
        <v>37.56343277</v>
      </c>
      <c r="F7" s="20" t="n">
        <v>1.19343256</v>
      </c>
      <c r="G7" s="18" t="n">
        <v>59.31335869</v>
      </c>
      <c r="H7" s="20" t="n">
        <v>1.22624505</v>
      </c>
      <c r="I7" s="18" t="n">
        <v>0</v>
      </c>
      <c r="J7" s="20" t="n">
        <v>0</v>
      </c>
      <c r="K7" s="18" t="n">
        <v>0.1555263</v>
      </c>
      <c r="L7" s="20" t="n">
        <v>0.07782364999999999</v>
      </c>
      <c r="M7" s="18" t="n">
        <v>0</v>
      </c>
      <c r="N7" s="20" t="n">
        <v>0</v>
      </c>
      <c r="O7" s="18" t="n">
        <v>0</v>
      </c>
      <c r="P7" s="20" t="n">
        <v>0</v>
      </c>
      <c r="Q7" s="18" t="n">
        <v>2.96768224</v>
      </c>
      <c r="R7" s="20" t="n">
        <v>0.3088245</v>
      </c>
    </row>
    <row r="8" spans="1:18">
      <c r="A8" s="15" t="s">
        <v>566</v>
      </c>
      <c r="B8" s="17" t="n">
        <v>7007</v>
      </c>
      <c r="C8" s="18">
        <f>(5416.0/B8*100)</f>
        <v/>
      </c>
      <c r="D8" s="19" t="n">
        <v>1591</v>
      </c>
      <c r="E8" s="18" t="n">
        <v>59.83252375</v>
      </c>
      <c r="F8" s="20" t="n">
        <v>1.54503113</v>
      </c>
      <c r="G8" s="18" t="n">
        <v>37.26237619</v>
      </c>
      <c r="H8" s="20" t="n">
        <v>1.5518213</v>
      </c>
      <c r="I8" s="18" t="n">
        <v>0</v>
      </c>
      <c r="J8" s="20" t="n">
        <v>0</v>
      </c>
      <c r="K8" s="18" t="n">
        <v>0.11647031</v>
      </c>
      <c r="L8" s="20" t="n">
        <v>0.08947163</v>
      </c>
      <c r="M8" s="18" t="n">
        <v>0</v>
      </c>
      <c r="N8" s="20" t="n">
        <v>0</v>
      </c>
      <c r="O8" s="18" t="n">
        <v>0</v>
      </c>
      <c r="P8" s="20" t="n">
        <v>0</v>
      </c>
      <c r="Q8" s="18" t="n">
        <v>2.78862975</v>
      </c>
      <c r="R8" s="20" t="n">
        <v>0.44655239</v>
      </c>
    </row>
    <row r="9" spans="1:18">
      <c r="A9" s="15" t="s">
        <v>567</v>
      </c>
      <c r="B9" s="17" t="n">
        <v>9651</v>
      </c>
      <c r="C9" s="18">
        <f>(7605.0/B9*100)</f>
        <v/>
      </c>
      <c r="D9" s="19" t="n">
        <v>2046</v>
      </c>
      <c r="E9" s="18" t="n">
        <v>36.22213585</v>
      </c>
      <c r="F9" s="20" t="n">
        <v>1.32373191</v>
      </c>
      <c r="G9" s="18" t="n">
        <v>61.65783968</v>
      </c>
      <c r="H9" s="20" t="n">
        <v>1.37882075</v>
      </c>
      <c r="I9" s="18" t="n">
        <v>0</v>
      </c>
      <c r="J9" s="20" t="n">
        <v>0</v>
      </c>
      <c r="K9" s="18" t="n">
        <v>0.11350811</v>
      </c>
      <c r="L9" s="20" t="n">
        <v>0.08760336000000001</v>
      </c>
      <c r="M9" s="18" t="n">
        <v>0</v>
      </c>
      <c r="N9" s="20" t="n">
        <v>0</v>
      </c>
      <c r="O9" s="18" t="n">
        <v>0</v>
      </c>
      <c r="P9" s="20" t="n">
        <v>0</v>
      </c>
      <c r="Q9" s="18" t="n">
        <v>2.00651635</v>
      </c>
      <c r="R9" s="20" t="n">
        <v>0.35710841</v>
      </c>
    </row>
    <row r="10" spans="1:18">
      <c r="A10" s="15" t="s">
        <v>568</v>
      </c>
      <c r="B10" s="17" t="n">
        <v>20058</v>
      </c>
      <c r="C10" s="18">
        <f>(15622.0/B10*100)</f>
        <v/>
      </c>
      <c r="D10" s="19" t="n">
        <v>4436</v>
      </c>
      <c r="E10" s="18" t="n">
        <v>32.29947215</v>
      </c>
      <c r="F10" s="20" t="n">
        <v>0.96653286</v>
      </c>
      <c r="G10" s="18" t="n">
        <v>64.58592888</v>
      </c>
      <c r="H10" s="20" t="n">
        <v>1.01547169</v>
      </c>
      <c r="I10" s="18" t="n">
        <v>0</v>
      </c>
      <c r="J10" s="20" t="n">
        <v>0</v>
      </c>
      <c r="K10" s="18" t="n">
        <v>0.1894463</v>
      </c>
      <c r="L10" s="20" t="n">
        <v>0.12538221</v>
      </c>
      <c r="M10" s="18" t="n">
        <v>0</v>
      </c>
      <c r="N10" s="20" t="n">
        <v>0</v>
      </c>
      <c r="O10" s="18" t="n">
        <v>0</v>
      </c>
      <c r="P10" s="20" t="n">
        <v>0</v>
      </c>
      <c r="Q10" s="18" t="n">
        <v>2.92515267</v>
      </c>
      <c r="R10" s="20" t="n">
        <v>0.31135453</v>
      </c>
    </row>
    <row r="11" spans="1:18">
      <c r="A11" s="15" t="s">
        <v>569</v>
      </c>
      <c r="B11" s="17" t="n">
        <v>7053</v>
      </c>
      <c r="C11" s="18">
        <f>(5510.0/B11*100)</f>
        <v/>
      </c>
      <c r="D11" s="19" t="n">
        <v>1543</v>
      </c>
      <c r="E11" s="18" t="n">
        <v>57.14852139</v>
      </c>
      <c r="F11" s="20" t="n">
        <v>1.64266065</v>
      </c>
      <c r="G11" s="18" t="n">
        <v>38.81507053</v>
      </c>
      <c r="H11" s="20" t="n">
        <v>1.68636205</v>
      </c>
      <c r="I11" s="18" t="n">
        <v>0</v>
      </c>
      <c r="J11" s="20" t="n">
        <v>0</v>
      </c>
      <c r="K11" s="18" t="n">
        <v>0.07021911</v>
      </c>
      <c r="L11" s="20" t="n">
        <v>0.07048057000000001</v>
      </c>
      <c r="M11" s="18" t="n">
        <v>0</v>
      </c>
      <c r="N11" s="20" t="n">
        <v>0</v>
      </c>
      <c r="O11" s="18" t="n">
        <v>0</v>
      </c>
      <c r="P11" s="20" t="n">
        <v>0</v>
      </c>
      <c r="Q11" s="18" t="n">
        <v>3.96618896</v>
      </c>
      <c r="R11" s="20" t="n">
        <v>0.55559755</v>
      </c>
    </row>
    <row r="12" spans="1:18">
      <c r="A12" s="15" t="s">
        <v>570</v>
      </c>
      <c r="B12" s="17" t="n">
        <v>6894</v>
      </c>
      <c r="C12" s="18">
        <f>(5396.0/B12*100)</f>
        <v/>
      </c>
      <c r="D12" s="19" t="n">
        <v>1498</v>
      </c>
      <c r="E12" s="18" t="n">
        <v>60.65467282</v>
      </c>
      <c r="F12" s="20" t="n">
        <v>1.24708238</v>
      </c>
      <c r="G12" s="18" t="n">
        <v>37.27642306</v>
      </c>
      <c r="H12" s="20" t="n">
        <v>1.21953556</v>
      </c>
      <c r="I12" s="18" t="n">
        <v>0</v>
      </c>
      <c r="J12" s="20" t="n">
        <v>0</v>
      </c>
      <c r="K12" s="18" t="n">
        <v>0</v>
      </c>
      <c r="L12" s="20" t="n">
        <v>0</v>
      </c>
      <c r="M12" s="18" t="n">
        <v>0</v>
      </c>
      <c r="N12" s="20" t="n">
        <v>0</v>
      </c>
      <c r="O12" s="18" t="n">
        <v>0</v>
      </c>
      <c r="P12" s="20" t="n">
        <v>0</v>
      </c>
      <c r="Q12" s="18" t="n">
        <v>2.06890412</v>
      </c>
      <c r="R12" s="20" t="n">
        <v>0.5591923</v>
      </c>
    </row>
    <row r="13" spans="1:18">
      <c r="A13" s="15" t="s">
        <v>571</v>
      </c>
      <c r="B13" s="17" t="n">
        <v>7161</v>
      </c>
      <c r="C13" s="18">
        <f>(5633.0/B13*100)</f>
        <v/>
      </c>
      <c r="D13" s="19" t="n">
        <v>1528</v>
      </c>
      <c r="E13" s="18" t="n">
        <v>50.31958201</v>
      </c>
      <c r="F13" s="20" t="n">
        <v>1.57272091</v>
      </c>
      <c r="G13" s="18" t="n">
        <v>47.65195602</v>
      </c>
      <c r="H13" s="20" t="n">
        <v>1.69806568</v>
      </c>
      <c r="I13" s="18" t="n">
        <v>0</v>
      </c>
      <c r="J13" s="20" t="n">
        <v>0</v>
      </c>
      <c r="K13" s="18" t="n">
        <v>0.27966995</v>
      </c>
      <c r="L13" s="20" t="n">
        <v>0.20261053</v>
      </c>
      <c r="M13" s="18" t="n">
        <v>0</v>
      </c>
      <c r="N13" s="20" t="n">
        <v>0</v>
      </c>
      <c r="O13" s="18" t="n">
        <v>0</v>
      </c>
      <c r="P13" s="20" t="n">
        <v>0</v>
      </c>
      <c r="Q13" s="18" t="n">
        <v>1.74879202</v>
      </c>
      <c r="R13" s="20" t="n">
        <v>0.46790048</v>
      </c>
    </row>
    <row r="14" spans="1:18">
      <c r="A14" s="15" t="s">
        <v>572</v>
      </c>
      <c r="B14" s="17" t="n">
        <v>5587</v>
      </c>
      <c r="C14" s="18">
        <f>(4285.0/B14*100)</f>
        <v/>
      </c>
      <c r="D14" s="19" t="n">
        <v>1302</v>
      </c>
      <c r="E14" s="18" t="n">
        <v>44.45222713</v>
      </c>
      <c r="F14" s="20" t="n">
        <v>1.48712081</v>
      </c>
      <c r="G14" s="18" t="n">
        <v>54.33304789</v>
      </c>
      <c r="H14" s="20" t="n">
        <v>1.49515134</v>
      </c>
      <c r="I14" s="18" t="n">
        <v>0</v>
      </c>
      <c r="J14" s="20" t="n">
        <v>0</v>
      </c>
      <c r="K14" s="18" t="n">
        <v>0.06183092</v>
      </c>
      <c r="L14" s="20" t="n">
        <v>0.05507289</v>
      </c>
      <c r="M14" s="18" t="n">
        <v>0</v>
      </c>
      <c r="N14" s="20" t="n">
        <v>0</v>
      </c>
      <c r="O14" s="18" t="n">
        <v>0</v>
      </c>
      <c r="P14" s="20" t="n">
        <v>0</v>
      </c>
      <c r="Q14" s="18" t="n">
        <v>1.15289407</v>
      </c>
      <c r="R14" s="20" t="n">
        <v>0.28658975</v>
      </c>
    </row>
    <row r="15" spans="1:18">
      <c r="A15" s="15" t="s">
        <v>573</v>
      </c>
      <c r="B15" s="17" t="n">
        <v>5882</v>
      </c>
      <c r="C15" s="18">
        <f>(4573.0/B15*100)</f>
        <v/>
      </c>
      <c r="D15" s="19" t="n">
        <v>1309</v>
      </c>
      <c r="E15" s="18" t="n">
        <v>51.4247024</v>
      </c>
      <c r="F15" s="20" t="n">
        <v>1.50980599</v>
      </c>
      <c r="G15" s="18" t="n">
        <v>47.55563509</v>
      </c>
      <c r="H15" s="20" t="n">
        <v>1.47172984</v>
      </c>
      <c r="I15" s="18" t="n">
        <v>0</v>
      </c>
      <c r="J15" s="20" t="n">
        <v>0</v>
      </c>
      <c r="K15" s="18" t="n">
        <v>0</v>
      </c>
      <c r="L15" s="20" t="n">
        <v>0</v>
      </c>
      <c r="M15" s="18" t="n">
        <v>0</v>
      </c>
      <c r="N15" s="20" t="n">
        <v>0</v>
      </c>
      <c r="O15" s="18" t="n">
        <v>0</v>
      </c>
      <c r="P15" s="20" t="n">
        <v>0</v>
      </c>
      <c r="Q15" s="18" t="n">
        <v>1.01966251</v>
      </c>
      <c r="R15" s="20" t="n">
        <v>0.28881291</v>
      </c>
    </row>
    <row r="16" spans="1:18">
      <c r="A16" s="15" t="s">
        <v>574</v>
      </c>
      <c r="B16" s="17" t="n">
        <v>6108</v>
      </c>
      <c r="C16" s="18">
        <f>(4749.0/B16*100)</f>
        <v/>
      </c>
      <c r="D16" s="19" t="n">
        <v>1359</v>
      </c>
      <c r="E16" s="18" t="n">
        <v>47.28879985</v>
      </c>
      <c r="F16" s="20" t="n">
        <v>1.229816</v>
      </c>
      <c r="G16" s="18" t="n">
        <v>47.91580181</v>
      </c>
      <c r="H16" s="20" t="n">
        <v>1.30329523</v>
      </c>
      <c r="I16" s="18" t="n">
        <v>0</v>
      </c>
      <c r="J16" s="20" t="n">
        <v>0</v>
      </c>
      <c r="K16" s="18" t="n">
        <v>0.62614619</v>
      </c>
      <c r="L16" s="20" t="n">
        <v>0.19897412</v>
      </c>
      <c r="M16" s="18" t="n">
        <v>0</v>
      </c>
      <c r="N16" s="20" t="n">
        <v>0</v>
      </c>
      <c r="O16" s="18" t="n">
        <v>0</v>
      </c>
      <c r="P16" s="20" t="n">
        <v>0</v>
      </c>
      <c r="Q16" s="18" t="n">
        <v>4.16925214</v>
      </c>
      <c r="R16" s="20" t="n">
        <v>0.55791164</v>
      </c>
    </row>
    <row r="17" spans="1:18">
      <c r="A17" s="15" t="s">
        <v>575</v>
      </c>
      <c r="B17" s="17" t="n">
        <v>6504</v>
      </c>
      <c r="C17" s="18">
        <f>(5082.0/B17*100)</f>
        <v/>
      </c>
      <c r="D17" s="19" t="n">
        <v>1422</v>
      </c>
      <c r="E17" s="18" t="n">
        <v>56.01572472</v>
      </c>
      <c r="F17" s="20" t="n">
        <v>1.39971994</v>
      </c>
      <c r="G17" s="18" t="n">
        <v>42.065252</v>
      </c>
      <c r="H17" s="20" t="n">
        <v>1.43119721</v>
      </c>
      <c r="I17" s="18" t="n">
        <v>0</v>
      </c>
      <c r="J17" s="20" t="n">
        <v>0</v>
      </c>
      <c r="K17" s="18" t="n">
        <v>0</v>
      </c>
      <c r="L17" s="20" t="n">
        <v>0</v>
      </c>
      <c r="M17" s="18" t="n">
        <v>0</v>
      </c>
      <c r="N17" s="20" t="n">
        <v>0</v>
      </c>
      <c r="O17" s="18" t="n">
        <v>0</v>
      </c>
      <c r="P17" s="20" t="n">
        <v>0</v>
      </c>
      <c r="Q17" s="18" t="n">
        <v>1.91902327</v>
      </c>
      <c r="R17" s="20" t="n">
        <v>0.45941836</v>
      </c>
    </row>
    <row r="18" spans="1:18">
      <c r="A18" s="15" t="s">
        <v>576</v>
      </c>
      <c r="B18" s="17" t="n">
        <v>5532</v>
      </c>
      <c r="C18" s="18">
        <f>(4295.0/B18*100)</f>
        <v/>
      </c>
      <c r="D18" s="19" t="n">
        <v>1237</v>
      </c>
      <c r="E18" s="18" t="n">
        <v>64.06891827</v>
      </c>
      <c r="F18" s="20" t="n">
        <v>1.56805027</v>
      </c>
      <c r="G18" s="18" t="n">
        <v>31.69120688</v>
      </c>
      <c r="H18" s="20" t="n">
        <v>1.52557288</v>
      </c>
      <c r="I18" s="18" t="n">
        <v>0</v>
      </c>
      <c r="J18" s="20" t="n">
        <v>0</v>
      </c>
      <c r="K18" s="18" t="n">
        <v>0</v>
      </c>
      <c r="L18" s="20" t="n">
        <v>0</v>
      </c>
      <c r="M18" s="18" t="n">
        <v>0</v>
      </c>
      <c r="N18" s="20" t="n">
        <v>0</v>
      </c>
      <c r="O18" s="18" t="n">
        <v>0</v>
      </c>
      <c r="P18" s="20" t="n">
        <v>0</v>
      </c>
      <c r="Q18" s="18" t="n">
        <v>4.23987486</v>
      </c>
      <c r="R18" s="20" t="n">
        <v>0.78981276</v>
      </c>
    </row>
    <row r="19" spans="1:18">
      <c r="A19" s="15" t="s">
        <v>577</v>
      </c>
      <c r="B19" s="17" t="n">
        <v>5658</v>
      </c>
      <c r="C19" s="18">
        <f>(4413.0/B19*100)</f>
        <v/>
      </c>
      <c r="D19" s="19" t="n">
        <v>1245</v>
      </c>
      <c r="E19" s="18" t="n">
        <v>49.3717078</v>
      </c>
      <c r="F19" s="20" t="n">
        <v>1.65840857</v>
      </c>
      <c r="G19" s="18" t="n">
        <v>48.91481503</v>
      </c>
      <c r="H19" s="20" t="n">
        <v>1.72540971</v>
      </c>
      <c r="I19" s="18" t="n">
        <v>0</v>
      </c>
      <c r="J19" s="20" t="n">
        <v>0</v>
      </c>
      <c r="K19" s="18" t="n">
        <v>0</v>
      </c>
      <c r="L19" s="20" t="n">
        <v>0</v>
      </c>
      <c r="M19" s="18" t="n">
        <v>0</v>
      </c>
      <c r="N19" s="20" t="n">
        <v>0</v>
      </c>
      <c r="O19" s="18" t="n">
        <v>0</v>
      </c>
      <c r="P19" s="20" t="n">
        <v>0</v>
      </c>
      <c r="Q19" s="18" t="n">
        <v>1.71347717</v>
      </c>
      <c r="R19" s="20" t="n">
        <v>0.41871883</v>
      </c>
    </row>
    <row r="20" spans="1:18">
      <c r="A20" s="15" t="s">
        <v>578</v>
      </c>
      <c r="B20" s="17" t="n">
        <v>3371</v>
      </c>
      <c r="C20" s="18">
        <f>(2628.0/B20*100)</f>
        <v/>
      </c>
      <c r="D20" s="19" t="n">
        <v>743</v>
      </c>
      <c r="E20" s="18" t="n">
        <v>48.46020977</v>
      </c>
      <c r="F20" s="20" t="n">
        <v>1.950171</v>
      </c>
      <c r="G20" s="18" t="n">
        <v>47.79955048</v>
      </c>
      <c r="H20" s="20" t="n">
        <v>1.92290581</v>
      </c>
      <c r="I20" s="18" t="n">
        <v>0</v>
      </c>
      <c r="J20" s="20" t="n">
        <v>0</v>
      </c>
      <c r="K20" s="18" t="n">
        <v>0.26590542</v>
      </c>
      <c r="L20" s="20" t="n">
        <v>0.18948974</v>
      </c>
      <c r="M20" s="18" t="n">
        <v>0</v>
      </c>
      <c r="N20" s="20" t="n">
        <v>0</v>
      </c>
      <c r="O20" s="18" t="n">
        <v>0</v>
      </c>
      <c r="P20" s="20" t="n">
        <v>0</v>
      </c>
      <c r="Q20" s="18" t="n">
        <v>3.47433433</v>
      </c>
      <c r="R20" s="20" t="n">
        <v>0.7690211300000001</v>
      </c>
    </row>
    <row r="21" spans="1:18">
      <c r="A21" s="15" t="s">
        <v>579</v>
      </c>
      <c r="B21" s="17" t="n">
        <v>5741</v>
      </c>
      <c r="C21" s="18">
        <f>(4459.0/B21*100)</f>
        <v/>
      </c>
      <c r="D21" s="19" t="n">
        <v>1282</v>
      </c>
      <c r="E21" s="18" t="n">
        <v>46.29657143</v>
      </c>
      <c r="F21" s="20" t="n">
        <v>1.62710914</v>
      </c>
      <c r="G21" s="18" t="n">
        <v>51.15027102</v>
      </c>
      <c r="H21" s="20" t="n">
        <v>1.63645057</v>
      </c>
      <c r="I21" s="18" t="n">
        <v>0</v>
      </c>
      <c r="J21" s="20" t="n">
        <v>0</v>
      </c>
      <c r="K21" s="18" t="n">
        <v>0</v>
      </c>
      <c r="L21" s="20" t="n">
        <v>0</v>
      </c>
      <c r="M21" s="18" t="n">
        <v>0</v>
      </c>
      <c r="N21" s="20" t="n">
        <v>0</v>
      </c>
      <c r="O21" s="18" t="n">
        <v>0</v>
      </c>
      <c r="P21" s="20" t="n">
        <v>0</v>
      </c>
      <c r="Q21" s="18" t="n">
        <v>2.55315755</v>
      </c>
      <c r="R21" s="20" t="n">
        <v>0.44992811</v>
      </c>
    </row>
    <row r="22" spans="1:18">
      <c r="A22" s="15" t="s">
        <v>580</v>
      </c>
      <c r="B22" s="17" t="n">
        <v>6598</v>
      </c>
      <c r="C22" s="18">
        <f>(5250.0/B22*100)</f>
        <v/>
      </c>
      <c r="D22" s="19" t="n">
        <v>1348</v>
      </c>
      <c r="E22" s="18" t="n">
        <v>41.01743699</v>
      </c>
      <c r="F22" s="20" t="n">
        <v>1.66112568</v>
      </c>
      <c r="G22" s="18" t="n">
        <v>54.50003678</v>
      </c>
      <c r="H22" s="20" t="n">
        <v>1.74553576</v>
      </c>
      <c r="I22" s="18" t="n">
        <v>0</v>
      </c>
      <c r="J22" s="20" t="n">
        <v>0</v>
      </c>
      <c r="K22" s="18" t="n">
        <v>0.05881803</v>
      </c>
      <c r="L22" s="20" t="n">
        <v>0.05889502</v>
      </c>
      <c r="M22" s="18" t="n">
        <v>0</v>
      </c>
      <c r="N22" s="20" t="n">
        <v>0</v>
      </c>
      <c r="O22" s="18" t="n">
        <v>0</v>
      </c>
      <c r="P22" s="20" t="n">
        <v>0</v>
      </c>
      <c r="Q22" s="18" t="n">
        <v>4.4237082</v>
      </c>
      <c r="R22" s="20" t="n">
        <v>0.64177247</v>
      </c>
    </row>
    <row r="23" spans="1:18">
      <c r="A23" s="15" t="s">
        <v>581</v>
      </c>
      <c r="B23" s="17" t="n">
        <v>11583</v>
      </c>
      <c r="C23" s="18">
        <f>(9030.0/B23*100)</f>
        <v/>
      </c>
      <c r="D23" s="19" t="n">
        <v>2553</v>
      </c>
      <c r="E23" s="18" t="n">
        <v>58.31106555</v>
      </c>
      <c r="F23" s="20" t="n">
        <v>1.45228998</v>
      </c>
      <c r="G23" s="18" t="n">
        <v>38.17327735</v>
      </c>
      <c r="H23" s="20" t="n">
        <v>1.41241658</v>
      </c>
      <c r="I23" s="18" t="n">
        <v>0</v>
      </c>
      <c r="J23" s="20" t="n">
        <v>0</v>
      </c>
      <c r="K23" s="18" t="n">
        <v>0.22399516</v>
      </c>
      <c r="L23" s="20" t="n">
        <v>0.12510679</v>
      </c>
      <c r="M23" s="18" t="n">
        <v>0</v>
      </c>
      <c r="N23" s="20" t="n">
        <v>0</v>
      </c>
      <c r="O23" s="18" t="n">
        <v>0</v>
      </c>
      <c r="P23" s="20" t="n">
        <v>0</v>
      </c>
      <c r="Q23" s="18" t="n">
        <v>3.29166194</v>
      </c>
      <c r="R23" s="20" t="n">
        <v>0.73138209</v>
      </c>
    </row>
    <row r="24" spans="1:18">
      <c r="A24" s="15" t="s">
        <v>582</v>
      </c>
      <c r="B24" s="17" t="n">
        <v>6647</v>
      </c>
      <c r="C24" s="18">
        <f>(5193.0/B24*100)</f>
        <v/>
      </c>
      <c r="D24" s="19" t="n">
        <v>1454</v>
      </c>
      <c r="E24" s="18" t="n">
        <v>22.00281093</v>
      </c>
      <c r="F24" s="20" t="n">
        <v>1.21542315</v>
      </c>
      <c r="G24" s="18" t="n">
        <v>76.27684977</v>
      </c>
      <c r="H24" s="20" t="n">
        <v>1.24737675</v>
      </c>
      <c r="I24" s="18" t="n">
        <v>0</v>
      </c>
      <c r="J24" s="20" t="n">
        <v>0</v>
      </c>
      <c r="K24" s="18" t="n">
        <v>0.20149181</v>
      </c>
      <c r="L24" s="20" t="n">
        <v>0.1165416</v>
      </c>
      <c r="M24" s="18" t="n">
        <v>0</v>
      </c>
      <c r="N24" s="20" t="n">
        <v>0</v>
      </c>
      <c r="O24" s="18" t="n">
        <v>0</v>
      </c>
      <c r="P24" s="20" t="n">
        <v>0</v>
      </c>
      <c r="Q24" s="18" t="n">
        <v>1.51884749</v>
      </c>
      <c r="R24" s="20" t="n">
        <v>0.32394712</v>
      </c>
    </row>
    <row r="25" spans="1:18">
      <c r="A25" s="15" t="s">
        <v>583</v>
      </c>
      <c r="B25" s="17" t="n">
        <v>5581</v>
      </c>
      <c r="C25" s="18">
        <f>(4317.0/B25*100)</f>
        <v/>
      </c>
      <c r="D25" s="19" t="n">
        <v>1264</v>
      </c>
      <c r="E25" s="18" t="n">
        <v>36.98730842</v>
      </c>
      <c r="F25" s="20" t="n">
        <v>1.55471652</v>
      </c>
      <c r="G25" s="18" t="n">
        <v>62.01227268</v>
      </c>
      <c r="H25" s="20" t="n">
        <v>1.56876632</v>
      </c>
      <c r="I25" s="18" t="n">
        <v>0</v>
      </c>
      <c r="J25" s="20" t="n">
        <v>0</v>
      </c>
      <c r="K25" s="18" t="n">
        <v>0</v>
      </c>
      <c r="L25" s="20" t="n">
        <v>0</v>
      </c>
      <c r="M25" s="18" t="n">
        <v>0</v>
      </c>
      <c r="N25" s="20" t="n">
        <v>0</v>
      </c>
      <c r="O25" s="18" t="n">
        <v>0</v>
      </c>
      <c r="P25" s="20" t="n">
        <v>0</v>
      </c>
      <c r="Q25" s="18" t="n">
        <v>1.0004189</v>
      </c>
      <c r="R25" s="20" t="n">
        <v>0.34149913</v>
      </c>
    </row>
    <row r="26" spans="1:18">
      <c r="A26" s="15" t="s">
        <v>584</v>
      </c>
      <c r="B26" s="17" t="n">
        <v>4869</v>
      </c>
      <c r="C26" s="18">
        <f>(3771.0/B26*100)</f>
        <v/>
      </c>
      <c r="D26" s="19" t="n">
        <v>1098</v>
      </c>
      <c r="E26" s="18" t="n">
        <v>49.68745629</v>
      </c>
      <c r="F26" s="20" t="n">
        <v>1.82077833</v>
      </c>
      <c r="G26" s="18" t="n">
        <v>48.42667296</v>
      </c>
      <c r="H26" s="20" t="n">
        <v>1.6958547</v>
      </c>
      <c r="I26" s="18" t="n">
        <v>0</v>
      </c>
      <c r="J26" s="20" t="n">
        <v>0</v>
      </c>
      <c r="K26" s="18" t="n">
        <v>0</v>
      </c>
      <c r="L26" s="20" t="n">
        <v>0</v>
      </c>
      <c r="M26" s="18" t="n">
        <v>0</v>
      </c>
      <c r="N26" s="20" t="n">
        <v>0</v>
      </c>
      <c r="O26" s="18" t="n">
        <v>0</v>
      </c>
      <c r="P26" s="20" t="n">
        <v>0</v>
      </c>
      <c r="Q26" s="18" t="n">
        <v>1.88587074</v>
      </c>
      <c r="R26" s="20" t="n">
        <v>0.49965663</v>
      </c>
    </row>
    <row r="27" spans="1:18">
      <c r="A27" s="15" t="s">
        <v>585</v>
      </c>
      <c r="B27" s="17" t="n">
        <v>5299</v>
      </c>
      <c r="C27" s="18">
        <f>(4144.0/B27*100)</f>
        <v/>
      </c>
      <c r="D27" s="19" t="n">
        <v>1155</v>
      </c>
      <c r="E27" s="18" t="n">
        <v>54.13096903</v>
      </c>
      <c r="F27" s="20" t="n">
        <v>1.38344698</v>
      </c>
      <c r="G27" s="18" t="n">
        <v>43.13098153</v>
      </c>
      <c r="H27" s="20" t="n">
        <v>1.48795676</v>
      </c>
      <c r="I27" s="18" t="n">
        <v>0</v>
      </c>
      <c r="J27" s="20" t="n">
        <v>0</v>
      </c>
      <c r="K27" s="18" t="n">
        <v>0</v>
      </c>
      <c r="L27" s="20" t="n">
        <v>0</v>
      </c>
      <c r="M27" s="18" t="n">
        <v>0</v>
      </c>
      <c r="N27" s="20" t="n">
        <v>0</v>
      </c>
      <c r="O27" s="18" t="n">
        <v>0</v>
      </c>
      <c r="P27" s="20" t="n">
        <v>0</v>
      </c>
      <c r="Q27" s="18" t="n">
        <v>2.73804944</v>
      </c>
      <c r="R27" s="20" t="n">
        <v>0.54650257</v>
      </c>
    </row>
    <row r="28" spans="1:18">
      <c r="A28" s="15" t="s">
        <v>586</v>
      </c>
      <c r="B28" s="17" t="n">
        <v>7568</v>
      </c>
      <c r="C28" s="18">
        <f>(5851.0/B28*100)</f>
        <v/>
      </c>
      <c r="D28" s="19" t="n">
        <v>1717</v>
      </c>
      <c r="E28" s="18" t="n">
        <v>80.14118437</v>
      </c>
      <c r="F28" s="20" t="n">
        <v>1.23581397</v>
      </c>
      <c r="G28" s="18" t="n">
        <v>16.72860502</v>
      </c>
      <c r="H28" s="20" t="n">
        <v>1.24971892</v>
      </c>
      <c r="I28" s="18" t="n">
        <v>0</v>
      </c>
      <c r="J28" s="20" t="n">
        <v>0</v>
      </c>
      <c r="K28" s="18" t="n">
        <v>0.13007167</v>
      </c>
      <c r="L28" s="20" t="n">
        <v>0.10351692</v>
      </c>
      <c r="M28" s="18" t="n">
        <v>0</v>
      </c>
      <c r="N28" s="20" t="n">
        <v>0</v>
      </c>
      <c r="O28" s="18" t="n">
        <v>0</v>
      </c>
      <c r="P28" s="20" t="n">
        <v>0</v>
      </c>
      <c r="Q28" s="18" t="n">
        <v>3.00013894</v>
      </c>
      <c r="R28" s="20" t="n">
        <v>0.53778847</v>
      </c>
    </row>
    <row r="29" spans="1:18">
      <c r="A29" s="15" t="s">
        <v>587</v>
      </c>
      <c r="B29" s="17" t="n">
        <v>5385</v>
      </c>
      <c r="C29" s="18">
        <f>(4242.0/B29*100)</f>
        <v/>
      </c>
      <c r="D29" s="19" t="n">
        <v>1143</v>
      </c>
      <c r="E29" s="18" t="n">
        <v>40.41056338</v>
      </c>
      <c r="F29" s="20" t="n">
        <v>1.84206732</v>
      </c>
      <c r="G29" s="18" t="n">
        <v>56.04000441</v>
      </c>
      <c r="H29" s="20" t="n">
        <v>1.82764329</v>
      </c>
      <c r="I29" s="18" t="n">
        <v>0</v>
      </c>
      <c r="J29" s="20" t="n">
        <v>0</v>
      </c>
      <c r="K29" s="18" t="n">
        <v>0.08975223</v>
      </c>
      <c r="L29" s="20" t="n">
        <v>0.08922898999999999</v>
      </c>
      <c r="M29" s="18" t="n">
        <v>0</v>
      </c>
      <c r="N29" s="20" t="n">
        <v>0</v>
      </c>
      <c r="O29" s="18" t="n">
        <v>0</v>
      </c>
      <c r="P29" s="20" t="n">
        <v>0</v>
      </c>
      <c r="Q29" s="18" t="n">
        <v>3.45967999</v>
      </c>
      <c r="R29" s="20" t="n">
        <v>0.49960633</v>
      </c>
    </row>
    <row r="30" spans="1:18">
      <c r="A30" s="15" t="s">
        <v>588</v>
      </c>
      <c r="B30" s="17" t="n">
        <v>4520</v>
      </c>
      <c r="C30" s="18">
        <f>(3521.0/B30*100)</f>
        <v/>
      </c>
      <c r="D30" s="19" t="n">
        <v>999</v>
      </c>
      <c r="E30" s="18" t="n">
        <v>38.47983508</v>
      </c>
      <c r="F30" s="20" t="n">
        <v>1.85959508</v>
      </c>
      <c r="G30" s="18" t="n">
        <v>58.66653705</v>
      </c>
      <c r="H30" s="20" t="n">
        <v>1.8133607</v>
      </c>
      <c r="I30" s="18" t="n">
        <v>0</v>
      </c>
      <c r="J30" s="20" t="n">
        <v>0</v>
      </c>
      <c r="K30" s="18" t="n">
        <v>0</v>
      </c>
      <c r="L30" s="20" t="n">
        <v>0</v>
      </c>
      <c r="M30" s="18" t="n">
        <v>0</v>
      </c>
      <c r="N30" s="20" t="n">
        <v>0</v>
      </c>
      <c r="O30" s="18" t="n">
        <v>0</v>
      </c>
      <c r="P30" s="20" t="n">
        <v>0</v>
      </c>
      <c r="Q30" s="18" t="n">
        <v>2.85362787</v>
      </c>
      <c r="R30" s="20" t="n">
        <v>0.5608651099999999</v>
      </c>
    </row>
    <row r="31" spans="1:18">
      <c r="A31" s="15" t="s">
        <v>589</v>
      </c>
      <c r="B31" s="17" t="n">
        <v>5456</v>
      </c>
      <c r="C31" s="18">
        <f>(4213.0/B31*100)</f>
        <v/>
      </c>
      <c r="D31" s="19" t="n">
        <v>1243</v>
      </c>
      <c r="E31" s="18" t="n">
        <v>48.0441375</v>
      </c>
      <c r="F31" s="20" t="n">
        <v>1.38459174</v>
      </c>
      <c r="G31" s="18" t="n">
        <v>49.61897511</v>
      </c>
      <c r="H31" s="20" t="n">
        <v>1.4854493</v>
      </c>
      <c r="I31" s="18" t="n">
        <v>0</v>
      </c>
      <c r="J31" s="20" t="n">
        <v>0</v>
      </c>
      <c r="K31" s="18" t="n">
        <v>0.16502403</v>
      </c>
      <c r="L31" s="20" t="n">
        <v>0.11646285</v>
      </c>
      <c r="M31" s="18" t="n">
        <v>0</v>
      </c>
      <c r="N31" s="20" t="n">
        <v>0</v>
      </c>
      <c r="O31" s="18" t="n">
        <v>0</v>
      </c>
      <c r="P31" s="20" t="n">
        <v>0</v>
      </c>
      <c r="Q31" s="18" t="n">
        <v>2.17186336</v>
      </c>
      <c r="R31" s="20" t="n">
        <v>0.47912286</v>
      </c>
    </row>
    <row r="32" spans="1:18">
      <c r="A32" s="15" t="s">
        <v>590</v>
      </c>
      <c r="B32" s="17" t="n">
        <v>4478</v>
      </c>
      <c r="C32" s="18">
        <f>(3461.0/B32*100)</f>
        <v/>
      </c>
      <c r="D32" s="19" t="n">
        <v>1017</v>
      </c>
      <c r="E32" s="18" t="n">
        <v>52.71376606</v>
      </c>
      <c r="F32" s="20" t="n">
        <v>1.80659806</v>
      </c>
      <c r="G32" s="18" t="n">
        <v>45.52386665</v>
      </c>
      <c r="H32" s="20" t="n">
        <v>1.80233326</v>
      </c>
      <c r="I32" s="18" t="n">
        <v>0</v>
      </c>
      <c r="J32" s="20" t="n">
        <v>0</v>
      </c>
      <c r="K32" s="18" t="n">
        <v>0</v>
      </c>
      <c r="L32" s="20" t="n">
        <v>0</v>
      </c>
      <c r="M32" s="18" t="n">
        <v>0</v>
      </c>
      <c r="N32" s="20" t="n">
        <v>0</v>
      </c>
      <c r="O32" s="18" t="n">
        <v>0</v>
      </c>
      <c r="P32" s="20" t="n">
        <v>0</v>
      </c>
      <c r="Q32" s="18" t="n">
        <v>1.76236729</v>
      </c>
      <c r="R32" s="20" t="n">
        <v>0.41319426</v>
      </c>
    </row>
    <row r="33" spans="1:18">
      <c r="A33" s="15" t="s">
        <v>591</v>
      </c>
      <c r="B33" s="17" t="n">
        <v>7325</v>
      </c>
      <c r="C33" s="18">
        <f>(5656.0/B33*100)</f>
        <v/>
      </c>
      <c r="D33" s="19" t="n">
        <v>1669</v>
      </c>
      <c r="E33" s="18" t="n">
        <v>42.59594461</v>
      </c>
      <c r="F33" s="20" t="n">
        <v>1.67447011</v>
      </c>
      <c r="G33" s="18" t="n">
        <v>55.46623987</v>
      </c>
      <c r="H33" s="20" t="n">
        <v>1.81506784</v>
      </c>
      <c r="I33" s="18" t="n">
        <v>0</v>
      </c>
      <c r="J33" s="20" t="n">
        <v>0</v>
      </c>
      <c r="K33" s="18" t="n">
        <v>0.02300573</v>
      </c>
      <c r="L33" s="20" t="n">
        <v>0.02849977</v>
      </c>
      <c r="M33" s="18" t="n">
        <v>0</v>
      </c>
      <c r="N33" s="20" t="n">
        <v>0</v>
      </c>
      <c r="O33" s="18" t="n">
        <v>0</v>
      </c>
      <c r="P33" s="20" t="n">
        <v>0</v>
      </c>
      <c r="Q33" s="18" t="n">
        <v>1.91480979</v>
      </c>
      <c r="R33" s="20" t="n">
        <v>0.42335671</v>
      </c>
    </row>
    <row r="34" spans="1:18">
      <c r="A34" s="15" t="s">
        <v>592</v>
      </c>
      <c r="B34" s="17" t="n">
        <v>6350</v>
      </c>
      <c r="C34" s="18">
        <f>(5010.0/B34*100)</f>
        <v/>
      </c>
      <c r="D34" s="19" t="n">
        <v>1340</v>
      </c>
      <c r="E34" s="18" t="n">
        <v>62.29779411</v>
      </c>
      <c r="F34" s="20" t="n">
        <v>1.44923371</v>
      </c>
      <c r="G34" s="18" t="n">
        <v>34.62872806</v>
      </c>
      <c r="H34" s="20" t="n">
        <v>1.45180915</v>
      </c>
      <c r="I34" s="18" t="n">
        <v>0</v>
      </c>
      <c r="J34" s="20" t="n">
        <v>0</v>
      </c>
      <c r="K34" s="18" t="n">
        <v>0.06581425</v>
      </c>
      <c r="L34" s="20" t="n">
        <v>0.06841096000000001</v>
      </c>
      <c r="M34" s="18" t="n">
        <v>0</v>
      </c>
      <c r="N34" s="20" t="n">
        <v>0</v>
      </c>
      <c r="O34" s="18" t="n">
        <v>0</v>
      </c>
      <c r="P34" s="20" t="n">
        <v>0</v>
      </c>
      <c r="Q34" s="18" t="n">
        <v>3.00766358</v>
      </c>
      <c r="R34" s="20" t="n">
        <v>0.56963736</v>
      </c>
    </row>
    <row r="35" spans="1:18">
      <c r="A35" s="15" t="s">
        <v>593</v>
      </c>
      <c r="B35" s="17" t="n">
        <v>6406</v>
      </c>
      <c r="C35" s="18">
        <f>(5058.0/B35*100)</f>
        <v/>
      </c>
      <c r="D35" s="19" t="n">
        <v>1348</v>
      </c>
      <c r="E35" s="18" t="n">
        <v>45.7138796</v>
      </c>
      <c r="F35" s="20" t="n">
        <v>1.70164013</v>
      </c>
      <c r="G35" s="18" t="n">
        <v>52.25157627</v>
      </c>
      <c r="H35" s="20" t="n">
        <v>1.78512614</v>
      </c>
      <c r="I35" s="18" t="n">
        <v>0</v>
      </c>
      <c r="J35" s="20" t="n">
        <v>0</v>
      </c>
      <c r="K35" s="18" t="n">
        <v>0.03513254</v>
      </c>
      <c r="L35" s="20" t="n">
        <v>0.03548354</v>
      </c>
      <c r="M35" s="18" t="n">
        <v>0</v>
      </c>
      <c r="N35" s="20" t="n">
        <v>0</v>
      </c>
      <c r="O35" s="18" t="n">
        <v>0</v>
      </c>
      <c r="P35" s="20" t="n">
        <v>0</v>
      </c>
      <c r="Q35" s="18" t="n">
        <v>1.99941159</v>
      </c>
      <c r="R35" s="20" t="n">
        <v>0.39353886</v>
      </c>
    </row>
    <row r="36" spans="1:18">
      <c r="A36" s="15" t="s">
        <v>594</v>
      </c>
      <c r="B36" s="17" t="n">
        <v>6736</v>
      </c>
      <c r="C36" s="18">
        <f>(5243.0/B36*100)</f>
        <v/>
      </c>
      <c r="D36" s="19" t="n">
        <v>1493</v>
      </c>
      <c r="E36" s="18" t="n">
        <v>44.00694952</v>
      </c>
      <c r="F36" s="20" t="n">
        <v>1.46000566</v>
      </c>
      <c r="G36" s="18" t="n">
        <v>52.90578012</v>
      </c>
      <c r="H36" s="20" t="n">
        <v>1.45036178</v>
      </c>
      <c r="I36" s="18" t="n">
        <v>0</v>
      </c>
      <c r="J36" s="20" t="n">
        <v>0</v>
      </c>
      <c r="K36" s="18" t="n">
        <v>0.13582047</v>
      </c>
      <c r="L36" s="20" t="n">
        <v>0.09901330999999999</v>
      </c>
      <c r="M36" s="18" t="n">
        <v>0</v>
      </c>
      <c r="N36" s="20" t="n">
        <v>0</v>
      </c>
      <c r="O36" s="18" t="n">
        <v>0</v>
      </c>
      <c r="P36" s="20" t="n">
        <v>0</v>
      </c>
      <c r="Q36" s="18" t="n">
        <v>2.95144989</v>
      </c>
      <c r="R36" s="20" t="n">
        <v>0.59895295</v>
      </c>
    </row>
    <row r="37" spans="1:18">
      <c r="A37" s="15" t="s">
        <v>595</v>
      </c>
      <c r="B37" s="17" t="n">
        <v>5458</v>
      </c>
      <c r="C37" s="18">
        <f>(4254.0/B37*100)</f>
        <v/>
      </c>
      <c r="D37" s="19" t="n">
        <v>1204</v>
      </c>
      <c r="E37" s="18" t="n">
        <v>53.58145277</v>
      </c>
      <c r="F37" s="20" t="n">
        <v>1.6103977</v>
      </c>
      <c r="G37" s="18" t="n">
        <v>43.23182873</v>
      </c>
      <c r="H37" s="20" t="n">
        <v>1.70056701</v>
      </c>
      <c r="I37" s="18" t="n">
        <v>0</v>
      </c>
      <c r="J37" s="20" t="n">
        <v>0</v>
      </c>
      <c r="K37" s="18" t="n">
        <v>0.16746259</v>
      </c>
      <c r="L37" s="20" t="n">
        <v>0.11930573</v>
      </c>
      <c r="M37" s="18" t="n">
        <v>0</v>
      </c>
      <c r="N37" s="20" t="n">
        <v>0</v>
      </c>
      <c r="O37" s="18" t="n">
        <v>0</v>
      </c>
      <c r="P37" s="20" t="n">
        <v>0</v>
      </c>
      <c r="Q37" s="18" t="n">
        <v>3.01925591</v>
      </c>
      <c r="R37" s="20" t="n">
        <v>0.5084184</v>
      </c>
    </row>
    <row r="38" spans="1:18">
      <c r="A38" s="15" t="s">
        <v>596</v>
      </c>
      <c r="B38" s="17" t="n">
        <v>5860</v>
      </c>
      <c r="C38" s="18">
        <f>(4553.0/B38*100)</f>
        <v/>
      </c>
      <c r="D38" s="19" t="n">
        <v>1307</v>
      </c>
      <c r="E38" s="18" t="n">
        <v>49.25596307</v>
      </c>
      <c r="F38" s="20" t="n">
        <v>1.86067305</v>
      </c>
      <c r="G38" s="18" t="n">
        <v>48.01045417</v>
      </c>
      <c r="H38" s="20" t="n">
        <v>1.83380723</v>
      </c>
      <c r="I38" s="18" t="n">
        <v>0</v>
      </c>
      <c r="J38" s="20" t="n">
        <v>0</v>
      </c>
      <c r="K38" s="18" t="n">
        <v>0.16821627</v>
      </c>
      <c r="L38" s="20" t="n">
        <v>0.1117494</v>
      </c>
      <c r="M38" s="18" t="n">
        <v>0</v>
      </c>
      <c r="N38" s="20" t="n">
        <v>0</v>
      </c>
      <c r="O38" s="18" t="n">
        <v>0</v>
      </c>
      <c r="P38" s="20" t="n">
        <v>0</v>
      </c>
      <c r="Q38" s="18" t="n">
        <v>2.56536649</v>
      </c>
      <c r="R38" s="20" t="n">
        <v>0.65749114</v>
      </c>
    </row>
    <row r="39" spans="1:18">
      <c r="A39" s="15" t="s">
        <v>597</v>
      </c>
      <c r="B39" s="17" t="n">
        <v>5895</v>
      </c>
      <c r="C39" s="18">
        <f>(4574.0/B39*100)</f>
        <v/>
      </c>
      <c r="D39" s="19" t="n">
        <v>1321</v>
      </c>
      <c r="E39" s="18" t="n">
        <v>75.50177524999999</v>
      </c>
      <c r="F39" s="20" t="n">
        <v>1.54773423</v>
      </c>
      <c r="G39" s="18" t="n">
        <v>21.80318098</v>
      </c>
      <c r="H39" s="20" t="n">
        <v>1.58023029</v>
      </c>
      <c r="I39" s="18" t="n">
        <v>0</v>
      </c>
      <c r="J39" s="20" t="n">
        <v>0</v>
      </c>
      <c r="K39" s="18" t="n">
        <v>0</v>
      </c>
      <c r="L39" s="20" t="n">
        <v>0</v>
      </c>
      <c r="M39" s="18" t="n">
        <v>0</v>
      </c>
      <c r="N39" s="20" t="n">
        <v>0</v>
      </c>
      <c r="O39" s="18" t="n">
        <v>0</v>
      </c>
      <c r="P39" s="20" t="n">
        <v>0</v>
      </c>
      <c r="Q39" s="18" t="n">
        <v>2.69504377</v>
      </c>
      <c r="R39" s="20" t="n">
        <v>0.56500278</v>
      </c>
    </row>
    <row r="40" spans="1:18">
      <c r="A40" s="15" t="s">
        <v>598</v>
      </c>
      <c r="B40" s="17" t="n">
        <v>14157</v>
      </c>
      <c r="C40" s="18">
        <f>(10993.0/B40*100)</f>
        <v/>
      </c>
      <c r="D40" s="19" t="n">
        <v>3164</v>
      </c>
      <c r="E40" s="18" t="n">
        <v>33.17299412</v>
      </c>
      <c r="F40" s="20" t="n">
        <v>1.17476508</v>
      </c>
      <c r="G40" s="18" t="n">
        <v>64.48391715</v>
      </c>
      <c r="H40" s="20" t="n">
        <v>1.21784947</v>
      </c>
      <c r="I40" s="18" t="n">
        <v>0</v>
      </c>
      <c r="J40" s="20" t="n">
        <v>0</v>
      </c>
      <c r="K40" s="18" t="n">
        <v>0</v>
      </c>
      <c r="L40" s="20" t="n">
        <v>0</v>
      </c>
      <c r="M40" s="18" t="n">
        <v>0</v>
      </c>
      <c r="N40" s="20" t="n">
        <v>0</v>
      </c>
      <c r="O40" s="18" t="n">
        <v>0</v>
      </c>
      <c r="P40" s="20" t="n">
        <v>0</v>
      </c>
      <c r="Q40" s="18" t="n">
        <v>2.34308873</v>
      </c>
      <c r="R40" s="20" t="n">
        <v>0.41806155</v>
      </c>
    </row>
    <row r="41" spans="1:18">
      <c r="A41" s="15" t="s">
        <v>599</v>
      </c>
      <c r="B41" s="17" t="n">
        <v>5712</v>
      </c>
      <c r="C41" s="18">
        <f>(4482.0/B41*100)</f>
        <v/>
      </c>
      <c r="D41" s="19" t="n">
        <v>1230</v>
      </c>
      <c r="E41" s="18" t="n">
        <v>31.78805366</v>
      </c>
      <c r="F41" s="20" t="n">
        <v>1.46144564</v>
      </c>
      <c r="G41" s="18" t="n">
        <v>65.22973403</v>
      </c>
      <c r="H41" s="20" t="n">
        <v>1.39977963</v>
      </c>
      <c r="I41" s="18" t="n">
        <v>0</v>
      </c>
      <c r="J41" s="20" t="n">
        <v>0</v>
      </c>
      <c r="K41" s="18" t="n">
        <v>0.07990996</v>
      </c>
      <c r="L41" s="20" t="n">
        <v>0.07719487</v>
      </c>
      <c r="M41" s="18" t="n">
        <v>0</v>
      </c>
      <c r="N41" s="20" t="n">
        <v>0</v>
      </c>
      <c r="O41" s="18" t="n">
        <v>0</v>
      </c>
      <c r="P41" s="20" t="n">
        <v>0</v>
      </c>
      <c r="Q41" s="18" t="n">
        <v>2.90230236</v>
      </c>
      <c r="R41" s="20" t="n">
        <v>0.65351249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(18625.0/B46*100)</f>
        <v/>
      </c>
      <c r="D46" s="19" t="n">
        <v>4516</v>
      </c>
      <c r="E46" s="18" t="n">
        <v>70.92202102</v>
      </c>
      <c r="F46" s="20" t="n">
        <v>0.94969381</v>
      </c>
      <c r="G46" s="18" t="n">
        <v>22.4222767</v>
      </c>
      <c r="H46" s="20" t="n">
        <v>1.04383518</v>
      </c>
      <c r="I46" s="18" t="n">
        <v>0</v>
      </c>
      <c r="J46" s="20" t="n">
        <v>0</v>
      </c>
      <c r="K46" s="18" t="n">
        <v>0.39693936</v>
      </c>
      <c r="L46" s="20" t="n">
        <v>0.15374802</v>
      </c>
      <c r="M46" s="18" t="n">
        <v>0</v>
      </c>
      <c r="N46" s="20" t="n">
        <v>0</v>
      </c>
      <c r="O46" s="18" t="n">
        <v>0</v>
      </c>
      <c r="P46" s="20" t="n">
        <v>0</v>
      </c>
      <c r="Q46" s="18" t="n">
        <v>6.25876292</v>
      </c>
      <c r="R46" s="20" t="n">
        <v>0.56363545</v>
      </c>
    </row>
    <row r="47" spans="1:18">
      <c r="A47" s="15" t="s">
        <v>606</v>
      </c>
      <c r="B47" s="17" t="n">
        <v>5928</v>
      </c>
      <c r="C47" s="18">
        <f>(4581.0/B47*100)</f>
        <v/>
      </c>
      <c r="D47" s="19" t="n">
        <v>1347</v>
      </c>
      <c r="E47" s="18" t="n">
        <v>63.2564084</v>
      </c>
      <c r="F47" s="20" t="n">
        <v>1.70997291</v>
      </c>
      <c r="G47" s="18" t="n">
        <v>32.86862518</v>
      </c>
      <c r="H47" s="20" t="n">
        <v>1.85207245</v>
      </c>
      <c r="I47" s="18" t="n">
        <v>0</v>
      </c>
      <c r="J47" s="20" t="n">
        <v>0</v>
      </c>
      <c r="K47" s="18" t="n">
        <v>0.20746776</v>
      </c>
      <c r="L47" s="20" t="n">
        <v>0.06907679999999999</v>
      </c>
      <c r="M47" s="18" t="n">
        <v>0</v>
      </c>
      <c r="N47" s="20" t="n">
        <v>0</v>
      </c>
      <c r="O47" s="18" t="n">
        <v>0</v>
      </c>
      <c r="P47" s="20" t="n">
        <v>0</v>
      </c>
      <c r="Q47" s="18" t="n">
        <v>3.66749866</v>
      </c>
      <c r="R47" s="20" t="n">
        <v>0.60880404</v>
      </c>
    </row>
    <row r="48" spans="1:18">
      <c r="A48" s="15" t="s">
        <v>607</v>
      </c>
      <c r="B48" s="17" t="n">
        <v>9841</v>
      </c>
      <c r="C48" s="18">
        <f>(7666.0/B48*100)</f>
        <v/>
      </c>
      <c r="D48" s="19" t="n">
        <v>2175</v>
      </c>
      <c r="E48" s="18" t="n">
        <v>40.97894539</v>
      </c>
      <c r="F48" s="20" t="n">
        <v>1.83514762</v>
      </c>
      <c r="G48" s="18" t="n">
        <v>55.6154784</v>
      </c>
      <c r="H48" s="20" t="n">
        <v>1.890665</v>
      </c>
      <c r="I48" s="18" t="n">
        <v>0</v>
      </c>
      <c r="J48" s="20" t="n">
        <v>0</v>
      </c>
      <c r="K48" s="18" t="n">
        <v>0.07921333</v>
      </c>
      <c r="L48" s="20" t="n">
        <v>0.07895597</v>
      </c>
      <c r="M48" s="18" t="n">
        <v>0</v>
      </c>
      <c r="N48" s="20" t="n">
        <v>0</v>
      </c>
      <c r="O48" s="18" t="n">
        <v>0</v>
      </c>
      <c r="P48" s="20" t="n">
        <v>0</v>
      </c>
      <c r="Q48" s="18" t="n">
        <v>3.32636287</v>
      </c>
      <c r="R48" s="20" t="n">
        <v>0.44741538</v>
      </c>
    </row>
    <row r="49" spans="1:18">
      <c r="A49" s="15" t="s">
        <v>608</v>
      </c>
      <c r="B49" s="17" t="n">
        <v>11795</v>
      </c>
      <c r="C49" s="18">
        <f>(9165.0/B49*100)</f>
        <v/>
      </c>
      <c r="D49" s="19" t="n">
        <v>2630</v>
      </c>
      <c r="E49" s="18" t="n">
        <v>75.0365049</v>
      </c>
      <c r="F49" s="20" t="n">
        <v>1.18781154</v>
      </c>
      <c r="G49" s="18" t="n">
        <v>20.24012134</v>
      </c>
      <c r="H49" s="20" t="n">
        <v>1.21177027</v>
      </c>
      <c r="I49" s="18" t="n">
        <v>0</v>
      </c>
      <c r="J49" s="20" t="n">
        <v>0</v>
      </c>
      <c r="K49" s="18" t="n">
        <v>0.25980186</v>
      </c>
      <c r="L49" s="20" t="n">
        <v>0.19017327</v>
      </c>
      <c r="M49" s="18" t="n">
        <v>0</v>
      </c>
      <c r="N49" s="20" t="n">
        <v>0</v>
      </c>
      <c r="O49" s="18" t="n">
        <v>0</v>
      </c>
      <c r="P49" s="20" t="n">
        <v>0</v>
      </c>
      <c r="Q49" s="18" t="n">
        <v>4.4635719</v>
      </c>
      <c r="R49" s="20" t="n">
        <v>0.59838775</v>
      </c>
    </row>
    <row r="50" spans="1:18">
      <c r="A50" s="15" t="s">
        <v>609</v>
      </c>
      <c r="B50" s="17" t="n">
        <v>6866</v>
      </c>
      <c r="C50" s="18">
        <f>(5586.0/B50*100)</f>
        <v/>
      </c>
      <c r="D50" s="19" t="n">
        <v>1280</v>
      </c>
      <c r="E50" s="18" t="n">
        <v>80.64830881</v>
      </c>
      <c r="F50" s="20" t="n">
        <v>1.4419927</v>
      </c>
      <c r="G50" s="18" t="n">
        <v>14.28438543</v>
      </c>
      <c r="H50" s="20" t="n">
        <v>1.19978351</v>
      </c>
      <c r="I50" s="18" t="n">
        <v>0</v>
      </c>
      <c r="J50" s="20" t="n">
        <v>0</v>
      </c>
      <c r="K50" s="18" t="n">
        <v>0.13051964</v>
      </c>
      <c r="L50" s="20" t="n">
        <v>0.09285523</v>
      </c>
      <c r="M50" s="18" t="n">
        <v>0</v>
      </c>
      <c r="N50" s="20" t="n">
        <v>0</v>
      </c>
      <c r="O50" s="18" t="n">
        <v>0</v>
      </c>
      <c r="P50" s="20" t="n">
        <v>0</v>
      </c>
      <c r="Q50" s="18" t="n">
        <v>4.93678612</v>
      </c>
      <c r="R50" s="20" t="n">
        <v>0.74880976</v>
      </c>
    </row>
    <row r="51" spans="1:18">
      <c r="A51" s="15" t="s">
        <v>610</v>
      </c>
      <c r="B51" s="17" t="n">
        <v>5809</v>
      </c>
      <c r="C51" s="18">
        <f>(4521.0/B51*100)</f>
        <v/>
      </c>
      <c r="D51" s="19" t="n">
        <v>1288</v>
      </c>
      <c r="E51" s="18" t="n">
        <v>70.03888652000001</v>
      </c>
      <c r="F51" s="20" t="n">
        <v>1.46427293</v>
      </c>
      <c r="G51" s="18" t="n">
        <v>28.76061966</v>
      </c>
      <c r="H51" s="20" t="n">
        <v>1.40594456</v>
      </c>
      <c r="I51" s="18" t="n">
        <v>0</v>
      </c>
      <c r="J51" s="20" t="n">
        <v>0</v>
      </c>
      <c r="K51" s="18" t="n">
        <v>0</v>
      </c>
      <c r="L51" s="20" t="n">
        <v>0</v>
      </c>
      <c r="M51" s="18" t="n">
        <v>0</v>
      </c>
      <c r="N51" s="20" t="n">
        <v>0</v>
      </c>
      <c r="O51" s="18" t="n">
        <v>0</v>
      </c>
      <c r="P51" s="20" t="n">
        <v>0</v>
      </c>
      <c r="Q51" s="18" t="n">
        <v>1.20049382</v>
      </c>
      <c r="R51" s="20" t="n">
        <v>0.41929108</v>
      </c>
    </row>
    <row r="52" spans="1:18">
      <c r="A52" s="15" t="s">
        <v>611</v>
      </c>
      <c r="B52" s="17" t="n">
        <v>5571</v>
      </c>
      <c r="C52" s="18">
        <f>(4282.0/B52*100)</f>
        <v/>
      </c>
      <c r="D52" s="19" t="n">
        <v>1289</v>
      </c>
      <c r="E52" s="18" t="n">
        <v>50.42237788</v>
      </c>
      <c r="F52" s="20" t="n">
        <v>1.35017687</v>
      </c>
      <c r="G52" s="18" t="n">
        <v>42.29685894</v>
      </c>
      <c r="H52" s="20" t="n">
        <v>1.26536639</v>
      </c>
      <c r="I52" s="18" t="n">
        <v>0</v>
      </c>
      <c r="J52" s="20" t="n">
        <v>0</v>
      </c>
      <c r="K52" s="18" t="n">
        <v>0.32780779</v>
      </c>
      <c r="L52" s="20" t="n">
        <v>0.16720314</v>
      </c>
      <c r="M52" s="18" t="n">
        <v>0</v>
      </c>
      <c r="N52" s="20" t="n">
        <v>0</v>
      </c>
      <c r="O52" s="18" t="n">
        <v>0</v>
      </c>
      <c r="P52" s="20" t="n">
        <v>0</v>
      </c>
      <c r="Q52" s="18" t="n">
        <v>6.95295539</v>
      </c>
      <c r="R52" s="20" t="n">
        <v>0.70841424</v>
      </c>
    </row>
    <row r="53" spans="1:18">
      <c r="A53" s="15" t="s">
        <v>612</v>
      </c>
      <c r="B53" s="17" t="n">
        <v>4740</v>
      </c>
      <c r="C53" s="18">
        <f>(3696.0/B53*100)</f>
        <v/>
      </c>
      <c r="D53" s="19" t="n">
        <v>1044</v>
      </c>
      <c r="E53" s="18" t="n">
        <v>82.88587695</v>
      </c>
      <c r="F53" s="20" t="n">
        <v>1.39934512</v>
      </c>
      <c r="G53" s="18" t="n">
        <v>4.82406953</v>
      </c>
      <c r="H53" s="20" t="n">
        <v>0.7663358</v>
      </c>
      <c r="I53" s="18" t="n">
        <v>0</v>
      </c>
      <c r="J53" s="20" t="n">
        <v>0</v>
      </c>
      <c r="K53" s="18" t="n">
        <v>3.50291785</v>
      </c>
      <c r="L53" s="20" t="n">
        <v>0.67684252</v>
      </c>
      <c r="M53" s="18" t="n">
        <v>0</v>
      </c>
      <c r="N53" s="20" t="n">
        <v>0</v>
      </c>
      <c r="O53" s="18" t="n">
        <v>0</v>
      </c>
      <c r="P53" s="20" t="n">
        <v>0</v>
      </c>
      <c r="Q53" s="18" t="n">
        <v>8.787135660000001</v>
      </c>
      <c r="R53" s="20" t="n">
        <v>1.13562427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(4233.0/B55*100)</f>
        <v/>
      </c>
      <c r="D55" s="19" t="n">
        <v>1126</v>
      </c>
      <c r="E55" s="18" t="n">
        <v>39.02469461</v>
      </c>
      <c r="F55" s="20" t="n">
        <v>1.78481263</v>
      </c>
      <c r="G55" s="18" t="n">
        <v>57.39385759</v>
      </c>
      <c r="H55" s="20" t="n">
        <v>1.71458572</v>
      </c>
      <c r="I55" s="18" t="n">
        <v>0</v>
      </c>
      <c r="J55" s="20" t="n">
        <v>0</v>
      </c>
      <c r="K55" s="18" t="n">
        <v>0.07799108</v>
      </c>
      <c r="L55" s="20" t="n">
        <v>0.07993943000000001</v>
      </c>
      <c r="M55" s="18" t="n">
        <v>0</v>
      </c>
      <c r="N55" s="20" t="n">
        <v>0</v>
      </c>
      <c r="O55" s="18" t="n">
        <v>0</v>
      </c>
      <c r="P55" s="20" t="n">
        <v>0</v>
      </c>
      <c r="Q55" s="18" t="n">
        <v>3.50345672</v>
      </c>
      <c r="R55" s="20" t="n">
        <v>0.5639998000000001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(5086.0/B61*100)</f>
        <v/>
      </c>
      <c r="D61" s="19" t="n">
        <v>1439</v>
      </c>
      <c r="E61" s="18" t="n">
        <v>66.71112890000001</v>
      </c>
      <c r="F61" s="20" t="n">
        <v>1.43181553</v>
      </c>
      <c r="G61" s="18" t="n">
        <v>31.52877189</v>
      </c>
      <c r="H61" s="20" t="n">
        <v>1.41989029</v>
      </c>
      <c r="I61" s="18" t="n">
        <v>0</v>
      </c>
      <c r="J61" s="20" t="n">
        <v>0</v>
      </c>
      <c r="K61" s="18" t="n">
        <v>0</v>
      </c>
      <c r="L61" s="20" t="n">
        <v>0</v>
      </c>
      <c r="M61" s="18" t="n">
        <v>0</v>
      </c>
      <c r="N61" s="20" t="n">
        <v>0</v>
      </c>
      <c r="O61" s="18" t="n">
        <v>0</v>
      </c>
      <c r="P61" s="20" t="n">
        <v>0</v>
      </c>
      <c r="Q61" s="18" t="n">
        <v>1.76009921</v>
      </c>
      <c r="R61" s="20" t="n">
        <v>0.37344545</v>
      </c>
    </row>
    <row r="62" spans="1:18">
      <c r="A62" s="15" t="s">
        <v>622</v>
      </c>
      <c r="B62" s="17" t="n">
        <v>4476</v>
      </c>
      <c r="C62" s="18">
        <f>(3478.0/B62*100)</f>
        <v/>
      </c>
      <c r="D62" s="19" t="n">
        <v>998</v>
      </c>
      <c r="E62" s="18" t="n">
        <v>39.11304662</v>
      </c>
      <c r="F62" s="20" t="n">
        <v>1.61988084</v>
      </c>
      <c r="G62" s="18" t="n">
        <v>59.5803275</v>
      </c>
      <c r="H62" s="20" t="n">
        <v>1.58785915</v>
      </c>
      <c r="I62" s="18" t="n">
        <v>0</v>
      </c>
      <c r="J62" s="20" t="n">
        <v>0</v>
      </c>
      <c r="K62" s="18" t="n">
        <v>0.10288734</v>
      </c>
      <c r="L62" s="20" t="n">
        <v>0.10293581</v>
      </c>
      <c r="M62" s="18" t="n">
        <v>0</v>
      </c>
      <c r="N62" s="20" t="n">
        <v>0</v>
      </c>
      <c r="O62" s="18" t="n">
        <v>0</v>
      </c>
      <c r="P62" s="20" t="n">
        <v>0</v>
      </c>
      <c r="Q62" s="18" t="n">
        <v>1.20373854</v>
      </c>
      <c r="R62" s="20" t="n">
        <v>0.33792444</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(4415.0/B67*100)</f>
        <v/>
      </c>
      <c r="D67" s="19" t="n">
        <v>1250</v>
      </c>
      <c r="E67" s="18" t="n">
        <v>72.55115413999999</v>
      </c>
      <c r="F67" s="20" t="n">
        <v>1.33684745</v>
      </c>
      <c r="G67" s="18" t="n">
        <v>21.93167001</v>
      </c>
      <c r="H67" s="20" t="n">
        <v>1.24582107</v>
      </c>
      <c r="I67" s="18" t="n">
        <v>0</v>
      </c>
      <c r="J67" s="20" t="n">
        <v>0</v>
      </c>
      <c r="K67" s="18" t="n">
        <v>0.0816805</v>
      </c>
      <c r="L67" s="20" t="n">
        <v>0.08092017</v>
      </c>
      <c r="M67" s="18" t="n">
        <v>0</v>
      </c>
      <c r="N67" s="20" t="n">
        <v>0</v>
      </c>
      <c r="O67" s="18" t="n">
        <v>0</v>
      </c>
      <c r="P67" s="20" t="n">
        <v>0</v>
      </c>
      <c r="Q67" s="18" t="n">
        <v>5.43549536</v>
      </c>
      <c r="R67" s="20" t="n">
        <v>0.59484495</v>
      </c>
    </row>
    <row r="68" spans="1:18">
      <c r="A68" s="15" t="s">
        <v>628</v>
      </c>
      <c r="B68" s="17" t="n">
        <v>6971</v>
      </c>
      <c r="C68" s="18">
        <f>(5483.0/B68*100)</f>
        <v/>
      </c>
      <c r="D68" s="19" t="n">
        <v>1488</v>
      </c>
      <c r="E68" s="18" t="n">
        <v>76.2131955</v>
      </c>
      <c r="F68" s="20" t="n">
        <v>1.21510626</v>
      </c>
      <c r="G68" s="18" t="n">
        <v>17.63543131</v>
      </c>
      <c r="H68" s="20" t="n">
        <v>1.18142841</v>
      </c>
      <c r="I68" s="18" t="n">
        <v>0</v>
      </c>
      <c r="J68" s="20" t="n">
        <v>0</v>
      </c>
      <c r="K68" s="18" t="n">
        <v>0</v>
      </c>
      <c r="L68" s="20" t="n">
        <v>0</v>
      </c>
      <c r="M68" s="18" t="n">
        <v>0</v>
      </c>
      <c r="N68" s="20" t="n">
        <v>0</v>
      </c>
      <c r="O68" s="18" t="n">
        <v>0</v>
      </c>
      <c r="P68" s="20" t="n">
        <v>0</v>
      </c>
      <c r="Q68" s="18" t="n">
        <v>6.15137319</v>
      </c>
      <c r="R68" s="20" t="n">
        <v>0.64803574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(9377.0/B70*100)</f>
        <v/>
      </c>
      <c r="D70" s="19" t="n">
        <v>2706</v>
      </c>
      <c r="E70" s="18" t="n">
        <v>56.24576514</v>
      </c>
      <c r="F70" s="20" t="n">
        <v>1.03163032</v>
      </c>
      <c r="G70" s="18" t="n">
        <v>35.05080225</v>
      </c>
      <c r="H70" s="20" t="n">
        <v>1.03073808</v>
      </c>
      <c r="I70" s="18" t="n">
        <v>0</v>
      </c>
      <c r="J70" s="20" t="n">
        <v>0</v>
      </c>
      <c r="K70" s="18" t="n">
        <v>0.53602064</v>
      </c>
      <c r="L70" s="20" t="n">
        <v>0.13555623</v>
      </c>
      <c r="M70" s="18" t="n">
        <v>0</v>
      </c>
      <c r="N70" s="20" t="n">
        <v>0</v>
      </c>
      <c r="O70" s="18" t="n">
        <v>0</v>
      </c>
      <c r="P70" s="20" t="n">
        <v>0</v>
      </c>
      <c r="Q70" s="18" t="n">
        <v>8.167411960000001</v>
      </c>
      <c r="R70" s="20" t="n">
        <v>0.6181534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(4676.0/B72*100)</f>
        <v/>
      </c>
      <c r="D72" s="19" t="n">
        <v>1360</v>
      </c>
      <c r="E72" s="18" t="n">
        <v>62.18055456</v>
      </c>
      <c r="F72" s="20" t="n">
        <v>1.86502405</v>
      </c>
      <c r="G72" s="18" t="n">
        <v>35.22002109</v>
      </c>
      <c r="H72" s="20" t="n">
        <v>1.80032161</v>
      </c>
      <c r="I72" s="18" t="n">
        <v>0</v>
      </c>
      <c r="J72" s="20" t="n">
        <v>0</v>
      </c>
      <c r="K72" s="18" t="n">
        <v>0.06150526</v>
      </c>
      <c r="L72" s="20" t="n">
        <v>0.06180113</v>
      </c>
      <c r="M72" s="18" t="n">
        <v>0</v>
      </c>
      <c r="N72" s="20" t="n">
        <v>0</v>
      </c>
      <c r="O72" s="18" t="n">
        <v>0</v>
      </c>
      <c r="P72" s="20" t="n">
        <v>0</v>
      </c>
      <c r="Q72" s="18" t="n">
        <v>2.53791908</v>
      </c>
      <c r="R72" s="20" t="n">
        <v>0.5123194</v>
      </c>
    </row>
    <row r="73" spans="1:18">
      <c r="A73" s="15" t="s">
        <v>633</v>
      </c>
      <c r="B73" s="17" t="n">
        <v>6115</v>
      </c>
      <c r="C73" s="18">
        <f>(4759.0/B73*100)</f>
        <v/>
      </c>
      <c r="D73" s="19" t="n">
        <v>1356</v>
      </c>
      <c r="E73" s="18" t="n">
        <v>19.80783604</v>
      </c>
      <c r="F73" s="20" t="n">
        <v>1.03202033</v>
      </c>
      <c r="G73" s="18" t="n">
        <v>78.70876859000001</v>
      </c>
      <c r="H73" s="20" t="n">
        <v>1.06733222</v>
      </c>
      <c r="I73" s="18" t="n">
        <v>0</v>
      </c>
      <c r="J73" s="20" t="n">
        <v>0</v>
      </c>
      <c r="K73" s="18" t="n">
        <v>0</v>
      </c>
      <c r="L73" s="20" t="n">
        <v>0</v>
      </c>
      <c r="M73" s="18" t="n">
        <v>0</v>
      </c>
      <c r="N73" s="20" t="n">
        <v>0</v>
      </c>
      <c r="O73" s="18" t="n">
        <v>0</v>
      </c>
      <c r="P73" s="20" t="n">
        <v>0</v>
      </c>
      <c r="Q73" s="18" t="n">
        <v>1.48339537</v>
      </c>
      <c r="R73" s="20" t="n">
        <v>0.30424804</v>
      </c>
    </row>
    <row r="74" spans="1:18">
      <c r="A74" s="15" t="s">
        <v>634</v>
      </c>
      <c r="B74" s="17" t="n">
        <v>7708</v>
      </c>
      <c r="C74" s="18">
        <f>(6055.0/B74*100)</f>
        <v/>
      </c>
      <c r="D74" s="19" t="n">
        <v>1653</v>
      </c>
      <c r="E74" s="18" t="n">
        <v>26.11722951</v>
      </c>
      <c r="F74" s="20" t="n">
        <v>1.28807533</v>
      </c>
      <c r="G74" s="18" t="n">
        <v>70.8886622</v>
      </c>
      <c r="H74" s="20" t="n">
        <v>1.30358136</v>
      </c>
      <c r="I74" s="18" t="n">
        <v>0</v>
      </c>
      <c r="J74" s="20" t="n">
        <v>0</v>
      </c>
      <c r="K74" s="18" t="n">
        <v>0</v>
      </c>
      <c r="L74" s="20" t="n">
        <v>0</v>
      </c>
      <c r="M74" s="18" t="n">
        <v>0</v>
      </c>
      <c r="N74" s="20" t="n">
        <v>0</v>
      </c>
      <c r="O74" s="18" t="n">
        <v>0</v>
      </c>
      <c r="P74" s="20" t="n">
        <v>0</v>
      </c>
      <c r="Q74" s="18" t="n">
        <v>2.99410829</v>
      </c>
      <c r="R74" s="20" t="n">
        <v>0.41966413</v>
      </c>
    </row>
    <row r="75" spans="1:18">
      <c r="A75" s="15" t="s">
        <v>635</v>
      </c>
      <c r="B75" s="17" t="n">
        <v>8249</v>
      </c>
      <c r="C75" s="18">
        <f>(6467.0/B75*100)</f>
        <v/>
      </c>
      <c r="D75" s="19" t="n">
        <v>1782</v>
      </c>
      <c r="E75" s="18" t="n">
        <v>58.07581771</v>
      </c>
      <c r="F75" s="20" t="n">
        <v>1.4108762</v>
      </c>
      <c r="G75" s="18" t="n">
        <v>33.91214747</v>
      </c>
      <c r="H75" s="20" t="n">
        <v>1.58220661</v>
      </c>
      <c r="I75" s="18" t="n">
        <v>0</v>
      </c>
      <c r="J75" s="20" t="n">
        <v>0</v>
      </c>
      <c r="K75" s="18" t="n">
        <v>0</v>
      </c>
      <c r="L75" s="20" t="n">
        <v>0</v>
      </c>
      <c r="M75" s="18" t="n">
        <v>0</v>
      </c>
      <c r="N75" s="20" t="n">
        <v>0</v>
      </c>
      <c r="O75" s="18" t="n">
        <v>0</v>
      </c>
      <c r="P75" s="20" t="n">
        <v>0</v>
      </c>
      <c r="Q75" s="18" t="n">
        <v>8.012034809999999</v>
      </c>
      <c r="R75" s="20" t="n">
        <v>0.8601306399999999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(4295.0/B77*100)</f>
        <v/>
      </c>
      <c r="D77" s="19" t="n">
        <v>1080</v>
      </c>
      <c r="E77" s="18" t="n">
        <v>79.41852408</v>
      </c>
      <c r="F77" s="20" t="n">
        <v>1.3749481</v>
      </c>
      <c r="G77" s="18" t="n">
        <v>14.1338792</v>
      </c>
      <c r="H77" s="20" t="n">
        <v>1.13960997</v>
      </c>
      <c r="I77" s="18" t="n">
        <v>0</v>
      </c>
      <c r="J77" s="20" t="n">
        <v>0</v>
      </c>
      <c r="K77" s="18" t="n">
        <v>1.45047421</v>
      </c>
      <c r="L77" s="20" t="n">
        <v>0.40966805</v>
      </c>
      <c r="M77" s="18" t="n">
        <v>0</v>
      </c>
      <c r="N77" s="20" t="n">
        <v>0</v>
      </c>
      <c r="O77" s="18" t="n">
        <v>0</v>
      </c>
      <c r="P77" s="20" t="n">
        <v>0</v>
      </c>
      <c r="Q77" s="18" t="n">
        <v>4.99712251</v>
      </c>
      <c r="R77" s="20" t="n">
        <v>0.72614747</v>
      </c>
    </row>
    <row r="78" spans="1:18">
      <c r="A78" s="15" t="s">
        <v>638</v>
      </c>
      <c r="B78" s="17" t="n">
        <v>14167</v>
      </c>
      <c r="C78" s="18">
        <f>(11151.0/B78*100)</f>
        <v/>
      </c>
      <c r="D78" s="19" t="n">
        <v>3016</v>
      </c>
      <c r="E78" s="18" t="n">
        <v>56.76156721</v>
      </c>
      <c r="F78" s="20" t="n">
        <v>1.19188228</v>
      </c>
      <c r="G78" s="18" t="n">
        <v>37.63624952</v>
      </c>
      <c r="H78" s="20" t="n">
        <v>1.27908517</v>
      </c>
      <c r="I78" s="18" t="n">
        <v>0</v>
      </c>
      <c r="J78" s="20" t="n">
        <v>0</v>
      </c>
      <c r="K78" s="18" t="n">
        <v>0.41802932</v>
      </c>
      <c r="L78" s="20" t="n">
        <v>0.13161432</v>
      </c>
      <c r="M78" s="18" t="n">
        <v>0</v>
      </c>
      <c r="N78" s="20" t="n">
        <v>0</v>
      </c>
      <c r="O78" s="18" t="n">
        <v>0</v>
      </c>
      <c r="P78" s="20" t="n">
        <v>0</v>
      </c>
      <c r="Q78" s="18" t="n">
        <v>5.18415395</v>
      </c>
      <c r="R78" s="20" t="n">
        <v>0.48214687</v>
      </c>
    </row>
    <row r="79" spans="1:18">
      <c r="A79" s="15" t="s">
        <v>639</v>
      </c>
      <c r="B79" s="17" t="n">
        <v>6062</v>
      </c>
      <c r="C79" s="18">
        <f>(4689.0/B79*100)</f>
        <v/>
      </c>
      <c r="D79" s="19" t="n">
        <v>1373</v>
      </c>
      <c r="E79" s="18" t="n">
        <v>66.92316218000001</v>
      </c>
      <c r="F79" s="20" t="n">
        <v>1.43416817</v>
      </c>
      <c r="G79" s="18" t="n">
        <v>30.07694851</v>
      </c>
      <c r="H79" s="20" t="n">
        <v>1.33798464</v>
      </c>
      <c r="I79" s="18" t="n">
        <v>0</v>
      </c>
      <c r="J79" s="20" t="n">
        <v>0</v>
      </c>
      <c r="K79" s="18" t="n">
        <v>0.16620289</v>
      </c>
      <c r="L79" s="20" t="n">
        <v>0.12811184</v>
      </c>
      <c r="M79" s="18" t="n">
        <v>0</v>
      </c>
      <c r="N79" s="20" t="n">
        <v>0</v>
      </c>
      <c r="O79" s="18" t="n">
        <v>0</v>
      </c>
      <c r="P79" s="20" t="n">
        <v>0</v>
      </c>
      <c r="Q79" s="18" t="n">
        <v>2.83368641</v>
      </c>
      <c r="R79" s="20" t="n">
        <v>0.45079849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(25227.0/B82*100)</f>
        <v/>
      </c>
      <c r="D82" s="19" t="n">
        <v>7103</v>
      </c>
      <c r="E82" s="18" t="n">
        <v>43.05141788</v>
      </c>
      <c r="F82" s="20" t="n">
        <v>0.95283121</v>
      </c>
      <c r="G82" s="18" t="n">
        <v>53.80411436</v>
      </c>
      <c r="H82" s="20" t="n">
        <v>0.99156497</v>
      </c>
      <c r="I82" s="18" t="n">
        <v>0</v>
      </c>
      <c r="J82" s="20" t="n">
        <v>0</v>
      </c>
      <c r="K82" s="18" t="n">
        <v>0.16736469</v>
      </c>
      <c r="L82" s="20" t="n">
        <v>0.0747934</v>
      </c>
      <c r="M82" s="18" t="n">
        <v>0</v>
      </c>
      <c r="N82" s="20" t="n">
        <v>0</v>
      </c>
      <c r="O82" s="18" t="n">
        <v>0</v>
      </c>
      <c r="P82" s="20" t="n">
        <v>0</v>
      </c>
      <c r="Q82" s="18" t="n">
        <v>2.97710307</v>
      </c>
      <c r="R82" s="20" t="n">
        <v>0.32973185</v>
      </c>
    </row>
    <row r="83" spans="1:18">
      <c r="A83" s="15" t="s">
        <v>643</v>
      </c>
      <c r="B83" s="17" t="n">
        <v>1652</v>
      </c>
      <c r="C83" s="18">
        <f>(1311.0/B83*100)</f>
        <v/>
      </c>
      <c r="D83" s="19" t="n">
        <v>341</v>
      </c>
      <c r="E83" s="18" t="n">
        <v>21.26363216</v>
      </c>
      <c r="F83" s="20" t="n">
        <v>3.38559653</v>
      </c>
      <c r="G83" s="18" t="n">
        <v>76.05124493</v>
      </c>
      <c r="H83" s="20" t="n">
        <v>3.70756678</v>
      </c>
      <c r="I83" s="18" t="n">
        <v>0</v>
      </c>
      <c r="J83" s="20" t="n">
        <v>0</v>
      </c>
      <c r="K83" s="18" t="n">
        <v>0</v>
      </c>
      <c r="L83" s="20" t="n">
        <v>0</v>
      </c>
      <c r="M83" s="18" t="n">
        <v>0</v>
      </c>
      <c r="N83" s="20" t="n">
        <v>0</v>
      </c>
      <c r="O83" s="18" t="n">
        <v>0</v>
      </c>
      <c r="P83" s="20" t="n">
        <v>0</v>
      </c>
      <c r="Q83" s="18" t="n">
        <v>2.68512291</v>
      </c>
      <c r="R83" s="20" t="n">
        <v>0.92766916</v>
      </c>
    </row>
    <row r="84" spans="1:18">
      <c r="A84" s="23" t="s">
        <v>644</v>
      </c>
      <c r="B84" s="24" t="n">
        <v>1887</v>
      </c>
      <c r="C84" s="25">
        <f>(1499.0/B84*100)</f>
        <v/>
      </c>
      <c r="D84" s="19" t="n">
        <v>388</v>
      </c>
      <c r="E84" s="18" t="n">
        <v>26.15597151</v>
      </c>
      <c r="F84" s="20" t="n">
        <v>2.73942255</v>
      </c>
      <c r="G84" s="18" t="n">
        <v>70.46032449</v>
      </c>
      <c r="H84" s="20" t="n">
        <v>2.64663669</v>
      </c>
      <c r="I84" s="18" t="n">
        <v>0</v>
      </c>
      <c r="J84" s="20" t="n">
        <v>0</v>
      </c>
      <c r="K84" s="18" t="n">
        <v>0.23854307</v>
      </c>
      <c r="L84" s="20" t="n">
        <v>0.23577566</v>
      </c>
      <c r="M84" s="18" t="n">
        <v>0</v>
      </c>
      <c r="N84" s="20" t="n">
        <v>0</v>
      </c>
      <c r="O84" s="18" t="n">
        <v>0</v>
      </c>
      <c r="P84" s="20" t="n">
        <v>0</v>
      </c>
      <c r="Q84" s="18" t="n">
        <v>3.14516092</v>
      </c>
      <c r="R84" s="20" t="n">
        <v>0.62450356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6.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768</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(11355.0/B7*100)</f>
        <v/>
      </c>
      <c r="D7" s="19" t="n">
        <v>3175</v>
      </c>
      <c r="E7" s="18" t="n">
        <v>44.73744026</v>
      </c>
      <c r="F7" s="20" t="n">
        <v>1.23398458</v>
      </c>
      <c r="G7" s="18" t="n">
        <v>13.99890905</v>
      </c>
      <c r="H7" s="20" t="n">
        <v>0.73977517</v>
      </c>
      <c r="I7" s="18" t="n">
        <v>38.65866921</v>
      </c>
      <c r="J7" s="20" t="n">
        <v>1.23461501</v>
      </c>
      <c r="K7" s="18" t="n">
        <v>0</v>
      </c>
      <c r="L7" s="20" t="n">
        <v>0</v>
      </c>
      <c r="M7" s="18" t="n">
        <v>0.15539981</v>
      </c>
      <c r="N7" s="20" t="n">
        <v>0.07776352</v>
      </c>
      <c r="O7" s="18" t="n">
        <v>0.07078225</v>
      </c>
      <c r="P7" s="20" t="n">
        <v>0.04788095</v>
      </c>
      <c r="Q7" s="18" t="n">
        <v>0</v>
      </c>
      <c r="R7" s="20" t="n">
        <v>0</v>
      </c>
      <c r="S7" s="18" t="n">
        <v>2.37879942</v>
      </c>
      <c r="T7" s="20" t="n">
        <v>0.27626438</v>
      </c>
    </row>
    <row r="8" spans="1:20">
      <c r="A8" s="15" t="s">
        <v>566</v>
      </c>
      <c r="B8" s="17" t="n">
        <v>7007</v>
      </c>
      <c r="C8" s="18">
        <f>(5416.0/B8*100)</f>
        <v/>
      </c>
      <c r="D8" s="19" t="n">
        <v>1591</v>
      </c>
      <c r="E8" s="18" t="n">
        <v>43.77723792</v>
      </c>
      <c r="F8" s="20" t="n">
        <v>1.21398037</v>
      </c>
      <c r="G8" s="18" t="n">
        <v>19.06766457</v>
      </c>
      <c r="H8" s="20" t="n">
        <v>0.9603184</v>
      </c>
      <c r="I8" s="18" t="n">
        <v>34.05049428</v>
      </c>
      <c r="J8" s="20" t="n">
        <v>1.43079591</v>
      </c>
      <c r="K8" s="18" t="n">
        <v>0</v>
      </c>
      <c r="L8" s="20" t="n">
        <v>0</v>
      </c>
      <c r="M8" s="18" t="n">
        <v>0.11647031</v>
      </c>
      <c r="N8" s="20" t="n">
        <v>0.08947163</v>
      </c>
      <c r="O8" s="18" t="n">
        <v>0</v>
      </c>
      <c r="P8" s="20" t="n">
        <v>0</v>
      </c>
      <c r="Q8" s="18" t="n">
        <v>0</v>
      </c>
      <c r="R8" s="20" t="n">
        <v>0</v>
      </c>
      <c r="S8" s="18" t="n">
        <v>2.98813292</v>
      </c>
      <c r="T8" s="20" t="n">
        <v>0.51537085</v>
      </c>
    </row>
    <row r="9" spans="1:20">
      <c r="A9" s="15" t="s">
        <v>567</v>
      </c>
      <c r="B9" s="17" t="n">
        <v>9651</v>
      </c>
      <c r="C9" s="18">
        <f>(7605.0/B9*100)</f>
        <v/>
      </c>
      <c r="D9" s="19" t="n">
        <v>2046</v>
      </c>
      <c r="E9" s="18" t="n">
        <v>39.91676496</v>
      </c>
      <c r="F9" s="20" t="n">
        <v>1.14260886</v>
      </c>
      <c r="G9" s="18" t="n">
        <v>15.99870368</v>
      </c>
      <c r="H9" s="20" t="n">
        <v>0.87626224</v>
      </c>
      <c r="I9" s="18" t="n">
        <v>41.92924233</v>
      </c>
      <c r="J9" s="20" t="n">
        <v>1.21015511</v>
      </c>
      <c r="K9" s="18" t="n">
        <v>0</v>
      </c>
      <c r="L9" s="20" t="n">
        <v>0</v>
      </c>
      <c r="M9" s="18" t="n">
        <v>0.11350811</v>
      </c>
      <c r="N9" s="20" t="n">
        <v>0.08760336000000001</v>
      </c>
      <c r="O9" s="18" t="n">
        <v>0.63118537</v>
      </c>
      <c r="P9" s="20" t="n">
        <v>0.15993942</v>
      </c>
      <c r="Q9" s="18" t="n">
        <v>0</v>
      </c>
      <c r="R9" s="20" t="n">
        <v>0</v>
      </c>
      <c r="S9" s="18" t="n">
        <v>1.41059556</v>
      </c>
      <c r="T9" s="20" t="n">
        <v>0.29422338</v>
      </c>
    </row>
    <row r="10" spans="1:20">
      <c r="A10" s="15" t="s">
        <v>568</v>
      </c>
      <c r="B10" s="17" t="n">
        <v>20058</v>
      </c>
      <c r="C10" s="18">
        <f>(15623.0/B10*100)</f>
        <v/>
      </c>
      <c r="D10" s="19" t="n">
        <v>4435</v>
      </c>
      <c r="E10" s="18" t="n">
        <v>45.01747423</v>
      </c>
      <c r="F10" s="20" t="n">
        <v>0.8287605300000001</v>
      </c>
      <c r="G10" s="18" t="n">
        <v>12.88159435</v>
      </c>
      <c r="H10" s="20" t="n">
        <v>0.63662473</v>
      </c>
      <c r="I10" s="18" t="n">
        <v>40.50517586</v>
      </c>
      <c r="J10" s="20" t="n">
        <v>0.93540192</v>
      </c>
      <c r="K10" s="18" t="n">
        <v>0</v>
      </c>
      <c r="L10" s="20" t="n">
        <v>0</v>
      </c>
      <c r="M10" s="18" t="n">
        <v>0.19274179</v>
      </c>
      <c r="N10" s="20" t="n">
        <v>0.12546782</v>
      </c>
      <c r="O10" s="18" t="n">
        <v>0.04845239</v>
      </c>
      <c r="P10" s="20" t="n">
        <v>0.04846307</v>
      </c>
      <c r="Q10" s="18" t="n">
        <v>0</v>
      </c>
      <c r="R10" s="20" t="n">
        <v>0</v>
      </c>
      <c r="S10" s="18" t="n">
        <v>1.35456138</v>
      </c>
      <c r="T10" s="20" t="n">
        <v>0.23157104</v>
      </c>
    </row>
    <row r="11" spans="1:20">
      <c r="A11" s="15" t="s">
        <v>569</v>
      </c>
      <c r="B11" s="17" t="n">
        <v>7053</v>
      </c>
      <c r="C11" s="18">
        <f>(5513.0/B11*100)</f>
        <v/>
      </c>
      <c r="D11" s="19" t="n">
        <v>1540</v>
      </c>
      <c r="E11" s="18" t="n">
        <v>48.96215244</v>
      </c>
      <c r="F11" s="20" t="n">
        <v>1.39013359</v>
      </c>
      <c r="G11" s="18" t="n">
        <v>21.4457484</v>
      </c>
      <c r="H11" s="20" t="n">
        <v>1.07901467</v>
      </c>
      <c r="I11" s="18" t="n">
        <v>26.02308517</v>
      </c>
      <c r="J11" s="20" t="n">
        <v>1.36367899</v>
      </c>
      <c r="K11" s="18" t="n">
        <v>0</v>
      </c>
      <c r="L11" s="20" t="n">
        <v>0</v>
      </c>
      <c r="M11" s="18" t="n">
        <v>0.07043476</v>
      </c>
      <c r="N11" s="20" t="n">
        <v>0.07069576</v>
      </c>
      <c r="O11" s="18" t="n">
        <v>0.01450699</v>
      </c>
      <c r="P11" s="20" t="n">
        <v>0.01457369</v>
      </c>
      <c r="Q11" s="18" t="n">
        <v>0</v>
      </c>
      <c r="R11" s="20" t="n">
        <v>0</v>
      </c>
      <c r="S11" s="18" t="n">
        <v>3.48407225</v>
      </c>
      <c r="T11" s="20" t="n">
        <v>0.45668759</v>
      </c>
    </row>
    <row r="12" spans="1:20">
      <c r="A12" s="15" t="s">
        <v>570</v>
      </c>
      <c r="B12" s="17" t="n">
        <v>6894</v>
      </c>
      <c r="C12" s="18">
        <f>(5396.0/B12*100)</f>
        <v/>
      </c>
      <c r="D12" s="19" t="n">
        <v>1498</v>
      </c>
      <c r="E12" s="18" t="n">
        <v>39.17391476</v>
      </c>
      <c r="F12" s="20" t="n">
        <v>1.63539803</v>
      </c>
      <c r="G12" s="18" t="n">
        <v>24.97652215</v>
      </c>
      <c r="H12" s="20" t="n">
        <v>1.47499603</v>
      </c>
      <c r="I12" s="18" t="n">
        <v>34.34367589</v>
      </c>
      <c r="J12" s="20" t="n">
        <v>1.45756066</v>
      </c>
      <c r="K12" s="18" t="n">
        <v>0</v>
      </c>
      <c r="L12" s="20" t="n">
        <v>0</v>
      </c>
      <c r="M12" s="18" t="n">
        <v>0</v>
      </c>
      <c r="N12" s="20" t="n">
        <v>0</v>
      </c>
      <c r="O12" s="18" t="n">
        <v>0.08052904</v>
      </c>
      <c r="P12" s="20" t="n">
        <v>0.12074951</v>
      </c>
      <c r="Q12" s="18" t="n">
        <v>0</v>
      </c>
      <c r="R12" s="20" t="n">
        <v>0</v>
      </c>
      <c r="S12" s="18" t="n">
        <v>1.42535816</v>
      </c>
      <c r="T12" s="20" t="n">
        <v>0.39710461</v>
      </c>
    </row>
    <row r="13" spans="1:20">
      <c r="A13" s="15" t="s">
        <v>571</v>
      </c>
      <c r="B13" s="17" t="n">
        <v>7161</v>
      </c>
      <c r="C13" s="18">
        <f>(5636.0/B13*100)</f>
        <v/>
      </c>
      <c r="D13" s="19" t="n">
        <v>1525</v>
      </c>
      <c r="E13" s="18" t="n">
        <v>39.77650323</v>
      </c>
      <c r="F13" s="20" t="n">
        <v>1.79544682</v>
      </c>
      <c r="G13" s="18" t="n">
        <v>19.51827359</v>
      </c>
      <c r="H13" s="20" t="n">
        <v>1.21179883</v>
      </c>
      <c r="I13" s="18" t="n">
        <v>38.76935094</v>
      </c>
      <c r="J13" s="20" t="n">
        <v>1.50100744</v>
      </c>
      <c r="K13" s="18" t="n">
        <v>0</v>
      </c>
      <c r="L13" s="20" t="n">
        <v>0</v>
      </c>
      <c r="M13" s="18" t="n">
        <v>0.28027001</v>
      </c>
      <c r="N13" s="20" t="n">
        <v>0.20309501</v>
      </c>
      <c r="O13" s="18" t="n">
        <v>0.29730217</v>
      </c>
      <c r="P13" s="20" t="n">
        <v>0.24598989</v>
      </c>
      <c r="Q13" s="18" t="n">
        <v>0</v>
      </c>
      <c r="R13" s="20" t="n">
        <v>0</v>
      </c>
      <c r="S13" s="18" t="n">
        <v>1.35830007</v>
      </c>
      <c r="T13" s="20" t="n">
        <v>0.43652416</v>
      </c>
    </row>
    <row r="14" spans="1:20">
      <c r="A14" s="15" t="s">
        <v>572</v>
      </c>
      <c r="B14" s="17" t="n">
        <v>5587</v>
      </c>
      <c r="C14" s="18">
        <f>(4285.0/B14*100)</f>
        <v/>
      </c>
      <c r="D14" s="19" t="n">
        <v>1302</v>
      </c>
      <c r="E14" s="18" t="n">
        <v>39.57576085</v>
      </c>
      <c r="F14" s="20" t="n">
        <v>1.37502454</v>
      </c>
      <c r="G14" s="18" t="n">
        <v>18.35386202</v>
      </c>
      <c r="H14" s="20" t="n">
        <v>1.26723172</v>
      </c>
      <c r="I14" s="18" t="n">
        <v>41.11640703</v>
      </c>
      <c r="J14" s="20" t="n">
        <v>1.3954367</v>
      </c>
      <c r="K14" s="18" t="n">
        <v>0</v>
      </c>
      <c r="L14" s="20" t="n">
        <v>0</v>
      </c>
      <c r="M14" s="18" t="n">
        <v>0.06183092</v>
      </c>
      <c r="N14" s="20" t="n">
        <v>0.05507289</v>
      </c>
      <c r="O14" s="18" t="n">
        <v>0</v>
      </c>
      <c r="P14" s="20" t="n">
        <v>0</v>
      </c>
      <c r="Q14" s="18" t="n">
        <v>0</v>
      </c>
      <c r="R14" s="20" t="n">
        <v>0</v>
      </c>
      <c r="S14" s="18" t="n">
        <v>0.89213919</v>
      </c>
      <c r="T14" s="20" t="n">
        <v>0.32210252</v>
      </c>
    </row>
    <row r="15" spans="1:20">
      <c r="A15" s="15" t="s">
        <v>573</v>
      </c>
      <c r="B15" s="17" t="n">
        <v>5882</v>
      </c>
      <c r="C15" s="18">
        <f>(4574.0/B15*100)</f>
        <v/>
      </c>
      <c r="D15" s="19" t="n">
        <v>1308</v>
      </c>
      <c r="E15" s="18" t="n">
        <v>40.64217923</v>
      </c>
      <c r="F15" s="20" t="n">
        <v>1.3594084</v>
      </c>
      <c r="G15" s="18" t="n">
        <v>15.29933926</v>
      </c>
      <c r="H15" s="20" t="n">
        <v>0.88283844</v>
      </c>
      <c r="I15" s="18" t="n">
        <v>42.67116855</v>
      </c>
      <c r="J15" s="20" t="n">
        <v>1.39304556</v>
      </c>
      <c r="K15" s="18" t="n">
        <v>0</v>
      </c>
      <c r="L15" s="20" t="n">
        <v>0</v>
      </c>
      <c r="M15" s="18" t="n">
        <v>0</v>
      </c>
      <c r="N15" s="20" t="n">
        <v>0</v>
      </c>
      <c r="O15" s="18" t="n">
        <v>0</v>
      </c>
      <c r="P15" s="20" t="n">
        <v>0</v>
      </c>
      <c r="Q15" s="18" t="n">
        <v>0</v>
      </c>
      <c r="R15" s="20" t="n">
        <v>0</v>
      </c>
      <c r="S15" s="18" t="n">
        <v>1.38731296</v>
      </c>
      <c r="T15" s="20" t="n">
        <v>0.33461003</v>
      </c>
    </row>
    <row r="16" spans="1:20">
      <c r="A16" s="15" t="s">
        <v>574</v>
      </c>
      <c r="B16" s="17" t="n">
        <v>6108</v>
      </c>
      <c r="C16" s="18">
        <f>(4751.0/B16*100)</f>
        <v/>
      </c>
      <c r="D16" s="19" t="n">
        <v>1357</v>
      </c>
      <c r="E16" s="18" t="n">
        <v>43.4902589</v>
      </c>
      <c r="F16" s="20" t="n">
        <v>1.40569693</v>
      </c>
      <c r="G16" s="18" t="n">
        <v>14.98161491</v>
      </c>
      <c r="H16" s="20" t="n">
        <v>0.89969318</v>
      </c>
      <c r="I16" s="18" t="n">
        <v>36.93180712</v>
      </c>
      <c r="J16" s="20" t="n">
        <v>1.45254127</v>
      </c>
      <c r="K16" s="18" t="n">
        <v>0</v>
      </c>
      <c r="L16" s="20" t="n">
        <v>0</v>
      </c>
      <c r="M16" s="18" t="n">
        <v>0.62700872</v>
      </c>
      <c r="N16" s="20" t="n">
        <v>0.19924879</v>
      </c>
      <c r="O16" s="18" t="n">
        <v>0</v>
      </c>
      <c r="P16" s="20" t="n">
        <v>0</v>
      </c>
      <c r="Q16" s="18" t="n">
        <v>0</v>
      </c>
      <c r="R16" s="20" t="n">
        <v>0</v>
      </c>
      <c r="S16" s="18" t="n">
        <v>3.96931035</v>
      </c>
      <c r="T16" s="20" t="n">
        <v>0.56859255</v>
      </c>
    </row>
    <row r="17" spans="1:20">
      <c r="A17" s="15" t="s">
        <v>575</v>
      </c>
      <c r="B17" s="17" t="n">
        <v>6504</v>
      </c>
      <c r="C17" s="18">
        <f>(5082.0/B17*100)</f>
        <v/>
      </c>
      <c r="D17" s="19" t="n">
        <v>1422</v>
      </c>
      <c r="E17" s="18" t="n">
        <v>41.91914191</v>
      </c>
      <c r="F17" s="20" t="n">
        <v>1.3624521</v>
      </c>
      <c r="G17" s="18" t="n">
        <v>16.51643292</v>
      </c>
      <c r="H17" s="20" t="n">
        <v>1.27590831</v>
      </c>
      <c r="I17" s="18" t="n">
        <v>39.99067884</v>
      </c>
      <c r="J17" s="20" t="n">
        <v>1.40388655</v>
      </c>
      <c r="K17" s="18" t="n">
        <v>0</v>
      </c>
      <c r="L17" s="20" t="n">
        <v>0</v>
      </c>
      <c r="M17" s="18" t="n">
        <v>0</v>
      </c>
      <c r="N17" s="20" t="n">
        <v>0</v>
      </c>
      <c r="O17" s="18" t="n">
        <v>0</v>
      </c>
      <c r="P17" s="20" t="n">
        <v>0</v>
      </c>
      <c r="Q17" s="18" t="n">
        <v>0</v>
      </c>
      <c r="R17" s="20" t="n">
        <v>0</v>
      </c>
      <c r="S17" s="18" t="n">
        <v>1.57374633</v>
      </c>
      <c r="T17" s="20" t="n">
        <v>0.33030916</v>
      </c>
    </row>
    <row r="18" spans="1:20">
      <c r="A18" s="15" t="s">
        <v>576</v>
      </c>
      <c r="B18" s="17" t="n">
        <v>5532</v>
      </c>
      <c r="C18" s="18">
        <f>(4297.0/B18*100)</f>
        <v/>
      </c>
      <c r="D18" s="19" t="n">
        <v>1235</v>
      </c>
      <c r="E18" s="18" t="n">
        <v>51.58679392</v>
      </c>
      <c r="F18" s="20" t="n">
        <v>1.61435608</v>
      </c>
      <c r="G18" s="18" t="n">
        <v>24.60407484</v>
      </c>
      <c r="H18" s="20" t="n">
        <v>1.42020834</v>
      </c>
      <c r="I18" s="18" t="n">
        <v>21.52934301</v>
      </c>
      <c r="J18" s="20" t="n">
        <v>1.69281453</v>
      </c>
      <c r="K18" s="18" t="n">
        <v>0</v>
      </c>
      <c r="L18" s="20" t="n">
        <v>0</v>
      </c>
      <c r="M18" s="18" t="n">
        <v>0</v>
      </c>
      <c r="N18" s="20" t="n">
        <v>0</v>
      </c>
      <c r="O18" s="18" t="n">
        <v>0</v>
      </c>
      <c r="P18" s="20" t="n">
        <v>0</v>
      </c>
      <c r="Q18" s="18" t="n">
        <v>0</v>
      </c>
      <c r="R18" s="20" t="n">
        <v>0</v>
      </c>
      <c r="S18" s="18" t="n">
        <v>2.27978823</v>
      </c>
      <c r="T18" s="20" t="n">
        <v>0.45078797</v>
      </c>
    </row>
    <row r="19" spans="1:20">
      <c r="A19" s="15" t="s">
        <v>577</v>
      </c>
      <c r="B19" s="17" t="n">
        <v>5658</v>
      </c>
      <c r="C19" s="18">
        <f>(4415.0/B19*100)</f>
        <v/>
      </c>
      <c r="D19" s="19" t="n">
        <v>1243</v>
      </c>
      <c r="E19" s="18" t="n">
        <v>52.2560166</v>
      </c>
      <c r="F19" s="20" t="n">
        <v>1.76596966</v>
      </c>
      <c r="G19" s="18" t="n">
        <v>19.00101975</v>
      </c>
      <c r="H19" s="20" t="n">
        <v>1.34408065</v>
      </c>
      <c r="I19" s="18" t="n">
        <v>27.12768501</v>
      </c>
      <c r="J19" s="20" t="n">
        <v>1.57439427</v>
      </c>
      <c r="K19" s="18" t="n">
        <v>0</v>
      </c>
      <c r="L19" s="20" t="n">
        <v>0</v>
      </c>
      <c r="M19" s="18" t="n">
        <v>0</v>
      </c>
      <c r="N19" s="20" t="n">
        <v>0</v>
      </c>
      <c r="O19" s="18" t="n">
        <v>0.06509896</v>
      </c>
      <c r="P19" s="20" t="n">
        <v>0.06500488</v>
      </c>
      <c r="Q19" s="18" t="n">
        <v>0</v>
      </c>
      <c r="R19" s="20" t="n">
        <v>0</v>
      </c>
      <c r="S19" s="18" t="n">
        <v>1.55017968</v>
      </c>
      <c r="T19" s="20" t="n">
        <v>0.37435185</v>
      </c>
    </row>
    <row r="20" spans="1:20">
      <c r="A20" s="15" t="s">
        <v>578</v>
      </c>
      <c r="B20" s="17" t="n">
        <v>3371</v>
      </c>
      <c r="C20" s="18">
        <f>(2628.0/B20*100)</f>
        <v/>
      </c>
      <c r="D20" s="19" t="n">
        <v>743</v>
      </c>
      <c r="E20" s="18" t="n">
        <v>51.13229927</v>
      </c>
      <c r="F20" s="20" t="n">
        <v>1.91162826</v>
      </c>
      <c r="G20" s="18" t="n">
        <v>20.57008271</v>
      </c>
      <c r="H20" s="20" t="n">
        <v>1.3407873</v>
      </c>
      <c r="I20" s="18" t="n">
        <v>25.18601406</v>
      </c>
      <c r="J20" s="20" t="n">
        <v>1.59439819</v>
      </c>
      <c r="K20" s="18" t="n">
        <v>0</v>
      </c>
      <c r="L20" s="20" t="n">
        <v>0</v>
      </c>
      <c r="M20" s="18" t="n">
        <v>0.26597539</v>
      </c>
      <c r="N20" s="20" t="n">
        <v>0.18953982</v>
      </c>
      <c r="O20" s="18" t="n">
        <v>0.20633289</v>
      </c>
      <c r="P20" s="20" t="n">
        <v>0.20047967</v>
      </c>
      <c r="Q20" s="18" t="n">
        <v>0</v>
      </c>
      <c r="R20" s="20" t="n">
        <v>0</v>
      </c>
      <c r="S20" s="18" t="n">
        <v>2.63929568</v>
      </c>
      <c r="T20" s="20" t="n">
        <v>0.68286313</v>
      </c>
    </row>
    <row r="21" spans="1:20">
      <c r="A21" s="15" t="s">
        <v>579</v>
      </c>
      <c r="B21" s="17" t="n">
        <v>5741</v>
      </c>
      <c r="C21" s="18">
        <f>(4459.0/B21*100)</f>
        <v/>
      </c>
      <c r="D21" s="19" t="n">
        <v>1282</v>
      </c>
      <c r="E21" s="18" t="n">
        <v>51.2207667</v>
      </c>
      <c r="F21" s="20" t="n">
        <v>1.42371518</v>
      </c>
      <c r="G21" s="18" t="n">
        <v>12.91142716</v>
      </c>
      <c r="H21" s="20" t="n">
        <v>0.92712452</v>
      </c>
      <c r="I21" s="18" t="n">
        <v>34.91784549</v>
      </c>
      <c r="J21" s="20" t="n">
        <v>1.31613637</v>
      </c>
      <c r="K21" s="18" t="n">
        <v>0</v>
      </c>
      <c r="L21" s="20" t="n">
        <v>0</v>
      </c>
      <c r="M21" s="18" t="n">
        <v>0</v>
      </c>
      <c r="N21" s="20" t="n">
        <v>0</v>
      </c>
      <c r="O21" s="18" t="n">
        <v>0.06677743</v>
      </c>
      <c r="P21" s="20" t="n">
        <v>0.06634769</v>
      </c>
      <c r="Q21" s="18" t="n">
        <v>0</v>
      </c>
      <c r="R21" s="20" t="n">
        <v>0</v>
      </c>
      <c r="S21" s="18" t="n">
        <v>0.88318321</v>
      </c>
      <c r="T21" s="20" t="n">
        <v>0.27711374</v>
      </c>
    </row>
    <row r="22" spans="1:20">
      <c r="A22" s="15" t="s">
        <v>580</v>
      </c>
      <c r="B22" s="17" t="n">
        <v>6598</v>
      </c>
      <c r="C22" s="18">
        <f>(5251.0/B22*100)</f>
        <v/>
      </c>
      <c r="D22" s="19" t="n">
        <v>1347</v>
      </c>
      <c r="E22" s="18" t="n">
        <v>54.18886204</v>
      </c>
      <c r="F22" s="20" t="n">
        <v>1.576522</v>
      </c>
      <c r="G22" s="18" t="n">
        <v>17.54632951</v>
      </c>
      <c r="H22" s="20" t="n">
        <v>1.00297212</v>
      </c>
      <c r="I22" s="18" t="n">
        <v>24.01942506</v>
      </c>
      <c r="J22" s="20" t="n">
        <v>1.7327175</v>
      </c>
      <c r="K22" s="18" t="n">
        <v>0</v>
      </c>
      <c r="L22" s="20" t="n">
        <v>0</v>
      </c>
      <c r="M22" s="18" t="n">
        <v>0.05885701</v>
      </c>
      <c r="N22" s="20" t="n">
        <v>0.05893535</v>
      </c>
      <c r="O22" s="18" t="n">
        <v>0</v>
      </c>
      <c r="P22" s="20" t="n">
        <v>0</v>
      </c>
      <c r="Q22" s="18" t="n">
        <v>0</v>
      </c>
      <c r="R22" s="20" t="n">
        <v>0</v>
      </c>
      <c r="S22" s="18" t="n">
        <v>4.18652638</v>
      </c>
      <c r="T22" s="20" t="n">
        <v>0.75073119</v>
      </c>
    </row>
    <row r="23" spans="1:20">
      <c r="A23" s="15" t="s">
        <v>581</v>
      </c>
      <c r="B23" s="17" t="n">
        <v>11583</v>
      </c>
      <c r="C23" s="18">
        <f>(9031.0/B23*100)</f>
        <v/>
      </c>
      <c r="D23" s="19" t="n">
        <v>2552</v>
      </c>
      <c r="E23" s="18" t="n">
        <v>45.8733465</v>
      </c>
      <c r="F23" s="20" t="n">
        <v>1.39557762</v>
      </c>
      <c r="G23" s="18" t="n">
        <v>18.41569474</v>
      </c>
      <c r="H23" s="20" t="n">
        <v>1.05861797</v>
      </c>
      <c r="I23" s="18" t="n">
        <v>31.45259103</v>
      </c>
      <c r="J23" s="20" t="n">
        <v>1.3848311</v>
      </c>
      <c r="K23" s="18" t="n">
        <v>0</v>
      </c>
      <c r="L23" s="20" t="n">
        <v>0</v>
      </c>
      <c r="M23" s="18" t="n">
        <v>0.29673764</v>
      </c>
      <c r="N23" s="20" t="n">
        <v>0.18127788</v>
      </c>
      <c r="O23" s="18" t="n">
        <v>0.07385746</v>
      </c>
      <c r="P23" s="20" t="n">
        <v>0.05734952</v>
      </c>
      <c r="Q23" s="18" t="n">
        <v>0</v>
      </c>
      <c r="R23" s="20" t="n">
        <v>0</v>
      </c>
      <c r="S23" s="18" t="n">
        <v>3.88777264</v>
      </c>
      <c r="T23" s="20" t="n">
        <v>0.70848442</v>
      </c>
    </row>
    <row r="24" spans="1:20">
      <c r="A24" s="15" t="s">
        <v>582</v>
      </c>
      <c r="B24" s="17" t="n">
        <v>6647</v>
      </c>
      <c r="C24" s="18">
        <f>(5193.0/B24*100)</f>
        <v/>
      </c>
      <c r="D24" s="19" t="n">
        <v>1454</v>
      </c>
      <c r="E24" s="18" t="n">
        <v>35.41315897</v>
      </c>
      <c r="F24" s="20" t="n">
        <v>1.69123</v>
      </c>
      <c r="G24" s="18" t="n">
        <v>36.9708206</v>
      </c>
      <c r="H24" s="20" t="n">
        <v>1.0609461</v>
      </c>
      <c r="I24" s="18" t="n">
        <v>26.61046155</v>
      </c>
      <c r="J24" s="20" t="n">
        <v>1.36648844</v>
      </c>
      <c r="K24" s="18" t="n">
        <v>0</v>
      </c>
      <c r="L24" s="20" t="n">
        <v>0</v>
      </c>
      <c r="M24" s="18" t="n">
        <v>0.20149181</v>
      </c>
      <c r="N24" s="20" t="n">
        <v>0.1165416</v>
      </c>
      <c r="O24" s="18" t="n">
        <v>0</v>
      </c>
      <c r="P24" s="20" t="n">
        <v>0</v>
      </c>
      <c r="Q24" s="18" t="n">
        <v>0</v>
      </c>
      <c r="R24" s="20" t="n">
        <v>0</v>
      </c>
      <c r="S24" s="18" t="n">
        <v>0.80406707</v>
      </c>
      <c r="T24" s="20" t="n">
        <v>0.24864065</v>
      </c>
    </row>
    <row r="25" spans="1:20">
      <c r="A25" s="15" t="s">
        <v>583</v>
      </c>
      <c r="B25" s="17" t="n">
        <v>5581</v>
      </c>
      <c r="C25" s="18">
        <f>(4317.0/B25*100)</f>
        <v/>
      </c>
      <c r="D25" s="19" t="n">
        <v>1264</v>
      </c>
      <c r="E25" s="18" t="n">
        <v>55.62839591</v>
      </c>
      <c r="F25" s="20" t="n">
        <v>1.40194245</v>
      </c>
      <c r="G25" s="18" t="n">
        <v>17.18007815</v>
      </c>
      <c r="H25" s="20" t="n">
        <v>1.04105684</v>
      </c>
      <c r="I25" s="18" t="n">
        <v>26.48615411</v>
      </c>
      <c r="J25" s="20" t="n">
        <v>1.37556942</v>
      </c>
      <c r="K25" s="18" t="n">
        <v>0</v>
      </c>
      <c r="L25" s="20" t="n">
        <v>0</v>
      </c>
      <c r="M25" s="18" t="n">
        <v>0</v>
      </c>
      <c r="N25" s="20" t="n">
        <v>0</v>
      </c>
      <c r="O25" s="18" t="n">
        <v>0</v>
      </c>
      <c r="P25" s="20" t="n">
        <v>0</v>
      </c>
      <c r="Q25" s="18" t="n">
        <v>0</v>
      </c>
      <c r="R25" s="20" t="n">
        <v>0</v>
      </c>
      <c r="S25" s="18" t="n">
        <v>0.70537183</v>
      </c>
      <c r="T25" s="20" t="n">
        <v>0.21629867</v>
      </c>
    </row>
    <row r="26" spans="1:20">
      <c r="A26" s="15" t="s">
        <v>584</v>
      </c>
      <c r="B26" s="17" t="n">
        <v>4869</v>
      </c>
      <c r="C26" s="18">
        <f>(3772.0/B26*100)</f>
        <v/>
      </c>
      <c r="D26" s="19" t="n">
        <v>1097</v>
      </c>
      <c r="E26" s="18" t="n">
        <v>43.28677168</v>
      </c>
      <c r="F26" s="20" t="n">
        <v>1.33168821</v>
      </c>
      <c r="G26" s="18" t="n">
        <v>26.22778829</v>
      </c>
      <c r="H26" s="20" t="n">
        <v>1.16234394</v>
      </c>
      <c r="I26" s="18" t="n">
        <v>30.05150724</v>
      </c>
      <c r="J26" s="20" t="n">
        <v>1.41658779</v>
      </c>
      <c r="K26" s="18" t="n">
        <v>0</v>
      </c>
      <c r="L26" s="20" t="n">
        <v>0</v>
      </c>
      <c r="M26" s="18" t="n">
        <v>0</v>
      </c>
      <c r="N26" s="20" t="n">
        <v>0</v>
      </c>
      <c r="O26" s="18" t="n">
        <v>0.16047968</v>
      </c>
      <c r="P26" s="20" t="n">
        <v>0.13114919</v>
      </c>
      <c r="Q26" s="18" t="n">
        <v>0</v>
      </c>
      <c r="R26" s="20" t="n">
        <v>0</v>
      </c>
      <c r="S26" s="18" t="n">
        <v>0.27345311</v>
      </c>
      <c r="T26" s="20" t="n">
        <v>0.21960268</v>
      </c>
    </row>
    <row r="27" spans="1:20">
      <c r="A27" s="15" t="s">
        <v>585</v>
      </c>
      <c r="B27" s="17" t="n">
        <v>5299</v>
      </c>
      <c r="C27" s="18">
        <f>(4144.0/B27*100)</f>
        <v/>
      </c>
      <c r="D27" s="19" t="n">
        <v>1155</v>
      </c>
      <c r="E27" s="18" t="n">
        <v>45.67010523</v>
      </c>
      <c r="F27" s="20" t="n">
        <v>1.35857311</v>
      </c>
      <c r="G27" s="18" t="n">
        <v>17.50640701</v>
      </c>
      <c r="H27" s="20" t="n">
        <v>1.11167888</v>
      </c>
      <c r="I27" s="18" t="n">
        <v>34.27585587</v>
      </c>
      <c r="J27" s="20" t="n">
        <v>1.2474245</v>
      </c>
      <c r="K27" s="18" t="n">
        <v>0</v>
      </c>
      <c r="L27" s="20" t="n">
        <v>0</v>
      </c>
      <c r="M27" s="18" t="n">
        <v>0</v>
      </c>
      <c r="N27" s="20" t="n">
        <v>0</v>
      </c>
      <c r="O27" s="18" t="n">
        <v>0</v>
      </c>
      <c r="P27" s="20" t="n">
        <v>0</v>
      </c>
      <c r="Q27" s="18" t="n">
        <v>0</v>
      </c>
      <c r="R27" s="20" t="n">
        <v>0</v>
      </c>
      <c r="S27" s="18" t="n">
        <v>2.5476319</v>
      </c>
      <c r="T27" s="20" t="n">
        <v>0.509553</v>
      </c>
    </row>
    <row r="28" spans="1:20">
      <c r="A28" s="15" t="s">
        <v>586</v>
      </c>
      <c r="B28" s="17" t="n">
        <v>7568</v>
      </c>
      <c r="C28" s="18">
        <f>(5863.0/B28*100)</f>
        <v/>
      </c>
      <c r="D28" s="19" t="n">
        <v>1705</v>
      </c>
      <c r="E28" s="18" t="n">
        <v>57.2819474</v>
      </c>
      <c r="F28" s="20" t="n">
        <v>1.40098814</v>
      </c>
      <c r="G28" s="18" t="n">
        <v>27.50626535</v>
      </c>
      <c r="H28" s="20" t="n">
        <v>1.18178854</v>
      </c>
      <c r="I28" s="18" t="n">
        <v>13.21707045</v>
      </c>
      <c r="J28" s="20" t="n">
        <v>0.97145522</v>
      </c>
      <c r="K28" s="18" t="n">
        <v>0</v>
      </c>
      <c r="L28" s="20" t="n">
        <v>0</v>
      </c>
      <c r="M28" s="18" t="n">
        <v>0.13097089</v>
      </c>
      <c r="N28" s="20" t="n">
        <v>0.10422389</v>
      </c>
      <c r="O28" s="18" t="n">
        <v>0.22608876</v>
      </c>
      <c r="P28" s="20" t="n">
        <v>0.13883537</v>
      </c>
      <c r="Q28" s="18" t="n">
        <v>0</v>
      </c>
      <c r="R28" s="20" t="n">
        <v>0</v>
      </c>
      <c r="S28" s="18" t="n">
        <v>1.63765715</v>
      </c>
      <c r="T28" s="20" t="n">
        <v>0.42371062</v>
      </c>
    </row>
    <row r="29" spans="1:20">
      <c r="A29" s="15" t="s">
        <v>587</v>
      </c>
      <c r="B29" s="17" t="n">
        <v>5385</v>
      </c>
      <c r="C29" s="18">
        <f>(4242.0/B29*100)</f>
        <v/>
      </c>
      <c r="D29" s="19" t="n">
        <v>1143</v>
      </c>
      <c r="E29" s="18" t="n">
        <v>37.91685902</v>
      </c>
      <c r="F29" s="20" t="n">
        <v>1.64807855</v>
      </c>
      <c r="G29" s="18" t="n">
        <v>17.91831864</v>
      </c>
      <c r="H29" s="20" t="n">
        <v>1.20172458</v>
      </c>
      <c r="I29" s="18" t="n">
        <v>42.59034551</v>
      </c>
      <c r="J29" s="20" t="n">
        <v>1.80890667</v>
      </c>
      <c r="K29" s="18" t="n">
        <v>0</v>
      </c>
      <c r="L29" s="20" t="n">
        <v>0</v>
      </c>
      <c r="M29" s="18" t="n">
        <v>0.08975223</v>
      </c>
      <c r="N29" s="20" t="n">
        <v>0.08922898999999999</v>
      </c>
      <c r="O29" s="18" t="n">
        <v>0</v>
      </c>
      <c r="P29" s="20" t="n">
        <v>0</v>
      </c>
      <c r="Q29" s="18" t="n">
        <v>0</v>
      </c>
      <c r="R29" s="20" t="n">
        <v>0</v>
      </c>
      <c r="S29" s="18" t="n">
        <v>1.4847246</v>
      </c>
      <c r="T29" s="20" t="n">
        <v>0.49186181</v>
      </c>
    </row>
    <row r="30" spans="1:20">
      <c r="A30" s="15" t="s">
        <v>588</v>
      </c>
      <c r="B30" s="17" t="n">
        <v>4520</v>
      </c>
      <c r="C30" s="18">
        <f>(3522.0/B30*100)</f>
        <v/>
      </c>
      <c r="D30" s="19" t="n">
        <v>998</v>
      </c>
      <c r="E30" s="18" t="n">
        <v>40.0958886</v>
      </c>
      <c r="F30" s="20" t="n">
        <v>1.71426153</v>
      </c>
      <c r="G30" s="18" t="n">
        <v>12.27732387</v>
      </c>
      <c r="H30" s="20" t="n">
        <v>0.99740787</v>
      </c>
      <c r="I30" s="18" t="n">
        <v>45.46921729</v>
      </c>
      <c r="J30" s="20" t="n">
        <v>1.92653832</v>
      </c>
      <c r="K30" s="18" t="n">
        <v>0</v>
      </c>
      <c r="L30" s="20" t="n">
        <v>0</v>
      </c>
      <c r="M30" s="18" t="n">
        <v>0</v>
      </c>
      <c r="N30" s="20" t="n">
        <v>0</v>
      </c>
      <c r="O30" s="18" t="n">
        <v>0</v>
      </c>
      <c r="P30" s="20" t="n">
        <v>0</v>
      </c>
      <c r="Q30" s="18" t="n">
        <v>0</v>
      </c>
      <c r="R30" s="20" t="n">
        <v>0</v>
      </c>
      <c r="S30" s="18" t="n">
        <v>2.15757024</v>
      </c>
      <c r="T30" s="20" t="n">
        <v>0.48611972</v>
      </c>
    </row>
    <row r="31" spans="1:20">
      <c r="A31" s="15" t="s">
        <v>589</v>
      </c>
      <c r="B31" s="17" t="n">
        <v>5456</v>
      </c>
      <c r="C31" s="18">
        <f>(4215.0/B31*100)</f>
        <v/>
      </c>
      <c r="D31" s="19" t="n">
        <v>1241</v>
      </c>
      <c r="E31" s="18" t="n">
        <v>41.70755741</v>
      </c>
      <c r="F31" s="20" t="n">
        <v>1.54723331</v>
      </c>
      <c r="G31" s="18" t="n">
        <v>22.55349742</v>
      </c>
      <c r="H31" s="20" t="n">
        <v>1.16531895</v>
      </c>
      <c r="I31" s="18" t="n">
        <v>33.04015502</v>
      </c>
      <c r="J31" s="20" t="n">
        <v>1.42648048</v>
      </c>
      <c r="K31" s="18" t="n">
        <v>0</v>
      </c>
      <c r="L31" s="20" t="n">
        <v>0</v>
      </c>
      <c r="M31" s="18" t="n">
        <v>0.16529113</v>
      </c>
      <c r="N31" s="20" t="n">
        <v>0.11665268</v>
      </c>
      <c r="O31" s="18" t="n">
        <v>0</v>
      </c>
      <c r="P31" s="20" t="n">
        <v>0</v>
      </c>
      <c r="Q31" s="18" t="n">
        <v>0</v>
      </c>
      <c r="R31" s="20" t="n">
        <v>0</v>
      </c>
      <c r="S31" s="18" t="n">
        <v>2.53349902</v>
      </c>
      <c r="T31" s="20" t="n">
        <v>0.44826821</v>
      </c>
    </row>
    <row r="32" spans="1:20">
      <c r="A32" s="15" t="s">
        <v>590</v>
      </c>
      <c r="B32" s="17" t="n">
        <v>4478</v>
      </c>
      <c r="C32" s="18">
        <f>(3461.0/B32*100)</f>
        <v/>
      </c>
      <c r="D32" s="19" t="n">
        <v>1017</v>
      </c>
      <c r="E32" s="18" t="n">
        <v>48.84768197</v>
      </c>
      <c r="F32" s="20" t="n">
        <v>1.46904802</v>
      </c>
      <c r="G32" s="18" t="n">
        <v>19.64939319</v>
      </c>
      <c r="H32" s="20" t="n">
        <v>1.15326972</v>
      </c>
      <c r="I32" s="18" t="n">
        <v>30.20362002</v>
      </c>
      <c r="J32" s="20" t="n">
        <v>1.57799817</v>
      </c>
      <c r="K32" s="18" t="n">
        <v>0</v>
      </c>
      <c r="L32" s="20" t="n">
        <v>0</v>
      </c>
      <c r="M32" s="18" t="n">
        <v>0</v>
      </c>
      <c r="N32" s="20" t="n">
        <v>0</v>
      </c>
      <c r="O32" s="18" t="n">
        <v>0</v>
      </c>
      <c r="P32" s="20" t="n">
        <v>0</v>
      </c>
      <c r="Q32" s="18" t="n">
        <v>0</v>
      </c>
      <c r="R32" s="20" t="n">
        <v>0</v>
      </c>
      <c r="S32" s="18" t="n">
        <v>1.29930482</v>
      </c>
      <c r="T32" s="20" t="n">
        <v>0.38658468</v>
      </c>
    </row>
    <row r="33" spans="1:20">
      <c r="A33" s="15" t="s">
        <v>591</v>
      </c>
      <c r="B33" s="17" t="n">
        <v>7325</v>
      </c>
      <c r="C33" s="18">
        <f>(5663.0/B33*100)</f>
        <v/>
      </c>
      <c r="D33" s="19" t="n">
        <v>1662</v>
      </c>
      <c r="E33" s="18" t="n">
        <v>42.17729526</v>
      </c>
      <c r="F33" s="20" t="n">
        <v>1.23098997</v>
      </c>
      <c r="G33" s="18" t="n">
        <v>19.48698821</v>
      </c>
      <c r="H33" s="20" t="n">
        <v>1.05848979</v>
      </c>
      <c r="I33" s="18" t="n">
        <v>37.23965441</v>
      </c>
      <c r="J33" s="20" t="n">
        <v>1.48949454</v>
      </c>
      <c r="K33" s="18" t="n">
        <v>0</v>
      </c>
      <c r="L33" s="20" t="n">
        <v>0</v>
      </c>
      <c r="M33" s="18" t="n">
        <v>0.02310781</v>
      </c>
      <c r="N33" s="20" t="n">
        <v>0.02863238</v>
      </c>
      <c r="O33" s="18" t="n">
        <v>0</v>
      </c>
      <c r="P33" s="20" t="n">
        <v>0</v>
      </c>
      <c r="Q33" s="18" t="n">
        <v>0</v>
      </c>
      <c r="R33" s="20" t="n">
        <v>0</v>
      </c>
      <c r="S33" s="18" t="n">
        <v>1.07295431</v>
      </c>
      <c r="T33" s="20" t="n">
        <v>0.34684526</v>
      </c>
    </row>
    <row r="34" spans="1:20">
      <c r="A34" s="15" t="s">
        <v>592</v>
      </c>
      <c r="B34" s="17" t="n">
        <v>6350</v>
      </c>
      <c r="C34" s="18">
        <f>(5012.0/B34*100)</f>
        <v/>
      </c>
      <c r="D34" s="19" t="n">
        <v>1338</v>
      </c>
      <c r="E34" s="18" t="n">
        <v>49.17544983</v>
      </c>
      <c r="F34" s="20" t="n">
        <v>1.57997765</v>
      </c>
      <c r="G34" s="18" t="n">
        <v>25.05093115</v>
      </c>
      <c r="H34" s="20" t="n">
        <v>1.21209652</v>
      </c>
      <c r="I34" s="18" t="n">
        <v>23.47762958</v>
      </c>
      <c r="J34" s="20" t="n">
        <v>1.23128109</v>
      </c>
      <c r="K34" s="18" t="n">
        <v>0</v>
      </c>
      <c r="L34" s="20" t="n">
        <v>0</v>
      </c>
      <c r="M34" s="18" t="n">
        <v>0.06589672000000001</v>
      </c>
      <c r="N34" s="20" t="n">
        <v>0.06849672</v>
      </c>
      <c r="O34" s="18" t="n">
        <v>0.36369514</v>
      </c>
      <c r="P34" s="20" t="n">
        <v>0.17719474</v>
      </c>
      <c r="Q34" s="18" t="n">
        <v>0</v>
      </c>
      <c r="R34" s="20" t="n">
        <v>0</v>
      </c>
      <c r="S34" s="18" t="n">
        <v>1.86639758</v>
      </c>
      <c r="T34" s="20" t="n">
        <v>0.46236296</v>
      </c>
    </row>
    <row r="35" spans="1:20">
      <c r="A35" s="15" t="s">
        <v>593</v>
      </c>
      <c r="B35" s="17" t="n">
        <v>6406</v>
      </c>
      <c r="C35" s="18">
        <f>(5059.0/B35*100)</f>
        <v/>
      </c>
      <c r="D35" s="19" t="n">
        <v>1347</v>
      </c>
      <c r="E35" s="18" t="n">
        <v>41.24422316</v>
      </c>
      <c r="F35" s="20" t="n">
        <v>1.57826995</v>
      </c>
      <c r="G35" s="18" t="n">
        <v>23.767424</v>
      </c>
      <c r="H35" s="20" t="n">
        <v>1.54874135</v>
      </c>
      <c r="I35" s="18" t="n">
        <v>34.12993718</v>
      </c>
      <c r="J35" s="20" t="n">
        <v>1.77289747</v>
      </c>
      <c r="K35" s="18" t="n">
        <v>0</v>
      </c>
      <c r="L35" s="20" t="n">
        <v>0</v>
      </c>
      <c r="M35" s="18" t="n">
        <v>0.03514299</v>
      </c>
      <c r="N35" s="20" t="n">
        <v>0.03549409</v>
      </c>
      <c r="O35" s="18" t="n">
        <v>0</v>
      </c>
      <c r="P35" s="20" t="n">
        <v>0</v>
      </c>
      <c r="Q35" s="18" t="n">
        <v>0</v>
      </c>
      <c r="R35" s="20" t="n">
        <v>0</v>
      </c>
      <c r="S35" s="18" t="n">
        <v>0.82327267</v>
      </c>
      <c r="T35" s="20" t="n">
        <v>0.24231863</v>
      </c>
    </row>
    <row r="36" spans="1:20">
      <c r="A36" s="15" t="s">
        <v>594</v>
      </c>
      <c r="B36" s="17" t="n">
        <v>6736</v>
      </c>
      <c r="C36" s="18">
        <f>(5246.0/B36*100)</f>
        <v/>
      </c>
      <c r="D36" s="19" t="n">
        <v>1490</v>
      </c>
      <c r="E36" s="18" t="n">
        <v>49.89735337</v>
      </c>
      <c r="F36" s="20" t="n">
        <v>1.58347383</v>
      </c>
      <c r="G36" s="18" t="n">
        <v>18.31095586</v>
      </c>
      <c r="H36" s="20" t="n">
        <v>1.09377347</v>
      </c>
      <c r="I36" s="18" t="n">
        <v>29.3142019</v>
      </c>
      <c r="J36" s="20" t="n">
        <v>1.4778342</v>
      </c>
      <c r="K36" s="18" t="n">
        <v>0</v>
      </c>
      <c r="L36" s="20" t="n">
        <v>0</v>
      </c>
      <c r="M36" s="18" t="n">
        <v>0.13617557</v>
      </c>
      <c r="N36" s="20" t="n">
        <v>0.09926909</v>
      </c>
      <c r="O36" s="18" t="n">
        <v>0.06744108</v>
      </c>
      <c r="P36" s="20" t="n">
        <v>0.06485585000000001</v>
      </c>
      <c r="Q36" s="18" t="n">
        <v>0</v>
      </c>
      <c r="R36" s="20" t="n">
        <v>0</v>
      </c>
      <c r="S36" s="18" t="n">
        <v>2.27387222</v>
      </c>
      <c r="T36" s="20" t="n">
        <v>0.40145513</v>
      </c>
    </row>
    <row r="37" spans="1:20">
      <c r="A37" s="15" t="s">
        <v>595</v>
      </c>
      <c r="B37" s="17" t="n">
        <v>5458</v>
      </c>
      <c r="C37" s="18">
        <f>(4259.0/B37*100)</f>
        <v/>
      </c>
      <c r="D37" s="19" t="n">
        <v>1199</v>
      </c>
      <c r="E37" s="18" t="n">
        <v>40.56342692</v>
      </c>
      <c r="F37" s="20" t="n">
        <v>1.58385364</v>
      </c>
      <c r="G37" s="18" t="n">
        <v>18.64548759</v>
      </c>
      <c r="H37" s="20" t="n">
        <v>1.26897814</v>
      </c>
      <c r="I37" s="18" t="n">
        <v>37.06437474</v>
      </c>
      <c r="J37" s="20" t="n">
        <v>1.83847894</v>
      </c>
      <c r="K37" s="18" t="n">
        <v>0</v>
      </c>
      <c r="L37" s="20" t="n">
        <v>0</v>
      </c>
      <c r="M37" s="18" t="n">
        <v>0.2475319</v>
      </c>
      <c r="N37" s="20" t="n">
        <v>0.14470453</v>
      </c>
      <c r="O37" s="18" t="n">
        <v>0</v>
      </c>
      <c r="P37" s="20" t="n">
        <v>0</v>
      </c>
      <c r="Q37" s="18" t="n">
        <v>0</v>
      </c>
      <c r="R37" s="20" t="n">
        <v>0</v>
      </c>
      <c r="S37" s="18" t="n">
        <v>3.47917885</v>
      </c>
      <c r="T37" s="20" t="n">
        <v>0.51888502</v>
      </c>
    </row>
    <row r="38" spans="1:20">
      <c r="A38" s="15" t="s">
        <v>596</v>
      </c>
      <c r="B38" s="17" t="n">
        <v>5860</v>
      </c>
      <c r="C38" s="18">
        <f>(4556.0/B38*100)</f>
        <v/>
      </c>
      <c r="D38" s="19" t="n">
        <v>1304</v>
      </c>
      <c r="E38" s="18" t="n">
        <v>39.7435302</v>
      </c>
      <c r="F38" s="20" t="n">
        <v>1.45021317</v>
      </c>
      <c r="G38" s="18" t="n">
        <v>18.69616511</v>
      </c>
      <c r="H38" s="20" t="n">
        <v>1.17968955</v>
      </c>
      <c r="I38" s="18" t="n">
        <v>37.41032439</v>
      </c>
      <c r="J38" s="20" t="n">
        <v>1.61797236</v>
      </c>
      <c r="K38" s="18" t="n">
        <v>0</v>
      </c>
      <c r="L38" s="20" t="n">
        <v>0</v>
      </c>
      <c r="M38" s="18" t="n">
        <v>0.16850508</v>
      </c>
      <c r="N38" s="20" t="n">
        <v>0.11193734</v>
      </c>
      <c r="O38" s="18" t="n">
        <v>1.70601842</v>
      </c>
      <c r="P38" s="20" t="n">
        <v>0.40000751</v>
      </c>
      <c r="Q38" s="18" t="n">
        <v>0</v>
      </c>
      <c r="R38" s="20" t="n">
        <v>0</v>
      </c>
      <c r="S38" s="18" t="n">
        <v>2.27545681</v>
      </c>
      <c r="T38" s="20" t="n">
        <v>0.43538884</v>
      </c>
    </row>
    <row r="39" spans="1:20">
      <c r="A39" s="15" t="s">
        <v>597</v>
      </c>
      <c r="B39" s="17" t="n">
        <v>5895</v>
      </c>
      <c r="C39" s="18">
        <f>(4574.0/B39*100)</f>
        <v/>
      </c>
      <c r="D39" s="19" t="n">
        <v>1321</v>
      </c>
      <c r="E39" s="18" t="n">
        <v>72.03982492</v>
      </c>
      <c r="F39" s="20" t="n">
        <v>1.4850261</v>
      </c>
      <c r="G39" s="18" t="n">
        <v>17.5626803</v>
      </c>
      <c r="H39" s="20" t="n">
        <v>1.0240525</v>
      </c>
      <c r="I39" s="18" t="n">
        <v>8.25917989</v>
      </c>
      <c r="J39" s="20" t="n">
        <v>1.12555764</v>
      </c>
      <c r="K39" s="18" t="n">
        <v>0</v>
      </c>
      <c r="L39" s="20" t="n">
        <v>0</v>
      </c>
      <c r="M39" s="18" t="n">
        <v>0</v>
      </c>
      <c r="N39" s="20" t="n">
        <v>0</v>
      </c>
      <c r="O39" s="18" t="n">
        <v>0</v>
      </c>
      <c r="P39" s="20" t="n">
        <v>0</v>
      </c>
      <c r="Q39" s="18" t="n">
        <v>0</v>
      </c>
      <c r="R39" s="20" t="n">
        <v>0</v>
      </c>
      <c r="S39" s="18" t="n">
        <v>2.13831488</v>
      </c>
      <c r="T39" s="20" t="n">
        <v>0.38135799</v>
      </c>
    </row>
    <row r="40" spans="1:20">
      <c r="A40" s="15" t="s">
        <v>598</v>
      </c>
      <c r="B40" s="17" t="n">
        <v>14157</v>
      </c>
      <c r="C40" s="18">
        <f>(10994.0/B40*100)</f>
        <v/>
      </c>
      <c r="D40" s="19" t="n">
        <v>3163</v>
      </c>
      <c r="E40" s="18" t="n">
        <v>51.04322998</v>
      </c>
      <c r="F40" s="20" t="n">
        <v>1.47854344</v>
      </c>
      <c r="G40" s="18" t="n">
        <v>14.33140374</v>
      </c>
      <c r="H40" s="20" t="n">
        <v>0.96859511</v>
      </c>
      <c r="I40" s="18" t="n">
        <v>33.51953309</v>
      </c>
      <c r="J40" s="20" t="n">
        <v>1.25791285</v>
      </c>
      <c r="K40" s="18" t="n">
        <v>0</v>
      </c>
      <c r="L40" s="20" t="n">
        <v>0</v>
      </c>
      <c r="M40" s="18" t="n">
        <v>0.11023079</v>
      </c>
      <c r="N40" s="20" t="n">
        <v>0.10949269</v>
      </c>
      <c r="O40" s="18" t="n">
        <v>0</v>
      </c>
      <c r="P40" s="20" t="n">
        <v>0</v>
      </c>
      <c r="Q40" s="18" t="n">
        <v>0</v>
      </c>
      <c r="R40" s="20" t="n">
        <v>0</v>
      </c>
      <c r="S40" s="18" t="n">
        <v>0.9956024</v>
      </c>
      <c r="T40" s="20" t="n">
        <v>0.24732176</v>
      </c>
    </row>
    <row r="41" spans="1:20">
      <c r="A41" s="15" t="s">
        <v>599</v>
      </c>
      <c r="B41" s="17" t="n">
        <v>5712</v>
      </c>
      <c r="C41" s="18">
        <f>(4483.0/B41*100)</f>
        <v/>
      </c>
      <c r="D41" s="19" t="n">
        <v>1229</v>
      </c>
      <c r="E41" s="18" t="n">
        <v>54.3269851</v>
      </c>
      <c r="F41" s="20" t="n">
        <v>1.78560172</v>
      </c>
      <c r="G41" s="18" t="n">
        <v>12.3315689</v>
      </c>
      <c r="H41" s="20" t="n">
        <v>1.0999877</v>
      </c>
      <c r="I41" s="18" t="n">
        <v>31.60409782</v>
      </c>
      <c r="J41" s="20" t="n">
        <v>1.61691241</v>
      </c>
      <c r="K41" s="18" t="n">
        <v>0</v>
      </c>
      <c r="L41" s="20" t="n">
        <v>0</v>
      </c>
      <c r="M41" s="18" t="n">
        <v>0.07997095999999999</v>
      </c>
      <c r="N41" s="20" t="n">
        <v>0.07725464</v>
      </c>
      <c r="O41" s="18" t="n">
        <v>0</v>
      </c>
      <c r="P41" s="20" t="n">
        <v>0</v>
      </c>
      <c r="Q41" s="18" t="n">
        <v>0</v>
      </c>
      <c r="R41" s="20" t="n">
        <v>0</v>
      </c>
      <c r="S41" s="18" t="n">
        <v>1.65737722</v>
      </c>
      <c r="T41" s="20" t="n">
        <v>0.62214742</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(18714.0/B46*100)</f>
        <v/>
      </c>
      <c r="D46" s="19" t="n">
        <v>4427</v>
      </c>
      <c r="E46" s="18" t="n">
        <v>58.68790577</v>
      </c>
      <c r="F46" s="20" t="n">
        <v>0.81469945</v>
      </c>
      <c r="G46" s="18" t="n">
        <v>19.87266403</v>
      </c>
      <c r="H46" s="20" t="n">
        <v>0.70927117</v>
      </c>
      <c r="I46" s="18" t="n">
        <v>12.35923406</v>
      </c>
      <c r="J46" s="20" t="n">
        <v>0.75262447</v>
      </c>
      <c r="K46" s="18" t="n">
        <v>0</v>
      </c>
      <c r="L46" s="20" t="n">
        <v>0</v>
      </c>
      <c r="M46" s="18" t="n">
        <v>0.52230458</v>
      </c>
      <c r="N46" s="20" t="n">
        <v>0.18373083</v>
      </c>
      <c r="O46" s="18" t="n">
        <v>0.58296079</v>
      </c>
      <c r="P46" s="20" t="n">
        <v>0.15252381</v>
      </c>
      <c r="Q46" s="18" t="n">
        <v>0</v>
      </c>
      <c r="R46" s="20" t="n">
        <v>0</v>
      </c>
      <c r="S46" s="18" t="n">
        <v>7.97493077</v>
      </c>
      <c r="T46" s="20" t="n">
        <v>0.61010074</v>
      </c>
    </row>
    <row r="47" spans="1:20">
      <c r="A47" s="15" t="s">
        <v>606</v>
      </c>
      <c r="B47" s="17" t="n">
        <v>5928</v>
      </c>
      <c r="C47" s="18">
        <f>(4580.0/B47*100)</f>
        <v/>
      </c>
      <c r="D47" s="19" t="n">
        <v>1348</v>
      </c>
      <c r="E47" s="18" t="n">
        <v>55.15326176</v>
      </c>
      <c r="F47" s="20" t="n">
        <v>1.35633972</v>
      </c>
      <c r="G47" s="18" t="n">
        <v>21.06847379</v>
      </c>
      <c r="H47" s="20" t="n">
        <v>1.26447044</v>
      </c>
      <c r="I47" s="18" t="n">
        <v>18.50904019</v>
      </c>
      <c r="J47" s="20" t="n">
        <v>1.43831317</v>
      </c>
      <c r="K47" s="18" t="n">
        <v>0</v>
      </c>
      <c r="L47" s="20" t="n">
        <v>0</v>
      </c>
      <c r="M47" s="18" t="n">
        <v>0.28313174</v>
      </c>
      <c r="N47" s="20" t="n">
        <v>0.1030481</v>
      </c>
      <c r="O47" s="18" t="n">
        <v>0.2838292</v>
      </c>
      <c r="P47" s="20" t="n">
        <v>0.16939059</v>
      </c>
      <c r="Q47" s="18" t="n">
        <v>0</v>
      </c>
      <c r="R47" s="20" t="n">
        <v>0</v>
      </c>
      <c r="S47" s="18" t="n">
        <v>4.70226332</v>
      </c>
      <c r="T47" s="20" t="n">
        <v>0.75767979</v>
      </c>
    </row>
    <row r="48" spans="1:20">
      <c r="A48" s="15" t="s">
        <v>607</v>
      </c>
      <c r="B48" s="17" t="n">
        <v>9841</v>
      </c>
      <c r="C48" s="18">
        <f>(7668.0/B48*100)</f>
        <v/>
      </c>
      <c r="D48" s="19" t="n">
        <v>2173</v>
      </c>
      <c r="E48" s="18" t="n">
        <v>42.82727928</v>
      </c>
      <c r="F48" s="20" t="n">
        <v>1.64354849</v>
      </c>
      <c r="G48" s="18" t="n">
        <v>19.11774745</v>
      </c>
      <c r="H48" s="20" t="n">
        <v>1.12001708</v>
      </c>
      <c r="I48" s="18" t="n">
        <v>36.15916884</v>
      </c>
      <c r="J48" s="20" t="n">
        <v>1.98969641</v>
      </c>
      <c r="K48" s="18" t="n">
        <v>0</v>
      </c>
      <c r="L48" s="20" t="n">
        <v>0</v>
      </c>
      <c r="M48" s="18" t="n">
        <v>0.07936157000000001</v>
      </c>
      <c r="N48" s="20" t="n">
        <v>0.07910173</v>
      </c>
      <c r="O48" s="18" t="n">
        <v>0</v>
      </c>
      <c r="P48" s="20" t="n">
        <v>0</v>
      </c>
      <c r="Q48" s="18" t="n">
        <v>0</v>
      </c>
      <c r="R48" s="20" t="n">
        <v>0</v>
      </c>
      <c r="S48" s="18" t="n">
        <v>1.81644286</v>
      </c>
      <c r="T48" s="20" t="n">
        <v>0.48232277</v>
      </c>
    </row>
    <row r="49" spans="1:20">
      <c r="A49" s="15" t="s">
        <v>608</v>
      </c>
      <c r="B49" s="17" t="n">
        <v>11795</v>
      </c>
      <c r="C49" s="18">
        <f>(9174.0/B49*100)</f>
        <v/>
      </c>
      <c r="D49" s="19" t="n">
        <v>2621</v>
      </c>
      <c r="E49" s="18" t="n">
        <v>56.22128536</v>
      </c>
      <c r="F49" s="20" t="n">
        <v>1.2621093</v>
      </c>
      <c r="G49" s="18" t="n">
        <v>23.22652623</v>
      </c>
      <c r="H49" s="20" t="n">
        <v>0.93196398</v>
      </c>
      <c r="I49" s="18" t="n">
        <v>18.01655958</v>
      </c>
      <c r="J49" s="20" t="n">
        <v>0.97335683</v>
      </c>
      <c r="K49" s="18" t="n">
        <v>0</v>
      </c>
      <c r="L49" s="20" t="n">
        <v>0</v>
      </c>
      <c r="M49" s="18" t="n">
        <v>0.3467993</v>
      </c>
      <c r="N49" s="20" t="n">
        <v>0.20242181</v>
      </c>
      <c r="O49" s="18" t="n">
        <v>0.07269411000000001</v>
      </c>
      <c r="P49" s="20" t="n">
        <v>0.06136909</v>
      </c>
      <c r="Q49" s="18" t="n">
        <v>0</v>
      </c>
      <c r="R49" s="20" t="n">
        <v>0</v>
      </c>
      <c r="S49" s="18" t="n">
        <v>2.11613543</v>
      </c>
      <c r="T49" s="20" t="n">
        <v>0.42035582</v>
      </c>
    </row>
    <row r="50" spans="1:20">
      <c r="A50" s="15" t="s">
        <v>609</v>
      </c>
      <c r="B50" s="17" t="n">
        <v>6866</v>
      </c>
      <c r="C50" s="18">
        <f>(5595.0/B50*100)</f>
        <v/>
      </c>
      <c r="D50" s="19" t="n">
        <v>1271</v>
      </c>
      <c r="E50" s="18" t="n">
        <v>55.06467217</v>
      </c>
      <c r="F50" s="20" t="n">
        <v>1.58892409</v>
      </c>
      <c r="G50" s="18" t="n">
        <v>24.45609635</v>
      </c>
      <c r="H50" s="20" t="n">
        <v>1.18520784</v>
      </c>
      <c r="I50" s="18" t="n">
        <v>17.13941372</v>
      </c>
      <c r="J50" s="20" t="n">
        <v>1.17663537</v>
      </c>
      <c r="K50" s="18" t="n">
        <v>0</v>
      </c>
      <c r="L50" s="20" t="n">
        <v>0</v>
      </c>
      <c r="M50" s="18" t="n">
        <v>0.13123778</v>
      </c>
      <c r="N50" s="20" t="n">
        <v>0.09343406999999999</v>
      </c>
      <c r="O50" s="18" t="n">
        <v>0</v>
      </c>
      <c r="P50" s="20" t="n">
        <v>0</v>
      </c>
      <c r="Q50" s="18" t="n">
        <v>0</v>
      </c>
      <c r="R50" s="20" t="n">
        <v>0</v>
      </c>
      <c r="S50" s="18" t="n">
        <v>3.20857998</v>
      </c>
      <c r="T50" s="20" t="n">
        <v>0.5308063200000001</v>
      </c>
    </row>
    <row r="51" spans="1:20">
      <c r="A51" s="15" t="s">
        <v>610</v>
      </c>
      <c r="B51" s="17" t="n">
        <v>5809</v>
      </c>
      <c r="C51" s="18">
        <f>(4521.0/B51*100)</f>
        <v/>
      </c>
      <c r="D51" s="19" t="n">
        <v>1288</v>
      </c>
      <c r="E51" s="18" t="n">
        <v>45.7230341</v>
      </c>
      <c r="F51" s="20" t="n">
        <v>1.21080938</v>
      </c>
      <c r="G51" s="18" t="n">
        <v>24.74362178</v>
      </c>
      <c r="H51" s="20" t="n">
        <v>1.22788483</v>
      </c>
      <c r="I51" s="18" t="n">
        <v>27.81454296</v>
      </c>
      <c r="J51" s="20" t="n">
        <v>1.20113924</v>
      </c>
      <c r="K51" s="18" t="n">
        <v>0</v>
      </c>
      <c r="L51" s="20" t="n">
        <v>0</v>
      </c>
      <c r="M51" s="18" t="n">
        <v>0</v>
      </c>
      <c r="N51" s="20" t="n">
        <v>0</v>
      </c>
      <c r="O51" s="18" t="n">
        <v>0</v>
      </c>
      <c r="P51" s="20" t="n">
        <v>0</v>
      </c>
      <c r="Q51" s="18" t="n">
        <v>0</v>
      </c>
      <c r="R51" s="20" t="n">
        <v>0</v>
      </c>
      <c r="S51" s="18" t="n">
        <v>1.71880117</v>
      </c>
      <c r="T51" s="20" t="n">
        <v>0.30304702</v>
      </c>
    </row>
    <row r="52" spans="1:20">
      <c r="A52" s="15" t="s">
        <v>611</v>
      </c>
      <c r="B52" s="17" t="n">
        <v>5571</v>
      </c>
      <c r="C52" s="18">
        <f>(4283.0/B52*100)</f>
        <v/>
      </c>
      <c r="D52" s="19" t="n">
        <v>1288</v>
      </c>
      <c r="E52" s="18" t="n">
        <v>58.8511872</v>
      </c>
      <c r="F52" s="20" t="n">
        <v>1.24918619</v>
      </c>
      <c r="G52" s="18" t="n">
        <v>22.14823855</v>
      </c>
      <c r="H52" s="20" t="n">
        <v>1.23369712</v>
      </c>
      <c r="I52" s="18" t="n">
        <v>14.48882734</v>
      </c>
      <c r="J52" s="20" t="n">
        <v>1.05348514</v>
      </c>
      <c r="K52" s="18" t="n">
        <v>0</v>
      </c>
      <c r="L52" s="20" t="n">
        <v>0</v>
      </c>
      <c r="M52" s="18" t="n">
        <v>0.32802959</v>
      </c>
      <c r="N52" s="20" t="n">
        <v>0.16732701</v>
      </c>
      <c r="O52" s="18" t="n">
        <v>0</v>
      </c>
      <c r="P52" s="20" t="n">
        <v>0</v>
      </c>
      <c r="Q52" s="18" t="n">
        <v>0</v>
      </c>
      <c r="R52" s="20" t="n">
        <v>0</v>
      </c>
      <c r="S52" s="18" t="n">
        <v>4.18371732</v>
      </c>
      <c r="T52" s="20" t="n">
        <v>0.51512129</v>
      </c>
    </row>
    <row r="53" spans="1:20">
      <c r="A53" s="15" t="s">
        <v>612</v>
      </c>
      <c r="B53" s="17" t="n">
        <v>4740</v>
      </c>
      <c r="C53" s="18">
        <f>(3696.0/B53*100)</f>
        <v/>
      </c>
      <c r="D53" s="19" t="n">
        <v>1044</v>
      </c>
      <c r="E53" s="18" t="n">
        <v>60.62352518</v>
      </c>
      <c r="F53" s="20" t="n">
        <v>1.986675</v>
      </c>
      <c r="G53" s="18" t="n">
        <v>15.55576053</v>
      </c>
      <c r="H53" s="20" t="n">
        <v>1.3413247</v>
      </c>
      <c r="I53" s="18" t="n">
        <v>5.02104046</v>
      </c>
      <c r="J53" s="20" t="n">
        <v>0.77345931</v>
      </c>
      <c r="K53" s="18" t="n">
        <v>0</v>
      </c>
      <c r="L53" s="20" t="n">
        <v>0</v>
      </c>
      <c r="M53" s="18" t="n">
        <v>4.3751724</v>
      </c>
      <c r="N53" s="20" t="n">
        <v>0.81476951</v>
      </c>
      <c r="O53" s="18" t="n">
        <v>1.23607742</v>
      </c>
      <c r="P53" s="20" t="n">
        <v>1.22215438</v>
      </c>
      <c r="Q53" s="18" t="n">
        <v>0</v>
      </c>
      <c r="R53" s="20" t="n">
        <v>0</v>
      </c>
      <c r="S53" s="18" t="n">
        <v>13.18842401</v>
      </c>
      <c r="T53" s="20" t="n">
        <v>1.26302623</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(4234.0/B55*100)</f>
        <v/>
      </c>
      <c r="D55" s="19" t="n">
        <v>1125</v>
      </c>
      <c r="E55" s="18" t="n">
        <v>47.7172016</v>
      </c>
      <c r="F55" s="20" t="n">
        <v>1.8619218</v>
      </c>
      <c r="G55" s="18" t="n">
        <v>16.18341556</v>
      </c>
      <c r="H55" s="20" t="n">
        <v>1.62469429</v>
      </c>
      <c r="I55" s="18" t="n">
        <v>34.90299221</v>
      </c>
      <c r="J55" s="20" t="n">
        <v>1.8906061</v>
      </c>
      <c r="K55" s="18" t="n">
        <v>0</v>
      </c>
      <c r="L55" s="20" t="n">
        <v>0</v>
      </c>
      <c r="M55" s="18" t="n">
        <v>0.07805036</v>
      </c>
      <c r="N55" s="20" t="n">
        <v>0.07999995</v>
      </c>
      <c r="O55" s="18" t="n">
        <v>0</v>
      </c>
      <c r="P55" s="20" t="n">
        <v>0</v>
      </c>
      <c r="Q55" s="18" t="n">
        <v>0</v>
      </c>
      <c r="R55" s="20" t="n">
        <v>0</v>
      </c>
      <c r="S55" s="18" t="n">
        <v>1.11834027</v>
      </c>
      <c r="T55" s="20" t="n">
        <v>0.33203248</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(5086.0/B61*100)</f>
        <v/>
      </c>
      <c r="D61" s="19" t="n">
        <v>1439</v>
      </c>
      <c r="E61" s="18" t="n">
        <v>54.3037139</v>
      </c>
      <c r="F61" s="20" t="n">
        <v>1.42350414</v>
      </c>
      <c r="G61" s="18" t="n">
        <v>24.17764357</v>
      </c>
      <c r="H61" s="20" t="n">
        <v>1.19414222</v>
      </c>
      <c r="I61" s="18" t="n">
        <v>19.93495102</v>
      </c>
      <c r="J61" s="20" t="n">
        <v>1.12174924</v>
      </c>
      <c r="K61" s="18" t="n">
        <v>0</v>
      </c>
      <c r="L61" s="20" t="n">
        <v>0</v>
      </c>
      <c r="M61" s="18" t="n">
        <v>0</v>
      </c>
      <c r="N61" s="20" t="n">
        <v>0</v>
      </c>
      <c r="O61" s="18" t="n">
        <v>0.17357698</v>
      </c>
      <c r="P61" s="20" t="n">
        <v>0.11080207</v>
      </c>
      <c r="Q61" s="18" t="n">
        <v>0</v>
      </c>
      <c r="R61" s="20" t="n">
        <v>0</v>
      </c>
      <c r="S61" s="18" t="n">
        <v>1.41011453</v>
      </c>
      <c r="T61" s="20" t="n">
        <v>0.39871968</v>
      </c>
    </row>
    <row r="62" spans="1:20">
      <c r="A62" s="15" t="s">
        <v>622</v>
      </c>
      <c r="B62" s="17" t="n">
        <v>4476</v>
      </c>
      <c r="C62" s="18">
        <f>(3479.0/B62*100)</f>
        <v/>
      </c>
      <c r="D62" s="19" t="n">
        <v>997</v>
      </c>
      <c r="E62" s="18" t="n">
        <v>44.72128212</v>
      </c>
      <c r="F62" s="20" t="n">
        <v>1.54062859</v>
      </c>
      <c r="G62" s="18" t="n">
        <v>17.48471036</v>
      </c>
      <c r="H62" s="20" t="n">
        <v>1.40517351</v>
      </c>
      <c r="I62" s="18" t="n">
        <v>37.59145855</v>
      </c>
      <c r="J62" s="20" t="n">
        <v>1.69858852</v>
      </c>
      <c r="K62" s="18" t="n">
        <v>0</v>
      </c>
      <c r="L62" s="20" t="n">
        <v>0</v>
      </c>
      <c r="M62" s="18" t="n">
        <v>0.10299086</v>
      </c>
      <c r="N62" s="20" t="n">
        <v>0.10303837</v>
      </c>
      <c r="O62" s="18" t="n">
        <v>0</v>
      </c>
      <c r="P62" s="20" t="n">
        <v>0</v>
      </c>
      <c r="Q62" s="18" t="n">
        <v>0</v>
      </c>
      <c r="R62" s="20" t="n">
        <v>0</v>
      </c>
      <c r="S62" s="18" t="n">
        <v>0.0995581</v>
      </c>
      <c r="T62" s="20" t="n">
        <v>0.09958198</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(4418.0/B67*100)</f>
        <v/>
      </c>
      <c r="D67" s="19" t="n">
        <v>1247</v>
      </c>
      <c r="E67" s="18" t="n">
        <v>49.3762835</v>
      </c>
      <c r="F67" s="20" t="n">
        <v>1.23605091</v>
      </c>
      <c r="G67" s="18" t="n">
        <v>29.67829338</v>
      </c>
      <c r="H67" s="20" t="n">
        <v>1.19256447</v>
      </c>
      <c r="I67" s="18" t="n">
        <v>11.16658918</v>
      </c>
      <c r="J67" s="20" t="n">
        <v>0.90361445</v>
      </c>
      <c r="K67" s="18" t="n">
        <v>0</v>
      </c>
      <c r="L67" s="20" t="n">
        <v>0</v>
      </c>
      <c r="M67" s="18" t="n">
        <v>0.15358782</v>
      </c>
      <c r="N67" s="20" t="n">
        <v>0.10745289</v>
      </c>
      <c r="O67" s="18" t="n">
        <v>0.60280863</v>
      </c>
      <c r="P67" s="20" t="n">
        <v>0.17670458</v>
      </c>
      <c r="Q67" s="18" t="n">
        <v>0</v>
      </c>
      <c r="R67" s="20" t="n">
        <v>0</v>
      </c>
      <c r="S67" s="18" t="n">
        <v>9.02243749</v>
      </c>
      <c r="T67" s="20" t="n">
        <v>0.74722728</v>
      </c>
    </row>
    <row r="68" spans="1:20">
      <c r="A68" s="15" t="s">
        <v>628</v>
      </c>
      <c r="B68" s="17" t="n">
        <v>6971</v>
      </c>
      <c r="C68" s="18">
        <f>(5501.0/B68*100)</f>
        <v/>
      </c>
      <c r="D68" s="19" t="n">
        <v>1470</v>
      </c>
      <c r="E68" s="18" t="n">
        <v>55.69985546</v>
      </c>
      <c r="F68" s="20" t="n">
        <v>1.321035</v>
      </c>
      <c r="G68" s="18" t="n">
        <v>23.51203745</v>
      </c>
      <c r="H68" s="20" t="n">
        <v>1.14143896</v>
      </c>
      <c r="I68" s="18" t="n">
        <v>16.07470719</v>
      </c>
      <c r="J68" s="20" t="n">
        <v>1.11368657</v>
      </c>
      <c r="K68" s="18" t="n">
        <v>0</v>
      </c>
      <c r="L68" s="20" t="n">
        <v>0</v>
      </c>
      <c r="M68" s="18" t="n">
        <v>0</v>
      </c>
      <c r="N68" s="20" t="n">
        <v>0</v>
      </c>
      <c r="O68" s="18" t="n">
        <v>0.64492882</v>
      </c>
      <c r="P68" s="20" t="n">
        <v>0.28636283</v>
      </c>
      <c r="Q68" s="18" t="n">
        <v>0</v>
      </c>
      <c r="R68" s="20" t="n">
        <v>0</v>
      </c>
      <c r="S68" s="18" t="n">
        <v>4.06847108</v>
      </c>
      <c r="T68" s="20" t="n">
        <v>0.59457677</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(9375.0/B70*100)</f>
        <v/>
      </c>
      <c r="D70" s="19" t="n">
        <v>2708</v>
      </c>
      <c r="E70" s="18" t="n">
        <v>57.50216489</v>
      </c>
      <c r="F70" s="20" t="n">
        <v>0.9961934</v>
      </c>
      <c r="G70" s="18" t="n">
        <v>20.96052956</v>
      </c>
      <c r="H70" s="20" t="n">
        <v>0.75194511</v>
      </c>
      <c r="I70" s="18" t="n">
        <v>14.36555941</v>
      </c>
      <c r="J70" s="20" t="n">
        <v>0.68161897</v>
      </c>
      <c r="K70" s="18" t="n">
        <v>0</v>
      </c>
      <c r="L70" s="20" t="n">
        <v>0</v>
      </c>
      <c r="M70" s="18" t="n">
        <v>0.72180615</v>
      </c>
      <c r="N70" s="20" t="n">
        <v>0.15283795</v>
      </c>
      <c r="O70" s="18" t="n">
        <v>0</v>
      </c>
      <c r="P70" s="20" t="n">
        <v>0</v>
      </c>
      <c r="Q70" s="18" t="n">
        <v>0</v>
      </c>
      <c r="R70" s="20" t="n">
        <v>0</v>
      </c>
      <c r="S70" s="18" t="n">
        <v>6.44993999</v>
      </c>
      <c r="T70" s="20" t="n">
        <v>0.46792993</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(4681.0/B72*100)</f>
        <v/>
      </c>
      <c r="D72" s="19" t="n">
        <v>1355</v>
      </c>
      <c r="E72" s="18" t="n">
        <v>44.74935769</v>
      </c>
      <c r="F72" s="20" t="n">
        <v>1.54215135</v>
      </c>
      <c r="G72" s="18" t="n">
        <v>28.13632574</v>
      </c>
      <c r="H72" s="20" t="n">
        <v>1.66543716</v>
      </c>
      <c r="I72" s="18" t="n">
        <v>24.9671662</v>
      </c>
      <c r="J72" s="20" t="n">
        <v>1.50577929</v>
      </c>
      <c r="K72" s="18" t="n">
        <v>0</v>
      </c>
      <c r="L72" s="20" t="n">
        <v>0</v>
      </c>
      <c r="M72" s="18" t="n">
        <v>0.06168229</v>
      </c>
      <c r="N72" s="20" t="n">
        <v>0.0619802</v>
      </c>
      <c r="O72" s="18" t="n">
        <v>0.10565385</v>
      </c>
      <c r="P72" s="20" t="n">
        <v>0.07839979</v>
      </c>
      <c r="Q72" s="18" t="n">
        <v>0</v>
      </c>
      <c r="R72" s="20" t="n">
        <v>0</v>
      </c>
      <c r="S72" s="18" t="n">
        <v>1.97981424</v>
      </c>
      <c r="T72" s="20" t="n">
        <v>0.48922525</v>
      </c>
    </row>
    <row r="73" spans="1:20">
      <c r="A73" s="15" t="s">
        <v>633</v>
      </c>
      <c r="B73" s="17" t="n">
        <v>6115</v>
      </c>
      <c r="C73" s="18">
        <f>(4759.0/B73*100)</f>
        <v/>
      </c>
      <c r="D73" s="19" t="n">
        <v>1356</v>
      </c>
      <c r="E73" s="18" t="n">
        <v>40.54423078</v>
      </c>
      <c r="F73" s="20" t="n">
        <v>1.46558504</v>
      </c>
      <c r="G73" s="18" t="n">
        <v>11.49245396</v>
      </c>
      <c r="H73" s="20" t="n">
        <v>1.01689097</v>
      </c>
      <c r="I73" s="18" t="n">
        <v>47.15938155</v>
      </c>
      <c r="J73" s="20" t="n">
        <v>1.54300895</v>
      </c>
      <c r="K73" s="18" t="n">
        <v>0</v>
      </c>
      <c r="L73" s="20" t="n">
        <v>0</v>
      </c>
      <c r="M73" s="18" t="n">
        <v>0</v>
      </c>
      <c r="N73" s="20" t="n">
        <v>0</v>
      </c>
      <c r="O73" s="18" t="n">
        <v>0.08034901</v>
      </c>
      <c r="P73" s="20" t="n">
        <v>0.08025577</v>
      </c>
      <c r="Q73" s="18" t="n">
        <v>0</v>
      </c>
      <c r="R73" s="20" t="n">
        <v>0</v>
      </c>
      <c r="S73" s="18" t="n">
        <v>0.7235847</v>
      </c>
      <c r="T73" s="20" t="n">
        <v>0.19548899</v>
      </c>
    </row>
    <row r="74" spans="1:20">
      <c r="A74" s="15" t="s">
        <v>634</v>
      </c>
      <c r="B74" s="17" t="n">
        <v>7708</v>
      </c>
      <c r="C74" s="18">
        <f>(6056.0/B74*100)</f>
        <v/>
      </c>
      <c r="D74" s="19" t="n">
        <v>1652</v>
      </c>
      <c r="E74" s="18" t="n">
        <v>35.69702797</v>
      </c>
      <c r="F74" s="20" t="n">
        <v>1.2050407</v>
      </c>
      <c r="G74" s="18" t="n">
        <v>19.91986305</v>
      </c>
      <c r="H74" s="20" t="n">
        <v>0.92665616</v>
      </c>
      <c r="I74" s="18" t="n">
        <v>43.417151</v>
      </c>
      <c r="J74" s="20" t="n">
        <v>1.33353083</v>
      </c>
      <c r="K74" s="18" t="n">
        <v>0</v>
      </c>
      <c r="L74" s="20" t="n">
        <v>0</v>
      </c>
      <c r="M74" s="18" t="n">
        <v>0</v>
      </c>
      <c r="N74" s="20" t="n">
        <v>0</v>
      </c>
      <c r="O74" s="18" t="n">
        <v>0</v>
      </c>
      <c r="P74" s="20" t="n">
        <v>0</v>
      </c>
      <c r="Q74" s="18" t="n">
        <v>0</v>
      </c>
      <c r="R74" s="20" t="n">
        <v>0</v>
      </c>
      <c r="S74" s="18" t="n">
        <v>0.96595798</v>
      </c>
      <c r="T74" s="20" t="n">
        <v>0.23072921</v>
      </c>
    </row>
    <row r="75" spans="1:20">
      <c r="A75" s="15" t="s">
        <v>635</v>
      </c>
      <c r="B75" s="17" t="n">
        <v>8249</v>
      </c>
      <c r="C75" s="18">
        <f>(6471.0/B75*100)</f>
        <v/>
      </c>
      <c r="D75" s="19" t="n">
        <v>1778</v>
      </c>
      <c r="E75" s="18" t="n">
        <v>76.24678301</v>
      </c>
      <c r="F75" s="20" t="n">
        <v>1.29884705</v>
      </c>
      <c r="G75" s="18" t="n">
        <v>11.22535948</v>
      </c>
      <c r="H75" s="20" t="n">
        <v>0.86099595</v>
      </c>
      <c r="I75" s="18" t="n">
        <v>10.70364602</v>
      </c>
      <c r="J75" s="20" t="n">
        <v>1.00824358</v>
      </c>
      <c r="K75" s="18" t="n">
        <v>0</v>
      </c>
      <c r="L75" s="20" t="n">
        <v>0</v>
      </c>
      <c r="M75" s="18" t="n">
        <v>0</v>
      </c>
      <c r="N75" s="20" t="n">
        <v>0</v>
      </c>
      <c r="O75" s="18" t="n">
        <v>0.45019124</v>
      </c>
      <c r="P75" s="20" t="n">
        <v>0.16340306</v>
      </c>
      <c r="Q75" s="18" t="n">
        <v>0</v>
      </c>
      <c r="R75" s="20" t="n">
        <v>0</v>
      </c>
      <c r="S75" s="18" t="n">
        <v>1.37402025</v>
      </c>
      <c r="T75" s="20" t="n">
        <v>0.32455897</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(4300.0/B77*100)</f>
        <v/>
      </c>
      <c r="D77" s="19" t="n">
        <v>1075</v>
      </c>
      <c r="E77" s="18" t="n">
        <v>58.82987809</v>
      </c>
      <c r="F77" s="20" t="n">
        <v>1.5299374</v>
      </c>
      <c r="G77" s="18" t="n">
        <v>28.1017118</v>
      </c>
      <c r="H77" s="20" t="n">
        <v>1.40684486</v>
      </c>
      <c r="I77" s="18" t="n">
        <v>5.19310689</v>
      </c>
      <c r="J77" s="20" t="n">
        <v>0.66175624</v>
      </c>
      <c r="K77" s="18" t="n">
        <v>0</v>
      </c>
      <c r="L77" s="20" t="n">
        <v>0</v>
      </c>
      <c r="M77" s="18" t="n">
        <v>1.55615903</v>
      </c>
      <c r="N77" s="20" t="n">
        <v>0.44359788</v>
      </c>
      <c r="O77" s="18" t="n">
        <v>0.84321024</v>
      </c>
      <c r="P77" s="20" t="n">
        <v>0.37095741</v>
      </c>
      <c r="Q77" s="18" t="n">
        <v>0</v>
      </c>
      <c r="R77" s="20" t="n">
        <v>0</v>
      </c>
      <c r="S77" s="18" t="n">
        <v>5.47593396</v>
      </c>
      <c r="T77" s="20" t="n">
        <v>0.86784403</v>
      </c>
    </row>
    <row r="78" spans="1:20">
      <c r="A78" s="15" t="s">
        <v>638</v>
      </c>
      <c r="B78" s="17" t="n">
        <v>14167</v>
      </c>
      <c r="C78" s="18">
        <f>(11151.0/B78*100)</f>
        <v/>
      </c>
      <c r="D78" s="19" t="n">
        <v>3016</v>
      </c>
      <c r="E78" s="18" t="n">
        <v>60.22696497</v>
      </c>
      <c r="F78" s="20" t="n">
        <v>1.39716304</v>
      </c>
      <c r="G78" s="18" t="n">
        <v>19.57549015</v>
      </c>
      <c r="H78" s="20" t="n">
        <v>1.11161477</v>
      </c>
      <c r="I78" s="18" t="n">
        <v>16.14003713</v>
      </c>
      <c r="J78" s="20" t="n">
        <v>1.06617456</v>
      </c>
      <c r="K78" s="18" t="n">
        <v>0</v>
      </c>
      <c r="L78" s="20" t="n">
        <v>0</v>
      </c>
      <c r="M78" s="18" t="n">
        <v>0.41780597</v>
      </c>
      <c r="N78" s="20" t="n">
        <v>0.13152945</v>
      </c>
      <c r="O78" s="18" t="n">
        <v>0.3488134</v>
      </c>
      <c r="P78" s="20" t="n">
        <v>0.1582342</v>
      </c>
      <c r="Q78" s="18" t="n">
        <v>0</v>
      </c>
      <c r="R78" s="20" t="n">
        <v>0</v>
      </c>
      <c r="S78" s="18" t="n">
        <v>3.29088839</v>
      </c>
      <c r="T78" s="20" t="n">
        <v>0.36641545</v>
      </c>
    </row>
    <row r="79" spans="1:20">
      <c r="A79" s="15" t="s">
        <v>639</v>
      </c>
      <c r="B79" s="17" t="n">
        <v>6062</v>
      </c>
      <c r="C79" s="18">
        <f>(4697.0/B79*100)</f>
        <v/>
      </c>
      <c r="D79" s="19" t="n">
        <v>1365</v>
      </c>
      <c r="E79" s="18" t="n">
        <v>55.55728455</v>
      </c>
      <c r="F79" s="20" t="n">
        <v>1.46878141</v>
      </c>
      <c r="G79" s="18" t="n">
        <v>19.63418504</v>
      </c>
      <c r="H79" s="20" t="n">
        <v>1.14975834</v>
      </c>
      <c r="I79" s="18" t="n">
        <v>20.51120313</v>
      </c>
      <c r="J79" s="20" t="n">
        <v>1.26531888</v>
      </c>
      <c r="K79" s="18" t="n">
        <v>0</v>
      </c>
      <c r="L79" s="20" t="n">
        <v>0</v>
      </c>
      <c r="M79" s="18" t="n">
        <v>0.16729203</v>
      </c>
      <c r="N79" s="20" t="n">
        <v>0.12895238</v>
      </c>
      <c r="O79" s="18" t="n">
        <v>0.21798095</v>
      </c>
      <c r="P79" s="20" t="n">
        <v>0.1337758</v>
      </c>
      <c r="Q79" s="18" t="n">
        <v>0</v>
      </c>
      <c r="R79" s="20" t="n">
        <v>0</v>
      </c>
      <c r="S79" s="18" t="n">
        <v>3.9120543</v>
      </c>
      <c r="T79" s="20" t="n">
        <v>0.56246582</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(25238.0/B82*100)</f>
        <v/>
      </c>
      <c r="D82" s="19" t="n">
        <v>7092</v>
      </c>
      <c r="E82" s="18" t="n">
        <v>49.55665247</v>
      </c>
      <c r="F82" s="20" t="n">
        <v>0.86762125</v>
      </c>
      <c r="G82" s="18" t="n">
        <v>18.2438781</v>
      </c>
      <c r="H82" s="20" t="n">
        <v>0.7193243</v>
      </c>
      <c r="I82" s="18" t="n">
        <v>30.15907785</v>
      </c>
      <c r="J82" s="20" t="n">
        <v>0.8377721</v>
      </c>
      <c r="K82" s="18" t="n">
        <v>0</v>
      </c>
      <c r="L82" s="20" t="n">
        <v>0</v>
      </c>
      <c r="M82" s="18" t="n">
        <v>0.18057452</v>
      </c>
      <c r="N82" s="20" t="n">
        <v>0.08362103</v>
      </c>
      <c r="O82" s="18" t="n">
        <v>0.04884487</v>
      </c>
      <c r="P82" s="20" t="n">
        <v>0.04383019</v>
      </c>
      <c r="Q82" s="18" t="n">
        <v>0</v>
      </c>
      <c r="R82" s="20" t="n">
        <v>0</v>
      </c>
      <c r="S82" s="18" t="n">
        <v>1.81097218</v>
      </c>
      <c r="T82" s="20" t="n">
        <v>0.25346307</v>
      </c>
    </row>
    <row r="83" spans="1:20">
      <c r="A83" s="15" t="s">
        <v>643</v>
      </c>
      <c r="B83" s="17" t="n">
        <v>1652</v>
      </c>
      <c r="C83" s="18">
        <f>(1311.0/B83*100)</f>
        <v/>
      </c>
      <c r="D83" s="19" t="n">
        <v>341</v>
      </c>
      <c r="E83" s="18" t="n">
        <v>44.17503131</v>
      </c>
      <c r="F83" s="20" t="n">
        <v>2.97570065</v>
      </c>
      <c r="G83" s="18" t="n">
        <v>11.45920689</v>
      </c>
      <c r="H83" s="20" t="n">
        <v>1.78805032</v>
      </c>
      <c r="I83" s="18" t="n">
        <v>43.3701559</v>
      </c>
      <c r="J83" s="20" t="n">
        <v>3.25092426</v>
      </c>
      <c r="K83" s="18" t="n">
        <v>0</v>
      </c>
      <c r="L83" s="20" t="n">
        <v>0</v>
      </c>
      <c r="M83" s="18" t="n">
        <v>0</v>
      </c>
      <c r="N83" s="20" t="n">
        <v>0</v>
      </c>
      <c r="O83" s="18" t="n">
        <v>0</v>
      </c>
      <c r="P83" s="20" t="n">
        <v>0</v>
      </c>
      <c r="Q83" s="18" t="n">
        <v>0</v>
      </c>
      <c r="R83" s="20" t="n">
        <v>0</v>
      </c>
      <c r="S83" s="18" t="n">
        <v>0.9956059</v>
      </c>
      <c r="T83" s="20" t="n">
        <v>0.51755115</v>
      </c>
    </row>
    <row r="84" spans="1:20">
      <c r="A84" s="23" t="s">
        <v>644</v>
      </c>
      <c r="B84" s="24" t="n">
        <v>1887</v>
      </c>
      <c r="C84" s="25">
        <f>(1499.0/B84*100)</f>
        <v/>
      </c>
      <c r="D84" s="19" t="n">
        <v>388</v>
      </c>
      <c r="E84" s="18" t="n">
        <v>50.76150564</v>
      </c>
      <c r="F84" s="20" t="n">
        <v>2.9959893</v>
      </c>
      <c r="G84" s="18" t="n">
        <v>14.06342992</v>
      </c>
      <c r="H84" s="20" t="n">
        <v>2.11124438</v>
      </c>
      <c r="I84" s="18" t="n">
        <v>33.45788841</v>
      </c>
      <c r="J84" s="20" t="n">
        <v>2.77238235</v>
      </c>
      <c r="K84" s="18" t="n">
        <v>0</v>
      </c>
      <c r="L84" s="20" t="n">
        <v>0</v>
      </c>
      <c r="M84" s="18" t="n">
        <v>0.23854307</v>
      </c>
      <c r="N84" s="20" t="n">
        <v>0.23577566</v>
      </c>
      <c r="O84" s="18" t="n">
        <v>0</v>
      </c>
      <c r="P84" s="20" t="n">
        <v>0</v>
      </c>
      <c r="Q84" s="18" t="n">
        <v>0</v>
      </c>
      <c r="R84" s="20" t="n">
        <v>0</v>
      </c>
      <c r="S84" s="18" t="n">
        <v>1.47863296</v>
      </c>
      <c r="T84" s="20" t="n">
        <v>0.51136379</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769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(11370.0/B7*100)</f>
        <v/>
      </c>
      <c r="D7" s="19" t="n">
        <v>3160</v>
      </c>
      <c r="E7" s="18" t="n">
        <v>14.41433943</v>
      </c>
      <c r="F7" s="20" t="n">
        <v>0.86217936</v>
      </c>
      <c r="G7" s="18" t="n">
        <v>84.76616598</v>
      </c>
      <c r="H7" s="20" t="n">
        <v>0.8684241</v>
      </c>
      <c r="I7" s="18" t="n">
        <v>0</v>
      </c>
      <c r="J7" s="20" t="n">
        <v>0</v>
      </c>
      <c r="K7" s="18" t="n">
        <v>0.2134892</v>
      </c>
      <c r="L7" s="20" t="n">
        <v>0.10215697</v>
      </c>
      <c r="M7" s="18" t="n">
        <v>0</v>
      </c>
      <c r="N7" s="20" t="n">
        <v>0</v>
      </c>
      <c r="O7" s="18" t="n">
        <v>0</v>
      </c>
      <c r="P7" s="20" t="n">
        <v>0</v>
      </c>
      <c r="Q7" s="18" t="n">
        <v>0.60600539</v>
      </c>
      <c r="R7" s="20" t="n">
        <v>0.14420997</v>
      </c>
    </row>
    <row r="8" spans="1:18">
      <c r="A8" s="15" t="s">
        <v>566</v>
      </c>
      <c r="B8" s="17" t="n">
        <v>7007</v>
      </c>
      <c r="C8" s="18">
        <f>(5419.0/B8*100)</f>
        <v/>
      </c>
      <c r="D8" s="19" t="n">
        <v>1588</v>
      </c>
      <c r="E8" s="18" t="n">
        <v>21.91073425</v>
      </c>
      <c r="F8" s="20" t="n">
        <v>1.14023403</v>
      </c>
      <c r="G8" s="18" t="n">
        <v>76.73434533</v>
      </c>
      <c r="H8" s="20" t="n">
        <v>1.15208295</v>
      </c>
      <c r="I8" s="18" t="n">
        <v>0</v>
      </c>
      <c r="J8" s="20" t="n">
        <v>0</v>
      </c>
      <c r="K8" s="18" t="n">
        <v>0.11687032</v>
      </c>
      <c r="L8" s="20" t="n">
        <v>0.08976661</v>
      </c>
      <c r="M8" s="18" t="n">
        <v>0</v>
      </c>
      <c r="N8" s="20" t="n">
        <v>0</v>
      </c>
      <c r="O8" s="18" t="n">
        <v>0</v>
      </c>
      <c r="P8" s="20" t="n">
        <v>0</v>
      </c>
      <c r="Q8" s="18" t="n">
        <v>1.2380501</v>
      </c>
      <c r="R8" s="20" t="n">
        <v>0.29822197</v>
      </c>
    </row>
    <row r="9" spans="1:18">
      <c r="A9" s="15" t="s">
        <v>567</v>
      </c>
      <c r="B9" s="17" t="n">
        <v>9651</v>
      </c>
      <c r="C9" s="18">
        <f>(7611.0/B9*100)</f>
        <v/>
      </c>
      <c r="D9" s="19" t="n">
        <v>2040</v>
      </c>
      <c r="E9" s="18" t="n">
        <v>16.67804813</v>
      </c>
      <c r="F9" s="20" t="n">
        <v>0.89161791</v>
      </c>
      <c r="G9" s="18" t="n">
        <v>82.8811668</v>
      </c>
      <c r="H9" s="20" t="n">
        <v>0.9296964599999999</v>
      </c>
      <c r="I9" s="18" t="n">
        <v>0</v>
      </c>
      <c r="J9" s="20" t="n">
        <v>0</v>
      </c>
      <c r="K9" s="18" t="n">
        <v>0.11389369</v>
      </c>
      <c r="L9" s="20" t="n">
        <v>0.08790267</v>
      </c>
      <c r="M9" s="18" t="n">
        <v>0</v>
      </c>
      <c r="N9" s="20" t="n">
        <v>0</v>
      </c>
      <c r="O9" s="18" t="n">
        <v>0</v>
      </c>
      <c r="P9" s="20" t="n">
        <v>0</v>
      </c>
      <c r="Q9" s="18" t="n">
        <v>0.32689138</v>
      </c>
      <c r="R9" s="20" t="n">
        <v>0.1436986</v>
      </c>
    </row>
    <row r="10" spans="1:18">
      <c r="A10" s="15" t="s">
        <v>568</v>
      </c>
      <c r="B10" s="17" t="n">
        <v>20058</v>
      </c>
      <c r="C10" s="18">
        <f>(15634.0/B10*100)</f>
        <v/>
      </c>
      <c r="D10" s="19" t="n">
        <v>4424</v>
      </c>
      <c r="E10" s="18" t="n">
        <v>8.855148639999999</v>
      </c>
      <c r="F10" s="20" t="n">
        <v>0.54604998</v>
      </c>
      <c r="G10" s="18" t="n">
        <v>90.29568341</v>
      </c>
      <c r="H10" s="20" t="n">
        <v>0.61508733</v>
      </c>
      <c r="I10" s="18" t="n">
        <v>0</v>
      </c>
      <c r="J10" s="20" t="n">
        <v>0</v>
      </c>
      <c r="K10" s="18" t="n">
        <v>0.23353309</v>
      </c>
      <c r="L10" s="20" t="n">
        <v>0.12859861</v>
      </c>
      <c r="M10" s="18" t="n">
        <v>0</v>
      </c>
      <c r="N10" s="20" t="n">
        <v>0</v>
      </c>
      <c r="O10" s="18" t="n">
        <v>0</v>
      </c>
      <c r="P10" s="20" t="n">
        <v>0</v>
      </c>
      <c r="Q10" s="18" t="n">
        <v>0.61563486</v>
      </c>
      <c r="R10" s="20" t="n">
        <v>0.17355354</v>
      </c>
    </row>
    <row r="11" spans="1:18">
      <c r="A11" s="15" t="s">
        <v>569</v>
      </c>
      <c r="B11" s="17" t="n">
        <v>7053</v>
      </c>
      <c r="C11" s="18">
        <f>(5524.0/B11*100)</f>
        <v/>
      </c>
      <c r="D11" s="19" t="n">
        <v>1529</v>
      </c>
      <c r="E11" s="18" t="n">
        <v>32.19106307</v>
      </c>
      <c r="F11" s="20" t="n">
        <v>1.44231897</v>
      </c>
      <c r="G11" s="18" t="n">
        <v>66.8629816</v>
      </c>
      <c r="H11" s="20" t="n">
        <v>1.49455014</v>
      </c>
      <c r="I11" s="18" t="n">
        <v>0</v>
      </c>
      <c r="J11" s="20" t="n">
        <v>0</v>
      </c>
      <c r="K11" s="18" t="n">
        <v>0.07097024</v>
      </c>
      <c r="L11" s="20" t="n">
        <v>0.07128722</v>
      </c>
      <c r="M11" s="18" t="n">
        <v>0</v>
      </c>
      <c r="N11" s="20" t="n">
        <v>0</v>
      </c>
      <c r="O11" s="18" t="n">
        <v>0</v>
      </c>
      <c r="P11" s="20" t="n">
        <v>0</v>
      </c>
      <c r="Q11" s="18" t="n">
        <v>0.87498509</v>
      </c>
      <c r="R11" s="20" t="n">
        <v>0.30484908</v>
      </c>
    </row>
    <row r="12" spans="1:18">
      <c r="A12" s="15" t="s">
        <v>570</v>
      </c>
      <c r="B12" s="17" t="n">
        <v>6894</v>
      </c>
      <c r="C12" s="18">
        <f>(5401.0/B12*100)</f>
        <v/>
      </c>
      <c r="D12" s="19" t="n">
        <v>1493</v>
      </c>
      <c r="E12" s="18" t="n">
        <v>20.06771865</v>
      </c>
      <c r="F12" s="20" t="n">
        <v>1.39565526</v>
      </c>
      <c r="G12" s="18" t="n">
        <v>79.47625458</v>
      </c>
      <c r="H12" s="20" t="n">
        <v>1.41615605</v>
      </c>
      <c r="I12" s="18" t="n">
        <v>0</v>
      </c>
      <c r="J12" s="20" t="n">
        <v>0</v>
      </c>
      <c r="K12" s="18" t="n">
        <v>0</v>
      </c>
      <c r="L12" s="20" t="n">
        <v>0</v>
      </c>
      <c r="M12" s="18" t="n">
        <v>0</v>
      </c>
      <c r="N12" s="20" t="n">
        <v>0</v>
      </c>
      <c r="O12" s="18" t="n">
        <v>0</v>
      </c>
      <c r="P12" s="20" t="n">
        <v>0</v>
      </c>
      <c r="Q12" s="18" t="n">
        <v>0.45602677</v>
      </c>
      <c r="R12" s="20" t="n">
        <v>0.16029576</v>
      </c>
    </row>
    <row r="13" spans="1:18">
      <c r="A13" s="15" t="s">
        <v>571</v>
      </c>
      <c r="B13" s="17" t="n">
        <v>7161</v>
      </c>
      <c r="C13" s="18">
        <f>(5637.0/B13*100)</f>
        <v/>
      </c>
      <c r="D13" s="19" t="n">
        <v>1524</v>
      </c>
      <c r="E13" s="18" t="n">
        <v>17.27749707</v>
      </c>
      <c r="F13" s="20" t="n">
        <v>1.47602246</v>
      </c>
      <c r="G13" s="18" t="n">
        <v>81.85254098</v>
      </c>
      <c r="H13" s="20" t="n">
        <v>1.51885733</v>
      </c>
      <c r="I13" s="18" t="n">
        <v>0</v>
      </c>
      <c r="J13" s="20" t="n">
        <v>0</v>
      </c>
      <c r="K13" s="18" t="n">
        <v>0.30229611</v>
      </c>
      <c r="L13" s="20" t="n">
        <v>0.20500165</v>
      </c>
      <c r="M13" s="18" t="n">
        <v>0</v>
      </c>
      <c r="N13" s="20" t="n">
        <v>0</v>
      </c>
      <c r="O13" s="18" t="n">
        <v>0</v>
      </c>
      <c r="P13" s="20" t="n">
        <v>0</v>
      </c>
      <c r="Q13" s="18" t="n">
        <v>0.56766585</v>
      </c>
      <c r="R13" s="20" t="n">
        <v>0.19780309</v>
      </c>
    </row>
    <row r="14" spans="1:18">
      <c r="A14" s="15" t="s">
        <v>572</v>
      </c>
      <c r="B14" s="17" t="n">
        <v>5587</v>
      </c>
      <c r="C14" s="18">
        <f>(4286.0/B14*100)</f>
        <v/>
      </c>
      <c r="D14" s="19" t="n">
        <v>1301</v>
      </c>
      <c r="E14" s="18" t="n">
        <v>14.0051351</v>
      </c>
      <c r="F14" s="20" t="n">
        <v>1.05085393</v>
      </c>
      <c r="G14" s="18" t="n">
        <v>85.73251605</v>
      </c>
      <c r="H14" s="20" t="n">
        <v>1.05249617</v>
      </c>
      <c r="I14" s="18" t="n">
        <v>0</v>
      </c>
      <c r="J14" s="20" t="n">
        <v>0</v>
      </c>
      <c r="K14" s="18" t="n">
        <v>0.06186584</v>
      </c>
      <c r="L14" s="20" t="n">
        <v>0.05510351</v>
      </c>
      <c r="M14" s="18" t="n">
        <v>0</v>
      </c>
      <c r="N14" s="20" t="n">
        <v>0</v>
      </c>
      <c r="O14" s="18" t="n">
        <v>0</v>
      </c>
      <c r="P14" s="20" t="n">
        <v>0</v>
      </c>
      <c r="Q14" s="18" t="n">
        <v>0.20048301</v>
      </c>
      <c r="R14" s="20" t="n">
        <v>0.11817976</v>
      </c>
    </row>
    <row r="15" spans="1:18">
      <c r="A15" s="15" t="s">
        <v>573</v>
      </c>
      <c r="B15" s="17" t="n">
        <v>5882</v>
      </c>
      <c r="C15" s="18">
        <f>(4574.0/B15*100)</f>
        <v/>
      </c>
      <c r="D15" s="19" t="n">
        <v>1308</v>
      </c>
      <c r="E15" s="18" t="n">
        <v>16.23389708</v>
      </c>
      <c r="F15" s="20" t="n">
        <v>0.90230022</v>
      </c>
      <c r="G15" s="18" t="n">
        <v>83.52412548</v>
      </c>
      <c r="H15" s="20" t="n">
        <v>0.9160933999999999</v>
      </c>
      <c r="I15" s="18" t="n">
        <v>0</v>
      </c>
      <c r="J15" s="20" t="n">
        <v>0</v>
      </c>
      <c r="K15" s="18" t="n">
        <v>0</v>
      </c>
      <c r="L15" s="20" t="n">
        <v>0</v>
      </c>
      <c r="M15" s="18" t="n">
        <v>0</v>
      </c>
      <c r="N15" s="20" t="n">
        <v>0</v>
      </c>
      <c r="O15" s="18" t="n">
        <v>0</v>
      </c>
      <c r="P15" s="20" t="n">
        <v>0</v>
      </c>
      <c r="Q15" s="18" t="n">
        <v>0.24197744</v>
      </c>
      <c r="R15" s="20" t="n">
        <v>0.14469041</v>
      </c>
    </row>
    <row r="16" spans="1:18">
      <c r="A16" s="15" t="s">
        <v>574</v>
      </c>
      <c r="B16" s="17" t="n">
        <v>6108</v>
      </c>
      <c r="C16" s="18">
        <f>(4753.0/B16*100)</f>
        <v/>
      </c>
      <c r="D16" s="19" t="n">
        <v>1355</v>
      </c>
      <c r="E16" s="18" t="n">
        <v>17.35127546</v>
      </c>
      <c r="F16" s="20" t="n">
        <v>1.15864294</v>
      </c>
      <c r="G16" s="18" t="n">
        <v>81.05760759</v>
      </c>
      <c r="H16" s="20" t="n">
        <v>1.25460097</v>
      </c>
      <c r="I16" s="18" t="n">
        <v>0</v>
      </c>
      <c r="J16" s="20" t="n">
        <v>0</v>
      </c>
      <c r="K16" s="18" t="n">
        <v>0.69594385</v>
      </c>
      <c r="L16" s="20" t="n">
        <v>0.21083175</v>
      </c>
      <c r="M16" s="18" t="n">
        <v>0</v>
      </c>
      <c r="N16" s="20" t="n">
        <v>0</v>
      </c>
      <c r="O16" s="18" t="n">
        <v>0</v>
      </c>
      <c r="P16" s="20" t="n">
        <v>0</v>
      </c>
      <c r="Q16" s="18" t="n">
        <v>0.8951731000000001</v>
      </c>
      <c r="R16" s="20" t="n">
        <v>0.27372758</v>
      </c>
    </row>
    <row r="17" spans="1:18">
      <c r="A17" s="15" t="s">
        <v>575</v>
      </c>
      <c r="B17" s="17" t="n">
        <v>6504</v>
      </c>
      <c r="C17" s="18">
        <f>(5086.0/B17*100)</f>
        <v/>
      </c>
      <c r="D17" s="19" t="n">
        <v>1418</v>
      </c>
      <c r="E17" s="18" t="n">
        <v>16.76851948</v>
      </c>
      <c r="F17" s="20" t="n">
        <v>1.05489323</v>
      </c>
      <c r="G17" s="18" t="n">
        <v>82.67647622</v>
      </c>
      <c r="H17" s="20" t="n">
        <v>1.06651843</v>
      </c>
      <c r="I17" s="18" t="n">
        <v>0</v>
      </c>
      <c r="J17" s="20" t="n">
        <v>0</v>
      </c>
      <c r="K17" s="18" t="n">
        <v>0</v>
      </c>
      <c r="L17" s="20" t="n">
        <v>0</v>
      </c>
      <c r="M17" s="18" t="n">
        <v>0</v>
      </c>
      <c r="N17" s="20" t="n">
        <v>0</v>
      </c>
      <c r="O17" s="18" t="n">
        <v>0</v>
      </c>
      <c r="P17" s="20" t="n">
        <v>0</v>
      </c>
      <c r="Q17" s="18" t="n">
        <v>0.5550043</v>
      </c>
      <c r="R17" s="20" t="n">
        <v>0.21612218</v>
      </c>
    </row>
    <row r="18" spans="1:18">
      <c r="A18" s="15" t="s">
        <v>576</v>
      </c>
      <c r="B18" s="17" t="n">
        <v>5532</v>
      </c>
      <c r="C18" s="18">
        <f>(4301.0/B18*100)</f>
        <v/>
      </c>
      <c r="D18" s="19" t="n">
        <v>1231</v>
      </c>
      <c r="E18" s="18" t="n">
        <v>28.21489364</v>
      </c>
      <c r="F18" s="20" t="n">
        <v>1.46398508</v>
      </c>
      <c r="G18" s="18" t="n">
        <v>70.9042281</v>
      </c>
      <c r="H18" s="20" t="n">
        <v>1.46545015</v>
      </c>
      <c r="I18" s="18" t="n">
        <v>0</v>
      </c>
      <c r="J18" s="20" t="n">
        <v>0</v>
      </c>
      <c r="K18" s="18" t="n">
        <v>0</v>
      </c>
      <c r="L18" s="20" t="n">
        <v>0</v>
      </c>
      <c r="M18" s="18" t="n">
        <v>0</v>
      </c>
      <c r="N18" s="20" t="n">
        <v>0</v>
      </c>
      <c r="O18" s="18" t="n">
        <v>0</v>
      </c>
      <c r="P18" s="20" t="n">
        <v>0</v>
      </c>
      <c r="Q18" s="18" t="n">
        <v>0.88087826</v>
      </c>
      <c r="R18" s="20" t="n">
        <v>0.29028408</v>
      </c>
    </row>
    <row r="19" spans="1:18">
      <c r="A19" s="15" t="s">
        <v>577</v>
      </c>
      <c r="B19" s="17" t="n">
        <v>5658</v>
      </c>
      <c r="C19" s="18">
        <f>(4419.0/B19*100)</f>
        <v/>
      </c>
      <c r="D19" s="19" t="n">
        <v>1239</v>
      </c>
      <c r="E19" s="18" t="n">
        <v>25.04797926</v>
      </c>
      <c r="F19" s="20" t="n">
        <v>1.39556325</v>
      </c>
      <c r="G19" s="18" t="n">
        <v>74.48078802000001</v>
      </c>
      <c r="H19" s="20" t="n">
        <v>1.37601287</v>
      </c>
      <c r="I19" s="18" t="n">
        <v>0</v>
      </c>
      <c r="J19" s="20" t="n">
        <v>0</v>
      </c>
      <c r="K19" s="18" t="n">
        <v>0</v>
      </c>
      <c r="L19" s="20" t="n">
        <v>0</v>
      </c>
      <c r="M19" s="18" t="n">
        <v>0</v>
      </c>
      <c r="N19" s="20" t="n">
        <v>0</v>
      </c>
      <c r="O19" s="18" t="n">
        <v>0</v>
      </c>
      <c r="P19" s="20" t="n">
        <v>0</v>
      </c>
      <c r="Q19" s="18" t="n">
        <v>0.47123272</v>
      </c>
      <c r="R19" s="20" t="n">
        <v>0.22782491</v>
      </c>
    </row>
    <row r="20" spans="1:18">
      <c r="A20" s="15" t="s">
        <v>578</v>
      </c>
      <c r="B20" s="17" t="n">
        <v>3371</v>
      </c>
      <c r="C20" s="18">
        <f>(2629.0/B20*100)</f>
        <v/>
      </c>
      <c r="D20" s="19" t="n">
        <v>742</v>
      </c>
      <c r="E20" s="18" t="n">
        <v>18.79304278</v>
      </c>
      <c r="F20" s="20" t="n">
        <v>1.39388697</v>
      </c>
      <c r="G20" s="18" t="n">
        <v>79.95158609000001</v>
      </c>
      <c r="H20" s="20" t="n">
        <v>1.42586365</v>
      </c>
      <c r="I20" s="18" t="n">
        <v>0</v>
      </c>
      <c r="J20" s="20" t="n">
        <v>0</v>
      </c>
      <c r="K20" s="18" t="n">
        <v>0.38047805</v>
      </c>
      <c r="L20" s="20" t="n">
        <v>0.22287479</v>
      </c>
      <c r="M20" s="18" t="n">
        <v>0</v>
      </c>
      <c r="N20" s="20" t="n">
        <v>0</v>
      </c>
      <c r="O20" s="18" t="n">
        <v>0</v>
      </c>
      <c r="P20" s="20" t="n">
        <v>0</v>
      </c>
      <c r="Q20" s="18" t="n">
        <v>0.87489308</v>
      </c>
      <c r="R20" s="20" t="n">
        <v>0.34267083</v>
      </c>
    </row>
    <row r="21" spans="1:18">
      <c r="A21" s="15" t="s">
        <v>579</v>
      </c>
      <c r="B21" s="17" t="n">
        <v>5741</v>
      </c>
      <c r="C21" s="18">
        <f>(4460.0/B21*100)</f>
        <v/>
      </c>
      <c r="D21" s="19" t="n">
        <v>1281</v>
      </c>
      <c r="E21" s="18" t="n">
        <v>14.60815402</v>
      </c>
      <c r="F21" s="20" t="n">
        <v>1.06772215</v>
      </c>
      <c r="G21" s="18" t="n">
        <v>84.95052101</v>
      </c>
      <c r="H21" s="20" t="n">
        <v>1.08851987</v>
      </c>
      <c r="I21" s="18" t="n">
        <v>0</v>
      </c>
      <c r="J21" s="20" t="n">
        <v>0</v>
      </c>
      <c r="K21" s="18" t="n">
        <v>0.08381653999999999</v>
      </c>
      <c r="L21" s="20" t="n">
        <v>0.09003656</v>
      </c>
      <c r="M21" s="18" t="n">
        <v>0</v>
      </c>
      <c r="N21" s="20" t="n">
        <v>0</v>
      </c>
      <c r="O21" s="18" t="n">
        <v>0</v>
      </c>
      <c r="P21" s="20" t="n">
        <v>0</v>
      </c>
      <c r="Q21" s="18" t="n">
        <v>0.35750844</v>
      </c>
      <c r="R21" s="20" t="n">
        <v>0.15325739</v>
      </c>
    </row>
    <row r="22" spans="1:18">
      <c r="A22" s="15" t="s">
        <v>580</v>
      </c>
      <c r="B22" s="17" t="n">
        <v>6598</v>
      </c>
      <c r="C22" s="18">
        <f>(5123.0/B22*100)</f>
        <v/>
      </c>
      <c r="D22" s="19" t="n">
        <v>1475</v>
      </c>
      <c r="E22" s="18" t="n">
        <v>24.29302522</v>
      </c>
      <c r="F22" s="20" t="n">
        <v>1.40163891</v>
      </c>
      <c r="G22" s="18" t="n">
        <v>73.86811097</v>
      </c>
      <c r="H22" s="20" t="n">
        <v>1.42204225</v>
      </c>
      <c r="I22" s="18" t="n">
        <v>0</v>
      </c>
      <c r="J22" s="20" t="n">
        <v>0</v>
      </c>
      <c r="K22" s="18" t="n">
        <v>0.05311357</v>
      </c>
      <c r="L22" s="20" t="n">
        <v>0.05317328</v>
      </c>
      <c r="M22" s="18" t="n">
        <v>0</v>
      </c>
      <c r="N22" s="20" t="n">
        <v>0</v>
      </c>
      <c r="O22" s="18" t="n">
        <v>0</v>
      </c>
      <c r="P22" s="20" t="n">
        <v>0</v>
      </c>
      <c r="Q22" s="18" t="n">
        <v>1.78575024</v>
      </c>
      <c r="R22" s="20" t="n">
        <v>0.35852465</v>
      </c>
    </row>
    <row r="23" spans="1:18">
      <c r="A23" s="15" t="s">
        <v>581</v>
      </c>
      <c r="B23" s="17" t="n">
        <v>11583</v>
      </c>
      <c r="C23" s="18">
        <f>(9045.0/B23*100)</f>
        <v/>
      </c>
      <c r="D23" s="19" t="n">
        <v>2538</v>
      </c>
      <c r="E23" s="18" t="n">
        <v>22.29077491</v>
      </c>
      <c r="F23" s="20" t="n">
        <v>1.42791672</v>
      </c>
      <c r="G23" s="18" t="n">
        <v>76.99796682</v>
      </c>
      <c r="H23" s="20" t="n">
        <v>1.45956804</v>
      </c>
      <c r="I23" s="18" t="n">
        <v>0</v>
      </c>
      <c r="J23" s="20" t="n">
        <v>0</v>
      </c>
      <c r="K23" s="18" t="n">
        <v>0.29841413</v>
      </c>
      <c r="L23" s="20" t="n">
        <v>0.18230852</v>
      </c>
      <c r="M23" s="18" t="n">
        <v>0</v>
      </c>
      <c r="N23" s="20" t="n">
        <v>0</v>
      </c>
      <c r="O23" s="18" t="n">
        <v>0</v>
      </c>
      <c r="P23" s="20" t="n">
        <v>0</v>
      </c>
      <c r="Q23" s="18" t="n">
        <v>0.41284414</v>
      </c>
      <c r="R23" s="20" t="n">
        <v>0.1987683</v>
      </c>
    </row>
    <row r="24" spans="1:18">
      <c r="A24" s="15" t="s">
        <v>582</v>
      </c>
      <c r="B24" s="17" t="n">
        <v>6647</v>
      </c>
      <c r="C24" s="18">
        <f>(5194.0/B24*100)</f>
        <v/>
      </c>
      <c r="D24" s="19" t="n">
        <v>1453</v>
      </c>
      <c r="E24" s="18" t="n">
        <v>13.2521462</v>
      </c>
      <c r="F24" s="20" t="n">
        <v>1.06969451</v>
      </c>
      <c r="G24" s="18" t="n">
        <v>86.25552523</v>
      </c>
      <c r="H24" s="20" t="n">
        <v>1.08545019</v>
      </c>
      <c r="I24" s="18" t="n">
        <v>0</v>
      </c>
      <c r="J24" s="20" t="n">
        <v>0</v>
      </c>
      <c r="K24" s="18" t="n">
        <v>0.20162552</v>
      </c>
      <c r="L24" s="20" t="n">
        <v>0.11661872</v>
      </c>
      <c r="M24" s="18" t="n">
        <v>0</v>
      </c>
      <c r="N24" s="20" t="n">
        <v>0</v>
      </c>
      <c r="O24" s="18" t="n">
        <v>0</v>
      </c>
      <c r="P24" s="20" t="n">
        <v>0</v>
      </c>
      <c r="Q24" s="18" t="n">
        <v>0.29070305</v>
      </c>
      <c r="R24" s="20" t="n">
        <v>0.14604897</v>
      </c>
    </row>
    <row r="25" spans="1:18">
      <c r="A25" s="15" t="s">
        <v>583</v>
      </c>
      <c r="B25" s="17" t="n">
        <v>5581</v>
      </c>
      <c r="C25" s="18">
        <f>(4317.0/B25*100)</f>
        <v/>
      </c>
      <c r="D25" s="19" t="n">
        <v>1264</v>
      </c>
      <c r="E25" s="18" t="n">
        <v>10.88723892</v>
      </c>
      <c r="F25" s="20" t="n">
        <v>0.89343706</v>
      </c>
      <c r="G25" s="18" t="n">
        <v>88.81447023</v>
      </c>
      <c r="H25" s="20" t="n">
        <v>0.89551466</v>
      </c>
      <c r="I25" s="18" t="n">
        <v>0</v>
      </c>
      <c r="J25" s="20" t="n">
        <v>0</v>
      </c>
      <c r="K25" s="18" t="n">
        <v>0</v>
      </c>
      <c r="L25" s="20" t="n">
        <v>0</v>
      </c>
      <c r="M25" s="18" t="n">
        <v>0</v>
      </c>
      <c r="N25" s="20" t="n">
        <v>0</v>
      </c>
      <c r="O25" s="18" t="n">
        <v>0</v>
      </c>
      <c r="P25" s="20" t="n">
        <v>0</v>
      </c>
      <c r="Q25" s="18" t="n">
        <v>0.29829085</v>
      </c>
      <c r="R25" s="20" t="n">
        <v>0.1539552</v>
      </c>
    </row>
    <row r="26" spans="1:18">
      <c r="A26" s="15" t="s">
        <v>584</v>
      </c>
      <c r="B26" s="17" t="n">
        <v>4869</v>
      </c>
      <c r="C26" s="18">
        <f>(3777.0/B26*100)</f>
        <v/>
      </c>
      <c r="D26" s="19" t="n">
        <v>1092</v>
      </c>
      <c r="E26" s="18" t="n">
        <v>17.90258737</v>
      </c>
      <c r="F26" s="20" t="n">
        <v>1.20850558</v>
      </c>
      <c r="G26" s="18" t="n">
        <v>81.42862350999999</v>
      </c>
      <c r="H26" s="20" t="n">
        <v>1.15850493</v>
      </c>
      <c r="I26" s="18" t="n">
        <v>0</v>
      </c>
      <c r="J26" s="20" t="n">
        <v>0</v>
      </c>
      <c r="K26" s="18" t="n">
        <v>0.3323296</v>
      </c>
      <c r="L26" s="20" t="n">
        <v>0.22749081</v>
      </c>
      <c r="M26" s="18" t="n">
        <v>0</v>
      </c>
      <c r="N26" s="20" t="n">
        <v>0</v>
      </c>
      <c r="O26" s="18" t="n">
        <v>0</v>
      </c>
      <c r="P26" s="20" t="n">
        <v>0</v>
      </c>
      <c r="Q26" s="18" t="n">
        <v>0.33645953</v>
      </c>
      <c r="R26" s="20" t="n">
        <v>0.22758642</v>
      </c>
    </row>
    <row r="27" spans="1:18">
      <c r="A27" s="15" t="s">
        <v>585</v>
      </c>
      <c r="B27" s="17" t="n">
        <v>5299</v>
      </c>
      <c r="C27" s="18">
        <f>(4148.0/B27*100)</f>
        <v/>
      </c>
      <c r="D27" s="19" t="n">
        <v>1151</v>
      </c>
      <c r="E27" s="18" t="n">
        <v>19.81212492</v>
      </c>
      <c r="F27" s="20" t="n">
        <v>1.24721938</v>
      </c>
      <c r="G27" s="18" t="n">
        <v>79.20464622999999</v>
      </c>
      <c r="H27" s="20" t="n">
        <v>1.23239614</v>
      </c>
      <c r="I27" s="18" t="n">
        <v>0</v>
      </c>
      <c r="J27" s="20" t="n">
        <v>0</v>
      </c>
      <c r="K27" s="18" t="n">
        <v>0</v>
      </c>
      <c r="L27" s="20" t="n">
        <v>0</v>
      </c>
      <c r="M27" s="18" t="n">
        <v>0</v>
      </c>
      <c r="N27" s="20" t="n">
        <v>0</v>
      </c>
      <c r="O27" s="18" t="n">
        <v>0</v>
      </c>
      <c r="P27" s="20" t="n">
        <v>0</v>
      </c>
      <c r="Q27" s="18" t="n">
        <v>0.98322885</v>
      </c>
      <c r="R27" s="20" t="n">
        <v>0.30696621</v>
      </c>
    </row>
    <row r="28" spans="1:18">
      <c r="A28" s="15" t="s">
        <v>586</v>
      </c>
      <c r="B28" s="17" t="n">
        <v>7568</v>
      </c>
      <c r="C28" s="18">
        <f>(5888.0/B28*100)</f>
        <v/>
      </c>
      <c r="D28" s="19" t="n">
        <v>1680</v>
      </c>
      <c r="E28" s="18" t="n">
        <v>35.23661612</v>
      </c>
      <c r="F28" s="20" t="n">
        <v>1.36752088</v>
      </c>
      <c r="G28" s="18" t="n">
        <v>64.42956357</v>
      </c>
      <c r="H28" s="20" t="n">
        <v>1.38066145</v>
      </c>
      <c r="I28" s="18" t="n">
        <v>0</v>
      </c>
      <c r="J28" s="20" t="n">
        <v>0</v>
      </c>
      <c r="K28" s="18" t="n">
        <v>0.17165664</v>
      </c>
      <c r="L28" s="20" t="n">
        <v>0.11265023</v>
      </c>
      <c r="M28" s="18" t="n">
        <v>0</v>
      </c>
      <c r="N28" s="20" t="n">
        <v>0</v>
      </c>
      <c r="O28" s="18" t="n">
        <v>0</v>
      </c>
      <c r="P28" s="20" t="n">
        <v>0</v>
      </c>
      <c r="Q28" s="18" t="n">
        <v>0.16216366</v>
      </c>
      <c r="R28" s="20" t="n">
        <v>0.08750038</v>
      </c>
    </row>
    <row r="29" spans="1:18">
      <c r="A29" s="15" t="s">
        <v>587</v>
      </c>
      <c r="B29" s="17" t="n">
        <v>5385</v>
      </c>
      <c r="C29" s="18">
        <f>(4243.0/B29*100)</f>
        <v/>
      </c>
      <c r="D29" s="19" t="n">
        <v>1142</v>
      </c>
      <c r="E29" s="18" t="n">
        <v>13.65646344</v>
      </c>
      <c r="F29" s="20" t="n">
        <v>1.0002628</v>
      </c>
      <c r="G29" s="18" t="n">
        <v>85.90696545</v>
      </c>
      <c r="H29" s="20" t="n">
        <v>1.03363384</v>
      </c>
      <c r="I29" s="18" t="n">
        <v>0</v>
      </c>
      <c r="J29" s="20" t="n">
        <v>0</v>
      </c>
      <c r="K29" s="18" t="n">
        <v>0.08984955999999999</v>
      </c>
      <c r="L29" s="20" t="n">
        <v>0.08932780999999999</v>
      </c>
      <c r="M29" s="18" t="n">
        <v>0</v>
      </c>
      <c r="N29" s="20" t="n">
        <v>0</v>
      </c>
      <c r="O29" s="18" t="n">
        <v>0</v>
      </c>
      <c r="P29" s="20" t="n">
        <v>0</v>
      </c>
      <c r="Q29" s="18" t="n">
        <v>0.34672155</v>
      </c>
      <c r="R29" s="20" t="n">
        <v>0.18361449</v>
      </c>
    </row>
    <row r="30" spans="1:18">
      <c r="A30" s="15" t="s">
        <v>588</v>
      </c>
      <c r="B30" s="17" t="n">
        <v>4520</v>
      </c>
      <c r="C30" s="18">
        <f>(3528.0/B30*100)</f>
        <v/>
      </c>
      <c r="D30" s="19" t="n">
        <v>992</v>
      </c>
      <c r="E30" s="18" t="n">
        <v>14.51628247</v>
      </c>
      <c r="F30" s="20" t="n">
        <v>1.15950688</v>
      </c>
      <c r="G30" s="18" t="n">
        <v>84.3329646</v>
      </c>
      <c r="H30" s="20" t="n">
        <v>1.24520992</v>
      </c>
      <c r="I30" s="18" t="n">
        <v>0</v>
      </c>
      <c r="J30" s="20" t="n">
        <v>0</v>
      </c>
      <c r="K30" s="18" t="n">
        <v>0</v>
      </c>
      <c r="L30" s="20" t="n">
        <v>0</v>
      </c>
      <c r="M30" s="18" t="n">
        <v>0</v>
      </c>
      <c r="N30" s="20" t="n">
        <v>0</v>
      </c>
      <c r="O30" s="18" t="n">
        <v>0</v>
      </c>
      <c r="P30" s="20" t="n">
        <v>0</v>
      </c>
      <c r="Q30" s="18" t="n">
        <v>1.15075293</v>
      </c>
      <c r="R30" s="20" t="n">
        <v>0.29608919</v>
      </c>
    </row>
    <row r="31" spans="1:18">
      <c r="A31" s="15" t="s">
        <v>589</v>
      </c>
      <c r="B31" s="17" t="n">
        <v>5456</v>
      </c>
      <c r="C31" s="18">
        <f>(4223.0/B31*100)</f>
        <v/>
      </c>
      <c r="D31" s="19" t="n">
        <v>1233</v>
      </c>
      <c r="E31" s="18" t="n">
        <v>19.67066851</v>
      </c>
      <c r="F31" s="20" t="n">
        <v>1.08389685</v>
      </c>
      <c r="G31" s="18" t="n">
        <v>79.56380523</v>
      </c>
      <c r="H31" s="20" t="n">
        <v>1.11222062</v>
      </c>
      <c r="I31" s="18" t="n">
        <v>0</v>
      </c>
      <c r="J31" s="20" t="n">
        <v>0</v>
      </c>
      <c r="K31" s="18" t="n">
        <v>0.16638508</v>
      </c>
      <c r="L31" s="20" t="n">
        <v>0.11742305</v>
      </c>
      <c r="M31" s="18" t="n">
        <v>0</v>
      </c>
      <c r="N31" s="20" t="n">
        <v>0</v>
      </c>
      <c r="O31" s="18" t="n">
        <v>0</v>
      </c>
      <c r="P31" s="20" t="n">
        <v>0</v>
      </c>
      <c r="Q31" s="18" t="n">
        <v>0.5991411800000001</v>
      </c>
      <c r="R31" s="20" t="n">
        <v>0.21307028</v>
      </c>
    </row>
    <row r="32" spans="1:18">
      <c r="A32" s="15" t="s">
        <v>590</v>
      </c>
      <c r="B32" s="17" t="n">
        <v>4478</v>
      </c>
      <c r="C32" s="18">
        <f>(3462.0/B32*100)</f>
        <v/>
      </c>
      <c r="D32" s="19" t="n">
        <v>1016</v>
      </c>
      <c r="E32" s="18" t="n">
        <v>14.55127267</v>
      </c>
      <c r="F32" s="20" t="n">
        <v>1.0298977</v>
      </c>
      <c r="G32" s="18" t="n">
        <v>85.16023004</v>
      </c>
      <c r="H32" s="20" t="n">
        <v>1.02259693</v>
      </c>
      <c r="I32" s="18" t="n">
        <v>0</v>
      </c>
      <c r="J32" s="20" t="n">
        <v>0</v>
      </c>
      <c r="K32" s="18" t="n">
        <v>0</v>
      </c>
      <c r="L32" s="20" t="n">
        <v>0</v>
      </c>
      <c r="M32" s="18" t="n">
        <v>0</v>
      </c>
      <c r="N32" s="20" t="n">
        <v>0</v>
      </c>
      <c r="O32" s="18" t="n">
        <v>0</v>
      </c>
      <c r="P32" s="20" t="n">
        <v>0</v>
      </c>
      <c r="Q32" s="18" t="n">
        <v>0.2884973</v>
      </c>
      <c r="R32" s="20" t="n">
        <v>0.1575894</v>
      </c>
    </row>
    <row r="33" spans="1:18">
      <c r="A33" s="15" t="s">
        <v>591</v>
      </c>
      <c r="B33" s="17" t="n">
        <v>7325</v>
      </c>
      <c r="C33" s="18">
        <f>(5670.0/B33*100)</f>
        <v/>
      </c>
      <c r="D33" s="19" t="n">
        <v>1655</v>
      </c>
      <c r="E33" s="18" t="n">
        <v>17.59962937</v>
      </c>
      <c r="F33" s="20" t="n">
        <v>1.1056235</v>
      </c>
      <c r="G33" s="18" t="n">
        <v>81.81045425000001</v>
      </c>
      <c r="H33" s="20" t="n">
        <v>1.11959324</v>
      </c>
      <c r="I33" s="18" t="n">
        <v>0</v>
      </c>
      <c r="J33" s="20" t="n">
        <v>0</v>
      </c>
      <c r="K33" s="18" t="n">
        <v>0.02325518</v>
      </c>
      <c r="L33" s="20" t="n">
        <v>0.02882126</v>
      </c>
      <c r="M33" s="18" t="n">
        <v>0</v>
      </c>
      <c r="N33" s="20" t="n">
        <v>0</v>
      </c>
      <c r="O33" s="18" t="n">
        <v>0</v>
      </c>
      <c r="P33" s="20" t="n">
        <v>0</v>
      </c>
      <c r="Q33" s="18" t="n">
        <v>0.5666612</v>
      </c>
      <c r="R33" s="20" t="n">
        <v>0.25087229</v>
      </c>
    </row>
    <row r="34" spans="1:18">
      <c r="A34" s="15" t="s">
        <v>592</v>
      </c>
      <c r="B34" s="17" t="n">
        <v>6350</v>
      </c>
      <c r="C34" s="18">
        <f>(5016.0/B34*100)</f>
        <v/>
      </c>
      <c r="D34" s="19" t="n">
        <v>1334</v>
      </c>
      <c r="E34" s="18" t="n">
        <v>23.8519932</v>
      </c>
      <c r="F34" s="20" t="n">
        <v>1.33758876</v>
      </c>
      <c r="G34" s="18" t="n">
        <v>75.44749292</v>
      </c>
      <c r="H34" s="20" t="n">
        <v>1.42039544</v>
      </c>
      <c r="I34" s="18" t="n">
        <v>0</v>
      </c>
      <c r="J34" s="20" t="n">
        <v>0</v>
      </c>
      <c r="K34" s="18" t="n">
        <v>0.06608057000000001</v>
      </c>
      <c r="L34" s="20" t="n">
        <v>0.06868707</v>
      </c>
      <c r="M34" s="18" t="n">
        <v>0</v>
      </c>
      <c r="N34" s="20" t="n">
        <v>0</v>
      </c>
      <c r="O34" s="18" t="n">
        <v>0</v>
      </c>
      <c r="P34" s="20" t="n">
        <v>0</v>
      </c>
      <c r="Q34" s="18" t="n">
        <v>0.63443332</v>
      </c>
      <c r="R34" s="20" t="n">
        <v>0.20778561</v>
      </c>
    </row>
    <row r="35" spans="1:18">
      <c r="A35" s="15" t="s">
        <v>593</v>
      </c>
      <c r="B35" s="17" t="n">
        <v>6406</v>
      </c>
      <c r="C35" s="18">
        <f>(5058.0/B35*100)</f>
        <v/>
      </c>
      <c r="D35" s="19" t="n">
        <v>1348</v>
      </c>
      <c r="E35" s="18" t="n">
        <v>15.13304872</v>
      </c>
      <c r="F35" s="20" t="n">
        <v>1.22120298</v>
      </c>
      <c r="G35" s="18" t="n">
        <v>84.70979757000001</v>
      </c>
      <c r="H35" s="20" t="n">
        <v>1.22559663</v>
      </c>
      <c r="I35" s="18" t="n">
        <v>0</v>
      </c>
      <c r="J35" s="20" t="n">
        <v>0</v>
      </c>
      <c r="K35" s="18" t="n">
        <v>0.09503691</v>
      </c>
      <c r="L35" s="20" t="n">
        <v>0.07051590000000001</v>
      </c>
      <c r="M35" s="18" t="n">
        <v>0</v>
      </c>
      <c r="N35" s="20" t="n">
        <v>0</v>
      </c>
      <c r="O35" s="18" t="n">
        <v>0</v>
      </c>
      <c r="P35" s="20" t="n">
        <v>0</v>
      </c>
      <c r="Q35" s="18" t="n">
        <v>0.06211679</v>
      </c>
      <c r="R35" s="20" t="n">
        <v>0.04444838</v>
      </c>
    </row>
    <row r="36" spans="1:18">
      <c r="A36" s="15" t="s">
        <v>594</v>
      </c>
      <c r="B36" s="17" t="n">
        <v>6736</v>
      </c>
      <c r="C36" s="18">
        <f>(5253.0/B36*100)</f>
        <v/>
      </c>
      <c r="D36" s="19" t="n">
        <v>1483</v>
      </c>
      <c r="E36" s="18" t="n">
        <v>21.14286738</v>
      </c>
      <c r="F36" s="20" t="n">
        <v>1.18618149</v>
      </c>
      <c r="G36" s="18" t="n">
        <v>78.22986514999999</v>
      </c>
      <c r="H36" s="20" t="n">
        <v>1.23107797</v>
      </c>
      <c r="I36" s="18" t="n">
        <v>0</v>
      </c>
      <c r="J36" s="20" t="n">
        <v>0</v>
      </c>
      <c r="K36" s="18" t="n">
        <v>0.20006598</v>
      </c>
      <c r="L36" s="20" t="n">
        <v>0.13455388</v>
      </c>
      <c r="M36" s="18" t="n">
        <v>0</v>
      </c>
      <c r="N36" s="20" t="n">
        <v>0</v>
      </c>
      <c r="O36" s="18" t="n">
        <v>0</v>
      </c>
      <c r="P36" s="20" t="n">
        <v>0</v>
      </c>
      <c r="Q36" s="18" t="n">
        <v>0.42720149</v>
      </c>
      <c r="R36" s="20" t="n">
        <v>0.18512726</v>
      </c>
    </row>
    <row r="37" spans="1:18">
      <c r="A37" s="15" t="s">
        <v>595</v>
      </c>
      <c r="B37" s="17" t="n">
        <v>5458</v>
      </c>
      <c r="C37" s="18">
        <f>(4269.0/B37*100)</f>
        <v/>
      </c>
      <c r="D37" s="19" t="n">
        <v>1189</v>
      </c>
      <c r="E37" s="18" t="n">
        <v>17.96493726</v>
      </c>
      <c r="F37" s="20" t="n">
        <v>1.18802997</v>
      </c>
      <c r="G37" s="18" t="n">
        <v>81.03776320999999</v>
      </c>
      <c r="H37" s="20" t="n">
        <v>1.20294578</v>
      </c>
      <c r="I37" s="18" t="n">
        <v>0</v>
      </c>
      <c r="J37" s="20" t="n">
        <v>0</v>
      </c>
      <c r="K37" s="18" t="n">
        <v>0.24945123</v>
      </c>
      <c r="L37" s="20" t="n">
        <v>0.14587256</v>
      </c>
      <c r="M37" s="18" t="n">
        <v>0</v>
      </c>
      <c r="N37" s="20" t="n">
        <v>0</v>
      </c>
      <c r="O37" s="18" t="n">
        <v>0</v>
      </c>
      <c r="P37" s="20" t="n">
        <v>0</v>
      </c>
      <c r="Q37" s="18" t="n">
        <v>0.7478483</v>
      </c>
      <c r="R37" s="20" t="n">
        <v>0.29274875</v>
      </c>
    </row>
    <row r="38" spans="1:18">
      <c r="A38" s="15" t="s">
        <v>596</v>
      </c>
      <c r="B38" s="17" t="n">
        <v>5860</v>
      </c>
      <c r="C38" s="18">
        <f>(4570.0/B38*100)</f>
        <v/>
      </c>
      <c r="D38" s="19" t="n">
        <v>1290</v>
      </c>
      <c r="E38" s="18" t="n">
        <v>18.08498637</v>
      </c>
      <c r="F38" s="20" t="n">
        <v>1.3200718</v>
      </c>
      <c r="G38" s="18" t="n">
        <v>81.15438219000001</v>
      </c>
      <c r="H38" s="20" t="n">
        <v>1.29462671</v>
      </c>
      <c r="I38" s="18" t="n">
        <v>0</v>
      </c>
      <c r="J38" s="20" t="n">
        <v>0</v>
      </c>
      <c r="K38" s="18" t="n">
        <v>0.17123064</v>
      </c>
      <c r="L38" s="20" t="n">
        <v>0.11372177</v>
      </c>
      <c r="M38" s="18" t="n">
        <v>0</v>
      </c>
      <c r="N38" s="20" t="n">
        <v>0</v>
      </c>
      <c r="O38" s="18" t="n">
        <v>0</v>
      </c>
      <c r="P38" s="20" t="n">
        <v>0</v>
      </c>
      <c r="Q38" s="18" t="n">
        <v>0.5894007999999999</v>
      </c>
      <c r="R38" s="20" t="n">
        <v>0.18743413</v>
      </c>
    </row>
    <row r="39" spans="1:18">
      <c r="A39" s="15" t="s">
        <v>597</v>
      </c>
      <c r="B39" s="17" t="n">
        <v>5895</v>
      </c>
      <c r="C39" s="18">
        <f>(4574.0/B39*100)</f>
        <v/>
      </c>
      <c r="D39" s="19" t="n">
        <v>1321</v>
      </c>
      <c r="E39" s="18" t="n">
        <v>38.12716762</v>
      </c>
      <c r="F39" s="20" t="n">
        <v>1.99060547</v>
      </c>
      <c r="G39" s="18" t="n">
        <v>61.15217059</v>
      </c>
      <c r="H39" s="20" t="n">
        <v>2.0085465</v>
      </c>
      <c r="I39" s="18" t="n">
        <v>0</v>
      </c>
      <c r="J39" s="20" t="n">
        <v>0</v>
      </c>
      <c r="K39" s="18" t="n">
        <v>0</v>
      </c>
      <c r="L39" s="20" t="n">
        <v>0</v>
      </c>
      <c r="M39" s="18" t="n">
        <v>0</v>
      </c>
      <c r="N39" s="20" t="n">
        <v>0</v>
      </c>
      <c r="O39" s="18" t="n">
        <v>0</v>
      </c>
      <c r="P39" s="20" t="n">
        <v>0</v>
      </c>
      <c r="Q39" s="18" t="n">
        <v>0.7206618</v>
      </c>
      <c r="R39" s="20" t="n">
        <v>0.2713041</v>
      </c>
    </row>
    <row r="40" spans="1:18">
      <c r="A40" s="15" t="s">
        <v>598</v>
      </c>
      <c r="B40" s="17" t="n">
        <v>14157</v>
      </c>
      <c r="C40" s="18">
        <f>(10995.0/B40*100)</f>
        <v/>
      </c>
      <c r="D40" s="19" t="n">
        <v>3162</v>
      </c>
      <c r="E40" s="18" t="n">
        <v>14.02476403</v>
      </c>
      <c r="F40" s="20" t="n">
        <v>1.20604967</v>
      </c>
      <c r="G40" s="18" t="n">
        <v>84.68760198</v>
      </c>
      <c r="H40" s="20" t="n">
        <v>1.27250077</v>
      </c>
      <c r="I40" s="18" t="n">
        <v>0</v>
      </c>
      <c r="J40" s="20" t="n">
        <v>0</v>
      </c>
      <c r="K40" s="18" t="n">
        <v>0.11023573</v>
      </c>
      <c r="L40" s="20" t="n">
        <v>0.10949759</v>
      </c>
      <c r="M40" s="18" t="n">
        <v>0</v>
      </c>
      <c r="N40" s="20" t="n">
        <v>0</v>
      </c>
      <c r="O40" s="18" t="n">
        <v>0</v>
      </c>
      <c r="P40" s="20" t="n">
        <v>0</v>
      </c>
      <c r="Q40" s="18" t="n">
        <v>1.17739825</v>
      </c>
      <c r="R40" s="20" t="n">
        <v>0.38745673</v>
      </c>
    </row>
    <row r="41" spans="1:18">
      <c r="A41" s="15" t="s">
        <v>599</v>
      </c>
      <c r="B41" s="17" t="n">
        <v>5712</v>
      </c>
      <c r="C41" s="18">
        <f>(4487.0/B41*100)</f>
        <v/>
      </c>
      <c r="D41" s="19" t="n">
        <v>1225</v>
      </c>
      <c r="E41" s="18" t="n">
        <v>12.97234521</v>
      </c>
      <c r="F41" s="20" t="n">
        <v>1.14503844</v>
      </c>
      <c r="G41" s="18" t="n">
        <v>86.48342766</v>
      </c>
      <c r="H41" s="20" t="n">
        <v>1.26146598</v>
      </c>
      <c r="I41" s="18" t="n">
        <v>0</v>
      </c>
      <c r="J41" s="20" t="n">
        <v>0</v>
      </c>
      <c r="K41" s="18" t="n">
        <v>0.08034714</v>
      </c>
      <c r="L41" s="20" t="n">
        <v>0.07761017000000001</v>
      </c>
      <c r="M41" s="18" t="n">
        <v>0</v>
      </c>
      <c r="N41" s="20" t="n">
        <v>0</v>
      </c>
      <c r="O41" s="18" t="n">
        <v>0</v>
      </c>
      <c r="P41" s="20" t="n">
        <v>0</v>
      </c>
      <c r="Q41" s="18" t="n">
        <v>0.46387998</v>
      </c>
      <c r="R41" s="20" t="n">
        <v>0.29404231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(18931.0/B46*100)</f>
        <v/>
      </c>
      <c r="D46" s="19" t="n">
        <v>4210</v>
      </c>
      <c r="E46" s="18" t="n">
        <v>45.13912558</v>
      </c>
      <c r="F46" s="20" t="n">
        <v>1.15493109</v>
      </c>
      <c r="G46" s="18" t="n">
        <v>52.46958203</v>
      </c>
      <c r="H46" s="20" t="n">
        <v>1.24780667</v>
      </c>
      <c r="I46" s="18" t="n">
        <v>0</v>
      </c>
      <c r="J46" s="20" t="n">
        <v>0</v>
      </c>
      <c r="K46" s="18" t="n">
        <v>0.58843879</v>
      </c>
      <c r="L46" s="20" t="n">
        <v>0.19562355</v>
      </c>
      <c r="M46" s="18" t="n">
        <v>0</v>
      </c>
      <c r="N46" s="20" t="n">
        <v>0</v>
      </c>
      <c r="O46" s="18" t="n">
        <v>0</v>
      </c>
      <c r="P46" s="20" t="n">
        <v>0</v>
      </c>
      <c r="Q46" s="18" t="n">
        <v>1.8028536</v>
      </c>
      <c r="R46" s="20" t="n">
        <v>0.30947976</v>
      </c>
    </row>
    <row r="47" spans="1:18">
      <c r="A47" s="15" t="s">
        <v>606</v>
      </c>
      <c r="B47" s="17" t="n">
        <v>5928</v>
      </c>
      <c r="C47" s="18">
        <f>(4592.0/B47*100)</f>
        <v/>
      </c>
      <c r="D47" s="19" t="n">
        <v>1336</v>
      </c>
      <c r="E47" s="18" t="n">
        <v>34.58989661</v>
      </c>
      <c r="F47" s="20" t="n">
        <v>1.67624422</v>
      </c>
      <c r="G47" s="18" t="n">
        <v>64.40400452999999</v>
      </c>
      <c r="H47" s="20" t="n">
        <v>1.76474277</v>
      </c>
      <c r="I47" s="18" t="n">
        <v>0</v>
      </c>
      <c r="J47" s="20" t="n">
        <v>0</v>
      </c>
      <c r="K47" s="18" t="n">
        <v>0.28568374</v>
      </c>
      <c r="L47" s="20" t="n">
        <v>0.10399772</v>
      </c>
      <c r="M47" s="18" t="n">
        <v>0</v>
      </c>
      <c r="N47" s="20" t="n">
        <v>0</v>
      </c>
      <c r="O47" s="18" t="n">
        <v>0</v>
      </c>
      <c r="P47" s="20" t="n">
        <v>0</v>
      </c>
      <c r="Q47" s="18" t="n">
        <v>0.72041512</v>
      </c>
      <c r="R47" s="20" t="n">
        <v>0.24806527</v>
      </c>
    </row>
    <row r="48" spans="1:18">
      <c r="A48" s="15" t="s">
        <v>607</v>
      </c>
      <c r="B48" s="17" t="n">
        <v>9841</v>
      </c>
      <c r="C48" s="18">
        <f>(7673.0/B48*100)</f>
        <v/>
      </c>
      <c r="D48" s="19" t="n">
        <v>2168</v>
      </c>
      <c r="E48" s="18" t="n">
        <v>18.60852812</v>
      </c>
      <c r="F48" s="20" t="n">
        <v>1.78125507</v>
      </c>
      <c r="G48" s="18" t="n">
        <v>80.92834293999999</v>
      </c>
      <c r="H48" s="20" t="n">
        <v>1.79438182</v>
      </c>
      <c r="I48" s="18" t="n">
        <v>0</v>
      </c>
      <c r="J48" s="20" t="n">
        <v>0</v>
      </c>
      <c r="K48" s="18" t="n">
        <v>0.07959637999999999</v>
      </c>
      <c r="L48" s="20" t="n">
        <v>0.07934167</v>
      </c>
      <c r="M48" s="18" t="n">
        <v>0</v>
      </c>
      <c r="N48" s="20" t="n">
        <v>0</v>
      </c>
      <c r="O48" s="18" t="n">
        <v>0</v>
      </c>
      <c r="P48" s="20" t="n">
        <v>0</v>
      </c>
      <c r="Q48" s="18" t="n">
        <v>0.38353257</v>
      </c>
      <c r="R48" s="20" t="n">
        <v>0.16312315</v>
      </c>
    </row>
    <row r="49" spans="1:18">
      <c r="A49" s="15" t="s">
        <v>608</v>
      </c>
      <c r="B49" s="17" t="n">
        <v>11795</v>
      </c>
      <c r="C49" s="18">
        <f>(9198.0/B49*100)</f>
        <v/>
      </c>
      <c r="D49" s="19" t="n">
        <v>2597</v>
      </c>
      <c r="E49" s="18" t="n">
        <v>41.47750638</v>
      </c>
      <c r="F49" s="20" t="n">
        <v>1.41413379</v>
      </c>
      <c r="G49" s="18" t="n">
        <v>57.03260412</v>
      </c>
      <c r="H49" s="20" t="n">
        <v>1.43195526</v>
      </c>
      <c r="I49" s="18" t="n">
        <v>0</v>
      </c>
      <c r="J49" s="20" t="n">
        <v>0</v>
      </c>
      <c r="K49" s="18" t="n">
        <v>0.56385764</v>
      </c>
      <c r="L49" s="20" t="n">
        <v>0.22876522</v>
      </c>
      <c r="M49" s="18" t="n">
        <v>0</v>
      </c>
      <c r="N49" s="20" t="n">
        <v>0</v>
      </c>
      <c r="O49" s="18" t="n">
        <v>0</v>
      </c>
      <c r="P49" s="20" t="n">
        <v>0</v>
      </c>
      <c r="Q49" s="18" t="n">
        <v>0.92603186</v>
      </c>
      <c r="R49" s="20" t="n">
        <v>0.24829247</v>
      </c>
    </row>
    <row r="50" spans="1:18">
      <c r="A50" s="15" t="s">
        <v>609</v>
      </c>
      <c r="B50" s="17" t="n">
        <v>6866</v>
      </c>
      <c r="C50" s="18">
        <f>(5605.0/B50*100)</f>
        <v/>
      </c>
      <c r="D50" s="19" t="n">
        <v>1261</v>
      </c>
      <c r="E50" s="18" t="n">
        <v>37.43609519</v>
      </c>
      <c r="F50" s="20" t="n">
        <v>1.58045726</v>
      </c>
      <c r="G50" s="18" t="n">
        <v>61.3184241</v>
      </c>
      <c r="H50" s="20" t="n">
        <v>1.58480165</v>
      </c>
      <c r="I50" s="18" t="n">
        <v>0</v>
      </c>
      <c r="J50" s="20" t="n">
        <v>0</v>
      </c>
      <c r="K50" s="18" t="n">
        <v>0.13287492</v>
      </c>
      <c r="L50" s="20" t="n">
        <v>0.09457559</v>
      </c>
      <c r="M50" s="18" t="n">
        <v>0</v>
      </c>
      <c r="N50" s="20" t="n">
        <v>0</v>
      </c>
      <c r="O50" s="18" t="n">
        <v>0</v>
      </c>
      <c r="P50" s="20" t="n">
        <v>0</v>
      </c>
      <c r="Q50" s="18" t="n">
        <v>1.11260579</v>
      </c>
      <c r="R50" s="20" t="n">
        <v>0.2626149</v>
      </c>
    </row>
    <row r="51" spans="1:18">
      <c r="A51" s="15" t="s">
        <v>610</v>
      </c>
      <c r="B51" s="17" t="n">
        <v>5809</v>
      </c>
      <c r="C51" s="18">
        <f>(4523.0/B51*100)</f>
        <v/>
      </c>
      <c r="D51" s="19" t="n">
        <v>1286</v>
      </c>
      <c r="E51" s="18" t="n">
        <v>25.38983522</v>
      </c>
      <c r="F51" s="20" t="n">
        <v>1.31567761</v>
      </c>
      <c r="G51" s="18" t="n">
        <v>74.28195958000001</v>
      </c>
      <c r="H51" s="20" t="n">
        <v>1.32959321</v>
      </c>
      <c r="I51" s="18" t="n">
        <v>0</v>
      </c>
      <c r="J51" s="20" t="n">
        <v>0</v>
      </c>
      <c r="K51" s="18" t="n">
        <v>0</v>
      </c>
      <c r="L51" s="20" t="n">
        <v>0</v>
      </c>
      <c r="M51" s="18" t="n">
        <v>0</v>
      </c>
      <c r="N51" s="20" t="n">
        <v>0</v>
      </c>
      <c r="O51" s="18" t="n">
        <v>0</v>
      </c>
      <c r="P51" s="20" t="n">
        <v>0</v>
      </c>
      <c r="Q51" s="18" t="n">
        <v>0.32820521</v>
      </c>
      <c r="R51" s="20" t="n">
        <v>0.16893704</v>
      </c>
    </row>
    <row r="52" spans="1:18">
      <c r="A52" s="15" t="s">
        <v>611</v>
      </c>
      <c r="B52" s="17" t="n">
        <v>5571</v>
      </c>
      <c r="C52" s="18">
        <f>(4285.0/B52*100)</f>
        <v/>
      </c>
      <c r="D52" s="19" t="n">
        <v>1286</v>
      </c>
      <c r="E52" s="18" t="n">
        <v>31.81627751</v>
      </c>
      <c r="F52" s="20" t="n">
        <v>1.27238199</v>
      </c>
      <c r="G52" s="18" t="n">
        <v>66.98533967</v>
      </c>
      <c r="H52" s="20" t="n">
        <v>1.20870109</v>
      </c>
      <c r="I52" s="18" t="n">
        <v>0</v>
      </c>
      <c r="J52" s="20" t="n">
        <v>0</v>
      </c>
      <c r="K52" s="18" t="n">
        <v>0.3881526</v>
      </c>
      <c r="L52" s="20" t="n">
        <v>0.17694992</v>
      </c>
      <c r="M52" s="18" t="n">
        <v>0</v>
      </c>
      <c r="N52" s="20" t="n">
        <v>0</v>
      </c>
      <c r="O52" s="18" t="n">
        <v>0</v>
      </c>
      <c r="P52" s="20" t="n">
        <v>0</v>
      </c>
      <c r="Q52" s="18" t="n">
        <v>0.81023022</v>
      </c>
      <c r="R52" s="20" t="n">
        <v>0.27403358</v>
      </c>
    </row>
    <row r="53" spans="1:18">
      <c r="A53" s="15" t="s">
        <v>612</v>
      </c>
      <c r="B53" s="17" t="n">
        <v>4740</v>
      </c>
      <c r="C53" s="18">
        <f>(3697.0/B53*100)</f>
        <v/>
      </c>
      <c r="D53" s="19" t="n">
        <v>1043</v>
      </c>
      <c r="E53" s="18" t="n">
        <v>58.28722117</v>
      </c>
      <c r="F53" s="20" t="n">
        <v>1.79659344</v>
      </c>
      <c r="G53" s="18" t="n">
        <v>31.06616871</v>
      </c>
      <c r="H53" s="20" t="n">
        <v>1.99075697</v>
      </c>
      <c r="I53" s="18" t="n">
        <v>0</v>
      </c>
      <c r="J53" s="20" t="n">
        <v>0</v>
      </c>
      <c r="K53" s="18" t="n">
        <v>6.81937509</v>
      </c>
      <c r="L53" s="20" t="n">
        <v>0.81721143</v>
      </c>
      <c r="M53" s="18" t="n">
        <v>0</v>
      </c>
      <c r="N53" s="20" t="n">
        <v>0</v>
      </c>
      <c r="O53" s="18" t="n">
        <v>0</v>
      </c>
      <c r="P53" s="20" t="n">
        <v>0</v>
      </c>
      <c r="Q53" s="18" t="n">
        <v>3.82723503</v>
      </c>
      <c r="R53" s="20" t="n">
        <v>0.81444448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(4237.0/B55*100)</f>
        <v/>
      </c>
      <c r="D55" s="19" t="n">
        <v>1122</v>
      </c>
      <c r="E55" s="18" t="n">
        <v>13.34174423</v>
      </c>
      <c r="F55" s="20" t="n">
        <v>1.14893873</v>
      </c>
      <c r="G55" s="18" t="n">
        <v>86.23901991</v>
      </c>
      <c r="H55" s="20" t="n">
        <v>1.17690411</v>
      </c>
      <c r="I55" s="18" t="n">
        <v>0</v>
      </c>
      <c r="J55" s="20" t="n">
        <v>0</v>
      </c>
      <c r="K55" s="18" t="n">
        <v>0.07822394000000001</v>
      </c>
      <c r="L55" s="20" t="n">
        <v>0.08017539999999999</v>
      </c>
      <c r="M55" s="18" t="n">
        <v>0</v>
      </c>
      <c r="N55" s="20" t="n">
        <v>0</v>
      </c>
      <c r="O55" s="18" t="n">
        <v>0</v>
      </c>
      <c r="P55" s="20" t="n">
        <v>0</v>
      </c>
      <c r="Q55" s="18" t="n">
        <v>0.34101192</v>
      </c>
      <c r="R55" s="20" t="n">
        <v>0.18134681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(5090.0/B61*100)</f>
        <v/>
      </c>
      <c r="D61" s="19" t="n">
        <v>1435</v>
      </c>
      <c r="E61" s="18" t="n">
        <v>23.31775061</v>
      </c>
      <c r="F61" s="20" t="n">
        <v>1.13743631</v>
      </c>
      <c r="G61" s="18" t="n">
        <v>76.0369482</v>
      </c>
      <c r="H61" s="20" t="n">
        <v>1.16081466</v>
      </c>
      <c r="I61" s="18" t="n">
        <v>0</v>
      </c>
      <c r="J61" s="20" t="n">
        <v>0</v>
      </c>
      <c r="K61" s="18" t="n">
        <v>0.08122628</v>
      </c>
      <c r="L61" s="20" t="n">
        <v>0.07553840000000001</v>
      </c>
      <c r="M61" s="18" t="n">
        <v>0</v>
      </c>
      <c r="N61" s="20" t="n">
        <v>0</v>
      </c>
      <c r="O61" s="18" t="n">
        <v>0</v>
      </c>
      <c r="P61" s="20" t="n">
        <v>0</v>
      </c>
      <c r="Q61" s="18" t="n">
        <v>0.5640749</v>
      </c>
      <c r="R61" s="20" t="n">
        <v>0.28434113</v>
      </c>
    </row>
    <row r="62" spans="1:18">
      <c r="A62" s="15" t="s">
        <v>622</v>
      </c>
      <c r="B62" s="17" t="n">
        <v>4476</v>
      </c>
      <c r="C62" s="18">
        <f>(3480.0/B62*100)</f>
        <v/>
      </c>
      <c r="D62" s="19" t="n">
        <v>996</v>
      </c>
      <c r="E62" s="18" t="n">
        <v>10.77379622</v>
      </c>
      <c r="F62" s="20" t="n">
        <v>1.04147165</v>
      </c>
      <c r="G62" s="18" t="n">
        <v>89.12311027</v>
      </c>
      <c r="H62" s="20" t="n">
        <v>1.05550022</v>
      </c>
      <c r="I62" s="18" t="n">
        <v>0</v>
      </c>
      <c r="J62" s="20" t="n">
        <v>0</v>
      </c>
      <c r="K62" s="18" t="n">
        <v>0.1030935</v>
      </c>
      <c r="L62" s="20" t="n">
        <v>0.10314227</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(4427.0/B67*100)</f>
        <v/>
      </c>
      <c r="D67" s="19" t="n">
        <v>1238</v>
      </c>
      <c r="E67" s="18" t="n">
        <v>38.58009433</v>
      </c>
      <c r="F67" s="20" t="n">
        <v>1.47398785</v>
      </c>
      <c r="G67" s="18" t="n">
        <v>59.25259671</v>
      </c>
      <c r="H67" s="20" t="n">
        <v>1.48074112</v>
      </c>
      <c r="I67" s="18" t="n">
        <v>0</v>
      </c>
      <c r="J67" s="20" t="n">
        <v>0</v>
      </c>
      <c r="K67" s="18" t="n">
        <v>0.15466063</v>
      </c>
      <c r="L67" s="20" t="n">
        <v>0.1082276</v>
      </c>
      <c r="M67" s="18" t="n">
        <v>0</v>
      </c>
      <c r="N67" s="20" t="n">
        <v>0</v>
      </c>
      <c r="O67" s="18" t="n">
        <v>0</v>
      </c>
      <c r="P67" s="20" t="n">
        <v>0</v>
      </c>
      <c r="Q67" s="18" t="n">
        <v>2.01264833</v>
      </c>
      <c r="R67" s="20" t="n">
        <v>0.3247013</v>
      </c>
    </row>
    <row r="68" spans="1:18">
      <c r="A68" s="15" t="s">
        <v>628</v>
      </c>
      <c r="B68" s="17" t="n">
        <v>6971</v>
      </c>
      <c r="C68" s="18">
        <f>(5545.0/B68*100)</f>
        <v/>
      </c>
      <c r="D68" s="19" t="n">
        <v>1426</v>
      </c>
      <c r="E68" s="18" t="n">
        <v>45.07526929</v>
      </c>
      <c r="F68" s="20" t="n">
        <v>1.53503987</v>
      </c>
      <c r="G68" s="18" t="n">
        <v>54.07530536</v>
      </c>
      <c r="H68" s="20" t="n">
        <v>1.52049437</v>
      </c>
      <c r="I68" s="18" t="n">
        <v>0</v>
      </c>
      <c r="J68" s="20" t="n">
        <v>0</v>
      </c>
      <c r="K68" s="18" t="n">
        <v>0</v>
      </c>
      <c r="L68" s="20" t="n">
        <v>0</v>
      </c>
      <c r="M68" s="18" t="n">
        <v>0</v>
      </c>
      <c r="N68" s="20" t="n">
        <v>0</v>
      </c>
      <c r="O68" s="18" t="n">
        <v>0</v>
      </c>
      <c r="P68" s="20" t="n">
        <v>0</v>
      </c>
      <c r="Q68" s="18" t="n">
        <v>0.84942534</v>
      </c>
      <c r="R68" s="20" t="n">
        <v>0.24372184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(9377.0/B70*100)</f>
        <v/>
      </c>
      <c r="D70" s="19" t="n">
        <v>2706</v>
      </c>
      <c r="E70" s="18" t="n">
        <v>33.73397284</v>
      </c>
      <c r="F70" s="20" t="n">
        <v>0.96790715</v>
      </c>
      <c r="G70" s="18" t="n">
        <v>62.96479494</v>
      </c>
      <c r="H70" s="20" t="n">
        <v>0.97512204</v>
      </c>
      <c r="I70" s="18" t="n">
        <v>0</v>
      </c>
      <c r="J70" s="20" t="n">
        <v>0</v>
      </c>
      <c r="K70" s="18" t="n">
        <v>0.9732373</v>
      </c>
      <c r="L70" s="20" t="n">
        <v>0.1922767</v>
      </c>
      <c r="M70" s="18" t="n">
        <v>0</v>
      </c>
      <c r="N70" s="20" t="n">
        <v>0</v>
      </c>
      <c r="O70" s="18" t="n">
        <v>0</v>
      </c>
      <c r="P70" s="20" t="n">
        <v>0</v>
      </c>
      <c r="Q70" s="18" t="n">
        <v>2.32799492</v>
      </c>
      <c r="R70" s="20" t="n">
        <v>0.29933298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(4701.0/B72*100)</f>
        <v/>
      </c>
      <c r="D72" s="19" t="n">
        <v>1335</v>
      </c>
      <c r="E72" s="18" t="n">
        <v>21.02809567</v>
      </c>
      <c r="F72" s="20" t="n">
        <v>1.29456824</v>
      </c>
      <c r="G72" s="18" t="n">
        <v>78.48150649</v>
      </c>
      <c r="H72" s="20" t="n">
        <v>1.33613839</v>
      </c>
      <c r="I72" s="18" t="n">
        <v>0</v>
      </c>
      <c r="J72" s="20" t="n">
        <v>0</v>
      </c>
      <c r="K72" s="18" t="n">
        <v>0.06274564000000001</v>
      </c>
      <c r="L72" s="20" t="n">
        <v>0.0629835</v>
      </c>
      <c r="M72" s="18" t="n">
        <v>0</v>
      </c>
      <c r="N72" s="20" t="n">
        <v>0</v>
      </c>
      <c r="O72" s="18" t="n">
        <v>0</v>
      </c>
      <c r="P72" s="20" t="n">
        <v>0</v>
      </c>
      <c r="Q72" s="18" t="n">
        <v>0.4276522</v>
      </c>
      <c r="R72" s="20" t="n">
        <v>0.19286875</v>
      </c>
    </row>
    <row r="73" spans="1:18">
      <c r="A73" s="15" t="s">
        <v>633</v>
      </c>
      <c r="B73" s="17" t="n">
        <v>6115</v>
      </c>
      <c r="C73" s="18">
        <f>(4759.0/B73*100)</f>
        <v/>
      </c>
      <c r="D73" s="19" t="n">
        <v>1356</v>
      </c>
      <c r="E73" s="18" t="n">
        <v>6.72183125</v>
      </c>
      <c r="F73" s="20" t="n">
        <v>0.65341163</v>
      </c>
      <c r="G73" s="18" t="n">
        <v>93.1226568</v>
      </c>
      <c r="H73" s="20" t="n">
        <v>0.66445085</v>
      </c>
      <c r="I73" s="18" t="n">
        <v>0</v>
      </c>
      <c r="J73" s="20" t="n">
        <v>0</v>
      </c>
      <c r="K73" s="18" t="n">
        <v>0</v>
      </c>
      <c r="L73" s="20" t="n">
        <v>0</v>
      </c>
      <c r="M73" s="18" t="n">
        <v>0</v>
      </c>
      <c r="N73" s="20" t="n">
        <v>0</v>
      </c>
      <c r="O73" s="18" t="n">
        <v>0</v>
      </c>
      <c r="P73" s="20" t="n">
        <v>0</v>
      </c>
      <c r="Q73" s="18" t="n">
        <v>0.15551195</v>
      </c>
      <c r="R73" s="20" t="n">
        <v>0.1107787</v>
      </c>
    </row>
    <row r="74" spans="1:18">
      <c r="A74" s="15" t="s">
        <v>634</v>
      </c>
      <c r="B74" s="17" t="n">
        <v>7708</v>
      </c>
      <c r="C74" s="18">
        <f>(6055.0/B74*100)</f>
        <v/>
      </c>
      <c r="D74" s="19" t="n">
        <v>1653</v>
      </c>
      <c r="E74" s="18" t="n">
        <v>12.39950541</v>
      </c>
      <c r="F74" s="20" t="n">
        <v>0.79913396</v>
      </c>
      <c r="G74" s="18" t="n">
        <v>87.26115145</v>
      </c>
      <c r="H74" s="20" t="n">
        <v>0.82572454</v>
      </c>
      <c r="I74" s="18" t="n">
        <v>0</v>
      </c>
      <c r="J74" s="20" t="n">
        <v>0</v>
      </c>
      <c r="K74" s="18" t="n">
        <v>0</v>
      </c>
      <c r="L74" s="20" t="n">
        <v>0</v>
      </c>
      <c r="M74" s="18" t="n">
        <v>0</v>
      </c>
      <c r="N74" s="20" t="n">
        <v>0</v>
      </c>
      <c r="O74" s="18" t="n">
        <v>0</v>
      </c>
      <c r="P74" s="20" t="n">
        <v>0</v>
      </c>
      <c r="Q74" s="18" t="n">
        <v>0.33934314</v>
      </c>
      <c r="R74" s="20" t="n">
        <v>0.13403192</v>
      </c>
    </row>
    <row r="75" spans="1:18">
      <c r="A75" s="15" t="s">
        <v>635</v>
      </c>
      <c r="B75" s="17" t="n">
        <v>8249</v>
      </c>
      <c r="C75" s="18">
        <f>(6492.0/B75*100)</f>
        <v/>
      </c>
      <c r="D75" s="19" t="n">
        <v>1757</v>
      </c>
      <c r="E75" s="18" t="n">
        <v>30.9763593</v>
      </c>
      <c r="F75" s="20" t="n">
        <v>1.44708188</v>
      </c>
      <c r="G75" s="18" t="n">
        <v>68.80750534000001</v>
      </c>
      <c r="H75" s="20" t="n">
        <v>1.47736979</v>
      </c>
      <c r="I75" s="18" t="n">
        <v>0</v>
      </c>
      <c r="J75" s="20" t="n">
        <v>0</v>
      </c>
      <c r="K75" s="18" t="n">
        <v>0</v>
      </c>
      <c r="L75" s="20" t="n">
        <v>0</v>
      </c>
      <c r="M75" s="18" t="n">
        <v>0</v>
      </c>
      <c r="N75" s="20" t="n">
        <v>0</v>
      </c>
      <c r="O75" s="18" t="n">
        <v>0</v>
      </c>
      <c r="P75" s="20" t="n">
        <v>0</v>
      </c>
      <c r="Q75" s="18" t="n">
        <v>0.21613536</v>
      </c>
      <c r="R75" s="20" t="n">
        <v>0.12553081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(4315.0/B77*100)</f>
        <v/>
      </c>
      <c r="D77" s="19" t="n">
        <v>1060</v>
      </c>
      <c r="E77" s="18" t="n">
        <v>49.66623608</v>
      </c>
      <c r="F77" s="20" t="n">
        <v>1.67630256</v>
      </c>
      <c r="G77" s="18" t="n">
        <v>46.1740061</v>
      </c>
      <c r="H77" s="20" t="n">
        <v>1.79154761</v>
      </c>
      <c r="I77" s="18" t="n">
        <v>0</v>
      </c>
      <c r="J77" s="20" t="n">
        <v>0</v>
      </c>
      <c r="K77" s="18" t="n">
        <v>1.9310967</v>
      </c>
      <c r="L77" s="20" t="n">
        <v>0.47074659</v>
      </c>
      <c r="M77" s="18" t="n">
        <v>0</v>
      </c>
      <c r="N77" s="20" t="n">
        <v>0</v>
      </c>
      <c r="O77" s="18" t="n">
        <v>0</v>
      </c>
      <c r="P77" s="20" t="n">
        <v>0</v>
      </c>
      <c r="Q77" s="18" t="n">
        <v>2.22866112</v>
      </c>
      <c r="R77" s="20" t="n">
        <v>0.45673923</v>
      </c>
    </row>
    <row r="78" spans="1:18">
      <c r="A78" s="15" t="s">
        <v>638</v>
      </c>
      <c r="B78" s="17" t="n">
        <v>14167</v>
      </c>
      <c r="C78" s="18">
        <f>(11161.0/B78*100)</f>
        <v/>
      </c>
      <c r="D78" s="19" t="n">
        <v>3006</v>
      </c>
      <c r="E78" s="18" t="n">
        <v>27.34110079</v>
      </c>
      <c r="F78" s="20" t="n">
        <v>1.03318418</v>
      </c>
      <c r="G78" s="18" t="n">
        <v>70.74702992</v>
      </c>
      <c r="H78" s="20" t="n">
        <v>1.0603098</v>
      </c>
      <c r="I78" s="18" t="n">
        <v>0</v>
      </c>
      <c r="J78" s="20" t="n">
        <v>0</v>
      </c>
      <c r="K78" s="18" t="n">
        <v>0.55436463</v>
      </c>
      <c r="L78" s="20" t="n">
        <v>0.12760429</v>
      </c>
      <c r="M78" s="18" t="n">
        <v>0</v>
      </c>
      <c r="N78" s="20" t="n">
        <v>0</v>
      </c>
      <c r="O78" s="18" t="n">
        <v>0</v>
      </c>
      <c r="P78" s="20" t="n">
        <v>0</v>
      </c>
      <c r="Q78" s="18" t="n">
        <v>1.35750466</v>
      </c>
      <c r="R78" s="20" t="n">
        <v>0.2215033</v>
      </c>
    </row>
    <row r="79" spans="1:18">
      <c r="A79" s="15" t="s">
        <v>639</v>
      </c>
      <c r="B79" s="17" t="n">
        <v>6062</v>
      </c>
      <c r="C79" s="18">
        <f>(4717.0/B79*100)</f>
        <v/>
      </c>
      <c r="D79" s="19" t="n">
        <v>1345</v>
      </c>
      <c r="E79" s="18" t="n">
        <v>36.78722894</v>
      </c>
      <c r="F79" s="20" t="n">
        <v>1.57366048</v>
      </c>
      <c r="G79" s="18" t="n">
        <v>61.53087004</v>
      </c>
      <c r="H79" s="20" t="n">
        <v>1.53561236</v>
      </c>
      <c r="I79" s="18" t="n">
        <v>0</v>
      </c>
      <c r="J79" s="20" t="n">
        <v>0</v>
      </c>
      <c r="K79" s="18" t="n">
        <v>0.23688861</v>
      </c>
      <c r="L79" s="20" t="n">
        <v>0.14630418</v>
      </c>
      <c r="M79" s="18" t="n">
        <v>0</v>
      </c>
      <c r="N79" s="20" t="n">
        <v>0</v>
      </c>
      <c r="O79" s="18" t="n">
        <v>0</v>
      </c>
      <c r="P79" s="20" t="n">
        <v>0</v>
      </c>
      <c r="Q79" s="18" t="n">
        <v>1.44501241</v>
      </c>
      <c r="R79" s="20" t="n">
        <v>0.35146345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(25265.0/B82*100)</f>
        <v/>
      </c>
      <c r="D82" s="19" t="n">
        <v>7065</v>
      </c>
      <c r="E82" s="18" t="n">
        <v>20.02290978</v>
      </c>
      <c r="F82" s="20" t="n">
        <v>0.77067504</v>
      </c>
      <c r="G82" s="18" t="n">
        <v>79.25401263000001</v>
      </c>
      <c r="H82" s="20" t="n">
        <v>0.7765287400000001</v>
      </c>
      <c r="I82" s="18" t="n">
        <v>0</v>
      </c>
      <c r="J82" s="20" t="n">
        <v>0</v>
      </c>
      <c r="K82" s="18" t="n">
        <v>0.2277497</v>
      </c>
      <c r="L82" s="20" t="n">
        <v>0.08994046999999999</v>
      </c>
      <c r="M82" s="18" t="n">
        <v>0</v>
      </c>
      <c r="N82" s="20" t="n">
        <v>0</v>
      </c>
      <c r="O82" s="18" t="n">
        <v>0</v>
      </c>
      <c r="P82" s="20" t="n">
        <v>0</v>
      </c>
      <c r="Q82" s="18" t="n">
        <v>0.49532789</v>
      </c>
      <c r="R82" s="20" t="n">
        <v>0.09192404</v>
      </c>
    </row>
    <row r="83" spans="1:18">
      <c r="A83" s="15" t="s">
        <v>643</v>
      </c>
      <c r="B83" s="17" t="n">
        <v>1652</v>
      </c>
      <c r="C83" s="18">
        <f>(1313.0/B83*100)</f>
        <v/>
      </c>
      <c r="D83" s="19" t="n">
        <v>339</v>
      </c>
      <c r="E83" s="18" t="n">
        <v>11.43302147</v>
      </c>
      <c r="F83" s="20" t="n">
        <v>2.14967007</v>
      </c>
      <c r="G83" s="18" t="n">
        <v>88.56697853</v>
      </c>
      <c r="H83" s="20" t="n">
        <v>2.14967007</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(1499.0/B84*100)</f>
        <v/>
      </c>
      <c r="D84" s="19" t="n">
        <v>388</v>
      </c>
      <c r="E84" s="18" t="n">
        <v>12.28726661</v>
      </c>
      <c r="F84" s="20" t="n">
        <v>1.19922262</v>
      </c>
      <c r="G84" s="18" t="n">
        <v>87.18544562</v>
      </c>
      <c r="H84" s="20" t="n">
        <v>1.22860164</v>
      </c>
      <c r="I84" s="18" t="n">
        <v>0</v>
      </c>
      <c r="J84" s="20" t="n">
        <v>0</v>
      </c>
      <c r="K84" s="18" t="n">
        <v>0.23854307</v>
      </c>
      <c r="L84" s="20" t="n">
        <v>0.23577566</v>
      </c>
      <c r="M84" s="18" t="n">
        <v>0</v>
      </c>
      <c r="N84" s="20" t="n">
        <v>0</v>
      </c>
      <c r="O84" s="18" t="n">
        <v>0</v>
      </c>
      <c r="P84" s="20" t="n">
        <v>0</v>
      </c>
      <c r="Q84" s="18" t="n">
        <v>0.28874469</v>
      </c>
      <c r="R84" s="20" t="n">
        <v>0.29138605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(11379.0/B7*100)</f>
        <v/>
      </c>
      <c r="D7" s="19" t="n">
        <v>3151</v>
      </c>
      <c r="E7" s="18" t="n">
        <v>40.89056998</v>
      </c>
      <c r="F7" s="20" t="n">
        <v>1.0198294</v>
      </c>
      <c r="G7" s="18" t="n">
        <v>54.91857461</v>
      </c>
      <c r="H7" s="20" t="n">
        <v>1.07007353</v>
      </c>
      <c r="I7" s="18" t="n">
        <v>0</v>
      </c>
      <c r="J7" s="20" t="n">
        <v>0</v>
      </c>
      <c r="K7" s="18" t="n">
        <v>0.26061187</v>
      </c>
      <c r="L7" s="20" t="n">
        <v>0.11499657</v>
      </c>
      <c r="M7" s="18" t="n">
        <v>0</v>
      </c>
      <c r="N7" s="20" t="n">
        <v>0</v>
      </c>
      <c r="O7" s="18" t="n">
        <v>0</v>
      </c>
      <c r="P7" s="20" t="n">
        <v>0</v>
      </c>
      <c r="Q7" s="18" t="n">
        <v>3.93024354</v>
      </c>
      <c r="R7" s="20" t="n">
        <v>0.4105736</v>
      </c>
    </row>
    <row r="8" spans="1:18">
      <c r="A8" s="15" t="s">
        <v>566</v>
      </c>
      <c r="B8" s="17" t="n">
        <v>7007</v>
      </c>
      <c r="C8" s="18">
        <f>(5419.0/B8*100)</f>
        <v/>
      </c>
      <c r="D8" s="19" t="n">
        <v>1588</v>
      </c>
      <c r="E8" s="18" t="n">
        <v>49.9655305</v>
      </c>
      <c r="F8" s="20" t="n">
        <v>1.71335583</v>
      </c>
      <c r="G8" s="18" t="n">
        <v>46.98281517</v>
      </c>
      <c r="H8" s="20" t="n">
        <v>1.7274506</v>
      </c>
      <c r="I8" s="18" t="n">
        <v>0</v>
      </c>
      <c r="J8" s="20" t="n">
        <v>0</v>
      </c>
      <c r="K8" s="18" t="n">
        <v>0.11687032</v>
      </c>
      <c r="L8" s="20" t="n">
        <v>0.08976661</v>
      </c>
      <c r="M8" s="18" t="n">
        <v>0</v>
      </c>
      <c r="N8" s="20" t="n">
        <v>0</v>
      </c>
      <c r="O8" s="18" t="n">
        <v>0</v>
      </c>
      <c r="P8" s="20" t="n">
        <v>0</v>
      </c>
      <c r="Q8" s="18" t="n">
        <v>2.934784</v>
      </c>
      <c r="R8" s="20" t="n">
        <v>0.46510138</v>
      </c>
    </row>
    <row r="9" spans="1:18">
      <c r="A9" s="15" t="s">
        <v>567</v>
      </c>
      <c r="B9" s="17" t="n">
        <v>9651</v>
      </c>
      <c r="C9" s="18">
        <f>(7614.0/B9*100)</f>
        <v/>
      </c>
      <c r="D9" s="19" t="n">
        <v>2037</v>
      </c>
      <c r="E9" s="18" t="n">
        <v>40.39763374</v>
      </c>
      <c r="F9" s="20" t="n">
        <v>1.29420863</v>
      </c>
      <c r="G9" s="18" t="n">
        <v>55.64177723</v>
      </c>
      <c r="H9" s="20" t="n">
        <v>1.39836942</v>
      </c>
      <c r="I9" s="18" t="n">
        <v>0</v>
      </c>
      <c r="J9" s="20" t="n">
        <v>0</v>
      </c>
      <c r="K9" s="18" t="n">
        <v>0.17955887</v>
      </c>
      <c r="L9" s="20" t="n">
        <v>0.11113469</v>
      </c>
      <c r="M9" s="18" t="n">
        <v>0</v>
      </c>
      <c r="N9" s="20" t="n">
        <v>0</v>
      </c>
      <c r="O9" s="18" t="n">
        <v>0</v>
      </c>
      <c r="P9" s="20" t="n">
        <v>0</v>
      </c>
      <c r="Q9" s="18" t="n">
        <v>3.78103015</v>
      </c>
      <c r="R9" s="20" t="n">
        <v>0.56336086</v>
      </c>
    </row>
    <row r="10" spans="1:18">
      <c r="A10" s="15" t="s">
        <v>568</v>
      </c>
      <c r="B10" s="17" t="n">
        <v>20058</v>
      </c>
      <c r="C10" s="18">
        <f>(15635.0/B10*100)</f>
        <v/>
      </c>
      <c r="D10" s="19" t="n">
        <v>4423</v>
      </c>
      <c r="E10" s="18" t="n">
        <v>38.76327027</v>
      </c>
      <c r="F10" s="20" t="n">
        <v>1.0177232</v>
      </c>
      <c r="G10" s="18" t="n">
        <v>59.24280187</v>
      </c>
      <c r="H10" s="20" t="n">
        <v>1.10516277</v>
      </c>
      <c r="I10" s="18" t="n">
        <v>0</v>
      </c>
      <c r="J10" s="20" t="n">
        <v>0</v>
      </c>
      <c r="K10" s="18" t="n">
        <v>0.32588626</v>
      </c>
      <c r="L10" s="20" t="n">
        <v>0.14227296</v>
      </c>
      <c r="M10" s="18" t="n">
        <v>0</v>
      </c>
      <c r="N10" s="20" t="n">
        <v>0</v>
      </c>
      <c r="O10" s="18" t="n">
        <v>0</v>
      </c>
      <c r="P10" s="20" t="n">
        <v>0</v>
      </c>
      <c r="Q10" s="18" t="n">
        <v>1.6680416</v>
      </c>
      <c r="R10" s="20" t="n">
        <v>0.21805828</v>
      </c>
    </row>
    <row r="11" spans="1:18">
      <c r="A11" s="15" t="s">
        <v>569</v>
      </c>
      <c r="B11" s="17" t="n">
        <v>7053</v>
      </c>
      <c r="C11" s="18">
        <f>(5530.0/B11*100)</f>
        <v/>
      </c>
      <c r="D11" s="19" t="n">
        <v>1523</v>
      </c>
      <c r="E11" s="18" t="n">
        <v>59.16760561</v>
      </c>
      <c r="F11" s="20" t="n">
        <v>1.70960227</v>
      </c>
      <c r="G11" s="18" t="n">
        <v>34.52130116</v>
      </c>
      <c r="H11" s="20" t="n">
        <v>1.51716013</v>
      </c>
      <c r="I11" s="18" t="n">
        <v>0</v>
      </c>
      <c r="J11" s="20" t="n">
        <v>0</v>
      </c>
      <c r="K11" s="18" t="n">
        <v>0.22259189</v>
      </c>
      <c r="L11" s="20" t="n">
        <v>0.12625513</v>
      </c>
      <c r="M11" s="18" t="n">
        <v>0</v>
      </c>
      <c r="N11" s="20" t="n">
        <v>0</v>
      </c>
      <c r="O11" s="18" t="n">
        <v>0</v>
      </c>
      <c r="P11" s="20" t="n">
        <v>0</v>
      </c>
      <c r="Q11" s="18" t="n">
        <v>6.08850134</v>
      </c>
      <c r="R11" s="20" t="n">
        <v>0.6929635200000001</v>
      </c>
    </row>
    <row r="12" spans="1:18">
      <c r="A12" s="15" t="s">
        <v>570</v>
      </c>
      <c r="B12" s="17" t="n">
        <v>6894</v>
      </c>
      <c r="C12" s="18">
        <f>(5402.0/B12*100)</f>
        <v/>
      </c>
      <c r="D12" s="19" t="n">
        <v>1492</v>
      </c>
      <c r="E12" s="18" t="n">
        <v>45.09113069</v>
      </c>
      <c r="F12" s="20" t="n">
        <v>1.44213835</v>
      </c>
      <c r="G12" s="18" t="n">
        <v>52.18484434</v>
      </c>
      <c r="H12" s="20" t="n">
        <v>1.48907215</v>
      </c>
      <c r="I12" s="18" t="n">
        <v>0</v>
      </c>
      <c r="J12" s="20" t="n">
        <v>0</v>
      </c>
      <c r="K12" s="18" t="n">
        <v>0</v>
      </c>
      <c r="L12" s="20" t="n">
        <v>0</v>
      </c>
      <c r="M12" s="18" t="n">
        <v>0</v>
      </c>
      <c r="N12" s="20" t="n">
        <v>0</v>
      </c>
      <c r="O12" s="18" t="n">
        <v>0</v>
      </c>
      <c r="P12" s="20" t="n">
        <v>0</v>
      </c>
      <c r="Q12" s="18" t="n">
        <v>2.72402497</v>
      </c>
      <c r="R12" s="20" t="n">
        <v>0.4377316</v>
      </c>
    </row>
    <row r="13" spans="1:18">
      <c r="A13" s="15" t="s">
        <v>571</v>
      </c>
      <c r="B13" s="17" t="n">
        <v>7161</v>
      </c>
      <c r="C13" s="18">
        <f>(5637.0/B13*100)</f>
        <v/>
      </c>
      <c r="D13" s="19" t="n">
        <v>1524</v>
      </c>
      <c r="E13" s="18" t="n">
        <v>54.85388106</v>
      </c>
      <c r="F13" s="20" t="n">
        <v>1.56112028</v>
      </c>
      <c r="G13" s="18" t="n">
        <v>42.71342933</v>
      </c>
      <c r="H13" s="20" t="n">
        <v>1.58610709</v>
      </c>
      <c r="I13" s="18" t="n">
        <v>0</v>
      </c>
      <c r="J13" s="20" t="n">
        <v>0</v>
      </c>
      <c r="K13" s="18" t="n">
        <v>0.38612767</v>
      </c>
      <c r="L13" s="20" t="n">
        <v>0.21406614</v>
      </c>
      <c r="M13" s="18" t="n">
        <v>0</v>
      </c>
      <c r="N13" s="20" t="n">
        <v>0</v>
      </c>
      <c r="O13" s="18" t="n">
        <v>0</v>
      </c>
      <c r="P13" s="20" t="n">
        <v>0</v>
      </c>
      <c r="Q13" s="18" t="n">
        <v>2.04656194</v>
      </c>
      <c r="R13" s="20" t="n">
        <v>0.3538614</v>
      </c>
    </row>
    <row r="14" spans="1:18">
      <c r="A14" s="15" t="s">
        <v>572</v>
      </c>
      <c r="B14" s="17" t="n">
        <v>5587</v>
      </c>
      <c r="C14" s="18">
        <f>(4286.0/B14*100)</f>
        <v/>
      </c>
      <c r="D14" s="19" t="n">
        <v>1301</v>
      </c>
      <c r="E14" s="18" t="n">
        <v>39.46865708</v>
      </c>
      <c r="F14" s="20" t="n">
        <v>1.57490639</v>
      </c>
      <c r="G14" s="18" t="n">
        <v>58.14573311</v>
      </c>
      <c r="H14" s="20" t="n">
        <v>1.71380701</v>
      </c>
      <c r="I14" s="18" t="n">
        <v>0</v>
      </c>
      <c r="J14" s="20" t="n">
        <v>0</v>
      </c>
      <c r="K14" s="18" t="n">
        <v>0.13407289</v>
      </c>
      <c r="L14" s="20" t="n">
        <v>0.09139902</v>
      </c>
      <c r="M14" s="18" t="n">
        <v>0</v>
      </c>
      <c r="N14" s="20" t="n">
        <v>0</v>
      </c>
      <c r="O14" s="18" t="n">
        <v>0</v>
      </c>
      <c r="P14" s="20" t="n">
        <v>0</v>
      </c>
      <c r="Q14" s="18" t="n">
        <v>2.25153691</v>
      </c>
      <c r="R14" s="20" t="n">
        <v>0.47276586</v>
      </c>
    </row>
    <row r="15" spans="1:18">
      <c r="A15" s="15" t="s">
        <v>573</v>
      </c>
      <c r="B15" s="17" t="n">
        <v>5882</v>
      </c>
      <c r="C15" s="18">
        <f>(4576.0/B15*100)</f>
        <v/>
      </c>
      <c r="D15" s="19" t="n">
        <v>1306</v>
      </c>
      <c r="E15" s="18" t="n">
        <v>36.96277332</v>
      </c>
      <c r="F15" s="20" t="n">
        <v>1.24415067</v>
      </c>
      <c r="G15" s="18" t="n">
        <v>59.62501614</v>
      </c>
      <c r="H15" s="20" t="n">
        <v>1.21903801</v>
      </c>
      <c r="I15" s="18" t="n">
        <v>0</v>
      </c>
      <c r="J15" s="20" t="n">
        <v>0</v>
      </c>
      <c r="K15" s="18" t="n">
        <v>0</v>
      </c>
      <c r="L15" s="20" t="n">
        <v>0</v>
      </c>
      <c r="M15" s="18" t="n">
        <v>0</v>
      </c>
      <c r="N15" s="20" t="n">
        <v>0</v>
      </c>
      <c r="O15" s="18" t="n">
        <v>0</v>
      </c>
      <c r="P15" s="20" t="n">
        <v>0</v>
      </c>
      <c r="Q15" s="18" t="n">
        <v>3.41221054</v>
      </c>
      <c r="R15" s="20" t="n">
        <v>0.52065004</v>
      </c>
    </row>
    <row r="16" spans="1:18">
      <c r="A16" s="15" t="s">
        <v>574</v>
      </c>
      <c r="B16" s="17" t="n">
        <v>6108</v>
      </c>
      <c r="C16" s="18">
        <f>(4756.0/B16*100)</f>
        <v/>
      </c>
      <c r="D16" s="19" t="n">
        <v>1352</v>
      </c>
      <c r="E16" s="18" t="n">
        <v>42.74015136</v>
      </c>
      <c r="F16" s="20" t="n">
        <v>1.31176883</v>
      </c>
      <c r="G16" s="18" t="n">
        <v>52.29006081</v>
      </c>
      <c r="H16" s="20" t="n">
        <v>1.26878204</v>
      </c>
      <c r="I16" s="18" t="n">
        <v>0</v>
      </c>
      <c r="J16" s="20" t="n">
        <v>0</v>
      </c>
      <c r="K16" s="18" t="n">
        <v>0.69756687</v>
      </c>
      <c r="L16" s="20" t="n">
        <v>0.21131039</v>
      </c>
      <c r="M16" s="18" t="n">
        <v>0</v>
      </c>
      <c r="N16" s="20" t="n">
        <v>0</v>
      </c>
      <c r="O16" s="18" t="n">
        <v>0</v>
      </c>
      <c r="P16" s="20" t="n">
        <v>0</v>
      </c>
      <c r="Q16" s="18" t="n">
        <v>4.27222096</v>
      </c>
      <c r="R16" s="20" t="n">
        <v>0.54319348</v>
      </c>
    </row>
    <row r="17" spans="1:18">
      <c r="A17" s="15" t="s">
        <v>575</v>
      </c>
      <c r="B17" s="17" t="n">
        <v>6504</v>
      </c>
      <c r="C17" s="18">
        <f>(5087.0/B17*100)</f>
        <v/>
      </c>
      <c r="D17" s="19" t="n">
        <v>1417</v>
      </c>
      <c r="E17" s="18" t="n">
        <v>44.82191122</v>
      </c>
      <c r="F17" s="20" t="n">
        <v>1.47558671</v>
      </c>
      <c r="G17" s="18" t="n">
        <v>51.56919524</v>
      </c>
      <c r="H17" s="20" t="n">
        <v>1.55777311</v>
      </c>
      <c r="I17" s="18" t="n">
        <v>0</v>
      </c>
      <c r="J17" s="20" t="n">
        <v>0</v>
      </c>
      <c r="K17" s="18" t="n">
        <v>0</v>
      </c>
      <c r="L17" s="20" t="n">
        <v>0</v>
      </c>
      <c r="M17" s="18" t="n">
        <v>0</v>
      </c>
      <c r="N17" s="20" t="n">
        <v>0</v>
      </c>
      <c r="O17" s="18" t="n">
        <v>0</v>
      </c>
      <c r="P17" s="20" t="n">
        <v>0</v>
      </c>
      <c r="Q17" s="18" t="n">
        <v>3.60889354</v>
      </c>
      <c r="R17" s="20" t="n">
        <v>0.48507856</v>
      </c>
    </row>
    <row r="18" spans="1:18">
      <c r="A18" s="15" t="s">
        <v>576</v>
      </c>
      <c r="B18" s="17" t="n">
        <v>5532</v>
      </c>
      <c r="C18" s="18">
        <f>(4302.0/B18*100)</f>
        <v/>
      </c>
      <c r="D18" s="19" t="n">
        <v>1230</v>
      </c>
      <c r="E18" s="18" t="n">
        <v>52.75886896</v>
      </c>
      <c r="F18" s="20" t="n">
        <v>1.60791634</v>
      </c>
      <c r="G18" s="18" t="n">
        <v>42.81825747</v>
      </c>
      <c r="H18" s="20" t="n">
        <v>1.55211595</v>
      </c>
      <c r="I18" s="18" t="n">
        <v>0</v>
      </c>
      <c r="J18" s="20" t="n">
        <v>0</v>
      </c>
      <c r="K18" s="18" t="n">
        <v>0.20013653</v>
      </c>
      <c r="L18" s="20" t="n">
        <v>0.14372141</v>
      </c>
      <c r="M18" s="18" t="n">
        <v>0</v>
      </c>
      <c r="N18" s="20" t="n">
        <v>0</v>
      </c>
      <c r="O18" s="18" t="n">
        <v>0</v>
      </c>
      <c r="P18" s="20" t="n">
        <v>0</v>
      </c>
      <c r="Q18" s="18" t="n">
        <v>4.22273705</v>
      </c>
      <c r="R18" s="20" t="n">
        <v>0.51269314</v>
      </c>
    </row>
    <row r="19" spans="1:18">
      <c r="A19" s="15" t="s">
        <v>577</v>
      </c>
      <c r="B19" s="17" t="n">
        <v>5658</v>
      </c>
      <c r="C19" s="18">
        <f>(4421.0/B19*100)</f>
        <v/>
      </c>
      <c r="D19" s="19" t="n">
        <v>1237</v>
      </c>
      <c r="E19" s="18" t="n">
        <v>42.79555543</v>
      </c>
      <c r="F19" s="20" t="n">
        <v>1.63588287</v>
      </c>
      <c r="G19" s="18" t="n">
        <v>53.91034381</v>
      </c>
      <c r="H19" s="20" t="n">
        <v>1.62531645</v>
      </c>
      <c r="I19" s="18" t="n">
        <v>0</v>
      </c>
      <c r="J19" s="20" t="n">
        <v>0</v>
      </c>
      <c r="K19" s="18" t="n">
        <v>0.07450389</v>
      </c>
      <c r="L19" s="20" t="n">
        <v>0.07617786999999999</v>
      </c>
      <c r="M19" s="18" t="n">
        <v>0</v>
      </c>
      <c r="N19" s="20" t="n">
        <v>0</v>
      </c>
      <c r="O19" s="18" t="n">
        <v>0</v>
      </c>
      <c r="P19" s="20" t="n">
        <v>0</v>
      </c>
      <c r="Q19" s="18" t="n">
        <v>3.21959687</v>
      </c>
      <c r="R19" s="20" t="n">
        <v>0.5704152300000001</v>
      </c>
    </row>
    <row r="20" spans="1:18">
      <c r="A20" s="15" t="s">
        <v>578</v>
      </c>
      <c r="B20" s="17" t="n">
        <v>3371</v>
      </c>
      <c r="C20" s="18">
        <f>(2634.0/B20*100)</f>
        <v/>
      </c>
      <c r="D20" s="19" t="n">
        <v>737</v>
      </c>
      <c r="E20" s="18" t="n">
        <v>56.9878799</v>
      </c>
      <c r="F20" s="20" t="n">
        <v>1.92695633</v>
      </c>
      <c r="G20" s="18" t="n">
        <v>38.27949225</v>
      </c>
      <c r="H20" s="20" t="n">
        <v>1.9329235</v>
      </c>
      <c r="I20" s="18" t="n">
        <v>0</v>
      </c>
      <c r="J20" s="20" t="n">
        <v>0</v>
      </c>
      <c r="K20" s="18" t="n">
        <v>0.38306293</v>
      </c>
      <c r="L20" s="20" t="n">
        <v>0.22435168</v>
      </c>
      <c r="M20" s="18" t="n">
        <v>0</v>
      </c>
      <c r="N20" s="20" t="n">
        <v>0</v>
      </c>
      <c r="O20" s="18" t="n">
        <v>0</v>
      </c>
      <c r="P20" s="20" t="n">
        <v>0</v>
      </c>
      <c r="Q20" s="18" t="n">
        <v>4.34956492</v>
      </c>
      <c r="R20" s="20" t="n">
        <v>0.7643827</v>
      </c>
    </row>
    <row r="21" spans="1:18">
      <c r="A21" s="15" t="s">
        <v>579</v>
      </c>
      <c r="B21" s="17" t="n">
        <v>5741</v>
      </c>
      <c r="C21" s="18">
        <f>(4460.0/B21*100)</f>
        <v/>
      </c>
      <c r="D21" s="19" t="n">
        <v>1281</v>
      </c>
      <c r="E21" s="18" t="n">
        <v>44.38239128</v>
      </c>
      <c r="F21" s="20" t="n">
        <v>1.5306896</v>
      </c>
      <c r="G21" s="18" t="n">
        <v>53.23692619</v>
      </c>
      <c r="H21" s="20" t="n">
        <v>1.49461374</v>
      </c>
      <c r="I21" s="18" t="n">
        <v>0</v>
      </c>
      <c r="J21" s="20" t="n">
        <v>0</v>
      </c>
      <c r="K21" s="18" t="n">
        <v>0.08381653999999999</v>
      </c>
      <c r="L21" s="20" t="n">
        <v>0.09003656</v>
      </c>
      <c r="M21" s="18" t="n">
        <v>0</v>
      </c>
      <c r="N21" s="20" t="n">
        <v>0</v>
      </c>
      <c r="O21" s="18" t="n">
        <v>0</v>
      </c>
      <c r="P21" s="20" t="n">
        <v>0</v>
      </c>
      <c r="Q21" s="18" t="n">
        <v>2.296866</v>
      </c>
      <c r="R21" s="20" t="n">
        <v>0.46543024</v>
      </c>
    </row>
    <row r="22" spans="1:18">
      <c r="A22" s="15" t="s">
        <v>580</v>
      </c>
      <c r="B22" s="17" t="n">
        <v>6598</v>
      </c>
      <c r="C22" s="18">
        <f>(5127.0/B22*100)</f>
        <v/>
      </c>
      <c r="D22" s="19" t="n">
        <v>1471</v>
      </c>
      <c r="E22" s="18" t="n">
        <v>46.35664059</v>
      </c>
      <c r="F22" s="20" t="n">
        <v>1.70467921</v>
      </c>
      <c r="G22" s="18" t="n">
        <v>47.27073498</v>
      </c>
      <c r="H22" s="20" t="n">
        <v>1.795636</v>
      </c>
      <c r="I22" s="18" t="n">
        <v>0</v>
      </c>
      <c r="J22" s="20" t="n">
        <v>0</v>
      </c>
      <c r="K22" s="18" t="n">
        <v>0.1640569</v>
      </c>
      <c r="L22" s="20" t="n">
        <v>0.13066451</v>
      </c>
      <c r="M22" s="18" t="n">
        <v>0</v>
      </c>
      <c r="N22" s="20" t="n">
        <v>0</v>
      </c>
      <c r="O22" s="18" t="n">
        <v>0</v>
      </c>
      <c r="P22" s="20" t="n">
        <v>0</v>
      </c>
      <c r="Q22" s="18" t="n">
        <v>6.20856753</v>
      </c>
      <c r="R22" s="20" t="n">
        <v>0.7155183000000001</v>
      </c>
    </row>
    <row r="23" spans="1:18">
      <c r="A23" s="15" t="s">
        <v>581</v>
      </c>
      <c r="B23" s="17" t="n">
        <v>11583</v>
      </c>
      <c r="C23" s="18">
        <f>(9048.0/B23*100)</f>
        <v/>
      </c>
      <c r="D23" s="19" t="n">
        <v>2535</v>
      </c>
      <c r="E23" s="18" t="n">
        <v>48.24600537</v>
      </c>
      <c r="F23" s="20" t="n">
        <v>1.39412781</v>
      </c>
      <c r="G23" s="18" t="n">
        <v>46.51413724</v>
      </c>
      <c r="H23" s="20" t="n">
        <v>1.49133716</v>
      </c>
      <c r="I23" s="18" t="n">
        <v>0</v>
      </c>
      <c r="J23" s="20" t="n">
        <v>0</v>
      </c>
      <c r="K23" s="18" t="n">
        <v>0.49746714</v>
      </c>
      <c r="L23" s="20" t="n">
        <v>0.24598686</v>
      </c>
      <c r="M23" s="18" t="n">
        <v>0</v>
      </c>
      <c r="N23" s="20" t="n">
        <v>0</v>
      </c>
      <c r="O23" s="18" t="n">
        <v>0</v>
      </c>
      <c r="P23" s="20" t="n">
        <v>0</v>
      </c>
      <c r="Q23" s="18" t="n">
        <v>4.74239025</v>
      </c>
      <c r="R23" s="20" t="n">
        <v>0.63429712</v>
      </c>
    </row>
    <row r="24" spans="1:18">
      <c r="A24" s="15" t="s">
        <v>582</v>
      </c>
      <c r="B24" s="17" t="n">
        <v>6647</v>
      </c>
      <c r="C24" s="18">
        <f>(5197.0/B24*100)</f>
        <v/>
      </c>
      <c r="D24" s="19" t="n">
        <v>1450</v>
      </c>
      <c r="E24" s="18" t="n">
        <v>31.26907946</v>
      </c>
      <c r="F24" s="20" t="n">
        <v>1.413552</v>
      </c>
      <c r="G24" s="18" t="n">
        <v>66.57890999</v>
      </c>
      <c r="H24" s="20" t="n">
        <v>1.48743314</v>
      </c>
      <c r="I24" s="18" t="n">
        <v>0</v>
      </c>
      <c r="J24" s="20" t="n">
        <v>0</v>
      </c>
      <c r="K24" s="18" t="n">
        <v>0.20206379</v>
      </c>
      <c r="L24" s="20" t="n">
        <v>0.11687818</v>
      </c>
      <c r="M24" s="18" t="n">
        <v>0</v>
      </c>
      <c r="N24" s="20" t="n">
        <v>0</v>
      </c>
      <c r="O24" s="18" t="n">
        <v>0</v>
      </c>
      <c r="P24" s="20" t="n">
        <v>0</v>
      </c>
      <c r="Q24" s="18" t="n">
        <v>1.94994677</v>
      </c>
      <c r="R24" s="20" t="n">
        <v>0.35327537</v>
      </c>
    </row>
    <row r="25" spans="1:18">
      <c r="A25" s="15" t="s">
        <v>583</v>
      </c>
      <c r="B25" s="17" t="n">
        <v>5581</v>
      </c>
      <c r="C25" s="18">
        <f>(4317.0/B25*100)</f>
        <v/>
      </c>
      <c r="D25" s="19" t="n">
        <v>1264</v>
      </c>
      <c r="E25" s="18" t="n">
        <v>32.01464241</v>
      </c>
      <c r="F25" s="20" t="n">
        <v>1.37134295</v>
      </c>
      <c r="G25" s="18" t="n">
        <v>65.48917537</v>
      </c>
      <c r="H25" s="20" t="n">
        <v>1.48571485</v>
      </c>
      <c r="I25" s="18" t="n">
        <v>0</v>
      </c>
      <c r="J25" s="20" t="n">
        <v>0</v>
      </c>
      <c r="K25" s="18" t="n">
        <v>0</v>
      </c>
      <c r="L25" s="20" t="n">
        <v>0</v>
      </c>
      <c r="M25" s="18" t="n">
        <v>0</v>
      </c>
      <c r="N25" s="20" t="n">
        <v>0</v>
      </c>
      <c r="O25" s="18" t="n">
        <v>0</v>
      </c>
      <c r="P25" s="20" t="n">
        <v>0</v>
      </c>
      <c r="Q25" s="18" t="n">
        <v>2.49618221</v>
      </c>
      <c r="R25" s="20" t="n">
        <v>0.46011822</v>
      </c>
    </row>
    <row r="26" spans="1:18">
      <c r="A26" s="15" t="s">
        <v>584</v>
      </c>
      <c r="B26" s="17" t="n">
        <v>4869</v>
      </c>
      <c r="C26" s="18">
        <f>(3780.0/B26*100)</f>
        <v/>
      </c>
      <c r="D26" s="19" t="n">
        <v>1089</v>
      </c>
      <c r="E26" s="18" t="n">
        <v>47.08799686</v>
      </c>
      <c r="F26" s="20" t="n">
        <v>1.70327538</v>
      </c>
      <c r="G26" s="18" t="n">
        <v>49.66585618</v>
      </c>
      <c r="H26" s="20" t="n">
        <v>1.64699973</v>
      </c>
      <c r="I26" s="18" t="n">
        <v>0</v>
      </c>
      <c r="J26" s="20" t="n">
        <v>0</v>
      </c>
      <c r="K26" s="18" t="n">
        <v>0.33349793</v>
      </c>
      <c r="L26" s="20" t="n">
        <v>0.22829111</v>
      </c>
      <c r="M26" s="18" t="n">
        <v>0</v>
      </c>
      <c r="N26" s="20" t="n">
        <v>0</v>
      </c>
      <c r="O26" s="18" t="n">
        <v>0</v>
      </c>
      <c r="P26" s="20" t="n">
        <v>0</v>
      </c>
      <c r="Q26" s="18" t="n">
        <v>2.91264904</v>
      </c>
      <c r="R26" s="20" t="n">
        <v>0.50504941</v>
      </c>
    </row>
    <row r="27" spans="1:18">
      <c r="A27" s="15" t="s">
        <v>585</v>
      </c>
      <c r="B27" s="17" t="n">
        <v>5299</v>
      </c>
      <c r="C27" s="18">
        <f>(4148.0/B27*100)</f>
        <v/>
      </c>
      <c r="D27" s="19" t="n">
        <v>1151</v>
      </c>
      <c r="E27" s="18" t="n">
        <v>53.02342067</v>
      </c>
      <c r="F27" s="20" t="n">
        <v>1.5885464</v>
      </c>
      <c r="G27" s="18" t="n">
        <v>44.42265828</v>
      </c>
      <c r="H27" s="20" t="n">
        <v>1.61027362</v>
      </c>
      <c r="I27" s="18" t="n">
        <v>0</v>
      </c>
      <c r="J27" s="20" t="n">
        <v>0</v>
      </c>
      <c r="K27" s="18" t="n">
        <v>0</v>
      </c>
      <c r="L27" s="20" t="n">
        <v>0</v>
      </c>
      <c r="M27" s="18" t="n">
        <v>0</v>
      </c>
      <c r="N27" s="20" t="n">
        <v>0</v>
      </c>
      <c r="O27" s="18" t="n">
        <v>0</v>
      </c>
      <c r="P27" s="20" t="n">
        <v>0</v>
      </c>
      <c r="Q27" s="18" t="n">
        <v>2.55392105</v>
      </c>
      <c r="R27" s="20" t="n">
        <v>0.41816085</v>
      </c>
    </row>
    <row r="28" spans="1:18">
      <c r="A28" s="15" t="s">
        <v>586</v>
      </c>
      <c r="B28" s="17" t="n">
        <v>7568</v>
      </c>
      <c r="C28" s="18">
        <f>(5899.0/B28*100)</f>
        <v/>
      </c>
      <c r="D28" s="19" t="n">
        <v>1669</v>
      </c>
      <c r="E28" s="18" t="n">
        <v>63.58272524</v>
      </c>
      <c r="F28" s="20" t="n">
        <v>1.21870762</v>
      </c>
      <c r="G28" s="18" t="n">
        <v>31.85024916</v>
      </c>
      <c r="H28" s="20" t="n">
        <v>1.1223546</v>
      </c>
      <c r="I28" s="18" t="n">
        <v>0</v>
      </c>
      <c r="J28" s="20" t="n">
        <v>0</v>
      </c>
      <c r="K28" s="18" t="n">
        <v>0.21209591</v>
      </c>
      <c r="L28" s="20" t="n">
        <v>0.13239107</v>
      </c>
      <c r="M28" s="18" t="n">
        <v>0</v>
      </c>
      <c r="N28" s="20" t="n">
        <v>0</v>
      </c>
      <c r="O28" s="18" t="n">
        <v>0</v>
      </c>
      <c r="P28" s="20" t="n">
        <v>0</v>
      </c>
      <c r="Q28" s="18" t="n">
        <v>4.35492969</v>
      </c>
      <c r="R28" s="20" t="n">
        <v>0.55027098</v>
      </c>
    </row>
    <row r="29" spans="1:18">
      <c r="A29" s="15" t="s">
        <v>587</v>
      </c>
      <c r="B29" s="17" t="n">
        <v>5385</v>
      </c>
      <c r="C29" s="18">
        <f>(4242.0/B29*100)</f>
        <v/>
      </c>
      <c r="D29" s="19" t="n">
        <v>1143</v>
      </c>
      <c r="E29" s="18" t="n">
        <v>48.22433429</v>
      </c>
      <c r="F29" s="20" t="n">
        <v>1.45899972</v>
      </c>
      <c r="G29" s="18" t="n">
        <v>47.17981496</v>
      </c>
      <c r="H29" s="20" t="n">
        <v>1.37112091</v>
      </c>
      <c r="I29" s="18" t="n">
        <v>0</v>
      </c>
      <c r="J29" s="20" t="n">
        <v>0</v>
      </c>
      <c r="K29" s="18" t="n">
        <v>0.08975223</v>
      </c>
      <c r="L29" s="20" t="n">
        <v>0.08922898999999999</v>
      </c>
      <c r="M29" s="18" t="n">
        <v>0</v>
      </c>
      <c r="N29" s="20" t="n">
        <v>0</v>
      </c>
      <c r="O29" s="18" t="n">
        <v>0</v>
      </c>
      <c r="P29" s="20" t="n">
        <v>0</v>
      </c>
      <c r="Q29" s="18" t="n">
        <v>4.50609852</v>
      </c>
      <c r="R29" s="20" t="n">
        <v>0.59981398</v>
      </c>
    </row>
    <row r="30" spans="1:18">
      <c r="A30" s="15" t="s">
        <v>588</v>
      </c>
      <c r="B30" s="17" t="n">
        <v>4520</v>
      </c>
      <c r="C30" s="18">
        <f>(3529.0/B30*100)</f>
        <v/>
      </c>
      <c r="D30" s="19" t="n">
        <v>991</v>
      </c>
      <c r="E30" s="18" t="n">
        <v>41.50061487</v>
      </c>
      <c r="F30" s="20" t="n">
        <v>1.90024629</v>
      </c>
      <c r="G30" s="18" t="n">
        <v>55.63962808</v>
      </c>
      <c r="H30" s="20" t="n">
        <v>1.80228078</v>
      </c>
      <c r="I30" s="18" t="n">
        <v>0</v>
      </c>
      <c r="J30" s="20" t="n">
        <v>0</v>
      </c>
      <c r="K30" s="18" t="n">
        <v>0.10036406</v>
      </c>
      <c r="L30" s="20" t="n">
        <v>0.08847211000000001</v>
      </c>
      <c r="M30" s="18" t="n">
        <v>0</v>
      </c>
      <c r="N30" s="20" t="n">
        <v>0</v>
      </c>
      <c r="O30" s="18" t="n">
        <v>0</v>
      </c>
      <c r="P30" s="20" t="n">
        <v>0</v>
      </c>
      <c r="Q30" s="18" t="n">
        <v>2.75939299</v>
      </c>
      <c r="R30" s="20" t="n">
        <v>0.5476482499999999</v>
      </c>
    </row>
    <row r="31" spans="1:18">
      <c r="A31" s="15" t="s">
        <v>589</v>
      </c>
      <c r="B31" s="17" t="n">
        <v>5456</v>
      </c>
      <c r="C31" s="18">
        <f>(4224.0/B31*100)</f>
        <v/>
      </c>
      <c r="D31" s="19" t="n">
        <v>1232</v>
      </c>
      <c r="E31" s="18" t="n">
        <v>48.81057433</v>
      </c>
      <c r="F31" s="20" t="n">
        <v>1.64068884</v>
      </c>
      <c r="G31" s="18" t="n">
        <v>47.62047354</v>
      </c>
      <c r="H31" s="20" t="n">
        <v>1.68648098</v>
      </c>
      <c r="I31" s="18" t="n">
        <v>0</v>
      </c>
      <c r="J31" s="20" t="n">
        <v>0</v>
      </c>
      <c r="K31" s="18" t="n">
        <v>0.25177402</v>
      </c>
      <c r="L31" s="20" t="n">
        <v>0.15333136</v>
      </c>
      <c r="M31" s="18" t="n">
        <v>0</v>
      </c>
      <c r="N31" s="20" t="n">
        <v>0</v>
      </c>
      <c r="O31" s="18" t="n">
        <v>0</v>
      </c>
      <c r="P31" s="20" t="n">
        <v>0</v>
      </c>
      <c r="Q31" s="18" t="n">
        <v>3.31717812</v>
      </c>
      <c r="R31" s="20" t="n">
        <v>0.47937608</v>
      </c>
    </row>
    <row r="32" spans="1:18">
      <c r="A32" s="15" t="s">
        <v>590</v>
      </c>
      <c r="B32" s="17" t="n">
        <v>4478</v>
      </c>
      <c r="C32" s="18">
        <f>(3463.0/B32*100)</f>
        <v/>
      </c>
      <c r="D32" s="19" t="n">
        <v>1015</v>
      </c>
      <c r="E32" s="18" t="n">
        <v>47.92585302</v>
      </c>
      <c r="F32" s="20" t="n">
        <v>1.49180493</v>
      </c>
      <c r="G32" s="18" t="n">
        <v>49.48326099</v>
      </c>
      <c r="H32" s="20" t="n">
        <v>1.48539879</v>
      </c>
      <c r="I32" s="18" t="n">
        <v>0</v>
      </c>
      <c r="J32" s="20" t="n">
        <v>0</v>
      </c>
      <c r="K32" s="18" t="n">
        <v>0.1187809</v>
      </c>
      <c r="L32" s="20" t="n">
        <v>0.11651453</v>
      </c>
      <c r="M32" s="18" t="n">
        <v>0</v>
      </c>
      <c r="N32" s="20" t="n">
        <v>0</v>
      </c>
      <c r="O32" s="18" t="n">
        <v>0</v>
      </c>
      <c r="P32" s="20" t="n">
        <v>0</v>
      </c>
      <c r="Q32" s="18" t="n">
        <v>2.47210509</v>
      </c>
      <c r="R32" s="20" t="n">
        <v>0.48282359</v>
      </c>
    </row>
    <row r="33" spans="1:18">
      <c r="A33" s="15" t="s">
        <v>591</v>
      </c>
      <c r="B33" s="17" t="n">
        <v>7325</v>
      </c>
      <c r="C33" s="18">
        <f>(5673.0/B33*100)</f>
        <v/>
      </c>
      <c r="D33" s="19" t="n">
        <v>1652</v>
      </c>
      <c r="E33" s="18" t="n">
        <v>39.96187527</v>
      </c>
      <c r="F33" s="20" t="n">
        <v>1.65014847</v>
      </c>
      <c r="G33" s="18" t="n">
        <v>56.17858276</v>
      </c>
      <c r="H33" s="20" t="n">
        <v>1.63139437</v>
      </c>
      <c r="I33" s="18" t="n">
        <v>0</v>
      </c>
      <c r="J33" s="20" t="n">
        <v>0</v>
      </c>
      <c r="K33" s="18" t="n">
        <v>0.02330361</v>
      </c>
      <c r="L33" s="20" t="n">
        <v>0.02888246</v>
      </c>
      <c r="M33" s="18" t="n">
        <v>0</v>
      </c>
      <c r="N33" s="20" t="n">
        <v>0</v>
      </c>
      <c r="O33" s="18" t="n">
        <v>0</v>
      </c>
      <c r="P33" s="20" t="n">
        <v>0</v>
      </c>
      <c r="Q33" s="18" t="n">
        <v>3.83623836</v>
      </c>
      <c r="R33" s="20" t="n">
        <v>0.50967474</v>
      </c>
    </row>
    <row r="34" spans="1:18">
      <c r="A34" s="15" t="s">
        <v>592</v>
      </c>
      <c r="B34" s="17" t="n">
        <v>6350</v>
      </c>
      <c r="C34" s="18">
        <f>(5020.0/B34*100)</f>
        <v/>
      </c>
      <c r="D34" s="19" t="n">
        <v>1330</v>
      </c>
      <c r="E34" s="18" t="n">
        <v>47.55381563</v>
      </c>
      <c r="F34" s="20" t="n">
        <v>1.62026866</v>
      </c>
      <c r="G34" s="18" t="n">
        <v>48.11360259</v>
      </c>
      <c r="H34" s="20" t="n">
        <v>1.57949619</v>
      </c>
      <c r="I34" s="18" t="n">
        <v>0</v>
      </c>
      <c r="J34" s="20" t="n">
        <v>0</v>
      </c>
      <c r="K34" s="18" t="n">
        <v>0.18644935</v>
      </c>
      <c r="L34" s="20" t="n">
        <v>0.11056797</v>
      </c>
      <c r="M34" s="18" t="n">
        <v>0</v>
      </c>
      <c r="N34" s="20" t="n">
        <v>0</v>
      </c>
      <c r="O34" s="18" t="n">
        <v>0</v>
      </c>
      <c r="P34" s="20" t="n">
        <v>0</v>
      </c>
      <c r="Q34" s="18" t="n">
        <v>4.14613243</v>
      </c>
      <c r="R34" s="20" t="n">
        <v>0.71110379</v>
      </c>
    </row>
    <row r="35" spans="1:18">
      <c r="A35" s="15" t="s">
        <v>593</v>
      </c>
      <c r="B35" s="17" t="n">
        <v>6406</v>
      </c>
      <c r="C35" s="18">
        <f>(5058.0/B35*100)</f>
        <v/>
      </c>
      <c r="D35" s="19" t="n">
        <v>1348</v>
      </c>
      <c r="E35" s="18" t="n">
        <v>41.62101942</v>
      </c>
      <c r="F35" s="20" t="n">
        <v>1.52154566</v>
      </c>
      <c r="G35" s="18" t="n">
        <v>56.24430595</v>
      </c>
      <c r="H35" s="20" t="n">
        <v>1.63666494</v>
      </c>
      <c r="I35" s="18" t="n">
        <v>0</v>
      </c>
      <c r="J35" s="20" t="n">
        <v>0</v>
      </c>
      <c r="K35" s="18" t="n">
        <v>0.09503691</v>
      </c>
      <c r="L35" s="20" t="n">
        <v>0.07051590000000001</v>
      </c>
      <c r="M35" s="18" t="n">
        <v>0</v>
      </c>
      <c r="N35" s="20" t="n">
        <v>0</v>
      </c>
      <c r="O35" s="18" t="n">
        <v>0</v>
      </c>
      <c r="P35" s="20" t="n">
        <v>0</v>
      </c>
      <c r="Q35" s="18" t="n">
        <v>2.03963772</v>
      </c>
      <c r="R35" s="20" t="n">
        <v>0.49579921</v>
      </c>
    </row>
    <row r="36" spans="1:18">
      <c r="A36" s="15" t="s">
        <v>594</v>
      </c>
      <c r="B36" s="17" t="n">
        <v>6736</v>
      </c>
      <c r="C36" s="18">
        <f>(5255.0/B36*100)</f>
        <v/>
      </c>
      <c r="D36" s="19" t="n">
        <v>1481</v>
      </c>
      <c r="E36" s="18" t="n">
        <v>51.58348133</v>
      </c>
      <c r="F36" s="20" t="n">
        <v>1.25423503</v>
      </c>
      <c r="G36" s="18" t="n">
        <v>44.92098714</v>
      </c>
      <c r="H36" s="20" t="n">
        <v>1.25288609</v>
      </c>
      <c r="I36" s="18" t="n">
        <v>0</v>
      </c>
      <c r="J36" s="20" t="n">
        <v>0</v>
      </c>
      <c r="K36" s="18" t="n">
        <v>0.28276658</v>
      </c>
      <c r="L36" s="20" t="n">
        <v>0.15694376</v>
      </c>
      <c r="M36" s="18" t="n">
        <v>0</v>
      </c>
      <c r="N36" s="20" t="n">
        <v>0</v>
      </c>
      <c r="O36" s="18" t="n">
        <v>0</v>
      </c>
      <c r="P36" s="20" t="n">
        <v>0</v>
      </c>
      <c r="Q36" s="18" t="n">
        <v>3.21276496</v>
      </c>
      <c r="R36" s="20" t="n">
        <v>0.47062098</v>
      </c>
    </row>
    <row r="37" spans="1:18">
      <c r="A37" s="15" t="s">
        <v>595</v>
      </c>
      <c r="B37" s="17" t="n">
        <v>5458</v>
      </c>
      <c r="C37" s="18">
        <f>(4270.0/B37*100)</f>
        <v/>
      </c>
      <c r="D37" s="19" t="n">
        <v>1188</v>
      </c>
      <c r="E37" s="18" t="n">
        <v>45.5260814</v>
      </c>
      <c r="F37" s="20" t="n">
        <v>1.61011403</v>
      </c>
      <c r="G37" s="18" t="n">
        <v>48.9801328</v>
      </c>
      <c r="H37" s="20" t="n">
        <v>1.7021753</v>
      </c>
      <c r="I37" s="18" t="n">
        <v>0</v>
      </c>
      <c r="J37" s="20" t="n">
        <v>0</v>
      </c>
      <c r="K37" s="18" t="n">
        <v>0.32437897</v>
      </c>
      <c r="L37" s="20" t="n">
        <v>0.16498244</v>
      </c>
      <c r="M37" s="18" t="n">
        <v>0</v>
      </c>
      <c r="N37" s="20" t="n">
        <v>0</v>
      </c>
      <c r="O37" s="18" t="n">
        <v>0</v>
      </c>
      <c r="P37" s="20" t="n">
        <v>0</v>
      </c>
      <c r="Q37" s="18" t="n">
        <v>5.16940683</v>
      </c>
      <c r="R37" s="20" t="n">
        <v>0.6600417200000001</v>
      </c>
    </row>
    <row r="38" spans="1:18">
      <c r="A38" s="15" t="s">
        <v>596</v>
      </c>
      <c r="B38" s="17" t="n">
        <v>5860</v>
      </c>
      <c r="C38" s="18">
        <f>(4571.0/B38*100)</f>
        <v/>
      </c>
      <c r="D38" s="19" t="n">
        <v>1289</v>
      </c>
      <c r="E38" s="18" t="n">
        <v>41.98059753</v>
      </c>
      <c r="F38" s="20" t="n">
        <v>1.79692198</v>
      </c>
      <c r="G38" s="18" t="n">
        <v>54.56907126</v>
      </c>
      <c r="H38" s="20" t="n">
        <v>1.83922693</v>
      </c>
      <c r="I38" s="18" t="n">
        <v>0</v>
      </c>
      <c r="J38" s="20" t="n">
        <v>0</v>
      </c>
      <c r="K38" s="18" t="n">
        <v>0.17130106</v>
      </c>
      <c r="L38" s="20" t="n">
        <v>0.11376997</v>
      </c>
      <c r="M38" s="18" t="n">
        <v>0</v>
      </c>
      <c r="N38" s="20" t="n">
        <v>0</v>
      </c>
      <c r="O38" s="18" t="n">
        <v>0</v>
      </c>
      <c r="P38" s="20" t="n">
        <v>0</v>
      </c>
      <c r="Q38" s="18" t="n">
        <v>3.27903014</v>
      </c>
      <c r="R38" s="20" t="n">
        <v>0.67463756</v>
      </c>
    </row>
    <row r="39" spans="1:18">
      <c r="A39" s="15" t="s">
        <v>597</v>
      </c>
      <c r="B39" s="17" t="n">
        <v>5895</v>
      </c>
      <c r="C39" s="18">
        <f>(4574.0/B39*100)</f>
        <v/>
      </c>
      <c r="D39" s="19" t="n">
        <v>1321</v>
      </c>
      <c r="E39" s="18" t="n">
        <v>57.85401196</v>
      </c>
      <c r="F39" s="20" t="n">
        <v>1.53709491</v>
      </c>
      <c r="G39" s="18" t="n">
        <v>37.65061203</v>
      </c>
      <c r="H39" s="20" t="n">
        <v>1.65406766</v>
      </c>
      <c r="I39" s="18" t="n">
        <v>0</v>
      </c>
      <c r="J39" s="20" t="n">
        <v>0</v>
      </c>
      <c r="K39" s="18" t="n">
        <v>0.03460921</v>
      </c>
      <c r="L39" s="20" t="n">
        <v>0.03483218</v>
      </c>
      <c r="M39" s="18" t="n">
        <v>0</v>
      </c>
      <c r="N39" s="20" t="n">
        <v>0</v>
      </c>
      <c r="O39" s="18" t="n">
        <v>0</v>
      </c>
      <c r="P39" s="20" t="n">
        <v>0</v>
      </c>
      <c r="Q39" s="18" t="n">
        <v>4.4607668</v>
      </c>
      <c r="R39" s="20" t="n">
        <v>0.64406253</v>
      </c>
    </row>
    <row r="40" spans="1:18">
      <c r="A40" s="15" t="s">
        <v>598</v>
      </c>
      <c r="B40" s="17" t="n">
        <v>14157</v>
      </c>
      <c r="C40" s="18">
        <f>(10996.0/B40*100)</f>
        <v/>
      </c>
      <c r="D40" s="19" t="n">
        <v>3161</v>
      </c>
      <c r="E40" s="18" t="n">
        <v>40.31829766</v>
      </c>
      <c r="F40" s="20" t="n">
        <v>1.38201971</v>
      </c>
      <c r="G40" s="18" t="n">
        <v>56.48936771</v>
      </c>
      <c r="H40" s="20" t="n">
        <v>1.3900465</v>
      </c>
      <c r="I40" s="18" t="n">
        <v>0</v>
      </c>
      <c r="J40" s="20" t="n">
        <v>0</v>
      </c>
      <c r="K40" s="18" t="n">
        <v>0.25751692</v>
      </c>
      <c r="L40" s="20" t="n">
        <v>0.17819207</v>
      </c>
      <c r="M40" s="18" t="n">
        <v>0</v>
      </c>
      <c r="N40" s="20" t="n">
        <v>0</v>
      </c>
      <c r="O40" s="18" t="n">
        <v>0</v>
      </c>
      <c r="P40" s="20" t="n">
        <v>0</v>
      </c>
      <c r="Q40" s="18" t="n">
        <v>2.93481772</v>
      </c>
      <c r="R40" s="20" t="n">
        <v>0.40612289</v>
      </c>
    </row>
    <row r="41" spans="1:18">
      <c r="A41" s="15" t="s">
        <v>599</v>
      </c>
      <c r="B41" s="17" t="n">
        <v>5712</v>
      </c>
      <c r="C41" s="18">
        <f>(4489.0/B41*100)</f>
        <v/>
      </c>
      <c r="D41" s="19" t="n">
        <v>1223</v>
      </c>
      <c r="E41" s="18" t="n">
        <v>42.95449217</v>
      </c>
      <c r="F41" s="20" t="n">
        <v>1.80941298</v>
      </c>
      <c r="G41" s="18" t="n">
        <v>55.43874581</v>
      </c>
      <c r="H41" s="20" t="n">
        <v>1.86319896</v>
      </c>
      <c r="I41" s="18" t="n">
        <v>0</v>
      </c>
      <c r="J41" s="20" t="n">
        <v>0</v>
      </c>
      <c r="K41" s="18" t="n">
        <v>0.16482759</v>
      </c>
      <c r="L41" s="20" t="n">
        <v>0.11203928</v>
      </c>
      <c r="M41" s="18" t="n">
        <v>0</v>
      </c>
      <c r="N41" s="20" t="n">
        <v>0</v>
      </c>
      <c r="O41" s="18" t="n">
        <v>0</v>
      </c>
      <c r="P41" s="20" t="n">
        <v>0</v>
      </c>
      <c r="Q41" s="18" t="n">
        <v>1.44193443</v>
      </c>
      <c r="R41" s="20" t="n">
        <v>0.36659976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(19012.0/B46*100)</f>
        <v/>
      </c>
      <c r="D46" s="19" t="n">
        <v>4129</v>
      </c>
      <c r="E46" s="18" t="n">
        <v>58.26322646</v>
      </c>
      <c r="F46" s="20" t="n">
        <v>1.23780937</v>
      </c>
      <c r="G46" s="18" t="n">
        <v>30.27655732</v>
      </c>
      <c r="H46" s="20" t="n">
        <v>1.17922879</v>
      </c>
      <c r="I46" s="18" t="n">
        <v>0</v>
      </c>
      <c r="J46" s="20" t="n">
        <v>0</v>
      </c>
      <c r="K46" s="18" t="n">
        <v>0.7808480800000001</v>
      </c>
      <c r="L46" s="20" t="n">
        <v>0.21038657</v>
      </c>
      <c r="M46" s="18" t="n">
        <v>0</v>
      </c>
      <c r="N46" s="20" t="n">
        <v>0</v>
      </c>
      <c r="O46" s="18" t="n">
        <v>0</v>
      </c>
      <c r="P46" s="20" t="n">
        <v>0</v>
      </c>
      <c r="Q46" s="18" t="n">
        <v>10.67936814</v>
      </c>
      <c r="R46" s="20" t="n">
        <v>0.62437553</v>
      </c>
    </row>
    <row r="47" spans="1:18">
      <c r="A47" s="15" t="s">
        <v>606</v>
      </c>
      <c r="B47" s="17" t="n">
        <v>5928</v>
      </c>
      <c r="C47" s="18">
        <f>(4593.0/B47*100)</f>
        <v/>
      </c>
      <c r="D47" s="19" t="n">
        <v>1335</v>
      </c>
      <c r="E47" s="18" t="n">
        <v>54.39164074</v>
      </c>
      <c r="F47" s="20" t="n">
        <v>1.56094588</v>
      </c>
      <c r="G47" s="18" t="n">
        <v>39.62453293</v>
      </c>
      <c r="H47" s="20" t="n">
        <v>1.63713183</v>
      </c>
      <c r="I47" s="18" t="n">
        <v>0</v>
      </c>
      <c r="J47" s="20" t="n">
        <v>0</v>
      </c>
      <c r="K47" s="18" t="n">
        <v>0.28588179</v>
      </c>
      <c r="L47" s="20" t="n">
        <v>0.10406307</v>
      </c>
      <c r="M47" s="18" t="n">
        <v>0</v>
      </c>
      <c r="N47" s="20" t="n">
        <v>0</v>
      </c>
      <c r="O47" s="18" t="n">
        <v>0</v>
      </c>
      <c r="P47" s="20" t="n">
        <v>0</v>
      </c>
      <c r="Q47" s="18" t="n">
        <v>5.69794453</v>
      </c>
      <c r="R47" s="20" t="n">
        <v>0.67738885</v>
      </c>
    </row>
    <row r="48" spans="1:18">
      <c r="A48" s="15" t="s">
        <v>607</v>
      </c>
      <c r="B48" s="17" t="n">
        <v>9841</v>
      </c>
      <c r="C48" s="18">
        <f>(7675.0/B48*100)</f>
        <v/>
      </c>
      <c r="D48" s="19" t="n">
        <v>2166</v>
      </c>
      <c r="E48" s="18" t="n">
        <v>33.31787954</v>
      </c>
      <c r="F48" s="20" t="n">
        <v>1.81335331</v>
      </c>
      <c r="G48" s="18" t="n">
        <v>65.41400259</v>
      </c>
      <c r="H48" s="20" t="n">
        <v>1.84101932</v>
      </c>
      <c r="I48" s="18" t="n">
        <v>0</v>
      </c>
      <c r="J48" s="20" t="n">
        <v>0</v>
      </c>
      <c r="K48" s="18" t="n">
        <v>0.07965519</v>
      </c>
      <c r="L48" s="20" t="n">
        <v>0.07939981</v>
      </c>
      <c r="M48" s="18" t="n">
        <v>0</v>
      </c>
      <c r="N48" s="20" t="n">
        <v>0</v>
      </c>
      <c r="O48" s="18" t="n">
        <v>0</v>
      </c>
      <c r="P48" s="20" t="n">
        <v>0</v>
      </c>
      <c r="Q48" s="18" t="n">
        <v>1.18846268</v>
      </c>
      <c r="R48" s="20" t="n">
        <v>0.34576955</v>
      </c>
    </row>
    <row r="49" spans="1:18">
      <c r="A49" s="15" t="s">
        <v>608</v>
      </c>
      <c r="B49" s="17" t="n">
        <v>11795</v>
      </c>
      <c r="C49" s="18">
        <f>(9205.0/B49*100)</f>
        <v/>
      </c>
      <c r="D49" s="19" t="n">
        <v>2590</v>
      </c>
      <c r="E49" s="18" t="n">
        <v>59.97107902</v>
      </c>
      <c r="F49" s="20" t="n">
        <v>1.14760698</v>
      </c>
      <c r="G49" s="18" t="n">
        <v>35.69038682</v>
      </c>
      <c r="H49" s="20" t="n">
        <v>1.07213443</v>
      </c>
      <c r="I49" s="18" t="n">
        <v>0</v>
      </c>
      <c r="J49" s="20" t="n">
        <v>0</v>
      </c>
      <c r="K49" s="18" t="n">
        <v>0.74510498</v>
      </c>
      <c r="L49" s="20" t="n">
        <v>0.25191134</v>
      </c>
      <c r="M49" s="18" t="n">
        <v>0</v>
      </c>
      <c r="N49" s="20" t="n">
        <v>0</v>
      </c>
      <c r="O49" s="18" t="n">
        <v>0</v>
      </c>
      <c r="P49" s="20" t="n">
        <v>0</v>
      </c>
      <c r="Q49" s="18" t="n">
        <v>3.59342919</v>
      </c>
      <c r="R49" s="20" t="n">
        <v>0.50541127</v>
      </c>
    </row>
    <row r="50" spans="1:18">
      <c r="A50" s="15" t="s">
        <v>609</v>
      </c>
      <c r="B50" s="17" t="n">
        <v>6866</v>
      </c>
      <c r="C50" s="18">
        <f>(5607.0/B50*100)</f>
        <v/>
      </c>
      <c r="D50" s="19" t="n">
        <v>1259</v>
      </c>
      <c r="E50" s="18" t="n">
        <v>69.07491159</v>
      </c>
      <c r="F50" s="20" t="n">
        <v>1.67078047</v>
      </c>
      <c r="G50" s="18" t="n">
        <v>27.32098398</v>
      </c>
      <c r="H50" s="20" t="n">
        <v>1.52971824</v>
      </c>
      <c r="I50" s="18" t="n">
        <v>0</v>
      </c>
      <c r="J50" s="20" t="n">
        <v>0</v>
      </c>
      <c r="K50" s="18" t="n">
        <v>0.1330469</v>
      </c>
      <c r="L50" s="20" t="n">
        <v>0.09469674</v>
      </c>
      <c r="M50" s="18" t="n">
        <v>0</v>
      </c>
      <c r="N50" s="20" t="n">
        <v>0</v>
      </c>
      <c r="O50" s="18" t="n">
        <v>0</v>
      </c>
      <c r="P50" s="20" t="n">
        <v>0</v>
      </c>
      <c r="Q50" s="18" t="n">
        <v>3.47105753</v>
      </c>
      <c r="R50" s="20" t="n">
        <v>0.71249923</v>
      </c>
    </row>
    <row r="51" spans="1:18">
      <c r="A51" s="15" t="s">
        <v>610</v>
      </c>
      <c r="B51" s="17" t="n">
        <v>5809</v>
      </c>
      <c r="C51" s="18">
        <f>(4524.0/B51*100)</f>
        <v/>
      </c>
      <c r="D51" s="19" t="n">
        <v>1285</v>
      </c>
      <c r="E51" s="18" t="n">
        <v>54.63256189</v>
      </c>
      <c r="F51" s="20" t="n">
        <v>1.47117732</v>
      </c>
      <c r="G51" s="18" t="n">
        <v>42.00987096</v>
      </c>
      <c r="H51" s="20" t="n">
        <v>1.43463966</v>
      </c>
      <c r="I51" s="18" t="n">
        <v>0</v>
      </c>
      <c r="J51" s="20" t="n">
        <v>0</v>
      </c>
      <c r="K51" s="18" t="n">
        <v>0.05902</v>
      </c>
      <c r="L51" s="20" t="n">
        <v>0.05932508</v>
      </c>
      <c r="M51" s="18" t="n">
        <v>0</v>
      </c>
      <c r="N51" s="20" t="n">
        <v>0</v>
      </c>
      <c r="O51" s="18" t="n">
        <v>0</v>
      </c>
      <c r="P51" s="20" t="n">
        <v>0</v>
      </c>
      <c r="Q51" s="18" t="n">
        <v>3.29854715</v>
      </c>
      <c r="R51" s="20" t="n">
        <v>0.5413204</v>
      </c>
    </row>
    <row r="52" spans="1:18">
      <c r="A52" s="15" t="s">
        <v>611</v>
      </c>
      <c r="B52" s="17" t="n">
        <v>5571</v>
      </c>
      <c r="C52" s="18">
        <f>(4287.0/B52*100)</f>
        <v/>
      </c>
      <c r="D52" s="19" t="n">
        <v>1284</v>
      </c>
      <c r="E52" s="18" t="n">
        <v>55.74297032</v>
      </c>
      <c r="F52" s="20" t="n">
        <v>1.54483406</v>
      </c>
      <c r="G52" s="18" t="n">
        <v>37.96665183</v>
      </c>
      <c r="H52" s="20" t="n">
        <v>1.44047793</v>
      </c>
      <c r="I52" s="18" t="n">
        <v>0</v>
      </c>
      <c r="J52" s="20" t="n">
        <v>0</v>
      </c>
      <c r="K52" s="18" t="n">
        <v>0.49583234</v>
      </c>
      <c r="L52" s="20" t="n">
        <v>0.1926189</v>
      </c>
      <c r="M52" s="18" t="n">
        <v>0</v>
      </c>
      <c r="N52" s="20" t="n">
        <v>0</v>
      </c>
      <c r="O52" s="18" t="n">
        <v>0</v>
      </c>
      <c r="P52" s="20" t="n">
        <v>0</v>
      </c>
      <c r="Q52" s="18" t="n">
        <v>5.7945455</v>
      </c>
      <c r="R52" s="20" t="n">
        <v>0.56546628</v>
      </c>
    </row>
    <row r="53" spans="1:18">
      <c r="A53" s="15" t="s">
        <v>612</v>
      </c>
      <c r="B53" s="17" t="n">
        <v>4740</v>
      </c>
      <c r="C53" s="18">
        <f>(3699.0/B53*100)</f>
        <v/>
      </c>
      <c r="D53" s="19" t="n">
        <v>1041</v>
      </c>
      <c r="E53" s="18" t="n">
        <v>56.91396779</v>
      </c>
      <c r="F53" s="20" t="n">
        <v>1.90174429</v>
      </c>
      <c r="G53" s="18" t="n">
        <v>23.30405971</v>
      </c>
      <c r="H53" s="20" t="n">
        <v>1.40319105</v>
      </c>
      <c r="I53" s="18" t="n">
        <v>0</v>
      </c>
      <c r="J53" s="20" t="n">
        <v>0</v>
      </c>
      <c r="K53" s="18" t="n">
        <v>7.721891</v>
      </c>
      <c r="L53" s="20" t="n">
        <v>0.93926369</v>
      </c>
      <c r="M53" s="18" t="n">
        <v>0</v>
      </c>
      <c r="N53" s="20" t="n">
        <v>0</v>
      </c>
      <c r="O53" s="18" t="n">
        <v>0</v>
      </c>
      <c r="P53" s="20" t="n">
        <v>0</v>
      </c>
      <c r="Q53" s="18" t="n">
        <v>12.0600815</v>
      </c>
      <c r="R53" s="20" t="n">
        <v>1.26008297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(4235.0/B55*100)</f>
        <v/>
      </c>
      <c r="D55" s="19" t="n">
        <v>1124</v>
      </c>
      <c r="E55" s="18" t="n">
        <v>39.28037142</v>
      </c>
      <c r="F55" s="20" t="n">
        <v>2.15050343</v>
      </c>
      <c r="G55" s="18" t="n">
        <v>59.22914313</v>
      </c>
      <c r="H55" s="20" t="n">
        <v>2.17021637</v>
      </c>
      <c r="I55" s="18" t="n">
        <v>0</v>
      </c>
      <c r="J55" s="20" t="n">
        <v>0</v>
      </c>
      <c r="K55" s="18" t="n">
        <v>0.19484933</v>
      </c>
      <c r="L55" s="20" t="n">
        <v>0.15063309</v>
      </c>
      <c r="M55" s="18" t="n">
        <v>0</v>
      </c>
      <c r="N55" s="20" t="n">
        <v>0</v>
      </c>
      <c r="O55" s="18" t="n">
        <v>0</v>
      </c>
      <c r="P55" s="20" t="n">
        <v>0</v>
      </c>
      <c r="Q55" s="18" t="n">
        <v>1.29563612</v>
      </c>
      <c r="R55" s="20" t="n">
        <v>0.37572393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(5091.0/B61*100)</f>
        <v/>
      </c>
      <c r="D61" s="19" t="n">
        <v>1434</v>
      </c>
      <c r="E61" s="18" t="n">
        <v>56.37917378</v>
      </c>
      <c r="F61" s="20" t="n">
        <v>1.45057925</v>
      </c>
      <c r="G61" s="18" t="n">
        <v>38.63250754</v>
      </c>
      <c r="H61" s="20" t="n">
        <v>1.44590005</v>
      </c>
      <c r="I61" s="18" t="n">
        <v>0</v>
      </c>
      <c r="J61" s="20" t="n">
        <v>0</v>
      </c>
      <c r="K61" s="18" t="n">
        <v>0.14373831</v>
      </c>
      <c r="L61" s="20" t="n">
        <v>0.11640303</v>
      </c>
      <c r="M61" s="18" t="n">
        <v>0</v>
      </c>
      <c r="N61" s="20" t="n">
        <v>0</v>
      </c>
      <c r="O61" s="18" t="n">
        <v>0</v>
      </c>
      <c r="P61" s="20" t="n">
        <v>0</v>
      </c>
      <c r="Q61" s="18" t="n">
        <v>4.84458036</v>
      </c>
      <c r="R61" s="20" t="n">
        <v>0.6719447</v>
      </c>
    </row>
    <row r="62" spans="1:18">
      <c r="A62" s="15" t="s">
        <v>622</v>
      </c>
      <c r="B62" s="17" t="n">
        <v>4476</v>
      </c>
      <c r="C62" s="18">
        <f>(3483.0/B62*100)</f>
        <v/>
      </c>
      <c r="D62" s="19" t="n">
        <v>993</v>
      </c>
      <c r="E62" s="18" t="n">
        <v>36.28171588</v>
      </c>
      <c r="F62" s="20" t="n">
        <v>1.64978987</v>
      </c>
      <c r="G62" s="18" t="n">
        <v>62.50878374</v>
      </c>
      <c r="H62" s="20" t="n">
        <v>1.70479986</v>
      </c>
      <c r="I62" s="18" t="n">
        <v>0</v>
      </c>
      <c r="J62" s="20" t="n">
        <v>0</v>
      </c>
      <c r="K62" s="18" t="n">
        <v>0.10340375</v>
      </c>
      <c r="L62" s="20" t="n">
        <v>0.10345225</v>
      </c>
      <c r="M62" s="18" t="n">
        <v>0</v>
      </c>
      <c r="N62" s="20" t="n">
        <v>0</v>
      </c>
      <c r="O62" s="18" t="n">
        <v>0</v>
      </c>
      <c r="P62" s="20" t="n">
        <v>0</v>
      </c>
      <c r="Q62" s="18" t="n">
        <v>1.10609663</v>
      </c>
      <c r="R62" s="20" t="n">
        <v>0.32474243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(4432.0/B67*100)</f>
        <v/>
      </c>
      <c r="D67" s="19" t="n">
        <v>1233</v>
      </c>
      <c r="E67" s="18" t="n">
        <v>58.96703728</v>
      </c>
      <c r="F67" s="20" t="n">
        <v>1.44425089</v>
      </c>
      <c r="G67" s="18" t="n">
        <v>29.23314329</v>
      </c>
      <c r="H67" s="20" t="n">
        <v>1.33573208</v>
      </c>
      <c r="I67" s="18" t="n">
        <v>0</v>
      </c>
      <c r="J67" s="20" t="n">
        <v>0</v>
      </c>
      <c r="K67" s="18" t="n">
        <v>0.43224175</v>
      </c>
      <c r="L67" s="20" t="n">
        <v>0.19158435</v>
      </c>
      <c r="M67" s="18" t="n">
        <v>0</v>
      </c>
      <c r="N67" s="20" t="n">
        <v>0</v>
      </c>
      <c r="O67" s="18" t="n">
        <v>0</v>
      </c>
      <c r="P67" s="20" t="n">
        <v>0</v>
      </c>
      <c r="Q67" s="18" t="n">
        <v>11.36757768</v>
      </c>
      <c r="R67" s="20" t="n">
        <v>0.88176329</v>
      </c>
    </row>
    <row r="68" spans="1:18">
      <c r="A68" s="15" t="s">
        <v>628</v>
      </c>
      <c r="B68" s="17" t="n">
        <v>6971</v>
      </c>
      <c r="C68" s="18">
        <f>(5563.0/B68*100)</f>
        <v/>
      </c>
      <c r="D68" s="19" t="n">
        <v>1408</v>
      </c>
      <c r="E68" s="18" t="n">
        <v>61.04938397</v>
      </c>
      <c r="F68" s="20" t="n">
        <v>1.44843001</v>
      </c>
      <c r="G68" s="18" t="n">
        <v>31.90235956</v>
      </c>
      <c r="H68" s="20" t="n">
        <v>1.38470691</v>
      </c>
      <c r="I68" s="18" t="n">
        <v>0</v>
      </c>
      <c r="J68" s="20" t="n">
        <v>0</v>
      </c>
      <c r="K68" s="18" t="n">
        <v>0</v>
      </c>
      <c r="L68" s="20" t="n">
        <v>0</v>
      </c>
      <c r="M68" s="18" t="n">
        <v>0</v>
      </c>
      <c r="N68" s="20" t="n">
        <v>0</v>
      </c>
      <c r="O68" s="18" t="n">
        <v>0</v>
      </c>
      <c r="P68" s="20" t="n">
        <v>0</v>
      </c>
      <c r="Q68" s="18" t="n">
        <v>7.04825647</v>
      </c>
      <c r="R68" s="20" t="n">
        <v>0.6822815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(9378.0/B70*100)</f>
        <v/>
      </c>
      <c r="D70" s="19" t="n">
        <v>2705</v>
      </c>
      <c r="E70" s="18" t="n">
        <v>56.90946165</v>
      </c>
      <c r="F70" s="20" t="n">
        <v>0.92632926</v>
      </c>
      <c r="G70" s="18" t="n">
        <v>35.13814152</v>
      </c>
      <c r="H70" s="20" t="n">
        <v>0.88355378</v>
      </c>
      <c r="I70" s="18" t="n">
        <v>0</v>
      </c>
      <c r="J70" s="20" t="n">
        <v>0</v>
      </c>
      <c r="K70" s="18" t="n">
        <v>1.31210416</v>
      </c>
      <c r="L70" s="20" t="n">
        <v>0.21435448</v>
      </c>
      <c r="M70" s="18" t="n">
        <v>0</v>
      </c>
      <c r="N70" s="20" t="n">
        <v>0</v>
      </c>
      <c r="O70" s="18" t="n">
        <v>0</v>
      </c>
      <c r="P70" s="20" t="n">
        <v>0</v>
      </c>
      <c r="Q70" s="18" t="n">
        <v>6.64029266</v>
      </c>
      <c r="R70" s="20" t="n">
        <v>0.41496851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(4710.0/B72*100)</f>
        <v/>
      </c>
      <c r="D72" s="19" t="n">
        <v>1326</v>
      </c>
      <c r="E72" s="18" t="n">
        <v>54.64785098</v>
      </c>
      <c r="F72" s="20" t="n">
        <v>1.56368511</v>
      </c>
      <c r="G72" s="18" t="n">
        <v>41.82985267</v>
      </c>
      <c r="H72" s="20" t="n">
        <v>1.57877319</v>
      </c>
      <c r="I72" s="18" t="n">
        <v>0</v>
      </c>
      <c r="J72" s="20" t="n">
        <v>0</v>
      </c>
      <c r="K72" s="18" t="n">
        <v>0.06322002</v>
      </c>
      <c r="L72" s="20" t="n">
        <v>0.0634658</v>
      </c>
      <c r="M72" s="18" t="n">
        <v>0</v>
      </c>
      <c r="N72" s="20" t="n">
        <v>0</v>
      </c>
      <c r="O72" s="18" t="n">
        <v>0</v>
      </c>
      <c r="P72" s="20" t="n">
        <v>0</v>
      </c>
      <c r="Q72" s="18" t="n">
        <v>3.45907633</v>
      </c>
      <c r="R72" s="20" t="n">
        <v>0.50676018</v>
      </c>
    </row>
    <row r="73" spans="1:18">
      <c r="A73" s="15" t="s">
        <v>633</v>
      </c>
      <c r="B73" s="17" t="n">
        <v>6115</v>
      </c>
      <c r="C73" s="18">
        <f>(4761.0/B73*100)</f>
        <v/>
      </c>
      <c r="D73" s="19" t="n">
        <v>1354</v>
      </c>
      <c r="E73" s="18" t="n">
        <v>27.18530222</v>
      </c>
      <c r="F73" s="20" t="n">
        <v>1.26852011</v>
      </c>
      <c r="G73" s="18" t="n">
        <v>71.06453419</v>
      </c>
      <c r="H73" s="20" t="n">
        <v>1.34026331</v>
      </c>
      <c r="I73" s="18" t="n">
        <v>0</v>
      </c>
      <c r="J73" s="20" t="n">
        <v>0</v>
      </c>
      <c r="K73" s="18" t="n">
        <v>0.07120607</v>
      </c>
      <c r="L73" s="20" t="n">
        <v>0.07084691999999999</v>
      </c>
      <c r="M73" s="18" t="n">
        <v>0</v>
      </c>
      <c r="N73" s="20" t="n">
        <v>0</v>
      </c>
      <c r="O73" s="18" t="n">
        <v>0</v>
      </c>
      <c r="P73" s="20" t="n">
        <v>0</v>
      </c>
      <c r="Q73" s="18" t="n">
        <v>1.67895752</v>
      </c>
      <c r="R73" s="20" t="n">
        <v>0.3490665</v>
      </c>
    </row>
    <row r="74" spans="1:18">
      <c r="A74" s="15" t="s">
        <v>634</v>
      </c>
      <c r="B74" s="17" t="n">
        <v>7708</v>
      </c>
      <c r="C74" s="18">
        <f>(6055.0/B74*100)</f>
        <v/>
      </c>
      <c r="D74" s="19" t="n">
        <v>1653</v>
      </c>
      <c r="E74" s="18" t="n">
        <v>37.75458764</v>
      </c>
      <c r="F74" s="20" t="n">
        <v>1.17121638</v>
      </c>
      <c r="G74" s="18" t="n">
        <v>60.84905858</v>
      </c>
      <c r="H74" s="20" t="n">
        <v>1.1680177</v>
      </c>
      <c r="I74" s="18" t="n">
        <v>0</v>
      </c>
      <c r="J74" s="20" t="n">
        <v>0</v>
      </c>
      <c r="K74" s="18" t="n">
        <v>0</v>
      </c>
      <c r="L74" s="20" t="n">
        <v>0</v>
      </c>
      <c r="M74" s="18" t="n">
        <v>0</v>
      </c>
      <c r="N74" s="20" t="n">
        <v>0</v>
      </c>
      <c r="O74" s="18" t="n">
        <v>0</v>
      </c>
      <c r="P74" s="20" t="n">
        <v>0</v>
      </c>
      <c r="Q74" s="18" t="n">
        <v>1.39635378</v>
      </c>
      <c r="R74" s="20" t="n">
        <v>0.33791744</v>
      </c>
    </row>
    <row r="75" spans="1:18">
      <c r="A75" s="15" t="s">
        <v>635</v>
      </c>
      <c r="B75" s="17" t="n">
        <v>8249</v>
      </c>
      <c r="C75" s="18">
        <f>(6503.0/B75*100)</f>
        <v/>
      </c>
      <c r="D75" s="19" t="n">
        <v>1746</v>
      </c>
      <c r="E75" s="18" t="n">
        <v>63.1250255</v>
      </c>
      <c r="F75" s="20" t="n">
        <v>1.60441244</v>
      </c>
      <c r="G75" s="18" t="n">
        <v>31.24071423</v>
      </c>
      <c r="H75" s="20" t="n">
        <v>1.55187999</v>
      </c>
      <c r="I75" s="18" t="n">
        <v>0</v>
      </c>
      <c r="J75" s="20" t="n">
        <v>0</v>
      </c>
      <c r="K75" s="18" t="n">
        <v>0</v>
      </c>
      <c r="L75" s="20" t="n">
        <v>0</v>
      </c>
      <c r="M75" s="18" t="n">
        <v>0</v>
      </c>
      <c r="N75" s="20" t="n">
        <v>0</v>
      </c>
      <c r="O75" s="18" t="n">
        <v>0</v>
      </c>
      <c r="P75" s="20" t="n">
        <v>0</v>
      </c>
      <c r="Q75" s="18" t="n">
        <v>5.63426028</v>
      </c>
      <c r="R75" s="20" t="n">
        <v>0.73739311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(4318.0/B77*100)</f>
        <v/>
      </c>
      <c r="D77" s="19" t="n">
        <v>1057</v>
      </c>
      <c r="E77" s="18" t="n">
        <v>57.61818032</v>
      </c>
      <c r="F77" s="20" t="n">
        <v>1.77751766</v>
      </c>
      <c r="G77" s="18" t="n">
        <v>29.0764045</v>
      </c>
      <c r="H77" s="20" t="n">
        <v>1.67257003</v>
      </c>
      <c r="I77" s="18" t="n">
        <v>0</v>
      </c>
      <c r="J77" s="20" t="n">
        <v>0</v>
      </c>
      <c r="K77" s="18" t="n">
        <v>2.18739744</v>
      </c>
      <c r="L77" s="20" t="n">
        <v>0.48928267</v>
      </c>
      <c r="M77" s="18" t="n">
        <v>0</v>
      </c>
      <c r="N77" s="20" t="n">
        <v>0</v>
      </c>
      <c r="O77" s="18" t="n">
        <v>0</v>
      </c>
      <c r="P77" s="20" t="n">
        <v>0</v>
      </c>
      <c r="Q77" s="18" t="n">
        <v>11.11801774</v>
      </c>
      <c r="R77" s="20" t="n">
        <v>1.11372785</v>
      </c>
    </row>
    <row r="78" spans="1:18">
      <c r="A78" s="15" t="s">
        <v>638</v>
      </c>
      <c r="B78" s="17" t="n">
        <v>14167</v>
      </c>
      <c r="C78" s="18">
        <f>(11162.0/B78*100)</f>
        <v/>
      </c>
      <c r="D78" s="19" t="n">
        <v>3005</v>
      </c>
      <c r="E78" s="18" t="n">
        <v>56.42462677</v>
      </c>
      <c r="F78" s="20" t="n">
        <v>1.31932829</v>
      </c>
      <c r="G78" s="18" t="n">
        <v>39.01292655</v>
      </c>
      <c r="H78" s="20" t="n">
        <v>1.3850847</v>
      </c>
      <c r="I78" s="18" t="n">
        <v>0</v>
      </c>
      <c r="J78" s="20" t="n">
        <v>0</v>
      </c>
      <c r="K78" s="18" t="n">
        <v>0.56466142</v>
      </c>
      <c r="L78" s="20" t="n">
        <v>0.12805129</v>
      </c>
      <c r="M78" s="18" t="n">
        <v>0</v>
      </c>
      <c r="N78" s="20" t="n">
        <v>0</v>
      </c>
      <c r="O78" s="18" t="n">
        <v>0</v>
      </c>
      <c r="P78" s="20" t="n">
        <v>0</v>
      </c>
      <c r="Q78" s="18" t="n">
        <v>3.99778526</v>
      </c>
      <c r="R78" s="20" t="n">
        <v>0.45158988</v>
      </c>
    </row>
    <row r="79" spans="1:18">
      <c r="A79" s="15" t="s">
        <v>639</v>
      </c>
      <c r="B79" s="17" t="n">
        <v>6062</v>
      </c>
      <c r="C79" s="18">
        <f>(4719.0/B79*100)</f>
        <v/>
      </c>
      <c r="D79" s="19" t="n">
        <v>1343</v>
      </c>
      <c r="E79" s="18" t="n">
        <v>56.77807883</v>
      </c>
      <c r="F79" s="20" t="n">
        <v>1.49953325</v>
      </c>
      <c r="G79" s="18" t="n">
        <v>34.99967312</v>
      </c>
      <c r="H79" s="20" t="n">
        <v>1.54797703</v>
      </c>
      <c r="I79" s="18" t="n">
        <v>0</v>
      </c>
      <c r="J79" s="20" t="n">
        <v>0</v>
      </c>
      <c r="K79" s="18" t="n">
        <v>0.29056104</v>
      </c>
      <c r="L79" s="20" t="n">
        <v>0.15591356</v>
      </c>
      <c r="M79" s="18" t="n">
        <v>0</v>
      </c>
      <c r="N79" s="20" t="n">
        <v>0</v>
      </c>
      <c r="O79" s="18" t="n">
        <v>0</v>
      </c>
      <c r="P79" s="20" t="n">
        <v>0</v>
      </c>
      <c r="Q79" s="18" t="n">
        <v>7.93168701</v>
      </c>
      <c r="R79" s="20" t="n">
        <v>0.85002355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(25279.0/B82*100)</f>
        <v/>
      </c>
      <c r="D82" s="19" t="n">
        <v>7051</v>
      </c>
      <c r="E82" s="18" t="n">
        <v>50.73669415</v>
      </c>
      <c r="F82" s="20" t="n">
        <v>0.89864804</v>
      </c>
      <c r="G82" s="18" t="n">
        <v>45.27577226</v>
      </c>
      <c r="H82" s="20" t="n">
        <v>0.84996078</v>
      </c>
      <c r="I82" s="18" t="n">
        <v>0</v>
      </c>
      <c r="J82" s="20" t="n">
        <v>0</v>
      </c>
      <c r="K82" s="18" t="n">
        <v>0.29872626</v>
      </c>
      <c r="L82" s="20" t="n">
        <v>0.08651184000000001</v>
      </c>
      <c r="M82" s="18" t="n">
        <v>0</v>
      </c>
      <c r="N82" s="20" t="n">
        <v>0</v>
      </c>
      <c r="O82" s="18" t="n">
        <v>0</v>
      </c>
      <c r="P82" s="20" t="n">
        <v>0</v>
      </c>
      <c r="Q82" s="18" t="n">
        <v>3.68880734</v>
      </c>
      <c r="R82" s="20" t="n">
        <v>0.37398713</v>
      </c>
    </row>
    <row r="83" spans="1:18">
      <c r="A83" s="15" t="s">
        <v>643</v>
      </c>
      <c r="B83" s="17" t="n">
        <v>1652</v>
      </c>
      <c r="C83" s="18">
        <f>(1315.0/B83*100)</f>
        <v/>
      </c>
      <c r="D83" s="19" t="n">
        <v>337</v>
      </c>
      <c r="E83" s="18" t="n">
        <v>35.32251955</v>
      </c>
      <c r="F83" s="20" t="n">
        <v>3.86162751</v>
      </c>
      <c r="G83" s="18" t="n">
        <v>62.56968942</v>
      </c>
      <c r="H83" s="20" t="n">
        <v>3.60559607</v>
      </c>
      <c r="I83" s="18" t="n">
        <v>0</v>
      </c>
      <c r="J83" s="20" t="n">
        <v>0</v>
      </c>
      <c r="K83" s="18" t="n">
        <v>0</v>
      </c>
      <c r="L83" s="20" t="n">
        <v>0</v>
      </c>
      <c r="M83" s="18" t="n">
        <v>0</v>
      </c>
      <c r="N83" s="20" t="n">
        <v>0</v>
      </c>
      <c r="O83" s="18" t="n">
        <v>0</v>
      </c>
      <c r="P83" s="20" t="n">
        <v>0</v>
      </c>
      <c r="Q83" s="18" t="n">
        <v>2.10779103</v>
      </c>
      <c r="R83" s="20" t="n">
        <v>0.93038698</v>
      </c>
    </row>
    <row r="84" spans="1:18">
      <c r="A84" s="23" t="s">
        <v>644</v>
      </c>
      <c r="B84" s="24" t="n">
        <v>1887</v>
      </c>
      <c r="C84" s="25">
        <f>(1500.0/B84*100)</f>
        <v/>
      </c>
      <c r="D84" s="19" t="n">
        <v>387</v>
      </c>
      <c r="E84" s="18" t="n">
        <v>45.02260826</v>
      </c>
      <c r="F84" s="20" t="n">
        <v>2.95789481</v>
      </c>
      <c r="G84" s="18" t="n">
        <v>52.72193185</v>
      </c>
      <c r="H84" s="20" t="n">
        <v>2.75626345</v>
      </c>
      <c r="I84" s="18" t="n">
        <v>0</v>
      </c>
      <c r="J84" s="20" t="n">
        <v>0</v>
      </c>
      <c r="K84" s="18" t="n">
        <v>0.23919901</v>
      </c>
      <c r="L84" s="20" t="n">
        <v>0.23642771</v>
      </c>
      <c r="M84" s="18" t="n">
        <v>0</v>
      </c>
      <c r="N84" s="20" t="n">
        <v>0</v>
      </c>
      <c r="O84" s="18" t="n">
        <v>0</v>
      </c>
      <c r="P84" s="20" t="n">
        <v>0</v>
      </c>
      <c r="Q84" s="18" t="n">
        <v>2.01626089</v>
      </c>
      <c r="R84" s="20" t="n">
        <v>0.63512304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0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(11393.0/B7*100)</f>
        <v/>
      </c>
      <c r="D7" s="19" t="n">
        <v>3137</v>
      </c>
      <c r="E7" s="18" t="n">
        <v>24.42164369</v>
      </c>
      <c r="F7" s="20" t="n">
        <v>0.9178773</v>
      </c>
      <c r="G7" s="18" t="n">
        <v>73.84752073</v>
      </c>
      <c r="H7" s="20" t="n">
        <v>0.94422468</v>
      </c>
      <c r="I7" s="18" t="n">
        <v>0</v>
      </c>
      <c r="J7" s="20" t="n">
        <v>0</v>
      </c>
      <c r="K7" s="18" t="n">
        <v>0.26974492</v>
      </c>
      <c r="L7" s="20" t="n">
        <v>0.11579539</v>
      </c>
      <c r="M7" s="18" t="n">
        <v>0</v>
      </c>
      <c r="N7" s="20" t="n">
        <v>0</v>
      </c>
      <c r="O7" s="18" t="n">
        <v>0</v>
      </c>
      <c r="P7" s="20" t="n">
        <v>0</v>
      </c>
      <c r="Q7" s="18" t="n">
        <v>1.46109065</v>
      </c>
      <c r="R7" s="20" t="n">
        <v>0.24948765</v>
      </c>
    </row>
    <row r="8" spans="1:18">
      <c r="A8" s="15" t="s">
        <v>566</v>
      </c>
      <c r="B8" s="17" t="n">
        <v>7007</v>
      </c>
      <c r="C8" s="18">
        <f>(5420.0/B8*100)</f>
        <v/>
      </c>
      <c r="D8" s="19" t="n">
        <v>1587</v>
      </c>
      <c r="E8" s="18" t="n">
        <v>28.06387521</v>
      </c>
      <c r="F8" s="20" t="n">
        <v>1.32812116</v>
      </c>
      <c r="G8" s="18" t="n">
        <v>70.219843</v>
      </c>
      <c r="H8" s="20" t="n">
        <v>1.36624874</v>
      </c>
      <c r="I8" s="18" t="n">
        <v>0</v>
      </c>
      <c r="J8" s="20" t="n">
        <v>0</v>
      </c>
      <c r="K8" s="18" t="n">
        <v>0.11694043</v>
      </c>
      <c r="L8" s="20" t="n">
        <v>0.08982025</v>
      </c>
      <c r="M8" s="18" t="n">
        <v>0</v>
      </c>
      <c r="N8" s="20" t="n">
        <v>0</v>
      </c>
      <c r="O8" s="18" t="n">
        <v>0</v>
      </c>
      <c r="P8" s="20" t="n">
        <v>0</v>
      </c>
      <c r="Q8" s="18" t="n">
        <v>1.59934137</v>
      </c>
      <c r="R8" s="20" t="n">
        <v>0.35789748</v>
      </c>
    </row>
    <row r="9" spans="1:18">
      <c r="A9" s="15" t="s">
        <v>567</v>
      </c>
      <c r="B9" s="17" t="n">
        <v>9651</v>
      </c>
      <c r="C9" s="18">
        <f>(7617.0/B9*100)</f>
        <v/>
      </c>
      <c r="D9" s="19" t="n">
        <v>2034</v>
      </c>
      <c r="E9" s="18" t="n">
        <v>25.63466814</v>
      </c>
      <c r="F9" s="20" t="n">
        <v>0.9243017100000001</v>
      </c>
      <c r="G9" s="18" t="n">
        <v>72.76667444</v>
      </c>
      <c r="H9" s="20" t="n">
        <v>0.99126281</v>
      </c>
      <c r="I9" s="18" t="n">
        <v>0</v>
      </c>
      <c r="J9" s="20" t="n">
        <v>0</v>
      </c>
      <c r="K9" s="18" t="n">
        <v>0.25553344</v>
      </c>
      <c r="L9" s="20" t="n">
        <v>0.12459626</v>
      </c>
      <c r="M9" s="18" t="n">
        <v>0</v>
      </c>
      <c r="N9" s="20" t="n">
        <v>0</v>
      </c>
      <c r="O9" s="18" t="n">
        <v>0</v>
      </c>
      <c r="P9" s="20" t="n">
        <v>0</v>
      </c>
      <c r="Q9" s="18" t="n">
        <v>1.34312398</v>
      </c>
      <c r="R9" s="20" t="n">
        <v>0.26659501</v>
      </c>
    </row>
    <row r="10" spans="1:18">
      <c r="A10" s="15" t="s">
        <v>568</v>
      </c>
      <c r="B10" s="17" t="n">
        <v>20058</v>
      </c>
      <c r="C10" s="18">
        <f>(15634.0/B10*100)</f>
        <v/>
      </c>
      <c r="D10" s="19" t="n">
        <v>4424</v>
      </c>
      <c r="E10" s="18" t="n">
        <v>22.1931958</v>
      </c>
      <c r="F10" s="20" t="n">
        <v>0.94425353</v>
      </c>
      <c r="G10" s="18" t="n">
        <v>76.50254676</v>
      </c>
      <c r="H10" s="20" t="n">
        <v>0.94524211</v>
      </c>
      <c r="I10" s="18" t="n">
        <v>0</v>
      </c>
      <c r="J10" s="20" t="n">
        <v>0</v>
      </c>
      <c r="K10" s="18" t="n">
        <v>0.4375588</v>
      </c>
      <c r="L10" s="20" t="n">
        <v>0.16378028</v>
      </c>
      <c r="M10" s="18" t="n">
        <v>0</v>
      </c>
      <c r="N10" s="20" t="n">
        <v>0</v>
      </c>
      <c r="O10" s="18" t="n">
        <v>0</v>
      </c>
      <c r="P10" s="20" t="n">
        <v>0</v>
      </c>
      <c r="Q10" s="18" t="n">
        <v>0.86669864</v>
      </c>
      <c r="R10" s="20" t="n">
        <v>0.18926885</v>
      </c>
    </row>
    <row r="11" spans="1:18">
      <c r="A11" s="15" t="s">
        <v>569</v>
      </c>
      <c r="B11" s="17" t="n">
        <v>7053</v>
      </c>
      <c r="C11" s="18">
        <f>(5538.0/B11*100)</f>
        <v/>
      </c>
      <c r="D11" s="19" t="n">
        <v>1515</v>
      </c>
      <c r="E11" s="18" t="n">
        <v>36.17600378</v>
      </c>
      <c r="F11" s="20" t="n">
        <v>1.60630137</v>
      </c>
      <c r="G11" s="18" t="n">
        <v>61.58135985</v>
      </c>
      <c r="H11" s="20" t="n">
        <v>1.69375203</v>
      </c>
      <c r="I11" s="18" t="n">
        <v>0</v>
      </c>
      <c r="J11" s="20" t="n">
        <v>0</v>
      </c>
      <c r="K11" s="18" t="n">
        <v>0.33276066</v>
      </c>
      <c r="L11" s="20" t="n">
        <v>0.10924808</v>
      </c>
      <c r="M11" s="18" t="n">
        <v>0</v>
      </c>
      <c r="N11" s="20" t="n">
        <v>0</v>
      </c>
      <c r="O11" s="18" t="n">
        <v>0</v>
      </c>
      <c r="P11" s="20" t="n">
        <v>0</v>
      </c>
      <c r="Q11" s="18" t="n">
        <v>1.9098757</v>
      </c>
      <c r="R11" s="20" t="n">
        <v>0.41161025</v>
      </c>
    </row>
    <row r="12" spans="1:18">
      <c r="A12" s="15" t="s">
        <v>570</v>
      </c>
      <c r="B12" s="17" t="n">
        <v>6894</v>
      </c>
      <c r="C12" s="18">
        <f>(5403.0/B12*100)</f>
        <v/>
      </c>
      <c r="D12" s="19" t="n">
        <v>1491</v>
      </c>
      <c r="E12" s="18" t="n">
        <v>26.09889078</v>
      </c>
      <c r="F12" s="20" t="n">
        <v>1.36346928</v>
      </c>
      <c r="G12" s="18" t="n">
        <v>72.8053714</v>
      </c>
      <c r="H12" s="20" t="n">
        <v>1.48180383</v>
      </c>
      <c r="I12" s="18" t="n">
        <v>0</v>
      </c>
      <c r="J12" s="20" t="n">
        <v>0</v>
      </c>
      <c r="K12" s="18" t="n">
        <v>0</v>
      </c>
      <c r="L12" s="20" t="n">
        <v>0</v>
      </c>
      <c r="M12" s="18" t="n">
        <v>0</v>
      </c>
      <c r="N12" s="20" t="n">
        <v>0</v>
      </c>
      <c r="O12" s="18" t="n">
        <v>0</v>
      </c>
      <c r="P12" s="20" t="n">
        <v>0</v>
      </c>
      <c r="Q12" s="18" t="n">
        <v>1.09573781</v>
      </c>
      <c r="R12" s="20" t="n">
        <v>0.34498565</v>
      </c>
    </row>
    <row r="13" spans="1:18">
      <c r="A13" s="15" t="s">
        <v>571</v>
      </c>
      <c r="B13" s="17" t="n">
        <v>7161</v>
      </c>
      <c r="C13" s="18">
        <f>(5640.0/B13*100)</f>
        <v/>
      </c>
      <c r="D13" s="19" t="n">
        <v>1521</v>
      </c>
      <c r="E13" s="18" t="n">
        <v>25.12868661</v>
      </c>
      <c r="F13" s="20" t="n">
        <v>1.4603318</v>
      </c>
      <c r="G13" s="18" t="n">
        <v>73.04876197999999</v>
      </c>
      <c r="H13" s="20" t="n">
        <v>1.56586633</v>
      </c>
      <c r="I13" s="18" t="n">
        <v>0</v>
      </c>
      <c r="J13" s="20" t="n">
        <v>0</v>
      </c>
      <c r="K13" s="18" t="n">
        <v>0.38656426</v>
      </c>
      <c r="L13" s="20" t="n">
        <v>0.21431034</v>
      </c>
      <c r="M13" s="18" t="n">
        <v>0</v>
      </c>
      <c r="N13" s="20" t="n">
        <v>0</v>
      </c>
      <c r="O13" s="18" t="n">
        <v>0</v>
      </c>
      <c r="P13" s="20" t="n">
        <v>0</v>
      </c>
      <c r="Q13" s="18" t="n">
        <v>1.43598715</v>
      </c>
      <c r="R13" s="20" t="n">
        <v>0.32838569</v>
      </c>
    </row>
    <row r="14" spans="1:18">
      <c r="A14" s="15" t="s">
        <v>572</v>
      </c>
      <c r="B14" s="17" t="n">
        <v>5587</v>
      </c>
      <c r="C14" s="18">
        <f>(4287.0/B14*100)</f>
        <v/>
      </c>
      <c r="D14" s="19" t="n">
        <v>1300</v>
      </c>
      <c r="E14" s="18" t="n">
        <v>20.62780004</v>
      </c>
      <c r="F14" s="20" t="n">
        <v>1.25724104</v>
      </c>
      <c r="G14" s="18" t="n">
        <v>78.73519396</v>
      </c>
      <c r="H14" s="20" t="n">
        <v>1.30893496</v>
      </c>
      <c r="I14" s="18" t="n">
        <v>0</v>
      </c>
      <c r="J14" s="20" t="n">
        <v>0</v>
      </c>
      <c r="K14" s="18" t="n">
        <v>0.21976724</v>
      </c>
      <c r="L14" s="20" t="n">
        <v>0.11663014</v>
      </c>
      <c r="M14" s="18" t="n">
        <v>0</v>
      </c>
      <c r="N14" s="20" t="n">
        <v>0</v>
      </c>
      <c r="O14" s="18" t="n">
        <v>0</v>
      </c>
      <c r="P14" s="20" t="n">
        <v>0</v>
      </c>
      <c r="Q14" s="18" t="n">
        <v>0.41723876</v>
      </c>
      <c r="R14" s="20" t="n">
        <v>0.13561914</v>
      </c>
    </row>
    <row r="15" spans="1:18">
      <c r="A15" s="15" t="s">
        <v>573</v>
      </c>
      <c r="B15" s="17" t="n">
        <v>5882</v>
      </c>
      <c r="C15" s="18">
        <f>(4577.0/B15*100)</f>
        <v/>
      </c>
      <c r="D15" s="19" t="n">
        <v>1305</v>
      </c>
      <c r="E15" s="18" t="n">
        <v>20.28515325</v>
      </c>
      <c r="F15" s="20" t="n">
        <v>1.23383412</v>
      </c>
      <c r="G15" s="18" t="n">
        <v>78.76709851</v>
      </c>
      <c r="H15" s="20" t="n">
        <v>1.23253731</v>
      </c>
      <c r="I15" s="18" t="n">
        <v>0</v>
      </c>
      <c r="J15" s="20" t="n">
        <v>0</v>
      </c>
      <c r="K15" s="18" t="n">
        <v>0</v>
      </c>
      <c r="L15" s="20" t="n">
        <v>0</v>
      </c>
      <c r="M15" s="18" t="n">
        <v>0</v>
      </c>
      <c r="N15" s="20" t="n">
        <v>0</v>
      </c>
      <c r="O15" s="18" t="n">
        <v>0</v>
      </c>
      <c r="P15" s="20" t="n">
        <v>0</v>
      </c>
      <c r="Q15" s="18" t="n">
        <v>0.94774824</v>
      </c>
      <c r="R15" s="20" t="n">
        <v>0.26081636</v>
      </c>
    </row>
    <row r="16" spans="1:18">
      <c r="A16" s="15" t="s">
        <v>574</v>
      </c>
      <c r="B16" s="17" t="n">
        <v>6108</v>
      </c>
      <c r="C16" s="18">
        <f>(4762.0/B16*100)</f>
        <v/>
      </c>
      <c r="D16" s="19" t="n">
        <v>1346</v>
      </c>
      <c r="E16" s="18" t="n">
        <v>29.00536095</v>
      </c>
      <c r="F16" s="20" t="n">
        <v>1.28266675</v>
      </c>
      <c r="G16" s="18" t="n">
        <v>68.22295378</v>
      </c>
      <c r="H16" s="20" t="n">
        <v>1.44730155</v>
      </c>
      <c r="I16" s="18" t="n">
        <v>0</v>
      </c>
      <c r="J16" s="20" t="n">
        <v>0</v>
      </c>
      <c r="K16" s="18" t="n">
        <v>0.70119444</v>
      </c>
      <c r="L16" s="20" t="n">
        <v>0.21232781</v>
      </c>
      <c r="M16" s="18" t="n">
        <v>0</v>
      </c>
      <c r="N16" s="20" t="n">
        <v>0</v>
      </c>
      <c r="O16" s="18" t="n">
        <v>0</v>
      </c>
      <c r="P16" s="20" t="n">
        <v>0</v>
      </c>
      <c r="Q16" s="18" t="n">
        <v>2.07049083</v>
      </c>
      <c r="R16" s="20" t="n">
        <v>0.49034275</v>
      </c>
    </row>
    <row r="17" spans="1:18">
      <c r="A17" s="15" t="s">
        <v>575</v>
      </c>
      <c r="B17" s="17" t="n">
        <v>6504</v>
      </c>
      <c r="C17" s="18">
        <f>(5088.0/B17*100)</f>
        <v/>
      </c>
      <c r="D17" s="19" t="n">
        <v>1416</v>
      </c>
      <c r="E17" s="18" t="n">
        <v>25.98974774</v>
      </c>
      <c r="F17" s="20" t="n">
        <v>1.27281301</v>
      </c>
      <c r="G17" s="18" t="n">
        <v>72.82531336</v>
      </c>
      <c r="H17" s="20" t="n">
        <v>1.29430173</v>
      </c>
      <c r="I17" s="18" t="n">
        <v>0</v>
      </c>
      <c r="J17" s="20" t="n">
        <v>0</v>
      </c>
      <c r="K17" s="18" t="n">
        <v>0.11110754</v>
      </c>
      <c r="L17" s="20" t="n">
        <v>0.09091596</v>
      </c>
      <c r="M17" s="18" t="n">
        <v>0</v>
      </c>
      <c r="N17" s="20" t="n">
        <v>0</v>
      </c>
      <c r="O17" s="18" t="n">
        <v>0</v>
      </c>
      <c r="P17" s="20" t="n">
        <v>0</v>
      </c>
      <c r="Q17" s="18" t="n">
        <v>1.07383136</v>
      </c>
      <c r="R17" s="20" t="n">
        <v>0.2742714</v>
      </c>
    </row>
    <row r="18" spans="1:18">
      <c r="A18" s="15" t="s">
        <v>576</v>
      </c>
      <c r="B18" s="17" t="n">
        <v>5532</v>
      </c>
      <c r="C18" s="18">
        <f>(4303.0/B18*100)</f>
        <v/>
      </c>
      <c r="D18" s="19" t="n">
        <v>1229</v>
      </c>
      <c r="E18" s="18" t="n">
        <v>40.05693282</v>
      </c>
      <c r="F18" s="20" t="n">
        <v>1.72371085</v>
      </c>
      <c r="G18" s="18" t="n">
        <v>58.03869662</v>
      </c>
      <c r="H18" s="20" t="n">
        <v>1.65362165</v>
      </c>
      <c r="I18" s="18" t="n">
        <v>0</v>
      </c>
      <c r="J18" s="20" t="n">
        <v>0</v>
      </c>
      <c r="K18" s="18" t="n">
        <v>0.30254521</v>
      </c>
      <c r="L18" s="20" t="n">
        <v>0.16202887</v>
      </c>
      <c r="M18" s="18" t="n">
        <v>0</v>
      </c>
      <c r="N18" s="20" t="n">
        <v>0</v>
      </c>
      <c r="O18" s="18" t="n">
        <v>0</v>
      </c>
      <c r="P18" s="20" t="n">
        <v>0</v>
      </c>
      <c r="Q18" s="18" t="n">
        <v>1.60182534</v>
      </c>
      <c r="R18" s="20" t="n">
        <v>0.38554661</v>
      </c>
    </row>
    <row r="19" spans="1:18">
      <c r="A19" s="15" t="s">
        <v>577</v>
      </c>
      <c r="B19" s="17" t="n">
        <v>5658</v>
      </c>
      <c r="C19" s="18">
        <f>(4423.0/B19*100)</f>
        <v/>
      </c>
      <c r="D19" s="19" t="n">
        <v>1235</v>
      </c>
      <c r="E19" s="18" t="n">
        <v>37.14594198</v>
      </c>
      <c r="F19" s="20" t="n">
        <v>1.66319981</v>
      </c>
      <c r="G19" s="18" t="n">
        <v>61.82691646</v>
      </c>
      <c r="H19" s="20" t="n">
        <v>1.69277246</v>
      </c>
      <c r="I19" s="18" t="n">
        <v>0</v>
      </c>
      <c r="J19" s="20" t="n">
        <v>0</v>
      </c>
      <c r="K19" s="18" t="n">
        <v>0.261403</v>
      </c>
      <c r="L19" s="20" t="n">
        <v>0.19181995</v>
      </c>
      <c r="M19" s="18" t="n">
        <v>0</v>
      </c>
      <c r="N19" s="20" t="n">
        <v>0</v>
      </c>
      <c r="O19" s="18" t="n">
        <v>0</v>
      </c>
      <c r="P19" s="20" t="n">
        <v>0</v>
      </c>
      <c r="Q19" s="18" t="n">
        <v>0.76573856</v>
      </c>
      <c r="R19" s="20" t="n">
        <v>0.23291564</v>
      </c>
    </row>
    <row r="20" spans="1:18">
      <c r="A20" s="15" t="s">
        <v>578</v>
      </c>
      <c r="B20" s="17" t="n">
        <v>3371</v>
      </c>
      <c r="C20" s="18">
        <f>(2634.0/B20*100)</f>
        <v/>
      </c>
      <c r="D20" s="19" t="n">
        <v>737</v>
      </c>
      <c r="E20" s="18" t="n">
        <v>26.97257739</v>
      </c>
      <c r="F20" s="20" t="n">
        <v>1.57725967</v>
      </c>
      <c r="G20" s="18" t="n">
        <v>70.19971246999999</v>
      </c>
      <c r="H20" s="20" t="n">
        <v>1.80414288</v>
      </c>
      <c r="I20" s="18" t="n">
        <v>0</v>
      </c>
      <c r="J20" s="20" t="n">
        <v>0</v>
      </c>
      <c r="K20" s="18" t="n">
        <v>0.7933255</v>
      </c>
      <c r="L20" s="20" t="n">
        <v>0.32738267</v>
      </c>
      <c r="M20" s="18" t="n">
        <v>0</v>
      </c>
      <c r="N20" s="20" t="n">
        <v>0</v>
      </c>
      <c r="O20" s="18" t="n">
        <v>0</v>
      </c>
      <c r="P20" s="20" t="n">
        <v>0</v>
      </c>
      <c r="Q20" s="18" t="n">
        <v>2.03438463</v>
      </c>
      <c r="R20" s="20" t="n">
        <v>0.56404234</v>
      </c>
    </row>
    <row r="21" spans="1:18">
      <c r="A21" s="15" t="s">
        <v>579</v>
      </c>
      <c r="B21" s="17" t="n">
        <v>5741</v>
      </c>
      <c r="C21" s="18">
        <f>(4462.0/B21*100)</f>
        <v/>
      </c>
      <c r="D21" s="19" t="n">
        <v>1279</v>
      </c>
      <c r="E21" s="18" t="n">
        <v>26.28550453</v>
      </c>
      <c r="F21" s="20" t="n">
        <v>1.1595581</v>
      </c>
      <c r="G21" s="18" t="n">
        <v>72.76160307000001</v>
      </c>
      <c r="H21" s="20" t="n">
        <v>1.24522827</v>
      </c>
      <c r="I21" s="18" t="n">
        <v>0</v>
      </c>
      <c r="J21" s="20" t="n">
        <v>0</v>
      </c>
      <c r="K21" s="18" t="n">
        <v>0.08395339</v>
      </c>
      <c r="L21" s="20" t="n">
        <v>0.09018231</v>
      </c>
      <c r="M21" s="18" t="n">
        <v>0</v>
      </c>
      <c r="N21" s="20" t="n">
        <v>0</v>
      </c>
      <c r="O21" s="18" t="n">
        <v>0</v>
      </c>
      <c r="P21" s="20" t="n">
        <v>0</v>
      </c>
      <c r="Q21" s="18" t="n">
        <v>0.868939</v>
      </c>
      <c r="R21" s="20" t="n">
        <v>0.24613879</v>
      </c>
    </row>
    <row r="22" spans="1:18">
      <c r="A22" s="15" t="s">
        <v>580</v>
      </c>
      <c r="B22" s="17" t="n">
        <v>6598</v>
      </c>
      <c r="C22" s="18">
        <f>(5134.0/B22*100)</f>
        <v/>
      </c>
      <c r="D22" s="19" t="n">
        <v>1464</v>
      </c>
      <c r="E22" s="18" t="n">
        <v>38.37593411</v>
      </c>
      <c r="F22" s="20" t="n">
        <v>1.48655492</v>
      </c>
      <c r="G22" s="18" t="n">
        <v>58.59046859</v>
      </c>
      <c r="H22" s="20" t="n">
        <v>1.49596738</v>
      </c>
      <c r="I22" s="18" t="n">
        <v>0</v>
      </c>
      <c r="J22" s="20" t="n">
        <v>0</v>
      </c>
      <c r="K22" s="18" t="n">
        <v>0.25297426</v>
      </c>
      <c r="L22" s="20" t="n">
        <v>0.16938158</v>
      </c>
      <c r="M22" s="18" t="n">
        <v>0</v>
      </c>
      <c r="N22" s="20" t="n">
        <v>0</v>
      </c>
      <c r="O22" s="18" t="n">
        <v>0</v>
      </c>
      <c r="P22" s="20" t="n">
        <v>0</v>
      </c>
      <c r="Q22" s="18" t="n">
        <v>2.78062304</v>
      </c>
      <c r="R22" s="20" t="n">
        <v>0.45818349</v>
      </c>
    </row>
    <row r="23" spans="1:18">
      <c r="A23" s="15" t="s">
        <v>581</v>
      </c>
      <c r="B23" s="17" t="n">
        <v>11583</v>
      </c>
      <c r="C23" s="18">
        <f>(9055.0/B23*100)</f>
        <v/>
      </c>
      <c r="D23" s="19" t="n">
        <v>2528</v>
      </c>
      <c r="E23" s="18" t="n">
        <v>27.67346368</v>
      </c>
      <c r="F23" s="20" t="n">
        <v>1.6180235</v>
      </c>
      <c r="G23" s="18" t="n">
        <v>69.77453686</v>
      </c>
      <c r="H23" s="20" t="n">
        <v>1.69689544</v>
      </c>
      <c r="I23" s="18" t="n">
        <v>0</v>
      </c>
      <c r="J23" s="20" t="n">
        <v>0</v>
      </c>
      <c r="K23" s="18" t="n">
        <v>0.49788393</v>
      </c>
      <c r="L23" s="20" t="n">
        <v>0.24640524</v>
      </c>
      <c r="M23" s="18" t="n">
        <v>0</v>
      </c>
      <c r="N23" s="20" t="n">
        <v>0</v>
      </c>
      <c r="O23" s="18" t="n">
        <v>0</v>
      </c>
      <c r="P23" s="20" t="n">
        <v>0</v>
      </c>
      <c r="Q23" s="18" t="n">
        <v>2.05411554</v>
      </c>
      <c r="R23" s="20" t="n">
        <v>0.46405611</v>
      </c>
    </row>
    <row r="24" spans="1:18">
      <c r="A24" s="15" t="s">
        <v>582</v>
      </c>
      <c r="B24" s="17" t="n">
        <v>6647</v>
      </c>
      <c r="C24" s="18">
        <f>(5199.0/B24*100)</f>
        <v/>
      </c>
      <c r="D24" s="19" t="n">
        <v>1448</v>
      </c>
      <c r="E24" s="18" t="n">
        <v>19.56312043</v>
      </c>
      <c r="F24" s="20" t="n">
        <v>1.27932308</v>
      </c>
      <c r="G24" s="18" t="n">
        <v>79.53580624</v>
      </c>
      <c r="H24" s="20" t="n">
        <v>1.29591924</v>
      </c>
      <c r="I24" s="18" t="n">
        <v>0</v>
      </c>
      <c r="J24" s="20" t="n">
        <v>0</v>
      </c>
      <c r="K24" s="18" t="n">
        <v>0.20240499</v>
      </c>
      <c r="L24" s="20" t="n">
        <v>0.1171033</v>
      </c>
      <c r="M24" s="18" t="n">
        <v>0</v>
      </c>
      <c r="N24" s="20" t="n">
        <v>0</v>
      </c>
      <c r="O24" s="18" t="n">
        <v>0</v>
      </c>
      <c r="P24" s="20" t="n">
        <v>0</v>
      </c>
      <c r="Q24" s="18" t="n">
        <v>0.69866834</v>
      </c>
      <c r="R24" s="20" t="n">
        <v>0.20360776</v>
      </c>
    </row>
    <row r="25" spans="1:18">
      <c r="A25" s="15" t="s">
        <v>583</v>
      </c>
      <c r="B25" s="17" t="n">
        <v>5581</v>
      </c>
      <c r="C25" s="18">
        <f>(4319.0/B25*100)</f>
        <v/>
      </c>
      <c r="D25" s="19" t="n">
        <v>1262</v>
      </c>
      <c r="E25" s="18" t="n">
        <v>24.05067891</v>
      </c>
      <c r="F25" s="20" t="n">
        <v>1.31011326</v>
      </c>
      <c r="G25" s="18" t="n">
        <v>75.39104746</v>
      </c>
      <c r="H25" s="20" t="n">
        <v>1.31743003</v>
      </c>
      <c r="I25" s="18" t="n">
        <v>0</v>
      </c>
      <c r="J25" s="20" t="n">
        <v>0</v>
      </c>
      <c r="K25" s="18" t="n">
        <v>0</v>
      </c>
      <c r="L25" s="20" t="n">
        <v>0</v>
      </c>
      <c r="M25" s="18" t="n">
        <v>0</v>
      </c>
      <c r="N25" s="20" t="n">
        <v>0</v>
      </c>
      <c r="O25" s="18" t="n">
        <v>0</v>
      </c>
      <c r="P25" s="20" t="n">
        <v>0</v>
      </c>
      <c r="Q25" s="18" t="n">
        <v>0.55827363</v>
      </c>
      <c r="R25" s="20" t="n">
        <v>0.20999913</v>
      </c>
    </row>
    <row r="26" spans="1:18">
      <c r="A26" s="15" t="s">
        <v>584</v>
      </c>
      <c r="B26" s="17" t="n">
        <v>4869</v>
      </c>
      <c r="C26" s="18">
        <f>(3778.0/B26*100)</f>
        <v/>
      </c>
      <c r="D26" s="19" t="n">
        <v>1091</v>
      </c>
      <c r="E26" s="18" t="n">
        <v>27.3332674</v>
      </c>
      <c r="F26" s="20" t="n">
        <v>1.26763301</v>
      </c>
      <c r="G26" s="18" t="n">
        <v>71.70342979999999</v>
      </c>
      <c r="H26" s="20" t="n">
        <v>1.24647918</v>
      </c>
      <c r="I26" s="18" t="n">
        <v>0</v>
      </c>
      <c r="J26" s="20" t="n">
        <v>0</v>
      </c>
      <c r="K26" s="18" t="n">
        <v>0.33264944</v>
      </c>
      <c r="L26" s="20" t="n">
        <v>0.22770378</v>
      </c>
      <c r="M26" s="18" t="n">
        <v>0</v>
      </c>
      <c r="N26" s="20" t="n">
        <v>0</v>
      </c>
      <c r="O26" s="18" t="n">
        <v>0</v>
      </c>
      <c r="P26" s="20" t="n">
        <v>0</v>
      </c>
      <c r="Q26" s="18" t="n">
        <v>0.6306533600000001</v>
      </c>
      <c r="R26" s="20" t="n">
        <v>0.27351022</v>
      </c>
    </row>
    <row r="27" spans="1:18">
      <c r="A27" s="15" t="s">
        <v>585</v>
      </c>
      <c r="B27" s="17" t="n">
        <v>5299</v>
      </c>
      <c r="C27" s="18">
        <f>(4153.0/B27*100)</f>
        <v/>
      </c>
      <c r="D27" s="19" t="n">
        <v>1146</v>
      </c>
      <c r="E27" s="18" t="n">
        <v>31.29404633</v>
      </c>
      <c r="F27" s="20" t="n">
        <v>1.37042665</v>
      </c>
      <c r="G27" s="18" t="n">
        <v>66.49406347</v>
      </c>
      <c r="H27" s="20" t="n">
        <v>1.3718339</v>
      </c>
      <c r="I27" s="18" t="n">
        <v>0</v>
      </c>
      <c r="J27" s="20" t="n">
        <v>0</v>
      </c>
      <c r="K27" s="18" t="n">
        <v>0.1816186</v>
      </c>
      <c r="L27" s="20" t="n">
        <v>0.12755576</v>
      </c>
      <c r="M27" s="18" t="n">
        <v>0</v>
      </c>
      <c r="N27" s="20" t="n">
        <v>0</v>
      </c>
      <c r="O27" s="18" t="n">
        <v>0</v>
      </c>
      <c r="P27" s="20" t="n">
        <v>0</v>
      </c>
      <c r="Q27" s="18" t="n">
        <v>2.03027159</v>
      </c>
      <c r="R27" s="20" t="n">
        <v>0.36870857</v>
      </c>
    </row>
    <row r="28" spans="1:18">
      <c r="A28" s="15" t="s">
        <v>586</v>
      </c>
      <c r="B28" s="17" t="n">
        <v>7568</v>
      </c>
      <c r="C28" s="18">
        <f>(5911.0/B28*100)</f>
        <v/>
      </c>
      <c r="D28" s="19" t="n">
        <v>1657</v>
      </c>
      <c r="E28" s="18" t="n">
        <v>48.69698599</v>
      </c>
      <c r="F28" s="20" t="n">
        <v>1.56929513</v>
      </c>
      <c r="G28" s="18" t="n">
        <v>50.44136378</v>
      </c>
      <c r="H28" s="20" t="n">
        <v>1.60908153</v>
      </c>
      <c r="I28" s="18" t="n">
        <v>0</v>
      </c>
      <c r="J28" s="20" t="n">
        <v>0</v>
      </c>
      <c r="K28" s="18" t="n">
        <v>0.21354768</v>
      </c>
      <c r="L28" s="20" t="n">
        <v>0.13324885</v>
      </c>
      <c r="M28" s="18" t="n">
        <v>0</v>
      </c>
      <c r="N28" s="20" t="n">
        <v>0</v>
      </c>
      <c r="O28" s="18" t="n">
        <v>0</v>
      </c>
      <c r="P28" s="20" t="n">
        <v>0</v>
      </c>
      <c r="Q28" s="18" t="n">
        <v>0.6481025500000001</v>
      </c>
      <c r="R28" s="20" t="n">
        <v>0.264509</v>
      </c>
    </row>
    <row r="29" spans="1:18">
      <c r="A29" s="15" t="s">
        <v>587</v>
      </c>
      <c r="B29" s="17" t="n">
        <v>5385</v>
      </c>
      <c r="C29" s="18">
        <f>(4242.0/B29*100)</f>
        <v/>
      </c>
      <c r="D29" s="19" t="n">
        <v>1143</v>
      </c>
      <c r="E29" s="18" t="n">
        <v>25.52069297</v>
      </c>
      <c r="F29" s="20" t="n">
        <v>1.36475919</v>
      </c>
      <c r="G29" s="18" t="n">
        <v>73.70451545</v>
      </c>
      <c r="H29" s="20" t="n">
        <v>1.37874652</v>
      </c>
      <c r="I29" s="18" t="n">
        <v>0</v>
      </c>
      <c r="J29" s="20" t="n">
        <v>0</v>
      </c>
      <c r="K29" s="18" t="n">
        <v>0.08975223</v>
      </c>
      <c r="L29" s="20" t="n">
        <v>0.08922898999999999</v>
      </c>
      <c r="M29" s="18" t="n">
        <v>0</v>
      </c>
      <c r="N29" s="20" t="n">
        <v>0</v>
      </c>
      <c r="O29" s="18" t="n">
        <v>0</v>
      </c>
      <c r="P29" s="20" t="n">
        <v>0</v>
      </c>
      <c r="Q29" s="18" t="n">
        <v>0.68503936</v>
      </c>
      <c r="R29" s="20" t="n">
        <v>0.27816113</v>
      </c>
    </row>
    <row r="30" spans="1:18">
      <c r="A30" s="15" t="s">
        <v>588</v>
      </c>
      <c r="B30" s="17" t="n">
        <v>4520</v>
      </c>
      <c r="C30" s="18">
        <f>(3534.0/B30*100)</f>
        <v/>
      </c>
      <c r="D30" s="19" t="n">
        <v>986</v>
      </c>
      <c r="E30" s="18" t="n">
        <v>25.4622281</v>
      </c>
      <c r="F30" s="20" t="n">
        <v>1.11640217</v>
      </c>
      <c r="G30" s="18" t="n">
        <v>73.56162843</v>
      </c>
      <c r="H30" s="20" t="n">
        <v>1.14582745</v>
      </c>
      <c r="I30" s="18" t="n">
        <v>0</v>
      </c>
      <c r="J30" s="20" t="n">
        <v>0</v>
      </c>
      <c r="K30" s="18" t="n">
        <v>0.10087251</v>
      </c>
      <c r="L30" s="20" t="n">
        <v>0.08893497</v>
      </c>
      <c r="M30" s="18" t="n">
        <v>0</v>
      </c>
      <c r="N30" s="20" t="n">
        <v>0</v>
      </c>
      <c r="O30" s="18" t="n">
        <v>0</v>
      </c>
      <c r="P30" s="20" t="n">
        <v>0</v>
      </c>
      <c r="Q30" s="18" t="n">
        <v>0.87527096</v>
      </c>
      <c r="R30" s="20" t="n">
        <v>0.22738781</v>
      </c>
    </row>
    <row r="31" spans="1:18">
      <c r="A31" s="15" t="s">
        <v>589</v>
      </c>
      <c r="B31" s="17" t="n">
        <v>5456</v>
      </c>
      <c r="C31" s="18">
        <f>(4228.0/B31*100)</f>
        <v/>
      </c>
      <c r="D31" s="19" t="n">
        <v>1228</v>
      </c>
      <c r="E31" s="18" t="n">
        <v>24.89596025</v>
      </c>
      <c r="F31" s="20" t="n">
        <v>1.42972306</v>
      </c>
      <c r="G31" s="18" t="n">
        <v>72.658896</v>
      </c>
      <c r="H31" s="20" t="n">
        <v>1.40054086</v>
      </c>
      <c r="I31" s="18" t="n">
        <v>0</v>
      </c>
      <c r="J31" s="20" t="n">
        <v>0</v>
      </c>
      <c r="K31" s="18" t="n">
        <v>0.58314109</v>
      </c>
      <c r="L31" s="20" t="n">
        <v>0.22099186</v>
      </c>
      <c r="M31" s="18" t="n">
        <v>0</v>
      </c>
      <c r="N31" s="20" t="n">
        <v>0</v>
      </c>
      <c r="O31" s="18" t="n">
        <v>0</v>
      </c>
      <c r="P31" s="20" t="n">
        <v>0</v>
      </c>
      <c r="Q31" s="18" t="n">
        <v>1.86200266</v>
      </c>
      <c r="R31" s="20" t="n">
        <v>0.43851774</v>
      </c>
    </row>
    <row r="32" spans="1:18">
      <c r="A32" s="15" t="s">
        <v>590</v>
      </c>
      <c r="B32" s="17" t="n">
        <v>4478</v>
      </c>
      <c r="C32" s="18">
        <f>(3464.0/B32*100)</f>
        <v/>
      </c>
      <c r="D32" s="19" t="n">
        <v>1014</v>
      </c>
      <c r="E32" s="18" t="n">
        <v>29.1449511</v>
      </c>
      <c r="F32" s="20" t="n">
        <v>1.38558273</v>
      </c>
      <c r="G32" s="18" t="n">
        <v>70.38490604</v>
      </c>
      <c r="H32" s="20" t="n">
        <v>1.41271789</v>
      </c>
      <c r="I32" s="18" t="n">
        <v>0</v>
      </c>
      <c r="J32" s="20" t="n">
        <v>0</v>
      </c>
      <c r="K32" s="18" t="n">
        <v>0.11890632</v>
      </c>
      <c r="L32" s="20" t="n">
        <v>0.11663571</v>
      </c>
      <c r="M32" s="18" t="n">
        <v>0</v>
      </c>
      <c r="N32" s="20" t="n">
        <v>0</v>
      </c>
      <c r="O32" s="18" t="n">
        <v>0</v>
      </c>
      <c r="P32" s="20" t="n">
        <v>0</v>
      </c>
      <c r="Q32" s="18" t="n">
        <v>0.35123654</v>
      </c>
      <c r="R32" s="20" t="n">
        <v>0.23146151</v>
      </c>
    </row>
    <row r="33" spans="1:18">
      <c r="A33" s="15" t="s">
        <v>591</v>
      </c>
      <c r="B33" s="17" t="n">
        <v>7325</v>
      </c>
      <c r="C33" s="18">
        <f>(5682.0/B33*100)</f>
        <v/>
      </c>
      <c r="D33" s="19" t="n">
        <v>1643</v>
      </c>
      <c r="E33" s="18" t="n">
        <v>28.08840689</v>
      </c>
      <c r="F33" s="20" t="n">
        <v>1.41692004</v>
      </c>
      <c r="G33" s="18" t="n">
        <v>70.99664141</v>
      </c>
      <c r="H33" s="20" t="n">
        <v>1.47721887</v>
      </c>
      <c r="I33" s="18" t="n">
        <v>0</v>
      </c>
      <c r="J33" s="20" t="n">
        <v>0</v>
      </c>
      <c r="K33" s="18" t="n">
        <v>0.17369212</v>
      </c>
      <c r="L33" s="20" t="n">
        <v>0.09571107</v>
      </c>
      <c r="M33" s="18" t="n">
        <v>0</v>
      </c>
      <c r="N33" s="20" t="n">
        <v>0</v>
      </c>
      <c r="O33" s="18" t="n">
        <v>0</v>
      </c>
      <c r="P33" s="20" t="n">
        <v>0</v>
      </c>
      <c r="Q33" s="18" t="n">
        <v>0.74125958</v>
      </c>
      <c r="R33" s="20" t="n">
        <v>0.2727141</v>
      </c>
    </row>
    <row r="34" spans="1:18">
      <c r="A34" s="15" t="s">
        <v>592</v>
      </c>
      <c r="B34" s="17" t="n">
        <v>6350</v>
      </c>
      <c r="C34" s="18">
        <f>(5024.0/B34*100)</f>
        <v/>
      </c>
      <c r="D34" s="19" t="n">
        <v>1326</v>
      </c>
      <c r="E34" s="18" t="n">
        <v>29.80734042</v>
      </c>
      <c r="F34" s="20" t="n">
        <v>1.41120179</v>
      </c>
      <c r="G34" s="18" t="n">
        <v>68.53595491999999</v>
      </c>
      <c r="H34" s="20" t="n">
        <v>1.40848357</v>
      </c>
      <c r="I34" s="18" t="n">
        <v>0</v>
      </c>
      <c r="J34" s="20" t="n">
        <v>0</v>
      </c>
      <c r="K34" s="18" t="n">
        <v>0.18702944</v>
      </c>
      <c r="L34" s="20" t="n">
        <v>0.11099224</v>
      </c>
      <c r="M34" s="18" t="n">
        <v>0</v>
      </c>
      <c r="N34" s="20" t="n">
        <v>0</v>
      </c>
      <c r="O34" s="18" t="n">
        <v>0</v>
      </c>
      <c r="P34" s="20" t="n">
        <v>0</v>
      </c>
      <c r="Q34" s="18" t="n">
        <v>1.46967522</v>
      </c>
      <c r="R34" s="20" t="n">
        <v>0.28252685</v>
      </c>
    </row>
    <row r="35" spans="1:18">
      <c r="A35" s="15" t="s">
        <v>593</v>
      </c>
      <c r="B35" s="17" t="n">
        <v>6406</v>
      </c>
      <c r="C35" s="18">
        <f>(5058.0/B35*100)</f>
        <v/>
      </c>
      <c r="D35" s="19" t="n">
        <v>1348</v>
      </c>
      <c r="E35" s="18" t="n">
        <v>23.96741398</v>
      </c>
      <c r="F35" s="20" t="n">
        <v>1.56380787</v>
      </c>
      <c r="G35" s="18" t="n">
        <v>75.32274278</v>
      </c>
      <c r="H35" s="20" t="n">
        <v>1.58914083</v>
      </c>
      <c r="I35" s="18" t="n">
        <v>0</v>
      </c>
      <c r="J35" s="20" t="n">
        <v>0</v>
      </c>
      <c r="K35" s="18" t="n">
        <v>0.09503691</v>
      </c>
      <c r="L35" s="20" t="n">
        <v>0.07051590000000001</v>
      </c>
      <c r="M35" s="18" t="n">
        <v>0</v>
      </c>
      <c r="N35" s="20" t="n">
        <v>0</v>
      </c>
      <c r="O35" s="18" t="n">
        <v>0</v>
      </c>
      <c r="P35" s="20" t="n">
        <v>0</v>
      </c>
      <c r="Q35" s="18" t="n">
        <v>0.61480632</v>
      </c>
      <c r="R35" s="20" t="n">
        <v>0.15190017</v>
      </c>
    </row>
    <row r="36" spans="1:18">
      <c r="A36" s="15" t="s">
        <v>594</v>
      </c>
      <c r="B36" s="17" t="n">
        <v>6736</v>
      </c>
      <c r="C36" s="18">
        <f>(5259.0/B36*100)</f>
        <v/>
      </c>
      <c r="D36" s="19" t="n">
        <v>1477</v>
      </c>
      <c r="E36" s="18" t="n">
        <v>25.1115396</v>
      </c>
      <c r="F36" s="20" t="n">
        <v>1.25241841</v>
      </c>
      <c r="G36" s="18" t="n">
        <v>73.09103261999999</v>
      </c>
      <c r="H36" s="20" t="n">
        <v>1.31104817</v>
      </c>
      <c r="I36" s="18" t="n">
        <v>0</v>
      </c>
      <c r="J36" s="20" t="n">
        <v>0</v>
      </c>
      <c r="K36" s="18" t="n">
        <v>0.46924667</v>
      </c>
      <c r="L36" s="20" t="n">
        <v>0.15752098</v>
      </c>
      <c r="M36" s="18" t="n">
        <v>0</v>
      </c>
      <c r="N36" s="20" t="n">
        <v>0</v>
      </c>
      <c r="O36" s="18" t="n">
        <v>0</v>
      </c>
      <c r="P36" s="20" t="n">
        <v>0</v>
      </c>
      <c r="Q36" s="18" t="n">
        <v>1.32818111</v>
      </c>
      <c r="R36" s="20" t="n">
        <v>0.30261559</v>
      </c>
    </row>
    <row r="37" spans="1:18">
      <c r="A37" s="15" t="s">
        <v>595</v>
      </c>
      <c r="B37" s="17" t="n">
        <v>5458</v>
      </c>
      <c r="C37" s="18">
        <f>(4270.0/B37*100)</f>
        <v/>
      </c>
      <c r="D37" s="19" t="n">
        <v>1188</v>
      </c>
      <c r="E37" s="18" t="n">
        <v>25.5088203</v>
      </c>
      <c r="F37" s="20" t="n">
        <v>1.2663535</v>
      </c>
      <c r="G37" s="18" t="n">
        <v>72.11601588000001</v>
      </c>
      <c r="H37" s="20" t="n">
        <v>1.32953118</v>
      </c>
      <c r="I37" s="18" t="n">
        <v>0</v>
      </c>
      <c r="J37" s="20" t="n">
        <v>0</v>
      </c>
      <c r="K37" s="18" t="n">
        <v>0.5695206900000001</v>
      </c>
      <c r="L37" s="20" t="n">
        <v>0.18627361</v>
      </c>
      <c r="M37" s="18" t="n">
        <v>0</v>
      </c>
      <c r="N37" s="20" t="n">
        <v>0</v>
      </c>
      <c r="O37" s="18" t="n">
        <v>0</v>
      </c>
      <c r="P37" s="20" t="n">
        <v>0</v>
      </c>
      <c r="Q37" s="18" t="n">
        <v>1.80564313</v>
      </c>
      <c r="R37" s="20" t="n">
        <v>0.39409473</v>
      </c>
    </row>
    <row r="38" spans="1:18">
      <c r="A38" s="15" t="s">
        <v>596</v>
      </c>
      <c r="B38" s="17" t="n">
        <v>5860</v>
      </c>
      <c r="C38" s="18">
        <f>(4568.0/B38*100)</f>
        <v/>
      </c>
      <c r="D38" s="19" t="n">
        <v>1292</v>
      </c>
      <c r="E38" s="18" t="n">
        <v>28.27750171</v>
      </c>
      <c r="F38" s="20" t="n">
        <v>1.40669192</v>
      </c>
      <c r="G38" s="18" t="n">
        <v>70.06245549</v>
      </c>
      <c r="H38" s="20" t="n">
        <v>1.41206306</v>
      </c>
      <c r="I38" s="18" t="n">
        <v>0</v>
      </c>
      <c r="J38" s="20" t="n">
        <v>0</v>
      </c>
      <c r="K38" s="18" t="n">
        <v>0.32728497</v>
      </c>
      <c r="L38" s="20" t="n">
        <v>0.15977112</v>
      </c>
      <c r="M38" s="18" t="n">
        <v>0</v>
      </c>
      <c r="N38" s="20" t="n">
        <v>0</v>
      </c>
      <c r="O38" s="18" t="n">
        <v>0</v>
      </c>
      <c r="P38" s="20" t="n">
        <v>0</v>
      </c>
      <c r="Q38" s="18" t="n">
        <v>1.33275783</v>
      </c>
      <c r="R38" s="20" t="n">
        <v>0.31458242</v>
      </c>
    </row>
    <row r="39" spans="1:18">
      <c r="A39" s="15" t="s">
        <v>597</v>
      </c>
      <c r="B39" s="17" t="n">
        <v>5895</v>
      </c>
      <c r="C39" s="18">
        <f>(4576.0/B39*100)</f>
        <v/>
      </c>
      <c r="D39" s="19" t="n">
        <v>1319</v>
      </c>
      <c r="E39" s="18" t="n">
        <v>48.80402134</v>
      </c>
      <c r="F39" s="20" t="n">
        <v>2.07170386</v>
      </c>
      <c r="G39" s="18" t="n">
        <v>49.79945375</v>
      </c>
      <c r="H39" s="20" t="n">
        <v>2.14280566</v>
      </c>
      <c r="I39" s="18" t="n">
        <v>0</v>
      </c>
      <c r="J39" s="20" t="n">
        <v>0</v>
      </c>
      <c r="K39" s="18" t="n">
        <v>0.08131819999999999</v>
      </c>
      <c r="L39" s="20" t="n">
        <v>0.04819611</v>
      </c>
      <c r="M39" s="18" t="n">
        <v>0</v>
      </c>
      <c r="N39" s="20" t="n">
        <v>0</v>
      </c>
      <c r="O39" s="18" t="n">
        <v>0</v>
      </c>
      <c r="P39" s="20" t="n">
        <v>0</v>
      </c>
      <c r="Q39" s="18" t="n">
        <v>1.31520671</v>
      </c>
      <c r="R39" s="20" t="n">
        <v>0.34554796</v>
      </c>
    </row>
    <row r="40" spans="1:18">
      <c r="A40" s="15" t="s">
        <v>598</v>
      </c>
      <c r="B40" s="17" t="n">
        <v>14157</v>
      </c>
      <c r="C40" s="18">
        <f>(10998.0/B40*100)</f>
        <v/>
      </c>
      <c r="D40" s="19" t="n">
        <v>3159</v>
      </c>
      <c r="E40" s="18" t="n">
        <v>25.67927692</v>
      </c>
      <c r="F40" s="20" t="n">
        <v>1.13369999</v>
      </c>
      <c r="G40" s="18" t="n">
        <v>72.61773314</v>
      </c>
      <c r="H40" s="20" t="n">
        <v>1.12693234</v>
      </c>
      <c r="I40" s="18" t="n">
        <v>0</v>
      </c>
      <c r="J40" s="20" t="n">
        <v>0</v>
      </c>
      <c r="K40" s="18" t="n">
        <v>0.39429748</v>
      </c>
      <c r="L40" s="20" t="n">
        <v>0.20581003</v>
      </c>
      <c r="M40" s="18" t="n">
        <v>0</v>
      </c>
      <c r="N40" s="20" t="n">
        <v>0</v>
      </c>
      <c r="O40" s="18" t="n">
        <v>0</v>
      </c>
      <c r="P40" s="20" t="n">
        <v>0</v>
      </c>
      <c r="Q40" s="18" t="n">
        <v>1.30869245</v>
      </c>
      <c r="R40" s="20" t="n">
        <v>0.31368758</v>
      </c>
    </row>
    <row r="41" spans="1:18">
      <c r="A41" s="15" t="s">
        <v>599</v>
      </c>
      <c r="B41" s="17" t="n">
        <v>5712</v>
      </c>
      <c r="C41" s="18">
        <f>(4489.0/B41*100)</f>
        <v/>
      </c>
      <c r="D41" s="19" t="n">
        <v>1223</v>
      </c>
      <c r="E41" s="18" t="n">
        <v>29.36965158</v>
      </c>
      <c r="F41" s="20" t="n">
        <v>1.30733047</v>
      </c>
      <c r="G41" s="18" t="n">
        <v>69.71186539999999</v>
      </c>
      <c r="H41" s="20" t="n">
        <v>1.43072205</v>
      </c>
      <c r="I41" s="18" t="n">
        <v>0</v>
      </c>
      <c r="J41" s="20" t="n">
        <v>0</v>
      </c>
      <c r="K41" s="18" t="n">
        <v>0.35430548</v>
      </c>
      <c r="L41" s="20" t="n">
        <v>0.18939309</v>
      </c>
      <c r="M41" s="18" t="n">
        <v>0</v>
      </c>
      <c r="N41" s="20" t="n">
        <v>0</v>
      </c>
      <c r="O41" s="18" t="n">
        <v>0</v>
      </c>
      <c r="P41" s="20" t="n">
        <v>0</v>
      </c>
      <c r="Q41" s="18" t="n">
        <v>0.56417753</v>
      </c>
      <c r="R41" s="20" t="n">
        <v>0.37746946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(19074.0/B46*100)</f>
        <v/>
      </c>
      <c r="D46" s="19" t="n">
        <v>4067</v>
      </c>
      <c r="E46" s="18" t="n">
        <v>55.3400048</v>
      </c>
      <c r="F46" s="20" t="n">
        <v>1.26786337</v>
      </c>
      <c r="G46" s="18" t="n">
        <v>40.64577278</v>
      </c>
      <c r="H46" s="20" t="n">
        <v>1.30353333</v>
      </c>
      <c r="I46" s="18" t="n">
        <v>0</v>
      </c>
      <c r="J46" s="20" t="n">
        <v>0</v>
      </c>
      <c r="K46" s="18" t="n">
        <v>0.88404591</v>
      </c>
      <c r="L46" s="20" t="n">
        <v>0.22120385</v>
      </c>
      <c r="M46" s="18" t="n">
        <v>0</v>
      </c>
      <c r="N46" s="20" t="n">
        <v>0</v>
      </c>
      <c r="O46" s="18" t="n">
        <v>0</v>
      </c>
      <c r="P46" s="20" t="n">
        <v>0</v>
      </c>
      <c r="Q46" s="18" t="n">
        <v>3.13017652</v>
      </c>
      <c r="R46" s="20" t="n">
        <v>0.36804734</v>
      </c>
    </row>
    <row r="47" spans="1:18">
      <c r="A47" s="15" t="s">
        <v>606</v>
      </c>
      <c r="B47" s="17" t="n">
        <v>5928</v>
      </c>
      <c r="C47" s="18">
        <f>(4600.0/B47*100)</f>
        <v/>
      </c>
      <c r="D47" s="19" t="n">
        <v>1328</v>
      </c>
      <c r="E47" s="18" t="n">
        <v>39.77438329</v>
      </c>
      <c r="F47" s="20" t="n">
        <v>1.61973695</v>
      </c>
      <c r="G47" s="18" t="n">
        <v>57.42582981</v>
      </c>
      <c r="H47" s="20" t="n">
        <v>1.77662635</v>
      </c>
      <c r="I47" s="18" t="n">
        <v>0</v>
      </c>
      <c r="J47" s="20" t="n">
        <v>0</v>
      </c>
      <c r="K47" s="18" t="n">
        <v>0.5173423</v>
      </c>
      <c r="L47" s="20" t="n">
        <v>0.19063477</v>
      </c>
      <c r="M47" s="18" t="n">
        <v>0</v>
      </c>
      <c r="N47" s="20" t="n">
        <v>0</v>
      </c>
      <c r="O47" s="18" t="n">
        <v>0</v>
      </c>
      <c r="P47" s="20" t="n">
        <v>0</v>
      </c>
      <c r="Q47" s="18" t="n">
        <v>2.2824446</v>
      </c>
      <c r="R47" s="20" t="n">
        <v>0.40045315</v>
      </c>
    </row>
    <row r="48" spans="1:18">
      <c r="A48" s="15" t="s">
        <v>607</v>
      </c>
      <c r="B48" s="17" t="n">
        <v>9841</v>
      </c>
      <c r="C48" s="18">
        <f>(7676.0/B48*100)</f>
        <v/>
      </c>
      <c r="D48" s="19" t="n">
        <v>2165</v>
      </c>
      <c r="E48" s="18" t="n">
        <v>24.21386108</v>
      </c>
      <c r="F48" s="20" t="n">
        <v>1.51335178</v>
      </c>
      <c r="G48" s="18" t="n">
        <v>75.28273368000001</v>
      </c>
      <c r="H48" s="20" t="n">
        <v>1.53006453</v>
      </c>
      <c r="I48" s="18" t="n">
        <v>0</v>
      </c>
      <c r="J48" s="20" t="n">
        <v>0</v>
      </c>
      <c r="K48" s="18" t="n">
        <v>0.19237744</v>
      </c>
      <c r="L48" s="20" t="n">
        <v>0.11342308</v>
      </c>
      <c r="M48" s="18" t="n">
        <v>0</v>
      </c>
      <c r="N48" s="20" t="n">
        <v>0</v>
      </c>
      <c r="O48" s="18" t="n">
        <v>0</v>
      </c>
      <c r="P48" s="20" t="n">
        <v>0</v>
      </c>
      <c r="Q48" s="18" t="n">
        <v>0.3110278</v>
      </c>
      <c r="R48" s="20" t="n">
        <v>0.08331321999999999</v>
      </c>
    </row>
    <row r="49" spans="1:18">
      <c r="A49" s="15" t="s">
        <v>608</v>
      </c>
      <c r="B49" s="17" t="n">
        <v>11795</v>
      </c>
      <c r="C49" s="18">
        <f>(9216.0/B49*100)</f>
        <v/>
      </c>
      <c r="D49" s="19" t="n">
        <v>2579</v>
      </c>
      <c r="E49" s="18" t="n">
        <v>48.51212659</v>
      </c>
      <c r="F49" s="20" t="n">
        <v>1.4094773</v>
      </c>
      <c r="G49" s="18" t="n">
        <v>49.29849835</v>
      </c>
      <c r="H49" s="20" t="n">
        <v>1.40640601</v>
      </c>
      <c r="I49" s="18" t="n">
        <v>0</v>
      </c>
      <c r="J49" s="20" t="n">
        <v>0</v>
      </c>
      <c r="K49" s="18" t="n">
        <v>0.96819215</v>
      </c>
      <c r="L49" s="20" t="n">
        <v>0.25825312</v>
      </c>
      <c r="M49" s="18" t="n">
        <v>0</v>
      </c>
      <c r="N49" s="20" t="n">
        <v>0</v>
      </c>
      <c r="O49" s="18" t="n">
        <v>0</v>
      </c>
      <c r="P49" s="20" t="n">
        <v>0</v>
      </c>
      <c r="Q49" s="18" t="n">
        <v>1.2211829</v>
      </c>
      <c r="R49" s="20" t="n">
        <v>0.31918221</v>
      </c>
    </row>
    <row r="50" spans="1:18">
      <c r="A50" s="15" t="s">
        <v>609</v>
      </c>
      <c r="B50" s="17" t="n">
        <v>6866</v>
      </c>
      <c r="C50" s="18">
        <f>(5617.0/B50*100)</f>
        <v/>
      </c>
      <c r="D50" s="19" t="n">
        <v>1249</v>
      </c>
      <c r="E50" s="18" t="n">
        <v>44.22730317</v>
      </c>
      <c r="F50" s="20" t="n">
        <v>2.06731286</v>
      </c>
      <c r="G50" s="18" t="n">
        <v>54.33724485</v>
      </c>
      <c r="H50" s="20" t="n">
        <v>2.12175723</v>
      </c>
      <c r="I50" s="18" t="n">
        <v>0</v>
      </c>
      <c r="J50" s="20" t="n">
        <v>0</v>
      </c>
      <c r="K50" s="18" t="n">
        <v>0.19132499</v>
      </c>
      <c r="L50" s="20" t="n">
        <v>0.10890934</v>
      </c>
      <c r="M50" s="18" t="n">
        <v>0</v>
      </c>
      <c r="N50" s="20" t="n">
        <v>0</v>
      </c>
      <c r="O50" s="18" t="n">
        <v>0</v>
      </c>
      <c r="P50" s="20" t="n">
        <v>0</v>
      </c>
      <c r="Q50" s="18" t="n">
        <v>1.24412699</v>
      </c>
      <c r="R50" s="20" t="n">
        <v>0.31744687</v>
      </c>
    </row>
    <row r="51" spans="1:18">
      <c r="A51" s="15" t="s">
        <v>610</v>
      </c>
      <c r="B51" s="17" t="n">
        <v>5809</v>
      </c>
      <c r="C51" s="18">
        <f>(4526.0/B51*100)</f>
        <v/>
      </c>
      <c r="D51" s="19" t="n">
        <v>1283</v>
      </c>
      <c r="E51" s="18" t="n">
        <v>33.03729518</v>
      </c>
      <c r="F51" s="20" t="n">
        <v>1.16120584</v>
      </c>
      <c r="G51" s="18" t="n">
        <v>65.32369384</v>
      </c>
      <c r="H51" s="20" t="n">
        <v>1.29963903</v>
      </c>
      <c r="I51" s="18" t="n">
        <v>0</v>
      </c>
      <c r="J51" s="20" t="n">
        <v>0</v>
      </c>
      <c r="K51" s="18" t="n">
        <v>0.05912439</v>
      </c>
      <c r="L51" s="20" t="n">
        <v>0.05942988</v>
      </c>
      <c r="M51" s="18" t="n">
        <v>0</v>
      </c>
      <c r="N51" s="20" t="n">
        <v>0</v>
      </c>
      <c r="O51" s="18" t="n">
        <v>0</v>
      </c>
      <c r="P51" s="20" t="n">
        <v>0</v>
      </c>
      <c r="Q51" s="18" t="n">
        <v>1.57988659</v>
      </c>
      <c r="R51" s="20" t="n">
        <v>0.35484942</v>
      </c>
    </row>
    <row r="52" spans="1:18">
      <c r="A52" s="15" t="s">
        <v>611</v>
      </c>
      <c r="B52" s="17" t="n">
        <v>5571</v>
      </c>
      <c r="C52" s="18">
        <f>(4285.0/B52*100)</f>
        <v/>
      </c>
      <c r="D52" s="19" t="n">
        <v>1286</v>
      </c>
      <c r="E52" s="18" t="n">
        <v>38.89554276</v>
      </c>
      <c r="F52" s="20" t="n">
        <v>1.22602926</v>
      </c>
      <c r="G52" s="18" t="n">
        <v>58.40700428</v>
      </c>
      <c r="H52" s="20" t="n">
        <v>1.29253637</v>
      </c>
      <c r="I52" s="18" t="n">
        <v>0</v>
      </c>
      <c r="J52" s="20" t="n">
        <v>0</v>
      </c>
      <c r="K52" s="18" t="n">
        <v>0.56390777</v>
      </c>
      <c r="L52" s="20" t="n">
        <v>0.20324634</v>
      </c>
      <c r="M52" s="18" t="n">
        <v>0</v>
      </c>
      <c r="N52" s="20" t="n">
        <v>0</v>
      </c>
      <c r="O52" s="18" t="n">
        <v>0</v>
      </c>
      <c r="P52" s="20" t="n">
        <v>0</v>
      </c>
      <c r="Q52" s="18" t="n">
        <v>2.13354519</v>
      </c>
      <c r="R52" s="20" t="n">
        <v>0.4181038</v>
      </c>
    </row>
    <row r="53" spans="1:18">
      <c r="A53" s="15" t="s">
        <v>612</v>
      </c>
      <c r="B53" s="17" t="n">
        <v>4740</v>
      </c>
      <c r="C53" s="18">
        <f>(3700.0/B53*100)</f>
        <v/>
      </c>
      <c r="D53" s="19" t="n">
        <v>1040</v>
      </c>
      <c r="E53" s="18" t="n">
        <v>60.95148789</v>
      </c>
      <c r="F53" s="20" t="n">
        <v>1.62345611</v>
      </c>
      <c r="G53" s="18" t="n">
        <v>25.93519913</v>
      </c>
      <c r="H53" s="20" t="n">
        <v>1.44230558</v>
      </c>
      <c r="I53" s="18" t="n">
        <v>0</v>
      </c>
      <c r="J53" s="20" t="n">
        <v>0</v>
      </c>
      <c r="K53" s="18" t="n">
        <v>9.99150317</v>
      </c>
      <c r="L53" s="20" t="n">
        <v>1.05238936</v>
      </c>
      <c r="M53" s="18" t="n">
        <v>0</v>
      </c>
      <c r="N53" s="20" t="n">
        <v>0</v>
      </c>
      <c r="O53" s="18" t="n">
        <v>0</v>
      </c>
      <c r="P53" s="20" t="n">
        <v>0</v>
      </c>
      <c r="Q53" s="18" t="n">
        <v>3.12180981</v>
      </c>
      <c r="R53" s="20" t="n">
        <v>0.79623602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(4236.0/B55*100)</f>
        <v/>
      </c>
      <c r="D55" s="19" t="n">
        <v>1123</v>
      </c>
      <c r="E55" s="18" t="n">
        <v>20.10605909</v>
      </c>
      <c r="F55" s="20" t="n">
        <v>1.4266209</v>
      </c>
      <c r="G55" s="18" t="n">
        <v>79.54363708</v>
      </c>
      <c r="H55" s="20" t="n">
        <v>1.41279922</v>
      </c>
      <c r="I55" s="18" t="n">
        <v>0</v>
      </c>
      <c r="J55" s="20" t="n">
        <v>0</v>
      </c>
      <c r="K55" s="18" t="n">
        <v>0.19502673</v>
      </c>
      <c r="L55" s="20" t="n">
        <v>0.15078613</v>
      </c>
      <c r="M55" s="18" t="n">
        <v>0</v>
      </c>
      <c r="N55" s="20" t="n">
        <v>0</v>
      </c>
      <c r="O55" s="18" t="n">
        <v>0</v>
      </c>
      <c r="P55" s="20" t="n">
        <v>0</v>
      </c>
      <c r="Q55" s="18" t="n">
        <v>0.1552771</v>
      </c>
      <c r="R55" s="20" t="n">
        <v>0.08540316000000001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(5093.0/B61*100)</f>
        <v/>
      </c>
      <c r="D61" s="19" t="n">
        <v>1432</v>
      </c>
      <c r="E61" s="18" t="n">
        <v>34.65478624</v>
      </c>
      <c r="F61" s="20" t="n">
        <v>1.36550555</v>
      </c>
      <c r="G61" s="18" t="n">
        <v>63.77006844</v>
      </c>
      <c r="H61" s="20" t="n">
        <v>1.39437988</v>
      </c>
      <c r="I61" s="18" t="n">
        <v>0</v>
      </c>
      <c r="J61" s="20" t="n">
        <v>0</v>
      </c>
      <c r="K61" s="18" t="n">
        <v>0.14377382</v>
      </c>
      <c r="L61" s="20" t="n">
        <v>0.1164204</v>
      </c>
      <c r="M61" s="18" t="n">
        <v>0</v>
      </c>
      <c r="N61" s="20" t="n">
        <v>0</v>
      </c>
      <c r="O61" s="18" t="n">
        <v>0</v>
      </c>
      <c r="P61" s="20" t="n">
        <v>0</v>
      </c>
      <c r="Q61" s="18" t="n">
        <v>1.4313715</v>
      </c>
      <c r="R61" s="20" t="n">
        <v>0.38247587</v>
      </c>
    </row>
    <row r="62" spans="1:18">
      <c r="A62" s="15" t="s">
        <v>622</v>
      </c>
      <c r="B62" s="17" t="n">
        <v>4476</v>
      </c>
      <c r="C62" s="18">
        <f>(3485.0/B62*100)</f>
        <v/>
      </c>
      <c r="D62" s="19" t="n">
        <v>991</v>
      </c>
      <c r="E62" s="18" t="n">
        <v>16.94749025</v>
      </c>
      <c r="F62" s="20" t="n">
        <v>1.24157886</v>
      </c>
      <c r="G62" s="18" t="n">
        <v>82.84649512999999</v>
      </c>
      <c r="H62" s="20" t="n">
        <v>1.26083055</v>
      </c>
      <c r="I62" s="18" t="n">
        <v>0</v>
      </c>
      <c r="J62" s="20" t="n">
        <v>0</v>
      </c>
      <c r="K62" s="18" t="n">
        <v>0.10362133</v>
      </c>
      <c r="L62" s="20" t="n">
        <v>0.1036704</v>
      </c>
      <c r="M62" s="18" t="n">
        <v>0</v>
      </c>
      <c r="N62" s="20" t="n">
        <v>0</v>
      </c>
      <c r="O62" s="18" t="n">
        <v>0</v>
      </c>
      <c r="P62" s="20" t="n">
        <v>0</v>
      </c>
      <c r="Q62" s="18" t="n">
        <v>0.10239328</v>
      </c>
      <c r="R62" s="20" t="n">
        <v>0.07204044</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(4439.0/B67*100)</f>
        <v/>
      </c>
      <c r="D67" s="19" t="n">
        <v>1226</v>
      </c>
      <c r="E67" s="18" t="n">
        <v>45.07891815</v>
      </c>
      <c r="F67" s="20" t="n">
        <v>1.32286674</v>
      </c>
      <c r="G67" s="18" t="n">
        <v>48.46067647</v>
      </c>
      <c r="H67" s="20" t="n">
        <v>1.27922914</v>
      </c>
      <c r="I67" s="18" t="n">
        <v>0</v>
      </c>
      <c r="J67" s="20" t="n">
        <v>0</v>
      </c>
      <c r="K67" s="18" t="n">
        <v>0.59689932</v>
      </c>
      <c r="L67" s="20" t="n">
        <v>0.22261284</v>
      </c>
      <c r="M67" s="18" t="n">
        <v>0</v>
      </c>
      <c r="N67" s="20" t="n">
        <v>0</v>
      </c>
      <c r="O67" s="18" t="n">
        <v>0</v>
      </c>
      <c r="P67" s="20" t="n">
        <v>0</v>
      </c>
      <c r="Q67" s="18" t="n">
        <v>5.86350606</v>
      </c>
      <c r="R67" s="20" t="n">
        <v>0.6307471</v>
      </c>
    </row>
    <row r="68" spans="1:18">
      <c r="A68" s="15" t="s">
        <v>628</v>
      </c>
      <c r="B68" s="17" t="n">
        <v>6971</v>
      </c>
      <c r="C68" s="18">
        <f>(5581.0/B68*100)</f>
        <v/>
      </c>
      <c r="D68" s="19" t="n">
        <v>1390</v>
      </c>
      <c r="E68" s="18" t="n">
        <v>45.21892067</v>
      </c>
      <c r="F68" s="20" t="n">
        <v>1.66320506</v>
      </c>
      <c r="G68" s="18" t="n">
        <v>53.41854099</v>
      </c>
      <c r="H68" s="20" t="n">
        <v>1.68794054</v>
      </c>
      <c r="I68" s="18" t="n">
        <v>0</v>
      </c>
      <c r="J68" s="20" t="n">
        <v>0</v>
      </c>
      <c r="K68" s="18" t="n">
        <v>0</v>
      </c>
      <c r="L68" s="20" t="n">
        <v>0</v>
      </c>
      <c r="M68" s="18" t="n">
        <v>0</v>
      </c>
      <c r="N68" s="20" t="n">
        <v>0</v>
      </c>
      <c r="O68" s="18" t="n">
        <v>0</v>
      </c>
      <c r="P68" s="20" t="n">
        <v>0</v>
      </c>
      <c r="Q68" s="18" t="n">
        <v>1.36253833</v>
      </c>
      <c r="R68" s="20" t="n">
        <v>0.33478148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(9382.0/B70*100)</f>
        <v/>
      </c>
      <c r="D70" s="19" t="n">
        <v>2701</v>
      </c>
      <c r="E70" s="18" t="n">
        <v>47.11970872</v>
      </c>
      <c r="F70" s="20" t="n">
        <v>0.98785974</v>
      </c>
      <c r="G70" s="18" t="n">
        <v>47.60812747</v>
      </c>
      <c r="H70" s="20" t="n">
        <v>0.93774207</v>
      </c>
      <c r="I70" s="18" t="n">
        <v>0</v>
      </c>
      <c r="J70" s="20" t="n">
        <v>0</v>
      </c>
      <c r="K70" s="18" t="n">
        <v>1.8347503</v>
      </c>
      <c r="L70" s="20" t="n">
        <v>0.26263633</v>
      </c>
      <c r="M70" s="18" t="n">
        <v>0</v>
      </c>
      <c r="N70" s="20" t="n">
        <v>0</v>
      </c>
      <c r="O70" s="18" t="n">
        <v>0</v>
      </c>
      <c r="P70" s="20" t="n">
        <v>0</v>
      </c>
      <c r="Q70" s="18" t="n">
        <v>3.43741352</v>
      </c>
      <c r="R70" s="20" t="n">
        <v>0.33775431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(4717.0/B72*100)</f>
        <v/>
      </c>
      <c r="D72" s="19" t="n">
        <v>1319</v>
      </c>
      <c r="E72" s="18" t="n">
        <v>31.80540621</v>
      </c>
      <c r="F72" s="20" t="n">
        <v>1.7145353</v>
      </c>
      <c r="G72" s="18" t="n">
        <v>66.96923982</v>
      </c>
      <c r="H72" s="20" t="n">
        <v>1.81889936</v>
      </c>
      <c r="I72" s="18" t="n">
        <v>0</v>
      </c>
      <c r="J72" s="20" t="n">
        <v>0</v>
      </c>
      <c r="K72" s="18" t="n">
        <v>0.06349515</v>
      </c>
      <c r="L72" s="20" t="n">
        <v>0.06374361000000001</v>
      </c>
      <c r="M72" s="18" t="n">
        <v>0</v>
      </c>
      <c r="N72" s="20" t="n">
        <v>0</v>
      </c>
      <c r="O72" s="18" t="n">
        <v>0</v>
      </c>
      <c r="P72" s="20" t="n">
        <v>0</v>
      </c>
      <c r="Q72" s="18" t="n">
        <v>1.16185882</v>
      </c>
      <c r="R72" s="20" t="n">
        <v>0.28623151</v>
      </c>
    </row>
    <row r="73" spans="1:18">
      <c r="A73" s="15" t="s">
        <v>633</v>
      </c>
      <c r="B73" s="17" t="n">
        <v>6115</v>
      </c>
      <c r="C73" s="18">
        <f>(4762.0/B73*100)</f>
        <v/>
      </c>
      <c r="D73" s="19" t="n">
        <v>1353</v>
      </c>
      <c r="E73" s="18" t="n">
        <v>12.31102662</v>
      </c>
      <c r="F73" s="20" t="n">
        <v>0.87981964</v>
      </c>
      <c r="G73" s="18" t="n">
        <v>87.20641390999999</v>
      </c>
      <c r="H73" s="20" t="n">
        <v>0.8812854</v>
      </c>
      <c r="I73" s="18" t="n">
        <v>0</v>
      </c>
      <c r="J73" s="20" t="n">
        <v>0</v>
      </c>
      <c r="K73" s="18" t="n">
        <v>0.07125355</v>
      </c>
      <c r="L73" s="20" t="n">
        <v>0.07089429999999999</v>
      </c>
      <c r="M73" s="18" t="n">
        <v>0</v>
      </c>
      <c r="N73" s="20" t="n">
        <v>0</v>
      </c>
      <c r="O73" s="18" t="n">
        <v>0</v>
      </c>
      <c r="P73" s="20" t="n">
        <v>0</v>
      </c>
      <c r="Q73" s="18" t="n">
        <v>0.41130592</v>
      </c>
      <c r="R73" s="20" t="n">
        <v>0.17092152</v>
      </c>
    </row>
    <row r="74" spans="1:18">
      <c r="A74" s="15" t="s">
        <v>634</v>
      </c>
      <c r="B74" s="17" t="n">
        <v>7708</v>
      </c>
      <c r="C74" s="18">
        <f>(6055.0/B74*100)</f>
        <v/>
      </c>
      <c r="D74" s="19" t="n">
        <v>1653</v>
      </c>
      <c r="E74" s="18" t="n">
        <v>26.56255456</v>
      </c>
      <c r="F74" s="20" t="n">
        <v>1.27360484</v>
      </c>
      <c r="G74" s="18" t="n">
        <v>73.01164021</v>
      </c>
      <c r="H74" s="20" t="n">
        <v>1.31230402</v>
      </c>
      <c r="I74" s="18" t="n">
        <v>0</v>
      </c>
      <c r="J74" s="20" t="n">
        <v>0</v>
      </c>
      <c r="K74" s="18" t="n">
        <v>0</v>
      </c>
      <c r="L74" s="20" t="n">
        <v>0</v>
      </c>
      <c r="M74" s="18" t="n">
        <v>0</v>
      </c>
      <c r="N74" s="20" t="n">
        <v>0</v>
      </c>
      <c r="O74" s="18" t="n">
        <v>0</v>
      </c>
      <c r="P74" s="20" t="n">
        <v>0</v>
      </c>
      <c r="Q74" s="18" t="n">
        <v>0.42580523</v>
      </c>
      <c r="R74" s="20" t="n">
        <v>0.14776263</v>
      </c>
    </row>
    <row r="75" spans="1:18">
      <c r="A75" s="15" t="s">
        <v>635</v>
      </c>
      <c r="B75" s="17" t="n">
        <v>8249</v>
      </c>
      <c r="C75" s="18">
        <f>(6509.0/B75*100)</f>
        <v/>
      </c>
      <c r="D75" s="19" t="n">
        <v>1740</v>
      </c>
      <c r="E75" s="18" t="n">
        <v>45.05841351</v>
      </c>
      <c r="F75" s="20" t="n">
        <v>1.65409712</v>
      </c>
      <c r="G75" s="18" t="n">
        <v>54.224453</v>
      </c>
      <c r="H75" s="20" t="n">
        <v>1.556969</v>
      </c>
      <c r="I75" s="18" t="n">
        <v>0</v>
      </c>
      <c r="J75" s="20" t="n">
        <v>0</v>
      </c>
      <c r="K75" s="18" t="n">
        <v>0</v>
      </c>
      <c r="L75" s="20" t="n">
        <v>0</v>
      </c>
      <c r="M75" s="18" t="n">
        <v>0</v>
      </c>
      <c r="N75" s="20" t="n">
        <v>0</v>
      </c>
      <c r="O75" s="18" t="n">
        <v>0</v>
      </c>
      <c r="P75" s="20" t="n">
        <v>0</v>
      </c>
      <c r="Q75" s="18" t="n">
        <v>0.71713349</v>
      </c>
      <c r="R75" s="20" t="n">
        <v>0.23063702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(4319.0/B77*100)</f>
        <v/>
      </c>
      <c r="D77" s="19" t="n">
        <v>1056</v>
      </c>
      <c r="E77" s="18" t="n">
        <v>57.63835512</v>
      </c>
      <c r="F77" s="20" t="n">
        <v>1.6276967</v>
      </c>
      <c r="G77" s="18" t="n">
        <v>36.67463801</v>
      </c>
      <c r="H77" s="20" t="n">
        <v>1.45545034</v>
      </c>
      <c r="I77" s="18" t="n">
        <v>0</v>
      </c>
      <c r="J77" s="20" t="n">
        <v>0</v>
      </c>
      <c r="K77" s="18" t="n">
        <v>2.35620544</v>
      </c>
      <c r="L77" s="20" t="n">
        <v>0.5014102499999999</v>
      </c>
      <c r="M77" s="18" t="n">
        <v>0</v>
      </c>
      <c r="N77" s="20" t="n">
        <v>0</v>
      </c>
      <c r="O77" s="18" t="n">
        <v>0</v>
      </c>
      <c r="P77" s="20" t="n">
        <v>0</v>
      </c>
      <c r="Q77" s="18" t="n">
        <v>3.33080143</v>
      </c>
      <c r="R77" s="20" t="n">
        <v>0.65250603</v>
      </c>
    </row>
    <row r="78" spans="1:18">
      <c r="A78" s="15" t="s">
        <v>638</v>
      </c>
      <c r="B78" s="17" t="n">
        <v>14167</v>
      </c>
      <c r="C78" s="18">
        <f>(11170.0/B78*100)</f>
        <v/>
      </c>
      <c r="D78" s="19" t="n">
        <v>2997</v>
      </c>
      <c r="E78" s="18" t="n">
        <v>44.60283361</v>
      </c>
      <c r="F78" s="20" t="n">
        <v>1.28587934</v>
      </c>
      <c r="G78" s="18" t="n">
        <v>52.76729263</v>
      </c>
      <c r="H78" s="20" t="n">
        <v>1.35083167</v>
      </c>
      <c r="I78" s="18" t="n">
        <v>0</v>
      </c>
      <c r="J78" s="20" t="n">
        <v>0</v>
      </c>
      <c r="K78" s="18" t="n">
        <v>0.71112949</v>
      </c>
      <c r="L78" s="20" t="n">
        <v>0.15953283</v>
      </c>
      <c r="M78" s="18" t="n">
        <v>0</v>
      </c>
      <c r="N78" s="20" t="n">
        <v>0</v>
      </c>
      <c r="O78" s="18" t="n">
        <v>0</v>
      </c>
      <c r="P78" s="20" t="n">
        <v>0</v>
      </c>
      <c r="Q78" s="18" t="n">
        <v>1.91874427</v>
      </c>
      <c r="R78" s="20" t="n">
        <v>0.31540448</v>
      </c>
    </row>
    <row r="79" spans="1:18">
      <c r="A79" s="15" t="s">
        <v>639</v>
      </c>
      <c r="B79" s="17" t="n">
        <v>6062</v>
      </c>
      <c r="C79" s="18">
        <f>(4727.0/B79*100)</f>
        <v/>
      </c>
      <c r="D79" s="19" t="n">
        <v>1335</v>
      </c>
      <c r="E79" s="18" t="n">
        <v>38.75863213</v>
      </c>
      <c r="F79" s="20" t="n">
        <v>1.22083326</v>
      </c>
      <c r="G79" s="18" t="n">
        <v>57.02815919</v>
      </c>
      <c r="H79" s="20" t="n">
        <v>1.52374195</v>
      </c>
      <c r="I79" s="18" t="n">
        <v>0</v>
      </c>
      <c r="J79" s="20" t="n">
        <v>0</v>
      </c>
      <c r="K79" s="18" t="n">
        <v>0.35350586</v>
      </c>
      <c r="L79" s="20" t="n">
        <v>0.16748207</v>
      </c>
      <c r="M79" s="18" t="n">
        <v>0</v>
      </c>
      <c r="N79" s="20" t="n">
        <v>0</v>
      </c>
      <c r="O79" s="18" t="n">
        <v>0</v>
      </c>
      <c r="P79" s="20" t="n">
        <v>0</v>
      </c>
      <c r="Q79" s="18" t="n">
        <v>3.85970282</v>
      </c>
      <c r="R79" s="20" t="n">
        <v>0.71867868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(25297.0/B82*100)</f>
        <v/>
      </c>
      <c r="D82" s="19" t="n">
        <v>7033</v>
      </c>
      <c r="E82" s="18" t="n">
        <v>25.10143216</v>
      </c>
      <c r="F82" s="20" t="n">
        <v>0.80240738</v>
      </c>
      <c r="G82" s="18" t="n">
        <v>73.27989943999999</v>
      </c>
      <c r="H82" s="20" t="n">
        <v>0.87436501</v>
      </c>
      <c r="I82" s="18" t="n">
        <v>0</v>
      </c>
      <c r="J82" s="20" t="n">
        <v>0</v>
      </c>
      <c r="K82" s="18" t="n">
        <v>0.39345746</v>
      </c>
      <c r="L82" s="20" t="n">
        <v>0.10131701</v>
      </c>
      <c r="M82" s="18" t="n">
        <v>0</v>
      </c>
      <c r="N82" s="20" t="n">
        <v>0</v>
      </c>
      <c r="O82" s="18" t="n">
        <v>0</v>
      </c>
      <c r="P82" s="20" t="n">
        <v>0</v>
      </c>
      <c r="Q82" s="18" t="n">
        <v>1.22521094</v>
      </c>
      <c r="R82" s="20" t="n">
        <v>0.20959057</v>
      </c>
    </row>
    <row r="83" spans="1:18">
      <c r="A83" s="15" t="s">
        <v>643</v>
      </c>
      <c r="B83" s="17" t="n">
        <v>1652</v>
      </c>
      <c r="C83" s="18">
        <f>(1313.0/B83*100)</f>
        <v/>
      </c>
      <c r="D83" s="19" t="n">
        <v>339</v>
      </c>
      <c r="E83" s="18" t="n">
        <v>20.15885809</v>
      </c>
      <c r="F83" s="20" t="n">
        <v>2.45247575</v>
      </c>
      <c r="G83" s="18" t="n">
        <v>79.56855944</v>
      </c>
      <c r="H83" s="20" t="n">
        <v>2.54695297</v>
      </c>
      <c r="I83" s="18" t="n">
        <v>0</v>
      </c>
      <c r="J83" s="20" t="n">
        <v>0</v>
      </c>
      <c r="K83" s="18" t="n">
        <v>0</v>
      </c>
      <c r="L83" s="20" t="n">
        <v>0</v>
      </c>
      <c r="M83" s="18" t="n">
        <v>0</v>
      </c>
      <c r="N83" s="20" t="n">
        <v>0</v>
      </c>
      <c r="O83" s="18" t="n">
        <v>0</v>
      </c>
      <c r="P83" s="20" t="n">
        <v>0</v>
      </c>
      <c r="Q83" s="18" t="n">
        <v>0.27258247</v>
      </c>
      <c r="R83" s="20" t="n">
        <v>0.26049542</v>
      </c>
    </row>
    <row r="84" spans="1:18">
      <c r="A84" s="23" t="s">
        <v>644</v>
      </c>
      <c r="B84" s="24" t="n">
        <v>1887</v>
      </c>
      <c r="C84" s="25">
        <f>(1498.0/B84*100)</f>
        <v/>
      </c>
      <c r="D84" s="19" t="n">
        <v>389</v>
      </c>
      <c r="E84" s="18" t="n">
        <v>26.94454805</v>
      </c>
      <c r="F84" s="20" t="n">
        <v>2.26297878</v>
      </c>
      <c r="G84" s="18" t="n">
        <v>72.52850780999999</v>
      </c>
      <c r="H84" s="20" t="n">
        <v>2.3374403</v>
      </c>
      <c r="I84" s="18" t="n">
        <v>0</v>
      </c>
      <c r="J84" s="20" t="n">
        <v>0</v>
      </c>
      <c r="K84" s="18" t="n">
        <v>0.23838762</v>
      </c>
      <c r="L84" s="20" t="n">
        <v>0.23561578</v>
      </c>
      <c r="M84" s="18" t="n">
        <v>0</v>
      </c>
      <c r="N84" s="20" t="n">
        <v>0</v>
      </c>
      <c r="O84" s="18" t="n">
        <v>0</v>
      </c>
      <c r="P84" s="20" t="n">
        <v>0</v>
      </c>
      <c r="Q84" s="18" t="n">
        <v>0.28855652</v>
      </c>
      <c r="R84" s="20" t="n">
        <v>0.29114853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(11420.0/B7*100)</f>
        <v/>
      </c>
      <c r="D7" s="19" t="n">
        <v>3110</v>
      </c>
      <c r="E7" s="18" t="n">
        <v>59.13519095</v>
      </c>
      <c r="F7" s="20" t="n">
        <v>1.15862757</v>
      </c>
      <c r="G7" s="18" t="n">
        <v>38.02133274</v>
      </c>
      <c r="H7" s="20" t="n">
        <v>1.15052278</v>
      </c>
      <c r="I7" s="18" t="n">
        <v>0</v>
      </c>
      <c r="J7" s="20" t="n">
        <v>0</v>
      </c>
      <c r="K7" s="18" t="n">
        <v>0.35688055</v>
      </c>
      <c r="L7" s="20" t="n">
        <v>0.12810929</v>
      </c>
      <c r="M7" s="18" t="n">
        <v>0.01723351</v>
      </c>
      <c r="N7" s="20" t="n">
        <v>0.01832396</v>
      </c>
      <c r="O7" s="18" t="n">
        <v>0</v>
      </c>
      <c r="P7" s="20" t="n">
        <v>0</v>
      </c>
      <c r="Q7" s="18" t="n">
        <v>2.46936226</v>
      </c>
      <c r="R7" s="20" t="n">
        <v>0.34491027</v>
      </c>
    </row>
    <row r="8" spans="1:18">
      <c r="A8" s="15" t="s">
        <v>566</v>
      </c>
      <c r="B8" s="17" t="n">
        <v>7007</v>
      </c>
      <c r="C8" s="18">
        <f>(5426.0/B8*100)</f>
        <v/>
      </c>
      <c r="D8" s="19" t="n">
        <v>1581</v>
      </c>
      <c r="E8" s="18" t="n">
        <v>74.51893551000001</v>
      </c>
      <c r="F8" s="20" t="n">
        <v>1.40758055</v>
      </c>
      <c r="G8" s="18" t="n">
        <v>22.61231203</v>
      </c>
      <c r="H8" s="20" t="n">
        <v>1.31714426</v>
      </c>
      <c r="I8" s="18" t="n">
        <v>0</v>
      </c>
      <c r="J8" s="20" t="n">
        <v>0</v>
      </c>
      <c r="K8" s="18" t="n">
        <v>0.11725919</v>
      </c>
      <c r="L8" s="20" t="n">
        <v>0.09007498</v>
      </c>
      <c r="M8" s="18" t="n">
        <v>0</v>
      </c>
      <c r="N8" s="20" t="n">
        <v>0</v>
      </c>
      <c r="O8" s="18" t="n">
        <v>0</v>
      </c>
      <c r="P8" s="20" t="n">
        <v>0</v>
      </c>
      <c r="Q8" s="18" t="n">
        <v>2.75149327</v>
      </c>
      <c r="R8" s="20" t="n">
        <v>0.44046053</v>
      </c>
    </row>
    <row r="9" spans="1:18">
      <c r="A9" s="15" t="s">
        <v>567</v>
      </c>
      <c r="B9" s="17" t="n">
        <v>9651</v>
      </c>
      <c r="C9" s="18">
        <f>(7650.0/B9*100)</f>
        <v/>
      </c>
      <c r="D9" s="19" t="n">
        <v>2001</v>
      </c>
      <c r="E9" s="18" t="n">
        <v>68.94738889</v>
      </c>
      <c r="F9" s="20" t="n">
        <v>1.11304182</v>
      </c>
      <c r="G9" s="18" t="n">
        <v>27.4467299</v>
      </c>
      <c r="H9" s="20" t="n">
        <v>1.09191921</v>
      </c>
      <c r="I9" s="18" t="n">
        <v>0</v>
      </c>
      <c r="J9" s="20" t="n">
        <v>0</v>
      </c>
      <c r="K9" s="18" t="n">
        <v>0.42837625</v>
      </c>
      <c r="L9" s="20" t="n">
        <v>0.15304932</v>
      </c>
      <c r="M9" s="18" t="n">
        <v>0</v>
      </c>
      <c r="N9" s="20" t="n">
        <v>0</v>
      </c>
      <c r="O9" s="18" t="n">
        <v>0</v>
      </c>
      <c r="P9" s="20" t="n">
        <v>0</v>
      </c>
      <c r="Q9" s="18" t="n">
        <v>3.17750496</v>
      </c>
      <c r="R9" s="20" t="n">
        <v>0.46674001</v>
      </c>
    </row>
    <row r="10" spans="1:18">
      <c r="A10" s="15" t="s">
        <v>568</v>
      </c>
      <c r="B10" s="17" t="n">
        <v>20058</v>
      </c>
      <c r="C10" s="18">
        <f>(15657.0/B10*100)</f>
        <v/>
      </c>
      <c r="D10" s="19" t="n">
        <v>4401</v>
      </c>
      <c r="E10" s="18" t="n">
        <v>60.04479952</v>
      </c>
      <c r="F10" s="20" t="n">
        <v>0.8728415</v>
      </c>
      <c r="G10" s="18" t="n">
        <v>38.09750453</v>
      </c>
      <c r="H10" s="20" t="n">
        <v>0.89250208</v>
      </c>
      <c r="I10" s="18" t="n">
        <v>0</v>
      </c>
      <c r="J10" s="20" t="n">
        <v>0</v>
      </c>
      <c r="K10" s="18" t="n">
        <v>0.47587014</v>
      </c>
      <c r="L10" s="20" t="n">
        <v>0.16501451</v>
      </c>
      <c r="M10" s="18" t="n">
        <v>0</v>
      </c>
      <c r="N10" s="20" t="n">
        <v>0</v>
      </c>
      <c r="O10" s="18" t="n">
        <v>0</v>
      </c>
      <c r="P10" s="20" t="n">
        <v>0</v>
      </c>
      <c r="Q10" s="18" t="n">
        <v>1.38182581</v>
      </c>
      <c r="R10" s="20" t="n">
        <v>0.24489356</v>
      </c>
    </row>
    <row r="11" spans="1:18">
      <c r="A11" s="15" t="s">
        <v>569</v>
      </c>
      <c r="B11" s="17" t="n">
        <v>7053</v>
      </c>
      <c r="C11" s="18">
        <f>(5563.0/B11*100)</f>
        <v/>
      </c>
      <c r="D11" s="19" t="n">
        <v>1490</v>
      </c>
      <c r="E11" s="18" t="n">
        <v>81.26677478000001</v>
      </c>
      <c r="F11" s="20" t="n">
        <v>1.15802721</v>
      </c>
      <c r="G11" s="18" t="n">
        <v>13.69395297</v>
      </c>
      <c r="H11" s="20" t="n">
        <v>1.02755851</v>
      </c>
      <c r="I11" s="18" t="n">
        <v>0</v>
      </c>
      <c r="J11" s="20" t="n">
        <v>0</v>
      </c>
      <c r="K11" s="18" t="n">
        <v>0.71747382</v>
      </c>
      <c r="L11" s="20" t="n">
        <v>0.2467403</v>
      </c>
      <c r="M11" s="18" t="n">
        <v>0</v>
      </c>
      <c r="N11" s="20" t="n">
        <v>0</v>
      </c>
      <c r="O11" s="18" t="n">
        <v>0</v>
      </c>
      <c r="P11" s="20" t="n">
        <v>0</v>
      </c>
      <c r="Q11" s="18" t="n">
        <v>4.32179843</v>
      </c>
      <c r="R11" s="20" t="n">
        <v>0.61094244</v>
      </c>
    </row>
    <row r="12" spans="1:18">
      <c r="A12" s="15" t="s">
        <v>570</v>
      </c>
      <c r="B12" s="17" t="n">
        <v>6894</v>
      </c>
      <c r="C12" s="18">
        <f>(5410.0/B12*100)</f>
        <v/>
      </c>
      <c r="D12" s="19" t="n">
        <v>1484</v>
      </c>
      <c r="E12" s="18" t="n">
        <v>79.74425112999999</v>
      </c>
      <c r="F12" s="20" t="n">
        <v>1.02928818</v>
      </c>
      <c r="G12" s="18" t="n">
        <v>17.81494946</v>
      </c>
      <c r="H12" s="20" t="n">
        <v>0.91109209</v>
      </c>
      <c r="I12" s="18" t="n">
        <v>0</v>
      </c>
      <c r="J12" s="20" t="n">
        <v>0</v>
      </c>
      <c r="K12" s="18" t="n">
        <v>0</v>
      </c>
      <c r="L12" s="20" t="n">
        <v>0</v>
      </c>
      <c r="M12" s="18" t="n">
        <v>0</v>
      </c>
      <c r="N12" s="20" t="n">
        <v>0</v>
      </c>
      <c r="O12" s="18" t="n">
        <v>0</v>
      </c>
      <c r="P12" s="20" t="n">
        <v>0</v>
      </c>
      <c r="Q12" s="18" t="n">
        <v>2.44079942</v>
      </c>
      <c r="R12" s="20" t="n">
        <v>0.48172407</v>
      </c>
    </row>
    <row r="13" spans="1:18">
      <c r="A13" s="15" t="s">
        <v>571</v>
      </c>
      <c r="B13" s="17" t="n">
        <v>7161</v>
      </c>
      <c r="C13" s="18">
        <f>(5644.0/B13*100)</f>
        <v/>
      </c>
      <c r="D13" s="19" t="n">
        <v>1517</v>
      </c>
      <c r="E13" s="18" t="n">
        <v>68.36155995</v>
      </c>
      <c r="F13" s="20" t="n">
        <v>1.43062932</v>
      </c>
      <c r="G13" s="18" t="n">
        <v>29.60021651</v>
      </c>
      <c r="H13" s="20" t="n">
        <v>1.4587317</v>
      </c>
      <c r="I13" s="18" t="n">
        <v>0</v>
      </c>
      <c r="J13" s="20" t="n">
        <v>0</v>
      </c>
      <c r="K13" s="18" t="n">
        <v>0.41233132</v>
      </c>
      <c r="L13" s="20" t="n">
        <v>0.21912625</v>
      </c>
      <c r="M13" s="18" t="n">
        <v>0</v>
      </c>
      <c r="N13" s="20" t="n">
        <v>0</v>
      </c>
      <c r="O13" s="18" t="n">
        <v>0</v>
      </c>
      <c r="P13" s="20" t="n">
        <v>0</v>
      </c>
      <c r="Q13" s="18" t="n">
        <v>1.62589222</v>
      </c>
      <c r="R13" s="20" t="n">
        <v>0.31718844</v>
      </c>
    </row>
    <row r="14" spans="1:18">
      <c r="A14" s="15" t="s">
        <v>572</v>
      </c>
      <c r="B14" s="17" t="n">
        <v>5587</v>
      </c>
      <c r="C14" s="18">
        <f>(4292.0/B14*100)</f>
        <v/>
      </c>
      <c r="D14" s="19" t="n">
        <v>1295</v>
      </c>
      <c r="E14" s="18" t="n">
        <v>62.80231008</v>
      </c>
      <c r="F14" s="20" t="n">
        <v>1.54518722</v>
      </c>
      <c r="G14" s="18" t="n">
        <v>36.00869921</v>
      </c>
      <c r="H14" s="20" t="n">
        <v>1.48543403</v>
      </c>
      <c r="I14" s="18" t="n">
        <v>0</v>
      </c>
      <c r="J14" s="20" t="n">
        <v>0</v>
      </c>
      <c r="K14" s="18" t="n">
        <v>0.28503289</v>
      </c>
      <c r="L14" s="20" t="n">
        <v>0.13380355</v>
      </c>
      <c r="M14" s="18" t="n">
        <v>0</v>
      </c>
      <c r="N14" s="20" t="n">
        <v>0</v>
      </c>
      <c r="O14" s="18" t="n">
        <v>0</v>
      </c>
      <c r="P14" s="20" t="n">
        <v>0</v>
      </c>
      <c r="Q14" s="18" t="n">
        <v>0.90395783</v>
      </c>
      <c r="R14" s="20" t="n">
        <v>0.35859436</v>
      </c>
    </row>
    <row r="15" spans="1:18">
      <c r="A15" s="15" t="s">
        <v>573</v>
      </c>
      <c r="B15" s="17" t="n">
        <v>5882</v>
      </c>
      <c r="C15" s="18">
        <f>(4584.0/B15*100)</f>
        <v/>
      </c>
      <c r="D15" s="19" t="n">
        <v>1298</v>
      </c>
      <c r="E15" s="18" t="n">
        <v>74.74252614</v>
      </c>
      <c r="F15" s="20" t="n">
        <v>1.30560728</v>
      </c>
      <c r="G15" s="18" t="n">
        <v>23.68598159</v>
      </c>
      <c r="H15" s="20" t="n">
        <v>1.25522076</v>
      </c>
      <c r="I15" s="18" t="n">
        <v>0</v>
      </c>
      <c r="J15" s="20" t="n">
        <v>0</v>
      </c>
      <c r="K15" s="18" t="n">
        <v>0</v>
      </c>
      <c r="L15" s="20" t="n">
        <v>0</v>
      </c>
      <c r="M15" s="18" t="n">
        <v>0</v>
      </c>
      <c r="N15" s="20" t="n">
        <v>0</v>
      </c>
      <c r="O15" s="18" t="n">
        <v>0</v>
      </c>
      <c r="P15" s="20" t="n">
        <v>0</v>
      </c>
      <c r="Q15" s="18" t="n">
        <v>1.57149226</v>
      </c>
      <c r="R15" s="20" t="n">
        <v>0.3883624</v>
      </c>
    </row>
    <row r="16" spans="1:18">
      <c r="A16" s="15" t="s">
        <v>574</v>
      </c>
      <c r="B16" s="17" t="n">
        <v>6108</v>
      </c>
      <c r="C16" s="18">
        <f>(4772.0/B16*100)</f>
        <v/>
      </c>
      <c r="D16" s="19" t="n">
        <v>1336</v>
      </c>
      <c r="E16" s="18" t="n">
        <v>73.45474464</v>
      </c>
      <c r="F16" s="20" t="n">
        <v>1.31608051</v>
      </c>
      <c r="G16" s="18" t="n">
        <v>21.19174967</v>
      </c>
      <c r="H16" s="20" t="n">
        <v>1.2125998</v>
      </c>
      <c r="I16" s="18" t="n">
        <v>0</v>
      </c>
      <c r="J16" s="20" t="n">
        <v>0</v>
      </c>
      <c r="K16" s="18" t="n">
        <v>0.90329189</v>
      </c>
      <c r="L16" s="20" t="n">
        <v>0.24256869</v>
      </c>
      <c r="M16" s="18" t="n">
        <v>0</v>
      </c>
      <c r="N16" s="20" t="n">
        <v>0</v>
      </c>
      <c r="O16" s="18" t="n">
        <v>0</v>
      </c>
      <c r="P16" s="20" t="n">
        <v>0</v>
      </c>
      <c r="Q16" s="18" t="n">
        <v>4.45021381</v>
      </c>
      <c r="R16" s="20" t="n">
        <v>0.6095065200000001</v>
      </c>
    </row>
    <row r="17" spans="1:18">
      <c r="A17" s="15" t="s">
        <v>575</v>
      </c>
      <c r="B17" s="17" t="n">
        <v>6504</v>
      </c>
      <c r="C17" s="18">
        <f>(5102.0/B17*100)</f>
        <v/>
      </c>
      <c r="D17" s="19" t="n">
        <v>1402</v>
      </c>
      <c r="E17" s="18" t="n">
        <v>69.66729499</v>
      </c>
      <c r="F17" s="20" t="n">
        <v>1.4284844</v>
      </c>
      <c r="G17" s="18" t="n">
        <v>27.81980582</v>
      </c>
      <c r="H17" s="20" t="n">
        <v>1.3511415</v>
      </c>
      <c r="I17" s="18" t="n">
        <v>0</v>
      </c>
      <c r="J17" s="20" t="n">
        <v>0</v>
      </c>
      <c r="K17" s="18" t="n">
        <v>0.11229415</v>
      </c>
      <c r="L17" s="20" t="n">
        <v>0.0918202</v>
      </c>
      <c r="M17" s="18" t="n">
        <v>0</v>
      </c>
      <c r="N17" s="20" t="n">
        <v>0</v>
      </c>
      <c r="O17" s="18" t="n">
        <v>0</v>
      </c>
      <c r="P17" s="20" t="n">
        <v>0</v>
      </c>
      <c r="Q17" s="18" t="n">
        <v>2.40060505</v>
      </c>
      <c r="R17" s="20" t="n">
        <v>0.42119771</v>
      </c>
    </row>
    <row r="18" spans="1:18">
      <c r="A18" s="15" t="s">
        <v>576</v>
      </c>
      <c r="B18" s="17" t="n">
        <v>5532</v>
      </c>
      <c r="C18" s="18">
        <f>(4307.0/B18*100)</f>
        <v/>
      </c>
      <c r="D18" s="19" t="n">
        <v>1225</v>
      </c>
      <c r="E18" s="18" t="n">
        <v>77.56616034</v>
      </c>
      <c r="F18" s="20" t="n">
        <v>1.51214652</v>
      </c>
      <c r="G18" s="18" t="n">
        <v>18.2912026</v>
      </c>
      <c r="H18" s="20" t="n">
        <v>1.40048713</v>
      </c>
      <c r="I18" s="18" t="n">
        <v>0</v>
      </c>
      <c r="J18" s="20" t="n">
        <v>0</v>
      </c>
      <c r="K18" s="18" t="n">
        <v>0.35976987</v>
      </c>
      <c r="L18" s="20" t="n">
        <v>0.17359735</v>
      </c>
      <c r="M18" s="18" t="n">
        <v>0</v>
      </c>
      <c r="N18" s="20" t="n">
        <v>0</v>
      </c>
      <c r="O18" s="18" t="n">
        <v>0</v>
      </c>
      <c r="P18" s="20" t="n">
        <v>0</v>
      </c>
      <c r="Q18" s="18" t="n">
        <v>3.78286719</v>
      </c>
      <c r="R18" s="20" t="n">
        <v>0.57518916</v>
      </c>
    </row>
    <row r="19" spans="1:18">
      <c r="A19" s="15" t="s">
        <v>577</v>
      </c>
      <c r="B19" s="17" t="n">
        <v>5658</v>
      </c>
      <c r="C19" s="18">
        <f>(4431.0/B19*100)</f>
        <v/>
      </c>
      <c r="D19" s="19" t="n">
        <v>1227</v>
      </c>
      <c r="E19" s="18" t="n">
        <v>84.07876636</v>
      </c>
      <c r="F19" s="20" t="n">
        <v>1.13405142</v>
      </c>
      <c r="G19" s="18" t="n">
        <v>13.47533163</v>
      </c>
      <c r="H19" s="20" t="n">
        <v>1.00728958</v>
      </c>
      <c r="I19" s="18" t="n">
        <v>0</v>
      </c>
      <c r="J19" s="20" t="n">
        <v>0</v>
      </c>
      <c r="K19" s="18" t="n">
        <v>0.26262269</v>
      </c>
      <c r="L19" s="20" t="n">
        <v>0.19266148</v>
      </c>
      <c r="M19" s="18" t="n">
        <v>0</v>
      </c>
      <c r="N19" s="20" t="n">
        <v>0</v>
      </c>
      <c r="O19" s="18" t="n">
        <v>0</v>
      </c>
      <c r="P19" s="20" t="n">
        <v>0</v>
      </c>
      <c r="Q19" s="18" t="n">
        <v>2.18327932</v>
      </c>
      <c r="R19" s="20" t="n">
        <v>0.40293503</v>
      </c>
    </row>
    <row r="20" spans="1:18">
      <c r="A20" s="15" t="s">
        <v>578</v>
      </c>
      <c r="B20" s="17" t="n">
        <v>3371</v>
      </c>
      <c r="C20" s="18">
        <f>(2644.0/B20*100)</f>
        <v/>
      </c>
      <c r="D20" s="19" t="n">
        <v>727</v>
      </c>
      <c r="E20" s="18" t="n">
        <v>71.81404413</v>
      </c>
      <c r="F20" s="20" t="n">
        <v>1.77626577</v>
      </c>
      <c r="G20" s="18" t="n">
        <v>23.95469769</v>
      </c>
      <c r="H20" s="20" t="n">
        <v>1.80746547</v>
      </c>
      <c r="I20" s="18" t="n">
        <v>0</v>
      </c>
      <c r="J20" s="20" t="n">
        <v>0</v>
      </c>
      <c r="K20" s="18" t="n">
        <v>0.80386196</v>
      </c>
      <c r="L20" s="20" t="n">
        <v>0.33217767</v>
      </c>
      <c r="M20" s="18" t="n">
        <v>0</v>
      </c>
      <c r="N20" s="20" t="n">
        <v>0</v>
      </c>
      <c r="O20" s="18" t="n">
        <v>0</v>
      </c>
      <c r="P20" s="20" t="n">
        <v>0</v>
      </c>
      <c r="Q20" s="18" t="n">
        <v>3.42739622</v>
      </c>
      <c r="R20" s="20" t="n">
        <v>0.68219159</v>
      </c>
    </row>
    <row r="21" spans="1:18">
      <c r="A21" s="15" t="s">
        <v>579</v>
      </c>
      <c r="B21" s="17" t="n">
        <v>5741</v>
      </c>
      <c r="C21" s="18">
        <f>(4466.0/B21*100)</f>
        <v/>
      </c>
      <c r="D21" s="19" t="n">
        <v>1275</v>
      </c>
      <c r="E21" s="18" t="n">
        <v>64.44450954</v>
      </c>
      <c r="F21" s="20" t="n">
        <v>1.46714844</v>
      </c>
      <c r="G21" s="18" t="n">
        <v>33.79037641</v>
      </c>
      <c r="H21" s="20" t="n">
        <v>1.38213015</v>
      </c>
      <c r="I21" s="18" t="n">
        <v>0</v>
      </c>
      <c r="J21" s="20" t="n">
        <v>0</v>
      </c>
      <c r="K21" s="18" t="n">
        <v>0.08421207</v>
      </c>
      <c r="L21" s="20" t="n">
        <v>0.09046463</v>
      </c>
      <c r="M21" s="18" t="n">
        <v>0</v>
      </c>
      <c r="N21" s="20" t="n">
        <v>0</v>
      </c>
      <c r="O21" s="18" t="n">
        <v>0</v>
      </c>
      <c r="P21" s="20" t="n">
        <v>0</v>
      </c>
      <c r="Q21" s="18" t="n">
        <v>1.68090198</v>
      </c>
      <c r="R21" s="20" t="n">
        <v>0.53480189</v>
      </c>
    </row>
    <row r="22" spans="1:18">
      <c r="A22" s="15" t="s">
        <v>580</v>
      </c>
      <c r="B22" s="17" t="n">
        <v>6598</v>
      </c>
      <c r="C22" s="18">
        <f>(5151.0/B22*100)</f>
        <v/>
      </c>
      <c r="D22" s="19" t="n">
        <v>1447</v>
      </c>
      <c r="E22" s="18" t="n">
        <v>75.69188429</v>
      </c>
      <c r="F22" s="20" t="n">
        <v>1.42787521</v>
      </c>
      <c r="G22" s="18" t="n">
        <v>20.04972796</v>
      </c>
      <c r="H22" s="20" t="n">
        <v>1.27254155</v>
      </c>
      <c r="I22" s="18" t="n">
        <v>0</v>
      </c>
      <c r="J22" s="20" t="n">
        <v>0</v>
      </c>
      <c r="K22" s="18" t="n">
        <v>0.47949032</v>
      </c>
      <c r="L22" s="20" t="n">
        <v>0.22703176</v>
      </c>
      <c r="M22" s="18" t="n">
        <v>0</v>
      </c>
      <c r="N22" s="20" t="n">
        <v>0</v>
      </c>
      <c r="O22" s="18" t="n">
        <v>0</v>
      </c>
      <c r="P22" s="20" t="n">
        <v>0</v>
      </c>
      <c r="Q22" s="18" t="n">
        <v>3.77889743</v>
      </c>
      <c r="R22" s="20" t="n">
        <v>0.67712215</v>
      </c>
    </row>
    <row r="23" spans="1:18">
      <c r="A23" s="15" t="s">
        <v>581</v>
      </c>
      <c r="B23" s="17" t="n">
        <v>11583</v>
      </c>
      <c r="C23" s="18">
        <f>(9071.0/B23*100)</f>
        <v/>
      </c>
      <c r="D23" s="19" t="n">
        <v>2512</v>
      </c>
      <c r="E23" s="18" t="n">
        <v>72.04351857</v>
      </c>
      <c r="F23" s="20" t="n">
        <v>1.31334451</v>
      </c>
      <c r="G23" s="18" t="n">
        <v>22.40415639</v>
      </c>
      <c r="H23" s="20" t="n">
        <v>1.19802171</v>
      </c>
      <c r="I23" s="18" t="n">
        <v>0</v>
      </c>
      <c r="J23" s="20" t="n">
        <v>0</v>
      </c>
      <c r="K23" s="18" t="n">
        <v>0.64894686</v>
      </c>
      <c r="L23" s="20" t="n">
        <v>0.26908687</v>
      </c>
      <c r="M23" s="18" t="n">
        <v>0.07475978</v>
      </c>
      <c r="N23" s="20" t="n">
        <v>0.05803921</v>
      </c>
      <c r="O23" s="18" t="n">
        <v>0</v>
      </c>
      <c r="P23" s="20" t="n">
        <v>0</v>
      </c>
      <c r="Q23" s="18" t="n">
        <v>4.8286184</v>
      </c>
      <c r="R23" s="20" t="n">
        <v>0.62615751</v>
      </c>
    </row>
    <row r="24" spans="1:18">
      <c r="A24" s="15" t="s">
        <v>582</v>
      </c>
      <c r="B24" s="17" t="n">
        <v>6647</v>
      </c>
      <c r="C24" s="18">
        <f>(5205.0/B24*100)</f>
        <v/>
      </c>
      <c r="D24" s="19" t="n">
        <v>1442</v>
      </c>
      <c r="E24" s="18" t="n">
        <v>56.16471553</v>
      </c>
      <c r="F24" s="20" t="n">
        <v>1.55752229</v>
      </c>
      <c r="G24" s="18" t="n">
        <v>41.39561986</v>
      </c>
      <c r="H24" s="20" t="n">
        <v>1.57926626</v>
      </c>
      <c r="I24" s="18" t="n">
        <v>0</v>
      </c>
      <c r="J24" s="20" t="n">
        <v>0</v>
      </c>
      <c r="K24" s="18" t="n">
        <v>0.20327261</v>
      </c>
      <c r="L24" s="20" t="n">
        <v>0.11765539</v>
      </c>
      <c r="M24" s="18" t="n">
        <v>0</v>
      </c>
      <c r="N24" s="20" t="n">
        <v>0</v>
      </c>
      <c r="O24" s="18" t="n">
        <v>0</v>
      </c>
      <c r="P24" s="20" t="n">
        <v>0</v>
      </c>
      <c r="Q24" s="18" t="n">
        <v>2.236392</v>
      </c>
      <c r="R24" s="20" t="n">
        <v>0.43094111</v>
      </c>
    </row>
    <row r="25" spans="1:18">
      <c r="A25" s="15" t="s">
        <v>583</v>
      </c>
      <c r="B25" s="17" t="n">
        <v>5581</v>
      </c>
      <c r="C25" s="18">
        <f>(4319.0/B25*100)</f>
        <v/>
      </c>
      <c r="D25" s="19" t="n">
        <v>1262</v>
      </c>
      <c r="E25" s="18" t="n">
        <v>59.91188211</v>
      </c>
      <c r="F25" s="20" t="n">
        <v>1.47472843</v>
      </c>
      <c r="G25" s="18" t="n">
        <v>39.02651888</v>
      </c>
      <c r="H25" s="20" t="n">
        <v>1.4908355</v>
      </c>
      <c r="I25" s="18" t="n">
        <v>0</v>
      </c>
      <c r="J25" s="20" t="n">
        <v>0</v>
      </c>
      <c r="K25" s="18" t="n">
        <v>0.06702589</v>
      </c>
      <c r="L25" s="20" t="n">
        <v>0.06706439</v>
      </c>
      <c r="M25" s="18" t="n">
        <v>0</v>
      </c>
      <c r="N25" s="20" t="n">
        <v>0</v>
      </c>
      <c r="O25" s="18" t="n">
        <v>0</v>
      </c>
      <c r="P25" s="20" t="n">
        <v>0</v>
      </c>
      <c r="Q25" s="18" t="n">
        <v>0.99457311</v>
      </c>
      <c r="R25" s="20" t="n">
        <v>0.26535724</v>
      </c>
    </row>
    <row r="26" spans="1:18">
      <c r="A26" s="15" t="s">
        <v>584</v>
      </c>
      <c r="B26" s="17" t="n">
        <v>4869</v>
      </c>
      <c r="C26" s="18">
        <f>(3784.0/B26*100)</f>
        <v/>
      </c>
      <c r="D26" s="19" t="n">
        <v>1085</v>
      </c>
      <c r="E26" s="18" t="n">
        <v>73.93186288</v>
      </c>
      <c r="F26" s="20" t="n">
        <v>1.37376996</v>
      </c>
      <c r="G26" s="18" t="n">
        <v>24.61160075</v>
      </c>
      <c r="H26" s="20" t="n">
        <v>1.36356464</v>
      </c>
      <c r="I26" s="18" t="n">
        <v>0</v>
      </c>
      <c r="J26" s="20" t="n">
        <v>0</v>
      </c>
      <c r="K26" s="18" t="n">
        <v>0.33428093</v>
      </c>
      <c r="L26" s="20" t="n">
        <v>0.22882605</v>
      </c>
      <c r="M26" s="18" t="n">
        <v>0</v>
      </c>
      <c r="N26" s="20" t="n">
        <v>0</v>
      </c>
      <c r="O26" s="18" t="n">
        <v>0</v>
      </c>
      <c r="P26" s="20" t="n">
        <v>0</v>
      </c>
      <c r="Q26" s="18" t="n">
        <v>1.12225544</v>
      </c>
      <c r="R26" s="20" t="n">
        <v>0.38313928</v>
      </c>
    </row>
    <row r="27" spans="1:18">
      <c r="A27" s="15" t="s">
        <v>585</v>
      </c>
      <c r="B27" s="17" t="n">
        <v>5299</v>
      </c>
      <c r="C27" s="18">
        <f>(4165.0/B27*100)</f>
        <v/>
      </c>
      <c r="D27" s="19" t="n">
        <v>1134</v>
      </c>
      <c r="E27" s="18" t="n">
        <v>70.11571768</v>
      </c>
      <c r="F27" s="20" t="n">
        <v>1.2678646</v>
      </c>
      <c r="G27" s="18" t="n">
        <v>25.0521629</v>
      </c>
      <c r="H27" s="20" t="n">
        <v>1.18035628</v>
      </c>
      <c r="I27" s="18" t="n">
        <v>0</v>
      </c>
      <c r="J27" s="20" t="n">
        <v>0</v>
      </c>
      <c r="K27" s="18" t="n">
        <v>0.44610434</v>
      </c>
      <c r="L27" s="20" t="n">
        <v>0.19787522</v>
      </c>
      <c r="M27" s="18" t="n">
        <v>0</v>
      </c>
      <c r="N27" s="20" t="n">
        <v>0</v>
      </c>
      <c r="O27" s="18" t="n">
        <v>0</v>
      </c>
      <c r="P27" s="20" t="n">
        <v>0</v>
      </c>
      <c r="Q27" s="18" t="n">
        <v>4.38601508</v>
      </c>
      <c r="R27" s="20" t="n">
        <v>0.60774491</v>
      </c>
    </row>
    <row r="28" spans="1:18">
      <c r="A28" s="15" t="s">
        <v>586</v>
      </c>
      <c r="B28" s="17" t="n">
        <v>7568</v>
      </c>
      <c r="C28" s="18">
        <f>(5964.0/B28*100)</f>
        <v/>
      </c>
      <c r="D28" s="19" t="n">
        <v>1604</v>
      </c>
      <c r="E28" s="18" t="n">
        <v>86.91201669</v>
      </c>
      <c r="F28" s="20" t="n">
        <v>0.84503977</v>
      </c>
      <c r="G28" s="18" t="n">
        <v>11.34712304</v>
      </c>
      <c r="H28" s="20" t="n">
        <v>0.8567407</v>
      </c>
      <c r="I28" s="18" t="n">
        <v>0</v>
      </c>
      <c r="J28" s="20" t="n">
        <v>0</v>
      </c>
      <c r="K28" s="18" t="n">
        <v>0.57826152</v>
      </c>
      <c r="L28" s="20" t="n">
        <v>0.29415145</v>
      </c>
      <c r="M28" s="18" t="n">
        <v>0</v>
      </c>
      <c r="N28" s="20" t="n">
        <v>0</v>
      </c>
      <c r="O28" s="18" t="n">
        <v>0</v>
      </c>
      <c r="P28" s="20" t="n">
        <v>0</v>
      </c>
      <c r="Q28" s="18" t="n">
        <v>1.16259875</v>
      </c>
      <c r="R28" s="20" t="n">
        <v>0.30013235</v>
      </c>
    </row>
    <row r="29" spans="1:18">
      <c r="A29" s="15" t="s">
        <v>587</v>
      </c>
      <c r="B29" s="17" t="n">
        <v>5385</v>
      </c>
      <c r="C29" s="18">
        <f>(4243.0/B29*100)</f>
        <v/>
      </c>
      <c r="D29" s="19" t="n">
        <v>1142</v>
      </c>
      <c r="E29" s="18" t="n">
        <v>74.5571127</v>
      </c>
      <c r="F29" s="20" t="n">
        <v>1.54948569</v>
      </c>
      <c r="G29" s="18" t="n">
        <v>23.89260856</v>
      </c>
      <c r="H29" s="20" t="n">
        <v>1.50455088</v>
      </c>
      <c r="I29" s="18" t="n">
        <v>0</v>
      </c>
      <c r="J29" s="20" t="n">
        <v>0</v>
      </c>
      <c r="K29" s="18" t="n">
        <v>0.08982428000000001</v>
      </c>
      <c r="L29" s="20" t="n">
        <v>0.08929921</v>
      </c>
      <c r="M29" s="18" t="n">
        <v>0</v>
      </c>
      <c r="N29" s="20" t="n">
        <v>0</v>
      </c>
      <c r="O29" s="18" t="n">
        <v>0</v>
      </c>
      <c r="P29" s="20" t="n">
        <v>0</v>
      </c>
      <c r="Q29" s="18" t="n">
        <v>1.46045446</v>
      </c>
      <c r="R29" s="20" t="n">
        <v>0.4052007</v>
      </c>
    </row>
    <row r="30" spans="1:18">
      <c r="A30" s="15" t="s">
        <v>588</v>
      </c>
      <c r="B30" s="17" t="n">
        <v>4520</v>
      </c>
      <c r="C30" s="18">
        <f>(3548.0/B30*100)</f>
        <v/>
      </c>
      <c r="D30" s="19" t="n">
        <v>972</v>
      </c>
      <c r="E30" s="18" t="n">
        <v>63.53455681</v>
      </c>
      <c r="F30" s="20" t="n">
        <v>1.60953893</v>
      </c>
      <c r="G30" s="18" t="n">
        <v>32.52423134</v>
      </c>
      <c r="H30" s="20" t="n">
        <v>1.57783334</v>
      </c>
      <c r="I30" s="18" t="n">
        <v>0</v>
      </c>
      <c r="J30" s="20" t="n">
        <v>0</v>
      </c>
      <c r="K30" s="18" t="n">
        <v>0.33392135</v>
      </c>
      <c r="L30" s="20" t="n">
        <v>0.19903669</v>
      </c>
      <c r="M30" s="18" t="n">
        <v>0</v>
      </c>
      <c r="N30" s="20" t="n">
        <v>0</v>
      </c>
      <c r="O30" s="18" t="n">
        <v>0</v>
      </c>
      <c r="P30" s="20" t="n">
        <v>0</v>
      </c>
      <c r="Q30" s="18" t="n">
        <v>3.60729049</v>
      </c>
      <c r="R30" s="20" t="n">
        <v>0.6271379500000001</v>
      </c>
    </row>
    <row r="31" spans="1:18">
      <c r="A31" s="15" t="s">
        <v>589</v>
      </c>
      <c r="B31" s="17" t="n">
        <v>5456</v>
      </c>
      <c r="C31" s="18">
        <f>(4231.0/B31*100)</f>
        <v/>
      </c>
      <c r="D31" s="19" t="n">
        <v>1225</v>
      </c>
      <c r="E31" s="18" t="n">
        <v>69.46950092</v>
      </c>
      <c r="F31" s="20" t="n">
        <v>1.30019121</v>
      </c>
      <c r="G31" s="18" t="n">
        <v>26.18843377</v>
      </c>
      <c r="H31" s="20" t="n">
        <v>1.22970724</v>
      </c>
      <c r="I31" s="18" t="n">
        <v>0</v>
      </c>
      <c r="J31" s="20" t="n">
        <v>0</v>
      </c>
      <c r="K31" s="18" t="n">
        <v>0.74984933</v>
      </c>
      <c r="L31" s="20" t="n">
        <v>0.31313394</v>
      </c>
      <c r="M31" s="18" t="n">
        <v>0</v>
      </c>
      <c r="N31" s="20" t="n">
        <v>0</v>
      </c>
      <c r="O31" s="18" t="n">
        <v>0</v>
      </c>
      <c r="P31" s="20" t="n">
        <v>0</v>
      </c>
      <c r="Q31" s="18" t="n">
        <v>3.59221599</v>
      </c>
      <c r="R31" s="20" t="n">
        <v>0.60772837</v>
      </c>
    </row>
    <row r="32" spans="1:18">
      <c r="A32" s="15" t="s">
        <v>590</v>
      </c>
      <c r="B32" s="17" t="n">
        <v>4478</v>
      </c>
      <c r="C32" s="18">
        <f>(3468.0/B32*100)</f>
        <v/>
      </c>
      <c r="D32" s="19" t="n">
        <v>1010</v>
      </c>
      <c r="E32" s="18" t="n">
        <v>75.10675895999999</v>
      </c>
      <c r="F32" s="20" t="n">
        <v>1.59312806</v>
      </c>
      <c r="G32" s="18" t="n">
        <v>23.84740313</v>
      </c>
      <c r="H32" s="20" t="n">
        <v>1.58799889</v>
      </c>
      <c r="I32" s="18" t="n">
        <v>0</v>
      </c>
      <c r="J32" s="20" t="n">
        <v>0</v>
      </c>
      <c r="K32" s="18" t="n">
        <v>0.11932223</v>
      </c>
      <c r="L32" s="20" t="n">
        <v>0.11704785</v>
      </c>
      <c r="M32" s="18" t="n">
        <v>0</v>
      </c>
      <c r="N32" s="20" t="n">
        <v>0</v>
      </c>
      <c r="O32" s="18" t="n">
        <v>0</v>
      </c>
      <c r="P32" s="20" t="n">
        <v>0</v>
      </c>
      <c r="Q32" s="18" t="n">
        <v>0.92651568</v>
      </c>
      <c r="R32" s="20" t="n">
        <v>0.26293391</v>
      </c>
    </row>
    <row r="33" spans="1:18">
      <c r="A33" s="15" t="s">
        <v>591</v>
      </c>
      <c r="B33" s="17" t="n">
        <v>7325</v>
      </c>
      <c r="C33" s="18">
        <f>(5716.0/B33*100)</f>
        <v/>
      </c>
      <c r="D33" s="19" t="n">
        <v>1609</v>
      </c>
      <c r="E33" s="18" t="n">
        <v>75.12883659000001</v>
      </c>
      <c r="F33" s="20" t="n">
        <v>1.19717146</v>
      </c>
      <c r="G33" s="18" t="n">
        <v>23.05242503</v>
      </c>
      <c r="H33" s="20" t="n">
        <v>1.18058076</v>
      </c>
      <c r="I33" s="18" t="n">
        <v>0</v>
      </c>
      <c r="J33" s="20" t="n">
        <v>0</v>
      </c>
      <c r="K33" s="18" t="n">
        <v>0.18801977</v>
      </c>
      <c r="L33" s="20" t="n">
        <v>0.10621073</v>
      </c>
      <c r="M33" s="18" t="n">
        <v>0</v>
      </c>
      <c r="N33" s="20" t="n">
        <v>0</v>
      </c>
      <c r="O33" s="18" t="n">
        <v>0</v>
      </c>
      <c r="P33" s="20" t="n">
        <v>0</v>
      </c>
      <c r="Q33" s="18" t="n">
        <v>1.63071861</v>
      </c>
      <c r="R33" s="20" t="n">
        <v>0.37720122</v>
      </c>
    </row>
    <row r="34" spans="1:18">
      <c r="A34" s="15" t="s">
        <v>592</v>
      </c>
      <c r="B34" s="17" t="n">
        <v>6350</v>
      </c>
      <c r="C34" s="18">
        <f>(5038.0/B34*100)</f>
        <v/>
      </c>
      <c r="D34" s="19" t="n">
        <v>1312</v>
      </c>
      <c r="E34" s="18" t="n">
        <v>72.24136473</v>
      </c>
      <c r="F34" s="20" t="n">
        <v>1.04901106</v>
      </c>
      <c r="G34" s="18" t="n">
        <v>25.65639489</v>
      </c>
      <c r="H34" s="20" t="n">
        <v>1.07213955</v>
      </c>
      <c r="I34" s="18" t="n">
        <v>0</v>
      </c>
      <c r="J34" s="20" t="n">
        <v>0</v>
      </c>
      <c r="K34" s="18" t="n">
        <v>0.27935242</v>
      </c>
      <c r="L34" s="20" t="n">
        <v>0.18767211</v>
      </c>
      <c r="M34" s="18" t="n">
        <v>0</v>
      </c>
      <c r="N34" s="20" t="n">
        <v>0</v>
      </c>
      <c r="O34" s="18" t="n">
        <v>0</v>
      </c>
      <c r="P34" s="20" t="n">
        <v>0</v>
      </c>
      <c r="Q34" s="18" t="n">
        <v>1.82288797</v>
      </c>
      <c r="R34" s="20" t="n">
        <v>0.3867867</v>
      </c>
    </row>
    <row r="35" spans="1:18">
      <c r="A35" s="15" t="s">
        <v>593</v>
      </c>
      <c r="B35" s="17" t="n">
        <v>6406</v>
      </c>
      <c r="C35" s="18">
        <f>(5058.0/B35*100)</f>
        <v/>
      </c>
      <c r="D35" s="19" t="n">
        <v>1348</v>
      </c>
      <c r="E35" s="18" t="n">
        <v>82.15192128</v>
      </c>
      <c r="F35" s="20" t="n">
        <v>1.34203643</v>
      </c>
      <c r="G35" s="18" t="n">
        <v>15.64508583</v>
      </c>
      <c r="H35" s="20" t="n">
        <v>1.36250652</v>
      </c>
      <c r="I35" s="18" t="n">
        <v>0</v>
      </c>
      <c r="J35" s="20" t="n">
        <v>0</v>
      </c>
      <c r="K35" s="18" t="n">
        <v>0.09503691</v>
      </c>
      <c r="L35" s="20" t="n">
        <v>0.07051590000000001</v>
      </c>
      <c r="M35" s="18" t="n">
        <v>0</v>
      </c>
      <c r="N35" s="20" t="n">
        <v>0</v>
      </c>
      <c r="O35" s="18" t="n">
        <v>0</v>
      </c>
      <c r="P35" s="20" t="n">
        <v>0</v>
      </c>
      <c r="Q35" s="18" t="n">
        <v>2.10795598</v>
      </c>
      <c r="R35" s="20" t="n">
        <v>0.42866989</v>
      </c>
    </row>
    <row r="36" spans="1:18">
      <c r="A36" s="15" t="s">
        <v>594</v>
      </c>
      <c r="B36" s="17" t="n">
        <v>6736</v>
      </c>
      <c r="C36" s="18">
        <f>(5281.0/B36*100)</f>
        <v/>
      </c>
      <c r="D36" s="19" t="n">
        <v>1455</v>
      </c>
      <c r="E36" s="18" t="n">
        <v>59.76409927</v>
      </c>
      <c r="F36" s="20" t="n">
        <v>1.45325813</v>
      </c>
      <c r="G36" s="18" t="n">
        <v>37.10971414</v>
      </c>
      <c r="H36" s="20" t="n">
        <v>1.53909286</v>
      </c>
      <c r="I36" s="18" t="n">
        <v>0</v>
      </c>
      <c r="J36" s="20" t="n">
        <v>0</v>
      </c>
      <c r="K36" s="18" t="n">
        <v>0.54294774</v>
      </c>
      <c r="L36" s="20" t="n">
        <v>0.13961252</v>
      </c>
      <c r="M36" s="18" t="n">
        <v>0</v>
      </c>
      <c r="N36" s="20" t="n">
        <v>0</v>
      </c>
      <c r="O36" s="18" t="n">
        <v>0</v>
      </c>
      <c r="P36" s="20" t="n">
        <v>0</v>
      </c>
      <c r="Q36" s="18" t="n">
        <v>2.58323885</v>
      </c>
      <c r="R36" s="20" t="n">
        <v>0.49304288</v>
      </c>
    </row>
    <row r="37" spans="1:18">
      <c r="A37" s="15" t="s">
        <v>595</v>
      </c>
      <c r="B37" s="17" t="n">
        <v>5458</v>
      </c>
      <c r="C37" s="18">
        <f>(4290.0/B37*100)</f>
        <v/>
      </c>
      <c r="D37" s="19" t="n">
        <v>1168</v>
      </c>
      <c r="E37" s="18" t="n">
        <v>63.49649594</v>
      </c>
      <c r="F37" s="20" t="n">
        <v>1.51774223</v>
      </c>
      <c r="G37" s="18" t="n">
        <v>31.72907801</v>
      </c>
      <c r="H37" s="20" t="n">
        <v>1.66568231</v>
      </c>
      <c r="I37" s="18" t="n">
        <v>0</v>
      </c>
      <c r="J37" s="20" t="n">
        <v>0</v>
      </c>
      <c r="K37" s="18" t="n">
        <v>0.65376425</v>
      </c>
      <c r="L37" s="20" t="n">
        <v>0.20502384</v>
      </c>
      <c r="M37" s="18" t="n">
        <v>0</v>
      </c>
      <c r="N37" s="20" t="n">
        <v>0</v>
      </c>
      <c r="O37" s="18" t="n">
        <v>0</v>
      </c>
      <c r="P37" s="20" t="n">
        <v>0</v>
      </c>
      <c r="Q37" s="18" t="n">
        <v>4.12066181</v>
      </c>
      <c r="R37" s="20" t="n">
        <v>0.59459161</v>
      </c>
    </row>
    <row r="38" spans="1:18">
      <c r="A38" s="15" t="s">
        <v>596</v>
      </c>
      <c r="B38" s="17" t="n">
        <v>5860</v>
      </c>
      <c r="C38" s="18">
        <f>(4603.0/B38*100)</f>
        <v/>
      </c>
      <c r="D38" s="19" t="n">
        <v>1257</v>
      </c>
      <c r="E38" s="18" t="n">
        <v>65.8719557</v>
      </c>
      <c r="F38" s="20" t="n">
        <v>1.74392675</v>
      </c>
      <c r="G38" s="18" t="n">
        <v>31.22860181</v>
      </c>
      <c r="H38" s="20" t="n">
        <v>1.69705483</v>
      </c>
      <c r="I38" s="18" t="n">
        <v>0</v>
      </c>
      <c r="J38" s="20" t="n">
        <v>0</v>
      </c>
      <c r="K38" s="18" t="n">
        <v>0.39415824</v>
      </c>
      <c r="L38" s="20" t="n">
        <v>0.16874623</v>
      </c>
      <c r="M38" s="18" t="n">
        <v>0</v>
      </c>
      <c r="N38" s="20" t="n">
        <v>0</v>
      </c>
      <c r="O38" s="18" t="n">
        <v>0</v>
      </c>
      <c r="P38" s="20" t="n">
        <v>0</v>
      </c>
      <c r="Q38" s="18" t="n">
        <v>2.50528426</v>
      </c>
      <c r="R38" s="20" t="n">
        <v>0.47422354</v>
      </c>
    </row>
    <row r="39" spans="1:18">
      <c r="A39" s="15" t="s">
        <v>597</v>
      </c>
      <c r="B39" s="17" t="n">
        <v>5895</v>
      </c>
      <c r="C39" s="18">
        <f>(4574.0/B39*100)</f>
        <v/>
      </c>
      <c r="D39" s="19" t="n">
        <v>1321</v>
      </c>
      <c r="E39" s="18" t="n">
        <v>76.47429948</v>
      </c>
      <c r="F39" s="20" t="n">
        <v>1.8396853</v>
      </c>
      <c r="G39" s="18" t="n">
        <v>19.78645759</v>
      </c>
      <c r="H39" s="20" t="n">
        <v>1.8240086</v>
      </c>
      <c r="I39" s="18" t="n">
        <v>0</v>
      </c>
      <c r="J39" s="20" t="n">
        <v>0</v>
      </c>
      <c r="K39" s="18" t="n">
        <v>0.28406413</v>
      </c>
      <c r="L39" s="20" t="n">
        <v>0.11826081</v>
      </c>
      <c r="M39" s="18" t="n">
        <v>0</v>
      </c>
      <c r="N39" s="20" t="n">
        <v>0</v>
      </c>
      <c r="O39" s="18" t="n">
        <v>0</v>
      </c>
      <c r="P39" s="20" t="n">
        <v>0</v>
      </c>
      <c r="Q39" s="18" t="n">
        <v>3.4551788</v>
      </c>
      <c r="R39" s="20" t="n">
        <v>0.51055151</v>
      </c>
    </row>
    <row r="40" spans="1:18">
      <c r="A40" s="15" t="s">
        <v>598</v>
      </c>
      <c r="B40" s="17" t="n">
        <v>14157</v>
      </c>
      <c r="C40" s="18">
        <f>(11002.0/B40*100)</f>
        <v/>
      </c>
      <c r="D40" s="19" t="n">
        <v>3155</v>
      </c>
      <c r="E40" s="18" t="n">
        <v>64.26118774</v>
      </c>
      <c r="F40" s="20" t="n">
        <v>1.41526868</v>
      </c>
      <c r="G40" s="18" t="n">
        <v>31.86650035</v>
      </c>
      <c r="H40" s="20" t="n">
        <v>1.4353187</v>
      </c>
      <c r="I40" s="18" t="n">
        <v>0</v>
      </c>
      <c r="J40" s="20" t="n">
        <v>0</v>
      </c>
      <c r="K40" s="18" t="n">
        <v>0.41576285</v>
      </c>
      <c r="L40" s="20" t="n">
        <v>0.20659812</v>
      </c>
      <c r="M40" s="18" t="n">
        <v>0</v>
      </c>
      <c r="N40" s="20" t="n">
        <v>0</v>
      </c>
      <c r="O40" s="18" t="n">
        <v>0</v>
      </c>
      <c r="P40" s="20" t="n">
        <v>0</v>
      </c>
      <c r="Q40" s="18" t="n">
        <v>3.45654905</v>
      </c>
      <c r="R40" s="20" t="n">
        <v>0.50546879</v>
      </c>
    </row>
    <row r="41" spans="1:18">
      <c r="A41" s="15" t="s">
        <v>599</v>
      </c>
      <c r="B41" s="17" t="n">
        <v>5712</v>
      </c>
      <c r="C41" s="18">
        <f>(4503.0/B41*100)</f>
        <v/>
      </c>
      <c r="D41" s="19" t="n">
        <v>1209</v>
      </c>
      <c r="E41" s="18" t="n">
        <v>75.0486365</v>
      </c>
      <c r="F41" s="20" t="n">
        <v>1.34745542</v>
      </c>
      <c r="G41" s="18" t="n">
        <v>23.62078739</v>
      </c>
      <c r="H41" s="20" t="n">
        <v>1.29387614</v>
      </c>
      <c r="I41" s="18" t="n">
        <v>0</v>
      </c>
      <c r="J41" s="20" t="n">
        <v>0</v>
      </c>
      <c r="K41" s="18" t="n">
        <v>0.45933215</v>
      </c>
      <c r="L41" s="20" t="n">
        <v>0.21282229</v>
      </c>
      <c r="M41" s="18" t="n">
        <v>0</v>
      </c>
      <c r="N41" s="20" t="n">
        <v>0</v>
      </c>
      <c r="O41" s="18" t="n">
        <v>0</v>
      </c>
      <c r="P41" s="20" t="n">
        <v>0</v>
      </c>
      <c r="Q41" s="18" t="n">
        <v>0.87124397</v>
      </c>
      <c r="R41" s="20" t="n">
        <v>0.32545842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(19298.0/B46*100)</f>
        <v/>
      </c>
      <c r="D46" s="19" t="n">
        <v>3843</v>
      </c>
      <c r="E46" s="18" t="n">
        <v>74.0647474</v>
      </c>
      <c r="F46" s="20" t="n">
        <v>0.9952789</v>
      </c>
      <c r="G46" s="18" t="n">
        <v>18.46698349</v>
      </c>
      <c r="H46" s="20" t="n">
        <v>0.96550905</v>
      </c>
      <c r="I46" s="18" t="n">
        <v>0</v>
      </c>
      <c r="J46" s="20" t="n">
        <v>0</v>
      </c>
      <c r="K46" s="18" t="n">
        <v>1.18453568</v>
      </c>
      <c r="L46" s="20" t="n">
        <v>0.26329161</v>
      </c>
      <c r="M46" s="18" t="n">
        <v>0</v>
      </c>
      <c r="N46" s="20" t="n">
        <v>0</v>
      </c>
      <c r="O46" s="18" t="n">
        <v>0</v>
      </c>
      <c r="P46" s="20" t="n">
        <v>0</v>
      </c>
      <c r="Q46" s="18" t="n">
        <v>6.28373343</v>
      </c>
      <c r="R46" s="20" t="n">
        <v>0.50720649</v>
      </c>
    </row>
    <row r="47" spans="1:18">
      <c r="A47" s="15" t="s">
        <v>606</v>
      </c>
      <c r="B47" s="17" t="n">
        <v>5928</v>
      </c>
      <c r="C47" s="18">
        <f>(4607.0/B47*100)</f>
        <v/>
      </c>
      <c r="D47" s="19" t="n">
        <v>1321</v>
      </c>
      <c r="E47" s="18" t="n">
        <v>65.78556844000001</v>
      </c>
      <c r="F47" s="20" t="n">
        <v>1.71719318</v>
      </c>
      <c r="G47" s="18" t="n">
        <v>30.30635487</v>
      </c>
      <c r="H47" s="20" t="n">
        <v>1.84586649</v>
      </c>
      <c r="I47" s="18" t="n">
        <v>0</v>
      </c>
      <c r="J47" s="20" t="n">
        <v>0</v>
      </c>
      <c r="K47" s="18" t="n">
        <v>0.52064109</v>
      </c>
      <c r="L47" s="20" t="n">
        <v>0.19162978</v>
      </c>
      <c r="M47" s="18" t="n">
        <v>0</v>
      </c>
      <c r="N47" s="20" t="n">
        <v>0</v>
      </c>
      <c r="O47" s="18" t="n">
        <v>0</v>
      </c>
      <c r="P47" s="20" t="n">
        <v>0</v>
      </c>
      <c r="Q47" s="18" t="n">
        <v>3.3874356</v>
      </c>
      <c r="R47" s="20" t="n">
        <v>0.60805733</v>
      </c>
    </row>
    <row r="48" spans="1:18">
      <c r="A48" s="15" t="s">
        <v>607</v>
      </c>
      <c r="B48" s="17" t="n">
        <v>9841</v>
      </c>
      <c r="C48" s="18">
        <f>(7688.0/B48*100)</f>
        <v/>
      </c>
      <c r="D48" s="19" t="n">
        <v>2153</v>
      </c>
      <c r="E48" s="18" t="n">
        <v>62.80870739</v>
      </c>
      <c r="F48" s="20" t="n">
        <v>1.85874097</v>
      </c>
      <c r="G48" s="18" t="n">
        <v>36.62688594</v>
      </c>
      <c r="H48" s="20" t="n">
        <v>1.87346479</v>
      </c>
      <c r="I48" s="18" t="n">
        <v>0</v>
      </c>
      <c r="J48" s="20" t="n">
        <v>0</v>
      </c>
      <c r="K48" s="18" t="n">
        <v>0.22898308</v>
      </c>
      <c r="L48" s="20" t="n">
        <v>0.11969457</v>
      </c>
      <c r="M48" s="18" t="n">
        <v>0</v>
      </c>
      <c r="N48" s="20" t="n">
        <v>0</v>
      </c>
      <c r="O48" s="18" t="n">
        <v>0</v>
      </c>
      <c r="P48" s="20" t="n">
        <v>0</v>
      </c>
      <c r="Q48" s="18" t="n">
        <v>0.33542358</v>
      </c>
      <c r="R48" s="20" t="n">
        <v>0.16240896</v>
      </c>
    </row>
    <row r="49" spans="1:18">
      <c r="A49" s="15" t="s">
        <v>608</v>
      </c>
      <c r="B49" s="17" t="n">
        <v>11795</v>
      </c>
      <c r="C49" s="18">
        <f>(9254.0/B49*100)</f>
        <v/>
      </c>
      <c r="D49" s="19" t="n">
        <v>2541</v>
      </c>
      <c r="E49" s="18" t="n">
        <v>74.44713105</v>
      </c>
      <c r="F49" s="20" t="n">
        <v>1.01988491</v>
      </c>
      <c r="G49" s="18" t="n">
        <v>21.41223564</v>
      </c>
      <c r="H49" s="20" t="n">
        <v>1.00401753</v>
      </c>
      <c r="I49" s="18" t="n">
        <v>0</v>
      </c>
      <c r="J49" s="20" t="n">
        <v>0</v>
      </c>
      <c r="K49" s="18" t="n">
        <v>1.35652174</v>
      </c>
      <c r="L49" s="20" t="n">
        <v>0.39434039</v>
      </c>
      <c r="M49" s="18" t="n">
        <v>0</v>
      </c>
      <c r="N49" s="20" t="n">
        <v>0</v>
      </c>
      <c r="O49" s="18" t="n">
        <v>0</v>
      </c>
      <c r="P49" s="20" t="n">
        <v>0</v>
      </c>
      <c r="Q49" s="18" t="n">
        <v>2.78411157</v>
      </c>
      <c r="R49" s="20" t="n">
        <v>0.43577502</v>
      </c>
    </row>
    <row r="50" spans="1:18">
      <c r="A50" s="15" t="s">
        <v>609</v>
      </c>
      <c r="B50" s="17" t="n">
        <v>6866</v>
      </c>
      <c r="C50" s="18">
        <f>(5650.0/B50*100)</f>
        <v/>
      </c>
      <c r="D50" s="19" t="n">
        <v>1216</v>
      </c>
      <c r="E50" s="18" t="n">
        <v>93.29084892</v>
      </c>
      <c r="F50" s="20" t="n">
        <v>0.73714613</v>
      </c>
      <c r="G50" s="18" t="n">
        <v>2.26234816</v>
      </c>
      <c r="H50" s="20" t="n">
        <v>0.42926646</v>
      </c>
      <c r="I50" s="18" t="n">
        <v>0</v>
      </c>
      <c r="J50" s="20" t="n">
        <v>0</v>
      </c>
      <c r="K50" s="18" t="n">
        <v>0.26577903</v>
      </c>
      <c r="L50" s="20" t="n">
        <v>0.13170612</v>
      </c>
      <c r="M50" s="18" t="n">
        <v>0</v>
      </c>
      <c r="N50" s="20" t="n">
        <v>0</v>
      </c>
      <c r="O50" s="18" t="n">
        <v>0</v>
      </c>
      <c r="P50" s="20" t="n">
        <v>0</v>
      </c>
      <c r="Q50" s="18" t="n">
        <v>4.18102389</v>
      </c>
      <c r="R50" s="20" t="n">
        <v>0.67206914</v>
      </c>
    </row>
    <row r="51" spans="1:18">
      <c r="A51" s="15" t="s">
        <v>610</v>
      </c>
      <c r="B51" s="17" t="n">
        <v>5809</v>
      </c>
      <c r="C51" s="18">
        <f>(4536.0/B51*100)</f>
        <v/>
      </c>
      <c r="D51" s="19" t="n">
        <v>1273</v>
      </c>
      <c r="E51" s="18" t="n">
        <v>78.85403289</v>
      </c>
      <c r="F51" s="20" t="n">
        <v>1.29726038</v>
      </c>
      <c r="G51" s="18" t="n">
        <v>17.7152264</v>
      </c>
      <c r="H51" s="20" t="n">
        <v>1.18893928</v>
      </c>
      <c r="I51" s="18" t="n">
        <v>0</v>
      </c>
      <c r="J51" s="20" t="n">
        <v>0</v>
      </c>
      <c r="K51" s="18" t="n">
        <v>0.05957478</v>
      </c>
      <c r="L51" s="20" t="n">
        <v>0.05988265</v>
      </c>
      <c r="M51" s="18" t="n">
        <v>0</v>
      </c>
      <c r="N51" s="20" t="n">
        <v>0</v>
      </c>
      <c r="O51" s="18" t="n">
        <v>0</v>
      </c>
      <c r="P51" s="20" t="n">
        <v>0</v>
      </c>
      <c r="Q51" s="18" t="n">
        <v>3.37116593</v>
      </c>
      <c r="R51" s="20" t="n">
        <v>0.56689206</v>
      </c>
    </row>
    <row r="52" spans="1:18">
      <c r="A52" s="15" t="s">
        <v>611</v>
      </c>
      <c r="B52" s="17" t="n">
        <v>5571</v>
      </c>
      <c r="C52" s="18">
        <f>(4296.0/B52*100)</f>
        <v/>
      </c>
      <c r="D52" s="19" t="n">
        <v>1275</v>
      </c>
      <c r="E52" s="18" t="n">
        <v>81.46588930999999</v>
      </c>
      <c r="F52" s="20" t="n">
        <v>1.06114324</v>
      </c>
      <c r="G52" s="18" t="n">
        <v>14.59341093</v>
      </c>
      <c r="H52" s="20" t="n">
        <v>1.00543505</v>
      </c>
      <c r="I52" s="18" t="n">
        <v>0</v>
      </c>
      <c r="J52" s="20" t="n">
        <v>0</v>
      </c>
      <c r="K52" s="18" t="n">
        <v>0.5689443</v>
      </c>
      <c r="L52" s="20" t="n">
        <v>0.20507995</v>
      </c>
      <c r="M52" s="18" t="n">
        <v>0</v>
      </c>
      <c r="N52" s="20" t="n">
        <v>0</v>
      </c>
      <c r="O52" s="18" t="n">
        <v>0</v>
      </c>
      <c r="P52" s="20" t="n">
        <v>0</v>
      </c>
      <c r="Q52" s="18" t="n">
        <v>3.37175546</v>
      </c>
      <c r="R52" s="20" t="n">
        <v>0.49283016</v>
      </c>
    </row>
    <row r="53" spans="1:18">
      <c r="A53" s="15" t="s">
        <v>612</v>
      </c>
      <c r="B53" s="17" t="n">
        <v>4740</v>
      </c>
      <c r="C53" s="18">
        <f>(3713.0/B53*100)</f>
        <v/>
      </c>
      <c r="D53" s="19" t="n">
        <v>1027</v>
      </c>
      <c r="E53" s="18" t="n">
        <v>81.68868354</v>
      </c>
      <c r="F53" s="20" t="n">
        <v>1.33256768</v>
      </c>
      <c r="G53" s="18" t="n">
        <v>0.7281317</v>
      </c>
      <c r="H53" s="20" t="n">
        <v>0.25677548</v>
      </c>
      <c r="I53" s="18" t="n">
        <v>0</v>
      </c>
      <c r="J53" s="20" t="n">
        <v>0</v>
      </c>
      <c r="K53" s="18" t="n">
        <v>11.1517497</v>
      </c>
      <c r="L53" s="20" t="n">
        <v>1.09451534</v>
      </c>
      <c r="M53" s="18" t="n">
        <v>0</v>
      </c>
      <c r="N53" s="20" t="n">
        <v>0</v>
      </c>
      <c r="O53" s="18" t="n">
        <v>0</v>
      </c>
      <c r="P53" s="20" t="n">
        <v>0</v>
      </c>
      <c r="Q53" s="18" t="n">
        <v>6.43143506</v>
      </c>
      <c r="R53" s="20" t="n">
        <v>0.7820369700000001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(4239.0/B55*100)</f>
        <v/>
      </c>
      <c r="D55" s="19" t="n">
        <v>1120</v>
      </c>
      <c r="E55" s="18" t="n">
        <v>48.33540759</v>
      </c>
      <c r="F55" s="20" t="n">
        <v>1.76609285</v>
      </c>
      <c r="G55" s="18" t="n">
        <v>50.5841588</v>
      </c>
      <c r="H55" s="20" t="n">
        <v>1.76413569</v>
      </c>
      <c r="I55" s="18" t="n">
        <v>0</v>
      </c>
      <c r="J55" s="20" t="n">
        <v>0</v>
      </c>
      <c r="K55" s="18" t="n">
        <v>0.1955043</v>
      </c>
      <c r="L55" s="20" t="n">
        <v>0.15115918</v>
      </c>
      <c r="M55" s="18" t="n">
        <v>0.06129135</v>
      </c>
      <c r="N55" s="20" t="n">
        <v>0.06128584</v>
      </c>
      <c r="O55" s="18" t="n">
        <v>0</v>
      </c>
      <c r="P55" s="20" t="n">
        <v>0</v>
      </c>
      <c r="Q55" s="18" t="n">
        <v>0.82363796</v>
      </c>
      <c r="R55" s="20" t="n">
        <v>0.26408473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(5096.0/B61*100)</f>
        <v/>
      </c>
      <c r="D61" s="19" t="n">
        <v>1429</v>
      </c>
      <c r="E61" s="18" t="n">
        <v>76.97492807</v>
      </c>
      <c r="F61" s="20" t="n">
        <v>1.44779461</v>
      </c>
      <c r="G61" s="18" t="n">
        <v>20.72033423</v>
      </c>
      <c r="H61" s="20" t="n">
        <v>1.40594505</v>
      </c>
      <c r="I61" s="18" t="n">
        <v>0</v>
      </c>
      <c r="J61" s="20" t="n">
        <v>0</v>
      </c>
      <c r="K61" s="18" t="n">
        <v>0.1441491</v>
      </c>
      <c r="L61" s="20" t="n">
        <v>0.11672771</v>
      </c>
      <c r="M61" s="18" t="n">
        <v>0</v>
      </c>
      <c r="N61" s="20" t="n">
        <v>0</v>
      </c>
      <c r="O61" s="18" t="n">
        <v>0</v>
      </c>
      <c r="P61" s="20" t="n">
        <v>0</v>
      </c>
      <c r="Q61" s="18" t="n">
        <v>2.16058861</v>
      </c>
      <c r="R61" s="20" t="n">
        <v>0.471384</v>
      </c>
    </row>
    <row r="62" spans="1:18">
      <c r="A62" s="15" t="s">
        <v>622</v>
      </c>
      <c r="B62" s="17" t="n">
        <v>4476</v>
      </c>
      <c r="C62" s="18">
        <f>(3505.0/B62*100)</f>
        <v/>
      </c>
      <c r="D62" s="19" t="n">
        <v>971</v>
      </c>
      <c r="E62" s="18" t="n">
        <v>59.20432123</v>
      </c>
      <c r="F62" s="20" t="n">
        <v>1.64255907</v>
      </c>
      <c r="G62" s="18" t="n">
        <v>40.4854976</v>
      </c>
      <c r="H62" s="20" t="n">
        <v>1.64110082</v>
      </c>
      <c r="I62" s="18" t="n">
        <v>0</v>
      </c>
      <c r="J62" s="20" t="n">
        <v>0</v>
      </c>
      <c r="K62" s="18" t="n">
        <v>0.1057434</v>
      </c>
      <c r="L62" s="20" t="n">
        <v>0.10579636</v>
      </c>
      <c r="M62" s="18" t="n">
        <v>0.10221889</v>
      </c>
      <c r="N62" s="20" t="n">
        <v>0.10240174</v>
      </c>
      <c r="O62" s="18" t="n">
        <v>0</v>
      </c>
      <c r="P62" s="20" t="n">
        <v>0</v>
      </c>
      <c r="Q62" s="18" t="n">
        <v>0.10221889</v>
      </c>
      <c r="R62" s="20" t="n">
        <v>0.10264064</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(4452.0/B67*100)</f>
        <v/>
      </c>
      <c r="D67" s="19" t="n">
        <v>1213</v>
      </c>
      <c r="E67" s="18" t="n">
        <v>65.48861495</v>
      </c>
      <c r="F67" s="20" t="n">
        <v>1.36162346</v>
      </c>
      <c r="G67" s="18" t="n">
        <v>24.07721967</v>
      </c>
      <c r="H67" s="20" t="n">
        <v>1.18090245</v>
      </c>
      <c r="I67" s="18" t="n">
        <v>0</v>
      </c>
      <c r="J67" s="20" t="n">
        <v>0</v>
      </c>
      <c r="K67" s="18" t="n">
        <v>0.99068002</v>
      </c>
      <c r="L67" s="20" t="n">
        <v>0.33435041</v>
      </c>
      <c r="M67" s="18" t="n">
        <v>0</v>
      </c>
      <c r="N67" s="20" t="n">
        <v>0</v>
      </c>
      <c r="O67" s="18" t="n">
        <v>0</v>
      </c>
      <c r="P67" s="20" t="n">
        <v>0</v>
      </c>
      <c r="Q67" s="18" t="n">
        <v>9.44348536</v>
      </c>
      <c r="R67" s="20" t="n">
        <v>0.82590526</v>
      </c>
    </row>
    <row r="68" spans="1:18">
      <c r="A68" s="15" t="s">
        <v>628</v>
      </c>
      <c r="B68" s="17" t="n">
        <v>6971</v>
      </c>
      <c r="C68" s="18">
        <f>(5647.0/B68*100)</f>
        <v/>
      </c>
      <c r="D68" s="19" t="n">
        <v>1324</v>
      </c>
      <c r="E68" s="18" t="n">
        <v>78.02516092</v>
      </c>
      <c r="F68" s="20" t="n">
        <v>1.41307069</v>
      </c>
      <c r="G68" s="18" t="n">
        <v>19.48093233</v>
      </c>
      <c r="H68" s="20" t="n">
        <v>1.38270107</v>
      </c>
      <c r="I68" s="18" t="n">
        <v>0</v>
      </c>
      <c r="J68" s="20" t="n">
        <v>0</v>
      </c>
      <c r="K68" s="18" t="n">
        <v>0.07650477999999999</v>
      </c>
      <c r="L68" s="20" t="n">
        <v>0.07726006000000001</v>
      </c>
      <c r="M68" s="18" t="n">
        <v>0</v>
      </c>
      <c r="N68" s="20" t="n">
        <v>0</v>
      </c>
      <c r="O68" s="18" t="n">
        <v>0</v>
      </c>
      <c r="P68" s="20" t="n">
        <v>0</v>
      </c>
      <c r="Q68" s="18" t="n">
        <v>2.41740196</v>
      </c>
      <c r="R68" s="20" t="n">
        <v>0.47616526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(9381.0/B70*100)</f>
        <v/>
      </c>
      <c r="D70" s="19" t="n">
        <v>2702</v>
      </c>
      <c r="E70" s="18" t="n">
        <v>77.58459082</v>
      </c>
      <c r="F70" s="20" t="n">
        <v>0.83718183</v>
      </c>
      <c r="G70" s="18" t="n">
        <v>15.08114923</v>
      </c>
      <c r="H70" s="20" t="n">
        <v>0.67468458</v>
      </c>
      <c r="I70" s="18" t="n">
        <v>0</v>
      </c>
      <c r="J70" s="20" t="n">
        <v>0</v>
      </c>
      <c r="K70" s="18" t="n">
        <v>2.37975071</v>
      </c>
      <c r="L70" s="20" t="n">
        <v>0.30497369</v>
      </c>
      <c r="M70" s="18" t="n">
        <v>0</v>
      </c>
      <c r="N70" s="20" t="n">
        <v>0</v>
      </c>
      <c r="O70" s="18" t="n">
        <v>0</v>
      </c>
      <c r="P70" s="20" t="n">
        <v>0</v>
      </c>
      <c r="Q70" s="18" t="n">
        <v>4.95450924</v>
      </c>
      <c r="R70" s="20" t="n">
        <v>0.44158276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(4731.0/B72*100)</f>
        <v/>
      </c>
      <c r="D72" s="19" t="n">
        <v>1305</v>
      </c>
      <c r="E72" s="18" t="n">
        <v>71.60896615999999</v>
      </c>
      <c r="F72" s="20" t="n">
        <v>1.70245423</v>
      </c>
      <c r="G72" s="18" t="n">
        <v>26.72196842</v>
      </c>
      <c r="H72" s="20" t="n">
        <v>1.68857096</v>
      </c>
      <c r="I72" s="18" t="n">
        <v>0</v>
      </c>
      <c r="J72" s="20" t="n">
        <v>0</v>
      </c>
      <c r="K72" s="18" t="n">
        <v>0.14077643</v>
      </c>
      <c r="L72" s="20" t="n">
        <v>0.08021822000000001</v>
      </c>
      <c r="M72" s="18" t="n">
        <v>0</v>
      </c>
      <c r="N72" s="20" t="n">
        <v>0</v>
      </c>
      <c r="O72" s="18" t="n">
        <v>0</v>
      </c>
      <c r="P72" s="20" t="n">
        <v>0</v>
      </c>
      <c r="Q72" s="18" t="n">
        <v>1.52828899</v>
      </c>
      <c r="R72" s="20" t="n">
        <v>0.35130862</v>
      </c>
    </row>
    <row r="73" spans="1:18">
      <c r="A73" s="15" t="s">
        <v>633</v>
      </c>
      <c r="B73" s="17" t="n">
        <v>6115</v>
      </c>
      <c r="C73" s="18">
        <f>(4767.0/B73*100)</f>
        <v/>
      </c>
      <c r="D73" s="19" t="n">
        <v>1348</v>
      </c>
      <c r="E73" s="18" t="n">
        <v>41.64727192</v>
      </c>
      <c r="F73" s="20" t="n">
        <v>1.47577815</v>
      </c>
      <c r="G73" s="18" t="n">
        <v>57.7516851</v>
      </c>
      <c r="H73" s="20" t="n">
        <v>1.46719425</v>
      </c>
      <c r="I73" s="18" t="n">
        <v>0</v>
      </c>
      <c r="J73" s="20" t="n">
        <v>0</v>
      </c>
      <c r="K73" s="18" t="n">
        <v>0.14199309</v>
      </c>
      <c r="L73" s="20" t="n">
        <v>0.10100259</v>
      </c>
      <c r="M73" s="18" t="n">
        <v>0</v>
      </c>
      <c r="N73" s="20" t="n">
        <v>0</v>
      </c>
      <c r="O73" s="18" t="n">
        <v>0</v>
      </c>
      <c r="P73" s="20" t="n">
        <v>0</v>
      </c>
      <c r="Q73" s="18" t="n">
        <v>0.45904989</v>
      </c>
      <c r="R73" s="20" t="n">
        <v>0.15896787</v>
      </c>
    </row>
    <row r="74" spans="1:18">
      <c r="A74" s="15" t="s">
        <v>634</v>
      </c>
      <c r="B74" s="17" t="n">
        <v>7708</v>
      </c>
      <c r="C74" s="18">
        <f>(6057.0/B74*100)</f>
        <v/>
      </c>
      <c r="D74" s="19" t="n">
        <v>1651</v>
      </c>
      <c r="E74" s="18" t="n">
        <v>60.51960029</v>
      </c>
      <c r="F74" s="20" t="n">
        <v>1.50771944</v>
      </c>
      <c r="G74" s="18" t="n">
        <v>38.51815501</v>
      </c>
      <c r="H74" s="20" t="n">
        <v>1.48151282</v>
      </c>
      <c r="I74" s="18" t="n">
        <v>0</v>
      </c>
      <c r="J74" s="20" t="n">
        <v>0</v>
      </c>
      <c r="K74" s="18" t="n">
        <v>0.05027356</v>
      </c>
      <c r="L74" s="20" t="n">
        <v>0.05046443</v>
      </c>
      <c r="M74" s="18" t="n">
        <v>0</v>
      </c>
      <c r="N74" s="20" t="n">
        <v>0</v>
      </c>
      <c r="O74" s="18" t="n">
        <v>0</v>
      </c>
      <c r="P74" s="20" t="n">
        <v>0</v>
      </c>
      <c r="Q74" s="18" t="n">
        <v>0.91197113</v>
      </c>
      <c r="R74" s="20" t="n">
        <v>0.23296779</v>
      </c>
    </row>
    <row r="75" spans="1:18">
      <c r="A75" s="15" t="s">
        <v>635</v>
      </c>
      <c r="B75" s="17" t="n">
        <v>8249</v>
      </c>
      <c r="C75" s="18">
        <f>(6544.0/B75*100)</f>
        <v/>
      </c>
      <c r="D75" s="19" t="n">
        <v>1705</v>
      </c>
      <c r="E75" s="18" t="n">
        <v>84.03957183</v>
      </c>
      <c r="F75" s="20" t="n">
        <v>1.27130703</v>
      </c>
      <c r="G75" s="18" t="n">
        <v>14.881805</v>
      </c>
      <c r="H75" s="20" t="n">
        <v>1.2622157</v>
      </c>
      <c r="I75" s="18" t="n">
        <v>0</v>
      </c>
      <c r="J75" s="20" t="n">
        <v>0</v>
      </c>
      <c r="K75" s="18" t="n">
        <v>0</v>
      </c>
      <c r="L75" s="20" t="n">
        <v>0</v>
      </c>
      <c r="M75" s="18" t="n">
        <v>0</v>
      </c>
      <c r="N75" s="20" t="n">
        <v>0</v>
      </c>
      <c r="O75" s="18" t="n">
        <v>0</v>
      </c>
      <c r="P75" s="20" t="n">
        <v>0</v>
      </c>
      <c r="Q75" s="18" t="n">
        <v>1.07862317</v>
      </c>
      <c r="R75" s="20" t="n">
        <v>0.23169689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(4340.0/B77*100)</f>
        <v/>
      </c>
      <c r="D77" s="19" t="n">
        <v>1035</v>
      </c>
      <c r="E77" s="18" t="n">
        <v>81.22884998000001</v>
      </c>
      <c r="F77" s="20" t="n">
        <v>1.18888763</v>
      </c>
      <c r="G77" s="18" t="n">
        <v>8.08528626</v>
      </c>
      <c r="H77" s="20" t="n">
        <v>0.7730537200000001</v>
      </c>
      <c r="I77" s="18" t="n">
        <v>0</v>
      </c>
      <c r="J77" s="20" t="n">
        <v>0</v>
      </c>
      <c r="K77" s="18" t="n">
        <v>3.18188412</v>
      </c>
      <c r="L77" s="20" t="n">
        <v>0.5171828000000001</v>
      </c>
      <c r="M77" s="18" t="n">
        <v>0</v>
      </c>
      <c r="N77" s="20" t="n">
        <v>0</v>
      </c>
      <c r="O77" s="18" t="n">
        <v>0</v>
      </c>
      <c r="P77" s="20" t="n">
        <v>0</v>
      </c>
      <c r="Q77" s="18" t="n">
        <v>7.50397964</v>
      </c>
      <c r="R77" s="20" t="n">
        <v>0.8874604699999999</v>
      </c>
    </row>
    <row r="78" spans="1:18">
      <c r="A78" s="15" t="s">
        <v>638</v>
      </c>
      <c r="B78" s="17" t="n">
        <v>14167</v>
      </c>
      <c r="C78" s="18">
        <f>(11172.0/B78*100)</f>
        <v/>
      </c>
      <c r="D78" s="19" t="n">
        <v>2995</v>
      </c>
      <c r="E78" s="18" t="n">
        <v>73.54560417</v>
      </c>
      <c r="F78" s="20" t="n">
        <v>1.12674196</v>
      </c>
      <c r="G78" s="18" t="n">
        <v>22.91856853</v>
      </c>
      <c r="H78" s="20" t="n">
        <v>1.14962977</v>
      </c>
      <c r="I78" s="18" t="n">
        <v>0</v>
      </c>
      <c r="J78" s="20" t="n">
        <v>0</v>
      </c>
      <c r="K78" s="18" t="n">
        <v>0.80927476</v>
      </c>
      <c r="L78" s="20" t="n">
        <v>0.15465482</v>
      </c>
      <c r="M78" s="18" t="n">
        <v>0</v>
      </c>
      <c r="N78" s="20" t="n">
        <v>0</v>
      </c>
      <c r="O78" s="18" t="n">
        <v>0</v>
      </c>
      <c r="P78" s="20" t="n">
        <v>0</v>
      </c>
      <c r="Q78" s="18" t="n">
        <v>2.72655254</v>
      </c>
      <c r="R78" s="20" t="n">
        <v>0.41373504</v>
      </c>
    </row>
    <row r="79" spans="1:18">
      <c r="A79" s="15" t="s">
        <v>639</v>
      </c>
      <c r="B79" s="17" t="n">
        <v>6062</v>
      </c>
      <c r="C79" s="18">
        <f>(4753.0/B79*100)</f>
        <v/>
      </c>
      <c r="D79" s="19" t="n">
        <v>1309</v>
      </c>
      <c r="E79" s="18" t="n">
        <v>78.66311371</v>
      </c>
      <c r="F79" s="20" t="n">
        <v>1.28348679</v>
      </c>
      <c r="G79" s="18" t="n">
        <v>14.07566955</v>
      </c>
      <c r="H79" s="20" t="n">
        <v>1.0576308</v>
      </c>
      <c r="I79" s="18" t="n">
        <v>0</v>
      </c>
      <c r="J79" s="20" t="n">
        <v>0</v>
      </c>
      <c r="K79" s="18" t="n">
        <v>0.77407645</v>
      </c>
      <c r="L79" s="20" t="n">
        <v>0.28706535</v>
      </c>
      <c r="M79" s="18" t="n">
        <v>0</v>
      </c>
      <c r="N79" s="20" t="n">
        <v>0</v>
      </c>
      <c r="O79" s="18" t="n">
        <v>0</v>
      </c>
      <c r="P79" s="20" t="n">
        <v>0</v>
      </c>
      <c r="Q79" s="18" t="n">
        <v>6.48714028</v>
      </c>
      <c r="R79" s="20" t="n">
        <v>0.91736595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(25354.0/B82*100)</f>
        <v/>
      </c>
      <c r="D82" s="19" t="n">
        <v>6976</v>
      </c>
      <c r="E82" s="18" t="n">
        <v>60.41370133</v>
      </c>
      <c r="F82" s="20" t="n">
        <v>0.84146184</v>
      </c>
      <c r="G82" s="18" t="n">
        <v>36.42331597</v>
      </c>
      <c r="H82" s="20" t="n">
        <v>0.87962126</v>
      </c>
      <c r="I82" s="18" t="n">
        <v>0</v>
      </c>
      <c r="J82" s="20" t="n">
        <v>0</v>
      </c>
      <c r="K82" s="18" t="n">
        <v>0.56457522</v>
      </c>
      <c r="L82" s="20" t="n">
        <v>0.11727324</v>
      </c>
      <c r="M82" s="18" t="n">
        <v>0</v>
      </c>
      <c r="N82" s="20" t="n">
        <v>0</v>
      </c>
      <c r="O82" s="18" t="n">
        <v>0</v>
      </c>
      <c r="P82" s="20" t="n">
        <v>0</v>
      </c>
      <c r="Q82" s="18" t="n">
        <v>2.59840747</v>
      </c>
      <c r="R82" s="20" t="n">
        <v>0.32212324</v>
      </c>
    </row>
    <row r="83" spans="1:18">
      <c r="A83" s="15" t="s">
        <v>643</v>
      </c>
      <c r="B83" s="17" t="n">
        <v>1652</v>
      </c>
      <c r="C83" s="18">
        <f>(1316.0/B83*100)</f>
        <v/>
      </c>
      <c r="D83" s="19" t="n">
        <v>336</v>
      </c>
      <c r="E83" s="18" t="n">
        <v>66.78253323</v>
      </c>
      <c r="F83" s="20" t="n">
        <v>2.69505655</v>
      </c>
      <c r="G83" s="18" t="n">
        <v>32.57957037</v>
      </c>
      <c r="H83" s="20" t="n">
        <v>2.68634013</v>
      </c>
      <c r="I83" s="18" t="n">
        <v>0</v>
      </c>
      <c r="J83" s="20" t="n">
        <v>0</v>
      </c>
      <c r="K83" s="18" t="n">
        <v>0</v>
      </c>
      <c r="L83" s="20" t="n">
        <v>0</v>
      </c>
      <c r="M83" s="18" t="n">
        <v>0</v>
      </c>
      <c r="N83" s="20" t="n">
        <v>0</v>
      </c>
      <c r="O83" s="18" t="n">
        <v>0</v>
      </c>
      <c r="P83" s="20" t="n">
        <v>0</v>
      </c>
      <c r="Q83" s="18" t="n">
        <v>0.6378964</v>
      </c>
      <c r="R83" s="20" t="n">
        <v>0.42901784</v>
      </c>
    </row>
    <row r="84" spans="1:18">
      <c r="A84" s="23" t="s">
        <v>644</v>
      </c>
      <c r="B84" s="24" t="n">
        <v>1887</v>
      </c>
      <c r="C84" s="25">
        <f>(1500.0/B84*100)</f>
        <v/>
      </c>
      <c r="D84" s="19" t="n">
        <v>387</v>
      </c>
      <c r="E84" s="18" t="n">
        <v>74.45395057</v>
      </c>
      <c r="F84" s="20" t="n">
        <v>2.29509298</v>
      </c>
      <c r="G84" s="18" t="n">
        <v>24.77692743</v>
      </c>
      <c r="H84" s="20" t="n">
        <v>2.24968614</v>
      </c>
      <c r="I84" s="18" t="n">
        <v>0</v>
      </c>
      <c r="J84" s="20" t="n">
        <v>0</v>
      </c>
      <c r="K84" s="18" t="n">
        <v>0.23919901</v>
      </c>
      <c r="L84" s="20" t="n">
        <v>0.23642771</v>
      </c>
      <c r="M84" s="18" t="n">
        <v>0</v>
      </c>
      <c r="N84" s="20" t="n">
        <v>0</v>
      </c>
      <c r="O84" s="18" t="n">
        <v>0</v>
      </c>
      <c r="P84" s="20" t="n">
        <v>0</v>
      </c>
      <c r="Q84" s="18" t="n">
        <v>0.52992299</v>
      </c>
      <c r="R84" s="20" t="n">
        <v>0.3748864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(11413.0/B7*100)</f>
        <v/>
      </c>
      <c r="D7" s="19" t="n">
        <v>3117</v>
      </c>
      <c r="E7" s="18" t="n">
        <v>79.13175621000001</v>
      </c>
      <c r="F7" s="20" t="n">
        <v>0.88300639</v>
      </c>
      <c r="G7" s="18" t="n">
        <v>17.21643315</v>
      </c>
      <c r="H7" s="20" t="n">
        <v>0.82000847</v>
      </c>
      <c r="I7" s="18" t="n">
        <v>0</v>
      </c>
      <c r="J7" s="20" t="n">
        <v>0</v>
      </c>
      <c r="K7" s="18" t="n">
        <v>0.41128065</v>
      </c>
      <c r="L7" s="20" t="n">
        <v>0.1314913</v>
      </c>
      <c r="M7" s="18" t="n">
        <v>0.10198799</v>
      </c>
      <c r="N7" s="20" t="n">
        <v>0.05746079</v>
      </c>
      <c r="O7" s="18" t="n">
        <v>0</v>
      </c>
      <c r="P7" s="20" t="n">
        <v>0</v>
      </c>
      <c r="Q7" s="18" t="n">
        <v>3.138542</v>
      </c>
      <c r="R7" s="20" t="n">
        <v>0.34516933</v>
      </c>
    </row>
    <row r="8" spans="1:18">
      <c r="A8" s="15" t="s">
        <v>566</v>
      </c>
      <c r="B8" s="17" t="n">
        <v>7007</v>
      </c>
      <c r="C8" s="18">
        <f>(5426.0/B8*100)</f>
        <v/>
      </c>
      <c r="D8" s="19" t="n">
        <v>1581</v>
      </c>
      <c r="E8" s="18" t="n">
        <v>83.25382155</v>
      </c>
      <c r="F8" s="20" t="n">
        <v>1.14689758</v>
      </c>
      <c r="G8" s="18" t="n">
        <v>11.61483988</v>
      </c>
      <c r="H8" s="20" t="n">
        <v>1.03770005</v>
      </c>
      <c r="I8" s="18" t="n">
        <v>0</v>
      </c>
      <c r="J8" s="20" t="n">
        <v>0</v>
      </c>
      <c r="K8" s="18" t="n">
        <v>0.13845633</v>
      </c>
      <c r="L8" s="20" t="n">
        <v>0.09217269</v>
      </c>
      <c r="M8" s="18" t="n">
        <v>0</v>
      </c>
      <c r="N8" s="20" t="n">
        <v>0</v>
      </c>
      <c r="O8" s="18" t="n">
        <v>0</v>
      </c>
      <c r="P8" s="20" t="n">
        <v>0</v>
      </c>
      <c r="Q8" s="18" t="n">
        <v>4.99288224</v>
      </c>
      <c r="R8" s="20" t="n">
        <v>0.71795636</v>
      </c>
    </row>
    <row r="9" spans="1:18">
      <c r="A9" s="15" t="s">
        <v>567</v>
      </c>
      <c r="B9" s="17" t="n">
        <v>9651</v>
      </c>
      <c r="C9" s="18">
        <f>(7639.0/B9*100)</f>
        <v/>
      </c>
      <c r="D9" s="19" t="n">
        <v>2012</v>
      </c>
      <c r="E9" s="18" t="n">
        <v>81.33664841</v>
      </c>
      <c r="F9" s="20" t="n">
        <v>0.87981943</v>
      </c>
      <c r="G9" s="18" t="n">
        <v>13.47876865</v>
      </c>
      <c r="H9" s="20" t="n">
        <v>0.84647209</v>
      </c>
      <c r="I9" s="18" t="n">
        <v>0</v>
      </c>
      <c r="J9" s="20" t="n">
        <v>0</v>
      </c>
      <c r="K9" s="18" t="n">
        <v>0.52374631</v>
      </c>
      <c r="L9" s="20" t="n">
        <v>0.17337025</v>
      </c>
      <c r="M9" s="18" t="n">
        <v>0.58743176</v>
      </c>
      <c r="N9" s="20" t="n">
        <v>0.15520017</v>
      </c>
      <c r="O9" s="18" t="n">
        <v>0</v>
      </c>
      <c r="P9" s="20" t="n">
        <v>0</v>
      </c>
      <c r="Q9" s="18" t="n">
        <v>4.07340487</v>
      </c>
      <c r="R9" s="20" t="n">
        <v>0.55133021</v>
      </c>
    </row>
    <row r="10" spans="1:18">
      <c r="A10" s="15" t="s">
        <v>568</v>
      </c>
      <c r="B10" s="17" t="n">
        <v>20058</v>
      </c>
      <c r="C10" s="18">
        <f>(15654.0/B10*100)</f>
        <v/>
      </c>
      <c r="D10" s="19" t="n">
        <v>4404</v>
      </c>
      <c r="E10" s="18" t="n">
        <v>75.08599949000001</v>
      </c>
      <c r="F10" s="20" t="n">
        <v>1.003216</v>
      </c>
      <c r="G10" s="18" t="n">
        <v>22.64218681</v>
      </c>
      <c r="H10" s="20" t="n">
        <v>0.9046856</v>
      </c>
      <c r="I10" s="18" t="n">
        <v>0</v>
      </c>
      <c r="J10" s="20" t="n">
        <v>0</v>
      </c>
      <c r="K10" s="18" t="n">
        <v>0.57576218</v>
      </c>
      <c r="L10" s="20" t="n">
        <v>0.17727173</v>
      </c>
      <c r="M10" s="18" t="n">
        <v>0.04881208</v>
      </c>
      <c r="N10" s="20" t="n">
        <v>0.04879839</v>
      </c>
      <c r="O10" s="18" t="n">
        <v>0</v>
      </c>
      <c r="P10" s="20" t="n">
        <v>0</v>
      </c>
      <c r="Q10" s="18" t="n">
        <v>1.64723944</v>
      </c>
      <c r="R10" s="20" t="n">
        <v>0.2657035</v>
      </c>
    </row>
    <row r="11" spans="1:18">
      <c r="A11" s="15" t="s">
        <v>569</v>
      </c>
      <c r="B11" s="17" t="n">
        <v>7053</v>
      </c>
      <c r="C11" s="18">
        <f>(5562.0/B11*100)</f>
        <v/>
      </c>
      <c r="D11" s="19" t="n">
        <v>1491</v>
      </c>
      <c r="E11" s="18" t="n">
        <v>91.06360780999999</v>
      </c>
      <c r="F11" s="20" t="n">
        <v>0.86067785</v>
      </c>
      <c r="G11" s="18" t="n">
        <v>1.30003733</v>
      </c>
      <c r="H11" s="20" t="n">
        <v>0.31119111</v>
      </c>
      <c r="I11" s="18" t="n">
        <v>0</v>
      </c>
      <c r="J11" s="20" t="n">
        <v>0</v>
      </c>
      <c r="K11" s="18" t="n">
        <v>0.94620273</v>
      </c>
      <c r="L11" s="20" t="n">
        <v>0.22149879</v>
      </c>
      <c r="M11" s="18" t="n">
        <v>0.0074779</v>
      </c>
      <c r="N11" s="20" t="n">
        <v>0.00750693</v>
      </c>
      <c r="O11" s="18" t="n">
        <v>0</v>
      </c>
      <c r="P11" s="20" t="n">
        <v>0</v>
      </c>
      <c r="Q11" s="18" t="n">
        <v>6.68267424</v>
      </c>
      <c r="R11" s="20" t="n">
        <v>0.75801117</v>
      </c>
    </row>
    <row r="12" spans="1:18">
      <c r="A12" s="15" t="s">
        <v>570</v>
      </c>
      <c r="B12" s="17" t="n">
        <v>6894</v>
      </c>
      <c r="C12" s="18">
        <f>(5408.0/B12*100)</f>
        <v/>
      </c>
      <c r="D12" s="19" t="n">
        <v>1486</v>
      </c>
      <c r="E12" s="18" t="n">
        <v>91.18705814</v>
      </c>
      <c r="F12" s="20" t="n">
        <v>0.78536101</v>
      </c>
      <c r="G12" s="18" t="n">
        <v>6.94351061</v>
      </c>
      <c r="H12" s="20" t="n">
        <v>0.62634283</v>
      </c>
      <c r="I12" s="18" t="n">
        <v>0</v>
      </c>
      <c r="J12" s="20" t="n">
        <v>0</v>
      </c>
      <c r="K12" s="18" t="n">
        <v>0.06842562000000001</v>
      </c>
      <c r="L12" s="20" t="n">
        <v>0.04744064</v>
      </c>
      <c r="M12" s="18" t="n">
        <v>0.08138463999999999</v>
      </c>
      <c r="N12" s="20" t="n">
        <v>0.12212238</v>
      </c>
      <c r="O12" s="18" t="n">
        <v>0</v>
      </c>
      <c r="P12" s="20" t="n">
        <v>0</v>
      </c>
      <c r="Q12" s="18" t="n">
        <v>1.71962099</v>
      </c>
      <c r="R12" s="20" t="n">
        <v>0.36778646</v>
      </c>
    </row>
    <row r="13" spans="1:18">
      <c r="A13" s="15" t="s">
        <v>571</v>
      </c>
      <c r="B13" s="17" t="n">
        <v>7161</v>
      </c>
      <c r="C13" s="18">
        <f>(5642.0/B13*100)</f>
        <v/>
      </c>
      <c r="D13" s="19" t="n">
        <v>1519</v>
      </c>
      <c r="E13" s="18" t="n">
        <v>72.90914356</v>
      </c>
      <c r="F13" s="20" t="n">
        <v>1.54377296</v>
      </c>
      <c r="G13" s="18" t="n">
        <v>23.55068348</v>
      </c>
      <c r="H13" s="20" t="n">
        <v>1.39334251</v>
      </c>
      <c r="I13" s="18" t="n">
        <v>0</v>
      </c>
      <c r="J13" s="20" t="n">
        <v>0</v>
      </c>
      <c r="K13" s="18" t="n">
        <v>0.54487526</v>
      </c>
      <c r="L13" s="20" t="n">
        <v>0.24016069</v>
      </c>
      <c r="M13" s="18" t="n">
        <v>0.32377384</v>
      </c>
      <c r="N13" s="20" t="n">
        <v>0.24781912</v>
      </c>
      <c r="O13" s="18" t="n">
        <v>0</v>
      </c>
      <c r="P13" s="20" t="n">
        <v>0</v>
      </c>
      <c r="Q13" s="18" t="n">
        <v>2.67152387</v>
      </c>
      <c r="R13" s="20" t="n">
        <v>0.57209457</v>
      </c>
    </row>
    <row r="14" spans="1:18">
      <c r="A14" s="15" t="s">
        <v>572</v>
      </c>
      <c r="B14" s="17" t="n">
        <v>5587</v>
      </c>
      <c r="C14" s="18">
        <f>(4293.0/B14*100)</f>
        <v/>
      </c>
      <c r="D14" s="19" t="n">
        <v>1294</v>
      </c>
      <c r="E14" s="18" t="n">
        <v>74.70279979</v>
      </c>
      <c r="F14" s="20" t="n">
        <v>1.42681725</v>
      </c>
      <c r="G14" s="18" t="n">
        <v>23.64809968</v>
      </c>
      <c r="H14" s="20" t="n">
        <v>1.42179451</v>
      </c>
      <c r="I14" s="18" t="n">
        <v>0</v>
      </c>
      <c r="J14" s="20" t="n">
        <v>0</v>
      </c>
      <c r="K14" s="18" t="n">
        <v>0.67138869</v>
      </c>
      <c r="L14" s="20" t="n">
        <v>0.24441235</v>
      </c>
      <c r="M14" s="18" t="n">
        <v>0</v>
      </c>
      <c r="N14" s="20" t="n">
        <v>0</v>
      </c>
      <c r="O14" s="18" t="n">
        <v>0</v>
      </c>
      <c r="P14" s="20" t="n">
        <v>0</v>
      </c>
      <c r="Q14" s="18" t="n">
        <v>0.97771185</v>
      </c>
      <c r="R14" s="20" t="n">
        <v>0.33461283</v>
      </c>
    </row>
    <row r="15" spans="1:18">
      <c r="A15" s="15" t="s">
        <v>573</v>
      </c>
      <c r="B15" s="17" t="n">
        <v>5882</v>
      </c>
      <c r="C15" s="18">
        <f>(4582.0/B15*100)</f>
        <v/>
      </c>
      <c r="D15" s="19" t="n">
        <v>1300</v>
      </c>
      <c r="E15" s="18" t="n">
        <v>4.76326082</v>
      </c>
      <c r="F15" s="20" t="n">
        <v>0.83513226</v>
      </c>
      <c r="G15" s="18" t="n">
        <v>1.38099173</v>
      </c>
      <c r="H15" s="20" t="n">
        <v>0.5271028800000001</v>
      </c>
      <c r="I15" s="18" t="n">
        <v>0</v>
      </c>
      <c r="J15" s="20" t="n">
        <v>0</v>
      </c>
      <c r="K15" s="18" t="n">
        <v>0</v>
      </c>
      <c r="L15" s="20" t="n">
        <v>0</v>
      </c>
      <c r="M15" s="18" t="n">
        <v>93.78838952</v>
      </c>
      <c r="N15" s="20" t="n">
        <v>1.15056213</v>
      </c>
      <c r="O15" s="18" t="n">
        <v>0</v>
      </c>
      <c r="P15" s="20" t="n">
        <v>0</v>
      </c>
      <c r="Q15" s="18" t="n">
        <v>0.06735793</v>
      </c>
      <c r="R15" s="20" t="n">
        <v>0.06712012000000001</v>
      </c>
    </row>
    <row r="16" spans="1:18">
      <c r="A16" s="15" t="s">
        <v>574</v>
      </c>
      <c r="B16" s="17" t="n">
        <v>6108</v>
      </c>
      <c r="C16" s="18">
        <f>(4772.0/B16*100)</f>
        <v/>
      </c>
      <c r="D16" s="19" t="n">
        <v>1336</v>
      </c>
      <c r="E16" s="18" t="n">
        <v>78.03489446</v>
      </c>
      <c r="F16" s="20" t="n">
        <v>1.16109482</v>
      </c>
      <c r="G16" s="18" t="n">
        <v>15.51580826</v>
      </c>
      <c r="H16" s="20" t="n">
        <v>0.9839978</v>
      </c>
      <c r="I16" s="18" t="n">
        <v>0</v>
      </c>
      <c r="J16" s="20" t="n">
        <v>0</v>
      </c>
      <c r="K16" s="18" t="n">
        <v>1.15447278</v>
      </c>
      <c r="L16" s="20" t="n">
        <v>0.2745295</v>
      </c>
      <c r="M16" s="18" t="n">
        <v>0.06362703</v>
      </c>
      <c r="N16" s="20" t="n">
        <v>0.06354003</v>
      </c>
      <c r="O16" s="18" t="n">
        <v>0</v>
      </c>
      <c r="P16" s="20" t="n">
        <v>0</v>
      </c>
      <c r="Q16" s="18" t="n">
        <v>5.23119747</v>
      </c>
      <c r="R16" s="20" t="n">
        <v>0.7615702</v>
      </c>
    </row>
    <row r="17" spans="1:18">
      <c r="A17" s="15" t="s">
        <v>575</v>
      </c>
      <c r="B17" s="17" t="n">
        <v>6504</v>
      </c>
      <c r="C17" s="18">
        <f>(5100.0/B17*100)</f>
        <v/>
      </c>
      <c r="D17" s="19" t="n">
        <v>1404</v>
      </c>
      <c r="E17" s="18" t="n">
        <v>84.90804833</v>
      </c>
      <c r="F17" s="20" t="n">
        <v>1.06954356</v>
      </c>
      <c r="G17" s="18" t="n">
        <v>10.60987816</v>
      </c>
      <c r="H17" s="20" t="n">
        <v>0.79609291</v>
      </c>
      <c r="I17" s="18" t="n">
        <v>0</v>
      </c>
      <c r="J17" s="20" t="n">
        <v>0</v>
      </c>
      <c r="K17" s="18" t="n">
        <v>0.17518282</v>
      </c>
      <c r="L17" s="20" t="n">
        <v>0.11227892</v>
      </c>
      <c r="M17" s="18" t="n">
        <v>0</v>
      </c>
      <c r="N17" s="20" t="n">
        <v>0</v>
      </c>
      <c r="O17" s="18" t="n">
        <v>0</v>
      </c>
      <c r="P17" s="20" t="n">
        <v>0</v>
      </c>
      <c r="Q17" s="18" t="n">
        <v>4.30689068</v>
      </c>
      <c r="R17" s="20" t="n">
        <v>0.66585214</v>
      </c>
    </row>
    <row r="18" spans="1:18">
      <c r="A18" s="15" t="s">
        <v>576</v>
      </c>
      <c r="B18" s="17" t="n">
        <v>5532</v>
      </c>
      <c r="C18" s="18">
        <f>(4308.0/B18*100)</f>
        <v/>
      </c>
      <c r="D18" s="19" t="n">
        <v>1224</v>
      </c>
      <c r="E18" s="18" t="n">
        <v>90.549846</v>
      </c>
      <c r="F18" s="20" t="n">
        <v>0.93338022</v>
      </c>
      <c r="G18" s="18" t="n">
        <v>4.64468722</v>
      </c>
      <c r="H18" s="20" t="n">
        <v>0.64112179</v>
      </c>
      <c r="I18" s="18" t="n">
        <v>0</v>
      </c>
      <c r="J18" s="20" t="n">
        <v>0</v>
      </c>
      <c r="K18" s="18" t="n">
        <v>0.50236302</v>
      </c>
      <c r="L18" s="20" t="n">
        <v>0.21192999</v>
      </c>
      <c r="M18" s="18" t="n">
        <v>0.09667283</v>
      </c>
      <c r="N18" s="20" t="n">
        <v>0.09573042</v>
      </c>
      <c r="O18" s="18" t="n">
        <v>0</v>
      </c>
      <c r="P18" s="20" t="n">
        <v>0</v>
      </c>
      <c r="Q18" s="18" t="n">
        <v>4.20643093</v>
      </c>
      <c r="R18" s="20" t="n">
        <v>0.5996593099999999</v>
      </c>
    </row>
    <row r="19" spans="1:18">
      <c r="A19" s="15" t="s">
        <v>577</v>
      </c>
      <c r="B19" s="17" t="n">
        <v>5658</v>
      </c>
      <c r="C19" s="18">
        <f>(4431.0/B19*100)</f>
        <v/>
      </c>
      <c r="D19" s="19" t="n">
        <v>1227</v>
      </c>
      <c r="E19" s="18" t="n">
        <v>88.27271225</v>
      </c>
      <c r="F19" s="20" t="n">
        <v>0.96974436</v>
      </c>
      <c r="G19" s="18" t="n">
        <v>8.94106749</v>
      </c>
      <c r="H19" s="20" t="n">
        <v>0.80161537</v>
      </c>
      <c r="I19" s="18" t="n">
        <v>0</v>
      </c>
      <c r="J19" s="20" t="n">
        <v>0</v>
      </c>
      <c r="K19" s="18" t="n">
        <v>0.26266709</v>
      </c>
      <c r="L19" s="20" t="n">
        <v>0.19269523</v>
      </c>
      <c r="M19" s="18" t="n">
        <v>0.06603112</v>
      </c>
      <c r="N19" s="20" t="n">
        <v>0.06593916</v>
      </c>
      <c r="O19" s="18" t="n">
        <v>0</v>
      </c>
      <c r="P19" s="20" t="n">
        <v>0</v>
      </c>
      <c r="Q19" s="18" t="n">
        <v>2.45752205</v>
      </c>
      <c r="R19" s="20" t="n">
        <v>0.55898676</v>
      </c>
    </row>
    <row r="20" spans="1:18">
      <c r="A20" s="15" t="s">
        <v>578</v>
      </c>
      <c r="B20" s="17" t="n">
        <v>3371</v>
      </c>
      <c r="C20" s="18">
        <f>(2643.0/B20*100)</f>
        <v/>
      </c>
      <c r="D20" s="19" t="n">
        <v>728</v>
      </c>
      <c r="E20" s="18" t="n">
        <v>85.1192751</v>
      </c>
      <c r="F20" s="20" t="n">
        <v>1.27124517</v>
      </c>
      <c r="G20" s="18" t="n">
        <v>9.73280443</v>
      </c>
      <c r="H20" s="20" t="n">
        <v>1.17520211</v>
      </c>
      <c r="I20" s="18" t="n">
        <v>0</v>
      </c>
      <c r="J20" s="20" t="n">
        <v>0</v>
      </c>
      <c r="K20" s="18" t="n">
        <v>1.0124368</v>
      </c>
      <c r="L20" s="20" t="n">
        <v>0.44027801</v>
      </c>
      <c r="M20" s="18" t="n">
        <v>0.35809386</v>
      </c>
      <c r="N20" s="20" t="n">
        <v>0.25230661</v>
      </c>
      <c r="O20" s="18" t="n">
        <v>0</v>
      </c>
      <c r="P20" s="20" t="n">
        <v>0</v>
      </c>
      <c r="Q20" s="18" t="n">
        <v>3.77738981</v>
      </c>
      <c r="R20" s="20" t="n">
        <v>0.67876224</v>
      </c>
    </row>
    <row r="21" spans="1:18">
      <c r="A21" s="15" t="s">
        <v>579</v>
      </c>
      <c r="B21" s="17" t="n">
        <v>5741</v>
      </c>
      <c r="C21" s="18">
        <f>(4465.0/B21*100)</f>
        <v/>
      </c>
      <c r="D21" s="19" t="n">
        <v>1276</v>
      </c>
      <c r="E21" s="18" t="n">
        <v>80.15618417</v>
      </c>
      <c r="F21" s="20" t="n">
        <v>1.21186902</v>
      </c>
      <c r="G21" s="18" t="n">
        <v>17.49691367</v>
      </c>
      <c r="H21" s="20" t="n">
        <v>1.11579483</v>
      </c>
      <c r="I21" s="18" t="n">
        <v>0</v>
      </c>
      <c r="J21" s="20" t="n">
        <v>0</v>
      </c>
      <c r="K21" s="18" t="n">
        <v>0.14248452</v>
      </c>
      <c r="L21" s="20" t="n">
        <v>0.10775962</v>
      </c>
      <c r="M21" s="18" t="n">
        <v>0.06709654</v>
      </c>
      <c r="N21" s="20" t="n">
        <v>0.06666405</v>
      </c>
      <c r="O21" s="18" t="n">
        <v>0</v>
      </c>
      <c r="P21" s="20" t="n">
        <v>0</v>
      </c>
      <c r="Q21" s="18" t="n">
        <v>2.1373211</v>
      </c>
      <c r="R21" s="20" t="n">
        <v>0.43459701</v>
      </c>
    </row>
    <row r="22" spans="1:18">
      <c r="A22" s="15" t="s">
        <v>580</v>
      </c>
      <c r="B22" s="17" t="n">
        <v>6598</v>
      </c>
      <c r="C22" s="18">
        <f>(5150.0/B22*100)</f>
        <v/>
      </c>
      <c r="D22" s="19" t="n">
        <v>1448</v>
      </c>
      <c r="E22" s="18" t="n">
        <v>82.88074946</v>
      </c>
      <c r="F22" s="20" t="n">
        <v>1.19381477</v>
      </c>
      <c r="G22" s="18" t="n">
        <v>12.44136092</v>
      </c>
      <c r="H22" s="20" t="n">
        <v>0.86997088</v>
      </c>
      <c r="I22" s="18" t="n">
        <v>0</v>
      </c>
      <c r="J22" s="20" t="n">
        <v>0</v>
      </c>
      <c r="K22" s="18" t="n">
        <v>0.6146582900000001</v>
      </c>
      <c r="L22" s="20" t="n">
        <v>0.25975516</v>
      </c>
      <c r="M22" s="18" t="n">
        <v>0</v>
      </c>
      <c r="N22" s="20" t="n">
        <v>0</v>
      </c>
      <c r="O22" s="18" t="n">
        <v>0</v>
      </c>
      <c r="P22" s="20" t="n">
        <v>0</v>
      </c>
      <c r="Q22" s="18" t="n">
        <v>4.06323134</v>
      </c>
      <c r="R22" s="20" t="n">
        <v>0.68880919</v>
      </c>
    </row>
    <row r="23" spans="1:18">
      <c r="A23" s="15" t="s">
        <v>581</v>
      </c>
      <c r="B23" s="17" t="n">
        <v>11583</v>
      </c>
      <c r="C23" s="18">
        <f>(9070.0/B23*100)</f>
        <v/>
      </c>
      <c r="D23" s="19" t="n">
        <v>2513</v>
      </c>
      <c r="E23" s="18" t="n">
        <v>82.90285578</v>
      </c>
      <c r="F23" s="20" t="n">
        <v>1.28814759</v>
      </c>
      <c r="G23" s="18" t="n">
        <v>9.770052120000001</v>
      </c>
      <c r="H23" s="20" t="n">
        <v>1.06600501</v>
      </c>
      <c r="I23" s="18" t="n">
        <v>0</v>
      </c>
      <c r="J23" s="20" t="n">
        <v>0</v>
      </c>
      <c r="K23" s="18" t="n">
        <v>1.00140089</v>
      </c>
      <c r="L23" s="20" t="n">
        <v>0.29403067</v>
      </c>
      <c r="M23" s="18" t="n">
        <v>0.07475909</v>
      </c>
      <c r="N23" s="20" t="n">
        <v>0.05803868</v>
      </c>
      <c r="O23" s="18" t="n">
        <v>0</v>
      </c>
      <c r="P23" s="20" t="n">
        <v>0</v>
      </c>
      <c r="Q23" s="18" t="n">
        <v>6.25093212</v>
      </c>
      <c r="R23" s="20" t="n">
        <v>0.82300345</v>
      </c>
    </row>
    <row r="24" spans="1:18">
      <c r="A24" s="15" t="s">
        <v>582</v>
      </c>
      <c r="B24" s="17" t="n">
        <v>6647</v>
      </c>
      <c r="C24" s="18">
        <f>(5205.0/B24*100)</f>
        <v/>
      </c>
      <c r="D24" s="19" t="n">
        <v>1442</v>
      </c>
      <c r="E24" s="18" t="n">
        <v>79.33088716</v>
      </c>
      <c r="F24" s="20" t="n">
        <v>1.09838921</v>
      </c>
      <c r="G24" s="18" t="n">
        <v>17.74384567</v>
      </c>
      <c r="H24" s="20" t="n">
        <v>1.05504307</v>
      </c>
      <c r="I24" s="18" t="n">
        <v>0</v>
      </c>
      <c r="J24" s="20" t="n">
        <v>0</v>
      </c>
      <c r="K24" s="18" t="n">
        <v>0.20327261</v>
      </c>
      <c r="L24" s="20" t="n">
        <v>0.11765539</v>
      </c>
      <c r="M24" s="18" t="n">
        <v>0</v>
      </c>
      <c r="N24" s="20" t="n">
        <v>0</v>
      </c>
      <c r="O24" s="18" t="n">
        <v>0</v>
      </c>
      <c r="P24" s="20" t="n">
        <v>0</v>
      </c>
      <c r="Q24" s="18" t="n">
        <v>2.72199456</v>
      </c>
      <c r="R24" s="20" t="n">
        <v>0.45535966</v>
      </c>
    </row>
    <row r="25" spans="1:18">
      <c r="A25" s="15" t="s">
        <v>583</v>
      </c>
      <c r="B25" s="17" t="n">
        <v>5581</v>
      </c>
      <c r="C25" s="18">
        <f>(4319.0/B25*100)</f>
        <v/>
      </c>
      <c r="D25" s="19" t="n">
        <v>1262</v>
      </c>
      <c r="E25" s="18" t="n">
        <v>83.14317013</v>
      </c>
      <c r="F25" s="20" t="n">
        <v>1.16935372</v>
      </c>
      <c r="G25" s="18" t="n">
        <v>15.51574015</v>
      </c>
      <c r="H25" s="20" t="n">
        <v>1.10360268</v>
      </c>
      <c r="I25" s="18" t="n">
        <v>0</v>
      </c>
      <c r="J25" s="20" t="n">
        <v>0</v>
      </c>
      <c r="K25" s="18" t="n">
        <v>0.06702589</v>
      </c>
      <c r="L25" s="20" t="n">
        <v>0.06706439</v>
      </c>
      <c r="M25" s="18" t="n">
        <v>0</v>
      </c>
      <c r="N25" s="20" t="n">
        <v>0</v>
      </c>
      <c r="O25" s="18" t="n">
        <v>0</v>
      </c>
      <c r="P25" s="20" t="n">
        <v>0</v>
      </c>
      <c r="Q25" s="18" t="n">
        <v>1.27406383</v>
      </c>
      <c r="R25" s="20" t="n">
        <v>0.3010629</v>
      </c>
    </row>
    <row r="26" spans="1:18">
      <c r="A26" s="15" t="s">
        <v>584</v>
      </c>
      <c r="B26" s="17" t="n">
        <v>4869</v>
      </c>
      <c r="C26" s="18">
        <f>(3783.0/B26*100)</f>
        <v/>
      </c>
      <c r="D26" s="19" t="n">
        <v>1086</v>
      </c>
      <c r="E26" s="18" t="n">
        <v>89.68669334000001</v>
      </c>
      <c r="F26" s="20" t="n">
        <v>1.04639901</v>
      </c>
      <c r="G26" s="18" t="n">
        <v>8.87110165</v>
      </c>
      <c r="H26" s="20" t="n">
        <v>0.93506598</v>
      </c>
      <c r="I26" s="18" t="n">
        <v>0</v>
      </c>
      <c r="J26" s="20" t="n">
        <v>0</v>
      </c>
      <c r="K26" s="18" t="n">
        <v>0.33406669</v>
      </c>
      <c r="L26" s="20" t="n">
        <v>0.22867686</v>
      </c>
      <c r="M26" s="18" t="n">
        <v>0.06409131</v>
      </c>
      <c r="N26" s="20" t="n">
        <v>0.06463607</v>
      </c>
      <c r="O26" s="18" t="n">
        <v>0</v>
      </c>
      <c r="P26" s="20" t="n">
        <v>0</v>
      </c>
      <c r="Q26" s="18" t="n">
        <v>1.04404701</v>
      </c>
      <c r="R26" s="20" t="n">
        <v>0.45369804</v>
      </c>
    </row>
    <row r="27" spans="1:18">
      <c r="A27" s="15" t="s">
        <v>585</v>
      </c>
      <c r="B27" s="17" t="n">
        <v>5299</v>
      </c>
      <c r="C27" s="18">
        <f>(4165.0/B27*100)</f>
        <v/>
      </c>
      <c r="D27" s="19" t="n">
        <v>1134</v>
      </c>
      <c r="E27" s="18" t="n">
        <v>84.79778923000001</v>
      </c>
      <c r="F27" s="20" t="n">
        <v>1.0428164</v>
      </c>
      <c r="G27" s="18" t="n">
        <v>10.326178</v>
      </c>
      <c r="H27" s="20" t="n">
        <v>0.9303498</v>
      </c>
      <c r="I27" s="18" t="n">
        <v>0</v>
      </c>
      <c r="J27" s="20" t="n">
        <v>0</v>
      </c>
      <c r="K27" s="18" t="n">
        <v>0.44610434</v>
      </c>
      <c r="L27" s="20" t="n">
        <v>0.19787522</v>
      </c>
      <c r="M27" s="18" t="n">
        <v>0</v>
      </c>
      <c r="N27" s="20" t="n">
        <v>0</v>
      </c>
      <c r="O27" s="18" t="n">
        <v>0</v>
      </c>
      <c r="P27" s="20" t="n">
        <v>0</v>
      </c>
      <c r="Q27" s="18" t="n">
        <v>4.42992843</v>
      </c>
      <c r="R27" s="20" t="n">
        <v>0.61845883</v>
      </c>
    </row>
    <row r="28" spans="1:18">
      <c r="A28" s="15" t="s">
        <v>586</v>
      </c>
      <c r="B28" s="17" t="n">
        <v>7568</v>
      </c>
      <c r="C28" s="18">
        <f>(5960.0/B28*100)</f>
        <v/>
      </c>
      <c r="D28" s="19" t="n">
        <v>1608</v>
      </c>
      <c r="E28" s="18" t="n">
        <v>93.55009665</v>
      </c>
      <c r="F28" s="20" t="n">
        <v>0.71008881</v>
      </c>
      <c r="G28" s="18" t="n">
        <v>3.69642959</v>
      </c>
      <c r="H28" s="20" t="n">
        <v>0.5370805</v>
      </c>
      <c r="I28" s="18" t="n">
        <v>0</v>
      </c>
      <c r="J28" s="20" t="n">
        <v>0</v>
      </c>
      <c r="K28" s="18" t="n">
        <v>0.72262458</v>
      </c>
      <c r="L28" s="20" t="n">
        <v>0.38624155</v>
      </c>
      <c r="M28" s="18" t="n">
        <v>0.23959828</v>
      </c>
      <c r="N28" s="20" t="n">
        <v>0.14718617</v>
      </c>
      <c r="O28" s="18" t="n">
        <v>0</v>
      </c>
      <c r="P28" s="20" t="n">
        <v>0</v>
      </c>
      <c r="Q28" s="18" t="n">
        <v>1.7912509</v>
      </c>
      <c r="R28" s="20" t="n">
        <v>0.34360998</v>
      </c>
    </row>
    <row r="29" spans="1:18">
      <c r="A29" s="15" t="s">
        <v>587</v>
      </c>
      <c r="B29" s="17" t="n">
        <v>5385</v>
      </c>
      <c r="C29" s="18">
        <f>(4242.0/B29*100)</f>
        <v/>
      </c>
      <c r="D29" s="19" t="n">
        <v>1143</v>
      </c>
      <c r="E29" s="18" t="n">
        <v>80.45846917999999</v>
      </c>
      <c r="F29" s="20" t="n">
        <v>1.16361571</v>
      </c>
      <c r="G29" s="18" t="n">
        <v>18.98177429</v>
      </c>
      <c r="H29" s="20" t="n">
        <v>1.20133977</v>
      </c>
      <c r="I29" s="18" t="n">
        <v>0</v>
      </c>
      <c r="J29" s="20" t="n">
        <v>0</v>
      </c>
      <c r="K29" s="18" t="n">
        <v>0.08975223</v>
      </c>
      <c r="L29" s="20" t="n">
        <v>0.08922898999999999</v>
      </c>
      <c r="M29" s="18" t="n">
        <v>0</v>
      </c>
      <c r="N29" s="20" t="n">
        <v>0</v>
      </c>
      <c r="O29" s="18" t="n">
        <v>0</v>
      </c>
      <c r="P29" s="20" t="n">
        <v>0</v>
      </c>
      <c r="Q29" s="18" t="n">
        <v>0.4700043</v>
      </c>
      <c r="R29" s="20" t="n">
        <v>0.21447447</v>
      </c>
    </row>
    <row r="30" spans="1:18">
      <c r="A30" s="15" t="s">
        <v>588</v>
      </c>
      <c r="B30" s="17" t="n">
        <v>4520</v>
      </c>
      <c r="C30" s="18">
        <f>(3549.0/B30*100)</f>
        <v/>
      </c>
      <c r="D30" s="19" t="n">
        <v>971</v>
      </c>
      <c r="E30" s="18" t="n">
        <v>73.29741138999999</v>
      </c>
      <c r="F30" s="20" t="n">
        <v>1.49489155</v>
      </c>
      <c r="G30" s="18" t="n">
        <v>21.56897722</v>
      </c>
      <c r="H30" s="20" t="n">
        <v>1.42121997</v>
      </c>
      <c r="I30" s="18" t="n">
        <v>0</v>
      </c>
      <c r="J30" s="20" t="n">
        <v>0</v>
      </c>
      <c r="K30" s="18" t="n">
        <v>0.4350291</v>
      </c>
      <c r="L30" s="20" t="n">
        <v>0.22469934</v>
      </c>
      <c r="M30" s="18" t="n">
        <v>0</v>
      </c>
      <c r="N30" s="20" t="n">
        <v>0</v>
      </c>
      <c r="O30" s="18" t="n">
        <v>0</v>
      </c>
      <c r="P30" s="20" t="n">
        <v>0</v>
      </c>
      <c r="Q30" s="18" t="n">
        <v>4.6985823</v>
      </c>
      <c r="R30" s="20" t="n">
        <v>0.68789448</v>
      </c>
    </row>
    <row r="31" spans="1:18">
      <c r="A31" s="15" t="s">
        <v>589</v>
      </c>
      <c r="B31" s="17" t="n">
        <v>5456</v>
      </c>
      <c r="C31" s="18">
        <f>(4231.0/B31*100)</f>
        <v/>
      </c>
      <c r="D31" s="19" t="n">
        <v>1225</v>
      </c>
      <c r="E31" s="18" t="n">
        <v>80.880646</v>
      </c>
      <c r="F31" s="20" t="n">
        <v>1.01588843</v>
      </c>
      <c r="G31" s="18" t="n">
        <v>14.2581585</v>
      </c>
      <c r="H31" s="20" t="n">
        <v>0.94450784</v>
      </c>
      <c r="I31" s="18" t="n">
        <v>0</v>
      </c>
      <c r="J31" s="20" t="n">
        <v>0</v>
      </c>
      <c r="K31" s="18" t="n">
        <v>0.83041531</v>
      </c>
      <c r="L31" s="20" t="n">
        <v>0.32333323</v>
      </c>
      <c r="M31" s="18" t="n">
        <v>0</v>
      </c>
      <c r="N31" s="20" t="n">
        <v>0</v>
      </c>
      <c r="O31" s="18" t="n">
        <v>0</v>
      </c>
      <c r="P31" s="20" t="n">
        <v>0</v>
      </c>
      <c r="Q31" s="18" t="n">
        <v>4.0307802</v>
      </c>
      <c r="R31" s="20" t="n">
        <v>0.60858086</v>
      </c>
    </row>
    <row r="32" spans="1:18">
      <c r="A32" s="15" t="s">
        <v>590</v>
      </c>
      <c r="B32" s="17" t="n">
        <v>4478</v>
      </c>
      <c r="C32" s="18">
        <f>(3468.0/B32*100)</f>
        <v/>
      </c>
      <c r="D32" s="19" t="n">
        <v>1010</v>
      </c>
      <c r="E32" s="18" t="n">
        <v>88.61900887</v>
      </c>
      <c r="F32" s="20" t="n">
        <v>1.040566</v>
      </c>
      <c r="G32" s="18" t="n">
        <v>10.11858028</v>
      </c>
      <c r="H32" s="20" t="n">
        <v>0.93311285</v>
      </c>
      <c r="I32" s="18" t="n">
        <v>0</v>
      </c>
      <c r="J32" s="20" t="n">
        <v>0</v>
      </c>
      <c r="K32" s="18" t="n">
        <v>0.11932223</v>
      </c>
      <c r="L32" s="20" t="n">
        <v>0.11704785</v>
      </c>
      <c r="M32" s="18" t="n">
        <v>0</v>
      </c>
      <c r="N32" s="20" t="n">
        <v>0</v>
      </c>
      <c r="O32" s="18" t="n">
        <v>0</v>
      </c>
      <c r="P32" s="20" t="n">
        <v>0</v>
      </c>
      <c r="Q32" s="18" t="n">
        <v>1.14308862</v>
      </c>
      <c r="R32" s="20" t="n">
        <v>0.32162203</v>
      </c>
    </row>
    <row r="33" spans="1:18">
      <c r="A33" s="15" t="s">
        <v>591</v>
      </c>
      <c r="B33" s="17" t="n">
        <v>7325</v>
      </c>
      <c r="C33" s="18">
        <f>(5717.0/B33*100)</f>
        <v/>
      </c>
      <c r="D33" s="19" t="n">
        <v>1608</v>
      </c>
      <c r="E33" s="18" t="n">
        <v>83.80755773999999</v>
      </c>
      <c r="F33" s="20" t="n">
        <v>1.20436635</v>
      </c>
      <c r="G33" s="18" t="n">
        <v>12.77088407</v>
      </c>
      <c r="H33" s="20" t="n">
        <v>1.20748312</v>
      </c>
      <c r="I33" s="18" t="n">
        <v>0</v>
      </c>
      <c r="J33" s="20" t="n">
        <v>0</v>
      </c>
      <c r="K33" s="18" t="n">
        <v>0.33559177</v>
      </c>
      <c r="L33" s="20" t="n">
        <v>0.13889894</v>
      </c>
      <c r="M33" s="18" t="n">
        <v>0</v>
      </c>
      <c r="N33" s="20" t="n">
        <v>0</v>
      </c>
      <c r="O33" s="18" t="n">
        <v>0</v>
      </c>
      <c r="P33" s="20" t="n">
        <v>0</v>
      </c>
      <c r="Q33" s="18" t="n">
        <v>3.08596642</v>
      </c>
      <c r="R33" s="20" t="n">
        <v>0.4711403</v>
      </c>
    </row>
    <row r="34" spans="1:18">
      <c r="A34" s="15" t="s">
        <v>592</v>
      </c>
      <c r="B34" s="17" t="n">
        <v>6350</v>
      </c>
      <c r="C34" s="18">
        <f>(5038.0/B34*100)</f>
        <v/>
      </c>
      <c r="D34" s="19" t="n">
        <v>1312</v>
      </c>
      <c r="E34" s="18" t="n">
        <v>93.41774943</v>
      </c>
      <c r="F34" s="20" t="n">
        <v>0.78319866</v>
      </c>
      <c r="G34" s="18" t="n">
        <v>3.81312969</v>
      </c>
      <c r="H34" s="20" t="n">
        <v>0.5249599700000001</v>
      </c>
      <c r="I34" s="18" t="n">
        <v>0</v>
      </c>
      <c r="J34" s="20" t="n">
        <v>0</v>
      </c>
      <c r="K34" s="18" t="n">
        <v>0.36105908</v>
      </c>
      <c r="L34" s="20" t="n">
        <v>0.20438903</v>
      </c>
      <c r="M34" s="18" t="n">
        <v>0.28549406</v>
      </c>
      <c r="N34" s="20" t="n">
        <v>0.13036092</v>
      </c>
      <c r="O34" s="18" t="n">
        <v>0</v>
      </c>
      <c r="P34" s="20" t="n">
        <v>0</v>
      </c>
      <c r="Q34" s="18" t="n">
        <v>2.12256773</v>
      </c>
      <c r="R34" s="20" t="n">
        <v>0.39423988</v>
      </c>
    </row>
    <row r="35" spans="1:18">
      <c r="A35" s="15" t="s">
        <v>593</v>
      </c>
      <c r="B35" s="17" t="n">
        <v>6406</v>
      </c>
      <c r="C35" s="18">
        <f>(5058.0/B35*100)</f>
        <v/>
      </c>
      <c r="D35" s="19" t="n">
        <v>1348</v>
      </c>
      <c r="E35" s="18" t="n">
        <v>86.10873669</v>
      </c>
      <c r="F35" s="20" t="n">
        <v>1.23391747</v>
      </c>
      <c r="G35" s="18" t="n">
        <v>12.27116937</v>
      </c>
      <c r="H35" s="20" t="n">
        <v>1.19044213</v>
      </c>
      <c r="I35" s="18" t="n">
        <v>0</v>
      </c>
      <c r="J35" s="20" t="n">
        <v>0</v>
      </c>
      <c r="K35" s="18" t="n">
        <v>0.09503691</v>
      </c>
      <c r="L35" s="20" t="n">
        <v>0.07051590000000001</v>
      </c>
      <c r="M35" s="18" t="n">
        <v>0.02789935</v>
      </c>
      <c r="N35" s="20" t="n">
        <v>0.02806407</v>
      </c>
      <c r="O35" s="18" t="n">
        <v>0</v>
      </c>
      <c r="P35" s="20" t="n">
        <v>0</v>
      </c>
      <c r="Q35" s="18" t="n">
        <v>1.49715768</v>
      </c>
      <c r="R35" s="20" t="n">
        <v>0.39558739</v>
      </c>
    </row>
    <row r="36" spans="1:18">
      <c r="A36" s="15" t="s">
        <v>594</v>
      </c>
      <c r="B36" s="17" t="n">
        <v>6736</v>
      </c>
      <c r="C36" s="18">
        <f>(5280.0/B36*100)</f>
        <v/>
      </c>
      <c r="D36" s="19" t="n">
        <v>1456</v>
      </c>
      <c r="E36" s="18" t="n">
        <v>82.40988718</v>
      </c>
      <c r="F36" s="20" t="n">
        <v>1.06499934</v>
      </c>
      <c r="G36" s="18" t="n">
        <v>12.44436046</v>
      </c>
      <c r="H36" s="20" t="n">
        <v>0.93304484</v>
      </c>
      <c r="I36" s="18" t="n">
        <v>0</v>
      </c>
      <c r="J36" s="20" t="n">
        <v>0</v>
      </c>
      <c r="K36" s="18" t="n">
        <v>0.54257269</v>
      </c>
      <c r="L36" s="20" t="n">
        <v>0.13950408</v>
      </c>
      <c r="M36" s="18" t="n">
        <v>0.06907648</v>
      </c>
      <c r="N36" s="20" t="n">
        <v>0.06647328</v>
      </c>
      <c r="O36" s="18" t="n">
        <v>0</v>
      </c>
      <c r="P36" s="20" t="n">
        <v>0</v>
      </c>
      <c r="Q36" s="18" t="n">
        <v>4.53410318</v>
      </c>
      <c r="R36" s="20" t="n">
        <v>0.62291323</v>
      </c>
    </row>
    <row r="37" spans="1:18">
      <c r="A37" s="15" t="s">
        <v>595</v>
      </c>
      <c r="B37" s="17" t="n">
        <v>5458</v>
      </c>
      <c r="C37" s="18">
        <f>(4290.0/B37*100)</f>
        <v/>
      </c>
      <c r="D37" s="19" t="n">
        <v>1168</v>
      </c>
      <c r="E37" s="18" t="n">
        <v>78.16782682</v>
      </c>
      <c r="F37" s="20" t="n">
        <v>1.26899453</v>
      </c>
      <c r="G37" s="18" t="n">
        <v>16.46712701</v>
      </c>
      <c r="H37" s="20" t="n">
        <v>1.15895032</v>
      </c>
      <c r="I37" s="18" t="n">
        <v>0</v>
      </c>
      <c r="J37" s="20" t="n">
        <v>0</v>
      </c>
      <c r="K37" s="18" t="n">
        <v>0.72852557</v>
      </c>
      <c r="L37" s="20" t="n">
        <v>0.21811657</v>
      </c>
      <c r="M37" s="18" t="n">
        <v>0</v>
      </c>
      <c r="N37" s="20" t="n">
        <v>0</v>
      </c>
      <c r="O37" s="18" t="n">
        <v>0</v>
      </c>
      <c r="P37" s="20" t="n">
        <v>0</v>
      </c>
      <c r="Q37" s="18" t="n">
        <v>4.6365206</v>
      </c>
      <c r="R37" s="20" t="n">
        <v>0.62132942</v>
      </c>
    </row>
    <row r="38" spans="1:18">
      <c r="A38" s="15" t="s">
        <v>596</v>
      </c>
      <c r="B38" s="17" t="n">
        <v>5860</v>
      </c>
      <c r="C38" s="18">
        <f>(4580.0/B38*100)</f>
        <v/>
      </c>
      <c r="D38" s="19" t="n">
        <v>1280</v>
      </c>
      <c r="E38" s="18" t="n">
        <v>81.06817809</v>
      </c>
      <c r="F38" s="20" t="n">
        <v>1.1541286</v>
      </c>
      <c r="G38" s="18" t="n">
        <v>12.66321549</v>
      </c>
      <c r="H38" s="20" t="n">
        <v>1.06439517</v>
      </c>
      <c r="I38" s="18" t="n">
        <v>0</v>
      </c>
      <c r="J38" s="20" t="n">
        <v>0</v>
      </c>
      <c r="K38" s="18" t="n">
        <v>0.38661162</v>
      </c>
      <c r="L38" s="20" t="n">
        <v>0.16554868</v>
      </c>
      <c r="M38" s="18" t="n">
        <v>2.40785961</v>
      </c>
      <c r="N38" s="20" t="n">
        <v>0.45195428</v>
      </c>
      <c r="O38" s="18" t="n">
        <v>0</v>
      </c>
      <c r="P38" s="20" t="n">
        <v>0</v>
      </c>
      <c r="Q38" s="18" t="n">
        <v>3.47413519</v>
      </c>
      <c r="R38" s="20" t="n">
        <v>0.65753984</v>
      </c>
    </row>
    <row r="39" spans="1:18">
      <c r="A39" s="15" t="s">
        <v>597</v>
      </c>
      <c r="B39" s="17" t="n">
        <v>5895</v>
      </c>
      <c r="C39" s="18">
        <f>(4574.0/B39*100)</f>
        <v/>
      </c>
      <c r="D39" s="19" t="n">
        <v>1321</v>
      </c>
      <c r="E39" s="18" t="n">
        <v>50.68704231</v>
      </c>
      <c r="F39" s="20" t="n">
        <v>1.48055177</v>
      </c>
      <c r="G39" s="18" t="n">
        <v>12.98168036</v>
      </c>
      <c r="H39" s="20" t="n">
        <v>1.31761644</v>
      </c>
      <c r="I39" s="18" t="n">
        <v>0</v>
      </c>
      <c r="J39" s="20" t="n">
        <v>0</v>
      </c>
      <c r="K39" s="18" t="n">
        <v>0.47927512</v>
      </c>
      <c r="L39" s="20" t="n">
        <v>0.15546109</v>
      </c>
      <c r="M39" s="18" t="n">
        <v>0</v>
      </c>
      <c r="N39" s="20" t="n">
        <v>0</v>
      </c>
      <c r="O39" s="18" t="n">
        <v>0</v>
      </c>
      <c r="P39" s="20" t="n">
        <v>0</v>
      </c>
      <c r="Q39" s="18" t="n">
        <v>35.8520022</v>
      </c>
      <c r="R39" s="20" t="n">
        <v>1.57998247</v>
      </c>
    </row>
    <row r="40" spans="1:18">
      <c r="A40" s="15" t="s">
        <v>598</v>
      </c>
      <c r="B40" s="17" t="n">
        <v>14157</v>
      </c>
      <c r="C40" s="18">
        <f>(11003.0/B40*100)</f>
        <v/>
      </c>
      <c r="D40" s="19" t="n">
        <v>3154</v>
      </c>
      <c r="E40" s="18" t="n">
        <v>80.31952264</v>
      </c>
      <c r="F40" s="20" t="n">
        <v>1.1296378</v>
      </c>
      <c r="G40" s="18" t="n">
        <v>15.86675933</v>
      </c>
      <c r="H40" s="20" t="n">
        <v>1.01604756</v>
      </c>
      <c r="I40" s="18" t="n">
        <v>0</v>
      </c>
      <c r="J40" s="20" t="n">
        <v>0</v>
      </c>
      <c r="K40" s="18" t="n">
        <v>0.44177658</v>
      </c>
      <c r="L40" s="20" t="n">
        <v>0.20687937</v>
      </c>
      <c r="M40" s="18" t="n">
        <v>0</v>
      </c>
      <c r="N40" s="20" t="n">
        <v>0</v>
      </c>
      <c r="O40" s="18" t="n">
        <v>0</v>
      </c>
      <c r="P40" s="20" t="n">
        <v>0</v>
      </c>
      <c r="Q40" s="18" t="n">
        <v>3.37194145</v>
      </c>
      <c r="R40" s="20" t="n">
        <v>0.47004807</v>
      </c>
    </row>
    <row r="41" spans="1:18">
      <c r="A41" s="15" t="s">
        <v>599</v>
      </c>
      <c r="B41" s="17" t="n">
        <v>5712</v>
      </c>
      <c r="C41" s="18">
        <f>(4503.0/B41*100)</f>
        <v/>
      </c>
      <c r="D41" s="19" t="n">
        <v>1209</v>
      </c>
      <c r="E41" s="18" t="n">
        <v>83.56028296</v>
      </c>
      <c r="F41" s="20" t="n">
        <v>1.05694348</v>
      </c>
      <c r="G41" s="18" t="n">
        <v>14.9704636</v>
      </c>
      <c r="H41" s="20" t="n">
        <v>1.07008306</v>
      </c>
      <c r="I41" s="18" t="n">
        <v>0</v>
      </c>
      <c r="J41" s="20" t="n">
        <v>0</v>
      </c>
      <c r="K41" s="18" t="n">
        <v>0.52561185</v>
      </c>
      <c r="L41" s="20" t="n">
        <v>0.22092068</v>
      </c>
      <c r="M41" s="18" t="n">
        <v>0</v>
      </c>
      <c r="N41" s="20" t="n">
        <v>0</v>
      </c>
      <c r="O41" s="18" t="n">
        <v>0</v>
      </c>
      <c r="P41" s="20" t="n">
        <v>0</v>
      </c>
      <c r="Q41" s="18" t="n">
        <v>0.9436416</v>
      </c>
      <c r="R41" s="20" t="n">
        <v>0.33867646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(19289.0/B46*100)</f>
        <v/>
      </c>
      <c r="D46" s="19" t="n">
        <v>3852</v>
      </c>
      <c r="E46" s="18" t="n">
        <v>87.3170653</v>
      </c>
      <c r="F46" s="20" t="n">
        <v>0.67655052</v>
      </c>
      <c r="G46" s="18" t="n">
        <v>3.82736376</v>
      </c>
      <c r="H46" s="20" t="n">
        <v>0.44100795</v>
      </c>
      <c r="I46" s="18" t="n">
        <v>0</v>
      </c>
      <c r="J46" s="20" t="n">
        <v>0</v>
      </c>
      <c r="K46" s="18" t="n">
        <v>1.30300737</v>
      </c>
      <c r="L46" s="20" t="n">
        <v>0.26869673</v>
      </c>
      <c r="M46" s="18" t="n">
        <v>0.48388301</v>
      </c>
      <c r="N46" s="20" t="n">
        <v>0.1429166</v>
      </c>
      <c r="O46" s="18" t="n">
        <v>0</v>
      </c>
      <c r="P46" s="20" t="n">
        <v>0</v>
      </c>
      <c r="Q46" s="18" t="n">
        <v>7.06868056</v>
      </c>
      <c r="R46" s="20" t="n">
        <v>0.5244989</v>
      </c>
    </row>
    <row r="47" spans="1:18">
      <c r="A47" s="15" t="s">
        <v>606</v>
      </c>
      <c r="B47" s="17" t="n">
        <v>5928</v>
      </c>
      <c r="C47" s="18">
        <f>(4604.0/B47*100)</f>
        <v/>
      </c>
      <c r="D47" s="19" t="n">
        <v>1324</v>
      </c>
      <c r="E47" s="18" t="n">
        <v>86.37790846999999</v>
      </c>
      <c r="F47" s="20" t="n">
        <v>0.88947764</v>
      </c>
      <c r="G47" s="18" t="n">
        <v>9.289431130000001</v>
      </c>
      <c r="H47" s="20" t="n">
        <v>0.83840582</v>
      </c>
      <c r="I47" s="18" t="n">
        <v>0</v>
      </c>
      <c r="J47" s="20" t="n">
        <v>0</v>
      </c>
      <c r="K47" s="18" t="n">
        <v>0.66613969</v>
      </c>
      <c r="L47" s="20" t="n">
        <v>0.24132731</v>
      </c>
      <c r="M47" s="18" t="n">
        <v>0.28900604</v>
      </c>
      <c r="N47" s="20" t="n">
        <v>0.17238918</v>
      </c>
      <c r="O47" s="18" t="n">
        <v>0</v>
      </c>
      <c r="P47" s="20" t="n">
        <v>0</v>
      </c>
      <c r="Q47" s="18" t="n">
        <v>3.37751467</v>
      </c>
      <c r="R47" s="20" t="n">
        <v>0.54050581</v>
      </c>
    </row>
    <row r="48" spans="1:18">
      <c r="A48" s="15" t="s">
        <v>607</v>
      </c>
      <c r="B48" s="17" t="n">
        <v>9841</v>
      </c>
      <c r="C48" s="18">
        <f>(7688.0/B48*100)</f>
        <v/>
      </c>
      <c r="D48" s="19" t="n">
        <v>2153</v>
      </c>
      <c r="E48" s="18" t="n">
        <v>85.92015144</v>
      </c>
      <c r="F48" s="20" t="n">
        <v>1.28193426</v>
      </c>
      <c r="G48" s="18" t="n">
        <v>12.4842098</v>
      </c>
      <c r="H48" s="20" t="n">
        <v>1.27695132</v>
      </c>
      <c r="I48" s="18" t="n">
        <v>0</v>
      </c>
      <c r="J48" s="20" t="n">
        <v>0</v>
      </c>
      <c r="K48" s="18" t="n">
        <v>0.30682651</v>
      </c>
      <c r="L48" s="20" t="n">
        <v>0.14072045</v>
      </c>
      <c r="M48" s="18" t="n">
        <v>0</v>
      </c>
      <c r="N48" s="20" t="n">
        <v>0</v>
      </c>
      <c r="O48" s="18" t="n">
        <v>0</v>
      </c>
      <c r="P48" s="20" t="n">
        <v>0</v>
      </c>
      <c r="Q48" s="18" t="n">
        <v>1.28881225</v>
      </c>
      <c r="R48" s="20" t="n">
        <v>0.39682652</v>
      </c>
    </row>
    <row r="49" spans="1:18">
      <c r="A49" s="15" t="s">
        <v>608</v>
      </c>
      <c r="B49" s="17" t="n">
        <v>11795</v>
      </c>
      <c r="C49" s="18">
        <f>(9252.0/B49*100)</f>
        <v/>
      </c>
      <c r="D49" s="19" t="n">
        <v>2543</v>
      </c>
      <c r="E49" s="18" t="n">
        <v>90.90074174</v>
      </c>
      <c r="F49" s="20" t="n">
        <v>0.80234693</v>
      </c>
      <c r="G49" s="18" t="n">
        <v>3.99236248</v>
      </c>
      <c r="H49" s="20" t="n">
        <v>0.51521551</v>
      </c>
      <c r="I49" s="18" t="n">
        <v>0</v>
      </c>
      <c r="J49" s="20" t="n">
        <v>0</v>
      </c>
      <c r="K49" s="18" t="n">
        <v>1.9233312</v>
      </c>
      <c r="L49" s="20" t="n">
        <v>0.44868238</v>
      </c>
      <c r="M49" s="18" t="n">
        <v>0.0243644</v>
      </c>
      <c r="N49" s="20" t="n">
        <v>0.01675057</v>
      </c>
      <c r="O49" s="18" t="n">
        <v>0</v>
      </c>
      <c r="P49" s="20" t="n">
        <v>0</v>
      </c>
      <c r="Q49" s="18" t="n">
        <v>3.15920018</v>
      </c>
      <c r="R49" s="20" t="n">
        <v>0.51034648</v>
      </c>
    </row>
    <row r="50" spans="1:18">
      <c r="A50" s="15" t="s">
        <v>609</v>
      </c>
      <c r="B50" s="17" t="n">
        <v>6866</v>
      </c>
      <c r="C50" s="18">
        <f>(5650.0/B50*100)</f>
        <v/>
      </c>
      <c r="D50" s="19" t="n">
        <v>1216</v>
      </c>
      <c r="E50" s="18" t="n">
        <v>92.18361559</v>
      </c>
      <c r="F50" s="20" t="n">
        <v>0.88111598</v>
      </c>
      <c r="G50" s="18" t="n">
        <v>1.99335753</v>
      </c>
      <c r="H50" s="20" t="n">
        <v>0.35759174</v>
      </c>
      <c r="I50" s="18" t="n">
        <v>0</v>
      </c>
      <c r="J50" s="20" t="n">
        <v>0</v>
      </c>
      <c r="K50" s="18" t="n">
        <v>0.53753004</v>
      </c>
      <c r="L50" s="20" t="n">
        <v>0.22132636</v>
      </c>
      <c r="M50" s="18" t="n">
        <v>0</v>
      </c>
      <c r="N50" s="20" t="n">
        <v>0</v>
      </c>
      <c r="O50" s="18" t="n">
        <v>0</v>
      </c>
      <c r="P50" s="20" t="n">
        <v>0</v>
      </c>
      <c r="Q50" s="18" t="n">
        <v>5.28549684</v>
      </c>
      <c r="R50" s="20" t="n">
        <v>0.67375449</v>
      </c>
    </row>
    <row r="51" spans="1:18">
      <c r="A51" s="15" t="s">
        <v>610</v>
      </c>
      <c r="B51" s="17" t="n">
        <v>5809</v>
      </c>
      <c r="C51" s="18">
        <f>(4534.0/B51*100)</f>
        <v/>
      </c>
      <c r="D51" s="19" t="n">
        <v>1275</v>
      </c>
      <c r="E51" s="18" t="n">
        <v>91.38845043000001</v>
      </c>
      <c r="F51" s="20" t="n">
        <v>0.78568509</v>
      </c>
      <c r="G51" s="18" t="n">
        <v>4.90559482</v>
      </c>
      <c r="H51" s="20" t="n">
        <v>0.62411631</v>
      </c>
      <c r="I51" s="18" t="n">
        <v>0</v>
      </c>
      <c r="J51" s="20" t="n">
        <v>0</v>
      </c>
      <c r="K51" s="18" t="n">
        <v>0.20317387</v>
      </c>
      <c r="L51" s="20" t="n">
        <v>0.13996398</v>
      </c>
      <c r="M51" s="18" t="n">
        <v>0</v>
      </c>
      <c r="N51" s="20" t="n">
        <v>0</v>
      </c>
      <c r="O51" s="18" t="n">
        <v>0</v>
      </c>
      <c r="P51" s="20" t="n">
        <v>0</v>
      </c>
      <c r="Q51" s="18" t="n">
        <v>3.50278088</v>
      </c>
      <c r="R51" s="20" t="n">
        <v>0.46052478</v>
      </c>
    </row>
    <row r="52" spans="1:18">
      <c r="A52" s="15" t="s">
        <v>611</v>
      </c>
      <c r="B52" s="17" t="n">
        <v>5571</v>
      </c>
      <c r="C52" s="18">
        <f>(4296.0/B52*100)</f>
        <v/>
      </c>
      <c r="D52" s="19" t="n">
        <v>1275</v>
      </c>
      <c r="E52" s="18" t="n">
        <v>87.87851827</v>
      </c>
      <c r="F52" s="20" t="n">
        <v>0.89703919</v>
      </c>
      <c r="G52" s="18" t="n">
        <v>6.64088075</v>
      </c>
      <c r="H52" s="20" t="n">
        <v>0.6862397099999999</v>
      </c>
      <c r="I52" s="18" t="n">
        <v>0</v>
      </c>
      <c r="J52" s="20" t="n">
        <v>0</v>
      </c>
      <c r="K52" s="18" t="n">
        <v>0.62178416</v>
      </c>
      <c r="L52" s="20" t="n">
        <v>0.21105398</v>
      </c>
      <c r="M52" s="18" t="n">
        <v>0</v>
      </c>
      <c r="N52" s="20" t="n">
        <v>0</v>
      </c>
      <c r="O52" s="18" t="n">
        <v>0</v>
      </c>
      <c r="P52" s="20" t="n">
        <v>0</v>
      </c>
      <c r="Q52" s="18" t="n">
        <v>4.85881682</v>
      </c>
      <c r="R52" s="20" t="n">
        <v>0.54223795</v>
      </c>
    </row>
    <row r="53" spans="1:18">
      <c r="A53" s="15" t="s">
        <v>612</v>
      </c>
      <c r="B53" s="17" t="n">
        <v>4740</v>
      </c>
      <c r="C53" s="18">
        <f>(3701.0/B53*100)</f>
        <v/>
      </c>
      <c r="D53" s="19" t="n">
        <v>1039</v>
      </c>
      <c r="E53" s="18" t="n">
        <v>77.44720905</v>
      </c>
      <c r="F53" s="20" t="n">
        <v>1.76319737</v>
      </c>
      <c r="G53" s="18" t="n">
        <v>0.39798526</v>
      </c>
      <c r="H53" s="20" t="n">
        <v>0.19265591</v>
      </c>
      <c r="I53" s="18" t="n">
        <v>0</v>
      </c>
      <c r="J53" s="20" t="n">
        <v>0</v>
      </c>
      <c r="K53" s="18" t="n">
        <v>13.48586276</v>
      </c>
      <c r="L53" s="20" t="n">
        <v>1.18734589</v>
      </c>
      <c r="M53" s="18" t="n">
        <v>1.23723065</v>
      </c>
      <c r="N53" s="20" t="n">
        <v>1.22327793</v>
      </c>
      <c r="O53" s="18" t="n">
        <v>0</v>
      </c>
      <c r="P53" s="20" t="n">
        <v>0</v>
      </c>
      <c r="Q53" s="18" t="n">
        <v>7.43171228</v>
      </c>
      <c r="R53" s="20" t="n">
        <v>1.06960197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(4238.0/B55*100)</f>
        <v/>
      </c>
      <c r="D55" s="19" t="n">
        <v>1121</v>
      </c>
      <c r="E55" s="18" t="n">
        <v>87.40606366999999</v>
      </c>
      <c r="F55" s="20" t="n">
        <v>0.99319437</v>
      </c>
      <c r="G55" s="18" t="n">
        <v>11.2588182</v>
      </c>
      <c r="H55" s="20" t="n">
        <v>0.9067177</v>
      </c>
      <c r="I55" s="18" t="n">
        <v>0</v>
      </c>
      <c r="J55" s="20" t="n">
        <v>0</v>
      </c>
      <c r="K55" s="18" t="n">
        <v>0.19535709</v>
      </c>
      <c r="L55" s="20" t="n">
        <v>0.15103869</v>
      </c>
      <c r="M55" s="18" t="n">
        <v>0.15583009</v>
      </c>
      <c r="N55" s="20" t="n">
        <v>0.10216806</v>
      </c>
      <c r="O55" s="18" t="n">
        <v>0</v>
      </c>
      <c r="P55" s="20" t="n">
        <v>0</v>
      </c>
      <c r="Q55" s="18" t="n">
        <v>0.98393095</v>
      </c>
      <c r="R55" s="20" t="n">
        <v>0.3179556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(5094.0/B61*100)</f>
        <v/>
      </c>
      <c r="D61" s="19" t="n">
        <v>1431</v>
      </c>
      <c r="E61" s="18" t="n">
        <v>88.37902234000001</v>
      </c>
      <c r="F61" s="20" t="n">
        <v>0.86947061</v>
      </c>
      <c r="G61" s="18" t="n">
        <v>9.693853239999999</v>
      </c>
      <c r="H61" s="20" t="n">
        <v>0.78634616</v>
      </c>
      <c r="I61" s="18" t="n">
        <v>0</v>
      </c>
      <c r="J61" s="20" t="n">
        <v>0</v>
      </c>
      <c r="K61" s="18" t="n">
        <v>0.26227425</v>
      </c>
      <c r="L61" s="20" t="n">
        <v>0.15468468</v>
      </c>
      <c r="M61" s="18" t="n">
        <v>0.08877117</v>
      </c>
      <c r="N61" s="20" t="n">
        <v>0.07200668</v>
      </c>
      <c r="O61" s="18" t="n">
        <v>0</v>
      </c>
      <c r="P61" s="20" t="n">
        <v>0</v>
      </c>
      <c r="Q61" s="18" t="n">
        <v>1.57607901</v>
      </c>
      <c r="R61" s="20" t="n">
        <v>0.34260964</v>
      </c>
    </row>
    <row r="62" spans="1:18">
      <c r="A62" s="15" t="s">
        <v>622</v>
      </c>
      <c r="B62" s="17" t="n">
        <v>4476</v>
      </c>
      <c r="C62" s="18">
        <f>(3505.0/B62*100)</f>
        <v/>
      </c>
      <c r="D62" s="19" t="n">
        <v>971</v>
      </c>
      <c r="E62" s="18" t="n">
        <v>80.94226863</v>
      </c>
      <c r="F62" s="20" t="n">
        <v>1.32974271</v>
      </c>
      <c r="G62" s="18" t="n">
        <v>18.42993362</v>
      </c>
      <c r="H62" s="20" t="n">
        <v>1.32635634</v>
      </c>
      <c r="I62" s="18" t="n">
        <v>0</v>
      </c>
      <c r="J62" s="20" t="n">
        <v>0</v>
      </c>
      <c r="K62" s="18" t="n">
        <v>0.1057434</v>
      </c>
      <c r="L62" s="20" t="n">
        <v>0.10579636</v>
      </c>
      <c r="M62" s="18" t="n">
        <v>0</v>
      </c>
      <c r="N62" s="20" t="n">
        <v>0</v>
      </c>
      <c r="O62" s="18" t="n">
        <v>0</v>
      </c>
      <c r="P62" s="20" t="n">
        <v>0</v>
      </c>
      <c r="Q62" s="18" t="n">
        <v>0.52205435</v>
      </c>
      <c r="R62" s="20" t="n">
        <v>0.23269855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(4447.0/B67*100)</f>
        <v/>
      </c>
      <c r="D67" s="19" t="n">
        <v>1218</v>
      </c>
      <c r="E67" s="18" t="n">
        <v>83.56007486</v>
      </c>
      <c r="F67" s="20" t="n">
        <v>1.07990172</v>
      </c>
      <c r="G67" s="18" t="n">
        <v>4.21736124</v>
      </c>
      <c r="H67" s="20" t="n">
        <v>0.66569724</v>
      </c>
      <c r="I67" s="18" t="n">
        <v>0</v>
      </c>
      <c r="J67" s="20" t="n">
        <v>0</v>
      </c>
      <c r="K67" s="18" t="n">
        <v>1.15878847</v>
      </c>
      <c r="L67" s="20" t="n">
        <v>0.33573003</v>
      </c>
      <c r="M67" s="18" t="n">
        <v>0.47311645</v>
      </c>
      <c r="N67" s="20" t="n">
        <v>0.15196781</v>
      </c>
      <c r="O67" s="18" t="n">
        <v>0</v>
      </c>
      <c r="P67" s="20" t="n">
        <v>0</v>
      </c>
      <c r="Q67" s="18" t="n">
        <v>10.59065897</v>
      </c>
      <c r="R67" s="20" t="n">
        <v>0.84689663</v>
      </c>
    </row>
    <row r="68" spans="1:18">
      <c r="A68" s="15" t="s">
        <v>628</v>
      </c>
      <c r="B68" s="17" t="n">
        <v>6971</v>
      </c>
      <c r="C68" s="18">
        <f>(5639.0/B68*100)</f>
        <v/>
      </c>
      <c r="D68" s="19" t="n">
        <v>1332</v>
      </c>
      <c r="E68" s="18" t="n">
        <v>91.86146069999999</v>
      </c>
      <c r="F68" s="20" t="n">
        <v>0.80134096</v>
      </c>
      <c r="G68" s="18" t="n">
        <v>0.43705165</v>
      </c>
      <c r="H68" s="20" t="n">
        <v>0.14709113</v>
      </c>
      <c r="I68" s="18" t="n">
        <v>0</v>
      </c>
      <c r="J68" s="20" t="n">
        <v>0</v>
      </c>
      <c r="K68" s="18" t="n">
        <v>0.38915361</v>
      </c>
      <c r="L68" s="20" t="n">
        <v>0.17755764</v>
      </c>
      <c r="M68" s="18" t="n">
        <v>0.65089124</v>
      </c>
      <c r="N68" s="20" t="n">
        <v>0.28507789</v>
      </c>
      <c r="O68" s="18" t="n">
        <v>0</v>
      </c>
      <c r="P68" s="20" t="n">
        <v>0</v>
      </c>
      <c r="Q68" s="18" t="n">
        <v>6.6614428</v>
      </c>
      <c r="R68" s="20" t="n">
        <v>0.66385564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(9380.0/B70*100)</f>
        <v/>
      </c>
      <c r="D70" s="19" t="n">
        <v>2703</v>
      </c>
      <c r="E70" s="18" t="n">
        <v>89.77500967</v>
      </c>
      <c r="F70" s="20" t="n">
        <v>0.59868549</v>
      </c>
      <c r="G70" s="18" t="n">
        <v>3.53258721</v>
      </c>
      <c r="H70" s="20" t="n">
        <v>0.32258866</v>
      </c>
      <c r="I70" s="18" t="n">
        <v>0</v>
      </c>
      <c r="J70" s="20" t="n">
        <v>0</v>
      </c>
      <c r="K70" s="18" t="n">
        <v>2.75153063</v>
      </c>
      <c r="L70" s="20" t="n">
        <v>0.34970155</v>
      </c>
      <c r="M70" s="18" t="n">
        <v>0</v>
      </c>
      <c r="N70" s="20" t="n">
        <v>0</v>
      </c>
      <c r="O70" s="18" t="n">
        <v>0</v>
      </c>
      <c r="P70" s="20" t="n">
        <v>0</v>
      </c>
      <c r="Q70" s="18" t="n">
        <v>3.94087249</v>
      </c>
      <c r="R70" s="20" t="n">
        <v>0.40205355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(4731.0/B72*100)</f>
        <v/>
      </c>
      <c r="D72" s="19" t="n">
        <v>1305</v>
      </c>
      <c r="E72" s="18" t="n">
        <v>90.77870613</v>
      </c>
      <c r="F72" s="20" t="n">
        <v>0.95152581</v>
      </c>
      <c r="G72" s="18" t="n">
        <v>6.87057086</v>
      </c>
      <c r="H72" s="20" t="n">
        <v>0.8900465400000001</v>
      </c>
      <c r="I72" s="18" t="n">
        <v>0</v>
      </c>
      <c r="J72" s="20" t="n">
        <v>0</v>
      </c>
      <c r="K72" s="18" t="n">
        <v>0.3644523</v>
      </c>
      <c r="L72" s="20" t="n">
        <v>0.13751589</v>
      </c>
      <c r="M72" s="18" t="n">
        <v>0.11161175</v>
      </c>
      <c r="N72" s="20" t="n">
        <v>0.07824402</v>
      </c>
      <c r="O72" s="18" t="n">
        <v>0</v>
      </c>
      <c r="P72" s="20" t="n">
        <v>0</v>
      </c>
      <c r="Q72" s="18" t="n">
        <v>1.87465896</v>
      </c>
      <c r="R72" s="20" t="n">
        <v>0.3957535</v>
      </c>
    </row>
    <row r="73" spans="1:18">
      <c r="A73" s="15" t="s">
        <v>633</v>
      </c>
      <c r="B73" s="17" t="n">
        <v>6115</v>
      </c>
      <c r="C73" s="18">
        <f>(4766.0/B73*100)</f>
        <v/>
      </c>
      <c r="D73" s="19" t="n">
        <v>1349</v>
      </c>
      <c r="E73" s="18" t="n">
        <v>62.85170741</v>
      </c>
      <c r="F73" s="20" t="n">
        <v>1.57435979</v>
      </c>
      <c r="G73" s="18" t="n">
        <v>35.89051579</v>
      </c>
      <c r="H73" s="20" t="n">
        <v>1.54191597</v>
      </c>
      <c r="I73" s="18" t="n">
        <v>0</v>
      </c>
      <c r="J73" s="20" t="n">
        <v>0</v>
      </c>
      <c r="K73" s="18" t="n">
        <v>0.22033121</v>
      </c>
      <c r="L73" s="20" t="n">
        <v>0.12678087</v>
      </c>
      <c r="M73" s="18" t="n">
        <v>0.08072639</v>
      </c>
      <c r="N73" s="20" t="n">
        <v>0.08063159</v>
      </c>
      <c r="O73" s="18" t="n">
        <v>0</v>
      </c>
      <c r="P73" s="20" t="n">
        <v>0</v>
      </c>
      <c r="Q73" s="18" t="n">
        <v>0.9567191900000001</v>
      </c>
      <c r="R73" s="20" t="n">
        <v>0.2525946</v>
      </c>
    </row>
    <row r="74" spans="1:18">
      <c r="A74" s="15" t="s">
        <v>634</v>
      </c>
      <c r="B74" s="17" t="n">
        <v>7708</v>
      </c>
      <c r="C74" s="18">
        <f>(6057.0/B74*100)</f>
        <v/>
      </c>
      <c r="D74" s="19" t="n">
        <v>1651</v>
      </c>
      <c r="E74" s="18" t="n">
        <v>82.33271347</v>
      </c>
      <c r="F74" s="20" t="n">
        <v>1.04953276</v>
      </c>
      <c r="G74" s="18" t="n">
        <v>16.78667057</v>
      </c>
      <c r="H74" s="20" t="n">
        <v>1.01388237</v>
      </c>
      <c r="I74" s="18" t="n">
        <v>0</v>
      </c>
      <c r="J74" s="20" t="n">
        <v>0</v>
      </c>
      <c r="K74" s="18" t="n">
        <v>0.15927216</v>
      </c>
      <c r="L74" s="20" t="n">
        <v>0.08928419999999999</v>
      </c>
      <c r="M74" s="18" t="n">
        <v>0.02987025</v>
      </c>
      <c r="N74" s="20" t="n">
        <v>0.03001643</v>
      </c>
      <c r="O74" s="18" t="n">
        <v>0</v>
      </c>
      <c r="P74" s="20" t="n">
        <v>0</v>
      </c>
      <c r="Q74" s="18" t="n">
        <v>0.69147355</v>
      </c>
      <c r="R74" s="20" t="n">
        <v>0.23826678</v>
      </c>
    </row>
    <row r="75" spans="1:18">
      <c r="A75" s="15" t="s">
        <v>635</v>
      </c>
      <c r="B75" s="17" t="n">
        <v>8249</v>
      </c>
      <c r="C75" s="18">
        <f>(6537.0/B75*100)</f>
        <v/>
      </c>
      <c r="D75" s="19" t="n">
        <v>1712</v>
      </c>
      <c r="E75" s="18" t="n">
        <v>93.49253969999999</v>
      </c>
      <c r="F75" s="20" t="n">
        <v>0.72551622</v>
      </c>
      <c r="G75" s="18" t="n">
        <v>4.57187549</v>
      </c>
      <c r="H75" s="20" t="n">
        <v>0.62628216</v>
      </c>
      <c r="I75" s="18" t="n">
        <v>0</v>
      </c>
      <c r="J75" s="20" t="n">
        <v>0</v>
      </c>
      <c r="K75" s="18" t="n">
        <v>0</v>
      </c>
      <c r="L75" s="20" t="n">
        <v>0</v>
      </c>
      <c r="M75" s="18" t="n">
        <v>0.65433223</v>
      </c>
      <c r="N75" s="20" t="n">
        <v>0.21849887</v>
      </c>
      <c r="O75" s="18" t="n">
        <v>0</v>
      </c>
      <c r="P75" s="20" t="n">
        <v>0</v>
      </c>
      <c r="Q75" s="18" t="n">
        <v>1.28125259</v>
      </c>
      <c r="R75" s="20" t="n">
        <v>0.35912354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(4340.0/B77*100)</f>
        <v/>
      </c>
      <c r="D77" s="19" t="n">
        <v>1035</v>
      </c>
      <c r="E77" s="18" t="n">
        <v>87.96891791</v>
      </c>
      <c r="F77" s="20" t="n">
        <v>1.07581886</v>
      </c>
      <c r="G77" s="18" t="n">
        <v>1.17584977</v>
      </c>
      <c r="H77" s="20" t="n">
        <v>0.31086125</v>
      </c>
      <c r="I77" s="18" t="n">
        <v>0</v>
      </c>
      <c r="J77" s="20" t="n">
        <v>0</v>
      </c>
      <c r="K77" s="18" t="n">
        <v>3.81345626</v>
      </c>
      <c r="L77" s="20" t="n">
        <v>0.62306666</v>
      </c>
      <c r="M77" s="18" t="n">
        <v>0.11533404</v>
      </c>
      <c r="N77" s="20" t="n">
        <v>0.11952732</v>
      </c>
      <c r="O77" s="18" t="n">
        <v>0</v>
      </c>
      <c r="P77" s="20" t="n">
        <v>0</v>
      </c>
      <c r="Q77" s="18" t="n">
        <v>6.92644201</v>
      </c>
      <c r="R77" s="20" t="n">
        <v>0.81045765</v>
      </c>
    </row>
    <row r="78" spans="1:18">
      <c r="A78" s="15" t="s">
        <v>638</v>
      </c>
      <c r="B78" s="17" t="n">
        <v>14167</v>
      </c>
      <c r="C78" s="18">
        <f>(11168.0/B78*100)</f>
        <v/>
      </c>
      <c r="D78" s="19" t="n">
        <v>2999</v>
      </c>
      <c r="E78" s="18" t="n">
        <v>87.2659732</v>
      </c>
      <c r="F78" s="20" t="n">
        <v>0.96294999</v>
      </c>
      <c r="G78" s="18" t="n">
        <v>9.222345649999999</v>
      </c>
      <c r="H78" s="20" t="n">
        <v>0.90031904</v>
      </c>
      <c r="I78" s="18" t="n">
        <v>0</v>
      </c>
      <c r="J78" s="20" t="n">
        <v>0</v>
      </c>
      <c r="K78" s="18" t="n">
        <v>0.88078617</v>
      </c>
      <c r="L78" s="20" t="n">
        <v>0.1639132</v>
      </c>
      <c r="M78" s="18" t="n">
        <v>0.11415601</v>
      </c>
      <c r="N78" s="20" t="n">
        <v>0.06632865</v>
      </c>
      <c r="O78" s="18" t="n">
        <v>0</v>
      </c>
      <c r="P78" s="20" t="n">
        <v>0</v>
      </c>
      <c r="Q78" s="18" t="n">
        <v>2.51673896</v>
      </c>
      <c r="R78" s="20" t="n">
        <v>0.37647525</v>
      </c>
    </row>
    <row r="79" spans="1:18">
      <c r="A79" s="15" t="s">
        <v>639</v>
      </c>
      <c r="B79" s="17" t="n">
        <v>6062</v>
      </c>
      <c r="C79" s="18">
        <f>(4751.0/B79*100)</f>
        <v/>
      </c>
      <c r="D79" s="19" t="n">
        <v>1311</v>
      </c>
      <c r="E79" s="18" t="n">
        <v>82.16140525</v>
      </c>
      <c r="F79" s="20" t="n">
        <v>1.24731356</v>
      </c>
      <c r="G79" s="18" t="n">
        <v>6.52290739</v>
      </c>
      <c r="H79" s="20" t="n">
        <v>0.6831542900000001</v>
      </c>
      <c r="I79" s="18" t="n">
        <v>0</v>
      </c>
      <c r="J79" s="20" t="n">
        <v>0</v>
      </c>
      <c r="K79" s="18" t="n">
        <v>1.17064411</v>
      </c>
      <c r="L79" s="20" t="n">
        <v>0.37379124</v>
      </c>
      <c r="M79" s="18" t="n">
        <v>0.14104634</v>
      </c>
      <c r="N79" s="20" t="n">
        <v>0.11302361</v>
      </c>
      <c r="O79" s="18" t="n">
        <v>0</v>
      </c>
      <c r="P79" s="20" t="n">
        <v>0</v>
      </c>
      <c r="Q79" s="18" t="n">
        <v>10.00399691</v>
      </c>
      <c r="R79" s="20" t="n">
        <v>0.9489737499999999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(25350.0/B82*100)</f>
        <v/>
      </c>
      <c r="D82" s="19" t="n">
        <v>6980</v>
      </c>
      <c r="E82" s="18" t="n">
        <v>81.58738576</v>
      </c>
      <c r="F82" s="20" t="n">
        <v>0.58969748</v>
      </c>
      <c r="G82" s="18" t="n">
        <v>12.45138161</v>
      </c>
      <c r="H82" s="20" t="n">
        <v>0.60024847</v>
      </c>
      <c r="I82" s="18" t="n">
        <v>0</v>
      </c>
      <c r="J82" s="20" t="n">
        <v>0</v>
      </c>
      <c r="K82" s="18" t="n">
        <v>0.67079621</v>
      </c>
      <c r="L82" s="20" t="n">
        <v>0.12435989</v>
      </c>
      <c r="M82" s="18" t="n">
        <v>0.0446499</v>
      </c>
      <c r="N82" s="20" t="n">
        <v>0.0443645</v>
      </c>
      <c r="O82" s="18" t="n">
        <v>0</v>
      </c>
      <c r="P82" s="20" t="n">
        <v>0</v>
      </c>
      <c r="Q82" s="18" t="n">
        <v>5.24578652</v>
      </c>
      <c r="R82" s="20" t="n">
        <v>0.38344495</v>
      </c>
    </row>
    <row r="83" spans="1:18">
      <c r="A83" s="15" t="s">
        <v>643</v>
      </c>
      <c r="B83" s="17" t="n">
        <v>1652</v>
      </c>
      <c r="C83" s="18">
        <f>(1316.0/B83*100)</f>
        <v/>
      </c>
      <c r="D83" s="19" t="n">
        <v>336</v>
      </c>
      <c r="E83" s="18" t="n">
        <v>85.05822135</v>
      </c>
      <c r="F83" s="20" t="n">
        <v>2.25237199</v>
      </c>
      <c r="G83" s="18" t="n">
        <v>14.58579192</v>
      </c>
      <c r="H83" s="20" t="n">
        <v>2.19507711</v>
      </c>
      <c r="I83" s="18" t="n">
        <v>0</v>
      </c>
      <c r="J83" s="20" t="n">
        <v>0</v>
      </c>
      <c r="K83" s="18" t="n">
        <v>0</v>
      </c>
      <c r="L83" s="20" t="n">
        <v>0</v>
      </c>
      <c r="M83" s="18" t="n">
        <v>0</v>
      </c>
      <c r="N83" s="20" t="n">
        <v>0</v>
      </c>
      <c r="O83" s="18" t="n">
        <v>0</v>
      </c>
      <c r="P83" s="20" t="n">
        <v>0</v>
      </c>
      <c r="Q83" s="18" t="n">
        <v>0.35598673</v>
      </c>
      <c r="R83" s="20" t="n">
        <v>0.32365875</v>
      </c>
    </row>
    <row r="84" spans="1:18">
      <c r="A84" s="23" t="s">
        <v>644</v>
      </c>
      <c r="B84" s="24" t="n">
        <v>1887</v>
      </c>
      <c r="C84" s="25">
        <f>(1500.0/B84*100)</f>
        <v/>
      </c>
      <c r="D84" s="19" t="n">
        <v>387</v>
      </c>
      <c r="E84" s="18" t="n">
        <v>86.60985247000001</v>
      </c>
      <c r="F84" s="20" t="n">
        <v>2.19323318</v>
      </c>
      <c r="G84" s="18" t="n">
        <v>11.53239767</v>
      </c>
      <c r="H84" s="20" t="n">
        <v>2.04347904</v>
      </c>
      <c r="I84" s="18" t="n">
        <v>0</v>
      </c>
      <c r="J84" s="20" t="n">
        <v>0</v>
      </c>
      <c r="K84" s="18" t="n">
        <v>0.5113139799999999</v>
      </c>
      <c r="L84" s="20" t="n">
        <v>0.35252209</v>
      </c>
      <c r="M84" s="18" t="n">
        <v>0</v>
      </c>
      <c r="N84" s="20" t="n">
        <v>0</v>
      </c>
      <c r="O84" s="18" t="n">
        <v>0</v>
      </c>
      <c r="P84" s="20" t="n">
        <v>0</v>
      </c>
      <c r="Q84" s="18" t="n">
        <v>1.34643588</v>
      </c>
      <c r="R84" s="20" t="n">
        <v>0.59375294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(11448.0/B7*100)</f>
        <v/>
      </c>
      <c r="D7" s="19" t="n">
        <v>3082</v>
      </c>
      <c r="E7" s="18" t="n">
        <v>60.75321613</v>
      </c>
      <c r="F7" s="20" t="n">
        <v>0.94520743</v>
      </c>
      <c r="G7" s="18" t="n">
        <v>36.67810807</v>
      </c>
      <c r="H7" s="20" t="n">
        <v>0.96348343</v>
      </c>
      <c r="I7" s="18" t="n">
        <v>0</v>
      </c>
      <c r="J7" s="20" t="n">
        <v>0</v>
      </c>
      <c r="K7" s="18" t="n">
        <v>0.54755286</v>
      </c>
      <c r="L7" s="20" t="n">
        <v>0.15022622</v>
      </c>
      <c r="M7" s="18" t="n">
        <v>0</v>
      </c>
      <c r="N7" s="20" t="n">
        <v>0</v>
      </c>
      <c r="O7" s="18" t="n">
        <v>0</v>
      </c>
      <c r="P7" s="20" t="n">
        <v>0</v>
      </c>
      <c r="Q7" s="18" t="n">
        <v>2.02112294</v>
      </c>
      <c r="R7" s="20" t="n">
        <v>0.32507578</v>
      </c>
    </row>
    <row r="8" spans="1:18">
      <c r="A8" s="15" t="s">
        <v>566</v>
      </c>
      <c r="B8" s="17" t="n">
        <v>7007</v>
      </c>
      <c r="C8" s="18">
        <f>(5428.0/B8*100)</f>
        <v/>
      </c>
      <c r="D8" s="19" t="n">
        <v>1579</v>
      </c>
      <c r="E8" s="18" t="n">
        <v>64.69763463</v>
      </c>
      <c r="F8" s="20" t="n">
        <v>1.24768509</v>
      </c>
      <c r="G8" s="18" t="n">
        <v>33.26122926</v>
      </c>
      <c r="H8" s="20" t="n">
        <v>1.29068916</v>
      </c>
      <c r="I8" s="18" t="n">
        <v>0</v>
      </c>
      <c r="J8" s="20" t="n">
        <v>0</v>
      </c>
      <c r="K8" s="18" t="n">
        <v>0.32056091</v>
      </c>
      <c r="L8" s="20" t="n">
        <v>0.14620386</v>
      </c>
      <c r="M8" s="18" t="n">
        <v>0</v>
      </c>
      <c r="N8" s="20" t="n">
        <v>0</v>
      </c>
      <c r="O8" s="18" t="n">
        <v>0</v>
      </c>
      <c r="P8" s="20" t="n">
        <v>0</v>
      </c>
      <c r="Q8" s="18" t="n">
        <v>1.72057521</v>
      </c>
      <c r="R8" s="20" t="n">
        <v>0.43156762</v>
      </c>
    </row>
    <row r="9" spans="1:18">
      <c r="A9" s="15" t="s">
        <v>567</v>
      </c>
      <c r="B9" s="17" t="n">
        <v>9651</v>
      </c>
      <c r="C9" s="18">
        <f>(7651.0/B9*100)</f>
        <v/>
      </c>
      <c r="D9" s="19" t="n">
        <v>2000</v>
      </c>
      <c r="E9" s="18" t="n">
        <v>68.90913666</v>
      </c>
      <c r="F9" s="20" t="n">
        <v>1.07245984</v>
      </c>
      <c r="G9" s="18" t="n">
        <v>28.22578624</v>
      </c>
      <c r="H9" s="20" t="n">
        <v>1.05126973</v>
      </c>
      <c r="I9" s="18" t="n">
        <v>0</v>
      </c>
      <c r="J9" s="20" t="n">
        <v>0</v>
      </c>
      <c r="K9" s="18" t="n">
        <v>0.87814526</v>
      </c>
      <c r="L9" s="20" t="n">
        <v>0.21877004</v>
      </c>
      <c r="M9" s="18" t="n">
        <v>0</v>
      </c>
      <c r="N9" s="20" t="n">
        <v>0</v>
      </c>
      <c r="O9" s="18" t="n">
        <v>0</v>
      </c>
      <c r="P9" s="20" t="n">
        <v>0</v>
      </c>
      <c r="Q9" s="18" t="n">
        <v>1.98693184</v>
      </c>
      <c r="R9" s="20" t="n">
        <v>0.38911118</v>
      </c>
    </row>
    <row r="10" spans="1:18">
      <c r="A10" s="15" t="s">
        <v>568</v>
      </c>
      <c r="B10" s="17" t="n">
        <v>20058</v>
      </c>
      <c r="C10" s="18">
        <f>(15661.0/B10*100)</f>
        <v/>
      </c>
      <c r="D10" s="19" t="n">
        <v>4397</v>
      </c>
      <c r="E10" s="18" t="n">
        <v>65.28767932</v>
      </c>
      <c r="F10" s="20" t="n">
        <v>1.05387086</v>
      </c>
      <c r="G10" s="18" t="n">
        <v>32.7791281</v>
      </c>
      <c r="H10" s="20" t="n">
        <v>1.08022208</v>
      </c>
      <c r="I10" s="18" t="n">
        <v>0</v>
      </c>
      <c r="J10" s="20" t="n">
        <v>0</v>
      </c>
      <c r="K10" s="18" t="n">
        <v>0.79862255</v>
      </c>
      <c r="L10" s="20" t="n">
        <v>0.20538386</v>
      </c>
      <c r="M10" s="18" t="n">
        <v>0</v>
      </c>
      <c r="N10" s="20" t="n">
        <v>0</v>
      </c>
      <c r="O10" s="18" t="n">
        <v>0</v>
      </c>
      <c r="P10" s="20" t="n">
        <v>0</v>
      </c>
      <c r="Q10" s="18" t="n">
        <v>1.13457004</v>
      </c>
      <c r="R10" s="20" t="n">
        <v>0.21762173</v>
      </c>
    </row>
    <row r="11" spans="1:18">
      <c r="A11" s="15" t="s">
        <v>569</v>
      </c>
      <c r="B11" s="17" t="n">
        <v>7053</v>
      </c>
      <c r="C11" s="18">
        <f>(5574.0/B11*100)</f>
        <v/>
      </c>
      <c r="D11" s="19" t="n">
        <v>1479</v>
      </c>
      <c r="E11" s="18" t="n">
        <v>74.93560714</v>
      </c>
      <c r="F11" s="20" t="n">
        <v>1.29797934</v>
      </c>
      <c r="G11" s="18" t="n">
        <v>17.89556894</v>
      </c>
      <c r="H11" s="20" t="n">
        <v>1.2871494</v>
      </c>
      <c r="I11" s="18" t="n">
        <v>0</v>
      </c>
      <c r="J11" s="20" t="n">
        <v>0</v>
      </c>
      <c r="K11" s="18" t="n">
        <v>1.73176894</v>
      </c>
      <c r="L11" s="20" t="n">
        <v>0.35441428</v>
      </c>
      <c r="M11" s="18" t="n">
        <v>0</v>
      </c>
      <c r="N11" s="20" t="n">
        <v>0</v>
      </c>
      <c r="O11" s="18" t="n">
        <v>0</v>
      </c>
      <c r="P11" s="20" t="n">
        <v>0</v>
      </c>
      <c r="Q11" s="18" t="n">
        <v>5.43705498</v>
      </c>
      <c r="R11" s="20" t="n">
        <v>0.62861771</v>
      </c>
    </row>
    <row r="12" spans="1:18">
      <c r="A12" s="15" t="s">
        <v>570</v>
      </c>
      <c r="B12" s="17" t="n">
        <v>6894</v>
      </c>
      <c r="C12" s="18">
        <f>(5411.0/B12*100)</f>
        <v/>
      </c>
      <c r="D12" s="19" t="n">
        <v>1483</v>
      </c>
      <c r="E12" s="18" t="n">
        <v>61.73208263</v>
      </c>
      <c r="F12" s="20" t="n">
        <v>1.44199751</v>
      </c>
      <c r="G12" s="18" t="n">
        <v>36.77028446</v>
      </c>
      <c r="H12" s="20" t="n">
        <v>1.36044307</v>
      </c>
      <c r="I12" s="18" t="n">
        <v>0</v>
      </c>
      <c r="J12" s="20" t="n">
        <v>0</v>
      </c>
      <c r="K12" s="18" t="n">
        <v>0.13221334</v>
      </c>
      <c r="L12" s="20" t="n">
        <v>0.0799787</v>
      </c>
      <c r="M12" s="18" t="n">
        <v>0</v>
      </c>
      <c r="N12" s="20" t="n">
        <v>0</v>
      </c>
      <c r="O12" s="18" t="n">
        <v>0</v>
      </c>
      <c r="P12" s="20" t="n">
        <v>0</v>
      </c>
      <c r="Q12" s="18" t="n">
        <v>1.36541957</v>
      </c>
      <c r="R12" s="20" t="n">
        <v>0.34672116</v>
      </c>
    </row>
    <row r="13" spans="1:18">
      <c r="A13" s="15" t="s">
        <v>571</v>
      </c>
      <c r="B13" s="17" t="n">
        <v>7161</v>
      </c>
      <c r="C13" s="18">
        <f>(5649.0/B13*100)</f>
        <v/>
      </c>
      <c r="D13" s="19" t="n">
        <v>1512</v>
      </c>
      <c r="E13" s="18" t="n">
        <v>65.39736919000001</v>
      </c>
      <c r="F13" s="20" t="n">
        <v>1.55010672</v>
      </c>
      <c r="G13" s="18" t="n">
        <v>32.81114091</v>
      </c>
      <c r="H13" s="20" t="n">
        <v>1.557956</v>
      </c>
      <c r="I13" s="18" t="n">
        <v>0</v>
      </c>
      <c r="J13" s="20" t="n">
        <v>0</v>
      </c>
      <c r="K13" s="18" t="n">
        <v>0.6149829</v>
      </c>
      <c r="L13" s="20" t="n">
        <v>0.24214276</v>
      </c>
      <c r="M13" s="18" t="n">
        <v>0</v>
      </c>
      <c r="N13" s="20" t="n">
        <v>0</v>
      </c>
      <c r="O13" s="18" t="n">
        <v>0</v>
      </c>
      <c r="P13" s="20" t="n">
        <v>0</v>
      </c>
      <c r="Q13" s="18" t="n">
        <v>1.176507</v>
      </c>
      <c r="R13" s="20" t="n">
        <v>0.29684714</v>
      </c>
    </row>
    <row r="14" spans="1:18">
      <c r="A14" s="15" t="s">
        <v>572</v>
      </c>
      <c r="B14" s="17" t="n">
        <v>5587</v>
      </c>
      <c r="C14" s="18">
        <f>(4294.0/B14*100)</f>
        <v/>
      </c>
      <c r="D14" s="19" t="n">
        <v>1293</v>
      </c>
      <c r="E14" s="18" t="n">
        <v>51.69673633</v>
      </c>
      <c r="F14" s="20" t="n">
        <v>1.61401665</v>
      </c>
      <c r="G14" s="18" t="n">
        <v>45.95238994</v>
      </c>
      <c r="H14" s="20" t="n">
        <v>1.56657941</v>
      </c>
      <c r="I14" s="18" t="n">
        <v>0</v>
      </c>
      <c r="J14" s="20" t="n">
        <v>0</v>
      </c>
      <c r="K14" s="18" t="n">
        <v>0.94274252</v>
      </c>
      <c r="L14" s="20" t="n">
        <v>0.31529847</v>
      </c>
      <c r="M14" s="18" t="n">
        <v>0</v>
      </c>
      <c r="N14" s="20" t="n">
        <v>0</v>
      </c>
      <c r="O14" s="18" t="n">
        <v>0</v>
      </c>
      <c r="P14" s="20" t="n">
        <v>0</v>
      </c>
      <c r="Q14" s="18" t="n">
        <v>1.40813121</v>
      </c>
      <c r="R14" s="20" t="n">
        <v>0.38424255</v>
      </c>
    </row>
    <row r="15" spans="1:18">
      <c r="A15" s="15" t="s">
        <v>573</v>
      </c>
      <c r="B15" s="17" t="n">
        <v>5882</v>
      </c>
      <c r="C15" s="18">
        <f>(4584.0/B15*100)</f>
        <v/>
      </c>
      <c r="D15" s="19" t="n">
        <v>1298</v>
      </c>
      <c r="E15" s="18" t="n">
        <v>60.68276686</v>
      </c>
      <c r="F15" s="20" t="n">
        <v>1.46678271</v>
      </c>
      <c r="G15" s="18" t="n">
        <v>37.96526301</v>
      </c>
      <c r="H15" s="20" t="n">
        <v>1.43660764</v>
      </c>
      <c r="I15" s="18" t="n">
        <v>0</v>
      </c>
      <c r="J15" s="20" t="n">
        <v>0</v>
      </c>
      <c r="K15" s="18" t="n">
        <v>0.1493638</v>
      </c>
      <c r="L15" s="20" t="n">
        <v>0.10622303</v>
      </c>
      <c r="M15" s="18" t="n">
        <v>0</v>
      </c>
      <c r="N15" s="20" t="n">
        <v>0</v>
      </c>
      <c r="O15" s="18" t="n">
        <v>0</v>
      </c>
      <c r="P15" s="20" t="n">
        <v>0</v>
      </c>
      <c r="Q15" s="18" t="n">
        <v>1.20260633</v>
      </c>
      <c r="R15" s="20" t="n">
        <v>0.32265149</v>
      </c>
    </row>
    <row r="16" spans="1:18">
      <c r="A16" s="15" t="s">
        <v>574</v>
      </c>
      <c r="B16" s="17" t="n">
        <v>6108</v>
      </c>
      <c r="C16" s="18">
        <f>(4782.0/B16*100)</f>
        <v/>
      </c>
      <c r="D16" s="19" t="n">
        <v>1326</v>
      </c>
      <c r="E16" s="18" t="n">
        <v>71.29665239000001</v>
      </c>
      <c r="F16" s="20" t="n">
        <v>1.19523489</v>
      </c>
      <c r="G16" s="18" t="n">
        <v>25.33632637</v>
      </c>
      <c r="H16" s="20" t="n">
        <v>1.17135569</v>
      </c>
      <c r="I16" s="18" t="n">
        <v>0</v>
      </c>
      <c r="J16" s="20" t="n">
        <v>0</v>
      </c>
      <c r="K16" s="18" t="n">
        <v>1.24770082</v>
      </c>
      <c r="L16" s="20" t="n">
        <v>0.28638905</v>
      </c>
      <c r="M16" s="18" t="n">
        <v>0</v>
      </c>
      <c r="N16" s="20" t="n">
        <v>0</v>
      </c>
      <c r="O16" s="18" t="n">
        <v>0</v>
      </c>
      <c r="P16" s="20" t="n">
        <v>0</v>
      </c>
      <c r="Q16" s="18" t="n">
        <v>2.11932043</v>
      </c>
      <c r="R16" s="20" t="n">
        <v>0.38683784</v>
      </c>
    </row>
    <row r="17" spans="1:18">
      <c r="A17" s="15" t="s">
        <v>575</v>
      </c>
      <c r="B17" s="17" t="n">
        <v>6504</v>
      </c>
      <c r="C17" s="18">
        <f>(5108.0/B17*100)</f>
        <v/>
      </c>
      <c r="D17" s="19" t="n">
        <v>1396</v>
      </c>
      <c r="E17" s="18" t="n">
        <v>63.03114061</v>
      </c>
      <c r="F17" s="20" t="n">
        <v>1.57136907</v>
      </c>
      <c r="G17" s="18" t="n">
        <v>35.49552122</v>
      </c>
      <c r="H17" s="20" t="n">
        <v>1.54055159</v>
      </c>
      <c r="I17" s="18" t="n">
        <v>0</v>
      </c>
      <c r="J17" s="20" t="n">
        <v>0</v>
      </c>
      <c r="K17" s="18" t="n">
        <v>0.24282423</v>
      </c>
      <c r="L17" s="20" t="n">
        <v>0.13185359</v>
      </c>
      <c r="M17" s="18" t="n">
        <v>0</v>
      </c>
      <c r="N17" s="20" t="n">
        <v>0</v>
      </c>
      <c r="O17" s="18" t="n">
        <v>0</v>
      </c>
      <c r="P17" s="20" t="n">
        <v>0</v>
      </c>
      <c r="Q17" s="18" t="n">
        <v>1.23051394</v>
      </c>
      <c r="R17" s="20" t="n">
        <v>0.33452215</v>
      </c>
    </row>
    <row r="18" spans="1:18">
      <c r="A18" s="15" t="s">
        <v>576</v>
      </c>
      <c r="B18" s="17" t="n">
        <v>5532</v>
      </c>
      <c r="C18" s="18">
        <f>(4311.0/B18*100)</f>
        <v/>
      </c>
      <c r="D18" s="19" t="n">
        <v>1221</v>
      </c>
      <c r="E18" s="18" t="n">
        <v>63.22929193</v>
      </c>
      <c r="F18" s="20" t="n">
        <v>1.20635384</v>
      </c>
      <c r="G18" s="18" t="n">
        <v>33.33979867</v>
      </c>
      <c r="H18" s="20" t="n">
        <v>1.20961733</v>
      </c>
      <c r="I18" s="18" t="n">
        <v>0</v>
      </c>
      <c r="J18" s="20" t="n">
        <v>0</v>
      </c>
      <c r="K18" s="18" t="n">
        <v>0.969715</v>
      </c>
      <c r="L18" s="20" t="n">
        <v>0.29810973</v>
      </c>
      <c r="M18" s="18" t="n">
        <v>0</v>
      </c>
      <c r="N18" s="20" t="n">
        <v>0</v>
      </c>
      <c r="O18" s="18" t="n">
        <v>0</v>
      </c>
      <c r="P18" s="20" t="n">
        <v>0</v>
      </c>
      <c r="Q18" s="18" t="n">
        <v>2.46119439</v>
      </c>
      <c r="R18" s="20" t="n">
        <v>0.51863616</v>
      </c>
    </row>
    <row r="19" spans="1:18">
      <c r="A19" s="15" t="s">
        <v>577</v>
      </c>
      <c r="B19" s="17" t="n">
        <v>5658</v>
      </c>
      <c r="C19" s="18">
        <f>(4435.0/B19*100)</f>
        <v/>
      </c>
      <c r="D19" s="19" t="n">
        <v>1223</v>
      </c>
      <c r="E19" s="18" t="n">
        <v>57.74540936</v>
      </c>
      <c r="F19" s="20" t="n">
        <v>1.42426359</v>
      </c>
      <c r="G19" s="18" t="n">
        <v>39.60339702</v>
      </c>
      <c r="H19" s="20" t="n">
        <v>1.49144998</v>
      </c>
      <c r="I19" s="18" t="n">
        <v>0</v>
      </c>
      <c r="J19" s="20" t="n">
        <v>0</v>
      </c>
      <c r="K19" s="18" t="n">
        <v>0.33192302</v>
      </c>
      <c r="L19" s="20" t="n">
        <v>0.19893147</v>
      </c>
      <c r="M19" s="18" t="n">
        <v>0</v>
      </c>
      <c r="N19" s="20" t="n">
        <v>0</v>
      </c>
      <c r="O19" s="18" t="n">
        <v>0</v>
      </c>
      <c r="P19" s="20" t="n">
        <v>0</v>
      </c>
      <c r="Q19" s="18" t="n">
        <v>2.31927059</v>
      </c>
      <c r="R19" s="20" t="n">
        <v>0.53828248</v>
      </c>
    </row>
    <row r="20" spans="1:18">
      <c r="A20" s="15" t="s">
        <v>578</v>
      </c>
      <c r="B20" s="17" t="n">
        <v>3371</v>
      </c>
      <c r="C20" s="18">
        <f>(2644.0/B20*100)</f>
        <v/>
      </c>
      <c r="D20" s="19" t="n">
        <v>727</v>
      </c>
      <c r="E20" s="18" t="n">
        <v>66.30895388</v>
      </c>
      <c r="F20" s="20" t="n">
        <v>1.74306992</v>
      </c>
      <c r="G20" s="18" t="n">
        <v>28.77824143</v>
      </c>
      <c r="H20" s="20" t="n">
        <v>1.66715762</v>
      </c>
      <c r="I20" s="18" t="n">
        <v>0</v>
      </c>
      <c r="J20" s="20" t="n">
        <v>0</v>
      </c>
      <c r="K20" s="18" t="n">
        <v>1.34623434</v>
      </c>
      <c r="L20" s="20" t="n">
        <v>0.5058787300000001</v>
      </c>
      <c r="M20" s="18" t="n">
        <v>0</v>
      </c>
      <c r="N20" s="20" t="n">
        <v>0</v>
      </c>
      <c r="O20" s="18" t="n">
        <v>0</v>
      </c>
      <c r="P20" s="20" t="n">
        <v>0</v>
      </c>
      <c r="Q20" s="18" t="n">
        <v>3.56657035</v>
      </c>
      <c r="R20" s="20" t="n">
        <v>0.5948706</v>
      </c>
    </row>
    <row r="21" spans="1:18">
      <c r="A21" s="15" t="s">
        <v>579</v>
      </c>
      <c r="B21" s="17" t="n">
        <v>5741</v>
      </c>
      <c r="C21" s="18">
        <f>(4466.0/B21*100)</f>
        <v/>
      </c>
      <c r="D21" s="19" t="n">
        <v>1275</v>
      </c>
      <c r="E21" s="18" t="n">
        <v>58.66228004</v>
      </c>
      <c r="F21" s="20" t="n">
        <v>1.34287441</v>
      </c>
      <c r="G21" s="18" t="n">
        <v>39.90321815</v>
      </c>
      <c r="H21" s="20" t="n">
        <v>1.30952867</v>
      </c>
      <c r="I21" s="18" t="n">
        <v>0</v>
      </c>
      <c r="J21" s="20" t="n">
        <v>0</v>
      </c>
      <c r="K21" s="18" t="n">
        <v>0.35565475</v>
      </c>
      <c r="L21" s="20" t="n">
        <v>0.20783562</v>
      </c>
      <c r="M21" s="18" t="n">
        <v>0</v>
      </c>
      <c r="N21" s="20" t="n">
        <v>0</v>
      </c>
      <c r="O21" s="18" t="n">
        <v>0</v>
      </c>
      <c r="P21" s="20" t="n">
        <v>0</v>
      </c>
      <c r="Q21" s="18" t="n">
        <v>1.07884706</v>
      </c>
      <c r="R21" s="20" t="n">
        <v>0.31588005</v>
      </c>
    </row>
    <row r="22" spans="1:18">
      <c r="A22" s="15" t="s">
        <v>580</v>
      </c>
      <c r="B22" s="17" t="n">
        <v>6598</v>
      </c>
      <c r="C22" s="18">
        <f>(5288.0/B22*100)</f>
        <v/>
      </c>
      <c r="D22" s="19" t="n">
        <v>1310</v>
      </c>
      <c r="E22" s="18" t="n">
        <v>59.94744909</v>
      </c>
      <c r="F22" s="20" t="n">
        <v>1.43644424</v>
      </c>
      <c r="G22" s="18" t="n">
        <v>35.10750309</v>
      </c>
      <c r="H22" s="20" t="n">
        <v>1.67430872</v>
      </c>
      <c r="I22" s="18" t="n">
        <v>0</v>
      </c>
      <c r="J22" s="20" t="n">
        <v>0</v>
      </c>
      <c r="K22" s="18" t="n">
        <v>1.34472115</v>
      </c>
      <c r="L22" s="20" t="n">
        <v>0.38730463</v>
      </c>
      <c r="M22" s="18" t="n">
        <v>0</v>
      </c>
      <c r="N22" s="20" t="n">
        <v>0</v>
      </c>
      <c r="O22" s="18" t="n">
        <v>0</v>
      </c>
      <c r="P22" s="20" t="n">
        <v>0</v>
      </c>
      <c r="Q22" s="18" t="n">
        <v>3.60032667</v>
      </c>
      <c r="R22" s="20" t="n">
        <v>0.64804927</v>
      </c>
    </row>
    <row r="23" spans="1:18">
      <c r="A23" s="15" t="s">
        <v>581</v>
      </c>
      <c r="B23" s="17" t="n">
        <v>11583</v>
      </c>
      <c r="C23" s="18">
        <f>(9080.0/B23*100)</f>
        <v/>
      </c>
      <c r="D23" s="19" t="n">
        <v>2503</v>
      </c>
      <c r="E23" s="18" t="n">
        <v>59.48357027</v>
      </c>
      <c r="F23" s="20" t="n">
        <v>1.59273309</v>
      </c>
      <c r="G23" s="18" t="n">
        <v>36.27890421</v>
      </c>
      <c r="H23" s="20" t="n">
        <v>1.56207395</v>
      </c>
      <c r="I23" s="18" t="n">
        <v>0</v>
      </c>
      <c r="J23" s="20" t="n">
        <v>0</v>
      </c>
      <c r="K23" s="18" t="n">
        <v>1.19211047</v>
      </c>
      <c r="L23" s="20" t="n">
        <v>0.3102857</v>
      </c>
      <c r="M23" s="18" t="n">
        <v>0</v>
      </c>
      <c r="N23" s="20" t="n">
        <v>0</v>
      </c>
      <c r="O23" s="18" t="n">
        <v>0</v>
      </c>
      <c r="P23" s="20" t="n">
        <v>0</v>
      </c>
      <c r="Q23" s="18" t="n">
        <v>3.04541506</v>
      </c>
      <c r="R23" s="20" t="n">
        <v>0.65592889</v>
      </c>
    </row>
    <row r="24" spans="1:18">
      <c r="A24" s="15" t="s">
        <v>582</v>
      </c>
      <c r="B24" s="17" t="n">
        <v>6647</v>
      </c>
      <c r="C24" s="18">
        <f>(5212.0/B24*100)</f>
        <v/>
      </c>
      <c r="D24" s="19" t="n">
        <v>1435</v>
      </c>
      <c r="E24" s="18" t="n">
        <v>42.79123361</v>
      </c>
      <c r="F24" s="20" t="n">
        <v>1.33687425</v>
      </c>
      <c r="G24" s="18" t="n">
        <v>55.76414461</v>
      </c>
      <c r="H24" s="20" t="n">
        <v>1.34598664</v>
      </c>
      <c r="I24" s="18" t="n">
        <v>0</v>
      </c>
      <c r="J24" s="20" t="n">
        <v>0</v>
      </c>
      <c r="K24" s="18" t="n">
        <v>0.26692402</v>
      </c>
      <c r="L24" s="20" t="n">
        <v>0.13510866</v>
      </c>
      <c r="M24" s="18" t="n">
        <v>0</v>
      </c>
      <c r="N24" s="20" t="n">
        <v>0</v>
      </c>
      <c r="O24" s="18" t="n">
        <v>0</v>
      </c>
      <c r="P24" s="20" t="n">
        <v>0</v>
      </c>
      <c r="Q24" s="18" t="n">
        <v>1.17769776</v>
      </c>
      <c r="R24" s="20" t="n">
        <v>0.24265658</v>
      </c>
    </row>
    <row r="25" spans="1:18">
      <c r="A25" s="15" t="s">
        <v>583</v>
      </c>
      <c r="B25" s="17" t="n">
        <v>5581</v>
      </c>
      <c r="C25" s="18">
        <f>(4321.0/B25*100)</f>
        <v/>
      </c>
      <c r="D25" s="19" t="n">
        <v>1260</v>
      </c>
      <c r="E25" s="18" t="n">
        <v>47.24313247</v>
      </c>
      <c r="F25" s="20" t="n">
        <v>1.34036473</v>
      </c>
      <c r="G25" s="18" t="n">
        <v>51.70081501</v>
      </c>
      <c r="H25" s="20" t="n">
        <v>1.34732748</v>
      </c>
      <c r="I25" s="18" t="n">
        <v>0</v>
      </c>
      <c r="J25" s="20" t="n">
        <v>0</v>
      </c>
      <c r="K25" s="18" t="n">
        <v>0.14548454</v>
      </c>
      <c r="L25" s="20" t="n">
        <v>0.10341676</v>
      </c>
      <c r="M25" s="18" t="n">
        <v>0</v>
      </c>
      <c r="N25" s="20" t="n">
        <v>0</v>
      </c>
      <c r="O25" s="18" t="n">
        <v>0</v>
      </c>
      <c r="P25" s="20" t="n">
        <v>0</v>
      </c>
      <c r="Q25" s="18" t="n">
        <v>0.91056797</v>
      </c>
      <c r="R25" s="20" t="n">
        <v>0.24144436</v>
      </c>
    </row>
    <row r="26" spans="1:18">
      <c r="A26" s="15" t="s">
        <v>584</v>
      </c>
      <c r="B26" s="17" t="n">
        <v>4869</v>
      </c>
      <c r="C26" s="18">
        <f>(3787.0/B26*100)</f>
        <v/>
      </c>
      <c r="D26" s="19" t="n">
        <v>1082</v>
      </c>
      <c r="E26" s="18" t="n">
        <v>67.302921</v>
      </c>
      <c r="F26" s="20" t="n">
        <v>1.65360521</v>
      </c>
      <c r="G26" s="18" t="n">
        <v>31.42688044</v>
      </c>
      <c r="H26" s="20" t="n">
        <v>1.58900941</v>
      </c>
      <c r="I26" s="18" t="n">
        <v>0</v>
      </c>
      <c r="J26" s="20" t="n">
        <v>0</v>
      </c>
      <c r="K26" s="18" t="n">
        <v>0.33529625</v>
      </c>
      <c r="L26" s="20" t="n">
        <v>0.22952284</v>
      </c>
      <c r="M26" s="18" t="n">
        <v>0</v>
      </c>
      <c r="N26" s="20" t="n">
        <v>0</v>
      </c>
      <c r="O26" s="18" t="n">
        <v>0</v>
      </c>
      <c r="P26" s="20" t="n">
        <v>0</v>
      </c>
      <c r="Q26" s="18" t="n">
        <v>0.93490231</v>
      </c>
      <c r="R26" s="20" t="n">
        <v>0.35404112</v>
      </c>
    </row>
    <row r="27" spans="1:18">
      <c r="A27" s="15" t="s">
        <v>585</v>
      </c>
      <c r="B27" s="17" t="n">
        <v>5299</v>
      </c>
      <c r="C27" s="18">
        <f>(4172.0/B27*100)</f>
        <v/>
      </c>
      <c r="D27" s="19" t="n">
        <v>1127</v>
      </c>
      <c r="E27" s="18" t="n">
        <v>65.12490511999999</v>
      </c>
      <c r="F27" s="20" t="n">
        <v>1.45504346</v>
      </c>
      <c r="G27" s="18" t="n">
        <v>33.62301737</v>
      </c>
      <c r="H27" s="20" t="n">
        <v>1.44568021</v>
      </c>
      <c r="I27" s="18" t="n">
        <v>0</v>
      </c>
      <c r="J27" s="20" t="n">
        <v>0</v>
      </c>
      <c r="K27" s="18" t="n">
        <v>0.44892528</v>
      </c>
      <c r="L27" s="20" t="n">
        <v>0.19917051</v>
      </c>
      <c r="M27" s="18" t="n">
        <v>0</v>
      </c>
      <c r="N27" s="20" t="n">
        <v>0</v>
      </c>
      <c r="O27" s="18" t="n">
        <v>0</v>
      </c>
      <c r="P27" s="20" t="n">
        <v>0</v>
      </c>
      <c r="Q27" s="18" t="n">
        <v>0.80315223</v>
      </c>
      <c r="R27" s="20" t="n">
        <v>0.23528492</v>
      </c>
    </row>
    <row r="28" spans="1:18">
      <c r="A28" s="15" t="s">
        <v>586</v>
      </c>
      <c r="B28" s="17" t="n">
        <v>7568</v>
      </c>
      <c r="C28" s="18">
        <f>(5983.0/B28*100)</f>
        <v/>
      </c>
      <c r="D28" s="19" t="n">
        <v>1585</v>
      </c>
      <c r="E28" s="18" t="n">
        <v>70.59782194</v>
      </c>
      <c r="F28" s="20" t="n">
        <v>1.63932983</v>
      </c>
      <c r="G28" s="18" t="n">
        <v>23.54641834</v>
      </c>
      <c r="H28" s="20" t="n">
        <v>1.3528625</v>
      </c>
      <c r="I28" s="18" t="n">
        <v>0</v>
      </c>
      <c r="J28" s="20" t="n">
        <v>0</v>
      </c>
      <c r="K28" s="18" t="n">
        <v>1.0227583</v>
      </c>
      <c r="L28" s="20" t="n">
        <v>0.41835586</v>
      </c>
      <c r="M28" s="18" t="n">
        <v>0</v>
      </c>
      <c r="N28" s="20" t="n">
        <v>0</v>
      </c>
      <c r="O28" s="18" t="n">
        <v>0</v>
      </c>
      <c r="P28" s="20" t="n">
        <v>0</v>
      </c>
      <c r="Q28" s="18" t="n">
        <v>4.83300141</v>
      </c>
      <c r="R28" s="20" t="n">
        <v>0.72174033</v>
      </c>
    </row>
    <row r="29" spans="1:18">
      <c r="A29" s="15" t="s">
        <v>587</v>
      </c>
      <c r="B29" s="17" t="n">
        <v>5385</v>
      </c>
      <c r="C29" s="18">
        <f>(4242.0/B29*100)</f>
        <v/>
      </c>
      <c r="D29" s="19" t="n">
        <v>1143</v>
      </c>
      <c r="E29" s="18" t="n">
        <v>54.47795706</v>
      </c>
      <c r="F29" s="20" t="n">
        <v>1.62808029</v>
      </c>
      <c r="G29" s="18" t="n">
        <v>44.69578882</v>
      </c>
      <c r="H29" s="20" t="n">
        <v>1.60478199</v>
      </c>
      <c r="I29" s="18" t="n">
        <v>0</v>
      </c>
      <c r="J29" s="20" t="n">
        <v>0</v>
      </c>
      <c r="K29" s="18" t="n">
        <v>0.08975223</v>
      </c>
      <c r="L29" s="20" t="n">
        <v>0.08922898999999999</v>
      </c>
      <c r="M29" s="18" t="n">
        <v>0</v>
      </c>
      <c r="N29" s="20" t="n">
        <v>0</v>
      </c>
      <c r="O29" s="18" t="n">
        <v>0</v>
      </c>
      <c r="P29" s="20" t="n">
        <v>0</v>
      </c>
      <c r="Q29" s="18" t="n">
        <v>0.73650189</v>
      </c>
      <c r="R29" s="20" t="n">
        <v>0.27574183</v>
      </c>
    </row>
    <row r="30" spans="1:18">
      <c r="A30" s="15" t="s">
        <v>588</v>
      </c>
      <c r="B30" s="17" t="n">
        <v>4520</v>
      </c>
      <c r="C30" s="18">
        <f>(3563.0/B30*100)</f>
        <v/>
      </c>
      <c r="D30" s="19" t="n">
        <v>957</v>
      </c>
      <c r="E30" s="18" t="n">
        <v>59.09552209</v>
      </c>
      <c r="F30" s="20" t="n">
        <v>1.61657885</v>
      </c>
      <c r="G30" s="18" t="n">
        <v>37.67413272</v>
      </c>
      <c r="H30" s="20" t="n">
        <v>1.68226381</v>
      </c>
      <c r="I30" s="18" t="n">
        <v>0</v>
      </c>
      <c r="J30" s="20" t="n">
        <v>0</v>
      </c>
      <c r="K30" s="18" t="n">
        <v>0.63875435</v>
      </c>
      <c r="L30" s="20" t="n">
        <v>0.26714837</v>
      </c>
      <c r="M30" s="18" t="n">
        <v>0</v>
      </c>
      <c r="N30" s="20" t="n">
        <v>0</v>
      </c>
      <c r="O30" s="18" t="n">
        <v>0</v>
      </c>
      <c r="P30" s="20" t="n">
        <v>0</v>
      </c>
      <c r="Q30" s="18" t="n">
        <v>2.59159085</v>
      </c>
      <c r="R30" s="20" t="n">
        <v>0.53183536</v>
      </c>
    </row>
    <row r="31" spans="1:18">
      <c r="A31" s="15" t="s">
        <v>589</v>
      </c>
      <c r="B31" s="17" t="n">
        <v>5456</v>
      </c>
      <c r="C31" s="18">
        <f>(4241.0/B31*100)</f>
        <v/>
      </c>
      <c r="D31" s="19" t="n">
        <v>1215</v>
      </c>
      <c r="E31" s="18" t="n">
        <v>59.46173235</v>
      </c>
      <c r="F31" s="20" t="n">
        <v>1.50356162</v>
      </c>
      <c r="G31" s="18" t="n">
        <v>37.12020572</v>
      </c>
      <c r="H31" s="20" t="n">
        <v>1.34918138</v>
      </c>
      <c r="I31" s="18" t="n">
        <v>0</v>
      </c>
      <c r="J31" s="20" t="n">
        <v>0</v>
      </c>
      <c r="K31" s="18" t="n">
        <v>1.24497051</v>
      </c>
      <c r="L31" s="20" t="n">
        <v>0.33737309</v>
      </c>
      <c r="M31" s="18" t="n">
        <v>0</v>
      </c>
      <c r="N31" s="20" t="n">
        <v>0</v>
      </c>
      <c r="O31" s="18" t="n">
        <v>0</v>
      </c>
      <c r="P31" s="20" t="n">
        <v>0</v>
      </c>
      <c r="Q31" s="18" t="n">
        <v>2.17309142</v>
      </c>
      <c r="R31" s="20" t="n">
        <v>0.48478902</v>
      </c>
    </row>
    <row r="32" spans="1:18">
      <c r="A32" s="15" t="s">
        <v>590</v>
      </c>
      <c r="B32" s="17" t="n">
        <v>4478</v>
      </c>
      <c r="C32" s="18">
        <f>(3469.0/B32*100)</f>
        <v/>
      </c>
      <c r="D32" s="19" t="n">
        <v>1009</v>
      </c>
      <c r="E32" s="18" t="n">
        <v>49.55109216</v>
      </c>
      <c r="F32" s="20" t="n">
        <v>1.74014193</v>
      </c>
      <c r="G32" s="18" t="n">
        <v>49.6524195</v>
      </c>
      <c r="H32" s="20" t="n">
        <v>1.76729783</v>
      </c>
      <c r="I32" s="18" t="n">
        <v>0</v>
      </c>
      <c r="J32" s="20" t="n">
        <v>0</v>
      </c>
      <c r="K32" s="18" t="n">
        <v>0.11944879</v>
      </c>
      <c r="L32" s="20" t="n">
        <v>0.11717313</v>
      </c>
      <c r="M32" s="18" t="n">
        <v>0</v>
      </c>
      <c r="N32" s="20" t="n">
        <v>0</v>
      </c>
      <c r="O32" s="18" t="n">
        <v>0</v>
      </c>
      <c r="P32" s="20" t="n">
        <v>0</v>
      </c>
      <c r="Q32" s="18" t="n">
        <v>0.67703954</v>
      </c>
      <c r="R32" s="20" t="n">
        <v>0.25665033</v>
      </c>
    </row>
    <row r="33" spans="1:18">
      <c r="A33" s="15" t="s">
        <v>591</v>
      </c>
      <c r="B33" s="17" t="n">
        <v>7325</v>
      </c>
      <c r="C33" s="18">
        <f>(5737.0/B33*100)</f>
        <v/>
      </c>
      <c r="D33" s="19" t="n">
        <v>1588</v>
      </c>
      <c r="E33" s="18" t="n">
        <v>55.69159566</v>
      </c>
      <c r="F33" s="20" t="n">
        <v>1.58703077</v>
      </c>
      <c r="G33" s="18" t="n">
        <v>42.85678931</v>
      </c>
      <c r="H33" s="20" t="n">
        <v>1.64898008</v>
      </c>
      <c r="I33" s="18" t="n">
        <v>0</v>
      </c>
      <c r="J33" s="20" t="n">
        <v>0</v>
      </c>
      <c r="K33" s="18" t="n">
        <v>0.5915772500000001</v>
      </c>
      <c r="L33" s="20" t="n">
        <v>0.21790256</v>
      </c>
      <c r="M33" s="18" t="n">
        <v>0</v>
      </c>
      <c r="N33" s="20" t="n">
        <v>0</v>
      </c>
      <c r="O33" s="18" t="n">
        <v>0</v>
      </c>
      <c r="P33" s="20" t="n">
        <v>0</v>
      </c>
      <c r="Q33" s="18" t="n">
        <v>0.86003778</v>
      </c>
      <c r="R33" s="20" t="n">
        <v>0.32224047</v>
      </c>
    </row>
    <row r="34" spans="1:18">
      <c r="A34" s="15" t="s">
        <v>592</v>
      </c>
      <c r="B34" s="17" t="n">
        <v>6350</v>
      </c>
      <c r="C34" s="18">
        <f>(5043.0/B34*100)</f>
        <v/>
      </c>
      <c r="D34" s="19" t="n">
        <v>1307</v>
      </c>
      <c r="E34" s="18" t="n">
        <v>67.09656517000001</v>
      </c>
      <c r="F34" s="20" t="n">
        <v>1.21699858</v>
      </c>
      <c r="G34" s="18" t="n">
        <v>26.56454712</v>
      </c>
      <c r="H34" s="20" t="n">
        <v>1.23006722</v>
      </c>
      <c r="I34" s="18" t="n">
        <v>0</v>
      </c>
      <c r="J34" s="20" t="n">
        <v>0</v>
      </c>
      <c r="K34" s="18" t="n">
        <v>0.7587964</v>
      </c>
      <c r="L34" s="20" t="n">
        <v>0.28291821</v>
      </c>
      <c r="M34" s="18" t="n">
        <v>0</v>
      </c>
      <c r="N34" s="20" t="n">
        <v>0</v>
      </c>
      <c r="O34" s="18" t="n">
        <v>0</v>
      </c>
      <c r="P34" s="20" t="n">
        <v>0</v>
      </c>
      <c r="Q34" s="18" t="n">
        <v>5.58009132</v>
      </c>
      <c r="R34" s="20" t="n">
        <v>0.66978374</v>
      </c>
    </row>
    <row r="35" spans="1:18">
      <c r="A35" s="15" t="s">
        <v>593</v>
      </c>
      <c r="B35" s="17" t="n">
        <v>6406</v>
      </c>
      <c r="C35" s="18">
        <f>(5061.0/B35*100)</f>
        <v/>
      </c>
      <c r="D35" s="19" t="n">
        <v>1345</v>
      </c>
      <c r="E35" s="18" t="n">
        <v>72.38215307999999</v>
      </c>
      <c r="F35" s="20" t="n">
        <v>1.43930333</v>
      </c>
      <c r="G35" s="18" t="n">
        <v>26.14816323</v>
      </c>
      <c r="H35" s="20" t="n">
        <v>1.40304104</v>
      </c>
      <c r="I35" s="18" t="n">
        <v>0</v>
      </c>
      <c r="J35" s="20" t="n">
        <v>0</v>
      </c>
      <c r="K35" s="18" t="n">
        <v>0.09516698</v>
      </c>
      <c r="L35" s="20" t="n">
        <v>0.07060863000000001</v>
      </c>
      <c r="M35" s="18" t="n">
        <v>0</v>
      </c>
      <c r="N35" s="20" t="n">
        <v>0</v>
      </c>
      <c r="O35" s="18" t="n">
        <v>0</v>
      </c>
      <c r="P35" s="20" t="n">
        <v>0</v>
      </c>
      <c r="Q35" s="18" t="n">
        <v>1.37451671</v>
      </c>
      <c r="R35" s="20" t="n">
        <v>0.35827726</v>
      </c>
    </row>
    <row r="36" spans="1:18">
      <c r="A36" s="15" t="s">
        <v>594</v>
      </c>
      <c r="B36" s="17" t="n">
        <v>6736</v>
      </c>
      <c r="C36" s="18">
        <f>(5289.0/B36*100)</f>
        <v/>
      </c>
      <c r="D36" s="19" t="n">
        <v>1447</v>
      </c>
      <c r="E36" s="18" t="n">
        <v>67.60520882</v>
      </c>
      <c r="F36" s="20" t="n">
        <v>1.30117848</v>
      </c>
      <c r="G36" s="18" t="n">
        <v>29.75935772</v>
      </c>
      <c r="H36" s="20" t="n">
        <v>1.29988807</v>
      </c>
      <c r="I36" s="18" t="n">
        <v>0</v>
      </c>
      <c r="J36" s="20" t="n">
        <v>0</v>
      </c>
      <c r="K36" s="18" t="n">
        <v>0.79379609</v>
      </c>
      <c r="L36" s="20" t="n">
        <v>0.1834948</v>
      </c>
      <c r="M36" s="18" t="n">
        <v>0</v>
      </c>
      <c r="N36" s="20" t="n">
        <v>0</v>
      </c>
      <c r="O36" s="18" t="n">
        <v>0</v>
      </c>
      <c r="P36" s="20" t="n">
        <v>0</v>
      </c>
      <c r="Q36" s="18" t="n">
        <v>1.84163737</v>
      </c>
      <c r="R36" s="20" t="n">
        <v>0.36559985</v>
      </c>
    </row>
    <row r="37" spans="1:18">
      <c r="A37" s="15" t="s">
        <v>595</v>
      </c>
      <c r="B37" s="17" t="n">
        <v>5458</v>
      </c>
      <c r="C37" s="18">
        <f>(4301.0/B37*100)</f>
        <v/>
      </c>
      <c r="D37" s="19" t="n">
        <v>1157</v>
      </c>
      <c r="E37" s="18" t="n">
        <v>71.12206919</v>
      </c>
      <c r="F37" s="20" t="n">
        <v>1.22705208</v>
      </c>
      <c r="G37" s="18" t="n">
        <v>21.79325964</v>
      </c>
      <c r="H37" s="20" t="n">
        <v>1.09323347</v>
      </c>
      <c r="I37" s="18" t="n">
        <v>0</v>
      </c>
      <c r="J37" s="20" t="n">
        <v>0</v>
      </c>
      <c r="K37" s="18" t="n">
        <v>0.98988628</v>
      </c>
      <c r="L37" s="20" t="n">
        <v>0.26417355</v>
      </c>
      <c r="M37" s="18" t="n">
        <v>0</v>
      </c>
      <c r="N37" s="20" t="n">
        <v>0</v>
      </c>
      <c r="O37" s="18" t="n">
        <v>0</v>
      </c>
      <c r="P37" s="20" t="n">
        <v>0</v>
      </c>
      <c r="Q37" s="18" t="n">
        <v>6.09478489</v>
      </c>
      <c r="R37" s="20" t="n">
        <v>0.7251881100000001</v>
      </c>
    </row>
    <row r="38" spans="1:18">
      <c r="A38" s="15" t="s">
        <v>596</v>
      </c>
      <c r="B38" s="17" t="n">
        <v>5860</v>
      </c>
      <c r="C38" s="18">
        <f>(4582.0/B38*100)</f>
        <v/>
      </c>
      <c r="D38" s="19" t="n">
        <v>1278</v>
      </c>
      <c r="E38" s="18" t="n">
        <v>63.6414746</v>
      </c>
      <c r="F38" s="20" t="n">
        <v>1.51002777</v>
      </c>
      <c r="G38" s="18" t="n">
        <v>33.88920064</v>
      </c>
      <c r="H38" s="20" t="n">
        <v>1.38621952</v>
      </c>
      <c r="I38" s="18" t="n">
        <v>0</v>
      </c>
      <c r="J38" s="20" t="n">
        <v>0</v>
      </c>
      <c r="K38" s="18" t="n">
        <v>0.5210242</v>
      </c>
      <c r="L38" s="20" t="n">
        <v>0.18971841</v>
      </c>
      <c r="M38" s="18" t="n">
        <v>0</v>
      </c>
      <c r="N38" s="20" t="n">
        <v>0</v>
      </c>
      <c r="O38" s="18" t="n">
        <v>0</v>
      </c>
      <c r="P38" s="20" t="n">
        <v>0</v>
      </c>
      <c r="Q38" s="18" t="n">
        <v>1.94830056</v>
      </c>
      <c r="R38" s="20" t="n">
        <v>0.63902693</v>
      </c>
    </row>
    <row r="39" spans="1:18">
      <c r="A39" s="15" t="s">
        <v>597</v>
      </c>
      <c r="B39" s="17" t="n">
        <v>5895</v>
      </c>
      <c r="C39" s="18">
        <f>(4574.0/B39*100)</f>
        <v/>
      </c>
      <c r="D39" s="19" t="n">
        <v>1321</v>
      </c>
      <c r="E39" s="18" t="n">
        <v>77.07179888</v>
      </c>
      <c r="F39" s="20" t="n">
        <v>1.31179501</v>
      </c>
      <c r="G39" s="18" t="n">
        <v>18.9431738</v>
      </c>
      <c r="H39" s="20" t="n">
        <v>1.20808242</v>
      </c>
      <c r="I39" s="18" t="n">
        <v>0</v>
      </c>
      <c r="J39" s="20" t="n">
        <v>0</v>
      </c>
      <c r="K39" s="18" t="n">
        <v>0.47938301</v>
      </c>
      <c r="L39" s="20" t="n">
        <v>0.15547768</v>
      </c>
      <c r="M39" s="18" t="n">
        <v>0</v>
      </c>
      <c r="N39" s="20" t="n">
        <v>0</v>
      </c>
      <c r="O39" s="18" t="n">
        <v>0</v>
      </c>
      <c r="P39" s="20" t="n">
        <v>0</v>
      </c>
      <c r="Q39" s="18" t="n">
        <v>3.50564431</v>
      </c>
      <c r="R39" s="20" t="n">
        <v>0.69931449</v>
      </c>
    </row>
    <row r="40" spans="1:18">
      <c r="A40" s="15" t="s">
        <v>598</v>
      </c>
      <c r="B40" s="17" t="n">
        <v>14157</v>
      </c>
      <c r="C40" s="18">
        <f>(11013.0/B40*100)</f>
        <v/>
      </c>
      <c r="D40" s="19" t="n">
        <v>3144</v>
      </c>
      <c r="E40" s="18" t="n">
        <v>53.82826407</v>
      </c>
      <c r="F40" s="20" t="n">
        <v>1.26936992</v>
      </c>
      <c r="G40" s="18" t="n">
        <v>43.88651905</v>
      </c>
      <c r="H40" s="20" t="n">
        <v>1.28311437</v>
      </c>
      <c r="I40" s="18" t="n">
        <v>0</v>
      </c>
      <c r="J40" s="20" t="n">
        <v>0</v>
      </c>
      <c r="K40" s="18" t="n">
        <v>0.59079572</v>
      </c>
      <c r="L40" s="20" t="n">
        <v>0.23354033</v>
      </c>
      <c r="M40" s="18" t="n">
        <v>0</v>
      </c>
      <c r="N40" s="20" t="n">
        <v>0</v>
      </c>
      <c r="O40" s="18" t="n">
        <v>0</v>
      </c>
      <c r="P40" s="20" t="n">
        <v>0</v>
      </c>
      <c r="Q40" s="18" t="n">
        <v>1.69442117</v>
      </c>
      <c r="R40" s="20" t="n">
        <v>0.32550012</v>
      </c>
    </row>
    <row r="41" spans="1:18">
      <c r="A41" s="15" t="s">
        <v>599</v>
      </c>
      <c r="B41" s="17" t="n">
        <v>5712</v>
      </c>
      <c r="C41" s="18">
        <f>(4516.0/B41*100)</f>
        <v/>
      </c>
      <c r="D41" s="19" t="n">
        <v>1196</v>
      </c>
      <c r="E41" s="18" t="n">
        <v>65.75841502</v>
      </c>
      <c r="F41" s="20" t="n">
        <v>1.41679218</v>
      </c>
      <c r="G41" s="18" t="n">
        <v>32.03101896</v>
      </c>
      <c r="H41" s="20" t="n">
        <v>1.48225743</v>
      </c>
      <c r="I41" s="18" t="n">
        <v>0</v>
      </c>
      <c r="J41" s="20" t="n">
        <v>0</v>
      </c>
      <c r="K41" s="18" t="n">
        <v>0.63350838</v>
      </c>
      <c r="L41" s="20" t="n">
        <v>0.22971965</v>
      </c>
      <c r="M41" s="18" t="n">
        <v>0</v>
      </c>
      <c r="N41" s="20" t="n">
        <v>0</v>
      </c>
      <c r="O41" s="18" t="n">
        <v>0</v>
      </c>
      <c r="P41" s="20" t="n">
        <v>0</v>
      </c>
      <c r="Q41" s="18" t="n">
        <v>1.57705764</v>
      </c>
      <c r="R41" s="20" t="n">
        <v>0.42702244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(19440.0/B46*100)</f>
        <v/>
      </c>
      <c r="D46" s="19" t="n">
        <v>3701</v>
      </c>
      <c r="E46" s="18" t="n">
        <v>69.31506245999999</v>
      </c>
      <c r="F46" s="20" t="n">
        <v>0.96224426</v>
      </c>
      <c r="G46" s="18" t="n">
        <v>14.89541697</v>
      </c>
      <c r="H46" s="20" t="n">
        <v>0.69759249</v>
      </c>
      <c r="I46" s="18" t="n">
        <v>0</v>
      </c>
      <c r="J46" s="20" t="n">
        <v>0</v>
      </c>
      <c r="K46" s="18" t="n">
        <v>2.11586502</v>
      </c>
      <c r="L46" s="20" t="n">
        <v>0.37276599</v>
      </c>
      <c r="M46" s="18" t="n">
        <v>0</v>
      </c>
      <c r="N46" s="20" t="n">
        <v>0</v>
      </c>
      <c r="O46" s="18" t="n">
        <v>0</v>
      </c>
      <c r="P46" s="20" t="n">
        <v>0</v>
      </c>
      <c r="Q46" s="18" t="n">
        <v>13.67365555</v>
      </c>
      <c r="R46" s="20" t="n">
        <v>0.87148459</v>
      </c>
    </row>
    <row r="47" spans="1:18">
      <c r="A47" s="15" t="s">
        <v>606</v>
      </c>
      <c r="B47" s="17" t="n">
        <v>5928</v>
      </c>
      <c r="C47" s="18">
        <f>(4615.0/B47*100)</f>
        <v/>
      </c>
      <c r="D47" s="19" t="n">
        <v>1313</v>
      </c>
      <c r="E47" s="18" t="n">
        <v>64.60690103</v>
      </c>
      <c r="F47" s="20" t="n">
        <v>1.43853103</v>
      </c>
      <c r="G47" s="18" t="n">
        <v>26.77869096</v>
      </c>
      <c r="H47" s="20" t="n">
        <v>1.4121448</v>
      </c>
      <c r="I47" s="18" t="n">
        <v>0</v>
      </c>
      <c r="J47" s="20" t="n">
        <v>0</v>
      </c>
      <c r="K47" s="18" t="n">
        <v>0.6716275</v>
      </c>
      <c r="L47" s="20" t="n">
        <v>0.24332071</v>
      </c>
      <c r="M47" s="18" t="n">
        <v>0</v>
      </c>
      <c r="N47" s="20" t="n">
        <v>0</v>
      </c>
      <c r="O47" s="18" t="n">
        <v>0</v>
      </c>
      <c r="P47" s="20" t="n">
        <v>0</v>
      </c>
      <c r="Q47" s="18" t="n">
        <v>7.94278051</v>
      </c>
      <c r="R47" s="20" t="n">
        <v>1.01538275</v>
      </c>
    </row>
    <row r="48" spans="1:18">
      <c r="A48" s="15" t="s">
        <v>607</v>
      </c>
      <c r="B48" s="17" t="n">
        <v>9841</v>
      </c>
      <c r="C48" s="18">
        <f>(7690.0/B48*100)</f>
        <v/>
      </c>
      <c r="D48" s="19" t="n">
        <v>2151</v>
      </c>
      <c r="E48" s="18" t="n">
        <v>56.78385897</v>
      </c>
      <c r="F48" s="20" t="n">
        <v>1.44313505</v>
      </c>
      <c r="G48" s="18" t="n">
        <v>38.34310997</v>
      </c>
      <c r="H48" s="20" t="n">
        <v>1.50296913</v>
      </c>
      <c r="I48" s="18" t="n">
        <v>0</v>
      </c>
      <c r="J48" s="20" t="n">
        <v>0</v>
      </c>
      <c r="K48" s="18" t="n">
        <v>0.56164277</v>
      </c>
      <c r="L48" s="20" t="n">
        <v>0.23522934</v>
      </c>
      <c r="M48" s="18" t="n">
        <v>0</v>
      </c>
      <c r="N48" s="20" t="n">
        <v>0</v>
      </c>
      <c r="O48" s="18" t="n">
        <v>0</v>
      </c>
      <c r="P48" s="20" t="n">
        <v>0</v>
      </c>
      <c r="Q48" s="18" t="n">
        <v>4.31138829</v>
      </c>
      <c r="R48" s="20" t="n">
        <v>0.66433628</v>
      </c>
    </row>
    <row r="49" spans="1:18">
      <c r="A49" s="15" t="s">
        <v>608</v>
      </c>
      <c r="B49" s="17" t="n">
        <v>11795</v>
      </c>
      <c r="C49" s="18">
        <f>(9279.0/B49*100)</f>
        <v/>
      </c>
      <c r="D49" s="19" t="n">
        <v>2516</v>
      </c>
      <c r="E49" s="18" t="n">
        <v>71.41640703</v>
      </c>
      <c r="F49" s="20" t="n">
        <v>1.37811649</v>
      </c>
      <c r="G49" s="18" t="n">
        <v>17.12409799</v>
      </c>
      <c r="H49" s="20" t="n">
        <v>1.22093546</v>
      </c>
      <c r="I49" s="18" t="n">
        <v>0</v>
      </c>
      <c r="J49" s="20" t="n">
        <v>0</v>
      </c>
      <c r="K49" s="18" t="n">
        <v>2.631845</v>
      </c>
      <c r="L49" s="20" t="n">
        <v>0.54086174</v>
      </c>
      <c r="M49" s="18" t="n">
        <v>0</v>
      </c>
      <c r="N49" s="20" t="n">
        <v>0</v>
      </c>
      <c r="O49" s="18" t="n">
        <v>0</v>
      </c>
      <c r="P49" s="20" t="n">
        <v>0</v>
      </c>
      <c r="Q49" s="18" t="n">
        <v>8.82764998</v>
      </c>
      <c r="R49" s="20" t="n">
        <v>0.97831857</v>
      </c>
    </row>
    <row r="50" spans="1:18">
      <c r="A50" s="15" t="s">
        <v>609</v>
      </c>
      <c r="B50" s="17" t="n">
        <v>6866</v>
      </c>
      <c r="C50" s="18">
        <f>(5666.0/B50*100)</f>
        <v/>
      </c>
      <c r="D50" s="19" t="n">
        <v>1200</v>
      </c>
      <c r="E50" s="18" t="n">
        <v>76.36594608999999</v>
      </c>
      <c r="F50" s="20" t="n">
        <v>1.15814047</v>
      </c>
      <c r="G50" s="18" t="n">
        <v>17.93894849</v>
      </c>
      <c r="H50" s="20" t="n">
        <v>1.11795352</v>
      </c>
      <c r="I50" s="18" t="n">
        <v>0</v>
      </c>
      <c r="J50" s="20" t="n">
        <v>0</v>
      </c>
      <c r="K50" s="18" t="n">
        <v>0.86492607</v>
      </c>
      <c r="L50" s="20" t="n">
        <v>0.29523968</v>
      </c>
      <c r="M50" s="18" t="n">
        <v>0</v>
      </c>
      <c r="N50" s="20" t="n">
        <v>0</v>
      </c>
      <c r="O50" s="18" t="n">
        <v>0</v>
      </c>
      <c r="P50" s="20" t="n">
        <v>0</v>
      </c>
      <c r="Q50" s="18" t="n">
        <v>4.83017935</v>
      </c>
      <c r="R50" s="20" t="n">
        <v>0.50556222</v>
      </c>
    </row>
    <row r="51" spans="1:18">
      <c r="A51" s="15" t="s">
        <v>610</v>
      </c>
      <c r="B51" s="17" t="n">
        <v>5809</v>
      </c>
      <c r="C51" s="18">
        <f>(4544.0/B51*100)</f>
        <v/>
      </c>
      <c r="D51" s="19" t="n">
        <v>1265</v>
      </c>
      <c r="E51" s="18" t="n">
        <v>72.06509608</v>
      </c>
      <c r="F51" s="20" t="n">
        <v>1.18821683</v>
      </c>
      <c r="G51" s="18" t="n">
        <v>23.94603513</v>
      </c>
      <c r="H51" s="20" t="n">
        <v>1.18737678</v>
      </c>
      <c r="I51" s="18" t="n">
        <v>0</v>
      </c>
      <c r="J51" s="20" t="n">
        <v>0</v>
      </c>
      <c r="K51" s="18" t="n">
        <v>0.34145861</v>
      </c>
      <c r="L51" s="20" t="n">
        <v>0.16909755</v>
      </c>
      <c r="M51" s="18" t="n">
        <v>0</v>
      </c>
      <c r="N51" s="20" t="n">
        <v>0</v>
      </c>
      <c r="O51" s="18" t="n">
        <v>0</v>
      </c>
      <c r="P51" s="20" t="n">
        <v>0</v>
      </c>
      <c r="Q51" s="18" t="n">
        <v>3.64741018</v>
      </c>
      <c r="R51" s="20" t="n">
        <v>0.51104967</v>
      </c>
    </row>
    <row r="52" spans="1:18">
      <c r="A52" s="15" t="s">
        <v>611</v>
      </c>
      <c r="B52" s="17" t="n">
        <v>5571</v>
      </c>
      <c r="C52" s="18">
        <f>(4302.0/B52*100)</f>
        <v/>
      </c>
      <c r="D52" s="19" t="n">
        <v>1269</v>
      </c>
      <c r="E52" s="18" t="n">
        <v>76.63573753</v>
      </c>
      <c r="F52" s="20" t="n">
        <v>1.34389038</v>
      </c>
      <c r="G52" s="18" t="n">
        <v>20.24300306</v>
      </c>
      <c r="H52" s="20" t="n">
        <v>1.28683704</v>
      </c>
      <c r="I52" s="18" t="n">
        <v>0</v>
      </c>
      <c r="J52" s="20" t="n">
        <v>0</v>
      </c>
      <c r="K52" s="18" t="n">
        <v>0.70378706</v>
      </c>
      <c r="L52" s="20" t="n">
        <v>0.22566301</v>
      </c>
      <c r="M52" s="18" t="n">
        <v>0</v>
      </c>
      <c r="N52" s="20" t="n">
        <v>0</v>
      </c>
      <c r="O52" s="18" t="n">
        <v>0</v>
      </c>
      <c r="P52" s="20" t="n">
        <v>0</v>
      </c>
      <c r="Q52" s="18" t="n">
        <v>2.41747235</v>
      </c>
      <c r="R52" s="20" t="n">
        <v>0.45194661</v>
      </c>
    </row>
    <row r="53" spans="1:18">
      <c r="A53" s="15" t="s">
        <v>612</v>
      </c>
      <c r="B53" s="17" t="n">
        <v>4740</v>
      </c>
      <c r="C53" s="18">
        <f>(3704.0/B53*100)</f>
        <v/>
      </c>
      <c r="D53" s="19" t="n">
        <v>1036</v>
      </c>
      <c r="E53" s="18" t="n">
        <v>52.04486555</v>
      </c>
      <c r="F53" s="20" t="n">
        <v>1.87225635</v>
      </c>
      <c r="G53" s="18" t="n">
        <v>8.072202730000001</v>
      </c>
      <c r="H53" s="20" t="n">
        <v>0.77192998</v>
      </c>
      <c r="I53" s="18" t="n">
        <v>0</v>
      </c>
      <c r="J53" s="20" t="n">
        <v>0</v>
      </c>
      <c r="K53" s="18" t="n">
        <v>15.68046492</v>
      </c>
      <c r="L53" s="20" t="n">
        <v>1.28683738</v>
      </c>
      <c r="M53" s="18" t="n">
        <v>0</v>
      </c>
      <c r="N53" s="20" t="n">
        <v>0</v>
      </c>
      <c r="O53" s="18" t="n">
        <v>0</v>
      </c>
      <c r="P53" s="20" t="n">
        <v>0</v>
      </c>
      <c r="Q53" s="18" t="n">
        <v>24.2024668</v>
      </c>
      <c r="R53" s="20" t="n">
        <v>1.60511992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(4239.0/B55*100)</f>
        <v/>
      </c>
      <c r="D55" s="19" t="n">
        <v>1120</v>
      </c>
      <c r="E55" s="18" t="n">
        <v>37.3814137</v>
      </c>
      <c r="F55" s="20" t="n">
        <v>1.43266848</v>
      </c>
      <c r="G55" s="18" t="n">
        <v>61.21528633</v>
      </c>
      <c r="H55" s="20" t="n">
        <v>1.4099834</v>
      </c>
      <c r="I55" s="18" t="n">
        <v>0</v>
      </c>
      <c r="J55" s="20" t="n">
        <v>0</v>
      </c>
      <c r="K55" s="18" t="n">
        <v>0.31417861</v>
      </c>
      <c r="L55" s="20" t="n">
        <v>0.19126159</v>
      </c>
      <c r="M55" s="18" t="n">
        <v>0</v>
      </c>
      <c r="N55" s="20" t="n">
        <v>0</v>
      </c>
      <c r="O55" s="18" t="n">
        <v>0</v>
      </c>
      <c r="P55" s="20" t="n">
        <v>0</v>
      </c>
      <c r="Q55" s="18" t="n">
        <v>1.08912136</v>
      </c>
      <c r="R55" s="20" t="n">
        <v>0.3139889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(5103.0/B61*100)</f>
        <v/>
      </c>
      <c r="D61" s="19" t="n">
        <v>1422</v>
      </c>
      <c r="E61" s="18" t="n">
        <v>71.58103117</v>
      </c>
      <c r="F61" s="20" t="n">
        <v>1.33695532</v>
      </c>
      <c r="G61" s="18" t="n">
        <v>25.55941293</v>
      </c>
      <c r="H61" s="20" t="n">
        <v>1.26005328</v>
      </c>
      <c r="I61" s="18" t="n">
        <v>0</v>
      </c>
      <c r="J61" s="20" t="n">
        <v>0</v>
      </c>
      <c r="K61" s="18" t="n">
        <v>0.26355948</v>
      </c>
      <c r="L61" s="20" t="n">
        <v>0.15544274</v>
      </c>
      <c r="M61" s="18" t="n">
        <v>0</v>
      </c>
      <c r="N61" s="20" t="n">
        <v>0</v>
      </c>
      <c r="O61" s="18" t="n">
        <v>0</v>
      </c>
      <c r="P61" s="20" t="n">
        <v>0</v>
      </c>
      <c r="Q61" s="18" t="n">
        <v>2.59599643</v>
      </c>
      <c r="R61" s="20" t="n">
        <v>0.54909745</v>
      </c>
    </row>
    <row r="62" spans="1:18">
      <c r="A62" s="15" t="s">
        <v>622</v>
      </c>
      <c r="B62" s="17" t="n">
        <v>4476</v>
      </c>
      <c r="C62" s="18">
        <f>(3513.0/B62*100)</f>
        <v/>
      </c>
      <c r="D62" s="19" t="n">
        <v>963</v>
      </c>
      <c r="E62" s="18" t="n">
        <v>50.77696684</v>
      </c>
      <c r="F62" s="20" t="n">
        <v>1.7312806</v>
      </c>
      <c r="G62" s="18" t="n">
        <v>48.90917059</v>
      </c>
      <c r="H62" s="20" t="n">
        <v>1.68403208</v>
      </c>
      <c r="I62" s="18" t="n">
        <v>0</v>
      </c>
      <c r="J62" s="20" t="n">
        <v>0</v>
      </c>
      <c r="K62" s="18" t="n">
        <v>0.10662455</v>
      </c>
      <c r="L62" s="20" t="n">
        <v>0.10656627</v>
      </c>
      <c r="M62" s="18" t="n">
        <v>0</v>
      </c>
      <c r="N62" s="20" t="n">
        <v>0</v>
      </c>
      <c r="O62" s="18" t="n">
        <v>0</v>
      </c>
      <c r="P62" s="20" t="n">
        <v>0</v>
      </c>
      <c r="Q62" s="18" t="n">
        <v>0.20723802</v>
      </c>
      <c r="R62" s="20" t="n">
        <v>0.14653421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(4466.0/B67*100)</f>
        <v/>
      </c>
      <c r="D67" s="19" t="n">
        <v>1199</v>
      </c>
      <c r="E67" s="18" t="n">
        <v>66.67947356000001</v>
      </c>
      <c r="F67" s="20" t="n">
        <v>1.41201187</v>
      </c>
      <c r="G67" s="18" t="n">
        <v>17.51165234</v>
      </c>
      <c r="H67" s="20" t="n">
        <v>0.96188929</v>
      </c>
      <c r="I67" s="18" t="n">
        <v>0</v>
      </c>
      <c r="J67" s="20" t="n">
        <v>0</v>
      </c>
      <c r="K67" s="18" t="n">
        <v>1.39421726</v>
      </c>
      <c r="L67" s="20" t="n">
        <v>0.37341133</v>
      </c>
      <c r="M67" s="18" t="n">
        <v>0</v>
      </c>
      <c r="N67" s="20" t="n">
        <v>0</v>
      </c>
      <c r="O67" s="18" t="n">
        <v>0</v>
      </c>
      <c r="P67" s="20" t="n">
        <v>0</v>
      </c>
      <c r="Q67" s="18" t="n">
        <v>14.41465683</v>
      </c>
      <c r="R67" s="20" t="n">
        <v>1.05880577</v>
      </c>
    </row>
    <row r="68" spans="1:18">
      <c r="A68" s="15" t="s">
        <v>628</v>
      </c>
      <c r="B68" s="17" t="n">
        <v>6971</v>
      </c>
      <c r="C68" s="18">
        <f>(5666.0/B68*100)</f>
        <v/>
      </c>
      <c r="D68" s="19" t="n">
        <v>1305</v>
      </c>
      <c r="E68" s="18" t="n">
        <v>73.1253981</v>
      </c>
      <c r="F68" s="20" t="n">
        <v>1.35350655</v>
      </c>
      <c r="G68" s="18" t="n">
        <v>19.30987255</v>
      </c>
      <c r="H68" s="20" t="n">
        <v>1.24054931</v>
      </c>
      <c r="I68" s="18" t="n">
        <v>0</v>
      </c>
      <c r="J68" s="20" t="n">
        <v>0</v>
      </c>
      <c r="K68" s="18" t="n">
        <v>0.55040367</v>
      </c>
      <c r="L68" s="20" t="n">
        <v>0.21210909</v>
      </c>
      <c r="M68" s="18" t="n">
        <v>0</v>
      </c>
      <c r="N68" s="20" t="n">
        <v>0</v>
      </c>
      <c r="O68" s="18" t="n">
        <v>0</v>
      </c>
      <c r="P68" s="20" t="n">
        <v>0</v>
      </c>
      <c r="Q68" s="18" t="n">
        <v>7.01432569</v>
      </c>
      <c r="R68" s="20" t="n">
        <v>0.69061216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(9384.0/B70*100)</f>
        <v/>
      </c>
      <c r="D70" s="19" t="n">
        <v>2699</v>
      </c>
      <c r="E70" s="18" t="n">
        <v>67.85067982</v>
      </c>
      <c r="F70" s="20" t="n">
        <v>0.8245047</v>
      </c>
      <c r="G70" s="18" t="n">
        <v>22.98517726</v>
      </c>
      <c r="H70" s="20" t="n">
        <v>0.71662097</v>
      </c>
      <c r="I70" s="18" t="n">
        <v>0</v>
      </c>
      <c r="J70" s="20" t="n">
        <v>0</v>
      </c>
      <c r="K70" s="18" t="n">
        <v>4.01423588</v>
      </c>
      <c r="L70" s="20" t="n">
        <v>0.36250447</v>
      </c>
      <c r="M70" s="18" t="n">
        <v>0</v>
      </c>
      <c r="N70" s="20" t="n">
        <v>0</v>
      </c>
      <c r="O70" s="18" t="n">
        <v>0</v>
      </c>
      <c r="P70" s="20" t="n">
        <v>0</v>
      </c>
      <c r="Q70" s="18" t="n">
        <v>5.14990703</v>
      </c>
      <c r="R70" s="20" t="n">
        <v>0.41431356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(4751.0/B72*100)</f>
        <v/>
      </c>
      <c r="D72" s="19" t="n">
        <v>1285</v>
      </c>
      <c r="E72" s="18" t="n">
        <v>68.64186723</v>
      </c>
      <c r="F72" s="20" t="n">
        <v>1.90092447</v>
      </c>
      <c r="G72" s="18" t="n">
        <v>27.20689716</v>
      </c>
      <c r="H72" s="20" t="n">
        <v>1.78691502</v>
      </c>
      <c r="I72" s="18" t="n">
        <v>0</v>
      </c>
      <c r="J72" s="20" t="n">
        <v>0</v>
      </c>
      <c r="K72" s="18" t="n">
        <v>0.55883592</v>
      </c>
      <c r="L72" s="20" t="n">
        <v>0.19609798</v>
      </c>
      <c r="M72" s="18" t="n">
        <v>0</v>
      </c>
      <c r="N72" s="20" t="n">
        <v>0</v>
      </c>
      <c r="O72" s="18" t="n">
        <v>0</v>
      </c>
      <c r="P72" s="20" t="n">
        <v>0</v>
      </c>
      <c r="Q72" s="18" t="n">
        <v>3.59239969</v>
      </c>
      <c r="R72" s="20" t="n">
        <v>0.65259664</v>
      </c>
    </row>
    <row r="73" spans="1:18">
      <c r="A73" s="15" t="s">
        <v>633</v>
      </c>
      <c r="B73" s="17" t="n">
        <v>6115</v>
      </c>
      <c r="C73" s="18">
        <f>(4769.0/B73*100)</f>
        <v/>
      </c>
      <c r="D73" s="19" t="n">
        <v>1346</v>
      </c>
      <c r="E73" s="18" t="n">
        <v>63.05694403</v>
      </c>
      <c r="F73" s="20" t="n">
        <v>1.38825966</v>
      </c>
      <c r="G73" s="18" t="n">
        <v>36.16572719</v>
      </c>
      <c r="H73" s="20" t="n">
        <v>1.37095066</v>
      </c>
      <c r="I73" s="18" t="n">
        <v>0</v>
      </c>
      <c r="J73" s="20" t="n">
        <v>0</v>
      </c>
      <c r="K73" s="18" t="n">
        <v>0.46724779</v>
      </c>
      <c r="L73" s="20" t="n">
        <v>0.19049364</v>
      </c>
      <c r="M73" s="18" t="n">
        <v>0</v>
      </c>
      <c r="N73" s="20" t="n">
        <v>0</v>
      </c>
      <c r="O73" s="18" t="n">
        <v>0</v>
      </c>
      <c r="P73" s="20" t="n">
        <v>0</v>
      </c>
      <c r="Q73" s="18" t="n">
        <v>0.31008099</v>
      </c>
      <c r="R73" s="20" t="n">
        <v>0.1382633</v>
      </c>
    </row>
    <row r="74" spans="1:18">
      <c r="A74" s="15" t="s">
        <v>634</v>
      </c>
      <c r="B74" s="17" t="n">
        <v>7708</v>
      </c>
      <c r="C74" s="18">
        <f>(6059.0/B74*100)</f>
        <v/>
      </c>
      <c r="D74" s="19" t="n">
        <v>1649</v>
      </c>
      <c r="E74" s="18" t="n">
        <v>32.73393148</v>
      </c>
      <c r="F74" s="20" t="n">
        <v>1.30476183</v>
      </c>
      <c r="G74" s="18" t="n">
        <v>65.30265046</v>
      </c>
      <c r="H74" s="20" t="n">
        <v>1.30773767</v>
      </c>
      <c r="I74" s="18" t="n">
        <v>0</v>
      </c>
      <c r="J74" s="20" t="n">
        <v>0</v>
      </c>
      <c r="K74" s="18" t="n">
        <v>0.33351324</v>
      </c>
      <c r="L74" s="20" t="n">
        <v>0.14015555</v>
      </c>
      <c r="M74" s="18" t="n">
        <v>0</v>
      </c>
      <c r="N74" s="20" t="n">
        <v>0</v>
      </c>
      <c r="O74" s="18" t="n">
        <v>0</v>
      </c>
      <c r="P74" s="20" t="n">
        <v>0</v>
      </c>
      <c r="Q74" s="18" t="n">
        <v>1.62990482</v>
      </c>
      <c r="R74" s="20" t="n">
        <v>0.30162015</v>
      </c>
    </row>
    <row r="75" spans="1:18">
      <c r="A75" s="15" t="s">
        <v>635</v>
      </c>
      <c r="B75" s="17" t="n">
        <v>8249</v>
      </c>
      <c r="C75" s="18">
        <f>(6563.0/B75*100)</f>
        <v/>
      </c>
      <c r="D75" s="19" t="n">
        <v>1686</v>
      </c>
      <c r="E75" s="18" t="n">
        <v>68.36556677</v>
      </c>
      <c r="F75" s="20" t="n">
        <v>1.66988853</v>
      </c>
      <c r="G75" s="18" t="n">
        <v>27.09092978</v>
      </c>
      <c r="H75" s="20" t="n">
        <v>1.45790735</v>
      </c>
      <c r="I75" s="18" t="n">
        <v>0</v>
      </c>
      <c r="J75" s="20" t="n">
        <v>0</v>
      </c>
      <c r="K75" s="18" t="n">
        <v>0</v>
      </c>
      <c r="L75" s="20" t="n">
        <v>0</v>
      </c>
      <c r="M75" s="18" t="n">
        <v>0</v>
      </c>
      <c r="N75" s="20" t="n">
        <v>0</v>
      </c>
      <c r="O75" s="18" t="n">
        <v>0</v>
      </c>
      <c r="P75" s="20" t="n">
        <v>0</v>
      </c>
      <c r="Q75" s="18" t="n">
        <v>4.54350345</v>
      </c>
      <c r="R75" s="20" t="n">
        <v>0.80613376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(4352.0/B77*100)</f>
        <v/>
      </c>
      <c r="D77" s="19" t="n">
        <v>1023</v>
      </c>
      <c r="E77" s="18" t="n">
        <v>62.34514813</v>
      </c>
      <c r="F77" s="20" t="n">
        <v>1.53770638</v>
      </c>
      <c r="G77" s="18" t="n">
        <v>26.20189722</v>
      </c>
      <c r="H77" s="20" t="n">
        <v>1.51419965</v>
      </c>
      <c r="I77" s="18" t="n">
        <v>0</v>
      </c>
      <c r="J77" s="20" t="n">
        <v>0</v>
      </c>
      <c r="K77" s="18" t="n">
        <v>5.1262876</v>
      </c>
      <c r="L77" s="20" t="n">
        <v>0.74546249</v>
      </c>
      <c r="M77" s="18" t="n">
        <v>0</v>
      </c>
      <c r="N77" s="20" t="n">
        <v>0</v>
      </c>
      <c r="O77" s="18" t="n">
        <v>0</v>
      </c>
      <c r="P77" s="20" t="n">
        <v>0</v>
      </c>
      <c r="Q77" s="18" t="n">
        <v>6.32666706</v>
      </c>
      <c r="R77" s="20" t="n">
        <v>0.934524</v>
      </c>
    </row>
    <row r="78" spans="1:18">
      <c r="A78" s="15" t="s">
        <v>638</v>
      </c>
      <c r="B78" s="17" t="n">
        <v>14167</v>
      </c>
      <c r="C78" s="18">
        <f>(11173.0/B78*100)</f>
        <v/>
      </c>
      <c r="D78" s="19" t="n">
        <v>2994</v>
      </c>
      <c r="E78" s="18" t="n">
        <v>70.82298520000001</v>
      </c>
      <c r="F78" s="20" t="n">
        <v>0.88536593</v>
      </c>
      <c r="G78" s="18" t="n">
        <v>23.6895094</v>
      </c>
      <c r="H78" s="20" t="n">
        <v>0.89008275</v>
      </c>
      <c r="I78" s="18" t="n">
        <v>0</v>
      </c>
      <c r="J78" s="20" t="n">
        <v>0</v>
      </c>
      <c r="K78" s="18" t="n">
        <v>1.34869779</v>
      </c>
      <c r="L78" s="20" t="n">
        <v>0.28262056</v>
      </c>
      <c r="M78" s="18" t="n">
        <v>0</v>
      </c>
      <c r="N78" s="20" t="n">
        <v>0</v>
      </c>
      <c r="O78" s="18" t="n">
        <v>0</v>
      </c>
      <c r="P78" s="20" t="n">
        <v>0</v>
      </c>
      <c r="Q78" s="18" t="n">
        <v>4.1388076</v>
      </c>
      <c r="R78" s="20" t="n">
        <v>0.45157609</v>
      </c>
    </row>
    <row r="79" spans="1:18">
      <c r="A79" s="15" t="s">
        <v>639</v>
      </c>
      <c r="B79" s="17" t="n">
        <v>6062</v>
      </c>
      <c r="C79" s="18">
        <f>(4763.0/B79*100)</f>
        <v/>
      </c>
      <c r="D79" s="19" t="n">
        <v>1299</v>
      </c>
      <c r="E79" s="18" t="n">
        <v>72.69016508999999</v>
      </c>
      <c r="F79" s="20" t="n">
        <v>1.45318331</v>
      </c>
      <c r="G79" s="18" t="n">
        <v>18.58219419</v>
      </c>
      <c r="H79" s="20" t="n">
        <v>1.13686782</v>
      </c>
      <c r="I79" s="18" t="n">
        <v>0</v>
      </c>
      <c r="J79" s="20" t="n">
        <v>0</v>
      </c>
      <c r="K79" s="18" t="n">
        <v>1.5734891</v>
      </c>
      <c r="L79" s="20" t="n">
        <v>0.40752487</v>
      </c>
      <c r="M79" s="18" t="n">
        <v>0</v>
      </c>
      <c r="N79" s="20" t="n">
        <v>0</v>
      </c>
      <c r="O79" s="18" t="n">
        <v>0</v>
      </c>
      <c r="P79" s="20" t="n">
        <v>0</v>
      </c>
      <c r="Q79" s="18" t="n">
        <v>7.15415161</v>
      </c>
      <c r="R79" s="20" t="n">
        <v>0.93841393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(25396.0/B82*100)</f>
        <v/>
      </c>
      <c r="D82" s="19" t="n">
        <v>6934</v>
      </c>
      <c r="E82" s="18" t="n">
        <v>66.50398027999999</v>
      </c>
      <c r="F82" s="20" t="n">
        <v>0.93962028</v>
      </c>
      <c r="G82" s="18" t="n">
        <v>30.79774469</v>
      </c>
      <c r="H82" s="20" t="n">
        <v>0.8541437</v>
      </c>
      <c r="I82" s="18" t="n">
        <v>0</v>
      </c>
      <c r="J82" s="20" t="n">
        <v>0</v>
      </c>
      <c r="K82" s="18" t="n">
        <v>0.79857091</v>
      </c>
      <c r="L82" s="20" t="n">
        <v>0.12144826</v>
      </c>
      <c r="M82" s="18" t="n">
        <v>0</v>
      </c>
      <c r="N82" s="20" t="n">
        <v>0</v>
      </c>
      <c r="O82" s="18" t="n">
        <v>0</v>
      </c>
      <c r="P82" s="20" t="n">
        <v>0</v>
      </c>
      <c r="Q82" s="18" t="n">
        <v>1.89970412</v>
      </c>
      <c r="R82" s="20" t="n">
        <v>0.3033681</v>
      </c>
    </row>
    <row r="83" spans="1:18">
      <c r="A83" s="15" t="s">
        <v>643</v>
      </c>
      <c r="B83" s="17" t="n">
        <v>1652</v>
      </c>
      <c r="C83" s="18">
        <f>(1320.0/B83*100)</f>
        <v/>
      </c>
      <c r="D83" s="19" t="n">
        <v>332</v>
      </c>
      <c r="E83" s="18" t="n">
        <v>64.06358084999999</v>
      </c>
      <c r="F83" s="20" t="n">
        <v>2.91169681</v>
      </c>
      <c r="G83" s="18" t="n">
        <v>34.13652233</v>
      </c>
      <c r="H83" s="20" t="n">
        <v>2.90109943</v>
      </c>
      <c r="I83" s="18" t="n">
        <v>0</v>
      </c>
      <c r="J83" s="20" t="n">
        <v>0</v>
      </c>
      <c r="K83" s="18" t="n">
        <v>0</v>
      </c>
      <c r="L83" s="20" t="n">
        <v>0</v>
      </c>
      <c r="M83" s="18" t="n">
        <v>0</v>
      </c>
      <c r="N83" s="20" t="n">
        <v>0</v>
      </c>
      <c r="O83" s="18" t="n">
        <v>0</v>
      </c>
      <c r="P83" s="20" t="n">
        <v>0</v>
      </c>
      <c r="Q83" s="18" t="n">
        <v>1.79989682</v>
      </c>
      <c r="R83" s="20" t="n">
        <v>0.74574789</v>
      </c>
    </row>
    <row r="84" spans="1:18">
      <c r="A84" s="23" t="s">
        <v>644</v>
      </c>
      <c r="B84" s="24" t="n">
        <v>1887</v>
      </c>
      <c r="C84" s="25">
        <f>(1503.0/B84*100)</f>
        <v/>
      </c>
      <c r="D84" s="19" t="n">
        <v>384</v>
      </c>
      <c r="E84" s="18" t="n">
        <v>58.90982462</v>
      </c>
      <c r="F84" s="20" t="n">
        <v>2.61365948</v>
      </c>
      <c r="G84" s="18" t="n">
        <v>38.92312197</v>
      </c>
      <c r="H84" s="20" t="n">
        <v>2.41615768</v>
      </c>
      <c r="I84" s="18" t="n">
        <v>0</v>
      </c>
      <c r="J84" s="20" t="n">
        <v>0</v>
      </c>
      <c r="K84" s="18" t="n">
        <v>0.51510429</v>
      </c>
      <c r="L84" s="20" t="n">
        <v>0.35514336</v>
      </c>
      <c r="M84" s="18" t="n">
        <v>0</v>
      </c>
      <c r="N84" s="20" t="n">
        <v>0</v>
      </c>
      <c r="O84" s="18" t="n">
        <v>0</v>
      </c>
      <c r="P84" s="20" t="n">
        <v>0</v>
      </c>
      <c r="Q84" s="18" t="n">
        <v>1.65194912</v>
      </c>
      <c r="R84" s="20" t="n">
        <v>0.6809380900000001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(11455.0/B7*100)</f>
        <v/>
      </c>
      <c r="D7" s="19" t="n">
        <v>3075</v>
      </c>
      <c r="E7" s="18" t="n">
        <v>36.45329319</v>
      </c>
      <c r="F7" s="20" t="n">
        <v>1.25827011</v>
      </c>
      <c r="G7" s="18" t="n">
        <v>61.31664928</v>
      </c>
      <c r="H7" s="20" t="n">
        <v>1.21344114</v>
      </c>
      <c r="I7" s="18" t="n">
        <v>0</v>
      </c>
      <c r="J7" s="20" t="n">
        <v>0</v>
      </c>
      <c r="K7" s="18" t="n">
        <v>0.79490521</v>
      </c>
      <c r="L7" s="20" t="n">
        <v>0.20379634</v>
      </c>
      <c r="M7" s="18" t="n">
        <v>0</v>
      </c>
      <c r="N7" s="20" t="n">
        <v>0</v>
      </c>
      <c r="O7" s="18" t="n">
        <v>0</v>
      </c>
      <c r="P7" s="20" t="n">
        <v>0</v>
      </c>
      <c r="Q7" s="18" t="n">
        <v>1.43515233</v>
      </c>
      <c r="R7" s="20" t="n">
        <v>0.22847542</v>
      </c>
    </row>
    <row r="8" spans="1:18">
      <c r="A8" s="15" t="s">
        <v>566</v>
      </c>
      <c r="B8" s="17" t="n">
        <v>7007</v>
      </c>
      <c r="C8" s="18">
        <f>(5431.0/B8*100)</f>
        <v/>
      </c>
      <c r="D8" s="19" t="n">
        <v>1576</v>
      </c>
      <c r="E8" s="18" t="n">
        <v>43.13315795</v>
      </c>
      <c r="F8" s="20" t="n">
        <v>1.45083737</v>
      </c>
      <c r="G8" s="18" t="n">
        <v>54.68795981</v>
      </c>
      <c r="H8" s="20" t="n">
        <v>1.46374978</v>
      </c>
      <c r="I8" s="18" t="n">
        <v>0</v>
      </c>
      <c r="J8" s="20" t="n">
        <v>0</v>
      </c>
      <c r="K8" s="18" t="n">
        <v>0.50782052</v>
      </c>
      <c r="L8" s="20" t="n">
        <v>0.18560963</v>
      </c>
      <c r="M8" s="18" t="n">
        <v>0</v>
      </c>
      <c r="N8" s="20" t="n">
        <v>0</v>
      </c>
      <c r="O8" s="18" t="n">
        <v>0</v>
      </c>
      <c r="P8" s="20" t="n">
        <v>0</v>
      </c>
      <c r="Q8" s="18" t="n">
        <v>1.67106172</v>
      </c>
      <c r="R8" s="20" t="n">
        <v>0.39429742</v>
      </c>
    </row>
    <row r="9" spans="1:18">
      <c r="A9" s="15" t="s">
        <v>567</v>
      </c>
      <c r="B9" s="17" t="n">
        <v>9651</v>
      </c>
      <c r="C9" s="18">
        <f>(7662.0/B9*100)</f>
        <v/>
      </c>
      <c r="D9" s="19" t="n">
        <v>1989</v>
      </c>
      <c r="E9" s="18" t="n">
        <v>33.07209658</v>
      </c>
      <c r="F9" s="20" t="n">
        <v>1.19408616</v>
      </c>
      <c r="G9" s="18" t="n">
        <v>64.34827222</v>
      </c>
      <c r="H9" s="20" t="n">
        <v>1.26687043</v>
      </c>
      <c r="I9" s="18" t="n">
        <v>0</v>
      </c>
      <c r="J9" s="20" t="n">
        <v>0</v>
      </c>
      <c r="K9" s="18" t="n">
        <v>0.92523481</v>
      </c>
      <c r="L9" s="20" t="n">
        <v>0.2235185</v>
      </c>
      <c r="M9" s="18" t="n">
        <v>0</v>
      </c>
      <c r="N9" s="20" t="n">
        <v>0</v>
      </c>
      <c r="O9" s="18" t="n">
        <v>0</v>
      </c>
      <c r="P9" s="20" t="n">
        <v>0</v>
      </c>
      <c r="Q9" s="18" t="n">
        <v>1.65439639</v>
      </c>
      <c r="R9" s="20" t="n">
        <v>0.33551961</v>
      </c>
    </row>
    <row r="10" spans="1:18">
      <c r="A10" s="15" t="s">
        <v>568</v>
      </c>
      <c r="B10" s="17" t="n">
        <v>20058</v>
      </c>
      <c r="C10" s="18">
        <f>(15664.0/B10*100)</f>
        <v/>
      </c>
      <c r="D10" s="19" t="n">
        <v>4394</v>
      </c>
      <c r="E10" s="18" t="n">
        <v>31.43191281</v>
      </c>
      <c r="F10" s="20" t="n">
        <v>0.97188805</v>
      </c>
      <c r="G10" s="18" t="n">
        <v>66.51318817000001</v>
      </c>
      <c r="H10" s="20" t="n">
        <v>0.97860384</v>
      </c>
      <c r="I10" s="18" t="n">
        <v>0</v>
      </c>
      <c r="J10" s="20" t="n">
        <v>0</v>
      </c>
      <c r="K10" s="18" t="n">
        <v>1.00242425</v>
      </c>
      <c r="L10" s="20" t="n">
        <v>0.21988845</v>
      </c>
      <c r="M10" s="18" t="n">
        <v>0</v>
      </c>
      <c r="N10" s="20" t="n">
        <v>0</v>
      </c>
      <c r="O10" s="18" t="n">
        <v>0</v>
      </c>
      <c r="P10" s="20" t="n">
        <v>0</v>
      </c>
      <c r="Q10" s="18" t="n">
        <v>1.05247476</v>
      </c>
      <c r="R10" s="20" t="n">
        <v>0.18864267</v>
      </c>
    </row>
    <row r="11" spans="1:18">
      <c r="A11" s="15" t="s">
        <v>569</v>
      </c>
      <c r="B11" s="17" t="n">
        <v>7053</v>
      </c>
      <c r="C11" s="18">
        <f>(5587.0/B11*100)</f>
        <v/>
      </c>
      <c r="D11" s="19" t="n">
        <v>1466</v>
      </c>
      <c r="E11" s="18" t="n">
        <v>45.36065091</v>
      </c>
      <c r="F11" s="20" t="n">
        <v>1.72451183</v>
      </c>
      <c r="G11" s="18" t="n">
        <v>48.03558706</v>
      </c>
      <c r="H11" s="20" t="n">
        <v>1.84520151</v>
      </c>
      <c r="I11" s="18" t="n">
        <v>0</v>
      </c>
      <c r="J11" s="20" t="n">
        <v>0</v>
      </c>
      <c r="K11" s="18" t="n">
        <v>2.18432246</v>
      </c>
      <c r="L11" s="20" t="n">
        <v>0.44159293</v>
      </c>
      <c r="M11" s="18" t="n">
        <v>0</v>
      </c>
      <c r="N11" s="20" t="n">
        <v>0</v>
      </c>
      <c r="O11" s="18" t="n">
        <v>0</v>
      </c>
      <c r="P11" s="20" t="n">
        <v>0</v>
      </c>
      <c r="Q11" s="18" t="n">
        <v>4.41943957</v>
      </c>
      <c r="R11" s="20" t="n">
        <v>0.61640702</v>
      </c>
    </row>
    <row r="12" spans="1:18">
      <c r="A12" s="15" t="s">
        <v>570</v>
      </c>
      <c r="B12" s="17" t="n">
        <v>6894</v>
      </c>
      <c r="C12" s="18">
        <f>(5414.0/B12*100)</f>
        <v/>
      </c>
      <c r="D12" s="19" t="n">
        <v>1480</v>
      </c>
      <c r="E12" s="18" t="n">
        <v>32.29725639</v>
      </c>
      <c r="F12" s="20" t="n">
        <v>1.37124572</v>
      </c>
      <c r="G12" s="18" t="n">
        <v>66.50504058999999</v>
      </c>
      <c r="H12" s="20" t="n">
        <v>1.39136054</v>
      </c>
      <c r="I12" s="18" t="n">
        <v>0</v>
      </c>
      <c r="J12" s="20" t="n">
        <v>0</v>
      </c>
      <c r="K12" s="18" t="n">
        <v>0.17181702</v>
      </c>
      <c r="L12" s="20" t="n">
        <v>0.09051083</v>
      </c>
      <c r="M12" s="18" t="n">
        <v>0</v>
      </c>
      <c r="N12" s="20" t="n">
        <v>0</v>
      </c>
      <c r="O12" s="18" t="n">
        <v>0</v>
      </c>
      <c r="P12" s="20" t="n">
        <v>0</v>
      </c>
      <c r="Q12" s="18" t="n">
        <v>1.02588601</v>
      </c>
      <c r="R12" s="20" t="n">
        <v>0.27301521</v>
      </c>
    </row>
    <row r="13" spans="1:18">
      <c r="A13" s="15" t="s">
        <v>571</v>
      </c>
      <c r="B13" s="17" t="n">
        <v>7161</v>
      </c>
      <c r="C13" s="18">
        <f>(5655.0/B13*100)</f>
        <v/>
      </c>
      <c r="D13" s="19" t="n">
        <v>1506</v>
      </c>
      <c r="E13" s="18" t="n">
        <v>36.6697666</v>
      </c>
      <c r="F13" s="20" t="n">
        <v>1.4685931</v>
      </c>
      <c r="G13" s="18" t="n">
        <v>61.01769203</v>
      </c>
      <c r="H13" s="20" t="n">
        <v>1.55901739</v>
      </c>
      <c r="I13" s="18" t="n">
        <v>0</v>
      </c>
      <c r="J13" s="20" t="n">
        <v>0</v>
      </c>
      <c r="K13" s="18" t="n">
        <v>0.74151942</v>
      </c>
      <c r="L13" s="20" t="n">
        <v>0.26383177</v>
      </c>
      <c r="M13" s="18" t="n">
        <v>0</v>
      </c>
      <c r="N13" s="20" t="n">
        <v>0</v>
      </c>
      <c r="O13" s="18" t="n">
        <v>0</v>
      </c>
      <c r="P13" s="20" t="n">
        <v>0</v>
      </c>
      <c r="Q13" s="18" t="n">
        <v>1.57102196</v>
      </c>
      <c r="R13" s="20" t="n">
        <v>0.35128947</v>
      </c>
    </row>
    <row r="14" spans="1:18">
      <c r="A14" s="15" t="s">
        <v>572</v>
      </c>
      <c r="B14" s="17" t="n">
        <v>5587</v>
      </c>
      <c r="C14" s="18">
        <f>(4299.0/B14*100)</f>
        <v/>
      </c>
      <c r="D14" s="19" t="n">
        <v>1288</v>
      </c>
      <c r="E14" s="18" t="n">
        <v>23.5543788</v>
      </c>
      <c r="F14" s="20" t="n">
        <v>1.4731865</v>
      </c>
      <c r="G14" s="18" t="n">
        <v>75.06793714</v>
      </c>
      <c r="H14" s="20" t="n">
        <v>1.48615478</v>
      </c>
      <c r="I14" s="18" t="n">
        <v>0</v>
      </c>
      <c r="J14" s="20" t="n">
        <v>0</v>
      </c>
      <c r="K14" s="18" t="n">
        <v>0.9461268900000001</v>
      </c>
      <c r="L14" s="20" t="n">
        <v>0.31699222</v>
      </c>
      <c r="M14" s="18" t="n">
        <v>0</v>
      </c>
      <c r="N14" s="20" t="n">
        <v>0</v>
      </c>
      <c r="O14" s="18" t="n">
        <v>0</v>
      </c>
      <c r="P14" s="20" t="n">
        <v>0</v>
      </c>
      <c r="Q14" s="18" t="n">
        <v>0.43155716</v>
      </c>
      <c r="R14" s="20" t="n">
        <v>0.10592385</v>
      </c>
    </row>
    <row r="15" spans="1:18">
      <c r="A15" s="15" t="s">
        <v>573</v>
      </c>
      <c r="B15" s="17" t="n">
        <v>5882</v>
      </c>
      <c r="C15" s="18">
        <f>(4587.0/B15*100)</f>
        <v/>
      </c>
      <c r="D15" s="19" t="n">
        <v>1295</v>
      </c>
      <c r="E15" s="18" t="n">
        <v>27.4373973</v>
      </c>
      <c r="F15" s="20" t="n">
        <v>1.27271329</v>
      </c>
      <c r="G15" s="18" t="n">
        <v>71.41620544</v>
      </c>
      <c r="H15" s="20" t="n">
        <v>1.29505904</v>
      </c>
      <c r="I15" s="18" t="n">
        <v>0</v>
      </c>
      <c r="J15" s="20" t="n">
        <v>0</v>
      </c>
      <c r="K15" s="18" t="n">
        <v>0.14969869</v>
      </c>
      <c r="L15" s="20" t="n">
        <v>0.10647881</v>
      </c>
      <c r="M15" s="18" t="n">
        <v>0</v>
      </c>
      <c r="N15" s="20" t="n">
        <v>0</v>
      </c>
      <c r="O15" s="18" t="n">
        <v>0</v>
      </c>
      <c r="P15" s="20" t="n">
        <v>0</v>
      </c>
      <c r="Q15" s="18" t="n">
        <v>0.99669857</v>
      </c>
      <c r="R15" s="20" t="n">
        <v>0.3012244</v>
      </c>
    </row>
    <row r="16" spans="1:18">
      <c r="A16" s="15" t="s">
        <v>574</v>
      </c>
      <c r="B16" s="17" t="n">
        <v>6108</v>
      </c>
      <c r="C16" s="18">
        <f>(4785.0/B16*100)</f>
        <v/>
      </c>
      <c r="D16" s="19" t="n">
        <v>1323</v>
      </c>
      <c r="E16" s="18" t="n">
        <v>36.28565146</v>
      </c>
      <c r="F16" s="20" t="n">
        <v>1.16297794</v>
      </c>
      <c r="G16" s="18" t="n">
        <v>59.83201656</v>
      </c>
      <c r="H16" s="20" t="n">
        <v>1.31080859</v>
      </c>
      <c r="I16" s="18" t="n">
        <v>0</v>
      </c>
      <c r="J16" s="20" t="n">
        <v>0</v>
      </c>
      <c r="K16" s="18" t="n">
        <v>1.8062722</v>
      </c>
      <c r="L16" s="20" t="n">
        <v>0.36306332</v>
      </c>
      <c r="M16" s="18" t="n">
        <v>0</v>
      </c>
      <c r="N16" s="20" t="n">
        <v>0</v>
      </c>
      <c r="O16" s="18" t="n">
        <v>0</v>
      </c>
      <c r="P16" s="20" t="n">
        <v>0</v>
      </c>
      <c r="Q16" s="18" t="n">
        <v>2.07605979</v>
      </c>
      <c r="R16" s="20" t="n">
        <v>0.37936224</v>
      </c>
    </row>
    <row r="17" spans="1:18">
      <c r="A17" s="15" t="s">
        <v>575</v>
      </c>
      <c r="B17" s="17" t="n">
        <v>6504</v>
      </c>
      <c r="C17" s="18">
        <f>(5115.0/B17*100)</f>
        <v/>
      </c>
      <c r="D17" s="19" t="n">
        <v>1389</v>
      </c>
      <c r="E17" s="18" t="n">
        <v>35.24284327</v>
      </c>
      <c r="F17" s="20" t="n">
        <v>1.39080075</v>
      </c>
      <c r="G17" s="18" t="n">
        <v>63.57431793</v>
      </c>
      <c r="H17" s="20" t="n">
        <v>1.38698121</v>
      </c>
      <c r="I17" s="18" t="n">
        <v>0</v>
      </c>
      <c r="J17" s="20" t="n">
        <v>0</v>
      </c>
      <c r="K17" s="18" t="n">
        <v>0.4229351</v>
      </c>
      <c r="L17" s="20" t="n">
        <v>0.16417516</v>
      </c>
      <c r="M17" s="18" t="n">
        <v>0</v>
      </c>
      <c r="N17" s="20" t="n">
        <v>0</v>
      </c>
      <c r="O17" s="18" t="n">
        <v>0</v>
      </c>
      <c r="P17" s="20" t="n">
        <v>0</v>
      </c>
      <c r="Q17" s="18" t="n">
        <v>0.7599037</v>
      </c>
      <c r="R17" s="20" t="n">
        <v>0.22466572</v>
      </c>
    </row>
    <row r="18" spans="1:18">
      <c r="A18" s="15" t="s">
        <v>576</v>
      </c>
      <c r="B18" s="17" t="n">
        <v>5532</v>
      </c>
      <c r="C18" s="18">
        <f>(4310.0/B18*100)</f>
        <v/>
      </c>
      <c r="D18" s="19" t="n">
        <v>1222</v>
      </c>
      <c r="E18" s="18" t="n">
        <v>42.66011519</v>
      </c>
      <c r="F18" s="20" t="n">
        <v>1.59119657</v>
      </c>
      <c r="G18" s="18" t="n">
        <v>53.41283232</v>
      </c>
      <c r="H18" s="20" t="n">
        <v>1.57861151</v>
      </c>
      <c r="I18" s="18" t="n">
        <v>0</v>
      </c>
      <c r="J18" s="20" t="n">
        <v>0</v>
      </c>
      <c r="K18" s="18" t="n">
        <v>1.06232126</v>
      </c>
      <c r="L18" s="20" t="n">
        <v>0.31086446</v>
      </c>
      <c r="M18" s="18" t="n">
        <v>0</v>
      </c>
      <c r="N18" s="20" t="n">
        <v>0</v>
      </c>
      <c r="O18" s="18" t="n">
        <v>0</v>
      </c>
      <c r="P18" s="20" t="n">
        <v>0</v>
      </c>
      <c r="Q18" s="18" t="n">
        <v>2.86473123</v>
      </c>
      <c r="R18" s="20" t="n">
        <v>0.60405678</v>
      </c>
    </row>
    <row r="19" spans="1:18">
      <c r="A19" s="15" t="s">
        <v>577</v>
      </c>
      <c r="B19" s="17" t="n">
        <v>5658</v>
      </c>
      <c r="C19" s="18">
        <f>(4438.0/B19*100)</f>
        <v/>
      </c>
      <c r="D19" s="19" t="n">
        <v>1220</v>
      </c>
      <c r="E19" s="18" t="n">
        <v>39.61128572</v>
      </c>
      <c r="F19" s="20" t="n">
        <v>1.42106594</v>
      </c>
      <c r="G19" s="18" t="n">
        <v>57.92789017</v>
      </c>
      <c r="H19" s="20" t="n">
        <v>1.45297033</v>
      </c>
      <c r="I19" s="18" t="n">
        <v>0</v>
      </c>
      <c r="J19" s="20" t="n">
        <v>0</v>
      </c>
      <c r="K19" s="18" t="n">
        <v>0.55174895</v>
      </c>
      <c r="L19" s="20" t="n">
        <v>0.2499639</v>
      </c>
      <c r="M19" s="18" t="n">
        <v>0</v>
      </c>
      <c r="N19" s="20" t="n">
        <v>0</v>
      </c>
      <c r="O19" s="18" t="n">
        <v>0</v>
      </c>
      <c r="P19" s="20" t="n">
        <v>0</v>
      </c>
      <c r="Q19" s="18" t="n">
        <v>1.90907516</v>
      </c>
      <c r="R19" s="20" t="n">
        <v>0.59258662</v>
      </c>
    </row>
    <row r="20" spans="1:18">
      <c r="A20" s="15" t="s">
        <v>578</v>
      </c>
      <c r="B20" s="17" t="n">
        <v>3371</v>
      </c>
      <c r="C20" s="18">
        <f>(2643.0/B20*100)</f>
        <v/>
      </c>
      <c r="D20" s="19" t="n">
        <v>728</v>
      </c>
      <c r="E20" s="18" t="n">
        <v>37.49481557</v>
      </c>
      <c r="F20" s="20" t="n">
        <v>1.92898336</v>
      </c>
      <c r="G20" s="18" t="n">
        <v>58.71591212</v>
      </c>
      <c r="H20" s="20" t="n">
        <v>1.95351069</v>
      </c>
      <c r="I20" s="18" t="n">
        <v>0</v>
      </c>
      <c r="J20" s="20" t="n">
        <v>0</v>
      </c>
      <c r="K20" s="18" t="n">
        <v>1.47114669</v>
      </c>
      <c r="L20" s="20" t="n">
        <v>0.52176857</v>
      </c>
      <c r="M20" s="18" t="n">
        <v>0</v>
      </c>
      <c r="N20" s="20" t="n">
        <v>0</v>
      </c>
      <c r="O20" s="18" t="n">
        <v>0</v>
      </c>
      <c r="P20" s="20" t="n">
        <v>0</v>
      </c>
      <c r="Q20" s="18" t="n">
        <v>2.31812561</v>
      </c>
      <c r="R20" s="20" t="n">
        <v>0.48767766</v>
      </c>
    </row>
    <row r="21" spans="1:18">
      <c r="A21" s="15" t="s">
        <v>579</v>
      </c>
      <c r="B21" s="17" t="n">
        <v>5741</v>
      </c>
      <c r="C21" s="18">
        <f>(4469.0/B21*100)</f>
        <v/>
      </c>
      <c r="D21" s="19" t="n">
        <v>1272</v>
      </c>
      <c r="E21" s="18" t="n">
        <v>34.44679764</v>
      </c>
      <c r="F21" s="20" t="n">
        <v>1.44802875</v>
      </c>
      <c r="G21" s="18" t="n">
        <v>64.54585517</v>
      </c>
      <c r="H21" s="20" t="n">
        <v>1.4867716</v>
      </c>
      <c r="I21" s="18" t="n">
        <v>0</v>
      </c>
      <c r="J21" s="20" t="n">
        <v>0</v>
      </c>
      <c r="K21" s="18" t="n">
        <v>0.50716269</v>
      </c>
      <c r="L21" s="20" t="n">
        <v>0.23416874</v>
      </c>
      <c r="M21" s="18" t="n">
        <v>0</v>
      </c>
      <c r="N21" s="20" t="n">
        <v>0</v>
      </c>
      <c r="O21" s="18" t="n">
        <v>0</v>
      </c>
      <c r="P21" s="20" t="n">
        <v>0</v>
      </c>
      <c r="Q21" s="18" t="n">
        <v>0.5001845</v>
      </c>
      <c r="R21" s="20" t="n">
        <v>0.2194952</v>
      </c>
    </row>
    <row r="22" spans="1:18">
      <c r="A22" s="15" t="s">
        <v>580</v>
      </c>
      <c r="B22" s="17" t="n">
        <v>6598</v>
      </c>
      <c r="C22" s="18">
        <f>(5296.0/B22*100)</f>
        <v/>
      </c>
      <c r="D22" s="19" t="n">
        <v>1302</v>
      </c>
      <c r="E22" s="18" t="n">
        <v>46.60600171</v>
      </c>
      <c r="F22" s="20" t="n">
        <v>1.50432292</v>
      </c>
      <c r="G22" s="18" t="n">
        <v>48.54975001</v>
      </c>
      <c r="H22" s="20" t="n">
        <v>1.6670741</v>
      </c>
      <c r="I22" s="18" t="n">
        <v>0</v>
      </c>
      <c r="J22" s="20" t="n">
        <v>0</v>
      </c>
      <c r="K22" s="18" t="n">
        <v>1.68088444</v>
      </c>
      <c r="L22" s="20" t="n">
        <v>0.47994266</v>
      </c>
      <c r="M22" s="18" t="n">
        <v>0</v>
      </c>
      <c r="N22" s="20" t="n">
        <v>0</v>
      </c>
      <c r="O22" s="18" t="n">
        <v>0</v>
      </c>
      <c r="P22" s="20" t="n">
        <v>0</v>
      </c>
      <c r="Q22" s="18" t="n">
        <v>3.16336384</v>
      </c>
      <c r="R22" s="20" t="n">
        <v>0.59375428</v>
      </c>
    </row>
    <row r="23" spans="1:18">
      <c r="A23" s="15" t="s">
        <v>581</v>
      </c>
      <c r="B23" s="17" t="n">
        <v>11583</v>
      </c>
      <c r="C23" s="18">
        <f>(9085.0/B23*100)</f>
        <v/>
      </c>
      <c r="D23" s="19" t="n">
        <v>2498</v>
      </c>
      <c r="E23" s="18" t="n">
        <v>39.0751155</v>
      </c>
      <c r="F23" s="20" t="n">
        <v>1.66966954</v>
      </c>
      <c r="G23" s="18" t="n">
        <v>57.79829212</v>
      </c>
      <c r="H23" s="20" t="n">
        <v>1.67813797</v>
      </c>
      <c r="I23" s="18" t="n">
        <v>0</v>
      </c>
      <c r="J23" s="20" t="n">
        <v>0</v>
      </c>
      <c r="K23" s="18" t="n">
        <v>1.38933045</v>
      </c>
      <c r="L23" s="20" t="n">
        <v>0.33372415</v>
      </c>
      <c r="M23" s="18" t="n">
        <v>0</v>
      </c>
      <c r="N23" s="20" t="n">
        <v>0</v>
      </c>
      <c r="O23" s="18" t="n">
        <v>0</v>
      </c>
      <c r="P23" s="20" t="n">
        <v>0</v>
      </c>
      <c r="Q23" s="18" t="n">
        <v>1.73726193</v>
      </c>
      <c r="R23" s="20" t="n">
        <v>0.49036195</v>
      </c>
    </row>
    <row r="24" spans="1:18">
      <c r="A24" s="15" t="s">
        <v>582</v>
      </c>
      <c r="B24" s="17" t="n">
        <v>6647</v>
      </c>
      <c r="C24" s="18">
        <f>(5215.0/B24*100)</f>
        <v/>
      </c>
      <c r="D24" s="19" t="n">
        <v>1432</v>
      </c>
      <c r="E24" s="18" t="n">
        <v>30.97476576</v>
      </c>
      <c r="F24" s="20" t="n">
        <v>1.58729186</v>
      </c>
      <c r="G24" s="18" t="n">
        <v>68.40657677999999</v>
      </c>
      <c r="H24" s="20" t="n">
        <v>1.61146794</v>
      </c>
      <c r="I24" s="18" t="n">
        <v>0</v>
      </c>
      <c r="J24" s="20" t="n">
        <v>0</v>
      </c>
      <c r="K24" s="18" t="n">
        <v>0.26760731</v>
      </c>
      <c r="L24" s="20" t="n">
        <v>0.13545991</v>
      </c>
      <c r="M24" s="18" t="n">
        <v>0</v>
      </c>
      <c r="N24" s="20" t="n">
        <v>0</v>
      </c>
      <c r="O24" s="18" t="n">
        <v>0</v>
      </c>
      <c r="P24" s="20" t="n">
        <v>0</v>
      </c>
      <c r="Q24" s="18" t="n">
        <v>0.35105015</v>
      </c>
      <c r="R24" s="20" t="n">
        <v>0.12938488</v>
      </c>
    </row>
    <row r="25" spans="1:18">
      <c r="A25" s="15" t="s">
        <v>583</v>
      </c>
      <c r="B25" s="17" t="n">
        <v>5581</v>
      </c>
      <c r="C25" s="18">
        <f>(4321.0/B25*100)</f>
        <v/>
      </c>
      <c r="D25" s="19" t="n">
        <v>1260</v>
      </c>
      <c r="E25" s="18" t="n">
        <v>36.0838685</v>
      </c>
      <c r="F25" s="20" t="n">
        <v>1.47432582</v>
      </c>
      <c r="G25" s="18" t="n">
        <v>63.01476651</v>
      </c>
      <c r="H25" s="20" t="n">
        <v>1.51290415</v>
      </c>
      <c r="I25" s="18" t="n">
        <v>0</v>
      </c>
      <c r="J25" s="20" t="n">
        <v>0</v>
      </c>
      <c r="K25" s="18" t="n">
        <v>0.29897208</v>
      </c>
      <c r="L25" s="20" t="n">
        <v>0.15166941</v>
      </c>
      <c r="M25" s="18" t="n">
        <v>0</v>
      </c>
      <c r="N25" s="20" t="n">
        <v>0</v>
      </c>
      <c r="O25" s="18" t="n">
        <v>0</v>
      </c>
      <c r="P25" s="20" t="n">
        <v>0</v>
      </c>
      <c r="Q25" s="18" t="n">
        <v>0.6023929</v>
      </c>
      <c r="R25" s="20" t="n">
        <v>0.21429543</v>
      </c>
    </row>
    <row r="26" spans="1:18">
      <c r="A26" s="15" t="s">
        <v>584</v>
      </c>
      <c r="B26" s="17" t="n">
        <v>4869</v>
      </c>
      <c r="C26" s="18">
        <f>(3787.0/B26*100)</f>
        <v/>
      </c>
      <c r="D26" s="19" t="n">
        <v>1082</v>
      </c>
      <c r="E26" s="18" t="n">
        <v>36.62447711</v>
      </c>
      <c r="F26" s="20" t="n">
        <v>1.68727401</v>
      </c>
      <c r="G26" s="18" t="n">
        <v>62.39186239</v>
      </c>
      <c r="H26" s="20" t="n">
        <v>1.70823317</v>
      </c>
      <c r="I26" s="18" t="n">
        <v>0</v>
      </c>
      <c r="J26" s="20" t="n">
        <v>0</v>
      </c>
      <c r="K26" s="18" t="n">
        <v>0.50695644</v>
      </c>
      <c r="L26" s="20" t="n">
        <v>0.28448597</v>
      </c>
      <c r="M26" s="18" t="n">
        <v>0</v>
      </c>
      <c r="N26" s="20" t="n">
        <v>0</v>
      </c>
      <c r="O26" s="18" t="n">
        <v>0</v>
      </c>
      <c r="P26" s="20" t="n">
        <v>0</v>
      </c>
      <c r="Q26" s="18" t="n">
        <v>0.47670407</v>
      </c>
      <c r="R26" s="20" t="n">
        <v>0.2323148</v>
      </c>
    </row>
    <row r="27" spans="1:18">
      <c r="A27" s="15" t="s">
        <v>585</v>
      </c>
      <c r="B27" s="17" t="n">
        <v>5299</v>
      </c>
      <c r="C27" s="18">
        <f>(4175.0/B27*100)</f>
        <v/>
      </c>
      <c r="D27" s="19" t="n">
        <v>1124</v>
      </c>
      <c r="E27" s="18" t="n">
        <v>39.54840412</v>
      </c>
      <c r="F27" s="20" t="n">
        <v>1.42027179</v>
      </c>
      <c r="G27" s="18" t="n">
        <v>58.91693147</v>
      </c>
      <c r="H27" s="20" t="n">
        <v>1.44907064</v>
      </c>
      <c r="I27" s="18" t="n">
        <v>0</v>
      </c>
      <c r="J27" s="20" t="n">
        <v>0</v>
      </c>
      <c r="K27" s="18" t="n">
        <v>0.53685231</v>
      </c>
      <c r="L27" s="20" t="n">
        <v>0.1787434</v>
      </c>
      <c r="M27" s="18" t="n">
        <v>0</v>
      </c>
      <c r="N27" s="20" t="n">
        <v>0</v>
      </c>
      <c r="O27" s="18" t="n">
        <v>0</v>
      </c>
      <c r="P27" s="20" t="n">
        <v>0</v>
      </c>
      <c r="Q27" s="18" t="n">
        <v>0.9978121</v>
      </c>
      <c r="R27" s="20" t="n">
        <v>0.27423519</v>
      </c>
    </row>
    <row r="28" spans="1:18">
      <c r="A28" s="15" t="s">
        <v>586</v>
      </c>
      <c r="B28" s="17" t="n">
        <v>7568</v>
      </c>
      <c r="C28" s="18">
        <f>(5999.0/B28*100)</f>
        <v/>
      </c>
      <c r="D28" s="19" t="n">
        <v>1569</v>
      </c>
      <c r="E28" s="18" t="n">
        <v>60.36250345</v>
      </c>
      <c r="F28" s="20" t="n">
        <v>1.38862588</v>
      </c>
      <c r="G28" s="18" t="n">
        <v>35.10107867</v>
      </c>
      <c r="H28" s="20" t="n">
        <v>1.36311207</v>
      </c>
      <c r="I28" s="18" t="n">
        <v>0</v>
      </c>
      <c r="J28" s="20" t="n">
        <v>0</v>
      </c>
      <c r="K28" s="18" t="n">
        <v>1.22319005</v>
      </c>
      <c r="L28" s="20" t="n">
        <v>0.48141041</v>
      </c>
      <c r="M28" s="18" t="n">
        <v>0</v>
      </c>
      <c r="N28" s="20" t="n">
        <v>0</v>
      </c>
      <c r="O28" s="18" t="n">
        <v>0</v>
      </c>
      <c r="P28" s="20" t="n">
        <v>0</v>
      </c>
      <c r="Q28" s="18" t="n">
        <v>3.31322783</v>
      </c>
      <c r="R28" s="20" t="n">
        <v>0.5925236</v>
      </c>
    </row>
    <row r="29" spans="1:18">
      <c r="A29" s="15" t="s">
        <v>587</v>
      </c>
      <c r="B29" s="17" t="n">
        <v>5385</v>
      </c>
      <c r="C29" s="18">
        <f>(4242.0/B29*100)</f>
        <v/>
      </c>
      <c r="D29" s="19" t="n">
        <v>1143</v>
      </c>
      <c r="E29" s="18" t="n">
        <v>34.51390067</v>
      </c>
      <c r="F29" s="20" t="n">
        <v>1.8085782</v>
      </c>
      <c r="G29" s="18" t="n">
        <v>65.02310812</v>
      </c>
      <c r="H29" s="20" t="n">
        <v>1.80880964</v>
      </c>
      <c r="I29" s="18" t="n">
        <v>0</v>
      </c>
      <c r="J29" s="20" t="n">
        <v>0</v>
      </c>
      <c r="K29" s="18" t="n">
        <v>0.15467401</v>
      </c>
      <c r="L29" s="20" t="n">
        <v>0.1255475</v>
      </c>
      <c r="M29" s="18" t="n">
        <v>0</v>
      </c>
      <c r="N29" s="20" t="n">
        <v>0</v>
      </c>
      <c r="O29" s="18" t="n">
        <v>0</v>
      </c>
      <c r="P29" s="20" t="n">
        <v>0</v>
      </c>
      <c r="Q29" s="18" t="n">
        <v>0.3083172</v>
      </c>
      <c r="R29" s="20" t="n">
        <v>0.16237949</v>
      </c>
    </row>
    <row r="30" spans="1:18">
      <c r="A30" s="15" t="s">
        <v>588</v>
      </c>
      <c r="B30" s="17" t="n">
        <v>4520</v>
      </c>
      <c r="C30" s="18">
        <f>(3567.0/B30*100)</f>
        <v/>
      </c>
      <c r="D30" s="19" t="n">
        <v>953</v>
      </c>
      <c r="E30" s="18" t="n">
        <v>36.43264834</v>
      </c>
      <c r="F30" s="20" t="n">
        <v>1.74057196</v>
      </c>
      <c r="G30" s="18" t="n">
        <v>59.80421431</v>
      </c>
      <c r="H30" s="20" t="n">
        <v>2.03807149</v>
      </c>
      <c r="I30" s="18" t="n">
        <v>0</v>
      </c>
      <c r="J30" s="20" t="n">
        <v>0</v>
      </c>
      <c r="K30" s="18" t="n">
        <v>1.03060702</v>
      </c>
      <c r="L30" s="20" t="n">
        <v>0.35657159</v>
      </c>
      <c r="M30" s="18" t="n">
        <v>0</v>
      </c>
      <c r="N30" s="20" t="n">
        <v>0</v>
      </c>
      <c r="O30" s="18" t="n">
        <v>0</v>
      </c>
      <c r="P30" s="20" t="n">
        <v>0</v>
      </c>
      <c r="Q30" s="18" t="n">
        <v>2.73253033</v>
      </c>
      <c r="R30" s="20" t="n">
        <v>0.7088010300000001</v>
      </c>
    </row>
    <row r="31" spans="1:18">
      <c r="A31" s="15" t="s">
        <v>589</v>
      </c>
      <c r="B31" s="17" t="n">
        <v>5456</v>
      </c>
      <c r="C31" s="18">
        <f>(4247.0/B31*100)</f>
        <v/>
      </c>
      <c r="D31" s="19" t="n">
        <v>1209</v>
      </c>
      <c r="E31" s="18" t="n">
        <v>31.92414104</v>
      </c>
      <c r="F31" s="20" t="n">
        <v>1.36762241</v>
      </c>
      <c r="G31" s="18" t="n">
        <v>64.15603235</v>
      </c>
      <c r="H31" s="20" t="n">
        <v>1.43078871</v>
      </c>
      <c r="I31" s="18" t="n">
        <v>0</v>
      </c>
      <c r="J31" s="20" t="n">
        <v>0</v>
      </c>
      <c r="K31" s="18" t="n">
        <v>1.46211174</v>
      </c>
      <c r="L31" s="20" t="n">
        <v>0.36294808</v>
      </c>
      <c r="M31" s="18" t="n">
        <v>0</v>
      </c>
      <c r="N31" s="20" t="n">
        <v>0</v>
      </c>
      <c r="O31" s="18" t="n">
        <v>0</v>
      </c>
      <c r="P31" s="20" t="n">
        <v>0</v>
      </c>
      <c r="Q31" s="18" t="n">
        <v>2.45771487</v>
      </c>
      <c r="R31" s="20" t="n">
        <v>0.46537276</v>
      </c>
    </row>
    <row r="32" spans="1:18">
      <c r="A32" s="15" t="s">
        <v>590</v>
      </c>
      <c r="B32" s="17" t="n">
        <v>4478</v>
      </c>
      <c r="C32" s="18">
        <f>(3468.0/B32*100)</f>
        <v/>
      </c>
      <c r="D32" s="19" t="n">
        <v>1010</v>
      </c>
      <c r="E32" s="18" t="n">
        <v>33.01852106</v>
      </c>
      <c r="F32" s="20" t="n">
        <v>1.59877348</v>
      </c>
      <c r="G32" s="18" t="n">
        <v>66.56204628</v>
      </c>
      <c r="H32" s="20" t="n">
        <v>1.61167061</v>
      </c>
      <c r="I32" s="18" t="n">
        <v>0</v>
      </c>
      <c r="J32" s="20" t="n">
        <v>0</v>
      </c>
      <c r="K32" s="18" t="n">
        <v>0.22528037</v>
      </c>
      <c r="L32" s="20" t="n">
        <v>0.16386408</v>
      </c>
      <c r="M32" s="18" t="n">
        <v>0</v>
      </c>
      <c r="N32" s="20" t="n">
        <v>0</v>
      </c>
      <c r="O32" s="18" t="n">
        <v>0</v>
      </c>
      <c r="P32" s="20" t="n">
        <v>0</v>
      </c>
      <c r="Q32" s="18" t="n">
        <v>0.19415229</v>
      </c>
      <c r="R32" s="20" t="n">
        <v>0.14453353</v>
      </c>
    </row>
    <row r="33" spans="1:18">
      <c r="A33" s="15" t="s">
        <v>591</v>
      </c>
      <c r="B33" s="17" t="n">
        <v>7325</v>
      </c>
      <c r="C33" s="18">
        <f>(5752.0/B33*100)</f>
        <v/>
      </c>
      <c r="D33" s="19" t="n">
        <v>1573</v>
      </c>
      <c r="E33" s="18" t="n">
        <v>33.99192056</v>
      </c>
      <c r="F33" s="20" t="n">
        <v>1.43374356</v>
      </c>
      <c r="G33" s="18" t="n">
        <v>64.60358432</v>
      </c>
      <c r="H33" s="20" t="n">
        <v>1.52114815</v>
      </c>
      <c r="I33" s="18" t="n">
        <v>0</v>
      </c>
      <c r="J33" s="20" t="n">
        <v>0</v>
      </c>
      <c r="K33" s="18" t="n">
        <v>0.74499662</v>
      </c>
      <c r="L33" s="20" t="n">
        <v>0.2459213</v>
      </c>
      <c r="M33" s="18" t="n">
        <v>0</v>
      </c>
      <c r="N33" s="20" t="n">
        <v>0</v>
      </c>
      <c r="O33" s="18" t="n">
        <v>0</v>
      </c>
      <c r="P33" s="20" t="n">
        <v>0</v>
      </c>
      <c r="Q33" s="18" t="n">
        <v>0.6594985</v>
      </c>
      <c r="R33" s="20" t="n">
        <v>0.25342991</v>
      </c>
    </row>
    <row r="34" spans="1:18">
      <c r="A34" s="15" t="s">
        <v>592</v>
      </c>
      <c r="B34" s="17" t="n">
        <v>6350</v>
      </c>
      <c r="C34" s="18">
        <f>(5049.0/B34*100)</f>
        <v/>
      </c>
      <c r="D34" s="19" t="n">
        <v>1301</v>
      </c>
      <c r="E34" s="18" t="n">
        <v>43.19223811</v>
      </c>
      <c r="F34" s="20" t="n">
        <v>1.60329225</v>
      </c>
      <c r="G34" s="18" t="n">
        <v>52.87273636</v>
      </c>
      <c r="H34" s="20" t="n">
        <v>1.68752455</v>
      </c>
      <c r="I34" s="18" t="n">
        <v>0</v>
      </c>
      <c r="J34" s="20" t="n">
        <v>0</v>
      </c>
      <c r="K34" s="18" t="n">
        <v>0.7622445799999999</v>
      </c>
      <c r="L34" s="20" t="n">
        <v>0.28414545</v>
      </c>
      <c r="M34" s="18" t="n">
        <v>0</v>
      </c>
      <c r="N34" s="20" t="n">
        <v>0</v>
      </c>
      <c r="O34" s="18" t="n">
        <v>0</v>
      </c>
      <c r="P34" s="20" t="n">
        <v>0</v>
      </c>
      <c r="Q34" s="18" t="n">
        <v>3.17278094</v>
      </c>
      <c r="R34" s="20" t="n">
        <v>0.55926253</v>
      </c>
    </row>
    <row r="35" spans="1:18">
      <c r="A35" s="15" t="s">
        <v>593</v>
      </c>
      <c r="B35" s="17" t="n">
        <v>6406</v>
      </c>
      <c r="C35" s="18">
        <f>(5061.0/B35*100)</f>
        <v/>
      </c>
      <c r="D35" s="19" t="n">
        <v>1345</v>
      </c>
      <c r="E35" s="18" t="n">
        <v>29.27383899</v>
      </c>
      <c r="F35" s="20" t="n">
        <v>1.74550425</v>
      </c>
      <c r="G35" s="18" t="n">
        <v>69.62059976</v>
      </c>
      <c r="H35" s="20" t="n">
        <v>1.82429567</v>
      </c>
      <c r="I35" s="18" t="n">
        <v>0</v>
      </c>
      <c r="J35" s="20" t="n">
        <v>0</v>
      </c>
      <c r="K35" s="18" t="n">
        <v>0.13178737</v>
      </c>
      <c r="L35" s="20" t="n">
        <v>0.07997195999999999</v>
      </c>
      <c r="M35" s="18" t="n">
        <v>0</v>
      </c>
      <c r="N35" s="20" t="n">
        <v>0</v>
      </c>
      <c r="O35" s="18" t="n">
        <v>0</v>
      </c>
      <c r="P35" s="20" t="n">
        <v>0</v>
      </c>
      <c r="Q35" s="18" t="n">
        <v>0.97377388</v>
      </c>
      <c r="R35" s="20" t="n">
        <v>0.32731042</v>
      </c>
    </row>
    <row r="36" spans="1:18">
      <c r="A36" s="15" t="s">
        <v>594</v>
      </c>
      <c r="B36" s="17" t="n">
        <v>6736</v>
      </c>
      <c r="C36" s="18">
        <f>(5295.0/B36*100)</f>
        <v/>
      </c>
      <c r="D36" s="19" t="n">
        <v>1441</v>
      </c>
      <c r="E36" s="18" t="n">
        <v>33.91324775</v>
      </c>
      <c r="F36" s="20" t="n">
        <v>1.30263146</v>
      </c>
      <c r="G36" s="18" t="n">
        <v>63.99302315</v>
      </c>
      <c r="H36" s="20" t="n">
        <v>1.30792814</v>
      </c>
      <c r="I36" s="18" t="n">
        <v>0</v>
      </c>
      <c r="J36" s="20" t="n">
        <v>0</v>
      </c>
      <c r="K36" s="18" t="n">
        <v>0.8769298</v>
      </c>
      <c r="L36" s="20" t="n">
        <v>0.22199595</v>
      </c>
      <c r="M36" s="18" t="n">
        <v>0</v>
      </c>
      <c r="N36" s="20" t="n">
        <v>0</v>
      </c>
      <c r="O36" s="18" t="n">
        <v>0</v>
      </c>
      <c r="P36" s="20" t="n">
        <v>0</v>
      </c>
      <c r="Q36" s="18" t="n">
        <v>1.2167993</v>
      </c>
      <c r="R36" s="20" t="n">
        <v>0.34901363</v>
      </c>
    </row>
    <row r="37" spans="1:18">
      <c r="A37" s="15" t="s">
        <v>595</v>
      </c>
      <c r="B37" s="17" t="n">
        <v>5458</v>
      </c>
      <c r="C37" s="18">
        <f>(4314.0/B37*100)</f>
        <v/>
      </c>
      <c r="D37" s="19" t="n">
        <v>1144</v>
      </c>
      <c r="E37" s="18" t="n">
        <v>32.28059306</v>
      </c>
      <c r="F37" s="20" t="n">
        <v>1.534155</v>
      </c>
      <c r="G37" s="18" t="n">
        <v>61.34330097</v>
      </c>
      <c r="H37" s="20" t="n">
        <v>1.68263687</v>
      </c>
      <c r="I37" s="18" t="n">
        <v>0</v>
      </c>
      <c r="J37" s="20" t="n">
        <v>0</v>
      </c>
      <c r="K37" s="18" t="n">
        <v>1.41186434</v>
      </c>
      <c r="L37" s="20" t="n">
        <v>0.25968438</v>
      </c>
      <c r="M37" s="18" t="n">
        <v>0</v>
      </c>
      <c r="N37" s="20" t="n">
        <v>0</v>
      </c>
      <c r="O37" s="18" t="n">
        <v>0</v>
      </c>
      <c r="P37" s="20" t="n">
        <v>0</v>
      </c>
      <c r="Q37" s="18" t="n">
        <v>4.96424163</v>
      </c>
      <c r="R37" s="20" t="n">
        <v>0.63861883</v>
      </c>
    </row>
    <row r="38" spans="1:18">
      <c r="A38" s="15" t="s">
        <v>596</v>
      </c>
      <c r="B38" s="17" t="n">
        <v>5860</v>
      </c>
      <c r="C38" s="18">
        <f>(4584.0/B38*100)</f>
        <v/>
      </c>
      <c r="D38" s="19" t="n">
        <v>1276</v>
      </c>
      <c r="E38" s="18" t="n">
        <v>37.47243307</v>
      </c>
      <c r="F38" s="20" t="n">
        <v>1.57175169</v>
      </c>
      <c r="G38" s="18" t="n">
        <v>59.59965478</v>
      </c>
      <c r="H38" s="20" t="n">
        <v>1.60726762</v>
      </c>
      <c r="I38" s="18" t="n">
        <v>0</v>
      </c>
      <c r="J38" s="20" t="n">
        <v>0</v>
      </c>
      <c r="K38" s="18" t="n">
        <v>0.74095251</v>
      </c>
      <c r="L38" s="20" t="n">
        <v>0.23025059</v>
      </c>
      <c r="M38" s="18" t="n">
        <v>0</v>
      </c>
      <c r="N38" s="20" t="n">
        <v>0</v>
      </c>
      <c r="O38" s="18" t="n">
        <v>0</v>
      </c>
      <c r="P38" s="20" t="n">
        <v>0</v>
      </c>
      <c r="Q38" s="18" t="n">
        <v>2.18695965</v>
      </c>
      <c r="R38" s="20" t="n">
        <v>0.56625194</v>
      </c>
    </row>
    <row r="39" spans="1:18">
      <c r="A39" s="15" t="s">
        <v>597</v>
      </c>
      <c r="B39" s="17" t="n">
        <v>5895</v>
      </c>
      <c r="C39" s="18">
        <f>(4574.0/B39*100)</f>
        <v/>
      </c>
      <c r="D39" s="19" t="n">
        <v>1321</v>
      </c>
      <c r="E39" s="18" t="n">
        <v>58.15731144</v>
      </c>
      <c r="F39" s="20" t="n">
        <v>1.63934696</v>
      </c>
      <c r="G39" s="18" t="n">
        <v>39.20619753</v>
      </c>
      <c r="H39" s="20" t="n">
        <v>1.7517319</v>
      </c>
      <c r="I39" s="18" t="n">
        <v>0</v>
      </c>
      <c r="J39" s="20" t="n">
        <v>0</v>
      </c>
      <c r="K39" s="18" t="n">
        <v>0.47938301</v>
      </c>
      <c r="L39" s="20" t="n">
        <v>0.15547768</v>
      </c>
      <c r="M39" s="18" t="n">
        <v>0</v>
      </c>
      <c r="N39" s="20" t="n">
        <v>0</v>
      </c>
      <c r="O39" s="18" t="n">
        <v>0</v>
      </c>
      <c r="P39" s="20" t="n">
        <v>0</v>
      </c>
      <c r="Q39" s="18" t="n">
        <v>2.15710801</v>
      </c>
      <c r="R39" s="20" t="n">
        <v>0.4803465</v>
      </c>
    </row>
    <row r="40" spans="1:18">
      <c r="A40" s="15" t="s">
        <v>598</v>
      </c>
      <c r="B40" s="17" t="n">
        <v>14157</v>
      </c>
      <c r="C40" s="18">
        <f>(11013.0/B40*100)</f>
        <v/>
      </c>
      <c r="D40" s="19" t="n">
        <v>3144</v>
      </c>
      <c r="E40" s="18" t="n">
        <v>36.33211621</v>
      </c>
      <c r="F40" s="20" t="n">
        <v>1.18143419</v>
      </c>
      <c r="G40" s="18" t="n">
        <v>61.57213878</v>
      </c>
      <c r="H40" s="20" t="n">
        <v>1.19997539</v>
      </c>
      <c r="I40" s="18" t="n">
        <v>0</v>
      </c>
      <c r="J40" s="20" t="n">
        <v>0</v>
      </c>
      <c r="K40" s="18" t="n">
        <v>0.65212641</v>
      </c>
      <c r="L40" s="20" t="n">
        <v>0.2362678</v>
      </c>
      <c r="M40" s="18" t="n">
        <v>0</v>
      </c>
      <c r="N40" s="20" t="n">
        <v>0</v>
      </c>
      <c r="O40" s="18" t="n">
        <v>0</v>
      </c>
      <c r="P40" s="20" t="n">
        <v>0</v>
      </c>
      <c r="Q40" s="18" t="n">
        <v>1.44361859</v>
      </c>
      <c r="R40" s="20" t="n">
        <v>0.30416876</v>
      </c>
    </row>
    <row r="41" spans="1:18">
      <c r="A41" s="15" t="s">
        <v>599</v>
      </c>
      <c r="B41" s="17" t="n">
        <v>5712</v>
      </c>
      <c r="C41" s="18">
        <f>(4519.0/B41*100)</f>
        <v/>
      </c>
      <c r="D41" s="19" t="n">
        <v>1193</v>
      </c>
      <c r="E41" s="18" t="n">
        <v>36.74960193</v>
      </c>
      <c r="F41" s="20" t="n">
        <v>1.78846835</v>
      </c>
      <c r="G41" s="18" t="n">
        <v>61.1706886</v>
      </c>
      <c r="H41" s="20" t="n">
        <v>1.92814978</v>
      </c>
      <c r="I41" s="18" t="n">
        <v>0</v>
      </c>
      <c r="J41" s="20" t="n">
        <v>0</v>
      </c>
      <c r="K41" s="18" t="n">
        <v>0.87190352</v>
      </c>
      <c r="L41" s="20" t="n">
        <v>0.31857429</v>
      </c>
      <c r="M41" s="18" t="n">
        <v>0</v>
      </c>
      <c r="N41" s="20" t="n">
        <v>0</v>
      </c>
      <c r="O41" s="18" t="n">
        <v>0</v>
      </c>
      <c r="P41" s="20" t="n">
        <v>0</v>
      </c>
      <c r="Q41" s="18" t="n">
        <v>1.20780595</v>
      </c>
      <c r="R41" s="20" t="n">
        <v>0.39232247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(19503.0/B46*100)</f>
        <v/>
      </c>
      <c r="D46" s="19" t="n">
        <v>3638</v>
      </c>
      <c r="E46" s="18" t="n">
        <v>53.8339612</v>
      </c>
      <c r="F46" s="20" t="n">
        <v>1.20683186</v>
      </c>
      <c r="G46" s="18" t="n">
        <v>32.54414118</v>
      </c>
      <c r="H46" s="20" t="n">
        <v>1.09759509</v>
      </c>
      <c r="I46" s="18" t="n">
        <v>0</v>
      </c>
      <c r="J46" s="20" t="n">
        <v>0</v>
      </c>
      <c r="K46" s="18" t="n">
        <v>2.47712651</v>
      </c>
      <c r="L46" s="20" t="n">
        <v>0.42037506</v>
      </c>
      <c r="M46" s="18" t="n">
        <v>0</v>
      </c>
      <c r="N46" s="20" t="n">
        <v>0</v>
      </c>
      <c r="O46" s="18" t="n">
        <v>0</v>
      </c>
      <c r="P46" s="20" t="n">
        <v>0</v>
      </c>
      <c r="Q46" s="18" t="n">
        <v>11.14477111</v>
      </c>
      <c r="R46" s="20" t="n">
        <v>0.83713612</v>
      </c>
    </row>
    <row r="47" spans="1:18">
      <c r="A47" s="15" t="s">
        <v>606</v>
      </c>
      <c r="B47" s="17" t="n">
        <v>5928</v>
      </c>
      <c r="C47" s="18">
        <f>(4618.0/B47*100)</f>
        <v/>
      </c>
      <c r="D47" s="19" t="n">
        <v>1310</v>
      </c>
      <c r="E47" s="18" t="n">
        <v>45.63382023</v>
      </c>
      <c r="F47" s="20" t="n">
        <v>1.74663748</v>
      </c>
      <c r="G47" s="18" t="n">
        <v>47.38639239</v>
      </c>
      <c r="H47" s="20" t="n">
        <v>1.98787519</v>
      </c>
      <c r="I47" s="18" t="n">
        <v>0</v>
      </c>
      <c r="J47" s="20" t="n">
        <v>0</v>
      </c>
      <c r="K47" s="18" t="n">
        <v>0.8911615000000001</v>
      </c>
      <c r="L47" s="20" t="n">
        <v>0.26955679</v>
      </c>
      <c r="M47" s="18" t="n">
        <v>0</v>
      </c>
      <c r="N47" s="20" t="n">
        <v>0</v>
      </c>
      <c r="O47" s="18" t="n">
        <v>0</v>
      </c>
      <c r="P47" s="20" t="n">
        <v>0</v>
      </c>
      <c r="Q47" s="18" t="n">
        <v>6.08862588</v>
      </c>
      <c r="R47" s="20" t="n">
        <v>0.77889081</v>
      </c>
    </row>
    <row r="48" spans="1:18">
      <c r="A48" s="15" t="s">
        <v>607</v>
      </c>
      <c r="B48" s="17" t="n">
        <v>9841</v>
      </c>
      <c r="C48" s="18">
        <f>(7694.0/B48*100)</f>
        <v/>
      </c>
      <c r="D48" s="19" t="n">
        <v>2147</v>
      </c>
      <c r="E48" s="18" t="n">
        <v>35.03643521</v>
      </c>
      <c r="F48" s="20" t="n">
        <v>1.43370492</v>
      </c>
      <c r="G48" s="18" t="n">
        <v>61.59811652</v>
      </c>
      <c r="H48" s="20" t="n">
        <v>1.59842006</v>
      </c>
      <c r="I48" s="18" t="n">
        <v>0</v>
      </c>
      <c r="J48" s="20" t="n">
        <v>0</v>
      </c>
      <c r="K48" s="18" t="n">
        <v>0.78593426</v>
      </c>
      <c r="L48" s="20" t="n">
        <v>0.28460569</v>
      </c>
      <c r="M48" s="18" t="n">
        <v>0</v>
      </c>
      <c r="N48" s="20" t="n">
        <v>0</v>
      </c>
      <c r="O48" s="18" t="n">
        <v>0</v>
      </c>
      <c r="P48" s="20" t="n">
        <v>0</v>
      </c>
      <c r="Q48" s="18" t="n">
        <v>2.57951401</v>
      </c>
      <c r="R48" s="20" t="n">
        <v>0.45008289</v>
      </c>
    </row>
    <row r="49" spans="1:18">
      <c r="A49" s="15" t="s">
        <v>608</v>
      </c>
      <c r="B49" s="17" t="n">
        <v>11795</v>
      </c>
      <c r="C49" s="18">
        <f>(9288.0/B49*100)</f>
        <v/>
      </c>
      <c r="D49" s="19" t="n">
        <v>2507</v>
      </c>
      <c r="E49" s="18" t="n">
        <v>52.60780185</v>
      </c>
      <c r="F49" s="20" t="n">
        <v>1.29278269</v>
      </c>
      <c r="G49" s="18" t="n">
        <v>37.42709317</v>
      </c>
      <c r="H49" s="20" t="n">
        <v>1.26062951</v>
      </c>
      <c r="I49" s="18" t="n">
        <v>0</v>
      </c>
      <c r="J49" s="20" t="n">
        <v>0</v>
      </c>
      <c r="K49" s="18" t="n">
        <v>3.15614591</v>
      </c>
      <c r="L49" s="20" t="n">
        <v>0.60131237</v>
      </c>
      <c r="M49" s="18" t="n">
        <v>0</v>
      </c>
      <c r="N49" s="20" t="n">
        <v>0</v>
      </c>
      <c r="O49" s="18" t="n">
        <v>0</v>
      </c>
      <c r="P49" s="20" t="n">
        <v>0</v>
      </c>
      <c r="Q49" s="18" t="n">
        <v>6.80895907</v>
      </c>
      <c r="R49" s="20" t="n">
        <v>0.76800376</v>
      </c>
    </row>
    <row r="50" spans="1:18">
      <c r="A50" s="15" t="s">
        <v>609</v>
      </c>
      <c r="B50" s="17" t="n">
        <v>6866</v>
      </c>
      <c r="C50" s="18">
        <f>(5675.0/B50*100)</f>
        <v/>
      </c>
      <c r="D50" s="19" t="n">
        <v>1191</v>
      </c>
      <c r="E50" s="18" t="n">
        <v>48.49247418</v>
      </c>
      <c r="F50" s="20" t="n">
        <v>1.41814318</v>
      </c>
      <c r="G50" s="18" t="n">
        <v>45.97757215</v>
      </c>
      <c r="H50" s="20" t="n">
        <v>1.49474834</v>
      </c>
      <c r="I50" s="18" t="n">
        <v>0</v>
      </c>
      <c r="J50" s="20" t="n">
        <v>0</v>
      </c>
      <c r="K50" s="18" t="n">
        <v>0.97685099</v>
      </c>
      <c r="L50" s="20" t="n">
        <v>0.31628606</v>
      </c>
      <c r="M50" s="18" t="n">
        <v>0</v>
      </c>
      <c r="N50" s="20" t="n">
        <v>0</v>
      </c>
      <c r="O50" s="18" t="n">
        <v>0</v>
      </c>
      <c r="P50" s="20" t="n">
        <v>0</v>
      </c>
      <c r="Q50" s="18" t="n">
        <v>4.55310268</v>
      </c>
      <c r="R50" s="20" t="n">
        <v>0.53817019</v>
      </c>
    </row>
    <row r="51" spans="1:18">
      <c r="A51" s="15" t="s">
        <v>610</v>
      </c>
      <c r="B51" s="17" t="n">
        <v>5809</v>
      </c>
      <c r="C51" s="18">
        <f>(4548.0/B51*100)</f>
        <v/>
      </c>
      <c r="D51" s="19" t="n">
        <v>1261</v>
      </c>
      <c r="E51" s="18" t="n">
        <v>35.16982193</v>
      </c>
      <c r="F51" s="20" t="n">
        <v>1.35287259</v>
      </c>
      <c r="G51" s="18" t="n">
        <v>62.22763614</v>
      </c>
      <c r="H51" s="20" t="n">
        <v>1.44049843</v>
      </c>
      <c r="I51" s="18" t="n">
        <v>0</v>
      </c>
      <c r="J51" s="20" t="n">
        <v>0</v>
      </c>
      <c r="K51" s="18" t="n">
        <v>0.34246747</v>
      </c>
      <c r="L51" s="20" t="n">
        <v>0.16959453</v>
      </c>
      <c r="M51" s="18" t="n">
        <v>0</v>
      </c>
      <c r="N51" s="20" t="n">
        <v>0</v>
      </c>
      <c r="O51" s="18" t="n">
        <v>0</v>
      </c>
      <c r="P51" s="20" t="n">
        <v>0</v>
      </c>
      <c r="Q51" s="18" t="n">
        <v>2.26007446</v>
      </c>
      <c r="R51" s="20" t="n">
        <v>0.45543758</v>
      </c>
    </row>
    <row r="52" spans="1:18">
      <c r="A52" s="15" t="s">
        <v>611</v>
      </c>
      <c r="B52" s="17" t="n">
        <v>5571</v>
      </c>
      <c r="C52" s="18">
        <f>(4305.0/B52*100)</f>
        <v/>
      </c>
      <c r="D52" s="19" t="n">
        <v>1266</v>
      </c>
      <c r="E52" s="18" t="n">
        <v>46.51334551</v>
      </c>
      <c r="F52" s="20" t="n">
        <v>1.36371641</v>
      </c>
      <c r="G52" s="18" t="n">
        <v>49.86558956</v>
      </c>
      <c r="H52" s="20" t="n">
        <v>1.34502482</v>
      </c>
      <c r="I52" s="18" t="n">
        <v>0</v>
      </c>
      <c r="J52" s="20" t="n">
        <v>0</v>
      </c>
      <c r="K52" s="18" t="n">
        <v>1.07556215</v>
      </c>
      <c r="L52" s="20" t="n">
        <v>0.27451698</v>
      </c>
      <c r="M52" s="18" t="n">
        <v>0</v>
      </c>
      <c r="N52" s="20" t="n">
        <v>0</v>
      </c>
      <c r="O52" s="18" t="n">
        <v>0</v>
      </c>
      <c r="P52" s="20" t="n">
        <v>0</v>
      </c>
      <c r="Q52" s="18" t="n">
        <v>2.54550278</v>
      </c>
      <c r="R52" s="20" t="n">
        <v>0.47568204</v>
      </c>
    </row>
    <row r="53" spans="1:18">
      <c r="A53" s="15" t="s">
        <v>612</v>
      </c>
      <c r="B53" s="17" t="n">
        <v>4740</v>
      </c>
      <c r="C53" s="18">
        <f>(3705.0/B53*100)</f>
        <v/>
      </c>
      <c r="D53" s="19" t="n">
        <v>1035</v>
      </c>
      <c r="E53" s="18" t="n">
        <v>49.66998643</v>
      </c>
      <c r="F53" s="20" t="n">
        <v>1.73396649</v>
      </c>
      <c r="G53" s="18" t="n">
        <v>14.97521638</v>
      </c>
      <c r="H53" s="20" t="n">
        <v>1.21524554</v>
      </c>
      <c r="I53" s="18" t="n">
        <v>0</v>
      </c>
      <c r="J53" s="20" t="n">
        <v>0</v>
      </c>
      <c r="K53" s="18" t="n">
        <v>16.33618748</v>
      </c>
      <c r="L53" s="20" t="n">
        <v>1.30540479</v>
      </c>
      <c r="M53" s="18" t="n">
        <v>0</v>
      </c>
      <c r="N53" s="20" t="n">
        <v>0</v>
      </c>
      <c r="O53" s="18" t="n">
        <v>0</v>
      </c>
      <c r="P53" s="20" t="n">
        <v>0</v>
      </c>
      <c r="Q53" s="18" t="n">
        <v>19.01860972</v>
      </c>
      <c r="R53" s="20" t="n">
        <v>1.44410822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(4240.0/B55*100)</f>
        <v/>
      </c>
      <c r="D55" s="19" t="n">
        <v>1119</v>
      </c>
      <c r="E55" s="18" t="n">
        <v>29.49537286</v>
      </c>
      <c r="F55" s="20" t="n">
        <v>1.69384251</v>
      </c>
      <c r="G55" s="18" t="n">
        <v>69.57566901</v>
      </c>
      <c r="H55" s="20" t="n">
        <v>1.74196411</v>
      </c>
      <c r="I55" s="18" t="n">
        <v>0</v>
      </c>
      <c r="J55" s="20" t="n">
        <v>0</v>
      </c>
      <c r="K55" s="18" t="n">
        <v>0.31443468</v>
      </c>
      <c r="L55" s="20" t="n">
        <v>0.19141829</v>
      </c>
      <c r="M55" s="18" t="n">
        <v>0</v>
      </c>
      <c r="N55" s="20" t="n">
        <v>0</v>
      </c>
      <c r="O55" s="18" t="n">
        <v>0</v>
      </c>
      <c r="P55" s="20" t="n">
        <v>0</v>
      </c>
      <c r="Q55" s="18" t="n">
        <v>0.61452345</v>
      </c>
      <c r="R55" s="20" t="n">
        <v>0.27419675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(5104.0/B61*100)</f>
        <v/>
      </c>
      <c r="D61" s="19" t="n">
        <v>1421</v>
      </c>
      <c r="E61" s="18" t="n">
        <v>45.2740377</v>
      </c>
      <c r="F61" s="20" t="n">
        <v>1.52390181</v>
      </c>
      <c r="G61" s="18" t="n">
        <v>52.94254904</v>
      </c>
      <c r="H61" s="20" t="n">
        <v>1.48954233</v>
      </c>
      <c r="I61" s="18" t="n">
        <v>0</v>
      </c>
      <c r="J61" s="20" t="n">
        <v>0</v>
      </c>
      <c r="K61" s="18" t="n">
        <v>0.28225103</v>
      </c>
      <c r="L61" s="20" t="n">
        <v>0.15677956</v>
      </c>
      <c r="M61" s="18" t="n">
        <v>0</v>
      </c>
      <c r="N61" s="20" t="n">
        <v>0</v>
      </c>
      <c r="O61" s="18" t="n">
        <v>0</v>
      </c>
      <c r="P61" s="20" t="n">
        <v>0</v>
      </c>
      <c r="Q61" s="18" t="n">
        <v>1.50116223</v>
      </c>
      <c r="R61" s="20" t="n">
        <v>0.35339886</v>
      </c>
    </row>
    <row r="62" spans="1:18">
      <c r="A62" s="15" t="s">
        <v>622</v>
      </c>
      <c r="B62" s="17" t="n">
        <v>4476</v>
      </c>
      <c r="C62" s="18">
        <f>(3520.0/B62*100)</f>
        <v/>
      </c>
      <c r="D62" s="19" t="n">
        <v>956</v>
      </c>
      <c r="E62" s="18" t="n">
        <v>29.27750076</v>
      </c>
      <c r="F62" s="20" t="n">
        <v>1.68814805</v>
      </c>
      <c r="G62" s="18" t="n">
        <v>70.30133375</v>
      </c>
      <c r="H62" s="20" t="n">
        <v>1.70594928</v>
      </c>
      <c r="I62" s="18" t="n">
        <v>0</v>
      </c>
      <c r="J62" s="20" t="n">
        <v>0</v>
      </c>
      <c r="K62" s="18" t="n">
        <v>0.10739943</v>
      </c>
      <c r="L62" s="20" t="n">
        <v>0.10722745</v>
      </c>
      <c r="M62" s="18" t="n">
        <v>0</v>
      </c>
      <c r="N62" s="20" t="n">
        <v>0</v>
      </c>
      <c r="O62" s="18" t="n">
        <v>0</v>
      </c>
      <c r="P62" s="20" t="n">
        <v>0</v>
      </c>
      <c r="Q62" s="18" t="n">
        <v>0.31376606</v>
      </c>
      <c r="R62" s="20" t="n">
        <v>0.16591185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(4467.0/B67*100)</f>
        <v/>
      </c>
      <c r="D67" s="19" t="n">
        <v>1198</v>
      </c>
      <c r="E67" s="18" t="n">
        <v>49.21345325</v>
      </c>
      <c r="F67" s="20" t="n">
        <v>1.42511019</v>
      </c>
      <c r="G67" s="18" t="n">
        <v>37.79076704</v>
      </c>
      <c r="H67" s="20" t="n">
        <v>1.50178929</v>
      </c>
      <c r="I67" s="18" t="n">
        <v>0</v>
      </c>
      <c r="J67" s="20" t="n">
        <v>0</v>
      </c>
      <c r="K67" s="18" t="n">
        <v>1.46987895</v>
      </c>
      <c r="L67" s="20" t="n">
        <v>0.38085354</v>
      </c>
      <c r="M67" s="18" t="n">
        <v>0</v>
      </c>
      <c r="N67" s="20" t="n">
        <v>0</v>
      </c>
      <c r="O67" s="18" t="n">
        <v>0</v>
      </c>
      <c r="P67" s="20" t="n">
        <v>0</v>
      </c>
      <c r="Q67" s="18" t="n">
        <v>11.52590076</v>
      </c>
      <c r="R67" s="20" t="n">
        <v>0.8283263199999999</v>
      </c>
    </row>
    <row r="68" spans="1:18">
      <c r="A68" s="15" t="s">
        <v>628</v>
      </c>
      <c r="B68" s="17" t="n">
        <v>6971</v>
      </c>
      <c r="C68" s="18">
        <f>(5684.0/B68*100)</f>
        <v/>
      </c>
      <c r="D68" s="19" t="n">
        <v>1287</v>
      </c>
      <c r="E68" s="18" t="n">
        <v>57.34911909</v>
      </c>
      <c r="F68" s="20" t="n">
        <v>1.57844671</v>
      </c>
      <c r="G68" s="18" t="n">
        <v>37.04362755</v>
      </c>
      <c r="H68" s="20" t="n">
        <v>1.66518817</v>
      </c>
      <c r="I68" s="18" t="n">
        <v>0</v>
      </c>
      <c r="J68" s="20" t="n">
        <v>0</v>
      </c>
      <c r="K68" s="18" t="n">
        <v>0.58942709</v>
      </c>
      <c r="L68" s="20" t="n">
        <v>0.21767683</v>
      </c>
      <c r="M68" s="18" t="n">
        <v>0</v>
      </c>
      <c r="N68" s="20" t="n">
        <v>0</v>
      </c>
      <c r="O68" s="18" t="n">
        <v>0</v>
      </c>
      <c r="P68" s="20" t="n">
        <v>0</v>
      </c>
      <c r="Q68" s="18" t="n">
        <v>5.01782627</v>
      </c>
      <c r="R68" s="20" t="n">
        <v>0.62319536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(9383.0/B70*100)</f>
        <v/>
      </c>
      <c r="D70" s="19" t="n">
        <v>2700</v>
      </c>
      <c r="E70" s="18" t="n">
        <v>57.67317922</v>
      </c>
      <c r="F70" s="20" t="n">
        <v>0.87434868</v>
      </c>
      <c r="G70" s="18" t="n">
        <v>33.12898236</v>
      </c>
      <c r="H70" s="20" t="n">
        <v>0.85295285</v>
      </c>
      <c r="I70" s="18" t="n">
        <v>0</v>
      </c>
      <c r="J70" s="20" t="n">
        <v>0</v>
      </c>
      <c r="K70" s="18" t="n">
        <v>4.48452801</v>
      </c>
      <c r="L70" s="20" t="n">
        <v>0.39279658</v>
      </c>
      <c r="M70" s="18" t="n">
        <v>0</v>
      </c>
      <c r="N70" s="20" t="n">
        <v>0</v>
      </c>
      <c r="O70" s="18" t="n">
        <v>0</v>
      </c>
      <c r="P70" s="20" t="n">
        <v>0</v>
      </c>
      <c r="Q70" s="18" t="n">
        <v>4.71331041</v>
      </c>
      <c r="R70" s="20" t="n">
        <v>0.38751065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(4755.0/B72*100)</f>
        <v/>
      </c>
      <c r="D72" s="19" t="n">
        <v>1281</v>
      </c>
      <c r="E72" s="18" t="n">
        <v>31.89013182</v>
      </c>
      <c r="F72" s="20" t="n">
        <v>1.5949822</v>
      </c>
      <c r="G72" s="18" t="n">
        <v>65.29341069</v>
      </c>
      <c r="H72" s="20" t="n">
        <v>1.75788683</v>
      </c>
      <c r="I72" s="18" t="n">
        <v>0</v>
      </c>
      <c r="J72" s="20" t="n">
        <v>0</v>
      </c>
      <c r="K72" s="18" t="n">
        <v>0.69844895</v>
      </c>
      <c r="L72" s="20" t="n">
        <v>0.21647495</v>
      </c>
      <c r="M72" s="18" t="n">
        <v>0</v>
      </c>
      <c r="N72" s="20" t="n">
        <v>0</v>
      </c>
      <c r="O72" s="18" t="n">
        <v>0</v>
      </c>
      <c r="P72" s="20" t="n">
        <v>0</v>
      </c>
      <c r="Q72" s="18" t="n">
        <v>2.11800854</v>
      </c>
      <c r="R72" s="20" t="n">
        <v>0.48630885</v>
      </c>
    </row>
    <row r="73" spans="1:18">
      <c r="A73" s="15" t="s">
        <v>633</v>
      </c>
      <c r="B73" s="17" t="n">
        <v>6115</v>
      </c>
      <c r="C73" s="18">
        <f>(4769.0/B73*100)</f>
        <v/>
      </c>
      <c r="D73" s="19" t="n">
        <v>1346</v>
      </c>
      <c r="E73" s="18" t="n">
        <v>28.98323169</v>
      </c>
      <c r="F73" s="20" t="n">
        <v>1.15733693</v>
      </c>
      <c r="G73" s="18" t="n">
        <v>70.33015690000001</v>
      </c>
      <c r="H73" s="20" t="n">
        <v>1.20902761</v>
      </c>
      <c r="I73" s="18" t="n">
        <v>0</v>
      </c>
      <c r="J73" s="20" t="n">
        <v>0</v>
      </c>
      <c r="K73" s="18" t="n">
        <v>0.46724779</v>
      </c>
      <c r="L73" s="20" t="n">
        <v>0.19049364</v>
      </c>
      <c r="M73" s="18" t="n">
        <v>0</v>
      </c>
      <c r="N73" s="20" t="n">
        <v>0</v>
      </c>
      <c r="O73" s="18" t="n">
        <v>0</v>
      </c>
      <c r="P73" s="20" t="n">
        <v>0</v>
      </c>
      <c r="Q73" s="18" t="n">
        <v>0.21936361</v>
      </c>
      <c r="R73" s="20" t="n">
        <v>0.12329288</v>
      </c>
    </row>
    <row r="74" spans="1:18">
      <c r="A74" s="15" t="s">
        <v>634</v>
      </c>
      <c r="B74" s="17" t="n">
        <v>7708</v>
      </c>
      <c r="C74" s="18">
        <f>(6059.0/B74*100)</f>
        <v/>
      </c>
      <c r="D74" s="19" t="n">
        <v>1649</v>
      </c>
      <c r="E74" s="18" t="n">
        <v>27.32499383</v>
      </c>
      <c r="F74" s="20" t="n">
        <v>1.09201579</v>
      </c>
      <c r="G74" s="18" t="n">
        <v>71.43573259999999</v>
      </c>
      <c r="H74" s="20" t="n">
        <v>1.09317092</v>
      </c>
      <c r="I74" s="18" t="n">
        <v>0</v>
      </c>
      <c r="J74" s="20" t="n">
        <v>0</v>
      </c>
      <c r="K74" s="18" t="n">
        <v>0.33351324</v>
      </c>
      <c r="L74" s="20" t="n">
        <v>0.14015555</v>
      </c>
      <c r="M74" s="18" t="n">
        <v>0</v>
      </c>
      <c r="N74" s="20" t="n">
        <v>0</v>
      </c>
      <c r="O74" s="18" t="n">
        <v>0</v>
      </c>
      <c r="P74" s="20" t="n">
        <v>0</v>
      </c>
      <c r="Q74" s="18" t="n">
        <v>0.90576033</v>
      </c>
      <c r="R74" s="20" t="n">
        <v>0.16757874</v>
      </c>
    </row>
    <row r="75" spans="1:18">
      <c r="A75" s="15" t="s">
        <v>635</v>
      </c>
      <c r="B75" s="17" t="n">
        <v>8249</v>
      </c>
      <c r="C75" s="18">
        <f>(6580.0/B75*100)</f>
        <v/>
      </c>
      <c r="D75" s="19" t="n">
        <v>1669</v>
      </c>
      <c r="E75" s="18" t="n">
        <v>62.81620713</v>
      </c>
      <c r="F75" s="20" t="n">
        <v>1.74137195</v>
      </c>
      <c r="G75" s="18" t="n">
        <v>34.62903022</v>
      </c>
      <c r="H75" s="20" t="n">
        <v>1.72804719</v>
      </c>
      <c r="I75" s="18" t="n">
        <v>0</v>
      </c>
      <c r="J75" s="20" t="n">
        <v>0</v>
      </c>
      <c r="K75" s="18" t="n">
        <v>0</v>
      </c>
      <c r="L75" s="20" t="n">
        <v>0</v>
      </c>
      <c r="M75" s="18" t="n">
        <v>0</v>
      </c>
      <c r="N75" s="20" t="n">
        <v>0</v>
      </c>
      <c r="O75" s="18" t="n">
        <v>0</v>
      </c>
      <c r="P75" s="20" t="n">
        <v>0</v>
      </c>
      <c r="Q75" s="18" t="n">
        <v>2.55476266</v>
      </c>
      <c r="R75" s="20" t="n">
        <v>0.54114916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(4359.0/B77*100)</f>
        <v/>
      </c>
      <c r="D77" s="19" t="n">
        <v>1016</v>
      </c>
      <c r="E77" s="18" t="n">
        <v>52.86113768</v>
      </c>
      <c r="F77" s="20" t="n">
        <v>1.52060281</v>
      </c>
      <c r="G77" s="18" t="n">
        <v>37.54563994</v>
      </c>
      <c r="H77" s="20" t="n">
        <v>1.60705557</v>
      </c>
      <c r="I77" s="18" t="n">
        <v>0</v>
      </c>
      <c r="J77" s="20" t="n">
        <v>0</v>
      </c>
      <c r="K77" s="18" t="n">
        <v>5.62865526</v>
      </c>
      <c r="L77" s="20" t="n">
        <v>0.81163834</v>
      </c>
      <c r="M77" s="18" t="n">
        <v>0</v>
      </c>
      <c r="N77" s="20" t="n">
        <v>0</v>
      </c>
      <c r="O77" s="18" t="n">
        <v>0</v>
      </c>
      <c r="P77" s="20" t="n">
        <v>0</v>
      </c>
      <c r="Q77" s="18" t="n">
        <v>3.96456713</v>
      </c>
      <c r="R77" s="20" t="n">
        <v>0.64889843</v>
      </c>
    </row>
    <row r="78" spans="1:18">
      <c r="A78" s="15" t="s">
        <v>638</v>
      </c>
      <c r="B78" s="17" t="n">
        <v>14167</v>
      </c>
      <c r="C78" s="18">
        <f>(11174.0/B78*100)</f>
        <v/>
      </c>
      <c r="D78" s="19" t="n">
        <v>2993</v>
      </c>
      <c r="E78" s="18" t="n">
        <v>56.81216867</v>
      </c>
      <c r="F78" s="20" t="n">
        <v>1.37134661</v>
      </c>
      <c r="G78" s="18" t="n">
        <v>38.91666687</v>
      </c>
      <c r="H78" s="20" t="n">
        <v>1.32372288</v>
      </c>
      <c r="I78" s="18" t="n">
        <v>0</v>
      </c>
      <c r="J78" s="20" t="n">
        <v>0</v>
      </c>
      <c r="K78" s="18" t="n">
        <v>1.48971446</v>
      </c>
      <c r="L78" s="20" t="n">
        <v>0.29729711</v>
      </c>
      <c r="M78" s="18" t="n">
        <v>0</v>
      </c>
      <c r="N78" s="20" t="n">
        <v>0</v>
      </c>
      <c r="O78" s="18" t="n">
        <v>0</v>
      </c>
      <c r="P78" s="20" t="n">
        <v>0</v>
      </c>
      <c r="Q78" s="18" t="n">
        <v>2.78144999</v>
      </c>
      <c r="R78" s="20" t="n">
        <v>0.34715799</v>
      </c>
    </row>
    <row r="79" spans="1:18">
      <c r="A79" s="15" t="s">
        <v>639</v>
      </c>
      <c r="B79" s="17" t="n">
        <v>6062</v>
      </c>
      <c r="C79" s="18">
        <f>(4774.0/B79*100)</f>
        <v/>
      </c>
      <c r="D79" s="19" t="n">
        <v>1288</v>
      </c>
      <c r="E79" s="18" t="n">
        <v>46.67761423</v>
      </c>
      <c r="F79" s="20" t="n">
        <v>1.38572947</v>
      </c>
      <c r="G79" s="18" t="n">
        <v>45.12207505</v>
      </c>
      <c r="H79" s="20" t="n">
        <v>1.36851199</v>
      </c>
      <c r="I79" s="18" t="n">
        <v>0</v>
      </c>
      <c r="J79" s="20" t="n">
        <v>0</v>
      </c>
      <c r="K79" s="18" t="n">
        <v>1.96346275</v>
      </c>
      <c r="L79" s="20" t="n">
        <v>0.46201069</v>
      </c>
      <c r="M79" s="18" t="n">
        <v>0</v>
      </c>
      <c r="N79" s="20" t="n">
        <v>0</v>
      </c>
      <c r="O79" s="18" t="n">
        <v>0</v>
      </c>
      <c r="P79" s="20" t="n">
        <v>0</v>
      </c>
      <c r="Q79" s="18" t="n">
        <v>6.23684796</v>
      </c>
      <c r="R79" s="20" t="n">
        <v>0.82886232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(25422.0/B82*100)</f>
        <v/>
      </c>
      <c r="D82" s="19" t="n">
        <v>6908</v>
      </c>
      <c r="E82" s="18" t="n">
        <v>33.88541166</v>
      </c>
      <c r="F82" s="20" t="n">
        <v>0.91885452</v>
      </c>
      <c r="G82" s="18" t="n">
        <v>63.605771</v>
      </c>
      <c r="H82" s="20" t="n">
        <v>0.96164935</v>
      </c>
      <c r="I82" s="18" t="n">
        <v>0</v>
      </c>
      <c r="J82" s="20" t="n">
        <v>0</v>
      </c>
      <c r="K82" s="18" t="n">
        <v>0.86565196</v>
      </c>
      <c r="L82" s="20" t="n">
        <v>0.14898564</v>
      </c>
      <c r="M82" s="18" t="n">
        <v>0</v>
      </c>
      <c r="N82" s="20" t="n">
        <v>0</v>
      </c>
      <c r="O82" s="18" t="n">
        <v>0</v>
      </c>
      <c r="P82" s="20" t="n">
        <v>0</v>
      </c>
      <c r="Q82" s="18" t="n">
        <v>1.64316538</v>
      </c>
      <c r="R82" s="20" t="n">
        <v>0.29389563</v>
      </c>
    </row>
    <row r="83" spans="1:18">
      <c r="A83" s="15" t="s">
        <v>643</v>
      </c>
      <c r="B83" s="17" t="n">
        <v>1652</v>
      </c>
      <c r="C83" s="18">
        <f>(1322.0/B83*100)</f>
        <v/>
      </c>
      <c r="D83" s="19" t="n">
        <v>330</v>
      </c>
      <c r="E83" s="18" t="n">
        <v>34.71498972</v>
      </c>
      <c r="F83" s="20" t="n">
        <v>3.02145055</v>
      </c>
      <c r="G83" s="18" t="n">
        <v>63.74827419</v>
      </c>
      <c r="H83" s="20" t="n">
        <v>3.00060674</v>
      </c>
      <c r="I83" s="18" t="n">
        <v>0</v>
      </c>
      <c r="J83" s="20" t="n">
        <v>0</v>
      </c>
      <c r="K83" s="18" t="n">
        <v>0</v>
      </c>
      <c r="L83" s="20" t="n">
        <v>0</v>
      </c>
      <c r="M83" s="18" t="n">
        <v>0</v>
      </c>
      <c r="N83" s="20" t="n">
        <v>0</v>
      </c>
      <c r="O83" s="18" t="n">
        <v>0</v>
      </c>
      <c r="P83" s="20" t="n">
        <v>0</v>
      </c>
      <c r="Q83" s="18" t="n">
        <v>1.53673609</v>
      </c>
      <c r="R83" s="20" t="n">
        <v>0.8347718200000001</v>
      </c>
    </row>
    <row r="84" spans="1:18">
      <c r="A84" s="23" t="s">
        <v>644</v>
      </c>
      <c r="B84" s="24" t="n">
        <v>1887</v>
      </c>
      <c r="C84" s="25">
        <f>(1506.0/B84*100)</f>
        <v/>
      </c>
      <c r="D84" s="19" t="n">
        <v>381</v>
      </c>
      <c r="E84" s="18" t="n">
        <v>34.29594779</v>
      </c>
      <c r="F84" s="20" t="n">
        <v>2.06938186</v>
      </c>
      <c r="G84" s="18" t="n">
        <v>63.56234097</v>
      </c>
      <c r="H84" s="20" t="n">
        <v>2.10115291</v>
      </c>
      <c r="I84" s="18" t="n">
        <v>0</v>
      </c>
      <c r="J84" s="20" t="n">
        <v>0</v>
      </c>
      <c r="K84" s="18" t="n">
        <v>0.51927194</v>
      </c>
      <c r="L84" s="20" t="n">
        <v>0.35861668</v>
      </c>
      <c r="M84" s="18" t="n">
        <v>0</v>
      </c>
      <c r="N84" s="20" t="n">
        <v>0</v>
      </c>
      <c r="O84" s="18" t="n">
        <v>0</v>
      </c>
      <c r="P84" s="20" t="n">
        <v>0</v>
      </c>
      <c r="Q84" s="18" t="n">
        <v>1.6224393</v>
      </c>
      <c r="R84" s="20" t="n">
        <v>0.67242988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(11467.0/B7*100)</f>
        <v/>
      </c>
      <c r="D7" s="19" t="n">
        <v>3063</v>
      </c>
      <c r="E7" s="18" t="n">
        <v>49.02906649</v>
      </c>
      <c r="F7" s="20" t="n">
        <v>1.21792241</v>
      </c>
      <c r="G7" s="18" t="n">
        <v>48.20715658</v>
      </c>
      <c r="H7" s="20" t="n">
        <v>1.20184714</v>
      </c>
      <c r="I7" s="18" t="n">
        <v>0</v>
      </c>
      <c r="J7" s="20" t="n">
        <v>0</v>
      </c>
      <c r="K7" s="18" t="n">
        <v>0.87520811</v>
      </c>
      <c r="L7" s="20" t="n">
        <v>0.20359335</v>
      </c>
      <c r="M7" s="18" t="n">
        <v>0</v>
      </c>
      <c r="N7" s="20" t="n">
        <v>0</v>
      </c>
      <c r="O7" s="18" t="n">
        <v>0</v>
      </c>
      <c r="P7" s="20" t="n">
        <v>0</v>
      </c>
      <c r="Q7" s="18" t="n">
        <v>1.88856882</v>
      </c>
      <c r="R7" s="20" t="n">
        <v>0.30644084</v>
      </c>
    </row>
    <row r="8" spans="1:18">
      <c r="A8" s="15" t="s">
        <v>566</v>
      </c>
      <c r="B8" s="17" t="n">
        <v>7007</v>
      </c>
      <c r="C8" s="18">
        <f>(5432.0/B8*100)</f>
        <v/>
      </c>
      <c r="D8" s="19" t="n">
        <v>1575</v>
      </c>
      <c r="E8" s="18" t="n">
        <v>55.94671294</v>
      </c>
      <c r="F8" s="20" t="n">
        <v>1.25195829</v>
      </c>
      <c r="G8" s="18" t="n">
        <v>40.13775592</v>
      </c>
      <c r="H8" s="20" t="n">
        <v>1.17504843</v>
      </c>
      <c r="I8" s="18" t="n">
        <v>0</v>
      </c>
      <c r="J8" s="20" t="n">
        <v>0</v>
      </c>
      <c r="K8" s="18" t="n">
        <v>0.62678027</v>
      </c>
      <c r="L8" s="20" t="n">
        <v>0.20432932</v>
      </c>
      <c r="M8" s="18" t="n">
        <v>0</v>
      </c>
      <c r="N8" s="20" t="n">
        <v>0</v>
      </c>
      <c r="O8" s="18" t="n">
        <v>0</v>
      </c>
      <c r="P8" s="20" t="n">
        <v>0</v>
      </c>
      <c r="Q8" s="18" t="n">
        <v>3.28875086</v>
      </c>
      <c r="R8" s="20" t="n">
        <v>0.5378725600000001</v>
      </c>
    </row>
    <row r="9" spans="1:18">
      <c r="A9" s="15" t="s">
        <v>567</v>
      </c>
      <c r="B9" s="17" t="n">
        <v>9651</v>
      </c>
      <c r="C9" s="18">
        <f>(7676.0/B9*100)</f>
        <v/>
      </c>
      <c r="D9" s="19" t="n">
        <v>1975</v>
      </c>
      <c r="E9" s="18" t="n">
        <v>58.13850971</v>
      </c>
      <c r="F9" s="20" t="n">
        <v>1.28481819</v>
      </c>
      <c r="G9" s="18" t="n">
        <v>38.42439866</v>
      </c>
      <c r="H9" s="20" t="n">
        <v>1.18922671</v>
      </c>
      <c r="I9" s="18" t="n">
        <v>0</v>
      </c>
      <c r="J9" s="20" t="n">
        <v>0</v>
      </c>
      <c r="K9" s="18" t="n">
        <v>1.14730523</v>
      </c>
      <c r="L9" s="20" t="n">
        <v>0.25553871</v>
      </c>
      <c r="M9" s="18" t="n">
        <v>0</v>
      </c>
      <c r="N9" s="20" t="n">
        <v>0</v>
      </c>
      <c r="O9" s="18" t="n">
        <v>0</v>
      </c>
      <c r="P9" s="20" t="n">
        <v>0</v>
      </c>
      <c r="Q9" s="18" t="n">
        <v>2.2897864</v>
      </c>
      <c r="R9" s="20" t="n">
        <v>0.42381511</v>
      </c>
    </row>
    <row r="10" spans="1:18">
      <c r="A10" s="15" t="s">
        <v>568</v>
      </c>
      <c r="B10" s="17" t="n">
        <v>20058</v>
      </c>
      <c r="C10" s="18">
        <f>(15670.0/B10*100)</f>
        <v/>
      </c>
      <c r="D10" s="19" t="n">
        <v>4388</v>
      </c>
      <c r="E10" s="18" t="n">
        <v>49.68325401</v>
      </c>
      <c r="F10" s="20" t="n">
        <v>1.11571809</v>
      </c>
      <c r="G10" s="18" t="n">
        <v>48.17334265</v>
      </c>
      <c r="H10" s="20" t="n">
        <v>1.11959615</v>
      </c>
      <c r="I10" s="18" t="n">
        <v>0</v>
      </c>
      <c r="J10" s="20" t="n">
        <v>0</v>
      </c>
      <c r="K10" s="18" t="n">
        <v>1.04756519</v>
      </c>
      <c r="L10" s="20" t="n">
        <v>0.22109732</v>
      </c>
      <c r="M10" s="18" t="n">
        <v>0</v>
      </c>
      <c r="N10" s="20" t="n">
        <v>0</v>
      </c>
      <c r="O10" s="18" t="n">
        <v>0</v>
      </c>
      <c r="P10" s="20" t="n">
        <v>0</v>
      </c>
      <c r="Q10" s="18" t="n">
        <v>1.09583815</v>
      </c>
      <c r="R10" s="20" t="n">
        <v>0.1821466</v>
      </c>
    </row>
    <row r="11" spans="1:18">
      <c r="A11" s="15" t="s">
        <v>569</v>
      </c>
      <c r="B11" s="17" t="n">
        <v>7053</v>
      </c>
      <c r="C11" s="18">
        <f>(5592.0/B11*100)</f>
        <v/>
      </c>
      <c r="D11" s="19" t="n">
        <v>1461</v>
      </c>
      <c r="E11" s="18" t="n">
        <v>66.47129493</v>
      </c>
      <c r="F11" s="20" t="n">
        <v>1.41202089</v>
      </c>
      <c r="G11" s="18" t="n">
        <v>27.41688721</v>
      </c>
      <c r="H11" s="20" t="n">
        <v>1.21637906</v>
      </c>
      <c r="I11" s="18" t="n">
        <v>0</v>
      </c>
      <c r="J11" s="20" t="n">
        <v>0</v>
      </c>
      <c r="K11" s="18" t="n">
        <v>2.56740314</v>
      </c>
      <c r="L11" s="20" t="n">
        <v>0.48915886</v>
      </c>
      <c r="M11" s="18" t="n">
        <v>0</v>
      </c>
      <c r="N11" s="20" t="n">
        <v>0</v>
      </c>
      <c r="O11" s="18" t="n">
        <v>0</v>
      </c>
      <c r="P11" s="20" t="n">
        <v>0</v>
      </c>
      <c r="Q11" s="18" t="n">
        <v>3.54441471</v>
      </c>
      <c r="R11" s="20" t="n">
        <v>0.55079227</v>
      </c>
    </row>
    <row r="12" spans="1:18">
      <c r="A12" s="15" t="s">
        <v>570</v>
      </c>
      <c r="B12" s="17" t="n">
        <v>6894</v>
      </c>
      <c r="C12" s="18">
        <f>(5421.0/B12*100)</f>
        <v/>
      </c>
      <c r="D12" s="19" t="n">
        <v>1473</v>
      </c>
      <c r="E12" s="18" t="n">
        <v>63.1394341</v>
      </c>
      <c r="F12" s="20" t="n">
        <v>1.53856862</v>
      </c>
      <c r="G12" s="18" t="n">
        <v>34.67848255</v>
      </c>
      <c r="H12" s="20" t="n">
        <v>1.42572498</v>
      </c>
      <c r="I12" s="18" t="n">
        <v>0</v>
      </c>
      <c r="J12" s="20" t="n">
        <v>0</v>
      </c>
      <c r="K12" s="18" t="n">
        <v>0.20380046</v>
      </c>
      <c r="L12" s="20" t="n">
        <v>0.09579114</v>
      </c>
      <c r="M12" s="18" t="n">
        <v>0</v>
      </c>
      <c r="N12" s="20" t="n">
        <v>0</v>
      </c>
      <c r="O12" s="18" t="n">
        <v>0</v>
      </c>
      <c r="P12" s="20" t="n">
        <v>0</v>
      </c>
      <c r="Q12" s="18" t="n">
        <v>1.97828288</v>
      </c>
      <c r="R12" s="20" t="n">
        <v>0.36838606</v>
      </c>
    </row>
    <row r="13" spans="1:18">
      <c r="A13" s="15" t="s">
        <v>571</v>
      </c>
      <c r="B13" s="17" t="n">
        <v>7161</v>
      </c>
      <c r="C13" s="18">
        <f>(5663.0/B13*100)</f>
        <v/>
      </c>
      <c r="D13" s="19" t="n">
        <v>1498</v>
      </c>
      <c r="E13" s="18" t="n">
        <v>43.062312</v>
      </c>
      <c r="F13" s="20" t="n">
        <v>1.6267012</v>
      </c>
      <c r="G13" s="18" t="n">
        <v>54.35743413</v>
      </c>
      <c r="H13" s="20" t="n">
        <v>1.66307788</v>
      </c>
      <c r="I13" s="18" t="n">
        <v>0</v>
      </c>
      <c r="J13" s="20" t="n">
        <v>0</v>
      </c>
      <c r="K13" s="18" t="n">
        <v>0.758223</v>
      </c>
      <c r="L13" s="20" t="n">
        <v>0.26570437</v>
      </c>
      <c r="M13" s="18" t="n">
        <v>0</v>
      </c>
      <c r="N13" s="20" t="n">
        <v>0</v>
      </c>
      <c r="O13" s="18" t="n">
        <v>0</v>
      </c>
      <c r="P13" s="20" t="n">
        <v>0</v>
      </c>
      <c r="Q13" s="18" t="n">
        <v>1.82203086</v>
      </c>
      <c r="R13" s="20" t="n">
        <v>0.45591454</v>
      </c>
    </row>
    <row r="14" spans="1:18">
      <c r="A14" s="15" t="s">
        <v>572</v>
      </c>
      <c r="B14" s="17" t="n">
        <v>5587</v>
      </c>
      <c r="C14" s="18">
        <f>(4304.0/B14*100)</f>
        <v/>
      </c>
      <c r="D14" s="19" t="n">
        <v>1283</v>
      </c>
      <c r="E14" s="18" t="n">
        <v>49.59776399</v>
      </c>
      <c r="F14" s="20" t="n">
        <v>1.64145708</v>
      </c>
      <c r="G14" s="18" t="n">
        <v>48.40247939</v>
      </c>
      <c r="H14" s="20" t="n">
        <v>1.5235342</v>
      </c>
      <c r="I14" s="18" t="n">
        <v>0</v>
      </c>
      <c r="J14" s="20" t="n">
        <v>0</v>
      </c>
      <c r="K14" s="18" t="n">
        <v>1.21716365</v>
      </c>
      <c r="L14" s="20" t="n">
        <v>0.41864071</v>
      </c>
      <c r="M14" s="18" t="n">
        <v>0</v>
      </c>
      <c r="N14" s="20" t="n">
        <v>0</v>
      </c>
      <c r="O14" s="18" t="n">
        <v>0</v>
      </c>
      <c r="P14" s="20" t="n">
        <v>0</v>
      </c>
      <c r="Q14" s="18" t="n">
        <v>0.7825929700000001</v>
      </c>
      <c r="R14" s="20" t="n">
        <v>0.26515844</v>
      </c>
    </row>
    <row r="15" spans="1:18">
      <c r="A15" s="15" t="s">
        <v>573</v>
      </c>
      <c r="B15" s="17" t="n">
        <v>5882</v>
      </c>
      <c r="C15" s="18">
        <f>(4591.0/B15*100)</f>
        <v/>
      </c>
      <c r="D15" s="19" t="n">
        <v>1291</v>
      </c>
      <c r="E15" s="18" t="n">
        <v>43.73735069</v>
      </c>
      <c r="F15" s="20" t="n">
        <v>1.66433007</v>
      </c>
      <c r="G15" s="18" t="n">
        <v>54.92149427</v>
      </c>
      <c r="H15" s="20" t="n">
        <v>1.64908561</v>
      </c>
      <c r="I15" s="18" t="n">
        <v>0</v>
      </c>
      <c r="J15" s="20" t="n">
        <v>0</v>
      </c>
      <c r="K15" s="18" t="n">
        <v>0.31219743</v>
      </c>
      <c r="L15" s="20" t="n">
        <v>0.15649408</v>
      </c>
      <c r="M15" s="18" t="n">
        <v>0</v>
      </c>
      <c r="N15" s="20" t="n">
        <v>0</v>
      </c>
      <c r="O15" s="18" t="n">
        <v>0</v>
      </c>
      <c r="P15" s="20" t="n">
        <v>0</v>
      </c>
      <c r="Q15" s="18" t="n">
        <v>1.02895761</v>
      </c>
      <c r="R15" s="20" t="n">
        <v>0.2761129</v>
      </c>
    </row>
    <row r="16" spans="1:18">
      <c r="A16" s="15" t="s">
        <v>574</v>
      </c>
      <c r="B16" s="17" t="n">
        <v>6108</v>
      </c>
      <c r="C16" s="18">
        <f>(4788.0/B16*100)</f>
        <v/>
      </c>
      <c r="D16" s="19" t="n">
        <v>1320</v>
      </c>
      <c r="E16" s="18" t="n">
        <v>62.95120798</v>
      </c>
      <c r="F16" s="20" t="n">
        <v>1.35815385</v>
      </c>
      <c r="G16" s="18" t="n">
        <v>32.21538689</v>
      </c>
      <c r="H16" s="20" t="n">
        <v>1.35749997</v>
      </c>
      <c r="I16" s="18" t="n">
        <v>0</v>
      </c>
      <c r="J16" s="20" t="n">
        <v>0</v>
      </c>
      <c r="K16" s="18" t="n">
        <v>1.96104769</v>
      </c>
      <c r="L16" s="20" t="n">
        <v>0.39800745</v>
      </c>
      <c r="M16" s="18" t="n">
        <v>0</v>
      </c>
      <c r="N16" s="20" t="n">
        <v>0</v>
      </c>
      <c r="O16" s="18" t="n">
        <v>0</v>
      </c>
      <c r="P16" s="20" t="n">
        <v>0</v>
      </c>
      <c r="Q16" s="18" t="n">
        <v>2.87235744</v>
      </c>
      <c r="R16" s="20" t="n">
        <v>0.52861699</v>
      </c>
    </row>
    <row r="17" spans="1:18">
      <c r="A17" s="15" t="s">
        <v>575</v>
      </c>
      <c r="B17" s="17" t="n">
        <v>6504</v>
      </c>
      <c r="C17" s="18">
        <f>(5124.0/B17*100)</f>
        <v/>
      </c>
      <c r="D17" s="19" t="n">
        <v>1380</v>
      </c>
      <c r="E17" s="18" t="n">
        <v>53.65909278</v>
      </c>
      <c r="F17" s="20" t="n">
        <v>1.27834431</v>
      </c>
      <c r="G17" s="18" t="n">
        <v>43.9894571</v>
      </c>
      <c r="H17" s="20" t="n">
        <v>1.33873654</v>
      </c>
      <c r="I17" s="18" t="n">
        <v>0</v>
      </c>
      <c r="J17" s="20" t="n">
        <v>0</v>
      </c>
      <c r="K17" s="18" t="n">
        <v>0.63104745</v>
      </c>
      <c r="L17" s="20" t="n">
        <v>0.21002126</v>
      </c>
      <c r="M17" s="18" t="n">
        <v>0</v>
      </c>
      <c r="N17" s="20" t="n">
        <v>0</v>
      </c>
      <c r="O17" s="18" t="n">
        <v>0</v>
      </c>
      <c r="P17" s="20" t="n">
        <v>0</v>
      </c>
      <c r="Q17" s="18" t="n">
        <v>1.72040267</v>
      </c>
      <c r="R17" s="20" t="n">
        <v>0.32682553</v>
      </c>
    </row>
    <row r="18" spans="1:18">
      <c r="A18" s="15" t="s">
        <v>576</v>
      </c>
      <c r="B18" s="17" t="n">
        <v>5532</v>
      </c>
      <c r="C18" s="18">
        <f>(4310.0/B18*100)</f>
        <v/>
      </c>
      <c r="D18" s="19" t="n">
        <v>1222</v>
      </c>
      <c r="E18" s="18" t="n">
        <v>68.111215</v>
      </c>
      <c r="F18" s="20" t="n">
        <v>1.57119788</v>
      </c>
      <c r="G18" s="18" t="n">
        <v>28.45263198</v>
      </c>
      <c r="H18" s="20" t="n">
        <v>1.59000653</v>
      </c>
      <c r="I18" s="18" t="n">
        <v>0</v>
      </c>
      <c r="J18" s="20" t="n">
        <v>0</v>
      </c>
      <c r="K18" s="18" t="n">
        <v>1.18534124</v>
      </c>
      <c r="L18" s="20" t="n">
        <v>0.34493502</v>
      </c>
      <c r="M18" s="18" t="n">
        <v>0</v>
      </c>
      <c r="N18" s="20" t="n">
        <v>0</v>
      </c>
      <c r="O18" s="18" t="n">
        <v>0</v>
      </c>
      <c r="P18" s="20" t="n">
        <v>0</v>
      </c>
      <c r="Q18" s="18" t="n">
        <v>2.25081178</v>
      </c>
      <c r="R18" s="20" t="n">
        <v>0.49945717</v>
      </c>
    </row>
    <row r="19" spans="1:18">
      <c r="A19" s="15" t="s">
        <v>577</v>
      </c>
      <c r="B19" s="17" t="n">
        <v>5658</v>
      </c>
      <c r="C19" s="18">
        <f>(4446.0/B19*100)</f>
        <v/>
      </c>
      <c r="D19" s="19" t="n">
        <v>1212</v>
      </c>
      <c r="E19" s="18" t="n">
        <v>56.31053135</v>
      </c>
      <c r="F19" s="20" t="n">
        <v>1.47961222</v>
      </c>
      <c r="G19" s="18" t="n">
        <v>41.60978036</v>
      </c>
      <c r="H19" s="20" t="n">
        <v>1.60822277</v>
      </c>
      <c r="I19" s="18" t="n">
        <v>0</v>
      </c>
      <c r="J19" s="20" t="n">
        <v>0</v>
      </c>
      <c r="K19" s="18" t="n">
        <v>0.7119702</v>
      </c>
      <c r="L19" s="20" t="n">
        <v>0.27097191</v>
      </c>
      <c r="M19" s="18" t="n">
        <v>0</v>
      </c>
      <c r="N19" s="20" t="n">
        <v>0</v>
      </c>
      <c r="O19" s="18" t="n">
        <v>0</v>
      </c>
      <c r="P19" s="20" t="n">
        <v>0</v>
      </c>
      <c r="Q19" s="18" t="n">
        <v>1.36771809</v>
      </c>
      <c r="R19" s="20" t="n">
        <v>0.41511259</v>
      </c>
    </row>
    <row r="20" spans="1:18">
      <c r="A20" s="15" t="s">
        <v>578</v>
      </c>
      <c r="B20" s="17" t="n">
        <v>3371</v>
      </c>
      <c r="C20" s="18">
        <f>(2651.0/B20*100)</f>
        <v/>
      </c>
      <c r="D20" s="19" t="n">
        <v>720</v>
      </c>
      <c r="E20" s="18" t="n">
        <v>58.48067861</v>
      </c>
      <c r="F20" s="20" t="n">
        <v>1.67683702</v>
      </c>
      <c r="G20" s="18" t="n">
        <v>36.83670415</v>
      </c>
      <c r="H20" s="20" t="n">
        <v>1.67469762</v>
      </c>
      <c r="I20" s="18" t="n">
        <v>0</v>
      </c>
      <c r="J20" s="20" t="n">
        <v>0</v>
      </c>
      <c r="K20" s="18" t="n">
        <v>1.88691001</v>
      </c>
      <c r="L20" s="20" t="n">
        <v>0.57487924</v>
      </c>
      <c r="M20" s="18" t="n">
        <v>0</v>
      </c>
      <c r="N20" s="20" t="n">
        <v>0</v>
      </c>
      <c r="O20" s="18" t="n">
        <v>0</v>
      </c>
      <c r="P20" s="20" t="n">
        <v>0</v>
      </c>
      <c r="Q20" s="18" t="n">
        <v>2.79570723</v>
      </c>
      <c r="R20" s="20" t="n">
        <v>0.70389187</v>
      </c>
    </row>
    <row r="21" spans="1:18">
      <c r="A21" s="15" t="s">
        <v>579</v>
      </c>
      <c r="B21" s="17" t="n">
        <v>5741</v>
      </c>
      <c r="C21" s="18">
        <f>(4472.0/B21*100)</f>
        <v/>
      </c>
      <c r="D21" s="19" t="n">
        <v>1269</v>
      </c>
      <c r="E21" s="18" t="n">
        <v>48.7991131</v>
      </c>
      <c r="F21" s="20" t="n">
        <v>1.53113268</v>
      </c>
      <c r="G21" s="18" t="n">
        <v>49.17316878</v>
      </c>
      <c r="H21" s="20" t="n">
        <v>1.56989957</v>
      </c>
      <c r="I21" s="18" t="n">
        <v>0</v>
      </c>
      <c r="J21" s="20" t="n">
        <v>0</v>
      </c>
      <c r="K21" s="18" t="n">
        <v>0.82219205</v>
      </c>
      <c r="L21" s="20" t="n">
        <v>0.27954496</v>
      </c>
      <c r="M21" s="18" t="n">
        <v>0</v>
      </c>
      <c r="N21" s="20" t="n">
        <v>0</v>
      </c>
      <c r="O21" s="18" t="n">
        <v>0</v>
      </c>
      <c r="P21" s="20" t="n">
        <v>0</v>
      </c>
      <c r="Q21" s="18" t="n">
        <v>1.20552607</v>
      </c>
      <c r="R21" s="20" t="n">
        <v>0.39396984</v>
      </c>
    </row>
    <row r="22" spans="1:18">
      <c r="A22" s="15" t="s">
        <v>580</v>
      </c>
      <c r="B22" s="17" t="n">
        <v>6598</v>
      </c>
      <c r="C22" s="18">
        <f>(5302.0/B22*100)</f>
        <v/>
      </c>
      <c r="D22" s="19" t="n">
        <v>1296</v>
      </c>
      <c r="E22" s="18" t="n">
        <v>58.87102034</v>
      </c>
      <c r="F22" s="20" t="n">
        <v>1.55456372</v>
      </c>
      <c r="G22" s="18" t="n">
        <v>35.6520516</v>
      </c>
      <c r="H22" s="20" t="n">
        <v>1.42523164</v>
      </c>
      <c r="I22" s="18" t="n">
        <v>0</v>
      </c>
      <c r="J22" s="20" t="n">
        <v>0</v>
      </c>
      <c r="K22" s="18" t="n">
        <v>1.89075729</v>
      </c>
      <c r="L22" s="20" t="n">
        <v>0.45212153</v>
      </c>
      <c r="M22" s="18" t="n">
        <v>0</v>
      </c>
      <c r="N22" s="20" t="n">
        <v>0</v>
      </c>
      <c r="O22" s="18" t="n">
        <v>0</v>
      </c>
      <c r="P22" s="20" t="n">
        <v>0</v>
      </c>
      <c r="Q22" s="18" t="n">
        <v>3.58617077</v>
      </c>
      <c r="R22" s="20" t="n">
        <v>0.55667107</v>
      </c>
    </row>
    <row r="23" spans="1:18">
      <c r="A23" s="15" t="s">
        <v>581</v>
      </c>
      <c r="B23" s="17" t="n">
        <v>11583</v>
      </c>
      <c r="C23" s="18">
        <f>(9096.0/B23*100)</f>
        <v/>
      </c>
      <c r="D23" s="19" t="n">
        <v>2487</v>
      </c>
      <c r="E23" s="18" t="n">
        <v>57.7803736</v>
      </c>
      <c r="F23" s="20" t="n">
        <v>1.55293484</v>
      </c>
      <c r="G23" s="18" t="n">
        <v>38.05730203</v>
      </c>
      <c r="H23" s="20" t="n">
        <v>1.46865509</v>
      </c>
      <c r="I23" s="18" t="n">
        <v>0</v>
      </c>
      <c r="J23" s="20" t="n">
        <v>0</v>
      </c>
      <c r="K23" s="18" t="n">
        <v>1.69625741</v>
      </c>
      <c r="L23" s="20" t="n">
        <v>0.39048497</v>
      </c>
      <c r="M23" s="18" t="n">
        <v>0</v>
      </c>
      <c r="N23" s="20" t="n">
        <v>0</v>
      </c>
      <c r="O23" s="18" t="n">
        <v>0</v>
      </c>
      <c r="P23" s="20" t="n">
        <v>0</v>
      </c>
      <c r="Q23" s="18" t="n">
        <v>2.46606696</v>
      </c>
      <c r="R23" s="20" t="n">
        <v>0.4905605</v>
      </c>
    </row>
    <row r="24" spans="1:18">
      <c r="A24" s="15" t="s">
        <v>582</v>
      </c>
      <c r="B24" s="17" t="n">
        <v>6647</v>
      </c>
      <c r="C24" s="18">
        <f>(5219.0/B24*100)</f>
        <v/>
      </c>
      <c r="D24" s="19" t="n">
        <v>1428</v>
      </c>
      <c r="E24" s="18" t="n">
        <v>48.02752898</v>
      </c>
      <c r="F24" s="20" t="n">
        <v>1.37215003</v>
      </c>
      <c r="G24" s="18" t="n">
        <v>50.44814237</v>
      </c>
      <c r="H24" s="20" t="n">
        <v>1.37977672</v>
      </c>
      <c r="I24" s="18" t="n">
        <v>0</v>
      </c>
      <c r="J24" s="20" t="n">
        <v>0</v>
      </c>
      <c r="K24" s="18" t="n">
        <v>0.26826137</v>
      </c>
      <c r="L24" s="20" t="n">
        <v>0.13569992</v>
      </c>
      <c r="M24" s="18" t="n">
        <v>0</v>
      </c>
      <c r="N24" s="20" t="n">
        <v>0</v>
      </c>
      <c r="O24" s="18" t="n">
        <v>0</v>
      </c>
      <c r="P24" s="20" t="n">
        <v>0</v>
      </c>
      <c r="Q24" s="18" t="n">
        <v>1.25606728</v>
      </c>
      <c r="R24" s="20" t="n">
        <v>0.3099408</v>
      </c>
    </row>
    <row r="25" spans="1:18">
      <c r="A25" s="15" t="s">
        <v>583</v>
      </c>
      <c r="B25" s="17" t="n">
        <v>5581</v>
      </c>
      <c r="C25" s="18">
        <f>(4322.0/B25*100)</f>
        <v/>
      </c>
      <c r="D25" s="19" t="n">
        <v>1259</v>
      </c>
      <c r="E25" s="18" t="n">
        <v>45.74596657</v>
      </c>
      <c r="F25" s="20" t="n">
        <v>1.70812033</v>
      </c>
      <c r="G25" s="18" t="n">
        <v>52.74928147</v>
      </c>
      <c r="H25" s="20" t="n">
        <v>1.68582874</v>
      </c>
      <c r="I25" s="18" t="n">
        <v>0</v>
      </c>
      <c r="J25" s="20" t="n">
        <v>0</v>
      </c>
      <c r="K25" s="18" t="n">
        <v>0.36631545</v>
      </c>
      <c r="L25" s="20" t="n">
        <v>0.19163113</v>
      </c>
      <c r="M25" s="18" t="n">
        <v>0</v>
      </c>
      <c r="N25" s="20" t="n">
        <v>0</v>
      </c>
      <c r="O25" s="18" t="n">
        <v>0</v>
      </c>
      <c r="P25" s="20" t="n">
        <v>0</v>
      </c>
      <c r="Q25" s="18" t="n">
        <v>1.13843652</v>
      </c>
      <c r="R25" s="20" t="n">
        <v>0.35305361</v>
      </c>
    </row>
    <row r="26" spans="1:18">
      <c r="A26" s="15" t="s">
        <v>584</v>
      </c>
      <c r="B26" s="17" t="n">
        <v>4869</v>
      </c>
      <c r="C26" s="18">
        <f>(3789.0/B26*100)</f>
        <v/>
      </c>
      <c r="D26" s="19" t="n">
        <v>1080</v>
      </c>
      <c r="E26" s="18" t="n">
        <v>48.94624957</v>
      </c>
      <c r="F26" s="20" t="n">
        <v>1.74018408</v>
      </c>
      <c r="G26" s="18" t="n">
        <v>50.05814964</v>
      </c>
      <c r="H26" s="20" t="n">
        <v>1.77959294</v>
      </c>
      <c r="I26" s="18" t="n">
        <v>0</v>
      </c>
      <c r="J26" s="20" t="n">
        <v>0</v>
      </c>
      <c r="K26" s="18" t="n">
        <v>0.5943034</v>
      </c>
      <c r="L26" s="20" t="n">
        <v>0.29345895</v>
      </c>
      <c r="M26" s="18" t="n">
        <v>0</v>
      </c>
      <c r="N26" s="20" t="n">
        <v>0</v>
      </c>
      <c r="O26" s="18" t="n">
        <v>0</v>
      </c>
      <c r="P26" s="20" t="n">
        <v>0</v>
      </c>
      <c r="Q26" s="18" t="n">
        <v>0.40129738</v>
      </c>
      <c r="R26" s="20" t="n">
        <v>0.25523746</v>
      </c>
    </row>
    <row r="27" spans="1:18">
      <c r="A27" s="15" t="s">
        <v>585</v>
      </c>
      <c r="B27" s="17" t="n">
        <v>5299</v>
      </c>
      <c r="C27" s="18">
        <f>(4181.0/B27*100)</f>
        <v/>
      </c>
      <c r="D27" s="19" t="n">
        <v>1118</v>
      </c>
      <c r="E27" s="18" t="n">
        <v>57.61223703</v>
      </c>
      <c r="F27" s="20" t="n">
        <v>1.42301489</v>
      </c>
      <c r="G27" s="18" t="n">
        <v>38.93985525</v>
      </c>
      <c r="H27" s="20" t="n">
        <v>1.43074071</v>
      </c>
      <c r="I27" s="18" t="n">
        <v>0</v>
      </c>
      <c r="J27" s="20" t="n">
        <v>0</v>
      </c>
      <c r="K27" s="18" t="n">
        <v>0.62769197</v>
      </c>
      <c r="L27" s="20" t="n">
        <v>0.19949261</v>
      </c>
      <c r="M27" s="18" t="n">
        <v>0</v>
      </c>
      <c r="N27" s="20" t="n">
        <v>0</v>
      </c>
      <c r="O27" s="18" t="n">
        <v>0</v>
      </c>
      <c r="P27" s="20" t="n">
        <v>0</v>
      </c>
      <c r="Q27" s="18" t="n">
        <v>2.82021574</v>
      </c>
      <c r="R27" s="20" t="n">
        <v>0.47668461</v>
      </c>
    </row>
    <row r="28" spans="1:18">
      <c r="A28" s="15" t="s">
        <v>586</v>
      </c>
      <c r="B28" s="17" t="n">
        <v>7568</v>
      </c>
      <c r="C28" s="18">
        <f>(6012.0/B28*100)</f>
        <v/>
      </c>
      <c r="D28" s="19" t="n">
        <v>1556</v>
      </c>
      <c r="E28" s="18" t="n">
        <v>71.91191864</v>
      </c>
      <c r="F28" s="20" t="n">
        <v>1.21152782</v>
      </c>
      <c r="G28" s="18" t="n">
        <v>25.62854471</v>
      </c>
      <c r="H28" s="20" t="n">
        <v>1.10588675</v>
      </c>
      <c r="I28" s="18" t="n">
        <v>0</v>
      </c>
      <c r="J28" s="20" t="n">
        <v>0</v>
      </c>
      <c r="K28" s="18" t="n">
        <v>1.23396162</v>
      </c>
      <c r="L28" s="20" t="n">
        <v>0.48563703</v>
      </c>
      <c r="M28" s="18" t="n">
        <v>0</v>
      </c>
      <c r="N28" s="20" t="n">
        <v>0</v>
      </c>
      <c r="O28" s="18" t="n">
        <v>0</v>
      </c>
      <c r="P28" s="20" t="n">
        <v>0</v>
      </c>
      <c r="Q28" s="18" t="n">
        <v>1.22557504</v>
      </c>
      <c r="R28" s="20" t="n">
        <v>0.35040895</v>
      </c>
    </row>
    <row r="29" spans="1:18">
      <c r="A29" s="15" t="s">
        <v>587</v>
      </c>
      <c r="B29" s="17" t="n">
        <v>5385</v>
      </c>
      <c r="C29" s="18">
        <f>(4243.0/B29*100)</f>
        <v/>
      </c>
      <c r="D29" s="19" t="n">
        <v>1142</v>
      </c>
      <c r="E29" s="18" t="n">
        <v>48.8527028</v>
      </c>
      <c r="F29" s="20" t="n">
        <v>1.27132648</v>
      </c>
      <c r="G29" s="18" t="n">
        <v>49.79289483</v>
      </c>
      <c r="H29" s="20" t="n">
        <v>1.29168402</v>
      </c>
      <c r="I29" s="18" t="n">
        <v>0</v>
      </c>
      <c r="J29" s="20" t="n">
        <v>0</v>
      </c>
      <c r="K29" s="18" t="n">
        <v>0.25047456</v>
      </c>
      <c r="L29" s="20" t="n">
        <v>0.15301412</v>
      </c>
      <c r="M29" s="18" t="n">
        <v>0</v>
      </c>
      <c r="N29" s="20" t="n">
        <v>0</v>
      </c>
      <c r="O29" s="18" t="n">
        <v>0</v>
      </c>
      <c r="P29" s="20" t="n">
        <v>0</v>
      </c>
      <c r="Q29" s="18" t="n">
        <v>1.10392781</v>
      </c>
      <c r="R29" s="20" t="n">
        <v>0.3458979</v>
      </c>
    </row>
    <row r="30" spans="1:18">
      <c r="A30" s="15" t="s">
        <v>588</v>
      </c>
      <c r="B30" s="17" t="n">
        <v>4520</v>
      </c>
      <c r="C30" s="18">
        <f>(3571.0/B30*100)</f>
        <v/>
      </c>
      <c r="D30" s="19" t="n">
        <v>949</v>
      </c>
      <c r="E30" s="18" t="n">
        <v>52.73797253</v>
      </c>
      <c r="F30" s="20" t="n">
        <v>1.62145817</v>
      </c>
      <c r="G30" s="18" t="n">
        <v>43.54835494</v>
      </c>
      <c r="H30" s="20" t="n">
        <v>1.78086994</v>
      </c>
      <c r="I30" s="18" t="n">
        <v>0</v>
      </c>
      <c r="J30" s="20" t="n">
        <v>0</v>
      </c>
      <c r="K30" s="18" t="n">
        <v>1.11591114</v>
      </c>
      <c r="L30" s="20" t="n">
        <v>0.34649934</v>
      </c>
      <c r="M30" s="18" t="n">
        <v>0</v>
      </c>
      <c r="N30" s="20" t="n">
        <v>0</v>
      </c>
      <c r="O30" s="18" t="n">
        <v>0</v>
      </c>
      <c r="P30" s="20" t="n">
        <v>0</v>
      </c>
      <c r="Q30" s="18" t="n">
        <v>2.59776139</v>
      </c>
      <c r="R30" s="20" t="n">
        <v>0.76058204</v>
      </c>
    </row>
    <row r="31" spans="1:18">
      <c r="A31" s="15" t="s">
        <v>589</v>
      </c>
      <c r="B31" s="17" t="n">
        <v>5456</v>
      </c>
      <c r="C31" s="18">
        <f>(4253.0/B31*100)</f>
        <v/>
      </c>
      <c r="D31" s="19" t="n">
        <v>1203</v>
      </c>
      <c r="E31" s="18" t="n">
        <v>43.9817801</v>
      </c>
      <c r="F31" s="20" t="n">
        <v>1.7187744</v>
      </c>
      <c r="G31" s="18" t="n">
        <v>51.81509291</v>
      </c>
      <c r="H31" s="20" t="n">
        <v>1.78289601</v>
      </c>
      <c r="I31" s="18" t="n">
        <v>0</v>
      </c>
      <c r="J31" s="20" t="n">
        <v>0</v>
      </c>
      <c r="K31" s="18" t="n">
        <v>1.56294145</v>
      </c>
      <c r="L31" s="20" t="n">
        <v>0.37468852</v>
      </c>
      <c r="M31" s="18" t="n">
        <v>0</v>
      </c>
      <c r="N31" s="20" t="n">
        <v>0</v>
      </c>
      <c r="O31" s="18" t="n">
        <v>0</v>
      </c>
      <c r="P31" s="20" t="n">
        <v>0</v>
      </c>
      <c r="Q31" s="18" t="n">
        <v>2.64018554</v>
      </c>
      <c r="R31" s="20" t="n">
        <v>0.47957787</v>
      </c>
    </row>
    <row r="32" spans="1:18">
      <c r="A32" s="15" t="s">
        <v>590</v>
      </c>
      <c r="B32" s="17" t="n">
        <v>4478</v>
      </c>
      <c r="C32" s="18">
        <f>(3471.0/B32*100)</f>
        <v/>
      </c>
      <c r="D32" s="19" t="n">
        <v>1007</v>
      </c>
      <c r="E32" s="18" t="n">
        <v>53.95678497</v>
      </c>
      <c r="F32" s="20" t="n">
        <v>1.48423663</v>
      </c>
      <c r="G32" s="18" t="n">
        <v>45.21412636</v>
      </c>
      <c r="H32" s="20" t="n">
        <v>1.53087115</v>
      </c>
      <c r="I32" s="18" t="n">
        <v>0</v>
      </c>
      <c r="J32" s="20" t="n">
        <v>0</v>
      </c>
      <c r="K32" s="18" t="n">
        <v>0.22588965</v>
      </c>
      <c r="L32" s="20" t="n">
        <v>0.16426625</v>
      </c>
      <c r="M32" s="18" t="n">
        <v>0</v>
      </c>
      <c r="N32" s="20" t="n">
        <v>0</v>
      </c>
      <c r="O32" s="18" t="n">
        <v>0</v>
      </c>
      <c r="P32" s="20" t="n">
        <v>0</v>
      </c>
      <c r="Q32" s="18" t="n">
        <v>0.60319902</v>
      </c>
      <c r="R32" s="20" t="n">
        <v>0.22586483</v>
      </c>
    </row>
    <row r="33" spans="1:18">
      <c r="A33" s="15" t="s">
        <v>591</v>
      </c>
      <c r="B33" s="17" t="n">
        <v>7325</v>
      </c>
      <c r="C33" s="18">
        <f>(5764.0/B33*100)</f>
        <v/>
      </c>
      <c r="D33" s="19" t="n">
        <v>1561</v>
      </c>
      <c r="E33" s="18" t="n">
        <v>58.6902479</v>
      </c>
      <c r="F33" s="20" t="n">
        <v>1.51904097</v>
      </c>
      <c r="G33" s="18" t="n">
        <v>39.25198838</v>
      </c>
      <c r="H33" s="20" t="n">
        <v>1.4594789</v>
      </c>
      <c r="I33" s="18" t="n">
        <v>0</v>
      </c>
      <c r="J33" s="20" t="n">
        <v>0</v>
      </c>
      <c r="K33" s="18" t="n">
        <v>0.99556315</v>
      </c>
      <c r="L33" s="20" t="n">
        <v>0.29768171</v>
      </c>
      <c r="M33" s="18" t="n">
        <v>0</v>
      </c>
      <c r="N33" s="20" t="n">
        <v>0</v>
      </c>
      <c r="O33" s="18" t="n">
        <v>0</v>
      </c>
      <c r="P33" s="20" t="n">
        <v>0</v>
      </c>
      <c r="Q33" s="18" t="n">
        <v>1.06220057</v>
      </c>
      <c r="R33" s="20" t="n">
        <v>0.28923784</v>
      </c>
    </row>
    <row r="34" spans="1:18">
      <c r="A34" s="15" t="s">
        <v>592</v>
      </c>
      <c r="B34" s="17" t="n">
        <v>6350</v>
      </c>
      <c r="C34" s="18">
        <f>(5054.0/B34*100)</f>
        <v/>
      </c>
      <c r="D34" s="19" t="n">
        <v>1296</v>
      </c>
      <c r="E34" s="18" t="n">
        <v>61.0894129</v>
      </c>
      <c r="F34" s="20" t="n">
        <v>1.52477666</v>
      </c>
      <c r="G34" s="18" t="n">
        <v>35.73987511</v>
      </c>
      <c r="H34" s="20" t="n">
        <v>1.56257089</v>
      </c>
      <c r="I34" s="18" t="n">
        <v>0</v>
      </c>
      <c r="J34" s="20" t="n">
        <v>0</v>
      </c>
      <c r="K34" s="18" t="n">
        <v>1.04986303</v>
      </c>
      <c r="L34" s="20" t="n">
        <v>0.33015538</v>
      </c>
      <c r="M34" s="18" t="n">
        <v>0</v>
      </c>
      <c r="N34" s="20" t="n">
        <v>0</v>
      </c>
      <c r="O34" s="18" t="n">
        <v>0</v>
      </c>
      <c r="P34" s="20" t="n">
        <v>0</v>
      </c>
      <c r="Q34" s="18" t="n">
        <v>2.12084895</v>
      </c>
      <c r="R34" s="20" t="n">
        <v>0.41783765</v>
      </c>
    </row>
    <row r="35" spans="1:18">
      <c r="A35" s="15" t="s">
        <v>593</v>
      </c>
      <c r="B35" s="17" t="n">
        <v>6406</v>
      </c>
      <c r="C35" s="18">
        <f>(5061.0/B35*100)</f>
        <v/>
      </c>
      <c r="D35" s="19" t="n">
        <v>1345</v>
      </c>
      <c r="E35" s="18" t="n">
        <v>52.06631916</v>
      </c>
      <c r="F35" s="20" t="n">
        <v>1.78746194</v>
      </c>
      <c r="G35" s="18" t="n">
        <v>46.33238064</v>
      </c>
      <c r="H35" s="20" t="n">
        <v>1.80929029</v>
      </c>
      <c r="I35" s="18" t="n">
        <v>0</v>
      </c>
      <c r="J35" s="20" t="n">
        <v>0</v>
      </c>
      <c r="K35" s="18" t="n">
        <v>0.13180757</v>
      </c>
      <c r="L35" s="20" t="n">
        <v>0.07998479</v>
      </c>
      <c r="M35" s="18" t="n">
        <v>0</v>
      </c>
      <c r="N35" s="20" t="n">
        <v>0</v>
      </c>
      <c r="O35" s="18" t="n">
        <v>0</v>
      </c>
      <c r="P35" s="20" t="n">
        <v>0</v>
      </c>
      <c r="Q35" s="18" t="n">
        <v>1.46949262</v>
      </c>
      <c r="R35" s="20" t="n">
        <v>0.28899934</v>
      </c>
    </row>
    <row r="36" spans="1:18">
      <c r="A36" s="15" t="s">
        <v>594</v>
      </c>
      <c r="B36" s="17" t="n">
        <v>6736</v>
      </c>
      <c r="C36" s="18">
        <f>(5299.0/B36*100)</f>
        <v/>
      </c>
      <c r="D36" s="19" t="n">
        <v>1437</v>
      </c>
      <c r="E36" s="18" t="n">
        <v>56.00566236</v>
      </c>
      <c r="F36" s="20" t="n">
        <v>1.28805733</v>
      </c>
      <c r="G36" s="18" t="n">
        <v>41.13696936</v>
      </c>
      <c r="H36" s="20" t="n">
        <v>1.33668377</v>
      </c>
      <c r="I36" s="18" t="n">
        <v>0</v>
      </c>
      <c r="J36" s="20" t="n">
        <v>0</v>
      </c>
      <c r="K36" s="18" t="n">
        <v>1.05820799</v>
      </c>
      <c r="L36" s="20" t="n">
        <v>0.25994335</v>
      </c>
      <c r="M36" s="18" t="n">
        <v>0</v>
      </c>
      <c r="N36" s="20" t="n">
        <v>0</v>
      </c>
      <c r="O36" s="18" t="n">
        <v>0</v>
      </c>
      <c r="P36" s="20" t="n">
        <v>0</v>
      </c>
      <c r="Q36" s="18" t="n">
        <v>1.7991603</v>
      </c>
      <c r="R36" s="20" t="n">
        <v>0.33147417</v>
      </c>
    </row>
    <row r="37" spans="1:18">
      <c r="A37" s="15" t="s">
        <v>595</v>
      </c>
      <c r="B37" s="17" t="n">
        <v>5458</v>
      </c>
      <c r="C37" s="18">
        <f>(4323.0/B37*100)</f>
        <v/>
      </c>
      <c r="D37" s="19" t="n">
        <v>1135</v>
      </c>
      <c r="E37" s="18" t="n">
        <v>49.77030653</v>
      </c>
      <c r="F37" s="20" t="n">
        <v>1.97579526</v>
      </c>
      <c r="G37" s="18" t="n">
        <v>44.41889265</v>
      </c>
      <c r="H37" s="20" t="n">
        <v>1.9796879</v>
      </c>
      <c r="I37" s="18" t="n">
        <v>0</v>
      </c>
      <c r="J37" s="20" t="n">
        <v>0</v>
      </c>
      <c r="K37" s="18" t="n">
        <v>1.56173758</v>
      </c>
      <c r="L37" s="20" t="n">
        <v>0.27871332</v>
      </c>
      <c r="M37" s="18" t="n">
        <v>0</v>
      </c>
      <c r="N37" s="20" t="n">
        <v>0</v>
      </c>
      <c r="O37" s="18" t="n">
        <v>0</v>
      </c>
      <c r="P37" s="20" t="n">
        <v>0</v>
      </c>
      <c r="Q37" s="18" t="n">
        <v>4.24906324</v>
      </c>
      <c r="R37" s="20" t="n">
        <v>0.6079024</v>
      </c>
    </row>
    <row r="38" spans="1:18">
      <c r="A38" s="15" t="s">
        <v>596</v>
      </c>
      <c r="B38" s="17" t="n">
        <v>5860</v>
      </c>
      <c r="C38" s="18">
        <f>(4593.0/B38*100)</f>
        <v/>
      </c>
      <c r="D38" s="19" t="n">
        <v>1267</v>
      </c>
      <c r="E38" s="18" t="n">
        <v>55.44967275</v>
      </c>
      <c r="F38" s="20" t="n">
        <v>1.59590949</v>
      </c>
      <c r="G38" s="18" t="n">
        <v>41.37414021</v>
      </c>
      <c r="H38" s="20" t="n">
        <v>1.71824174</v>
      </c>
      <c r="I38" s="18" t="n">
        <v>0</v>
      </c>
      <c r="J38" s="20" t="n">
        <v>0</v>
      </c>
      <c r="K38" s="18" t="n">
        <v>1.06287468</v>
      </c>
      <c r="L38" s="20" t="n">
        <v>0.30033234</v>
      </c>
      <c r="M38" s="18" t="n">
        <v>0</v>
      </c>
      <c r="N38" s="20" t="n">
        <v>0</v>
      </c>
      <c r="O38" s="18" t="n">
        <v>0</v>
      </c>
      <c r="P38" s="20" t="n">
        <v>0</v>
      </c>
      <c r="Q38" s="18" t="n">
        <v>2.11331236</v>
      </c>
      <c r="R38" s="20" t="n">
        <v>0.58915754</v>
      </c>
    </row>
    <row r="39" spans="1:18">
      <c r="A39" s="15" t="s">
        <v>597</v>
      </c>
      <c r="B39" s="17" t="n">
        <v>5895</v>
      </c>
      <c r="C39" s="18">
        <f>(4574.0/B39*100)</f>
        <v/>
      </c>
      <c r="D39" s="19" t="n">
        <v>1321</v>
      </c>
      <c r="E39" s="18" t="n">
        <v>61.39780843</v>
      </c>
      <c r="F39" s="20" t="n">
        <v>1.78600875</v>
      </c>
      <c r="G39" s="18" t="n">
        <v>35.94934919</v>
      </c>
      <c r="H39" s="20" t="n">
        <v>1.75673003</v>
      </c>
      <c r="I39" s="18" t="n">
        <v>0</v>
      </c>
      <c r="J39" s="20" t="n">
        <v>0</v>
      </c>
      <c r="K39" s="18" t="n">
        <v>0.47938301</v>
      </c>
      <c r="L39" s="20" t="n">
        <v>0.15547768</v>
      </c>
      <c r="M39" s="18" t="n">
        <v>0</v>
      </c>
      <c r="N39" s="20" t="n">
        <v>0</v>
      </c>
      <c r="O39" s="18" t="n">
        <v>0</v>
      </c>
      <c r="P39" s="20" t="n">
        <v>0</v>
      </c>
      <c r="Q39" s="18" t="n">
        <v>2.17345937</v>
      </c>
      <c r="R39" s="20" t="n">
        <v>0.41587515</v>
      </c>
    </row>
    <row r="40" spans="1:18">
      <c r="A40" s="15" t="s">
        <v>598</v>
      </c>
      <c r="B40" s="17" t="n">
        <v>14157</v>
      </c>
      <c r="C40" s="18">
        <f>(11017.0/B40*100)</f>
        <v/>
      </c>
      <c r="D40" s="19" t="n">
        <v>3140</v>
      </c>
      <c r="E40" s="18" t="n">
        <v>51.7705438</v>
      </c>
      <c r="F40" s="20" t="n">
        <v>1.46033055</v>
      </c>
      <c r="G40" s="18" t="n">
        <v>45.21168019</v>
      </c>
      <c r="H40" s="20" t="n">
        <v>1.44115701</v>
      </c>
      <c r="I40" s="18" t="n">
        <v>0</v>
      </c>
      <c r="J40" s="20" t="n">
        <v>0</v>
      </c>
      <c r="K40" s="18" t="n">
        <v>0.82573741</v>
      </c>
      <c r="L40" s="20" t="n">
        <v>0.25742019</v>
      </c>
      <c r="M40" s="18" t="n">
        <v>0</v>
      </c>
      <c r="N40" s="20" t="n">
        <v>0</v>
      </c>
      <c r="O40" s="18" t="n">
        <v>0</v>
      </c>
      <c r="P40" s="20" t="n">
        <v>0</v>
      </c>
      <c r="Q40" s="18" t="n">
        <v>2.1920386</v>
      </c>
      <c r="R40" s="20" t="n">
        <v>0.4058004</v>
      </c>
    </row>
    <row r="41" spans="1:18">
      <c r="A41" s="15" t="s">
        <v>599</v>
      </c>
      <c r="B41" s="17" t="n">
        <v>5712</v>
      </c>
      <c r="C41" s="18">
        <f>(4522.0/B41*100)</f>
        <v/>
      </c>
      <c r="D41" s="19" t="n">
        <v>1190</v>
      </c>
      <c r="E41" s="18" t="n">
        <v>48.0293494</v>
      </c>
      <c r="F41" s="20" t="n">
        <v>1.35003585</v>
      </c>
      <c r="G41" s="18" t="n">
        <v>49.36991292</v>
      </c>
      <c r="H41" s="20" t="n">
        <v>1.5302133</v>
      </c>
      <c r="I41" s="18" t="n">
        <v>0</v>
      </c>
      <c r="J41" s="20" t="n">
        <v>0</v>
      </c>
      <c r="K41" s="18" t="n">
        <v>0.95776782</v>
      </c>
      <c r="L41" s="20" t="n">
        <v>0.36241236</v>
      </c>
      <c r="M41" s="18" t="n">
        <v>0</v>
      </c>
      <c r="N41" s="20" t="n">
        <v>0</v>
      </c>
      <c r="O41" s="18" t="n">
        <v>0</v>
      </c>
      <c r="P41" s="20" t="n">
        <v>0</v>
      </c>
      <c r="Q41" s="18" t="n">
        <v>1.64296986</v>
      </c>
      <c r="R41" s="20" t="n">
        <v>0.43118806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(19576.0/B46*100)</f>
        <v/>
      </c>
      <c r="D46" s="19" t="n">
        <v>3565</v>
      </c>
      <c r="E46" s="18" t="n">
        <v>63.16973896</v>
      </c>
      <c r="F46" s="20" t="n">
        <v>0.8240671899999999</v>
      </c>
      <c r="G46" s="18" t="n">
        <v>30.05870478</v>
      </c>
      <c r="H46" s="20" t="n">
        <v>0.88669318</v>
      </c>
      <c r="I46" s="18" t="n">
        <v>0</v>
      </c>
      <c r="J46" s="20" t="n">
        <v>0</v>
      </c>
      <c r="K46" s="18" t="n">
        <v>2.69714656</v>
      </c>
      <c r="L46" s="20" t="n">
        <v>0.44469566</v>
      </c>
      <c r="M46" s="18" t="n">
        <v>0</v>
      </c>
      <c r="N46" s="20" t="n">
        <v>0</v>
      </c>
      <c r="O46" s="18" t="n">
        <v>0</v>
      </c>
      <c r="P46" s="20" t="n">
        <v>0</v>
      </c>
      <c r="Q46" s="18" t="n">
        <v>4.07440969</v>
      </c>
      <c r="R46" s="20" t="n">
        <v>0.42788465</v>
      </c>
    </row>
    <row r="47" spans="1:18">
      <c r="A47" s="15" t="s">
        <v>606</v>
      </c>
      <c r="B47" s="17" t="n">
        <v>5928</v>
      </c>
      <c r="C47" s="18">
        <f>(4627.0/B47*100)</f>
        <v/>
      </c>
      <c r="D47" s="19" t="n">
        <v>1301</v>
      </c>
      <c r="E47" s="18" t="n">
        <v>55.61978535</v>
      </c>
      <c r="F47" s="20" t="n">
        <v>1.51551059</v>
      </c>
      <c r="G47" s="18" t="n">
        <v>40.77044316</v>
      </c>
      <c r="H47" s="20" t="n">
        <v>1.53143612</v>
      </c>
      <c r="I47" s="18" t="n">
        <v>0</v>
      </c>
      <c r="J47" s="20" t="n">
        <v>0</v>
      </c>
      <c r="K47" s="18" t="n">
        <v>1.12570479</v>
      </c>
      <c r="L47" s="20" t="n">
        <v>0.30145895</v>
      </c>
      <c r="M47" s="18" t="n">
        <v>0</v>
      </c>
      <c r="N47" s="20" t="n">
        <v>0</v>
      </c>
      <c r="O47" s="18" t="n">
        <v>0</v>
      </c>
      <c r="P47" s="20" t="n">
        <v>0</v>
      </c>
      <c r="Q47" s="18" t="n">
        <v>2.4840667</v>
      </c>
      <c r="R47" s="20" t="n">
        <v>0.41995964</v>
      </c>
    </row>
    <row r="48" spans="1:18">
      <c r="A48" s="15" t="s">
        <v>607</v>
      </c>
      <c r="B48" s="17" t="n">
        <v>9841</v>
      </c>
      <c r="C48" s="18">
        <f>(7696.0/B48*100)</f>
        <v/>
      </c>
      <c r="D48" s="19" t="n">
        <v>2145</v>
      </c>
      <c r="E48" s="18" t="n">
        <v>51.79902741</v>
      </c>
      <c r="F48" s="20" t="n">
        <v>1.81466285</v>
      </c>
      <c r="G48" s="18" t="n">
        <v>46.50375171</v>
      </c>
      <c r="H48" s="20" t="n">
        <v>1.84776217</v>
      </c>
      <c r="I48" s="18" t="n">
        <v>0</v>
      </c>
      <c r="J48" s="20" t="n">
        <v>0</v>
      </c>
      <c r="K48" s="18" t="n">
        <v>0.86981164</v>
      </c>
      <c r="L48" s="20" t="n">
        <v>0.29576557</v>
      </c>
      <c r="M48" s="18" t="n">
        <v>0</v>
      </c>
      <c r="N48" s="20" t="n">
        <v>0</v>
      </c>
      <c r="O48" s="18" t="n">
        <v>0</v>
      </c>
      <c r="P48" s="20" t="n">
        <v>0</v>
      </c>
      <c r="Q48" s="18" t="n">
        <v>0.82740925</v>
      </c>
      <c r="R48" s="20" t="n">
        <v>0.25171594</v>
      </c>
    </row>
    <row r="49" spans="1:18">
      <c r="A49" s="15" t="s">
        <v>608</v>
      </c>
      <c r="B49" s="17" t="n">
        <v>11795</v>
      </c>
      <c r="C49" s="18">
        <f>(9298.0/B49*100)</f>
        <v/>
      </c>
      <c r="D49" s="19" t="n">
        <v>2497</v>
      </c>
      <c r="E49" s="18" t="n">
        <v>62.72874547</v>
      </c>
      <c r="F49" s="20" t="n">
        <v>1.42976805</v>
      </c>
      <c r="G49" s="18" t="n">
        <v>31.29885383</v>
      </c>
      <c r="H49" s="20" t="n">
        <v>1.39660627</v>
      </c>
      <c r="I49" s="18" t="n">
        <v>0</v>
      </c>
      <c r="J49" s="20" t="n">
        <v>0</v>
      </c>
      <c r="K49" s="18" t="n">
        <v>3.60197579</v>
      </c>
      <c r="L49" s="20" t="n">
        <v>0.65997184</v>
      </c>
      <c r="M49" s="18" t="n">
        <v>0</v>
      </c>
      <c r="N49" s="20" t="n">
        <v>0</v>
      </c>
      <c r="O49" s="18" t="n">
        <v>0</v>
      </c>
      <c r="P49" s="20" t="n">
        <v>0</v>
      </c>
      <c r="Q49" s="18" t="n">
        <v>2.37042491</v>
      </c>
      <c r="R49" s="20" t="n">
        <v>0.48040561</v>
      </c>
    </row>
    <row r="50" spans="1:18">
      <c r="A50" s="15" t="s">
        <v>609</v>
      </c>
      <c r="B50" s="17" t="n">
        <v>6866</v>
      </c>
      <c r="C50" s="18">
        <f>(5687.0/B50*100)</f>
        <v/>
      </c>
      <c r="D50" s="19" t="n">
        <v>1179</v>
      </c>
      <c r="E50" s="18" t="n">
        <v>76.35683585</v>
      </c>
      <c r="F50" s="20" t="n">
        <v>1.50848923</v>
      </c>
      <c r="G50" s="18" t="n">
        <v>19.54789587</v>
      </c>
      <c r="H50" s="20" t="n">
        <v>1.47553301</v>
      </c>
      <c r="I50" s="18" t="n">
        <v>0</v>
      </c>
      <c r="J50" s="20" t="n">
        <v>0</v>
      </c>
      <c r="K50" s="18" t="n">
        <v>1.14507312</v>
      </c>
      <c r="L50" s="20" t="n">
        <v>0.3401312</v>
      </c>
      <c r="M50" s="18" t="n">
        <v>0</v>
      </c>
      <c r="N50" s="20" t="n">
        <v>0</v>
      </c>
      <c r="O50" s="18" t="n">
        <v>0</v>
      </c>
      <c r="P50" s="20" t="n">
        <v>0</v>
      </c>
      <c r="Q50" s="18" t="n">
        <v>2.95019517</v>
      </c>
      <c r="R50" s="20" t="n">
        <v>0.50155659</v>
      </c>
    </row>
    <row r="51" spans="1:18">
      <c r="A51" s="15" t="s">
        <v>610</v>
      </c>
      <c r="B51" s="17" t="n">
        <v>5809</v>
      </c>
      <c r="C51" s="18">
        <f>(4551.0/B51*100)</f>
        <v/>
      </c>
      <c r="D51" s="19" t="n">
        <v>1258</v>
      </c>
      <c r="E51" s="18" t="n">
        <v>64.18074446999999</v>
      </c>
      <c r="F51" s="20" t="n">
        <v>1.40197591</v>
      </c>
      <c r="G51" s="18" t="n">
        <v>33.7019903</v>
      </c>
      <c r="H51" s="20" t="n">
        <v>1.34174963</v>
      </c>
      <c r="I51" s="18" t="n">
        <v>0</v>
      </c>
      <c r="J51" s="20" t="n">
        <v>0</v>
      </c>
      <c r="K51" s="18" t="n">
        <v>0.41768247</v>
      </c>
      <c r="L51" s="20" t="n">
        <v>0.18634258</v>
      </c>
      <c r="M51" s="18" t="n">
        <v>0</v>
      </c>
      <c r="N51" s="20" t="n">
        <v>0</v>
      </c>
      <c r="O51" s="18" t="n">
        <v>0</v>
      </c>
      <c r="P51" s="20" t="n">
        <v>0</v>
      </c>
      <c r="Q51" s="18" t="n">
        <v>1.69958276</v>
      </c>
      <c r="R51" s="20" t="n">
        <v>0.37628711</v>
      </c>
    </row>
    <row r="52" spans="1:18">
      <c r="A52" s="15" t="s">
        <v>611</v>
      </c>
      <c r="B52" s="17" t="n">
        <v>5571</v>
      </c>
      <c r="C52" s="18">
        <f>(4307.0/B52*100)</f>
        <v/>
      </c>
      <c r="D52" s="19" t="n">
        <v>1264</v>
      </c>
      <c r="E52" s="18" t="n">
        <v>59.69886016</v>
      </c>
      <c r="F52" s="20" t="n">
        <v>1.57823722</v>
      </c>
      <c r="G52" s="18" t="n">
        <v>36.12546854</v>
      </c>
      <c r="H52" s="20" t="n">
        <v>1.57735087</v>
      </c>
      <c r="I52" s="18" t="n">
        <v>0</v>
      </c>
      <c r="J52" s="20" t="n">
        <v>0</v>
      </c>
      <c r="K52" s="18" t="n">
        <v>1.07740366</v>
      </c>
      <c r="L52" s="20" t="n">
        <v>0.27493497</v>
      </c>
      <c r="M52" s="18" t="n">
        <v>0</v>
      </c>
      <c r="N52" s="20" t="n">
        <v>0</v>
      </c>
      <c r="O52" s="18" t="n">
        <v>0</v>
      </c>
      <c r="P52" s="20" t="n">
        <v>0</v>
      </c>
      <c r="Q52" s="18" t="n">
        <v>3.09826764</v>
      </c>
      <c r="R52" s="20" t="n">
        <v>0.47362988</v>
      </c>
    </row>
    <row r="53" spans="1:18">
      <c r="A53" s="15" t="s">
        <v>612</v>
      </c>
      <c r="B53" s="17" t="n">
        <v>4740</v>
      </c>
      <c r="C53" s="18">
        <f>(3705.0/B53*100)</f>
        <v/>
      </c>
      <c r="D53" s="19" t="n">
        <v>1035</v>
      </c>
      <c r="E53" s="18" t="n">
        <v>61.15535418</v>
      </c>
      <c r="F53" s="20" t="n">
        <v>1.64629888</v>
      </c>
      <c r="G53" s="18" t="n">
        <v>15.85916998</v>
      </c>
      <c r="H53" s="20" t="n">
        <v>1.42502694</v>
      </c>
      <c r="I53" s="18" t="n">
        <v>0</v>
      </c>
      <c r="J53" s="20" t="n">
        <v>0</v>
      </c>
      <c r="K53" s="18" t="n">
        <v>17.4275402</v>
      </c>
      <c r="L53" s="20" t="n">
        <v>1.3624017</v>
      </c>
      <c r="M53" s="18" t="n">
        <v>0</v>
      </c>
      <c r="N53" s="20" t="n">
        <v>0</v>
      </c>
      <c r="O53" s="18" t="n">
        <v>0</v>
      </c>
      <c r="P53" s="20" t="n">
        <v>0</v>
      </c>
      <c r="Q53" s="18" t="n">
        <v>5.55793564</v>
      </c>
      <c r="R53" s="20" t="n">
        <v>0.9891812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(4240.0/B55*100)</f>
        <v/>
      </c>
      <c r="D55" s="19" t="n">
        <v>1119</v>
      </c>
      <c r="E55" s="18" t="n">
        <v>53.88055957</v>
      </c>
      <c r="F55" s="20" t="n">
        <v>1.78493118</v>
      </c>
      <c r="G55" s="18" t="n">
        <v>44.8251134</v>
      </c>
      <c r="H55" s="20" t="n">
        <v>1.65961172</v>
      </c>
      <c r="I55" s="18" t="n">
        <v>0</v>
      </c>
      <c r="J55" s="20" t="n">
        <v>0</v>
      </c>
      <c r="K55" s="18" t="n">
        <v>0.41237418</v>
      </c>
      <c r="L55" s="20" t="n">
        <v>0.21783269</v>
      </c>
      <c r="M55" s="18" t="n">
        <v>0</v>
      </c>
      <c r="N55" s="20" t="n">
        <v>0</v>
      </c>
      <c r="O55" s="18" t="n">
        <v>0</v>
      </c>
      <c r="P55" s="20" t="n">
        <v>0</v>
      </c>
      <c r="Q55" s="18" t="n">
        <v>0.88195284</v>
      </c>
      <c r="R55" s="20" t="n">
        <v>0.44499147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(5108.0/B61*100)</f>
        <v/>
      </c>
      <c r="D61" s="19" t="n">
        <v>1417</v>
      </c>
      <c r="E61" s="18" t="n">
        <v>57.94634623</v>
      </c>
      <c r="F61" s="20" t="n">
        <v>1.236863</v>
      </c>
      <c r="G61" s="18" t="n">
        <v>40.92222475</v>
      </c>
      <c r="H61" s="20" t="n">
        <v>1.21633803</v>
      </c>
      <c r="I61" s="18" t="n">
        <v>0</v>
      </c>
      <c r="J61" s="20" t="n">
        <v>0</v>
      </c>
      <c r="K61" s="18" t="n">
        <v>0.36635812</v>
      </c>
      <c r="L61" s="20" t="n">
        <v>0.17428479</v>
      </c>
      <c r="M61" s="18" t="n">
        <v>0</v>
      </c>
      <c r="N61" s="20" t="n">
        <v>0</v>
      </c>
      <c r="O61" s="18" t="n">
        <v>0</v>
      </c>
      <c r="P61" s="20" t="n">
        <v>0</v>
      </c>
      <c r="Q61" s="18" t="n">
        <v>0.7650709</v>
      </c>
      <c r="R61" s="20" t="n">
        <v>0.2337718</v>
      </c>
    </row>
    <row r="62" spans="1:18">
      <c r="A62" s="15" t="s">
        <v>622</v>
      </c>
      <c r="B62" s="17" t="n">
        <v>4476</v>
      </c>
      <c r="C62" s="18">
        <f>(3524.0/B62*100)</f>
        <v/>
      </c>
      <c r="D62" s="19" t="n">
        <v>952</v>
      </c>
      <c r="E62" s="18" t="n">
        <v>54.63475243</v>
      </c>
      <c r="F62" s="20" t="n">
        <v>1.58568059</v>
      </c>
      <c r="G62" s="18" t="n">
        <v>44.73611706</v>
      </c>
      <c r="H62" s="20" t="n">
        <v>1.62365303</v>
      </c>
      <c r="I62" s="18" t="n">
        <v>0</v>
      </c>
      <c r="J62" s="20" t="n">
        <v>0</v>
      </c>
      <c r="K62" s="18" t="n">
        <v>0.10785071</v>
      </c>
      <c r="L62" s="20" t="n">
        <v>0.10767561</v>
      </c>
      <c r="M62" s="18" t="n">
        <v>0</v>
      </c>
      <c r="N62" s="20" t="n">
        <v>0</v>
      </c>
      <c r="O62" s="18" t="n">
        <v>0</v>
      </c>
      <c r="P62" s="20" t="n">
        <v>0</v>
      </c>
      <c r="Q62" s="18" t="n">
        <v>0.5212798</v>
      </c>
      <c r="R62" s="20" t="n">
        <v>0.23306951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(4471.0/B67*100)</f>
        <v/>
      </c>
      <c r="D67" s="19" t="n">
        <v>1194</v>
      </c>
      <c r="E67" s="18" t="n">
        <v>60.41745206</v>
      </c>
      <c r="F67" s="20" t="n">
        <v>1.4240312</v>
      </c>
      <c r="G67" s="18" t="n">
        <v>30.49986636</v>
      </c>
      <c r="H67" s="20" t="n">
        <v>1.39381867</v>
      </c>
      <c r="I67" s="18" t="n">
        <v>0</v>
      </c>
      <c r="J67" s="20" t="n">
        <v>0</v>
      </c>
      <c r="K67" s="18" t="n">
        <v>1.70717773</v>
      </c>
      <c r="L67" s="20" t="n">
        <v>0.40261436</v>
      </c>
      <c r="M67" s="18" t="n">
        <v>0</v>
      </c>
      <c r="N67" s="20" t="n">
        <v>0</v>
      </c>
      <c r="O67" s="18" t="n">
        <v>0</v>
      </c>
      <c r="P67" s="20" t="n">
        <v>0</v>
      </c>
      <c r="Q67" s="18" t="n">
        <v>7.37550385</v>
      </c>
      <c r="R67" s="20" t="n">
        <v>0.79757489</v>
      </c>
    </row>
    <row r="68" spans="1:18">
      <c r="A68" s="15" t="s">
        <v>628</v>
      </c>
      <c r="B68" s="17" t="n">
        <v>6971</v>
      </c>
      <c r="C68" s="18">
        <f>(5698.0/B68*100)</f>
        <v/>
      </c>
      <c r="D68" s="19" t="n">
        <v>1273</v>
      </c>
      <c r="E68" s="18" t="n">
        <v>74.60017504</v>
      </c>
      <c r="F68" s="20" t="n">
        <v>1.14282403</v>
      </c>
      <c r="G68" s="18" t="n">
        <v>21.95072676</v>
      </c>
      <c r="H68" s="20" t="n">
        <v>1.12218274</v>
      </c>
      <c r="I68" s="18" t="n">
        <v>0</v>
      </c>
      <c r="J68" s="20" t="n">
        <v>0</v>
      </c>
      <c r="K68" s="18" t="n">
        <v>0.70023684</v>
      </c>
      <c r="L68" s="20" t="n">
        <v>0.28425797</v>
      </c>
      <c r="M68" s="18" t="n">
        <v>0</v>
      </c>
      <c r="N68" s="20" t="n">
        <v>0</v>
      </c>
      <c r="O68" s="18" t="n">
        <v>0</v>
      </c>
      <c r="P68" s="20" t="n">
        <v>0</v>
      </c>
      <c r="Q68" s="18" t="n">
        <v>2.74886136</v>
      </c>
      <c r="R68" s="20" t="n">
        <v>0.52068771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(9384.0/B70*100)</f>
        <v/>
      </c>
      <c r="D70" s="19" t="n">
        <v>2699</v>
      </c>
      <c r="E70" s="18" t="n">
        <v>58.75291457</v>
      </c>
      <c r="F70" s="20" t="n">
        <v>0.91856791</v>
      </c>
      <c r="G70" s="18" t="n">
        <v>32.23546788</v>
      </c>
      <c r="H70" s="20" t="n">
        <v>0.8241656000000001</v>
      </c>
      <c r="I70" s="18" t="n">
        <v>0</v>
      </c>
      <c r="J70" s="20" t="n">
        <v>0</v>
      </c>
      <c r="K70" s="18" t="n">
        <v>4.88482727</v>
      </c>
      <c r="L70" s="20" t="n">
        <v>0.41697168</v>
      </c>
      <c r="M70" s="18" t="n">
        <v>0</v>
      </c>
      <c r="N70" s="20" t="n">
        <v>0</v>
      </c>
      <c r="O70" s="18" t="n">
        <v>0</v>
      </c>
      <c r="P70" s="20" t="n">
        <v>0</v>
      </c>
      <c r="Q70" s="18" t="n">
        <v>4.12679028</v>
      </c>
      <c r="R70" s="20" t="n">
        <v>0.3706513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(4765.0/B72*100)</f>
        <v/>
      </c>
      <c r="D72" s="19" t="n">
        <v>1271</v>
      </c>
      <c r="E72" s="18" t="n">
        <v>68.81751173000001</v>
      </c>
      <c r="F72" s="20" t="n">
        <v>1.46499135</v>
      </c>
      <c r="G72" s="18" t="n">
        <v>29.3918201</v>
      </c>
      <c r="H72" s="20" t="n">
        <v>1.41537976</v>
      </c>
      <c r="I72" s="18" t="n">
        <v>0</v>
      </c>
      <c r="J72" s="20" t="n">
        <v>0</v>
      </c>
      <c r="K72" s="18" t="n">
        <v>0.70375699</v>
      </c>
      <c r="L72" s="20" t="n">
        <v>0.2181123</v>
      </c>
      <c r="M72" s="18" t="n">
        <v>0</v>
      </c>
      <c r="N72" s="20" t="n">
        <v>0</v>
      </c>
      <c r="O72" s="18" t="n">
        <v>0</v>
      </c>
      <c r="P72" s="20" t="n">
        <v>0</v>
      </c>
      <c r="Q72" s="18" t="n">
        <v>1.08691118</v>
      </c>
      <c r="R72" s="20" t="n">
        <v>0.34639258</v>
      </c>
    </row>
    <row r="73" spans="1:18">
      <c r="A73" s="15" t="s">
        <v>633</v>
      </c>
      <c r="B73" s="17" t="n">
        <v>6115</v>
      </c>
      <c r="C73" s="18">
        <f>(4770.0/B73*100)</f>
        <v/>
      </c>
      <c r="D73" s="19" t="n">
        <v>1345</v>
      </c>
      <c r="E73" s="18" t="n">
        <v>32.54487662</v>
      </c>
      <c r="F73" s="20" t="n">
        <v>1.45970652</v>
      </c>
      <c r="G73" s="18" t="n">
        <v>66.32852229</v>
      </c>
      <c r="H73" s="20" t="n">
        <v>1.45996346</v>
      </c>
      <c r="I73" s="18" t="n">
        <v>0</v>
      </c>
      <c r="J73" s="20" t="n">
        <v>0</v>
      </c>
      <c r="K73" s="18" t="n">
        <v>0.55321594</v>
      </c>
      <c r="L73" s="20" t="n">
        <v>0.20945579</v>
      </c>
      <c r="M73" s="18" t="n">
        <v>0</v>
      </c>
      <c r="N73" s="20" t="n">
        <v>0</v>
      </c>
      <c r="O73" s="18" t="n">
        <v>0</v>
      </c>
      <c r="P73" s="20" t="n">
        <v>0</v>
      </c>
      <c r="Q73" s="18" t="n">
        <v>0.5733851599999999</v>
      </c>
      <c r="R73" s="20" t="n">
        <v>0.18228738</v>
      </c>
    </row>
    <row r="74" spans="1:18">
      <c r="A74" s="15" t="s">
        <v>634</v>
      </c>
      <c r="B74" s="17" t="n">
        <v>7708</v>
      </c>
      <c r="C74" s="18">
        <f>(6059.0/B74*100)</f>
        <v/>
      </c>
      <c r="D74" s="19" t="n">
        <v>1649</v>
      </c>
      <c r="E74" s="18" t="n">
        <v>43.93533622</v>
      </c>
      <c r="F74" s="20" t="n">
        <v>1.25298037</v>
      </c>
      <c r="G74" s="18" t="n">
        <v>55.01318955</v>
      </c>
      <c r="H74" s="20" t="n">
        <v>1.31848032</v>
      </c>
      <c r="I74" s="18" t="n">
        <v>0</v>
      </c>
      <c r="J74" s="20" t="n">
        <v>0</v>
      </c>
      <c r="K74" s="18" t="n">
        <v>0.33351324</v>
      </c>
      <c r="L74" s="20" t="n">
        <v>0.14015555</v>
      </c>
      <c r="M74" s="18" t="n">
        <v>0</v>
      </c>
      <c r="N74" s="20" t="n">
        <v>0</v>
      </c>
      <c r="O74" s="18" t="n">
        <v>0</v>
      </c>
      <c r="P74" s="20" t="n">
        <v>0</v>
      </c>
      <c r="Q74" s="18" t="n">
        <v>0.71796099</v>
      </c>
      <c r="R74" s="20" t="n">
        <v>0.17529952</v>
      </c>
    </row>
    <row r="75" spans="1:18">
      <c r="A75" s="15" t="s">
        <v>635</v>
      </c>
      <c r="B75" s="17" t="n">
        <v>8249</v>
      </c>
      <c r="C75" s="18">
        <f>(6592.0/B75*100)</f>
        <v/>
      </c>
      <c r="D75" s="19" t="n">
        <v>1657</v>
      </c>
      <c r="E75" s="18" t="n">
        <v>63.23869443</v>
      </c>
      <c r="F75" s="20" t="n">
        <v>1.67401261</v>
      </c>
      <c r="G75" s="18" t="n">
        <v>35.59411559</v>
      </c>
      <c r="H75" s="20" t="n">
        <v>1.65383588</v>
      </c>
      <c r="I75" s="18" t="n">
        <v>0</v>
      </c>
      <c r="J75" s="20" t="n">
        <v>0</v>
      </c>
      <c r="K75" s="18" t="n">
        <v>0</v>
      </c>
      <c r="L75" s="20" t="n">
        <v>0</v>
      </c>
      <c r="M75" s="18" t="n">
        <v>0</v>
      </c>
      <c r="N75" s="20" t="n">
        <v>0</v>
      </c>
      <c r="O75" s="18" t="n">
        <v>0</v>
      </c>
      <c r="P75" s="20" t="n">
        <v>0</v>
      </c>
      <c r="Q75" s="18" t="n">
        <v>1.16718998</v>
      </c>
      <c r="R75" s="20" t="n">
        <v>0.37361708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(4366.0/B77*100)</f>
        <v/>
      </c>
      <c r="D77" s="19" t="n">
        <v>1009</v>
      </c>
      <c r="E77" s="18" t="n">
        <v>74.91428505</v>
      </c>
      <c r="F77" s="20" t="n">
        <v>1.55349415</v>
      </c>
      <c r="G77" s="18" t="n">
        <v>15.58125875</v>
      </c>
      <c r="H77" s="20" t="n">
        <v>1.15238813</v>
      </c>
      <c r="I77" s="18" t="n">
        <v>0</v>
      </c>
      <c r="J77" s="20" t="n">
        <v>0</v>
      </c>
      <c r="K77" s="18" t="n">
        <v>6.09130011</v>
      </c>
      <c r="L77" s="20" t="n">
        <v>0.91312774</v>
      </c>
      <c r="M77" s="18" t="n">
        <v>0</v>
      </c>
      <c r="N77" s="20" t="n">
        <v>0</v>
      </c>
      <c r="O77" s="18" t="n">
        <v>0</v>
      </c>
      <c r="P77" s="20" t="n">
        <v>0</v>
      </c>
      <c r="Q77" s="18" t="n">
        <v>3.41315609</v>
      </c>
      <c r="R77" s="20" t="n">
        <v>0.64774373</v>
      </c>
    </row>
    <row r="78" spans="1:18">
      <c r="A78" s="15" t="s">
        <v>638</v>
      </c>
      <c r="B78" s="17" t="n">
        <v>14167</v>
      </c>
      <c r="C78" s="18">
        <f>(11176.0/B78*100)</f>
        <v/>
      </c>
      <c r="D78" s="19" t="n">
        <v>2991</v>
      </c>
      <c r="E78" s="18" t="n">
        <v>61.91400865</v>
      </c>
      <c r="F78" s="20" t="n">
        <v>0.86616677</v>
      </c>
      <c r="G78" s="18" t="n">
        <v>34.21324566</v>
      </c>
      <c r="H78" s="20" t="n">
        <v>0.93456597</v>
      </c>
      <c r="I78" s="18" t="n">
        <v>0</v>
      </c>
      <c r="J78" s="20" t="n">
        <v>0</v>
      </c>
      <c r="K78" s="18" t="n">
        <v>1.56029516</v>
      </c>
      <c r="L78" s="20" t="n">
        <v>0.30006742</v>
      </c>
      <c r="M78" s="18" t="n">
        <v>0</v>
      </c>
      <c r="N78" s="20" t="n">
        <v>0</v>
      </c>
      <c r="O78" s="18" t="n">
        <v>0</v>
      </c>
      <c r="P78" s="20" t="n">
        <v>0</v>
      </c>
      <c r="Q78" s="18" t="n">
        <v>2.31245053</v>
      </c>
      <c r="R78" s="20" t="n">
        <v>0.33738364</v>
      </c>
    </row>
    <row r="79" spans="1:18">
      <c r="A79" s="15" t="s">
        <v>639</v>
      </c>
      <c r="B79" s="17" t="n">
        <v>6062</v>
      </c>
      <c r="C79" s="18">
        <f>(4782.0/B79*100)</f>
        <v/>
      </c>
      <c r="D79" s="19" t="n">
        <v>1280</v>
      </c>
      <c r="E79" s="18" t="n">
        <v>66.85428095</v>
      </c>
      <c r="F79" s="20" t="n">
        <v>1.4292845</v>
      </c>
      <c r="G79" s="18" t="n">
        <v>25.17682275</v>
      </c>
      <c r="H79" s="20" t="n">
        <v>1.35200731</v>
      </c>
      <c r="I79" s="18" t="n">
        <v>0</v>
      </c>
      <c r="J79" s="20" t="n">
        <v>0</v>
      </c>
      <c r="K79" s="18" t="n">
        <v>2.43565162</v>
      </c>
      <c r="L79" s="20" t="n">
        <v>0.50424117</v>
      </c>
      <c r="M79" s="18" t="n">
        <v>0</v>
      </c>
      <c r="N79" s="20" t="n">
        <v>0</v>
      </c>
      <c r="O79" s="18" t="n">
        <v>0</v>
      </c>
      <c r="P79" s="20" t="n">
        <v>0</v>
      </c>
      <c r="Q79" s="18" t="n">
        <v>5.53324468</v>
      </c>
      <c r="R79" s="20" t="n">
        <v>0.80185251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(25445.0/B82*100)</f>
        <v/>
      </c>
      <c r="D82" s="19" t="n">
        <v>6885</v>
      </c>
      <c r="E82" s="18" t="n">
        <v>55.11481124</v>
      </c>
      <c r="F82" s="20" t="n">
        <v>0.76436914</v>
      </c>
      <c r="G82" s="18" t="n">
        <v>41.87287469</v>
      </c>
      <c r="H82" s="20" t="n">
        <v>0.77155367</v>
      </c>
      <c r="I82" s="18" t="n">
        <v>0</v>
      </c>
      <c r="J82" s="20" t="n">
        <v>0</v>
      </c>
      <c r="K82" s="18" t="n">
        <v>1.06549989</v>
      </c>
      <c r="L82" s="20" t="n">
        <v>0.17201127</v>
      </c>
      <c r="M82" s="18" t="n">
        <v>0</v>
      </c>
      <c r="N82" s="20" t="n">
        <v>0</v>
      </c>
      <c r="O82" s="18" t="n">
        <v>0</v>
      </c>
      <c r="P82" s="20" t="n">
        <v>0</v>
      </c>
      <c r="Q82" s="18" t="n">
        <v>1.94681418</v>
      </c>
      <c r="R82" s="20" t="n">
        <v>0.210389</v>
      </c>
    </row>
    <row r="83" spans="1:18">
      <c r="A83" s="15" t="s">
        <v>643</v>
      </c>
      <c r="B83" s="17" t="n">
        <v>1652</v>
      </c>
      <c r="C83" s="18">
        <f>(1323.0/B83*100)</f>
        <v/>
      </c>
      <c r="D83" s="19" t="n">
        <v>329</v>
      </c>
      <c r="E83" s="18" t="n">
        <v>45.4626408</v>
      </c>
      <c r="F83" s="20" t="n">
        <v>3.38825752</v>
      </c>
      <c r="G83" s="18" t="n">
        <v>53.27484061</v>
      </c>
      <c r="H83" s="20" t="n">
        <v>3.29159205</v>
      </c>
      <c r="I83" s="18" t="n">
        <v>0</v>
      </c>
      <c r="J83" s="20" t="n">
        <v>0</v>
      </c>
      <c r="K83" s="18" t="n">
        <v>0</v>
      </c>
      <c r="L83" s="20" t="n">
        <v>0</v>
      </c>
      <c r="M83" s="18" t="n">
        <v>0</v>
      </c>
      <c r="N83" s="20" t="n">
        <v>0</v>
      </c>
      <c r="O83" s="18" t="n">
        <v>0</v>
      </c>
      <c r="P83" s="20" t="n">
        <v>0</v>
      </c>
      <c r="Q83" s="18" t="n">
        <v>1.26251858</v>
      </c>
      <c r="R83" s="20" t="n">
        <v>0.75572162</v>
      </c>
    </row>
    <row r="84" spans="1:18">
      <c r="A84" s="23" t="s">
        <v>644</v>
      </c>
      <c r="B84" s="24" t="n">
        <v>1887</v>
      </c>
      <c r="C84" s="25">
        <f>(1508.0/B84*100)</f>
        <v/>
      </c>
      <c r="D84" s="19" t="n">
        <v>379</v>
      </c>
      <c r="E84" s="18" t="n">
        <v>55.99607864</v>
      </c>
      <c r="F84" s="20" t="n">
        <v>2.80702467</v>
      </c>
      <c r="G84" s="18" t="n">
        <v>42.20285477</v>
      </c>
      <c r="H84" s="20" t="n">
        <v>2.65121137</v>
      </c>
      <c r="I84" s="18" t="n">
        <v>0</v>
      </c>
      <c r="J84" s="20" t="n">
        <v>0</v>
      </c>
      <c r="K84" s="18" t="n">
        <v>0.52178749</v>
      </c>
      <c r="L84" s="20" t="n">
        <v>0.35994147</v>
      </c>
      <c r="M84" s="18" t="n">
        <v>0</v>
      </c>
      <c r="N84" s="20" t="n">
        <v>0</v>
      </c>
      <c r="O84" s="18" t="n">
        <v>0</v>
      </c>
      <c r="P84" s="20" t="n">
        <v>0</v>
      </c>
      <c r="Q84" s="18" t="n">
        <v>1.27927909</v>
      </c>
      <c r="R84" s="20" t="n">
        <v>0.43330262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(11483.0/B7*100)</f>
        <v/>
      </c>
      <c r="D7" s="19" t="n">
        <v>3047</v>
      </c>
      <c r="E7" s="18" t="n">
        <v>41.34392608</v>
      </c>
      <c r="F7" s="20" t="n">
        <v>1.02490913</v>
      </c>
      <c r="G7" s="18" t="n">
        <v>56.0238678</v>
      </c>
      <c r="H7" s="20" t="n">
        <v>0.97814696</v>
      </c>
      <c r="I7" s="18" t="n">
        <v>0</v>
      </c>
      <c r="J7" s="20" t="n">
        <v>0</v>
      </c>
      <c r="K7" s="18" t="n">
        <v>0.95146145</v>
      </c>
      <c r="L7" s="20" t="n">
        <v>0.21103321</v>
      </c>
      <c r="M7" s="18" t="n">
        <v>0.11279118</v>
      </c>
      <c r="N7" s="20" t="n">
        <v>0.05922855</v>
      </c>
      <c r="O7" s="18" t="n">
        <v>0</v>
      </c>
      <c r="P7" s="20" t="n">
        <v>0</v>
      </c>
      <c r="Q7" s="18" t="n">
        <v>1.56795349</v>
      </c>
      <c r="R7" s="20" t="n">
        <v>0.269604</v>
      </c>
    </row>
    <row r="8" spans="1:18">
      <c r="A8" s="15" t="s">
        <v>566</v>
      </c>
      <c r="B8" s="17" t="n">
        <v>7007</v>
      </c>
      <c r="C8" s="18">
        <f>(5435.0/B8*100)</f>
        <v/>
      </c>
      <c r="D8" s="19" t="n">
        <v>1572</v>
      </c>
      <c r="E8" s="18" t="n">
        <v>50.68128584</v>
      </c>
      <c r="F8" s="20" t="n">
        <v>1.58494527</v>
      </c>
      <c r="G8" s="18" t="n">
        <v>45.81191562</v>
      </c>
      <c r="H8" s="20" t="n">
        <v>1.64166899</v>
      </c>
      <c r="I8" s="18" t="n">
        <v>0</v>
      </c>
      <c r="J8" s="20" t="n">
        <v>0</v>
      </c>
      <c r="K8" s="18" t="n">
        <v>0.83688018</v>
      </c>
      <c r="L8" s="20" t="n">
        <v>0.2425776</v>
      </c>
      <c r="M8" s="18" t="n">
        <v>0</v>
      </c>
      <c r="N8" s="20" t="n">
        <v>0</v>
      </c>
      <c r="O8" s="18" t="n">
        <v>0</v>
      </c>
      <c r="P8" s="20" t="n">
        <v>0</v>
      </c>
      <c r="Q8" s="18" t="n">
        <v>2.66991836</v>
      </c>
      <c r="R8" s="20" t="n">
        <v>0.38768057</v>
      </c>
    </row>
    <row r="9" spans="1:18">
      <c r="A9" s="15" t="s">
        <v>567</v>
      </c>
      <c r="B9" s="17" t="n">
        <v>9651</v>
      </c>
      <c r="C9" s="18">
        <f>(7688.0/B9*100)</f>
        <v/>
      </c>
      <c r="D9" s="19" t="n">
        <v>1963</v>
      </c>
      <c r="E9" s="18" t="n">
        <v>38.40369401</v>
      </c>
      <c r="F9" s="20" t="n">
        <v>1.10005615</v>
      </c>
      <c r="G9" s="18" t="n">
        <v>57.39264641</v>
      </c>
      <c r="H9" s="20" t="n">
        <v>1.1880106</v>
      </c>
      <c r="I9" s="18" t="n">
        <v>0</v>
      </c>
      <c r="J9" s="20" t="n">
        <v>0</v>
      </c>
      <c r="K9" s="18" t="n">
        <v>1.23622971</v>
      </c>
      <c r="L9" s="20" t="n">
        <v>0.26272925</v>
      </c>
      <c r="M9" s="18" t="n">
        <v>0.5207123</v>
      </c>
      <c r="N9" s="20" t="n">
        <v>0.13746429</v>
      </c>
      <c r="O9" s="18" t="n">
        <v>0</v>
      </c>
      <c r="P9" s="20" t="n">
        <v>0</v>
      </c>
      <c r="Q9" s="18" t="n">
        <v>2.44671757</v>
      </c>
      <c r="R9" s="20" t="n">
        <v>0.38982471</v>
      </c>
    </row>
    <row r="10" spans="1:18">
      <c r="A10" s="15" t="s">
        <v>568</v>
      </c>
      <c r="B10" s="17" t="n">
        <v>20058</v>
      </c>
      <c r="C10" s="18">
        <f>(15687.0/B10*100)</f>
        <v/>
      </c>
      <c r="D10" s="19" t="n">
        <v>4371</v>
      </c>
      <c r="E10" s="18" t="n">
        <v>37.33237156</v>
      </c>
      <c r="F10" s="20" t="n">
        <v>1.14402141</v>
      </c>
      <c r="G10" s="18" t="n">
        <v>60.54377551</v>
      </c>
      <c r="H10" s="20" t="n">
        <v>1.14918215</v>
      </c>
      <c r="I10" s="18" t="n">
        <v>0</v>
      </c>
      <c r="J10" s="20" t="n">
        <v>0</v>
      </c>
      <c r="K10" s="18" t="n">
        <v>1.11595544</v>
      </c>
      <c r="L10" s="20" t="n">
        <v>0.227322</v>
      </c>
      <c r="M10" s="18" t="n">
        <v>0.04922854</v>
      </c>
      <c r="N10" s="20" t="n">
        <v>0.0492052</v>
      </c>
      <c r="O10" s="18" t="n">
        <v>0</v>
      </c>
      <c r="P10" s="20" t="n">
        <v>0</v>
      </c>
      <c r="Q10" s="18" t="n">
        <v>0.95866895</v>
      </c>
      <c r="R10" s="20" t="n">
        <v>0.16321178</v>
      </c>
    </row>
    <row r="11" spans="1:18">
      <c r="A11" s="15" t="s">
        <v>569</v>
      </c>
      <c r="B11" s="17" t="n">
        <v>7053</v>
      </c>
      <c r="C11" s="18">
        <f>(5600.0/B11*100)</f>
        <v/>
      </c>
      <c r="D11" s="19" t="n">
        <v>1453</v>
      </c>
      <c r="E11" s="18" t="n">
        <v>67.60195151000001</v>
      </c>
      <c r="F11" s="20" t="n">
        <v>1.56214286</v>
      </c>
      <c r="G11" s="18" t="n">
        <v>24.98007564</v>
      </c>
      <c r="H11" s="20" t="n">
        <v>1.43878722</v>
      </c>
      <c r="I11" s="18" t="n">
        <v>0</v>
      </c>
      <c r="J11" s="20" t="n">
        <v>0</v>
      </c>
      <c r="K11" s="18" t="n">
        <v>2.9586982</v>
      </c>
      <c r="L11" s="20" t="n">
        <v>0.55069525</v>
      </c>
      <c r="M11" s="18" t="n">
        <v>0.00771493</v>
      </c>
      <c r="N11" s="20" t="n">
        <v>0.00774877</v>
      </c>
      <c r="O11" s="18" t="n">
        <v>0</v>
      </c>
      <c r="P11" s="20" t="n">
        <v>0</v>
      </c>
      <c r="Q11" s="18" t="n">
        <v>4.45155973</v>
      </c>
      <c r="R11" s="20" t="n">
        <v>0.5836603</v>
      </c>
    </row>
    <row r="12" spans="1:18">
      <c r="A12" s="15" t="s">
        <v>570</v>
      </c>
      <c r="B12" s="17" t="n">
        <v>6894</v>
      </c>
      <c r="C12" s="18">
        <f>(5429.0/B12*100)</f>
        <v/>
      </c>
      <c r="D12" s="19" t="n">
        <v>1465</v>
      </c>
      <c r="E12" s="18" t="n">
        <v>60.96225813</v>
      </c>
      <c r="F12" s="20" t="n">
        <v>1.61968021</v>
      </c>
      <c r="G12" s="18" t="n">
        <v>37.50998309</v>
      </c>
      <c r="H12" s="20" t="n">
        <v>1.54811195</v>
      </c>
      <c r="I12" s="18" t="n">
        <v>0</v>
      </c>
      <c r="J12" s="20" t="n">
        <v>0</v>
      </c>
      <c r="K12" s="18" t="n">
        <v>0.24436207</v>
      </c>
      <c r="L12" s="20" t="n">
        <v>0.12122594</v>
      </c>
      <c r="M12" s="18" t="n">
        <v>0.08291270000000001</v>
      </c>
      <c r="N12" s="20" t="n">
        <v>0.12438482</v>
      </c>
      <c r="O12" s="18" t="n">
        <v>0</v>
      </c>
      <c r="P12" s="20" t="n">
        <v>0</v>
      </c>
      <c r="Q12" s="18" t="n">
        <v>1.200484</v>
      </c>
      <c r="R12" s="20" t="n">
        <v>0.33754012</v>
      </c>
    </row>
    <row r="13" spans="1:18">
      <c r="A13" s="15" t="s">
        <v>571</v>
      </c>
      <c r="B13" s="17" t="n">
        <v>7161</v>
      </c>
      <c r="C13" s="18">
        <f>(5667.0/B13*100)</f>
        <v/>
      </c>
      <c r="D13" s="19" t="n">
        <v>1494</v>
      </c>
      <c r="E13" s="18" t="n">
        <v>47.27541735</v>
      </c>
      <c r="F13" s="20" t="n">
        <v>1.50084653</v>
      </c>
      <c r="G13" s="18" t="n">
        <v>50.5329207</v>
      </c>
      <c r="H13" s="20" t="n">
        <v>1.67369267</v>
      </c>
      <c r="I13" s="18" t="n">
        <v>0</v>
      </c>
      <c r="J13" s="20" t="n">
        <v>0</v>
      </c>
      <c r="K13" s="18" t="n">
        <v>0.76041077</v>
      </c>
      <c r="L13" s="20" t="n">
        <v>0.26652772</v>
      </c>
      <c r="M13" s="18" t="n">
        <v>0.06352639</v>
      </c>
      <c r="N13" s="20" t="n">
        <v>0.06387832</v>
      </c>
      <c r="O13" s="18" t="n">
        <v>0</v>
      </c>
      <c r="P13" s="20" t="n">
        <v>0</v>
      </c>
      <c r="Q13" s="18" t="n">
        <v>1.36772479</v>
      </c>
      <c r="R13" s="20" t="n">
        <v>0.36781054</v>
      </c>
    </row>
    <row r="14" spans="1:18">
      <c r="A14" s="15" t="s">
        <v>572</v>
      </c>
      <c r="B14" s="17" t="n">
        <v>5587</v>
      </c>
      <c r="C14" s="18">
        <f>(4310.0/B14*100)</f>
        <v/>
      </c>
      <c r="D14" s="19" t="n">
        <v>1277</v>
      </c>
      <c r="E14" s="18" t="n">
        <v>39.39827759</v>
      </c>
      <c r="F14" s="20" t="n">
        <v>1.69694567</v>
      </c>
      <c r="G14" s="18" t="n">
        <v>58.7958952</v>
      </c>
      <c r="H14" s="20" t="n">
        <v>1.67967094</v>
      </c>
      <c r="I14" s="18" t="n">
        <v>0</v>
      </c>
      <c r="J14" s="20" t="n">
        <v>0</v>
      </c>
      <c r="K14" s="18" t="n">
        <v>1.22350381</v>
      </c>
      <c r="L14" s="20" t="n">
        <v>0.42061021</v>
      </c>
      <c r="M14" s="18" t="n">
        <v>0</v>
      </c>
      <c r="N14" s="20" t="n">
        <v>0</v>
      </c>
      <c r="O14" s="18" t="n">
        <v>0</v>
      </c>
      <c r="P14" s="20" t="n">
        <v>0</v>
      </c>
      <c r="Q14" s="18" t="n">
        <v>0.5823234</v>
      </c>
      <c r="R14" s="20" t="n">
        <v>0.24899727</v>
      </c>
    </row>
    <row r="15" spans="1:18">
      <c r="A15" s="15" t="s">
        <v>573</v>
      </c>
      <c r="B15" s="17" t="n">
        <v>5882</v>
      </c>
      <c r="C15" s="18">
        <f>(4600.0/B15*100)</f>
        <v/>
      </c>
      <c r="D15" s="19" t="n">
        <v>1282</v>
      </c>
      <c r="E15" s="18" t="n">
        <v>36.69714057</v>
      </c>
      <c r="F15" s="20" t="n">
        <v>1.45931221</v>
      </c>
      <c r="G15" s="18" t="n">
        <v>62.18870947</v>
      </c>
      <c r="H15" s="20" t="n">
        <v>1.49121555</v>
      </c>
      <c r="I15" s="18" t="n">
        <v>0</v>
      </c>
      <c r="J15" s="20" t="n">
        <v>0</v>
      </c>
      <c r="K15" s="18" t="n">
        <v>0.38427407</v>
      </c>
      <c r="L15" s="20" t="n">
        <v>0.17283561</v>
      </c>
      <c r="M15" s="18" t="n">
        <v>0</v>
      </c>
      <c r="N15" s="20" t="n">
        <v>0</v>
      </c>
      <c r="O15" s="18" t="n">
        <v>0</v>
      </c>
      <c r="P15" s="20" t="n">
        <v>0</v>
      </c>
      <c r="Q15" s="18" t="n">
        <v>0.72987589</v>
      </c>
      <c r="R15" s="20" t="n">
        <v>0.24885832</v>
      </c>
    </row>
    <row r="16" spans="1:18">
      <c r="A16" s="15" t="s">
        <v>574</v>
      </c>
      <c r="B16" s="17" t="n">
        <v>6108</v>
      </c>
      <c r="C16" s="18">
        <f>(4796.0/B16*100)</f>
        <v/>
      </c>
      <c r="D16" s="19" t="n">
        <v>1312</v>
      </c>
      <c r="E16" s="18" t="n">
        <v>48.45521166</v>
      </c>
      <c r="F16" s="20" t="n">
        <v>1.46855336</v>
      </c>
      <c r="G16" s="18" t="n">
        <v>46.42801832</v>
      </c>
      <c r="H16" s="20" t="n">
        <v>1.44619996</v>
      </c>
      <c r="I16" s="18" t="n">
        <v>0</v>
      </c>
      <c r="J16" s="20" t="n">
        <v>0</v>
      </c>
      <c r="K16" s="18" t="n">
        <v>2.39858326</v>
      </c>
      <c r="L16" s="20" t="n">
        <v>0.4187583</v>
      </c>
      <c r="M16" s="18" t="n">
        <v>0</v>
      </c>
      <c r="N16" s="20" t="n">
        <v>0</v>
      </c>
      <c r="O16" s="18" t="n">
        <v>0</v>
      </c>
      <c r="P16" s="20" t="n">
        <v>0</v>
      </c>
      <c r="Q16" s="18" t="n">
        <v>2.71818676</v>
      </c>
      <c r="R16" s="20" t="n">
        <v>0.63720208</v>
      </c>
    </row>
    <row r="17" spans="1:18">
      <c r="A17" s="15" t="s">
        <v>575</v>
      </c>
      <c r="B17" s="17" t="n">
        <v>6504</v>
      </c>
      <c r="C17" s="18">
        <f>(5129.0/B17*100)</f>
        <v/>
      </c>
      <c r="D17" s="19" t="n">
        <v>1375</v>
      </c>
      <c r="E17" s="18" t="n">
        <v>46.44157257</v>
      </c>
      <c r="F17" s="20" t="n">
        <v>1.43210589</v>
      </c>
      <c r="G17" s="18" t="n">
        <v>50.61475399</v>
      </c>
      <c r="H17" s="20" t="n">
        <v>1.40051369</v>
      </c>
      <c r="I17" s="18" t="n">
        <v>0</v>
      </c>
      <c r="J17" s="20" t="n">
        <v>0</v>
      </c>
      <c r="K17" s="18" t="n">
        <v>0.73061024</v>
      </c>
      <c r="L17" s="20" t="n">
        <v>0.24344916</v>
      </c>
      <c r="M17" s="18" t="n">
        <v>0</v>
      </c>
      <c r="N17" s="20" t="n">
        <v>0</v>
      </c>
      <c r="O17" s="18" t="n">
        <v>0</v>
      </c>
      <c r="P17" s="20" t="n">
        <v>0</v>
      </c>
      <c r="Q17" s="18" t="n">
        <v>2.2130632</v>
      </c>
      <c r="R17" s="20" t="n">
        <v>0.3292584</v>
      </c>
    </row>
    <row r="18" spans="1:18">
      <c r="A18" s="15" t="s">
        <v>576</v>
      </c>
      <c r="B18" s="17" t="n">
        <v>5532</v>
      </c>
      <c r="C18" s="18">
        <f>(4314.0/B18*100)</f>
        <v/>
      </c>
      <c r="D18" s="19" t="n">
        <v>1218</v>
      </c>
      <c r="E18" s="18" t="n">
        <v>53.04662592</v>
      </c>
      <c r="F18" s="20" t="n">
        <v>2.19736952</v>
      </c>
      <c r="G18" s="18" t="n">
        <v>42.75036639</v>
      </c>
      <c r="H18" s="20" t="n">
        <v>2.05778052</v>
      </c>
      <c r="I18" s="18" t="n">
        <v>0</v>
      </c>
      <c r="J18" s="20" t="n">
        <v>0</v>
      </c>
      <c r="K18" s="18" t="n">
        <v>1.55733216</v>
      </c>
      <c r="L18" s="20" t="n">
        <v>0.39897736</v>
      </c>
      <c r="M18" s="18" t="n">
        <v>0</v>
      </c>
      <c r="N18" s="20" t="n">
        <v>0</v>
      </c>
      <c r="O18" s="18" t="n">
        <v>0</v>
      </c>
      <c r="P18" s="20" t="n">
        <v>0</v>
      </c>
      <c r="Q18" s="18" t="n">
        <v>2.64567553</v>
      </c>
      <c r="R18" s="20" t="n">
        <v>0.43062619</v>
      </c>
    </row>
    <row r="19" spans="1:18">
      <c r="A19" s="15" t="s">
        <v>577</v>
      </c>
      <c r="B19" s="17" t="n">
        <v>5658</v>
      </c>
      <c r="C19" s="18">
        <f>(4449.0/B19*100)</f>
        <v/>
      </c>
      <c r="D19" s="19" t="n">
        <v>1209</v>
      </c>
      <c r="E19" s="18" t="n">
        <v>56.11341521</v>
      </c>
      <c r="F19" s="20" t="n">
        <v>1.72368978</v>
      </c>
      <c r="G19" s="18" t="n">
        <v>40.44076837</v>
      </c>
      <c r="H19" s="20" t="n">
        <v>1.64928146</v>
      </c>
      <c r="I19" s="18" t="n">
        <v>0</v>
      </c>
      <c r="J19" s="20" t="n">
        <v>0</v>
      </c>
      <c r="K19" s="18" t="n">
        <v>0.71425813</v>
      </c>
      <c r="L19" s="20" t="n">
        <v>0.27168214</v>
      </c>
      <c r="M19" s="18" t="n">
        <v>0.06709405</v>
      </c>
      <c r="N19" s="20" t="n">
        <v>0.06698938</v>
      </c>
      <c r="O19" s="18" t="n">
        <v>0</v>
      </c>
      <c r="P19" s="20" t="n">
        <v>0</v>
      </c>
      <c r="Q19" s="18" t="n">
        <v>2.66446424</v>
      </c>
      <c r="R19" s="20" t="n">
        <v>0.48938149</v>
      </c>
    </row>
    <row r="20" spans="1:18">
      <c r="A20" s="15" t="s">
        <v>578</v>
      </c>
      <c r="B20" s="17" t="n">
        <v>3371</v>
      </c>
      <c r="C20" s="18">
        <f>(2657.0/B20*100)</f>
        <v/>
      </c>
      <c r="D20" s="19" t="n">
        <v>714</v>
      </c>
      <c r="E20" s="18" t="n">
        <v>54.67079782</v>
      </c>
      <c r="F20" s="20" t="n">
        <v>1.9662976</v>
      </c>
      <c r="G20" s="18" t="n">
        <v>41.22677036</v>
      </c>
      <c r="H20" s="20" t="n">
        <v>1.93986008</v>
      </c>
      <c r="I20" s="18" t="n">
        <v>0</v>
      </c>
      <c r="J20" s="20" t="n">
        <v>0</v>
      </c>
      <c r="K20" s="18" t="n">
        <v>2.05369054</v>
      </c>
      <c r="L20" s="20" t="n">
        <v>0.60326047</v>
      </c>
      <c r="M20" s="18" t="n">
        <v>0.21433614</v>
      </c>
      <c r="N20" s="20" t="n">
        <v>0.20822934</v>
      </c>
      <c r="O20" s="18" t="n">
        <v>0</v>
      </c>
      <c r="P20" s="20" t="n">
        <v>0</v>
      </c>
      <c r="Q20" s="18" t="n">
        <v>1.83440513</v>
      </c>
      <c r="R20" s="20" t="n">
        <v>0.46792062</v>
      </c>
    </row>
    <row r="21" spans="1:18">
      <c r="A21" s="15" t="s">
        <v>579</v>
      </c>
      <c r="B21" s="17" t="n">
        <v>5741</v>
      </c>
      <c r="C21" s="18">
        <f>(4478.0/B21*100)</f>
        <v/>
      </c>
      <c r="D21" s="19" t="n">
        <v>1263</v>
      </c>
      <c r="E21" s="18" t="n">
        <v>43.00820441</v>
      </c>
      <c r="F21" s="20" t="n">
        <v>1.72960476</v>
      </c>
      <c r="G21" s="18" t="n">
        <v>54.49624458</v>
      </c>
      <c r="H21" s="20" t="n">
        <v>1.74323976</v>
      </c>
      <c r="I21" s="18" t="n">
        <v>0</v>
      </c>
      <c r="J21" s="20" t="n">
        <v>0</v>
      </c>
      <c r="K21" s="18" t="n">
        <v>1.07828981</v>
      </c>
      <c r="L21" s="20" t="n">
        <v>0.31857125</v>
      </c>
      <c r="M21" s="18" t="n">
        <v>0.06777906</v>
      </c>
      <c r="N21" s="20" t="n">
        <v>0.06733306999999999</v>
      </c>
      <c r="O21" s="18" t="n">
        <v>0</v>
      </c>
      <c r="P21" s="20" t="n">
        <v>0</v>
      </c>
      <c r="Q21" s="18" t="n">
        <v>1.34948215</v>
      </c>
      <c r="R21" s="20" t="n">
        <v>0.36384431</v>
      </c>
    </row>
    <row r="22" spans="1:18">
      <c r="A22" s="15" t="s">
        <v>580</v>
      </c>
      <c r="B22" s="17" t="n">
        <v>6598</v>
      </c>
      <c r="C22" s="18">
        <f>(5308.0/B22*100)</f>
        <v/>
      </c>
      <c r="D22" s="19" t="n">
        <v>1290</v>
      </c>
      <c r="E22" s="18" t="n">
        <v>53.53852822</v>
      </c>
      <c r="F22" s="20" t="n">
        <v>1.60704247</v>
      </c>
      <c r="G22" s="18" t="n">
        <v>41.89957714</v>
      </c>
      <c r="H22" s="20" t="n">
        <v>1.6997655</v>
      </c>
      <c r="I22" s="18" t="n">
        <v>0</v>
      </c>
      <c r="J22" s="20" t="n">
        <v>0</v>
      </c>
      <c r="K22" s="18" t="n">
        <v>2.27286084</v>
      </c>
      <c r="L22" s="20" t="n">
        <v>0.46473479</v>
      </c>
      <c r="M22" s="18" t="n">
        <v>0</v>
      </c>
      <c r="N22" s="20" t="n">
        <v>0</v>
      </c>
      <c r="O22" s="18" t="n">
        <v>0</v>
      </c>
      <c r="P22" s="20" t="n">
        <v>0</v>
      </c>
      <c r="Q22" s="18" t="n">
        <v>2.2890338</v>
      </c>
      <c r="R22" s="20" t="n">
        <v>0.51544496</v>
      </c>
    </row>
    <row r="23" spans="1:18">
      <c r="A23" s="15" t="s">
        <v>581</v>
      </c>
      <c r="B23" s="17" t="n">
        <v>11583</v>
      </c>
      <c r="C23" s="18">
        <f>(9101.0/B23*100)</f>
        <v/>
      </c>
      <c r="D23" s="19" t="n">
        <v>2482</v>
      </c>
      <c r="E23" s="18" t="n">
        <v>52.48684706</v>
      </c>
      <c r="F23" s="20" t="n">
        <v>1.50503125</v>
      </c>
      <c r="G23" s="18" t="n">
        <v>42.93605016</v>
      </c>
      <c r="H23" s="20" t="n">
        <v>1.53443116</v>
      </c>
      <c r="I23" s="18" t="n">
        <v>0</v>
      </c>
      <c r="J23" s="20" t="n">
        <v>0</v>
      </c>
      <c r="K23" s="18" t="n">
        <v>1.74875752</v>
      </c>
      <c r="L23" s="20" t="n">
        <v>0.39292335</v>
      </c>
      <c r="M23" s="18" t="n">
        <v>0.07566962000000001</v>
      </c>
      <c r="N23" s="20" t="n">
        <v>0.0587784</v>
      </c>
      <c r="O23" s="18" t="n">
        <v>0</v>
      </c>
      <c r="P23" s="20" t="n">
        <v>0</v>
      </c>
      <c r="Q23" s="18" t="n">
        <v>2.75267565</v>
      </c>
      <c r="R23" s="20" t="n">
        <v>0.5203252</v>
      </c>
    </row>
    <row r="24" spans="1:18">
      <c r="A24" s="15" t="s">
        <v>582</v>
      </c>
      <c r="B24" s="17" t="n">
        <v>6647</v>
      </c>
      <c r="C24" s="18">
        <f>(5231.0/B24*100)</f>
        <v/>
      </c>
      <c r="D24" s="19" t="n">
        <v>1416</v>
      </c>
      <c r="E24" s="18" t="n">
        <v>45.99227735</v>
      </c>
      <c r="F24" s="20" t="n">
        <v>1.08242856</v>
      </c>
      <c r="G24" s="18" t="n">
        <v>52.57220618</v>
      </c>
      <c r="H24" s="20" t="n">
        <v>1.11648421</v>
      </c>
      <c r="I24" s="18" t="n">
        <v>0</v>
      </c>
      <c r="J24" s="20" t="n">
        <v>0</v>
      </c>
      <c r="K24" s="18" t="n">
        <v>0.34631216</v>
      </c>
      <c r="L24" s="20" t="n">
        <v>0.15629759</v>
      </c>
      <c r="M24" s="18" t="n">
        <v>0</v>
      </c>
      <c r="N24" s="20" t="n">
        <v>0</v>
      </c>
      <c r="O24" s="18" t="n">
        <v>0</v>
      </c>
      <c r="P24" s="20" t="n">
        <v>0</v>
      </c>
      <c r="Q24" s="18" t="n">
        <v>1.08920431</v>
      </c>
      <c r="R24" s="20" t="n">
        <v>0.3051516</v>
      </c>
    </row>
    <row r="25" spans="1:18">
      <c r="A25" s="15" t="s">
        <v>583</v>
      </c>
      <c r="B25" s="17" t="n">
        <v>5581</v>
      </c>
      <c r="C25" s="18">
        <f>(4323.0/B25*100)</f>
        <v/>
      </c>
      <c r="D25" s="19" t="n">
        <v>1258</v>
      </c>
      <c r="E25" s="18" t="n">
        <v>43.13129138</v>
      </c>
      <c r="F25" s="20" t="n">
        <v>1.4812635</v>
      </c>
      <c r="G25" s="18" t="n">
        <v>55.43849672</v>
      </c>
      <c r="H25" s="20" t="n">
        <v>1.54062352</v>
      </c>
      <c r="I25" s="18" t="n">
        <v>0</v>
      </c>
      <c r="J25" s="20" t="n">
        <v>0</v>
      </c>
      <c r="K25" s="18" t="n">
        <v>0.36662396</v>
      </c>
      <c r="L25" s="20" t="n">
        <v>0.19180688</v>
      </c>
      <c r="M25" s="18" t="n">
        <v>0</v>
      </c>
      <c r="N25" s="20" t="n">
        <v>0</v>
      </c>
      <c r="O25" s="18" t="n">
        <v>0</v>
      </c>
      <c r="P25" s="20" t="n">
        <v>0</v>
      </c>
      <c r="Q25" s="18" t="n">
        <v>1.06358794</v>
      </c>
      <c r="R25" s="20" t="n">
        <v>0.32169487</v>
      </c>
    </row>
    <row r="26" spans="1:18">
      <c r="A26" s="15" t="s">
        <v>584</v>
      </c>
      <c r="B26" s="17" t="n">
        <v>4869</v>
      </c>
      <c r="C26" s="18">
        <f>(3790.0/B26*100)</f>
        <v/>
      </c>
      <c r="D26" s="19" t="n">
        <v>1079</v>
      </c>
      <c r="E26" s="18" t="n">
        <v>54.2980018</v>
      </c>
      <c r="F26" s="20" t="n">
        <v>1.65370314</v>
      </c>
      <c r="G26" s="18" t="n">
        <v>44.49249189</v>
      </c>
      <c r="H26" s="20" t="n">
        <v>1.57996785</v>
      </c>
      <c r="I26" s="18" t="n">
        <v>0</v>
      </c>
      <c r="J26" s="20" t="n">
        <v>0</v>
      </c>
      <c r="K26" s="18" t="n">
        <v>0.6590452999999999</v>
      </c>
      <c r="L26" s="20" t="n">
        <v>0.29980221</v>
      </c>
      <c r="M26" s="18" t="n">
        <v>0.06448498</v>
      </c>
      <c r="N26" s="20" t="n">
        <v>0.06504147</v>
      </c>
      <c r="O26" s="18" t="n">
        <v>0</v>
      </c>
      <c r="P26" s="20" t="n">
        <v>0</v>
      </c>
      <c r="Q26" s="18" t="n">
        <v>0.48597602</v>
      </c>
      <c r="R26" s="20" t="n">
        <v>0.25543345</v>
      </c>
    </row>
    <row r="27" spans="1:18">
      <c r="A27" s="15" t="s">
        <v>585</v>
      </c>
      <c r="B27" s="17" t="n">
        <v>5299</v>
      </c>
      <c r="C27" s="18">
        <f>(4193.0/B27*100)</f>
        <v/>
      </c>
      <c r="D27" s="19" t="n">
        <v>1106</v>
      </c>
      <c r="E27" s="18" t="n">
        <v>54.67597438</v>
      </c>
      <c r="F27" s="20" t="n">
        <v>1.47331986</v>
      </c>
      <c r="G27" s="18" t="n">
        <v>42.25284821</v>
      </c>
      <c r="H27" s="20" t="n">
        <v>1.51864291</v>
      </c>
      <c r="I27" s="18" t="n">
        <v>0</v>
      </c>
      <c r="J27" s="20" t="n">
        <v>0</v>
      </c>
      <c r="K27" s="18" t="n">
        <v>0.81125147</v>
      </c>
      <c r="L27" s="20" t="n">
        <v>0.2380219</v>
      </c>
      <c r="M27" s="18" t="n">
        <v>0</v>
      </c>
      <c r="N27" s="20" t="n">
        <v>0</v>
      </c>
      <c r="O27" s="18" t="n">
        <v>0</v>
      </c>
      <c r="P27" s="20" t="n">
        <v>0</v>
      </c>
      <c r="Q27" s="18" t="n">
        <v>2.25992593</v>
      </c>
      <c r="R27" s="20" t="n">
        <v>0.45074165</v>
      </c>
    </row>
    <row r="28" spans="1:18">
      <c r="A28" s="15" t="s">
        <v>586</v>
      </c>
      <c r="B28" s="17" t="n">
        <v>7568</v>
      </c>
      <c r="C28" s="18">
        <f>(6035.0/B28*100)</f>
        <v/>
      </c>
      <c r="D28" s="19" t="n">
        <v>1533</v>
      </c>
      <c r="E28" s="18" t="n">
        <v>71.66044431</v>
      </c>
      <c r="F28" s="20" t="n">
        <v>1.4365637</v>
      </c>
      <c r="G28" s="18" t="n">
        <v>25.80771666</v>
      </c>
      <c r="H28" s="20" t="n">
        <v>1.34167702</v>
      </c>
      <c r="I28" s="18" t="n">
        <v>0</v>
      </c>
      <c r="J28" s="20" t="n">
        <v>0</v>
      </c>
      <c r="K28" s="18" t="n">
        <v>1.33633484</v>
      </c>
      <c r="L28" s="20" t="n">
        <v>0.48478956</v>
      </c>
      <c r="M28" s="18" t="n">
        <v>0.25260355</v>
      </c>
      <c r="N28" s="20" t="n">
        <v>0.15510267</v>
      </c>
      <c r="O28" s="18" t="n">
        <v>0</v>
      </c>
      <c r="P28" s="20" t="n">
        <v>0</v>
      </c>
      <c r="Q28" s="18" t="n">
        <v>0.94290065</v>
      </c>
      <c r="R28" s="20" t="n">
        <v>0.26120363</v>
      </c>
    </row>
    <row r="29" spans="1:18">
      <c r="A29" s="15" t="s">
        <v>587</v>
      </c>
      <c r="B29" s="17" t="n">
        <v>5385</v>
      </c>
      <c r="C29" s="18">
        <f>(4242.0/B29*100)</f>
        <v/>
      </c>
      <c r="D29" s="19" t="n">
        <v>1143</v>
      </c>
      <c r="E29" s="18" t="n">
        <v>39.06974838</v>
      </c>
      <c r="F29" s="20" t="n">
        <v>1.71034929</v>
      </c>
      <c r="G29" s="18" t="n">
        <v>60.10611012</v>
      </c>
      <c r="H29" s="20" t="n">
        <v>1.76355623</v>
      </c>
      <c r="I29" s="18" t="n">
        <v>0</v>
      </c>
      <c r="J29" s="20" t="n">
        <v>0</v>
      </c>
      <c r="K29" s="18" t="n">
        <v>0.25027798</v>
      </c>
      <c r="L29" s="20" t="n">
        <v>0.15288751</v>
      </c>
      <c r="M29" s="18" t="n">
        <v>0</v>
      </c>
      <c r="N29" s="20" t="n">
        <v>0</v>
      </c>
      <c r="O29" s="18" t="n">
        <v>0</v>
      </c>
      <c r="P29" s="20" t="n">
        <v>0</v>
      </c>
      <c r="Q29" s="18" t="n">
        <v>0.57386353</v>
      </c>
      <c r="R29" s="20" t="n">
        <v>0.22755597</v>
      </c>
    </row>
    <row r="30" spans="1:18">
      <c r="A30" s="15" t="s">
        <v>588</v>
      </c>
      <c r="B30" s="17" t="n">
        <v>4520</v>
      </c>
      <c r="C30" s="18">
        <f>(3574.0/B30*100)</f>
        <v/>
      </c>
      <c r="D30" s="19" t="n">
        <v>946</v>
      </c>
      <c r="E30" s="18" t="n">
        <v>41.43535672</v>
      </c>
      <c r="F30" s="20" t="n">
        <v>1.79225683</v>
      </c>
      <c r="G30" s="18" t="n">
        <v>54.83249386</v>
      </c>
      <c r="H30" s="20" t="n">
        <v>1.85523212</v>
      </c>
      <c r="I30" s="18" t="n">
        <v>0</v>
      </c>
      <c r="J30" s="20" t="n">
        <v>0</v>
      </c>
      <c r="K30" s="18" t="n">
        <v>1.21867486</v>
      </c>
      <c r="L30" s="20" t="n">
        <v>0.36118966</v>
      </c>
      <c r="M30" s="18" t="n">
        <v>0</v>
      </c>
      <c r="N30" s="20" t="n">
        <v>0</v>
      </c>
      <c r="O30" s="18" t="n">
        <v>0</v>
      </c>
      <c r="P30" s="20" t="n">
        <v>0</v>
      </c>
      <c r="Q30" s="18" t="n">
        <v>2.51347456</v>
      </c>
      <c r="R30" s="20" t="n">
        <v>0.48095409</v>
      </c>
    </row>
    <row r="31" spans="1:18">
      <c r="A31" s="15" t="s">
        <v>589</v>
      </c>
      <c r="B31" s="17" t="n">
        <v>5456</v>
      </c>
      <c r="C31" s="18">
        <f>(4260.0/B31*100)</f>
        <v/>
      </c>
      <c r="D31" s="19" t="n">
        <v>1196</v>
      </c>
      <c r="E31" s="18" t="n">
        <v>47.89581889</v>
      </c>
      <c r="F31" s="20" t="n">
        <v>1.68783976</v>
      </c>
      <c r="G31" s="18" t="n">
        <v>48.37747417</v>
      </c>
      <c r="H31" s="20" t="n">
        <v>1.74038239</v>
      </c>
      <c r="I31" s="18" t="n">
        <v>0</v>
      </c>
      <c r="J31" s="20" t="n">
        <v>0</v>
      </c>
      <c r="K31" s="18" t="n">
        <v>1.66627074</v>
      </c>
      <c r="L31" s="20" t="n">
        <v>0.38826031</v>
      </c>
      <c r="M31" s="18" t="n">
        <v>0</v>
      </c>
      <c r="N31" s="20" t="n">
        <v>0</v>
      </c>
      <c r="O31" s="18" t="n">
        <v>0</v>
      </c>
      <c r="P31" s="20" t="n">
        <v>0</v>
      </c>
      <c r="Q31" s="18" t="n">
        <v>2.06043621</v>
      </c>
      <c r="R31" s="20" t="n">
        <v>0.39950779</v>
      </c>
    </row>
    <row r="32" spans="1:18">
      <c r="A32" s="15" t="s">
        <v>590</v>
      </c>
      <c r="B32" s="17" t="n">
        <v>4478</v>
      </c>
      <c r="C32" s="18">
        <f>(3474.0/B32*100)</f>
        <v/>
      </c>
      <c r="D32" s="19" t="n">
        <v>1004</v>
      </c>
      <c r="E32" s="18" t="n">
        <v>50.94961289</v>
      </c>
      <c r="F32" s="20" t="n">
        <v>1.66090697</v>
      </c>
      <c r="G32" s="18" t="n">
        <v>47.82150077</v>
      </c>
      <c r="H32" s="20" t="n">
        <v>1.65500363</v>
      </c>
      <c r="I32" s="18" t="n">
        <v>0</v>
      </c>
      <c r="J32" s="20" t="n">
        <v>0</v>
      </c>
      <c r="K32" s="18" t="n">
        <v>0.32174739</v>
      </c>
      <c r="L32" s="20" t="n">
        <v>0.18919918</v>
      </c>
      <c r="M32" s="18" t="n">
        <v>0</v>
      </c>
      <c r="N32" s="20" t="n">
        <v>0</v>
      </c>
      <c r="O32" s="18" t="n">
        <v>0</v>
      </c>
      <c r="P32" s="20" t="n">
        <v>0</v>
      </c>
      <c r="Q32" s="18" t="n">
        <v>0.90713895</v>
      </c>
      <c r="R32" s="20" t="n">
        <v>0.2958722</v>
      </c>
    </row>
    <row r="33" spans="1:18">
      <c r="A33" s="15" t="s">
        <v>591</v>
      </c>
      <c r="B33" s="17" t="n">
        <v>7325</v>
      </c>
      <c r="C33" s="18">
        <f>(5782.0/B33*100)</f>
        <v/>
      </c>
      <c r="D33" s="19" t="n">
        <v>1543</v>
      </c>
      <c r="E33" s="18" t="n">
        <v>55.81667687</v>
      </c>
      <c r="F33" s="20" t="n">
        <v>1.79241124</v>
      </c>
      <c r="G33" s="18" t="n">
        <v>41.73248895</v>
      </c>
      <c r="H33" s="20" t="n">
        <v>1.83786612</v>
      </c>
      <c r="I33" s="18" t="n">
        <v>0</v>
      </c>
      <c r="J33" s="20" t="n">
        <v>0</v>
      </c>
      <c r="K33" s="18" t="n">
        <v>1.09588556</v>
      </c>
      <c r="L33" s="20" t="n">
        <v>0.31371642</v>
      </c>
      <c r="M33" s="18" t="n">
        <v>0</v>
      </c>
      <c r="N33" s="20" t="n">
        <v>0</v>
      </c>
      <c r="O33" s="18" t="n">
        <v>0</v>
      </c>
      <c r="P33" s="20" t="n">
        <v>0</v>
      </c>
      <c r="Q33" s="18" t="n">
        <v>1.35494861</v>
      </c>
      <c r="R33" s="20" t="n">
        <v>0.40129502</v>
      </c>
    </row>
    <row r="34" spans="1:18">
      <c r="A34" s="15" t="s">
        <v>592</v>
      </c>
      <c r="B34" s="17" t="n">
        <v>6350</v>
      </c>
      <c r="C34" s="18">
        <f>(5057.0/B34*100)</f>
        <v/>
      </c>
      <c r="D34" s="19" t="n">
        <v>1293</v>
      </c>
      <c r="E34" s="18" t="n">
        <v>68.3287589</v>
      </c>
      <c r="F34" s="20" t="n">
        <v>1.24809685</v>
      </c>
      <c r="G34" s="18" t="n">
        <v>29.27672818</v>
      </c>
      <c r="H34" s="20" t="n">
        <v>1.34126946</v>
      </c>
      <c r="I34" s="18" t="n">
        <v>0</v>
      </c>
      <c r="J34" s="20" t="n">
        <v>0</v>
      </c>
      <c r="K34" s="18" t="n">
        <v>1.24522102</v>
      </c>
      <c r="L34" s="20" t="n">
        <v>0.3636163</v>
      </c>
      <c r="M34" s="18" t="n">
        <v>0.23626433</v>
      </c>
      <c r="N34" s="20" t="n">
        <v>0.12223875</v>
      </c>
      <c r="O34" s="18" t="n">
        <v>0</v>
      </c>
      <c r="P34" s="20" t="n">
        <v>0</v>
      </c>
      <c r="Q34" s="18" t="n">
        <v>0.91302757</v>
      </c>
      <c r="R34" s="20" t="n">
        <v>0.26238799</v>
      </c>
    </row>
    <row r="35" spans="1:18">
      <c r="A35" s="15" t="s">
        <v>593</v>
      </c>
      <c r="B35" s="17" t="n">
        <v>6406</v>
      </c>
      <c r="C35" s="18">
        <f>(5063.0/B35*100)</f>
        <v/>
      </c>
      <c r="D35" s="19" t="n">
        <v>1343</v>
      </c>
      <c r="E35" s="18" t="n">
        <v>48.49425142</v>
      </c>
      <c r="F35" s="20" t="n">
        <v>2.09387724</v>
      </c>
      <c r="G35" s="18" t="n">
        <v>49.32978605</v>
      </c>
      <c r="H35" s="20" t="n">
        <v>2.08849813</v>
      </c>
      <c r="I35" s="18" t="n">
        <v>0</v>
      </c>
      <c r="J35" s="20" t="n">
        <v>0</v>
      </c>
      <c r="K35" s="18" t="n">
        <v>0.16338413</v>
      </c>
      <c r="L35" s="20" t="n">
        <v>0.086117</v>
      </c>
      <c r="M35" s="18" t="n">
        <v>0</v>
      </c>
      <c r="N35" s="20" t="n">
        <v>0</v>
      </c>
      <c r="O35" s="18" t="n">
        <v>0</v>
      </c>
      <c r="P35" s="20" t="n">
        <v>0</v>
      </c>
      <c r="Q35" s="18" t="n">
        <v>2.0125784</v>
      </c>
      <c r="R35" s="20" t="n">
        <v>0.4117639</v>
      </c>
    </row>
    <row r="36" spans="1:18">
      <c r="A36" s="15" t="s">
        <v>594</v>
      </c>
      <c r="B36" s="17" t="n">
        <v>6736</v>
      </c>
      <c r="C36" s="18">
        <f>(5316.0/B36*100)</f>
        <v/>
      </c>
      <c r="D36" s="19" t="n">
        <v>1420</v>
      </c>
      <c r="E36" s="18" t="n">
        <v>45.28585191</v>
      </c>
      <c r="F36" s="20" t="n">
        <v>1.45447405</v>
      </c>
      <c r="G36" s="18" t="n">
        <v>51.9000314</v>
      </c>
      <c r="H36" s="20" t="n">
        <v>1.43605696</v>
      </c>
      <c r="I36" s="18" t="n">
        <v>0</v>
      </c>
      <c r="J36" s="20" t="n">
        <v>0</v>
      </c>
      <c r="K36" s="18" t="n">
        <v>1.31270228</v>
      </c>
      <c r="L36" s="20" t="n">
        <v>0.31345603</v>
      </c>
      <c r="M36" s="18" t="n">
        <v>0.07092832</v>
      </c>
      <c r="N36" s="20" t="n">
        <v>0.06827533</v>
      </c>
      <c r="O36" s="18" t="n">
        <v>0</v>
      </c>
      <c r="P36" s="20" t="n">
        <v>0</v>
      </c>
      <c r="Q36" s="18" t="n">
        <v>1.43048609</v>
      </c>
      <c r="R36" s="20" t="n">
        <v>0.31593657</v>
      </c>
    </row>
    <row r="37" spans="1:18">
      <c r="A37" s="15" t="s">
        <v>595</v>
      </c>
      <c r="B37" s="17" t="n">
        <v>5458</v>
      </c>
      <c r="C37" s="18">
        <f>(4330.0/B37*100)</f>
        <v/>
      </c>
      <c r="D37" s="19" t="n">
        <v>1128</v>
      </c>
      <c r="E37" s="18" t="n">
        <v>48.63161927</v>
      </c>
      <c r="F37" s="20" t="n">
        <v>1.56599032</v>
      </c>
      <c r="G37" s="18" t="n">
        <v>45.7835003</v>
      </c>
      <c r="H37" s="20" t="n">
        <v>1.58429211</v>
      </c>
      <c r="I37" s="18" t="n">
        <v>0</v>
      </c>
      <c r="J37" s="20" t="n">
        <v>0</v>
      </c>
      <c r="K37" s="18" t="n">
        <v>1.7373912</v>
      </c>
      <c r="L37" s="20" t="n">
        <v>0.30199115</v>
      </c>
      <c r="M37" s="18" t="n">
        <v>0</v>
      </c>
      <c r="N37" s="20" t="n">
        <v>0</v>
      </c>
      <c r="O37" s="18" t="n">
        <v>0</v>
      </c>
      <c r="P37" s="20" t="n">
        <v>0</v>
      </c>
      <c r="Q37" s="18" t="n">
        <v>3.84748923</v>
      </c>
      <c r="R37" s="20" t="n">
        <v>0.59919978</v>
      </c>
    </row>
    <row r="38" spans="1:18">
      <c r="A38" s="15" t="s">
        <v>596</v>
      </c>
      <c r="B38" s="17" t="n">
        <v>5860</v>
      </c>
      <c r="C38" s="18">
        <f>(4610.0/B38*100)</f>
        <v/>
      </c>
      <c r="D38" s="19" t="n">
        <v>1250</v>
      </c>
      <c r="E38" s="18" t="n">
        <v>47.35149105</v>
      </c>
      <c r="F38" s="20" t="n">
        <v>1.52378261</v>
      </c>
      <c r="G38" s="18" t="n">
        <v>47.73758896</v>
      </c>
      <c r="H38" s="20" t="n">
        <v>1.56482999</v>
      </c>
      <c r="I38" s="18" t="n">
        <v>0</v>
      </c>
      <c r="J38" s="20" t="n">
        <v>0</v>
      </c>
      <c r="K38" s="18" t="n">
        <v>1.28691723</v>
      </c>
      <c r="L38" s="20" t="n">
        <v>0.34846325</v>
      </c>
      <c r="M38" s="18" t="n">
        <v>1.65338205</v>
      </c>
      <c r="N38" s="20" t="n">
        <v>0.31455244</v>
      </c>
      <c r="O38" s="18" t="n">
        <v>0</v>
      </c>
      <c r="P38" s="20" t="n">
        <v>0</v>
      </c>
      <c r="Q38" s="18" t="n">
        <v>1.97062071</v>
      </c>
      <c r="R38" s="20" t="n">
        <v>0.46618381</v>
      </c>
    </row>
    <row r="39" spans="1:18">
      <c r="A39" s="15" t="s">
        <v>597</v>
      </c>
      <c r="B39" s="17" t="n">
        <v>5895</v>
      </c>
      <c r="C39" s="18">
        <f>(4573.0/B39*100)</f>
        <v/>
      </c>
      <c r="D39" s="19" t="n">
        <v>1322</v>
      </c>
      <c r="E39" s="18" t="n">
        <v>70.64483672</v>
      </c>
      <c r="F39" s="20" t="n">
        <v>1.9522975</v>
      </c>
      <c r="G39" s="18" t="n">
        <v>25.84984992</v>
      </c>
      <c r="H39" s="20" t="n">
        <v>2.01313544</v>
      </c>
      <c r="I39" s="18" t="n">
        <v>0</v>
      </c>
      <c r="J39" s="20" t="n">
        <v>0</v>
      </c>
      <c r="K39" s="18" t="n">
        <v>0.4791057</v>
      </c>
      <c r="L39" s="20" t="n">
        <v>0.15540101</v>
      </c>
      <c r="M39" s="18" t="n">
        <v>0</v>
      </c>
      <c r="N39" s="20" t="n">
        <v>0</v>
      </c>
      <c r="O39" s="18" t="n">
        <v>0</v>
      </c>
      <c r="P39" s="20" t="n">
        <v>0</v>
      </c>
      <c r="Q39" s="18" t="n">
        <v>3.02620766</v>
      </c>
      <c r="R39" s="20" t="n">
        <v>0.46281665</v>
      </c>
    </row>
    <row r="40" spans="1:18">
      <c r="A40" s="15" t="s">
        <v>598</v>
      </c>
      <c r="B40" s="17" t="n">
        <v>14157</v>
      </c>
      <c r="C40" s="18">
        <f>(11022.0/B40*100)</f>
        <v/>
      </c>
      <c r="D40" s="19" t="n">
        <v>3135</v>
      </c>
      <c r="E40" s="18" t="n">
        <v>38.81685314</v>
      </c>
      <c r="F40" s="20" t="n">
        <v>1.49566222</v>
      </c>
      <c r="G40" s="18" t="n">
        <v>57.96467127</v>
      </c>
      <c r="H40" s="20" t="n">
        <v>1.46157549</v>
      </c>
      <c r="I40" s="18" t="n">
        <v>0</v>
      </c>
      <c r="J40" s="20" t="n">
        <v>0</v>
      </c>
      <c r="K40" s="18" t="n">
        <v>0.85716891</v>
      </c>
      <c r="L40" s="20" t="n">
        <v>0.25903056</v>
      </c>
      <c r="M40" s="18" t="n">
        <v>0</v>
      </c>
      <c r="N40" s="20" t="n">
        <v>0</v>
      </c>
      <c r="O40" s="18" t="n">
        <v>0</v>
      </c>
      <c r="P40" s="20" t="n">
        <v>0</v>
      </c>
      <c r="Q40" s="18" t="n">
        <v>2.36130668</v>
      </c>
      <c r="R40" s="20" t="n">
        <v>0.45715073</v>
      </c>
    </row>
    <row r="41" spans="1:18">
      <c r="A41" s="15" t="s">
        <v>599</v>
      </c>
      <c r="B41" s="17" t="n">
        <v>5712</v>
      </c>
      <c r="C41" s="18">
        <f>(4535.0/B41*100)</f>
        <v/>
      </c>
      <c r="D41" s="19" t="n">
        <v>1177</v>
      </c>
      <c r="E41" s="18" t="n">
        <v>46.95611474</v>
      </c>
      <c r="F41" s="20" t="n">
        <v>1.6723107</v>
      </c>
      <c r="G41" s="18" t="n">
        <v>50.95409543</v>
      </c>
      <c r="H41" s="20" t="n">
        <v>1.70099227</v>
      </c>
      <c r="I41" s="18" t="n">
        <v>0</v>
      </c>
      <c r="J41" s="20" t="n">
        <v>0</v>
      </c>
      <c r="K41" s="18" t="n">
        <v>0.96633225</v>
      </c>
      <c r="L41" s="20" t="n">
        <v>0.36573396</v>
      </c>
      <c r="M41" s="18" t="n">
        <v>0</v>
      </c>
      <c r="N41" s="20" t="n">
        <v>0</v>
      </c>
      <c r="O41" s="18" t="n">
        <v>0</v>
      </c>
      <c r="P41" s="20" t="n">
        <v>0</v>
      </c>
      <c r="Q41" s="18" t="n">
        <v>1.12345758</v>
      </c>
      <c r="R41" s="20" t="n">
        <v>0.38202599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(19679.0/B46*100)</f>
        <v/>
      </c>
      <c r="D46" s="19" t="n">
        <v>3462</v>
      </c>
      <c r="E46" s="18" t="n">
        <v>73.03267398</v>
      </c>
      <c r="F46" s="20" t="n">
        <v>1.00378465</v>
      </c>
      <c r="G46" s="18" t="n">
        <v>18.56923353</v>
      </c>
      <c r="H46" s="20" t="n">
        <v>1.0511127</v>
      </c>
      <c r="I46" s="18" t="n">
        <v>0</v>
      </c>
      <c r="J46" s="20" t="n">
        <v>0</v>
      </c>
      <c r="K46" s="18" t="n">
        <v>2.96143993</v>
      </c>
      <c r="L46" s="20" t="n">
        <v>0.45700196</v>
      </c>
      <c r="M46" s="18" t="n">
        <v>0.30678074</v>
      </c>
      <c r="N46" s="20" t="n">
        <v>0.10461601</v>
      </c>
      <c r="O46" s="18" t="n">
        <v>0</v>
      </c>
      <c r="P46" s="20" t="n">
        <v>0</v>
      </c>
      <c r="Q46" s="18" t="n">
        <v>5.12987182</v>
      </c>
      <c r="R46" s="20" t="n">
        <v>0.51512703</v>
      </c>
    </row>
    <row r="47" spans="1:18">
      <c r="A47" s="15" t="s">
        <v>606</v>
      </c>
      <c r="B47" s="17" t="n">
        <v>5928</v>
      </c>
      <c r="C47" s="18">
        <f>(4626.0/B47*100)</f>
        <v/>
      </c>
      <c r="D47" s="19" t="n">
        <v>1302</v>
      </c>
      <c r="E47" s="18" t="n">
        <v>65.14830736</v>
      </c>
      <c r="F47" s="20" t="n">
        <v>2.11659791</v>
      </c>
      <c r="G47" s="18" t="n">
        <v>31.26308394</v>
      </c>
      <c r="H47" s="20" t="n">
        <v>2.16297746</v>
      </c>
      <c r="I47" s="18" t="n">
        <v>0</v>
      </c>
      <c r="J47" s="20" t="n">
        <v>0</v>
      </c>
      <c r="K47" s="18" t="n">
        <v>1.28437691</v>
      </c>
      <c r="L47" s="20" t="n">
        <v>0.32148661</v>
      </c>
      <c r="M47" s="18" t="n">
        <v>0.29377859</v>
      </c>
      <c r="N47" s="20" t="n">
        <v>0.17537299</v>
      </c>
      <c r="O47" s="18" t="n">
        <v>0</v>
      </c>
      <c r="P47" s="20" t="n">
        <v>0</v>
      </c>
      <c r="Q47" s="18" t="n">
        <v>2.0104532</v>
      </c>
      <c r="R47" s="20" t="n">
        <v>0.37447509</v>
      </c>
    </row>
    <row r="48" spans="1:18">
      <c r="A48" s="15" t="s">
        <v>607</v>
      </c>
      <c r="B48" s="17" t="n">
        <v>9841</v>
      </c>
      <c r="C48" s="18">
        <f>(7697.0/B48*100)</f>
        <v/>
      </c>
      <c r="D48" s="19" t="n">
        <v>2144</v>
      </c>
      <c r="E48" s="18" t="n">
        <v>48.22728337</v>
      </c>
      <c r="F48" s="20" t="n">
        <v>1.93603808</v>
      </c>
      <c r="G48" s="18" t="n">
        <v>50.19664355</v>
      </c>
      <c r="H48" s="20" t="n">
        <v>1.94645416</v>
      </c>
      <c r="I48" s="18" t="n">
        <v>0</v>
      </c>
      <c r="J48" s="20" t="n">
        <v>0</v>
      </c>
      <c r="K48" s="18" t="n">
        <v>0.90474648</v>
      </c>
      <c r="L48" s="20" t="n">
        <v>0.2967646</v>
      </c>
      <c r="M48" s="18" t="n">
        <v>0</v>
      </c>
      <c r="N48" s="20" t="n">
        <v>0</v>
      </c>
      <c r="O48" s="18" t="n">
        <v>0</v>
      </c>
      <c r="P48" s="20" t="n">
        <v>0</v>
      </c>
      <c r="Q48" s="18" t="n">
        <v>0.6713266</v>
      </c>
      <c r="R48" s="20" t="n">
        <v>0.27297116</v>
      </c>
    </row>
    <row r="49" spans="1:18">
      <c r="A49" s="15" t="s">
        <v>608</v>
      </c>
      <c r="B49" s="17" t="n">
        <v>11795</v>
      </c>
      <c r="C49" s="18">
        <f>(9324.0/B49*100)</f>
        <v/>
      </c>
      <c r="D49" s="19" t="n">
        <v>2471</v>
      </c>
      <c r="E49" s="18" t="n">
        <v>75.06874809</v>
      </c>
      <c r="F49" s="20" t="n">
        <v>1.37712357</v>
      </c>
      <c r="G49" s="18" t="n">
        <v>19.22034613</v>
      </c>
      <c r="H49" s="20" t="n">
        <v>1.17590742</v>
      </c>
      <c r="I49" s="18" t="n">
        <v>0</v>
      </c>
      <c r="J49" s="20" t="n">
        <v>0</v>
      </c>
      <c r="K49" s="18" t="n">
        <v>3.73927089</v>
      </c>
      <c r="L49" s="20" t="n">
        <v>0.6703607700000001</v>
      </c>
      <c r="M49" s="18" t="n">
        <v>0.01148794</v>
      </c>
      <c r="N49" s="20" t="n">
        <v>0.01054875</v>
      </c>
      <c r="O49" s="18" t="n">
        <v>0</v>
      </c>
      <c r="P49" s="20" t="n">
        <v>0</v>
      </c>
      <c r="Q49" s="18" t="n">
        <v>1.96014695</v>
      </c>
      <c r="R49" s="20" t="n">
        <v>0.44086019</v>
      </c>
    </row>
    <row r="50" spans="1:18">
      <c r="A50" s="15" t="s">
        <v>609</v>
      </c>
      <c r="B50" s="17" t="n">
        <v>6866</v>
      </c>
      <c r="C50" s="18">
        <f>(5696.0/B50*100)</f>
        <v/>
      </c>
      <c r="D50" s="19" t="n">
        <v>1170</v>
      </c>
      <c r="E50" s="18" t="n">
        <v>83.13273303</v>
      </c>
      <c r="F50" s="20" t="n">
        <v>1.31679275</v>
      </c>
      <c r="G50" s="18" t="n">
        <v>13.13650408</v>
      </c>
      <c r="H50" s="20" t="n">
        <v>1.21807669</v>
      </c>
      <c r="I50" s="18" t="n">
        <v>0</v>
      </c>
      <c r="J50" s="20" t="n">
        <v>0</v>
      </c>
      <c r="K50" s="18" t="n">
        <v>1.37983219</v>
      </c>
      <c r="L50" s="20" t="n">
        <v>0.35471922</v>
      </c>
      <c r="M50" s="18" t="n">
        <v>0</v>
      </c>
      <c r="N50" s="20" t="n">
        <v>0</v>
      </c>
      <c r="O50" s="18" t="n">
        <v>0</v>
      </c>
      <c r="P50" s="20" t="n">
        <v>0</v>
      </c>
      <c r="Q50" s="18" t="n">
        <v>2.35093069</v>
      </c>
      <c r="R50" s="20" t="n">
        <v>0.45175748</v>
      </c>
    </row>
    <row r="51" spans="1:18">
      <c r="A51" s="15" t="s">
        <v>610</v>
      </c>
      <c r="B51" s="17" t="n">
        <v>5809</v>
      </c>
      <c r="C51" s="18">
        <f>(4555.0/B51*100)</f>
        <v/>
      </c>
      <c r="D51" s="19" t="n">
        <v>1254</v>
      </c>
      <c r="E51" s="18" t="n">
        <v>54.75936664</v>
      </c>
      <c r="F51" s="20" t="n">
        <v>1.70091901</v>
      </c>
      <c r="G51" s="18" t="n">
        <v>42.54053136</v>
      </c>
      <c r="H51" s="20" t="n">
        <v>1.69956326</v>
      </c>
      <c r="I51" s="18" t="n">
        <v>0</v>
      </c>
      <c r="J51" s="20" t="n">
        <v>0</v>
      </c>
      <c r="K51" s="18" t="n">
        <v>0.46802973</v>
      </c>
      <c r="L51" s="20" t="n">
        <v>0.19353161</v>
      </c>
      <c r="M51" s="18" t="n">
        <v>0</v>
      </c>
      <c r="N51" s="20" t="n">
        <v>0</v>
      </c>
      <c r="O51" s="18" t="n">
        <v>0</v>
      </c>
      <c r="P51" s="20" t="n">
        <v>0</v>
      </c>
      <c r="Q51" s="18" t="n">
        <v>2.23207226</v>
      </c>
      <c r="R51" s="20" t="n">
        <v>0.42893098</v>
      </c>
    </row>
    <row r="52" spans="1:18">
      <c r="A52" s="15" t="s">
        <v>611</v>
      </c>
      <c r="B52" s="17" t="n">
        <v>5571</v>
      </c>
      <c r="C52" s="18">
        <f>(4309.0/B52*100)</f>
        <v/>
      </c>
      <c r="D52" s="19" t="n">
        <v>1262</v>
      </c>
      <c r="E52" s="18" t="n">
        <v>62.47069011</v>
      </c>
      <c r="F52" s="20" t="n">
        <v>1.34945137</v>
      </c>
      <c r="G52" s="18" t="n">
        <v>33.62244562</v>
      </c>
      <c r="H52" s="20" t="n">
        <v>1.38888887</v>
      </c>
      <c r="I52" s="18" t="n">
        <v>0</v>
      </c>
      <c r="J52" s="20" t="n">
        <v>0</v>
      </c>
      <c r="K52" s="18" t="n">
        <v>1.13910634</v>
      </c>
      <c r="L52" s="20" t="n">
        <v>0.27874148</v>
      </c>
      <c r="M52" s="18" t="n">
        <v>0</v>
      </c>
      <c r="N52" s="20" t="n">
        <v>0</v>
      </c>
      <c r="O52" s="18" t="n">
        <v>0</v>
      </c>
      <c r="P52" s="20" t="n">
        <v>0</v>
      </c>
      <c r="Q52" s="18" t="n">
        <v>2.76775793</v>
      </c>
      <c r="R52" s="20" t="n">
        <v>0.44935871</v>
      </c>
    </row>
    <row r="53" spans="1:18">
      <c r="A53" s="15" t="s">
        <v>612</v>
      </c>
      <c r="B53" s="17" t="n">
        <v>4740</v>
      </c>
      <c r="C53" s="18">
        <f>(3709.0/B53*100)</f>
        <v/>
      </c>
      <c r="D53" s="19" t="n">
        <v>1031</v>
      </c>
      <c r="E53" s="18" t="n">
        <v>68.79624343</v>
      </c>
      <c r="F53" s="20" t="n">
        <v>1.76617472</v>
      </c>
      <c r="G53" s="18" t="n">
        <v>6.71945048</v>
      </c>
      <c r="H53" s="20" t="n">
        <v>0.68655629</v>
      </c>
      <c r="I53" s="18" t="n">
        <v>0</v>
      </c>
      <c r="J53" s="20" t="n">
        <v>0</v>
      </c>
      <c r="K53" s="18" t="n">
        <v>18.72927127</v>
      </c>
      <c r="L53" s="20" t="n">
        <v>1.36957067</v>
      </c>
      <c r="M53" s="18" t="n">
        <v>1.24538737</v>
      </c>
      <c r="N53" s="20" t="n">
        <v>1.23139875</v>
      </c>
      <c r="O53" s="18" t="n">
        <v>0</v>
      </c>
      <c r="P53" s="20" t="n">
        <v>0</v>
      </c>
      <c r="Q53" s="18" t="n">
        <v>4.50964745</v>
      </c>
      <c r="R53" s="20" t="n">
        <v>0.6361521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(4245.0/B55*100)</f>
        <v/>
      </c>
      <c r="D55" s="19" t="n">
        <v>1114</v>
      </c>
      <c r="E55" s="18" t="n">
        <v>38.09752726</v>
      </c>
      <c r="F55" s="20" t="n">
        <v>1.67967762</v>
      </c>
      <c r="G55" s="18" t="n">
        <v>61.26818974</v>
      </c>
      <c r="H55" s="20" t="n">
        <v>1.69983613</v>
      </c>
      <c r="I55" s="18" t="n">
        <v>0</v>
      </c>
      <c r="J55" s="20" t="n">
        <v>0</v>
      </c>
      <c r="K55" s="18" t="n">
        <v>0.41407624</v>
      </c>
      <c r="L55" s="20" t="n">
        <v>0.2184248</v>
      </c>
      <c r="M55" s="18" t="n">
        <v>0</v>
      </c>
      <c r="N55" s="20" t="n">
        <v>0</v>
      </c>
      <c r="O55" s="18" t="n">
        <v>0</v>
      </c>
      <c r="P55" s="20" t="n">
        <v>0</v>
      </c>
      <c r="Q55" s="18" t="n">
        <v>0.22020676</v>
      </c>
      <c r="R55" s="20" t="n">
        <v>0.13827537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(5109.0/B61*100)</f>
        <v/>
      </c>
      <c r="D61" s="19" t="n">
        <v>1416</v>
      </c>
      <c r="E61" s="18" t="n">
        <v>65.92282588</v>
      </c>
      <c r="F61" s="20" t="n">
        <v>1.65367349</v>
      </c>
      <c r="G61" s="18" t="n">
        <v>31.83130904</v>
      </c>
      <c r="H61" s="20" t="n">
        <v>1.53971013</v>
      </c>
      <c r="I61" s="18" t="n">
        <v>0</v>
      </c>
      <c r="J61" s="20" t="n">
        <v>0</v>
      </c>
      <c r="K61" s="18" t="n">
        <v>0.48351112</v>
      </c>
      <c r="L61" s="20" t="n">
        <v>0.21137383</v>
      </c>
      <c r="M61" s="18" t="n">
        <v>0</v>
      </c>
      <c r="N61" s="20" t="n">
        <v>0</v>
      </c>
      <c r="O61" s="18" t="n">
        <v>0</v>
      </c>
      <c r="P61" s="20" t="n">
        <v>0</v>
      </c>
      <c r="Q61" s="18" t="n">
        <v>1.76235397</v>
      </c>
      <c r="R61" s="20" t="n">
        <v>0.39207624</v>
      </c>
    </row>
    <row r="62" spans="1:18">
      <c r="A62" s="15" t="s">
        <v>622</v>
      </c>
      <c r="B62" s="17" t="n">
        <v>4476</v>
      </c>
      <c r="C62" s="18">
        <f>(3535.0/B62*100)</f>
        <v/>
      </c>
      <c r="D62" s="19" t="n">
        <v>941</v>
      </c>
      <c r="E62" s="18" t="n">
        <v>36.70560859</v>
      </c>
      <c r="F62" s="20" t="n">
        <v>1.72087621</v>
      </c>
      <c r="G62" s="18" t="n">
        <v>62.86568792</v>
      </c>
      <c r="H62" s="20" t="n">
        <v>1.67843738</v>
      </c>
      <c r="I62" s="18" t="n">
        <v>0</v>
      </c>
      <c r="J62" s="20" t="n">
        <v>0</v>
      </c>
      <c r="K62" s="18" t="n">
        <v>0.10910435</v>
      </c>
      <c r="L62" s="20" t="n">
        <v>0.10880715</v>
      </c>
      <c r="M62" s="18" t="n">
        <v>0</v>
      </c>
      <c r="N62" s="20" t="n">
        <v>0</v>
      </c>
      <c r="O62" s="18" t="n">
        <v>0</v>
      </c>
      <c r="P62" s="20" t="n">
        <v>0</v>
      </c>
      <c r="Q62" s="18" t="n">
        <v>0.31959914</v>
      </c>
      <c r="R62" s="20" t="n">
        <v>0.1850839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(4472.0/B67*100)</f>
        <v/>
      </c>
      <c r="D67" s="19" t="n">
        <v>1193</v>
      </c>
      <c r="E67" s="18" t="n">
        <v>48.9551017</v>
      </c>
      <c r="F67" s="20" t="n">
        <v>1.43977347</v>
      </c>
      <c r="G67" s="18" t="n">
        <v>13.79919147</v>
      </c>
      <c r="H67" s="20" t="n">
        <v>1.14196647</v>
      </c>
      <c r="I67" s="18" t="n">
        <v>0</v>
      </c>
      <c r="J67" s="20" t="n">
        <v>0</v>
      </c>
      <c r="K67" s="18" t="n">
        <v>1.86836158</v>
      </c>
      <c r="L67" s="20" t="n">
        <v>0.42983403</v>
      </c>
      <c r="M67" s="18" t="n">
        <v>30.75017149</v>
      </c>
      <c r="N67" s="20" t="n">
        <v>1.44967437</v>
      </c>
      <c r="O67" s="18" t="n">
        <v>0</v>
      </c>
      <c r="P67" s="20" t="n">
        <v>0</v>
      </c>
      <c r="Q67" s="18" t="n">
        <v>4.62717376</v>
      </c>
      <c r="R67" s="20" t="n">
        <v>0.68762831</v>
      </c>
    </row>
    <row r="68" spans="1:18">
      <c r="A68" s="15" t="s">
        <v>628</v>
      </c>
      <c r="B68" s="17" t="n">
        <v>6971</v>
      </c>
      <c r="C68" s="18">
        <f>(5733.0/B68*100)</f>
        <v/>
      </c>
      <c r="D68" s="19" t="n">
        <v>1238</v>
      </c>
      <c r="E68" s="18" t="n">
        <v>72.90061502</v>
      </c>
      <c r="F68" s="20" t="n">
        <v>1.62604772</v>
      </c>
      <c r="G68" s="18" t="n">
        <v>21.53917853</v>
      </c>
      <c r="H68" s="20" t="n">
        <v>1.48115679</v>
      </c>
      <c r="I68" s="18" t="n">
        <v>0</v>
      </c>
      <c r="J68" s="20" t="n">
        <v>0</v>
      </c>
      <c r="K68" s="18" t="n">
        <v>1.00396985</v>
      </c>
      <c r="L68" s="20" t="n">
        <v>0.39828597</v>
      </c>
      <c r="M68" s="18" t="n">
        <v>0.48865456</v>
      </c>
      <c r="N68" s="20" t="n">
        <v>0.26597714</v>
      </c>
      <c r="O68" s="18" t="n">
        <v>0</v>
      </c>
      <c r="P68" s="20" t="n">
        <v>0</v>
      </c>
      <c r="Q68" s="18" t="n">
        <v>4.06758203</v>
      </c>
      <c r="R68" s="20" t="n">
        <v>0.61472275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(9384.0/B70*100)</f>
        <v/>
      </c>
      <c r="D70" s="19" t="n">
        <v>2699</v>
      </c>
      <c r="E70" s="18" t="n">
        <v>66.24135047999999</v>
      </c>
      <c r="F70" s="20" t="n">
        <v>0.85741987</v>
      </c>
      <c r="G70" s="18" t="n">
        <v>25.56680255</v>
      </c>
      <c r="H70" s="20" t="n">
        <v>0.72138946</v>
      </c>
      <c r="I70" s="18" t="n">
        <v>0</v>
      </c>
      <c r="J70" s="20" t="n">
        <v>0</v>
      </c>
      <c r="K70" s="18" t="n">
        <v>5.13086425</v>
      </c>
      <c r="L70" s="20" t="n">
        <v>0.43823144</v>
      </c>
      <c r="M70" s="18" t="n">
        <v>0</v>
      </c>
      <c r="N70" s="20" t="n">
        <v>0</v>
      </c>
      <c r="O70" s="18" t="n">
        <v>0</v>
      </c>
      <c r="P70" s="20" t="n">
        <v>0</v>
      </c>
      <c r="Q70" s="18" t="n">
        <v>3.06098273</v>
      </c>
      <c r="R70" s="20" t="n">
        <v>0.39142567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(4780.0/B72*100)</f>
        <v/>
      </c>
      <c r="D72" s="19" t="n">
        <v>1256</v>
      </c>
      <c r="E72" s="18" t="n">
        <v>58.80164459</v>
      </c>
      <c r="F72" s="20" t="n">
        <v>1.67620794</v>
      </c>
      <c r="G72" s="18" t="n">
        <v>39.23191988</v>
      </c>
      <c r="H72" s="20" t="n">
        <v>1.76501739</v>
      </c>
      <c r="I72" s="18" t="n">
        <v>0</v>
      </c>
      <c r="J72" s="20" t="n">
        <v>0</v>
      </c>
      <c r="K72" s="18" t="n">
        <v>0.89360091</v>
      </c>
      <c r="L72" s="20" t="n">
        <v>0.24244593</v>
      </c>
      <c r="M72" s="18" t="n">
        <v>0.05868508</v>
      </c>
      <c r="N72" s="20" t="n">
        <v>0.05874435</v>
      </c>
      <c r="O72" s="18" t="n">
        <v>0</v>
      </c>
      <c r="P72" s="20" t="n">
        <v>0</v>
      </c>
      <c r="Q72" s="18" t="n">
        <v>1.01414954</v>
      </c>
      <c r="R72" s="20" t="n">
        <v>0.31682987</v>
      </c>
    </row>
    <row r="73" spans="1:18">
      <c r="A73" s="15" t="s">
        <v>633</v>
      </c>
      <c r="B73" s="17" t="n">
        <v>6115</v>
      </c>
      <c r="C73" s="18">
        <f>(4773.0/B73*100)</f>
        <v/>
      </c>
      <c r="D73" s="19" t="n">
        <v>1342</v>
      </c>
      <c r="E73" s="18" t="n">
        <v>34.51316967</v>
      </c>
      <c r="F73" s="20" t="n">
        <v>1.2810418</v>
      </c>
      <c r="G73" s="18" t="n">
        <v>64.20870542</v>
      </c>
      <c r="H73" s="20" t="n">
        <v>1.30603334</v>
      </c>
      <c r="I73" s="18" t="n">
        <v>0</v>
      </c>
      <c r="J73" s="20" t="n">
        <v>0</v>
      </c>
      <c r="K73" s="18" t="n">
        <v>0.62649031</v>
      </c>
      <c r="L73" s="20" t="n">
        <v>0.22234228</v>
      </c>
      <c r="M73" s="18" t="n">
        <v>0.08114863999999999</v>
      </c>
      <c r="N73" s="20" t="n">
        <v>0.08105395</v>
      </c>
      <c r="O73" s="18" t="n">
        <v>0</v>
      </c>
      <c r="P73" s="20" t="n">
        <v>0</v>
      </c>
      <c r="Q73" s="18" t="n">
        <v>0.57048597</v>
      </c>
      <c r="R73" s="20" t="n">
        <v>0.1916419</v>
      </c>
    </row>
    <row r="74" spans="1:18">
      <c r="A74" s="15" t="s">
        <v>634</v>
      </c>
      <c r="B74" s="17" t="n">
        <v>7708</v>
      </c>
      <c r="C74" s="18">
        <f>(6059.0/B74*100)</f>
        <v/>
      </c>
      <c r="D74" s="19" t="n">
        <v>1649</v>
      </c>
      <c r="E74" s="18" t="n">
        <v>38.58579646</v>
      </c>
      <c r="F74" s="20" t="n">
        <v>1.30058553</v>
      </c>
      <c r="G74" s="18" t="n">
        <v>60.5336613</v>
      </c>
      <c r="H74" s="20" t="n">
        <v>1.33224845</v>
      </c>
      <c r="I74" s="18" t="n">
        <v>0</v>
      </c>
      <c r="J74" s="20" t="n">
        <v>0</v>
      </c>
      <c r="K74" s="18" t="n">
        <v>0.33351324</v>
      </c>
      <c r="L74" s="20" t="n">
        <v>0.14015555</v>
      </c>
      <c r="M74" s="18" t="n">
        <v>0.0299028</v>
      </c>
      <c r="N74" s="20" t="n">
        <v>0.03004929</v>
      </c>
      <c r="O74" s="18" t="n">
        <v>0</v>
      </c>
      <c r="P74" s="20" t="n">
        <v>0</v>
      </c>
      <c r="Q74" s="18" t="n">
        <v>0.51712621</v>
      </c>
      <c r="R74" s="20" t="n">
        <v>0.1930359</v>
      </c>
    </row>
    <row r="75" spans="1:18">
      <c r="A75" s="15" t="s">
        <v>635</v>
      </c>
      <c r="B75" s="17" t="n">
        <v>8249</v>
      </c>
      <c r="C75" s="18">
        <f>(6612.0/B75*100)</f>
        <v/>
      </c>
      <c r="D75" s="19" t="n">
        <v>1637</v>
      </c>
      <c r="E75" s="18" t="n">
        <v>81.00786682</v>
      </c>
      <c r="F75" s="20" t="n">
        <v>1.38725439</v>
      </c>
      <c r="G75" s="18" t="n">
        <v>18.25142131</v>
      </c>
      <c r="H75" s="20" t="n">
        <v>1.36100112</v>
      </c>
      <c r="I75" s="18" t="n">
        <v>0</v>
      </c>
      <c r="J75" s="20" t="n">
        <v>0</v>
      </c>
      <c r="K75" s="18" t="n">
        <v>0</v>
      </c>
      <c r="L75" s="20" t="n">
        <v>0</v>
      </c>
      <c r="M75" s="18" t="n">
        <v>0.33017598</v>
      </c>
      <c r="N75" s="20" t="n">
        <v>0.19284987</v>
      </c>
      <c r="O75" s="18" t="n">
        <v>0</v>
      </c>
      <c r="P75" s="20" t="n">
        <v>0</v>
      </c>
      <c r="Q75" s="18" t="n">
        <v>0.41053589</v>
      </c>
      <c r="R75" s="20" t="n">
        <v>0.18848045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(4375.0/B77*100)</f>
        <v/>
      </c>
      <c r="D77" s="19" t="n">
        <v>1000</v>
      </c>
      <c r="E77" s="18" t="n">
        <v>74.15884057</v>
      </c>
      <c r="F77" s="20" t="n">
        <v>1.43007322</v>
      </c>
      <c r="G77" s="18" t="n">
        <v>14.0975521</v>
      </c>
      <c r="H77" s="20" t="n">
        <v>1.14714648</v>
      </c>
      <c r="I77" s="18" t="n">
        <v>0</v>
      </c>
      <c r="J77" s="20" t="n">
        <v>0</v>
      </c>
      <c r="K77" s="18" t="n">
        <v>6.7270148</v>
      </c>
      <c r="L77" s="20" t="n">
        <v>0.98775986</v>
      </c>
      <c r="M77" s="18" t="n">
        <v>0.22318435</v>
      </c>
      <c r="N77" s="20" t="n">
        <v>0.1568324</v>
      </c>
      <c r="O77" s="18" t="n">
        <v>0</v>
      </c>
      <c r="P77" s="20" t="n">
        <v>0</v>
      </c>
      <c r="Q77" s="18" t="n">
        <v>4.79340819</v>
      </c>
      <c r="R77" s="20" t="n">
        <v>0.7325038699999999</v>
      </c>
    </row>
    <row r="78" spans="1:18">
      <c r="A78" s="15" t="s">
        <v>638</v>
      </c>
      <c r="B78" s="17" t="n">
        <v>14167</v>
      </c>
      <c r="C78" s="18">
        <f>(11178.0/B78*100)</f>
        <v/>
      </c>
      <c r="D78" s="19" t="n">
        <v>2989</v>
      </c>
      <c r="E78" s="18" t="n">
        <v>64.50932998</v>
      </c>
      <c r="F78" s="20" t="n">
        <v>1.32174158</v>
      </c>
      <c r="G78" s="18" t="n">
        <v>31.67056007</v>
      </c>
      <c r="H78" s="20" t="n">
        <v>1.31665953</v>
      </c>
      <c r="I78" s="18" t="n">
        <v>0</v>
      </c>
      <c r="J78" s="20" t="n">
        <v>0</v>
      </c>
      <c r="K78" s="18" t="n">
        <v>1.82281456</v>
      </c>
      <c r="L78" s="20" t="n">
        <v>0.29251222</v>
      </c>
      <c r="M78" s="18" t="n">
        <v>0.11443743</v>
      </c>
      <c r="N78" s="20" t="n">
        <v>0.06647689</v>
      </c>
      <c r="O78" s="18" t="n">
        <v>0</v>
      </c>
      <c r="P78" s="20" t="n">
        <v>0</v>
      </c>
      <c r="Q78" s="18" t="n">
        <v>1.88285796</v>
      </c>
      <c r="R78" s="20" t="n">
        <v>0.32973879</v>
      </c>
    </row>
    <row r="79" spans="1:18">
      <c r="A79" s="15" t="s">
        <v>639</v>
      </c>
      <c r="B79" s="17" t="n">
        <v>6062</v>
      </c>
      <c r="C79" s="18">
        <f>(4792.0/B79*100)</f>
        <v/>
      </c>
      <c r="D79" s="19" t="n">
        <v>1270</v>
      </c>
      <c r="E79" s="18" t="n">
        <v>62.68084838</v>
      </c>
      <c r="F79" s="20" t="n">
        <v>1.50621087</v>
      </c>
      <c r="G79" s="18" t="n">
        <v>28.65774024</v>
      </c>
      <c r="H79" s="20" t="n">
        <v>1.44757937</v>
      </c>
      <c r="I79" s="18" t="n">
        <v>0</v>
      </c>
      <c r="J79" s="20" t="n">
        <v>0</v>
      </c>
      <c r="K79" s="18" t="n">
        <v>2.73461241</v>
      </c>
      <c r="L79" s="20" t="n">
        <v>0.52244616</v>
      </c>
      <c r="M79" s="18" t="n">
        <v>0.14574901</v>
      </c>
      <c r="N79" s="20" t="n">
        <v>0.11696789</v>
      </c>
      <c r="O79" s="18" t="n">
        <v>0</v>
      </c>
      <c r="P79" s="20" t="n">
        <v>0</v>
      </c>
      <c r="Q79" s="18" t="n">
        <v>5.78104995</v>
      </c>
      <c r="R79" s="20" t="n">
        <v>0.84488388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(25502.0/B82*100)</f>
        <v/>
      </c>
      <c r="D82" s="19" t="n">
        <v>6828</v>
      </c>
      <c r="E82" s="18" t="n">
        <v>45.72270986</v>
      </c>
      <c r="F82" s="20" t="n">
        <v>0.77169321</v>
      </c>
      <c r="G82" s="18" t="n">
        <v>51.37109326</v>
      </c>
      <c r="H82" s="20" t="n">
        <v>0.72891562</v>
      </c>
      <c r="I82" s="18" t="n">
        <v>0</v>
      </c>
      <c r="J82" s="20" t="n">
        <v>0</v>
      </c>
      <c r="K82" s="18" t="n">
        <v>1.16549149</v>
      </c>
      <c r="L82" s="20" t="n">
        <v>0.17689011</v>
      </c>
      <c r="M82" s="18" t="n">
        <v>0.05271347</v>
      </c>
      <c r="N82" s="20" t="n">
        <v>0.04600147</v>
      </c>
      <c r="O82" s="18" t="n">
        <v>0</v>
      </c>
      <c r="P82" s="20" t="n">
        <v>0</v>
      </c>
      <c r="Q82" s="18" t="n">
        <v>1.68799192</v>
      </c>
      <c r="R82" s="20" t="n">
        <v>0.19946395</v>
      </c>
    </row>
    <row r="83" spans="1:18">
      <c r="A83" s="15" t="s">
        <v>643</v>
      </c>
      <c r="B83" s="17" t="n">
        <v>1652</v>
      </c>
      <c r="C83" s="18">
        <f>(1323.0/B83*100)</f>
        <v/>
      </c>
      <c r="D83" s="19" t="n">
        <v>329</v>
      </c>
      <c r="E83" s="18" t="n">
        <v>31.75022506</v>
      </c>
      <c r="F83" s="20" t="n">
        <v>3.05602466</v>
      </c>
      <c r="G83" s="18" t="n">
        <v>66.85547774</v>
      </c>
      <c r="H83" s="20" t="n">
        <v>3.09082273</v>
      </c>
      <c r="I83" s="18" t="n">
        <v>0</v>
      </c>
      <c r="J83" s="20" t="n">
        <v>0</v>
      </c>
      <c r="K83" s="18" t="n">
        <v>0</v>
      </c>
      <c r="L83" s="20" t="n">
        <v>0</v>
      </c>
      <c r="M83" s="18" t="n">
        <v>0</v>
      </c>
      <c r="N83" s="20" t="n">
        <v>0</v>
      </c>
      <c r="O83" s="18" t="n">
        <v>0</v>
      </c>
      <c r="P83" s="20" t="n">
        <v>0</v>
      </c>
      <c r="Q83" s="18" t="n">
        <v>1.3942972</v>
      </c>
      <c r="R83" s="20" t="n">
        <v>0.68007171</v>
      </c>
    </row>
    <row r="84" spans="1:18">
      <c r="A84" s="23" t="s">
        <v>644</v>
      </c>
      <c r="B84" s="24" t="n">
        <v>1887</v>
      </c>
      <c r="C84" s="25">
        <f>(1508.0/B84*100)</f>
        <v/>
      </c>
      <c r="D84" s="19" t="n">
        <v>379</v>
      </c>
      <c r="E84" s="18" t="n">
        <v>45.57423806</v>
      </c>
      <c r="F84" s="20" t="n">
        <v>2.51225279</v>
      </c>
      <c r="G84" s="18" t="n">
        <v>53.61587057</v>
      </c>
      <c r="H84" s="20" t="n">
        <v>2.5760795</v>
      </c>
      <c r="I84" s="18" t="n">
        <v>0</v>
      </c>
      <c r="J84" s="20" t="n">
        <v>0</v>
      </c>
      <c r="K84" s="18" t="n">
        <v>0.80989137</v>
      </c>
      <c r="L84" s="20" t="n">
        <v>0.45070981</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(11484.0/B7*100)</f>
        <v/>
      </c>
      <c r="D7" s="19" t="n">
        <v>3046</v>
      </c>
      <c r="E7" s="18" t="n">
        <v>34.42678045</v>
      </c>
      <c r="F7" s="20" t="n">
        <v>0.9936898199999999</v>
      </c>
      <c r="G7" s="18" t="n">
        <v>43.35319894</v>
      </c>
      <c r="H7" s="20" t="n">
        <v>1.12817028</v>
      </c>
      <c r="I7" s="18" t="n">
        <v>0</v>
      </c>
      <c r="J7" s="20" t="n">
        <v>0</v>
      </c>
      <c r="K7" s="18" t="n">
        <v>1.44525435</v>
      </c>
      <c r="L7" s="20" t="n">
        <v>0.28504336</v>
      </c>
      <c r="M7" s="18" t="n">
        <v>0</v>
      </c>
      <c r="N7" s="20" t="n">
        <v>0</v>
      </c>
      <c r="O7" s="18" t="n">
        <v>0</v>
      </c>
      <c r="P7" s="20" t="n">
        <v>0</v>
      </c>
      <c r="Q7" s="18" t="n">
        <v>20.77476626</v>
      </c>
      <c r="R7" s="20" t="n">
        <v>0.8533883</v>
      </c>
    </row>
    <row r="8" spans="1:18">
      <c r="A8" s="15" t="s">
        <v>566</v>
      </c>
      <c r="B8" s="17" t="n">
        <v>7007</v>
      </c>
      <c r="C8" s="18">
        <f>(5436.0/B8*100)</f>
        <v/>
      </c>
      <c r="D8" s="19" t="n">
        <v>1571</v>
      </c>
      <c r="E8" s="18" t="n">
        <v>35.81028589</v>
      </c>
      <c r="F8" s="20" t="n">
        <v>1.2670268</v>
      </c>
      <c r="G8" s="18" t="n">
        <v>47.00441133</v>
      </c>
      <c r="H8" s="20" t="n">
        <v>1.32232081</v>
      </c>
      <c r="I8" s="18" t="n">
        <v>0</v>
      </c>
      <c r="J8" s="20" t="n">
        <v>0</v>
      </c>
      <c r="K8" s="18" t="n">
        <v>1.1961376</v>
      </c>
      <c r="L8" s="20" t="n">
        <v>0.28061126</v>
      </c>
      <c r="M8" s="18" t="n">
        <v>0</v>
      </c>
      <c r="N8" s="20" t="n">
        <v>0</v>
      </c>
      <c r="O8" s="18" t="n">
        <v>0</v>
      </c>
      <c r="P8" s="20" t="n">
        <v>0</v>
      </c>
      <c r="Q8" s="18" t="n">
        <v>15.98916517</v>
      </c>
      <c r="R8" s="20" t="n">
        <v>0.88963976</v>
      </c>
    </row>
    <row r="9" spans="1:18">
      <c r="A9" s="15" t="s">
        <v>567</v>
      </c>
      <c r="B9" s="17" t="n">
        <v>9651</v>
      </c>
      <c r="C9" s="18">
        <f>(7690.0/B9*100)</f>
        <v/>
      </c>
      <c r="D9" s="19" t="n">
        <v>1961</v>
      </c>
      <c r="E9" s="18" t="n">
        <v>36.10240281</v>
      </c>
      <c r="F9" s="20" t="n">
        <v>1.03289742</v>
      </c>
      <c r="G9" s="18" t="n">
        <v>45.89182129</v>
      </c>
      <c r="H9" s="20" t="n">
        <v>1.0891382</v>
      </c>
      <c r="I9" s="18" t="n">
        <v>0</v>
      </c>
      <c r="J9" s="20" t="n">
        <v>0</v>
      </c>
      <c r="K9" s="18" t="n">
        <v>1.95141762</v>
      </c>
      <c r="L9" s="20" t="n">
        <v>0.31946501</v>
      </c>
      <c r="M9" s="18" t="n">
        <v>0</v>
      </c>
      <c r="N9" s="20" t="n">
        <v>0</v>
      </c>
      <c r="O9" s="18" t="n">
        <v>0</v>
      </c>
      <c r="P9" s="20" t="n">
        <v>0</v>
      </c>
      <c r="Q9" s="18" t="n">
        <v>16.05435828</v>
      </c>
      <c r="R9" s="20" t="n">
        <v>1.04824673</v>
      </c>
    </row>
    <row r="10" spans="1:18">
      <c r="A10" s="15" t="s">
        <v>568</v>
      </c>
      <c r="B10" s="17" t="n">
        <v>20058</v>
      </c>
      <c r="C10" s="18">
        <f>(15684.0/B10*100)</f>
        <v/>
      </c>
      <c r="D10" s="19" t="n">
        <v>4374</v>
      </c>
      <c r="E10" s="18" t="n">
        <v>31.06021047</v>
      </c>
      <c r="F10" s="20" t="n">
        <v>1.12157391</v>
      </c>
      <c r="G10" s="18" t="n">
        <v>50.8873525</v>
      </c>
      <c r="H10" s="20" t="n">
        <v>0.9743164600000001</v>
      </c>
      <c r="I10" s="18" t="n">
        <v>0</v>
      </c>
      <c r="J10" s="20" t="n">
        <v>0</v>
      </c>
      <c r="K10" s="18" t="n">
        <v>1.47895524</v>
      </c>
      <c r="L10" s="20" t="n">
        <v>0.25036507</v>
      </c>
      <c r="M10" s="18" t="n">
        <v>0</v>
      </c>
      <c r="N10" s="20" t="n">
        <v>0</v>
      </c>
      <c r="O10" s="18" t="n">
        <v>0</v>
      </c>
      <c r="P10" s="20" t="n">
        <v>0</v>
      </c>
      <c r="Q10" s="18" t="n">
        <v>16.57348179</v>
      </c>
      <c r="R10" s="20" t="n">
        <v>0.67965484</v>
      </c>
    </row>
    <row r="11" spans="1:18">
      <c r="A11" s="15" t="s">
        <v>569</v>
      </c>
      <c r="B11" s="17" t="n">
        <v>7053</v>
      </c>
      <c r="C11" s="18">
        <f>(5600.0/B11*100)</f>
        <v/>
      </c>
      <c r="D11" s="19" t="n">
        <v>1453</v>
      </c>
      <c r="E11" s="18" t="n">
        <v>42.61836591</v>
      </c>
      <c r="F11" s="20" t="n">
        <v>1.62326501</v>
      </c>
      <c r="G11" s="18" t="n">
        <v>25.01412308</v>
      </c>
      <c r="H11" s="20" t="n">
        <v>1.36212883</v>
      </c>
      <c r="I11" s="18" t="n">
        <v>0</v>
      </c>
      <c r="J11" s="20" t="n">
        <v>0</v>
      </c>
      <c r="K11" s="18" t="n">
        <v>3.8697638</v>
      </c>
      <c r="L11" s="20" t="n">
        <v>0.66333972</v>
      </c>
      <c r="M11" s="18" t="n">
        <v>0</v>
      </c>
      <c r="N11" s="20" t="n">
        <v>0</v>
      </c>
      <c r="O11" s="18" t="n">
        <v>0</v>
      </c>
      <c r="P11" s="20" t="n">
        <v>0</v>
      </c>
      <c r="Q11" s="18" t="n">
        <v>28.49774721</v>
      </c>
      <c r="R11" s="20" t="n">
        <v>1.70644258</v>
      </c>
    </row>
    <row r="12" spans="1:18">
      <c r="A12" s="15" t="s">
        <v>570</v>
      </c>
      <c r="B12" s="17" t="n">
        <v>6894</v>
      </c>
      <c r="C12" s="18">
        <f>(5431.0/B12*100)</f>
        <v/>
      </c>
      <c r="D12" s="19" t="n">
        <v>1463</v>
      </c>
      <c r="E12" s="18" t="n">
        <v>31.85447256</v>
      </c>
      <c r="F12" s="20" t="n">
        <v>1.35353725</v>
      </c>
      <c r="G12" s="18" t="n">
        <v>49.71979401</v>
      </c>
      <c r="H12" s="20" t="n">
        <v>1.41035671</v>
      </c>
      <c r="I12" s="18" t="n">
        <v>0</v>
      </c>
      <c r="J12" s="20" t="n">
        <v>0</v>
      </c>
      <c r="K12" s="18" t="n">
        <v>0.90029087</v>
      </c>
      <c r="L12" s="20" t="n">
        <v>0.27484065</v>
      </c>
      <c r="M12" s="18" t="n">
        <v>0</v>
      </c>
      <c r="N12" s="20" t="n">
        <v>0</v>
      </c>
      <c r="O12" s="18" t="n">
        <v>0</v>
      </c>
      <c r="P12" s="20" t="n">
        <v>0</v>
      </c>
      <c r="Q12" s="18" t="n">
        <v>17.52544257</v>
      </c>
      <c r="R12" s="20" t="n">
        <v>1.07276827</v>
      </c>
    </row>
    <row r="13" spans="1:18">
      <c r="A13" s="15" t="s">
        <v>571</v>
      </c>
      <c r="B13" s="17" t="n">
        <v>7161</v>
      </c>
      <c r="C13" s="18">
        <f>(5667.0/B13*100)</f>
        <v/>
      </c>
      <c r="D13" s="19" t="n">
        <v>1494</v>
      </c>
      <c r="E13" s="18" t="n">
        <v>36.55804707</v>
      </c>
      <c r="F13" s="20" t="n">
        <v>1.30178053</v>
      </c>
      <c r="G13" s="18" t="n">
        <v>45.47612609</v>
      </c>
      <c r="H13" s="20" t="n">
        <v>1.3603188</v>
      </c>
      <c r="I13" s="18" t="n">
        <v>0</v>
      </c>
      <c r="J13" s="20" t="n">
        <v>0</v>
      </c>
      <c r="K13" s="18" t="n">
        <v>1.54690643</v>
      </c>
      <c r="L13" s="20" t="n">
        <v>0.38058428</v>
      </c>
      <c r="M13" s="18" t="n">
        <v>0</v>
      </c>
      <c r="N13" s="20" t="n">
        <v>0</v>
      </c>
      <c r="O13" s="18" t="n">
        <v>0</v>
      </c>
      <c r="P13" s="20" t="n">
        <v>0</v>
      </c>
      <c r="Q13" s="18" t="n">
        <v>16.4189204</v>
      </c>
      <c r="R13" s="20" t="n">
        <v>1.32024837</v>
      </c>
    </row>
    <row r="14" spans="1:18">
      <c r="A14" s="15" t="s">
        <v>572</v>
      </c>
      <c r="B14" s="17" t="n">
        <v>5587</v>
      </c>
      <c r="C14" s="18">
        <f>(4310.0/B14*100)</f>
        <v/>
      </c>
      <c r="D14" s="19" t="n">
        <v>1277</v>
      </c>
      <c r="E14" s="18" t="n">
        <v>38.90778496</v>
      </c>
      <c r="F14" s="20" t="n">
        <v>1.53695638</v>
      </c>
      <c r="G14" s="18" t="n">
        <v>46.58814261</v>
      </c>
      <c r="H14" s="20" t="n">
        <v>1.53340833</v>
      </c>
      <c r="I14" s="18" t="n">
        <v>0</v>
      </c>
      <c r="J14" s="20" t="n">
        <v>0</v>
      </c>
      <c r="K14" s="18" t="n">
        <v>1.59136955</v>
      </c>
      <c r="L14" s="20" t="n">
        <v>0.46967585</v>
      </c>
      <c r="M14" s="18" t="n">
        <v>0</v>
      </c>
      <c r="N14" s="20" t="n">
        <v>0</v>
      </c>
      <c r="O14" s="18" t="n">
        <v>0</v>
      </c>
      <c r="P14" s="20" t="n">
        <v>0</v>
      </c>
      <c r="Q14" s="18" t="n">
        <v>12.91270288</v>
      </c>
      <c r="R14" s="20" t="n">
        <v>0.9855140999999999</v>
      </c>
    </row>
    <row r="15" spans="1:18">
      <c r="A15" s="15" t="s">
        <v>573</v>
      </c>
      <c r="B15" s="17" t="n">
        <v>5882</v>
      </c>
      <c r="C15" s="18">
        <f>(4600.0/B15*100)</f>
        <v/>
      </c>
      <c r="D15" s="19" t="n">
        <v>1282</v>
      </c>
      <c r="E15" s="18" t="n">
        <v>24.96644646</v>
      </c>
      <c r="F15" s="20" t="n">
        <v>1.27805062</v>
      </c>
      <c r="G15" s="18" t="n">
        <v>64.51257024</v>
      </c>
      <c r="H15" s="20" t="n">
        <v>1.22492569</v>
      </c>
      <c r="I15" s="18" t="n">
        <v>0</v>
      </c>
      <c r="J15" s="20" t="n">
        <v>0</v>
      </c>
      <c r="K15" s="18" t="n">
        <v>0.68548342</v>
      </c>
      <c r="L15" s="20" t="n">
        <v>0.2304668</v>
      </c>
      <c r="M15" s="18" t="n">
        <v>0</v>
      </c>
      <c r="N15" s="20" t="n">
        <v>0</v>
      </c>
      <c r="O15" s="18" t="n">
        <v>0</v>
      </c>
      <c r="P15" s="20" t="n">
        <v>0</v>
      </c>
      <c r="Q15" s="18" t="n">
        <v>9.83549988</v>
      </c>
      <c r="R15" s="20" t="n">
        <v>0.86970339</v>
      </c>
    </row>
    <row r="16" spans="1:18">
      <c r="A16" s="15" t="s">
        <v>574</v>
      </c>
      <c r="B16" s="17" t="n">
        <v>6108</v>
      </c>
      <c r="C16" s="18">
        <f>(4796.0/B16*100)</f>
        <v/>
      </c>
      <c r="D16" s="19" t="n">
        <v>1312</v>
      </c>
      <c r="E16" s="18" t="n">
        <v>32.30672265</v>
      </c>
      <c r="F16" s="20" t="n">
        <v>1.41563955</v>
      </c>
      <c r="G16" s="18" t="n">
        <v>42.96052936</v>
      </c>
      <c r="H16" s="20" t="n">
        <v>1.58133037</v>
      </c>
      <c r="I16" s="18" t="n">
        <v>0</v>
      </c>
      <c r="J16" s="20" t="n">
        <v>0</v>
      </c>
      <c r="K16" s="18" t="n">
        <v>3.77411126</v>
      </c>
      <c r="L16" s="20" t="n">
        <v>0.51817733</v>
      </c>
      <c r="M16" s="18" t="n">
        <v>0</v>
      </c>
      <c r="N16" s="20" t="n">
        <v>0</v>
      </c>
      <c r="O16" s="18" t="n">
        <v>0</v>
      </c>
      <c r="P16" s="20" t="n">
        <v>0</v>
      </c>
      <c r="Q16" s="18" t="n">
        <v>20.95863673</v>
      </c>
      <c r="R16" s="20" t="n">
        <v>1.11963788</v>
      </c>
    </row>
    <row r="17" spans="1:18">
      <c r="A17" s="15" t="s">
        <v>575</v>
      </c>
      <c r="B17" s="17" t="n">
        <v>6504</v>
      </c>
      <c r="C17" s="18">
        <f>(5129.0/B17*100)</f>
        <v/>
      </c>
      <c r="D17" s="19" t="n">
        <v>1375</v>
      </c>
      <c r="E17" s="18" t="n">
        <v>35.63847246</v>
      </c>
      <c r="F17" s="20" t="n">
        <v>1.3026192</v>
      </c>
      <c r="G17" s="18" t="n">
        <v>46.76436113</v>
      </c>
      <c r="H17" s="20" t="n">
        <v>1.25816659</v>
      </c>
      <c r="I17" s="18" t="n">
        <v>0</v>
      </c>
      <c r="J17" s="20" t="n">
        <v>0</v>
      </c>
      <c r="K17" s="18" t="n">
        <v>1.14506767</v>
      </c>
      <c r="L17" s="20" t="n">
        <v>0.30700955</v>
      </c>
      <c r="M17" s="18" t="n">
        <v>0</v>
      </c>
      <c r="N17" s="20" t="n">
        <v>0</v>
      </c>
      <c r="O17" s="18" t="n">
        <v>0</v>
      </c>
      <c r="P17" s="20" t="n">
        <v>0</v>
      </c>
      <c r="Q17" s="18" t="n">
        <v>16.45209873</v>
      </c>
      <c r="R17" s="20" t="n">
        <v>1.02232458</v>
      </c>
    </row>
    <row r="18" spans="1:18">
      <c r="A18" s="15" t="s">
        <v>576</v>
      </c>
      <c r="B18" s="17" t="n">
        <v>5532</v>
      </c>
      <c r="C18" s="18">
        <f>(4316.0/B18*100)</f>
        <v/>
      </c>
      <c r="D18" s="19" t="n">
        <v>1216</v>
      </c>
      <c r="E18" s="18" t="n">
        <v>43.69126021</v>
      </c>
      <c r="F18" s="20" t="n">
        <v>1.55708628</v>
      </c>
      <c r="G18" s="18" t="n">
        <v>33.29974004</v>
      </c>
      <c r="H18" s="20" t="n">
        <v>1.50116012</v>
      </c>
      <c r="I18" s="18" t="n">
        <v>0</v>
      </c>
      <c r="J18" s="20" t="n">
        <v>0</v>
      </c>
      <c r="K18" s="18" t="n">
        <v>2.06209927</v>
      </c>
      <c r="L18" s="20" t="n">
        <v>0.50063746</v>
      </c>
      <c r="M18" s="18" t="n">
        <v>0</v>
      </c>
      <c r="N18" s="20" t="n">
        <v>0</v>
      </c>
      <c r="O18" s="18" t="n">
        <v>0</v>
      </c>
      <c r="P18" s="20" t="n">
        <v>0</v>
      </c>
      <c r="Q18" s="18" t="n">
        <v>20.94690048</v>
      </c>
      <c r="R18" s="20" t="n">
        <v>1.22039168</v>
      </c>
    </row>
    <row r="19" spans="1:18">
      <c r="A19" s="15" t="s">
        <v>577</v>
      </c>
      <c r="B19" s="17" t="n">
        <v>5658</v>
      </c>
      <c r="C19" s="18">
        <f>(4449.0/B19*100)</f>
        <v/>
      </c>
      <c r="D19" s="19" t="n">
        <v>1209</v>
      </c>
      <c r="E19" s="18" t="n">
        <v>41.22400931</v>
      </c>
      <c r="F19" s="20" t="n">
        <v>1.51030119</v>
      </c>
      <c r="G19" s="18" t="n">
        <v>36.77574568</v>
      </c>
      <c r="H19" s="20" t="n">
        <v>1.48381889</v>
      </c>
      <c r="I19" s="18" t="n">
        <v>0</v>
      </c>
      <c r="J19" s="20" t="n">
        <v>0</v>
      </c>
      <c r="K19" s="18" t="n">
        <v>1.04260132</v>
      </c>
      <c r="L19" s="20" t="n">
        <v>0.28951105</v>
      </c>
      <c r="M19" s="18" t="n">
        <v>0</v>
      </c>
      <c r="N19" s="20" t="n">
        <v>0</v>
      </c>
      <c r="O19" s="18" t="n">
        <v>0</v>
      </c>
      <c r="P19" s="20" t="n">
        <v>0</v>
      </c>
      <c r="Q19" s="18" t="n">
        <v>20.95764369</v>
      </c>
      <c r="R19" s="20" t="n">
        <v>1.4308074</v>
      </c>
    </row>
    <row r="20" spans="1:18">
      <c r="A20" s="15" t="s">
        <v>578</v>
      </c>
      <c r="B20" s="17" t="n">
        <v>3371</v>
      </c>
      <c r="C20" s="18">
        <f>(2657.0/B20*100)</f>
        <v/>
      </c>
      <c r="D20" s="19" t="n">
        <v>714</v>
      </c>
      <c r="E20" s="18" t="n">
        <v>43.63715909</v>
      </c>
      <c r="F20" s="20" t="n">
        <v>1.57778343</v>
      </c>
      <c r="G20" s="18" t="n">
        <v>35.08927352</v>
      </c>
      <c r="H20" s="20" t="n">
        <v>1.68576329</v>
      </c>
      <c r="I20" s="18" t="n">
        <v>0</v>
      </c>
      <c r="J20" s="20" t="n">
        <v>0</v>
      </c>
      <c r="K20" s="18" t="n">
        <v>2.66666218</v>
      </c>
      <c r="L20" s="20" t="n">
        <v>0.64813753</v>
      </c>
      <c r="M20" s="18" t="n">
        <v>0</v>
      </c>
      <c r="N20" s="20" t="n">
        <v>0</v>
      </c>
      <c r="O20" s="18" t="n">
        <v>0</v>
      </c>
      <c r="P20" s="20" t="n">
        <v>0</v>
      </c>
      <c r="Q20" s="18" t="n">
        <v>18.60690521</v>
      </c>
      <c r="R20" s="20" t="n">
        <v>1.36695132</v>
      </c>
    </row>
    <row r="21" spans="1:18">
      <c r="A21" s="15" t="s">
        <v>579</v>
      </c>
      <c r="B21" s="17" t="n">
        <v>5741</v>
      </c>
      <c r="C21" s="18">
        <f>(4479.0/B21*100)</f>
        <v/>
      </c>
      <c r="D21" s="19" t="n">
        <v>1262</v>
      </c>
      <c r="E21" s="18" t="n">
        <v>41.29893946</v>
      </c>
      <c r="F21" s="20" t="n">
        <v>1.36678377</v>
      </c>
      <c r="G21" s="18" t="n">
        <v>44.06008967</v>
      </c>
      <c r="H21" s="20" t="n">
        <v>1.53240686</v>
      </c>
      <c r="I21" s="18" t="n">
        <v>0</v>
      </c>
      <c r="J21" s="20" t="n">
        <v>0</v>
      </c>
      <c r="K21" s="18" t="n">
        <v>1.5898914</v>
      </c>
      <c r="L21" s="20" t="n">
        <v>0.38404231</v>
      </c>
      <c r="M21" s="18" t="n">
        <v>0</v>
      </c>
      <c r="N21" s="20" t="n">
        <v>0</v>
      </c>
      <c r="O21" s="18" t="n">
        <v>0</v>
      </c>
      <c r="P21" s="20" t="n">
        <v>0</v>
      </c>
      <c r="Q21" s="18" t="n">
        <v>13.05107947</v>
      </c>
      <c r="R21" s="20" t="n">
        <v>0.91258108</v>
      </c>
    </row>
    <row r="22" spans="1:18">
      <c r="A22" s="15" t="s">
        <v>580</v>
      </c>
      <c r="B22" s="17" t="n">
        <v>6598</v>
      </c>
      <c r="C22" s="18">
        <f>(5180.0/B22*100)</f>
        <v/>
      </c>
      <c r="D22" s="19" t="n">
        <v>1418</v>
      </c>
      <c r="E22" s="18" t="n">
        <v>46.07615685</v>
      </c>
      <c r="F22" s="20" t="n">
        <v>1.59289343</v>
      </c>
      <c r="G22" s="18" t="n">
        <v>30.88091891</v>
      </c>
      <c r="H22" s="20" t="n">
        <v>1.41619294</v>
      </c>
      <c r="I22" s="18" t="n">
        <v>0</v>
      </c>
      <c r="J22" s="20" t="n">
        <v>0</v>
      </c>
      <c r="K22" s="18" t="n">
        <v>2.44683648</v>
      </c>
      <c r="L22" s="20" t="n">
        <v>0.50535347</v>
      </c>
      <c r="M22" s="18" t="n">
        <v>0</v>
      </c>
      <c r="N22" s="20" t="n">
        <v>0</v>
      </c>
      <c r="O22" s="18" t="n">
        <v>0</v>
      </c>
      <c r="P22" s="20" t="n">
        <v>0</v>
      </c>
      <c r="Q22" s="18" t="n">
        <v>20.59608776</v>
      </c>
      <c r="R22" s="20" t="n">
        <v>1.23801383</v>
      </c>
    </row>
    <row r="23" spans="1:18">
      <c r="A23" s="15" t="s">
        <v>581</v>
      </c>
      <c r="B23" s="17" t="n">
        <v>11583</v>
      </c>
      <c r="C23" s="18">
        <f>(9100.0/B23*100)</f>
        <v/>
      </c>
      <c r="D23" s="19" t="n">
        <v>2483</v>
      </c>
      <c r="E23" s="18" t="n">
        <v>32.88225069</v>
      </c>
      <c r="F23" s="20" t="n">
        <v>1.63756696</v>
      </c>
      <c r="G23" s="18" t="n">
        <v>41.85325406</v>
      </c>
      <c r="H23" s="20" t="n">
        <v>1.62733823</v>
      </c>
      <c r="I23" s="18" t="n">
        <v>0</v>
      </c>
      <c r="J23" s="20" t="n">
        <v>0</v>
      </c>
      <c r="K23" s="18" t="n">
        <v>2.44294136</v>
      </c>
      <c r="L23" s="20" t="n">
        <v>0.47751623</v>
      </c>
      <c r="M23" s="18" t="n">
        <v>0</v>
      </c>
      <c r="N23" s="20" t="n">
        <v>0</v>
      </c>
      <c r="O23" s="18" t="n">
        <v>0</v>
      </c>
      <c r="P23" s="20" t="n">
        <v>0</v>
      </c>
      <c r="Q23" s="18" t="n">
        <v>22.82155389</v>
      </c>
      <c r="R23" s="20" t="n">
        <v>1.63711068</v>
      </c>
    </row>
    <row r="24" spans="1:18">
      <c r="A24" s="15" t="s">
        <v>582</v>
      </c>
      <c r="B24" s="17" t="n">
        <v>6647</v>
      </c>
      <c r="C24" s="18">
        <f>(5232.0/B24*100)</f>
        <v/>
      </c>
      <c r="D24" s="19" t="n">
        <v>1415</v>
      </c>
      <c r="E24" s="18" t="n">
        <v>32.47755203</v>
      </c>
      <c r="F24" s="20" t="n">
        <v>1.40872229</v>
      </c>
      <c r="G24" s="18" t="n">
        <v>52.63506615</v>
      </c>
      <c r="H24" s="20" t="n">
        <v>1.51173555</v>
      </c>
      <c r="I24" s="18" t="n">
        <v>0</v>
      </c>
      <c r="J24" s="20" t="n">
        <v>0</v>
      </c>
      <c r="K24" s="18" t="n">
        <v>0.48703057</v>
      </c>
      <c r="L24" s="20" t="n">
        <v>0.1855142</v>
      </c>
      <c r="M24" s="18" t="n">
        <v>0</v>
      </c>
      <c r="N24" s="20" t="n">
        <v>0</v>
      </c>
      <c r="O24" s="18" t="n">
        <v>0</v>
      </c>
      <c r="P24" s="20" t="n">
        <v>0</v>
      </c>
      <c r="Q24" s="18" t="n">
        <v>14.40035125</v>
      </c>
      <c r="R24" s="20" t="n">
        <v>0.87244082</v>
      </c>
    </row>
    <row r="25" spans="1:18">
      <c r="A25" s="15" t="s">
        <v>583</v>
      </c>
      <c r="B25" s="17" t="n">
        <v>5581</v>
      </c>
      <c r="C25" s="18">
        <f>(4322.0/B25*100)</f>
        <v/>
      </c>
      <c r="D25" s="19" t="n">
        <v>1259</v>
      </c>
      <c r="E25" s="18" t="n">
        <v>37.11041677</v>
      </c>
      <c r="F25" s="20" t="n">
        <v>1.61855566</v>
      </c>
      <c r="G25" s="18" t="n">
        <v>51.52864449</v>
      </c>
      <c r="H25" s="20" t="n">
        <v>1.66923856</v>
      </c>
      <c r="I25" s="18" t="n">
        <v>0</v>
      </c>
      <c r="J25" s="20" t="n">
        <v>0</v>
      </c>
      <c r="K25" s="18" t="n">
        <v>0.36635122</v>
      </c>
      <c r="L25" s="20" t="n">
        <v>0.19167366</v>
      </c>
      <c r="M25" s="18" t="n">
        <v>0</v>
      </c>
      <c r="N25" s="20" t="n">
        <v>0</v>
      </c>
      <c r="O25" s="18" t="n">
        <v>0</v>
      </c>
      <c r="P25" s="20" t="n">
        <v>0</v>
      </c>
      <c r="Q25" s="18" t="n">
        <v>10.99458752</v>
      </c>
      <c r="R25" s="20" t="n">
        <v>1.01528435</v>
      </c>
    </row>
    <row r="26" spans="1:18">
      <c r="A26" s="15" t="s">
        <v>584</v>
      </c>
      <c r="B26" s="17" t="n">
        <v>4869</v>
      </c>
      <c r="C26" s="18">
        <f>(3790.0/B26*100)</f>
        <v/>
      </c>
      <c r="D26" s="19" t="n">
        <v>1079</v>
      </c>
      <c r="E26" s="18" t="n">
        <v>47.24447246</v>
      </c>
      <c r="F26" s="20" t="n">
        <v>1.3652081</v>
      </c>
      <c r="G26" s="18" t="n">
        <v>33.60849303</v>
      </c>
      <c r="H26" s="20" t="n">
        <v>1.48121031</v>
      </c>
      <c r="I26" s="18" t="n">
        <v>0</v>
      </c>
      <c r="J26" s="20" t="n">
        <v>0</v>
      </c>
      <c r="K26" s="18" t="n">
        <v>0.89508435</v>
      </c>
      <c r="L26" s="20" t="n">
        <v>0.3270168</v>
      </c>
      <c r="M26" s="18" t="n">
        <v>0</v>
      </c>
      <c r="N26" s="20" t="n">
        <v>0</v>
      </c>
      <c r="O26" s="18" t="n">
        <v>0</v>
      </c>
      <c r="P26" s="20" t="n">
        <v>0</v>
      </c>
      <c r="Q26" s="18" t="n">
        <v>18.25195016</v>
      </c>
      <c r="R26" s="20" t="n">
        <v>1.22965534</v>
      </c>
    </row>
    <row r="27" spans="1:18">
      <c r="A27" s="15" t="s">
        <v>585</v>
      </c>
      <c r="B27" s="17" t="n">
        <v>5299</v>
      </c>
      <c r="C27" s="18">
        <f>(4193.0/B27*100)</f>
        <v/>
      </c>
      <c r="D27" s="19" t="n">
        <v>1106</v>
      </c>
      <c r="E27" s="18" t="n">
        <v>38.92855603</v>
      </c>
      <c r="F27" s="20" t="n">
        <v>1.30520149</v>
      </c>
      <c r="G27" s="18" t="n">
        <v>39.77224691</v>
      </c>
      <c r="H27" s="20" t="n">
        <v>1.34489882</v>
      </c>
      <c r="I27" s="18" t="n">
        <v>0</v>
      </c>
      <c r="J27" s="20" t="n">
        <v>0</v>
      </c>
      <c r="K27" s="18" t="n">
        <v>1.17577901</v>
      </c>
      <c r="L27" s="20" t="n">
        <v>0.27056591</v>
      </c>
      <c r="M27" s="18" t="n">
        <v>0</v>
      </c>
      <c r="N27" s="20" t="n">
        <v>0</v>
      </c>
      <c r="O27" s="18" t="n">
        <v>0</v>
      </c>
      <c r="P27" s="20" t="n">
        <v>0</v>
      </c>
      <c r="Q27" s="18" t="n">
        <v>20.12341805</v>
      </c>
      <c r="R27" s="20" t="n">
        <v>1.16437958</v>
      </c>
    </row>
    <row r="28" spans="1:18">
      <c r="A28" s="15" t="s">
        <v>586</v>
      </c>
      <c r="B28" s="17" t="n">
        <v>7568</v>
      </c>
      <c r="C28" s="18">
        <f>(6035.0/B28*100)</f>
        <v/>
      </c>
      <c r="D28" s="19" t="n">
        <v>1533</v>
      </c>
      <c r="E28" s="18" t="n">
        <v>39.789491</v>
      </c>
      <c r="F28" s="20" t="n">
        <v>1.47291173</v>
      </c>
      <c r="G28" s="18" t="n">
        <v>24.2007171</v>
      </c>
      <c r="H28" s="20" t="n">
        <v>1.27613237</v>
      </c>
      <c r="I28" s="18" t="n">
        <v>0</v>
      </c>
      <c r="J28" s="20" t="n">
        <v>0</v>
      </c>
      <c r="K28" s="18" t="n">
        <v>2.06267074</v>
      </c>
      <c r="L28" s="20" t="n">
        <v>0.5551028</v>
      </c>
      <c r="M28" s="18" t="n">
        <v>0</v>
      </c>
      <c r="N28" s="20" t="n">
        <v>0</v>
      </c>
      <c r="O28" s="18" t="n">
        <v>0</v>
      </c>
      <c r="P28" s="20" t="n">
        <v>0</v>
      </c>
      <c r="Q28" s="18" t="n">
        <v>33.94712116</v>
      </c>
      <c r="R28" s="20" t="n">
        <v>1.5418814</v>
      </c>
    </row>
    <row r="29" spans="1:18">
      <c r="A29" s="15" t="s">
        <v>587</v>
      </c>
      <c r="B29" s="17" t="n">
        <v>5385</v>
      </c>
      <c r="C29" s="18">
        <f>(4242.0/B29*100)</f>
        <v/>
      </c>
      <c r="D29" s="19" t="n">
        <v>1143</v>
      </c>
      <c r="E29" s="18" t="n">
        <v>41.62687526</v>
      </c>
      <c r="F29" s="20" t="n">
        <v>1.43969854</v>
      </c>
      <c r="G29" s="18" t="n">
        <v>45.19260095</v>
      </c>
      <c r="H29" s="20" t="n">
        <v>1.77559156</v>
      </c>
      <c r="I29" s="18" t="n">
        <v>0</v>
      </c>
      <c r="J29" s="20" t="n">
        <v>0</v>
      </c>
      <c r="K29" s="18" t="n">
        <v>0.25027798</v>
      </c>
      <c r="L29" s="20" t="n">
        <v>0.15288751</v>
      </c>
      <c r="M29" s="18" t="n">
        <v>0</v>
      </c>
      <c r="N29" s="20" t="n">
        <v>0</v>
      </c>
      <c r="O29" s="18" t="n">
        <v>0</v>
      </c>
      <c r="P29" s="20" t="n">
        <v>0</v>
      </c>
      <c r="Q29" s="18" t="n">
        <v>12.93024581</v>
      </c>
      <c r="R29" s="20" t="n">
        <v>1.127936</v>
      </c>
    </row>
    <row r="30" spans="1:18">
      <c r="A30" s="15" t="s">
        <v>588</v>
      </c>
      <c r="B30" s="17" t="n">
        <v>4520</v>
      </c>
      <c r="C30" s="18">
        <f>(3574.0/B30*100)</f>
        <v/>
      </c>
      <c r="D30" s="19" t="n">
        <v>946</v>
      </c>
      <c r="E30" s="18" t="n">
        <v>34.86967179</v>
      </c>
      <c r="F30" s="20" t="n">
        <v>1.65430414</v>
      </c>
      <c r="G30" s="18" t="n">
        <v>41.69392901</v>
      </c>
      <c r="H30" s="20" t="n">
        <v>1.80688643</v>
      </c>
      <c r="I30" s="18" t="n">
        <v>0</v>
      </c>
      <c r="J30" s="20" t="n">
        <v>0</v>
      </c>
      <c r="K30" s="18" t="n">
        <v>1.79911878</v>
      </c>
      <c r="L30" s="20" t="n">
        <v>0.50347324</v>
      </c>
      <c r="M30" s="18" t="n">
        <v>0</v>
      </c>
      <c r="N30" s="20" t="n">
        <v>0</v>
      </c>
      <c r="O30" s="18" t="n">
        <v>0</v>
      </c>
      <c r="P30" s="20" t="n">
        <v>0</v>
      </c>
      <c r="Q30" s="18" t="n">
        <v>21.63728042</v>
      </c>
      <c r="R30" s="20" t="n">
        <v>1.51504935</v>
      </c>
    </row>
    <row r="31" spans="1:18">
      <c r="A31" s="15" t="s">
        <v>589</v>
      </c>
      <c r="B31" s="17" t="n">
        <v>5456</v>
      </c>
      <c r="C31" s="18">
        <f>(4261.0/B31*100)</f>
        <v/>
      </c>
      <c r="D31" s="19" t="n">
        <v>1195</v>
      </c>
      <c r="E31" s="18" t="n">
        <v>34.9015394</v>
      </c>
      <c r="F31" s="20" t="n">
        <v>1.39813007</v>
      </c>
      <c r="G31" s="18" t="n">
        <v>44.13469948</v>
      </c>
      <c r="H31" s="20" t="n">
        <v>1.59112121</v>
      </c>
      <c r="I31" s="18" t="n">
        <v>0</v>
      </c>
      <c r="J31" s="20" t="n">
        <v>0</v>
      </c>
      <c r="K31" s="18" t="n">
        <v>2.14681037</v>
      </c>
      <c r="L31" s="20" t="n">
        <v>0.4348721</v>
      </c>
      <c r="M31" s="18" t="n">
        <v>0</v>
      </c>
      <c r="N31" s="20" t="n">
        <v>0</v>
      </c>
      <c r="O31" s="18" t="n">
        <v>0</v>
      </c>
      <c r="P31" s="20" t="n">
        <v>0</v>
      </c>
      <c r="Q31" s="18" t="n">
        <v>18.81695075</v>
      </c>
      <c r="R31" s="20" t="n">
        <v>1.15504078</v>
      </c>
    </row>
    <row r="32" spans="1:18">
      <c r="A32" s="15" t="s">
        <v>590</v>
      </c>
      <c r="B32" s="17" t="n">
        <v>4478</v>
      </c>
      <c r="C32" s="18">
        <f>(3474.0/B32*100)</f>
        <v/>
      </c>
      <c r="D32" s="19" t="n">
        <v>1004</v>
      </c>
      <c r="E32" s="18" t="n">
        <v>35.83309741</v>
      </c>
      <c r="F32" s="20" t="n">
        <v>1.4355653</v>
      </c>
      <c r="G32" s="18" t="n">
        <v>44.88767508</v>
      </c>
      <c r="H32" s="20" t="n">
        <v>1.69573789</v>
      </c>
      <c r="I32" s="18" t="n">
        <v>0</v>
      </c>
      <c r="J32" s="20" t="n">
        <v>0</v>
      </c>
      <c r="K32" s="18" t="n">
        <v>0.61059319</v>
      </c>
      <c r="L32" s="20" t="n">
        <v>0.30565808</v>
      </c>
      <c r="M32" s="18" t="n">
        <v>0</v>
      </c>
      <c r="N32" s="20" t="n">
        <v>0</v>
      </c>
      <c r="O32" s="18" t="n">
        <v>0</v>
      </c>
      <c r="P32" s="20" t="n">
        <v>0</v>
      </c>
      <c r="Q32" s="18" t="n">
        <v>18.66863432</v>
      </c>
      <c r="R32" s="20" t="n">
        <v>1.30549781</v>
      </c>
    </row>
    <row r="33" spans="1:18">
      <c r="A33" s="15" t="s">
        <v>591</v>
      </c>
      <c r="B33" s="17" t="n">
        <v>7325</v>
      </c>
      <c r="C33" s="18">
        <f>(5783.0/B33*100)</f>
        <v/>
      </c>
      <c r="D33" s="19" t="n">
        <v>1542</v>
      </c>
      <c r="E33" s="18" t="n">
        <v>41.93099442</v>
      </c>
      <c r="F33" s="20" t="n">
        <v>1.53894473</v>
      </c>
      <c r="G33" s="18" t="n">
        <v>36.99281432</v>
      </c>
      <c r="H33" s="20" t="n">
        <v>1.69075994</v>
      </c>
      <c r="I33" s="18" t="n">
        <v>0</v>
      </c>
      <c r="J33" s="20" t="n">
        <v>0</v>
      </c>
      <c r="K33" s="18" t="n">
        <v>1.56338327</v>
      </c>
      <c r="L33" s="20" t="n">
        <v>0.37903936</v>
      </c>
      <c r="M33" s="18" t="n">
        <v>0</v>
      </c>
      <c r="N33" s="20" t="n">
        <v>0</v>
      </c>
      <c r="O33" s="18" t="n">
        <v>0</v>
      </c>
      <c r="P33" s="20" t="n">
        <v>0</v>
      </c>
      <c r="Q33" s="18" t="n">
        <v>19.512808</v>
      </c>
      <c r="R33" s="20" t="n">
        <v>1.30102681</v>
      </c>
    </row>
    <row r="34" spans="1:18">
      <c r="A34" s="15" t="s">
        <v>592</v>
      </c>
      <c r="B34" s="17" t="n">
        <v>6350</v>
      </c>
      <c r="C34" s="18">
        <f>(5060.0/B34*100)</f>
        <v/>
      </c>
      <c r="D34" s="19" t="n">
        <v>1290</v>
      </c>
      <c r="E34" s="18" t="n">
        <v>36.83797293</v>
      </c>
      <c r="F34" s="20" t="n">
        <v>1.38808788</v>
      </c>
      <c r="G34" s="18" t="n">
        <v>36.8681999</v>
      </c>
      <c r="H34" s="20" t="n">
        <v>1.50178748</v>
      </c>
      <c r="I34" s="18" t="n">
        <v>0</v>
      </c>
      <c r="J34" s="20" t="n">
        <v>0</v>
      </c>
      <c r="K34" s="18" t="n">
        <v>1.55577023</v>
      </c>
      <c r="L34" s="20" t="n">
        <v>0.39088835</v>
      </c>
      <c r="M34" s="18" t="n">
        <v>0</v>
      </c>
      <c r="N34" s="20" t="n">
        <v>0</v>
      </c>
      <c r="O34" s="18" t="n">
        <v>0</v>
      </c>
      <c r="P34" s="20" t="n">
        <v>0</v>
      </c>
      <c r="Q34" s="18" t="n">
        <v>24.73805694</v>
      </c>
      <c r="R34" s="20" t="n">
        <v>1.28727846</v>
      </c>
    </row>
    <row r="35" spans="1:18">
      <c r="A35" s="15" t="s">
        <v>593</v>
      </c>
      <c r="B35" s="17" t="n">
        <v>6406</v>
      </c>
      <c r="C35" s="18">
        <f>(5062.0/B35*100)</f>
        <v/>
      </c>
      <c r="D35" s="19" t="n">
        <v>1344</v>
      </c>
      <c r="E35" s="18" t="n">
        <v>39.37865229</v>
      </c>
      <c r="F35" s="20" t="n">
        <v>1.6782676</v>
      </c>
      <c r="G35" s="18" t="n">
        <v>47.07303242</v>
      </c>
      <c r="H35" s="20" t="n">
        <v>1.58978496</v>
      </c>
      <c r="I35" s="18" t="n">
        <v>0</v>
      </c>
      <c r="J35" s="20" t="n">
        <v>0</v>
      </c>
      <c r="K35" s="18" t="n">
        <v>0.61198755</v>
      </c>
      <c r="L35" s="20" t="n">
        <v>0.18815298</v>
      </c>
      <c r="M35" s="18" t="n">
        <v>0</v>
      </c>
      <c r="N35" s="20" t="n">
        <v>0</v>
      </c>
      <c r="O35" s="18" t="n">
        <v>0</v>
      </c>
      <c r="P35" s="20" t="n">
        <v>0</v>
      </c>
      <c r="Q35" s="18" t="n">
        <v>12.93632774</v>
      </c>
      <c r="R35" s="20" t="n">
        <v>1.05691102</v>
      </c>
    </row>
    <row r="36" spans="1:18">
      <c r="A36" s="15" t="s">
        <v>594</v>
      </c>
      <c r="B36" s="17" t="n">
        <v>6736</v>
      </c>
      <c r="C36" s="18">
        <f>(5317.0/B36*100)</f>
        <v/>
      </c>
      <c r="D36" s="19" t="n">
        <v>1419</v>
      </c>
      <c r="E36" s="18" t="n">
        <v>40.48249924</v>
      </c>
      <c r="F36" s="20" t="n">
        <v>1.20221368</v>
      </c>
      <c r="G36" s="18" t="n">
        <v>37.24299667</v>
      </c>
      <c r="H36" s="20" t="n">
        <v>1.32353611</v>
      </c>
      <c r="I36" s="18" t="n">
        <v>0</v>
      </c>
      <c r="J36" s="20" t="n">
        <v>0</v>
      </c>
      <c r="K36" s="18" t="n">
        <v>1.65076543</v>
      </c>
      <c r="L36" s="20" t="n">
        <v>0.35783332</v>
      </c>
      <c r="M36" s="18" t="n">
        <v>0</v>
      </c>
      <c r="N36" s="20" t="n">
        <v>0</v>
      </c>
      <c r="O36" s="18" t="n">
        <v>0</v>
      </c>
      <c r="P36" s="20" t="n">
        <v>0</v>
      </c>
      <c r="Q36" s="18" t="n">
        <v>20.62373866</v>
      </c>
      <c r="R36" s="20" t="n">
        <v>1.16018428</v>
      </c>
    </row>
    <row r="37" spans="1:18">
      <c r="A37" s="15" t="s">
        <v>595</v>
      </c>
      <c r="B37" s="17" t="n">
        <v>5458</v>
      </c>
      <c r="C37" s="18">
        <f>(4330.0/B37*100)</f>
        <v/>
      </c>
      <c r="D37" s="19" t="n">
        <v>1128</v>
      </c>
      <c r="E37" s="18" t="n">
        <v>33.86084281</v>
      </c>
      <c r="F37" s="20" t="n">
        <v>1.408693</v>
      </c>
      <c r="G37" s="18" t="n">
        <v>40.57796877</v>
      </c>
      <c r="H37" s="20" t="n">
        <v>1.74212491</v>
      </c>
      <c r="I37" s="18" t="n">
        <v>0</v>
      </c>
      <c r="J37" s="20" t="n">
        <v>0</v>
      </c>
      <c r="K37" s="18" t="n">
        <v>3.45640909</v>
      </c>
      <c r="L37" s="20" t="n">
        <v>0.5492361</v>
      </c>
      <c r="M37" s="18" t="n">
        <v>0</v>
      </c>
      <c r="N37" s="20" t="n">
        <v>0</v>
      </c>
      <c r="O37" s="18" t="n">
        <v>0</v>
      </c>
      <c r="P37" s="20" t="n">
        <v>0</v>
      </c>
      <c r="Q37" s="18" t="n">
        <v>22.10477933</v>
      </c>
      <c r="R37" s="20" t="n">
        <v>1.21047294</v>
      </c>
    </row>
    <row r="38" spans="1:18">
      <c r="A38" s="15" t="s">
        <v>596</v>
      </c>
      <c r="B38" s="17" t="n">
        <v>5860</v>
      </c>
      <c r="C38" s="18">
        <f>(4607.0/B38*100)</f>
        <v/>
      </c>
      <c r="D38" s="19" t="n">
        <v>1253</v>
      </c>
      <c r="E38" s="18" t="n">
        <v>38.97877359</v>
      </c>
      <c r="F38" s="20" t="n">
        <v>1.57761787</v>
      </c>
      <c r="G38" s="18" t="n">
        <v>43.10363464</v>
      </c>
      <c r="H38" s="20" t="n">
        <v>1.77614675</v>
      </c>
      <c r="I38" s="18" t="n">
        <v>0</v>
      </c>
      <c r="J38" s="20" t="n">
        <v>0</v>
      </c>
      <c r="K38" s="18" t="n">
        <v>1.76144888</v>
      </c>
      <c r="L38" s="20" t="n">
        <v>0.4060165</v>
      </c>
      <c r="M38" s="18" t="n">
        <v>0</v>
      </c>
      <c r="N38" s="20" t="n">
        <v>0</v>
      </c>
      <c r="O38" s="18" t="n">
        <v>0</v>
      </c>
      <c r="P38" s="20" t="n">
        <v>0</v>
      </c>
      <c r="Q38" s="18" t="n">
        <v>16.15614289</v>
      </c>
      <c r="R38" s="20" t="n">
        <v>1.10726556</v>
      </c>
    </row>
    <row r="39" spans="1:18">
      <c r="A39" s="15" t="s">
        <v>597</v>
      </c>
      <c r="B39" s="17" t="n">
        <v>5895</v>
      </c>
      <c r="C39" s="18">
        <f>(4573.0/B39*100)</f>
        <v/>
      </c>
      <c r="D39" s="19" t="n">
        <v>1322</v>
      </c>
      <c r="E39" s="18" t="n">
        <v>48.55892107</v>
      </c>
      <c r="F39" s="20" t="n">
        <v>1.59643153</v>
      </c>
      <c r="G39" s="18" t="n">
        <v>21.85437616</v>
      </c>
      <c r="H39" s="20" t="n">
        <v>1.37948839</v>
      </c>
      <c r="I39" s="18" t="n">
        <v>0</v>
      </c>
      <c r="J39" s="20" t="n">
        <v>0</v>
      </c>
      <c r="K39" s="18" t="n">
        <v>0.66413221</v>
      </c>
      <c r="L39" s="20" t="n">
        <v>0.19129281</v>
      </c>
      <c r="M39" s="18" t="n">
        <v>0</v>
      </c>
      <c r="N39" s="20" t="n">
        <v>0</v>
      </c>
      <c r="O39" s="18" t="n">
        <v>0</v>
      </c>
      <c r="P39" s="20" t="n">
        <v>0</v>
      </c>
      <c r="Q39" s="18" t="n">
        <v>28.92257057</v>
      </c>
      <c r="R39" s="20" t="n">
        <v>1.6190992</v>
      </c>
    </row>
    <row r="40" spans="1:18">
      <c r="A40" s="15" t="s">
        <v>598</v>
      </c>
      <c r="B40" s="17" t="n">
        <v>14157</v>
      </c>
      <c r="C40" s="18">
        <f>(11023.0/B40*100)</f>
        <v/>
      </c>
      <c r="D40" s="19" t="n">
        <v>3134</v>
      </c>
      <c r="E40" s="18" t="n">
        <v>35.57966838</v>
      </c>
      <c r="F40" s="20" t="n">
        <v>1.26158096</v>
      </c>
      <c r="G40" s="18" t="n">
        <v>49.79637242</v>
      </c>
      <c r="H40" s="20" t="n">
        <v>1.18765174</v>
      </c>
      <c r="I40" s="18" t="n">
        <v>0</v>
      </c>
      <c r="J40" s="20" t="n">
        <v>0</v>
      </c>
      <c r="K40" s="18" t="n">
        <v>1.20771369</v>
      </c>
      <c r="L40" s="20" t="n">
        <v>0.30037781</v>
      </c>
      <c r="M40" s="18" t="n">
        <v>0</v>
      </c>
      <c r="N40" s="20" t="n">
        <v>0</v>
      </c>
      <c r="O40" s="18" t="n">
        <v>0</v>
      </c>
      <c r="P40" s="20" t="n">
        <v>0</v>
      </c>
      <c r="Q40" s="18" t="n">
        <v>13.41624551</v>
      </c>
      <c r="R40" s="20" t="n">
        <v>0.87683846</v>
      </c>
    </row>
    <row r="41" spans="1:18">
      <c r="A41" s="15" t="s">
        <v>599</v>
      </c>
      <c r="B41" s="17" t="n">
        <v>5712</v>
      </c>
      <c r="C41" s="18">
        <f>(4535.0/B41*100)</f>
        <v/>
      </c>
      <c r="D41" s="19" t="n">
        <v>1177</v>
      </c>
      <c r="E41" s="18" t="n">
        <v>38.87609975</v>
      </c>
      <c r="F41" s="20" t="n">
        <v>1.48697668</v>
      </c>
      <c r="G41" s="18" t="n">
        <v>39.63617559</v>
      </c>
      <c r="H41" s="20" t="n">
        <v>1.63746859</v>
      </c>
      <c r="I41" s="18" t="n">
        <v>0</v>
      </c>
      <c r="J41" s="20" t="n">
        <v>0</v>
      </c>
      <c r="K41" s="18" t="n">
        <v>1.36722467</v>
      </c>
      <c r="L41" s="20" t="n">
        <v>0.38966853</v>
      </c>
      <c r="M41" s="18" t="n">
        <v>0</v>
      </c>
      <c r="N41" s="20" t="n">
        <v>0</v>
      </c>
      <c r="O41" s="18" t="n">
        <v>0</v>
      </c>
      <c r="P41" s="20" t="n">
        <v>0</v>
      </c>
      <c r="Q41" s="18" t="n">
        <v>20.12049999</v>
      </c>
      <c r="R41" s="20" t="n">
        <v>1.66645927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(19685.0/B46*100)</f>
        <v/>
      </c>
      <c r="D46" s="19" t="n">
        <v>3456</v>
      </c>
      <c r="E46" s="18" t="n">
        <v>36.41388843</v>
      </c>
      <c r="F46" s="20" t="n">
        <v>1.2619522</v>
      </c>
      <c r="G46" s="18" t="n">
        <v>21.64589334</v>
      </c>
      <c r="H46" s="20" t="n">
        <v>1.11337014</v>
      </c>
      <c r="I46" s="18" t="n">
        <v>0</v>
      </c>
      <c r="J46" s="20" t="n">
        <v>0</v>
      </c>
      <c r="K46" s="18" t="n">
        <v>3.76502896</v>
      </c>
      <c r="L46" s="20" t="n">
        <v>0.53306637</v>
      </c>
      <c r="M46" s="18" t="n">
        <v>0</v>
      </c>
      <c r="N46" s="20" t="n">
        <v>0</v>
      </c>
      <c r="O46" s="18" t="n">
        <v>0</v>
      </c>
      <c r="P46" s="20" t="n">
        <v>0</v>
      </c>
      <c r="Q46" s="18" t="n">
        <v>38.17518927</v>
      </c>
      <c r="R46" s="20" t="n">
        <v>1.46480158</v>
      </c>
    </row>
    <row r="47" spans="1:18">
      <c r="A47" s="15" t="s">
        <v>606</v>
      </c>
      <c r="B47" s="17" t="n">
        <v>5928</v>
      </c>
      <c r="C47" s="18">
        <f>(4630.0/B47*100)</f>
        <v/>
      </c>
      <c r="D47" s="19" t="n">
        <v>1298</v>
      </c>
      <c r="E47" s="18" t="n">
        <v>39.06051695</v>
      </c>
      <c r="F47" s="20" t="n">
        <v>1.23992496</v>
      </c>
      <c r="G47" s="18" t="n">
        <v>29.38751392</v>
      </c>
      <c r="H47" s="20" t="n">
        <v>1.55463608</v>
      </c>
      <c r="I47" s="18" t="n">
        <v>0</v>
      </c>
      <c r="J47" s="20" t="n">
        <v>0</v>
      </c>
      <c r="K47" s="18" t="n">
        <v>1.97336494</v>
      </c>
      <c r="L47" s="20" t="n">
        <v>0.38524832</v>
      </c>
      <c r="M47" s="18" t="n">
        <v>0</v>
      </c>
      <c r="N47" s="20" t="n">
        <v>0</v>
      </c>
      <c r="O47" s="18" t="n">
        <v>0</v>
      </c>
      <c r="P47" s="20" t="n">
        <v>0</v>
      </c>
      <c r="Q47" s="18" t="n">
        <v>29.57860418</v>
      </c>
      <c r="R47" s="20" t="n">
        <v>1.54170393</v>
      </c>
    </row>
    <row r="48" spans="1:18">
      <c r="A48" s="15" t="s">
        <v>607</v>
      </c>
      <c r="B48" s="17" t="n">
        <v>9841</v>
      </c>
      <c r="C48" s="18">
        <f>(7696.0/B48*100)</f>
        <v/>
      </c>
      <c r="D48" s="19" t="n">
        <v>2145</v>
      </c>
      <c r="E48" s="18" t="n">
        <v>31.23248893</v>
      </c>
      <c r="F48" s="20" t="n">
        <v>1.40392359</v>
      </c>
      <c r="G48" s="18" t="n">
        <v>30.81853295</v>
      </c>
      <c r="H48" s="20" t="n">
        <v>1.3475727</v>
      </c>
      <c r="I48" s="18" t="n">
        <v>0</v>
      </c>
      <c r="J48" s="20" t="n">
        <v>0</v>
      </c>
      <c r="K48" s="18" t="n">
        <v>1.00449212</v>
      </c>
      <c r="L48" s="20" t="n">
        <v>0.28539747</v>
      </c>
      <c r="M48" s="18" t="n">
        <v>0</v>
      </c>
      <c r="N48" s="20" t="n">
        <v>0</v>
      </c>
      <c r="O48" s="18" t="n">
        <v>0</v>
      </c>
      <c r="P48" s="20" t="n">
        <v>0</v>
      </c>
      <c r="Q48" s="18" t="n">
        <v>36.944486</v>
      </c>
      <c r="R48" s="20" t="n">
        <v>1.53828165</v>
      </c>
    </row>
    <row r="49" spans="1:18">
      <c r="A49" s="15" t="s">
        <v>608</v>
      </c>
      <c r="B49" s="17" t="n">
        <v>11795</v>
      </c>
      <c r="C49" s="18">
        <f>(9327.0/B49*100)</f>
        <v/>
      </c>
      <c r="D49" s="19" t="n">
        <v>2468</v>
      </c>
      <c r="E49" s="18" t="n">
        <v>42.88828368</v>
      </c>
      <c r="F49" s="20" t="n">
        <v>1.41446933</v>
      </c>
      <c r="G49" s="18" t="n">
        <v>18.11914169</v>
      </c>
      <c r="H49" s="20" t="n">
        <v>1.17286503</v>
      </c>
      <c r="I49" s="18" t="n">
        <v>0</v>
      </c>
      <c r="J49" s="20" t="n">
        <v>0</v>
      </c>
      <c r="K49" s="18" t="n">
        <v>4.80179541</v>
      </c>
      <c r="L49" s="20" t="n">
        <v>0.75189121</v>
      </c>
      <c r="M49" s="18" t="n">
        <v>0</v>
      </c>
      <c r="N49" s="20" t="n">
        <v>0</v>
      </c>
      <c r="O49" s="18" t="n">
        <v>0</v>
      </c>
      <c r="P49" s="20" t="n">
        <v>0</v>
      </c>
      <c r="Q49" s="18" t="n">
        <v>34.19077922</v>
      </c>
      <c r="R49" s="20" t="n">
        <v>1.55149301</v>
      </c>
    </row>
    <row r="50" spans="1:18">
      <c r="A50" s="15" t="s">
        <v>609</v>
      </c>
      <c r="B50" s="17" t="n">
        <v>6866</v>
      </c>
      <c r="C50" s="18">
        <f>(5699.0/B50*100)</f>
        <v/>
      </c>
      <c r="D50" s="19" t="n">
        <v>1167</v>
      </c>
      <c r="E50" s="18" t="n">
        <v>44.23879008</v>
      </c>
      <c r="F50" s="20" t="n">
        <v>1.57400472</v>
      </c>
      <c r="G50" s="18" t="n">
        <v>19.42456604</v>
      </c>
      <c r="H50" s="20" t="n">
        <v>1.48719733</v>
      </c>
      <c r="I50" s="18" t="n">
        <v>0</v>
      </c>
      <c r="J50" s="20" t="n">
        <v>0</v>
      </c>
      <c r="K50" s="18" t="n">
        <v>1.94945379</v>
      </c>
      <c r="L50" s="20" t="n">
        <v>0.38475455</v>
      </c>
      <c r="M50" s="18" t="n">
        <v>0</v>
      </c>
      <c r="N50" s="20" t="n">
        <v>0</v>
      </c>
      <c r="O50" s="18" t="n">
        <v>0</v>
      </c>
      <c r="P50" s="20" t="n">
        <v>0</v>
      </c>
      <c r="Q50" s="18" t="n">
        <v>34.3871901</v>
      </c>
      <c r="R50" s="20" t="n">
        <v>1.6779682</v>
      </c>
    </row>
    <row r="51" spans="1:18">
      <c r="A51" s="15" t="s">
        <v>610</v>
      </c>
      <c r="B51" s="17" t="n">
        <v>5809</v>
      </c>
      <c r="C51" s="18">
        <f>(4554.0/B51*100)</f>
        <v/>
      </c>
      <c r="D51" s="19" t="n">
        <v>1255</v>
      </c>
      <c r="E51" s="18" t="n">
        <v>49.29589743</v>
      </c>
      <c r="F51" s="20" t="n">
        <v>1.51475807</v>
      </c>
      <c r="G51" s="18" t="n">
        <v>32.11071734</v>
      </c>
      <c r="H51" s="20" t="n">
        <v>1.41270105</v>
      </c>
      <c r="I51" s="18" t="n">
        <v>0</v>
      </c>
      <c r="J51" s="20" t="n">
        <v>0</v>
      </c>
      <c r="K51" s="18" t="n">
        <v>0.74983369</v>
      </c>
      <c r="L51" s="20" t="n">
        <v>0.31622867</v>
      </c>
      <c r="M51" s="18" t="n">
        <v>0</v>
      </c>
      <c r="N51" s="20" t="n">
        <v>0</v>
      </c>
      <c r="O51" s="18" t="n">
        <v>0</v>
      </c>
      <c r="P51" s="20" t="n">
        <v>0</v>
      </c>
      <c r="Q51" s="18" t="n">
        <v>17.84355155</v>
      </c>
      <c r="R51" s="20" t="n">
        <v>1.32980472</v>
      </c>
    </row>
    <row r="52" spans="1:18">
      <c r="A52" s="15" t="s">
        <v>611</v>
      </c>
      <c r="B52" s="17" t="n">
        <v>5571</v>
      </c>
      <c r="C52" s="18">
        <f>(4308.0/B52*100)</f>
        <v/>
      </c>
      <c r="D52" s="19" t="n">
        <v>1263</v>
      </c>
      <c r="E52" s="18" t="n">
        <v>42.90941461</v>
      </c>
      <c r="F52" s="20" t="n">
        <v>1.42727214</v>
      </c>
      <c r="G52" s="18" t="n">
        <v>32.90592354</v>
      </c>
      <c r="H52" s="20" t="n">
        <v>1.47445893</v>
      </c>
      <c r="I52" s="18" t="n">
        <v>0</v>
      </c>
      <c r="J52" s="20" t="n">
        <v>0</v>
      </c>
      <c r="K52" s="18" t="n">
        <v>1.38534863</v>
      </c>
      <c r="L52" s="20" t="n">
        <v>0.31076194</v>
      </c>
      <c r="M52" s="18" t="n">
        <v>0</v>
      </c>
      <c r="N52" s="20" t="n">
        <v>0</v>
      </c>
      <c r="O52" s="18" t="n">
        <v>0</v>
      </c>
      <c r="P52" s="20" t="n">
        <v>0</v>
      </c>
      <c r="Q52" s="18" t="n">
        <v>22.79931322</v>
      </c>
      <c r="R52" s="20" t="n">
        <v>1.28693016</v>
      </c>
    </row>
    <row r="53" spans="1:18">
      <c r="A53" s="15" t="s">
        <v>612</v>
      </c>
      <c r="B53" s="17" t="n">
        <v>4740</v>
      </c>
      <c r="C53" s="18">
        <f>(3709.0/B53*100)</f>
        <v/>
      </c>
      <c r="D53" s="19" t="n">
        <v>1031</v>
      </c>
      <c r="E53" s="18" t="n">
        <v>26.43957599</v>
      </c>
      <c r="F53" s="20" t="n">
        <v>1.50985163</v>
      </c>
      <c r="G53" s="18" t="n">
        <v>6.49521235</v>
      </c>
      <c r="H53" s="20" t="n">
        <v>0.6976954399999999</v>
      </c>
      <c r="I53" s="18" t="n">
        <v>0</v>
      </c>
      <c r="J53" s="20" t="n">
        <v>0</v>
      </c>
      <c r="K53" s="18" t="n">
        <v>22.16189935</v>
      </c>
      <c r="L53" s="20" t="n">
        <v>1.48486313</v>
      </c>
      <c r="M53" s="18" t="n">
        <v>0</v>
      </c>
      <c r="N53" s="20" t="n">
        <v>0</v>
      </c>
      <c r="O53" s="18" t="n">
        <v>0</v>
      </c>
      <c r="P53" s="20" t="n">
        <v>0</v>
      </c>
      <c r="Q53" s="18" t="n">
        <v>44.90331232</v>
      </c>
      <c r="R53" s="20" t="n">
        <v>1.90358845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(4245.0/B55*100)</f>
        <v/>
      </c>
      <c r="D55" s="19" t="n">
        <v>1114</v>
      </c>
      <c r="E55" s="18" t="n">
        <v>27.54637123</v>
      </c>
      <c r="F55" s="20" t="n">
        <v>1.60100112</v>
      </c>
      <c r="G55" s="18" t="n">
        <v>55.51846315</v>
      </c>
      <c r="H55" s="20" t="n">
        <v>1.61935876</v>
      </c>
      <c r="I55" s="18" t="n">
        <v>0</v>
      </c>
      <c r="J55" s="20" t="n">
        <v>0</v>
      </c>
      <c r="K55" s="18" t="n">
        <v>0.63728535</v>
      </c>
      <c r="L55" s="20" t="n">
        <v>0.31165023</v>
      </c>
      <c r="M55" s="18" t="n">
        <v>0</v>
      </c>
      <c r="N55" s="20" t="n">
        <v>0</v>
      </c>
      <c r="O55" s="18" t="n">
        <v>0</v>
      </c>
      <c r="P55" s="20" t="n">
        <v>0</v>
      </c>
      <c r="Q55" s="18" t="n">
        <v>16.29788028</v>
      </c>
      <c r="R55" s="20" t="n">
        <v>1.07479208</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(5109.0/B61*100)</f>
        <v/>
      </c>
      <c r="D61" s="19" t="n">
        <v>1416</v>
      </c>
      <c r="E61" s="18" t="n">
        <v>47.85419948</v>
      </c>
      <c r="F61" s="20" t="n">
        <v>1.56053523</v>
      </c>
      <c r="G61" s="18" t="n">
        <v>33.11941056</v>
      </c>
      <c r="H61" s="20" t="n">
        <v>1.62022855</v>
      </c>
      <c r="I61" s="18" t="n">
        <v>0</v>
      </c>
      <c r="J61" s="20" t="n">
        <v>0</v>
      </c>
      <c r="K61" s="18" t="n">
        <v>0.9875635699999999</v>
      </c>
      <c r="L61" s="20" t="n">
        <v>0.30027309</v>
      </c>
      <c r="M61" s="18" t="n">
        <v>0</v>
      </c>
      <c r="N61" s="20" t="n">
        <v>0</v>
      </c>
      <c r="O61" s="18" t="n">
        <v>0</v>
      </c>
      <c r="P61" s="20" t="n">
        <v>0</v>
      </c>
      <c r="Q61" s="18" t="n">
        <v>18.03882639</v>
      </c>
      <c r="R61" s="20" t="n">
        <v>1.14807911</v>
      </c>
    </row>
    <row r="62" spans="1:18">
      <c r="A62" s="15" t="s">
        <v>622</v>
      </c>
      <c r="B62" s="17" t="n">
        <v>4476</v>
      </c>
      <c r="C62" s="18">
        <f>(3535.0/B62*100)</f>
        <v/>
      </c>
      <c r="D62" s="19" t="n">
        <v>941</v>
      </c>
      <c r="E62" s="18" t="n">
        <v>27.33537056</v>
      </c>
      <c r="F62" s="20" t="n">
        <v>1.23850753</v>
      </c>
      <c r="G62" s="18" t="n">
        <v>58.05764405</v>
      </c>
      <c r="H62" s="20" t="n">
        <v>1.38641282</v>
      </c>
      <c r="I62" s="18" t="n">
        <v>0</v>
      </c>
      <c r="J62" s="20" t="n">
        <v>0</v>
      </c>
      <c r="K62" s="18" t="n">
        <v>0.21691567</v>
      </c>
      <c r="L62" s="20" t="n">
        <v>0.13248333</v>
      </c>
      <c r="M62" s="18" t="n">
        <v>0</v>
      </c>
      <c r="N62" s="20" t="n">
        <v>0</v>
      </c>
      <c r="O62" s="18" t="n">
        <v>0</v>
      </c>
      <c r="P62" s="20" t="n">
        <v>0</v>
      </c>
      <c r="Q62" s="18" t="n">
        <v>14.39006972</v>
      </c>
      <c r="R62" s="20" t="n">
        <v>1.11992773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(4475.0/B67*100)</f>
        <v/>
      </c>
      <c r="D67" s="19" t="n">
        <v>1190</v>
      </c>
      <c r="E67" s="18" t="n">
        <v>39.32070607</v>
      </c>
      <c r="F67" s="20" t="n">
        <v>1.27960208</v>
      </c>
      <c r="G67" s="18" t="n">
        <v>20.71451797</v>
      </c>
      <c r="H67" s="20" t="n">
        <v>1.20764158</v>
      </c>
      <c r="I67" s="18" t="n">
        <v>0</v>
      </c>
      <c r="J67" s="20" t="n">
        <v>0</v>
      </c>
      <c r="K67" s="18" t="n">
        <v>4.5522612</v>
      </c>
      <c r="L67" s="20" t="n">
        <v>0.64426371</v>
      </c>
      <c r="M67" s="18" t="n">
        <v>0</v>
      </c>
      <c r="N67" s="20" t="n">
        <v>0</v>
      </c>
      <c r="O67" s="18" t="n">
        <v>0</v>
      </c>
      <c r="P67" s="20" t="n">
        <v>0</v>
      </c>
      <c r="Q67" s="18" t="n">
        <v>35.41251476</v>
      </c>
      <c r="R67" s="20" t="n">
        <v>1.48013045</v>
      </c>
    </row>
    <row r="68" spans="1:18">
      <c r="A68" s="15" t="s">
        <v>628</v>
      </c>
      <c r="B68" s="17" t="n">
        <v>6971</v>
      </c>
      <c r="C68" s="18">
        <f>(5734.0/B68*100)</f>
        <v/>
      </c>
      <c r="D68" s="19" t="n">
        <v>1237</v>
      </c>
      <c r="E68" s="18" t="n">
        <v>48.25703047</v>
      </c>
      <c r="F68" s="20" t="n">
        <v>1.58192151</v>
      </c>
      <c r="G68" s="18" t="n">
        <v>15.6033512</v>
      </c>
      <c r="H68" s="20" t="n">
        <v>1.14874851</v>
      </c>
      <c r="I68" s="18" t="n">
        <v>0</v>
      </c>
      <c r="J68" s="20" t="n">
        <v>0</v>
      </c>
      <c r="K68" s="18" t="n">
        <v>1.11083051</v>
      </c>
      <c r="L68" s="20" t="n">
        <v>0.48804556</v>
      </c>
      <c r="M68" s="18" t="n">
        <v>0</v>
      </c>
      <c r="N68" s="20" t="n">
        <v>0</v>
      </c>
      <c r="O68" s="18" t="n">
        <v>0</v>
      </c>
      <c r="P68" s="20" t="n">
        <v>0</v>
      </c>
      <c r="Q68" s="18" t="n">
        <v>35.02878782</v>
      </c>
      <c r="R68" s="20" t="n">
        <v>1.38935196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(9383.0/B70*100)</f>
        <v/>
      </c>
      <c r="D70" s="19" t="n">
        <v>2700</v>
      </c>
      <c r="E70" s="18" t="n">
        <v>45.73632373</v>
      </c>
      <c r="F70" s="20" t="n">
        <v>0.97643055</v>
      </c>
      <c r="G70" s="18" t="n">
        <v>25.45234678</v>
      </c>
      <c r="H70" s="20" t="n">
        <v>0.81972342</v>
      </c>
      <c r="I70" s="18" t="n">
        <v>0</v>
      </c>
      <c r="J70" s="20" t="n">
        <v>0</v>
      </c>
      <c r="K70" s="18" t="n">
        <v>6.32320182</v>
      </c>
      <c r="L70" s="20" t="n">
        <v>0.44253998</v>
      </c>
      <c r="M70" s="18" t="n">
        <v>0</v>
      </c>
      <c r="N70" s="20" t="n">
        <v>0</v>
      </c>
      <c r="O70" s="18" t="n">
        <v>0</v>
      </c>
      <c r="P70" s="20" t="n">
        <v>0</v>
      </c>
      <c r="Q70" s="18" t="n">
        <v>22.48812767</v>
      </c>
      <c r="R70" s="20" t="n">
        <v>0.69674801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(4781.0/B72*100)</f>
        <v/>
      </c>
      <c r="D72" s="19" t="n">
        <v>1255</v>
      </c>
      <c r="E72" s="18" t="n">
        <v>43.94515285</v>
      </c>
      <c r="F72" s="20" t="n">
        <v>1.75687687</v>
      </c>
      <c r="G72" s="18" t="n">
        <v>29.52992903</v>
      </c>
      <c r="H72" s="20" t="n">
        <v>1.95249226</v>
      </c>
      <c r="I72" s="18" t="n">
        <v>0</v>
      </c>
      <c r="J72" s="20" t="n">
        <v>0</v>
      </c>
      <c r="K72" s="18" t="n">
        <v>1.95242122</v>
      </c>
      <c r="L72" s="20" t="n">
        <v>0.45827781</v>
      </c>
      <c r="M72" s="18" t="n">
        <v>0</v>
      </c>
      <c r="N72" s="20" t="n">
        <v>0</v>
      </c>
      <c r="O72" s="18" t="n">
        <v>0</v>
      </c>
      <c r="P72" s="20" t="n">
        <v>0</v>
      </c>
      <c r="Q72" s="18" t="n">
        <v>24.5724969</v>
      </c>
      <c r="R72" s="20" t="n">
        <v>1.55278737</v>
      </c>
    </row>
    <row r="73" spans="1:18">
      <c r="A73" s="15" t="s">
        <v>633</v>
      </c>
      <c r="B73" s="17" t="n">
        <v>6115</v>
      </c>
      <c r="C73" s="18">
        <f>(4774.0/B73*100)</f>
        <v/>
      </c>
      <c r="D73" s="19" t="n">
        <v>1341</v>
      </c>
      <c r="E73" s="18" t="n">
        <v>26.0927032</v>
      </c>
      <c r="F73" s="20" t="n">
        <v>1.01829295</v>
      </c>
      <c r="G73" s="18" t="n">
        <v>58.04900514</v>
      </c>
      <c r="H73" s="20" t="n">
        <v>1.16840925</v>
      </c>
      <c r="I73" s="18" t="n">
        <v>0</v>
      </c>
      <c r="J73" s="20" t="n">
        <v>0</v>
      </c>
      <c r="K73" s="18" t="n">
        <v>0.92713641</v>
      </c>
      <c r="L73" s="20" t="n">
        <v>0.29020595</v>
      </c>
      <c r="M73" s="18" t="n">
        <v>0</v>
      </c>
      <c r="N73" s="20" t="n">
        <v>0</v>
      </c>
      <c r="O73" s="18" t="n">
        <v>0</v>
      </c>
      <c r="P73" s="20" t="n">
        <v>0</v>
      </c>
      <c r="Q73" s="18" t="n">
        <v>14.93115526</v>
      </c>
      <c r="R73" s="20" t="n">
        <v>0.91481948</v>
      </c>
    </row>
    <row r="74" spans="1:18">
      <c r="A74" s="15" t="s">
        <v>634</v>
      </c>
      <c r="B74" s="17" t="n">
        <v>7708</v>
      </c>
      <c r="C74" s="18">
        <f>(6059.0/B74*100)</f>
        <v/>
      </c>
      <c r="D74" s="19" t="n">
        <v>1649</v>
      </c>
      <c r="E74" s="18" t="n">
        <v>36.34092176</v>
      </c>
      <c r="F74" s="20" t="n">
        <v>1.24741583</v>
      </c>
      <c r="G74" s="18" t="n">
        <v>42.88587794</v>
      </c>
      <c r="H74" s="20" t="n">
        <v>1.34123487</v>
      </c>
      <c r="I74" s="18" t="n">
        <v>0</v>
      </c>
      <c r="J74" s="20" t="n">
        <v>0</v>
      </c>
      <c r="K74" s="18" t="n">
        <v>0.40089905</v>
      </c>
      <c r="L74" s="20" t="n">
        <v>0.15568536</v>
      </c>
      <c r="M74" s="18" t="n">
        <v>0</v>
      </c>
      <c r="N74" s="20" t="n">
        <v>0</v>
      </c>
      <c r="O74" s="18" t="n">
        <v>0</v>
      </c>
      <c r="P74" s="20" t="n">
        <v>0</v>
      </c>
      <c r="Q74" s="18" t="n">
        <v>20.37230125</v>
      </c>
      <c r="R74" s="20" t="n">
        <v>1.04604346</v>
      </c>
    </row>
    <row r="75" spans="1:18">
      <c r="A75" s="15" t="s">
        <v>635</v>
      </c>
      <c r="B75" s="17" t="n">
        <v>8249</v>
      </c>
      <c r="C75" s="18">
        <f>(6612.0/B75*100)</f>
        <v/>
      </c>
      <c r="D75" s="19" t="n">
        <v>1637</v>
      </c>
      <c r="E75" s="18" t="n">
        <v>40.74059216</v>
      </c>
      <c r="F75" s="20" t="n">
        <v>1.16034405</v>
      </c>
      <c r="G75" s="18" t="n">
        <v>21.44199643</v>
      </c>
      <c r="H75" s="20" t="n">
        <v>1.26703886</v>
      </c>
      <c r="I75" s="18" t="n">
        <v>0</v>
      </c>
      <c r="J75" s="20" t="n">
        <v>0</v>
      </c>
      <c r="K75" s="18" t="n">
        <v>0.11992071</v>
      </c>
      <c r="L75" s="20" t="n">
        <v>0.09237817</v>
      </c>
      <c r="M75" s="18" t="n">
        <v>0</v>
      </c>
      <c r="N75" s="20" t="n">
        <v>0</v>
      </c>
      <c r="O75" s="18" t="n">
        <v>0</v>
      </c>
      <c r="P75" s="20" t="n">
        <v>0</v>
      </c>
      <c r="Q75" s="18" t="n">
        <v>37.69749071</v>
      </c>
      <c r="R75" s="20" t="n">
        <v>1.27335993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(4376.0/B77*100)</f>
        <v/>
      </c>
      <c r="D77" s="19" t="n">
        <v>999</v>
      </c>
      <c r="E77" s="18" t="n">
        <v>41.05704562</v>
      </c>
      <c r="F77" s="20" t="n">
        <v>1.55031434</v>
      </c>
      <c r="G77" s="18" t="n">
        <v>15.01046938</v>
      </c>
      <c r="H77" s="20" t="n">
        <v>1.0787406</v>
      </c>
      <c r="I77" s="18" t="n">
        <v>0</v>
      </c>
      <c r="J77" s="20" t="n">
        <v>0</v>
      </c>
      <c r="K77" s="18" t="n">
        <v>7.27420449</v>
      </c>
      <c r="L77" s="20" t="n">
        <v>1.0593965</v>
      </c>
      <c r="M77" s="18" t="n">
        <v>0</v>
      </c>
      <c r="N77" s="20" t="n">
        <v>0</v>
      </c>
      <c r="O77" s="18" t="n">
        <v>0</v>
      </c>
      <c r="P77" s="20" t="n">
        <v>0</v>
      </c>
      <c r="Q77" s="18" t="n">
        <v>36.65828051</v>
      </c>
      <c r="R77" s="20" t="n">
        <v>1.43693937</v>
      </c>
    </row>
    <row r="78" spans="1:18">
      <c r="A78" s="15" t="s">
        <v>638</v>
      </c>
      <c r="B78" s="17" t="n">
        <v>14167</v>
      </c>
      <c r="C78" s="18">
        <f>(11180.0/B78*100)</f>
        <v/>
      </c>
      <c r="D78" s="19" t="n">
        <v>2987</v>
      </c>
      <c r="E78" s="18" t="n">
        <v>41.10876626</v>
      </c>
      <c r="F78" s="20" t="n">
        <v>1.06080613</v>
      </c>
      <c r="G78" s="18" t="n">
        <v>31.32304291</v>
      </c>
      <c r="H78" s="20" t="n">
        <v>1.18375203</v>
      </c>
      <c r="I78" s="18" t="n">
        <v>0</v>
      </c>
      <c r="J78" s="20" t="n">
        <v>0</v>
      </c>
      <c r="K78" s="18" t="n">
        <v>2.37336182</v>
      </c>
      <c r="L78" s="20" t="n">
        <v>0.34026626</v>
      </c>
      <c r="M78" s="18" t="n">
        <v>0</v>
      </c>
      <c r="N78" s="20" t="n">
        <v>0</v>
      </c>
      <c r="O78" s="18" t="n">
        <v>0</v>
      </c>
      <c r="P78" s="20" t="n">
        <v>0</v>
      </c>
      <c r="Q78" s="18" t="n">
        <v>25.194829</v>
      </c>
      <c r="R78" s="20" t="n">
        <v>1.07145427</v>
      </c>
    </row>
    <row r="79" spans="1:18">
      <c r="A79" s="15" t="s">
        <v>639</v>
      </c>
      <c r="B79" s="17" t="n">
        <v>6062</v>
      </c>
      <c r="C79" s="18">
        <f>(4794.0/B79*100)</f>
        <v/>
      </c>
      <c r="D79" s="19" t="n">
        <v>1268</v>
      </c>
      <c r="E79" s="18" t="n">
        <v>43.68935357</v>
      </c>
      <c r="F79" s="20" t="n">
        <v>1.69472268</v>
      </c>
      <c r="G79" s="18" t="n">
        <v>22.51225996</v>
      </c>
      <c r="H79" s="20" t="n">
        <v>1.46542829</v>
      </c>
      <c r="I79" s="18" t="n">
        <v>0</v>
      </c>
      <c r="J79" s="20" t="n">
        <v>0</v>
      </c>
      <c r="K79" s="18" t="n">
        <v>3.85616773</v>
      </c>
      <c r="L79" s="20" t="n">
        <v>0.59309158</v>
      </c>
      <c r="M79" s="18" t="n">
        <v>0</v>
      </c>
      <c r="N79" s="20" t="n">
        <v>0</v>
      </c>
      <c r="O79" s="18" t="n">
        <v>0</v>
      </c>
      <c r="P79" s="20" t="n">
        <v>0</v>
      </c>
      <c r="Q79" s="18" t="n">
        <v>29.94221874</v>
      </c>
      <c r="R79" s="20" t="n">
        <v>1.52060619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(25504.0/B82*100)</f>
        <v/>
      </c>
      <c r="D82" s="19" t="n">
        <v>6826</v>
      </c>
      <c r="E82" s="18" t="n">
        <v>39.10628499</v>
      </c>
      <c r="F82" s="20" t="n">
        <v>0.79041353</v>
      </c>
      <c r="G82" s="18" t="n">
        <v>36.45914075</v>
      </c>
      <c r="H82" s="20" t="n">
        <v>0.84836671</v>
      </c>
      <c r="I82" s="18" t="n">
        <v>0</v>
      </c>
      <c r="J82" s="20" t="n">
        <v>0</v>
      </c>
      <c r="K82" s="18" t="n">
        <v>1.68306855</v>
      </c>
      <c r="L82" s="20" t="n">
        <v>0.2375503</v>
      </c>
      <c r="M82" s="18" t="n">
        <v>0</v>
      </c>
      <c r="N82" s="20" t="n">
        <v>0</v>
      </c>
      <c r="O82" s="18" t="n">
        <v>0</v>
      </c>
      <c r="P82" s="20" t="n">
        <v>0</v>
      </c>
      <c r="Q82" s="18" t="n">
        <v>22.75150571</v>
      </c>
      <c r="R82" s="20" t="n">
        <v>0.75553022</v>
      </c>
    </row>
    <row r="83" spans="1:18">
      <c r="A83" s="15" t="s">
        <v>643</v>
      </c>
      <c r="B83" s="17" t="n">
        <v>1652</v>
      </c>
      <c r="C83" s="18">
        <f>(1323.0/B83*100)</f>
        <v/>
      </c>
      <c r="D83" s="19" t="n">
        <v>329</v>
      </c>
      <c r="E83" s="18" t="n">
        <v>36.0644463</v>
      </c>
      <c r="F83" s="20" t="n">
        <v>2.56779823</v>
      </c>
      <c r="G83" s="18" t="n">
        <v>44.21606177</v>
      </c>
      <c r="H83" s="20" t="n">
        <v>2.56919219</v>
      </c>
      <c r="I83" s="18" t="n">
        <v>0</v>
      </c>
      <c r="J83" s="20" t="n">
        <v>0</v>
      </c>
      <c r="K83" s="18" t="n">
        <v>0</v>
      </c>
      <c r="L83" s="20" t="n">
        <v>0</v>
      </c>
      <c r="M83" s="18" t="n">
        <v>0</v>
      </c>
      <c r="N83" s="20" t="n">
        <v>0</v>
      </c>
      <c r="O83" s="18" t="n">
        <v>0</v>
      </c>
      <c r="P83" s="20" t="n">
        <v>0</v>
      </c>
      <c r="Q83" s="18" t="n">
        <v>19.71949193</v>
      </c>
      <c r="R83" s="20" t="n">
        <v>2.33297353</v>
      </c>
    </row>
    <row r="84" spans="1:18">
      <c r="A84" s="23" t="s">
        <v>644</v>
      </c>
      <c r="B84" s="24" t="n">
        <v>1887</v>
      </c>
      <c r="C84" s="25">
        <f>(1510.0/B84*100)</f>
        <v/>
      </c>
      <c r="D84" s="19" t="n">
        <v>377</v>
      </c>
      <c r="E84" s="18" t="n">
        <v>38.89035669</v>
      </c>
      <c r="F84" s="20" t="n">
        <v>2.61062004</v>
      </c>
      <c r="G84" s="18" t="n">
        <v>40.15024105</v>
      </c>
      <c r="H84" s="20" t="n">
        <v>2.67399252</v>
      </c>
      <c r="I84" s="18" t="n">
        <v>0</v>
      </c>
      <c r="J84" s="20" t="n">
        <v>0</v>
      </c>
      <c r="K84" s="18" t="n">
        <v>0.8144245</v>
      </c>
      <c r="L84" s="20" t="n">
        <v>0.45327584</v>
      </c>
      <c r="M84" s="18" t="n">
        <v>0</v>
      </c>
      <c r="N84" s="20" t="n">
        <v>0</v>
      </c>
      <c r="O84" s="18" t="n">
        <v>0</v>
      </c>
      <c r="P84" s="20" t="n">
        <v>0</v>
      </c>
      <c r="Q84" s="18" t="n">
        <v>20.14497776</v>
      </c>
      <c r="R84" s="20" t="n">
        <v>1.79324466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779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(11538.0/B7*100)</f>
        <v/>
      </c>
      <c r="D7" s="19" t="n">
        <v>2992</v>
      </c>
      <c r="E7" s="18" t="n">
        <v>62.84355743</v>
      </c>
      <c r="F7" s="20" t="n">
        <v>1.13825338</v>
      </c>
      <c r="G7" s="18" t="n">
        <v>34.96474603</v>
      </c>
      <c r="H7" s="20" t="n">
        <v>1.06995393</v>
      </c>
      <c r="I7" s="18" t="n">
        <v>0</v>
      </c>
      <c r="J7" s="20" t="n">
        <v>0</v>
      </c>
      <c r="K7" s="18" t="n">
        <v>1.50160855</v>
      </c>
      <c r="L7" s="20" t="n">
        <v>0.29071894</v>
      </c>
      <c r="M7" s="18" t="n">
        <v>0</v>
      </c>
      <c r="N7" s="20" t="n">
        <v>0</v>
      </c>
      <c r="O7" s="18" t="n">
        <v>0</v>
      </c>
      <c r="P7" s="20" t="n">
        <v>0</v>
      </c>
      <c r="Q7" s="18" t="n">
        <v>0.69008799</v>
      </c>
      <c r="R7" s="20" t="n">
        <v>0.20716836</v>
      </c>
    </row>
    <row r="8" spans="1:18">
      <c r="A8" s="15" t="s">
        <v>566</v>
      </c>
      <c r="B8" s="17" t="n">
        <v>7007</v>
      </c>
      <c r="C8" s="18">
        <f>(5453.0/B8*100)</f>
        <v/>
      </c>
      <c r="D8" s="19" t="n">
        <v>1554</v>
      </c>
      <c r="E8" s="18" t="n">
        <v>60.89524505</v>
      </c>
      <c r="F8" s="20" t="n">
        <v>1.38302137</v>
      </c>
      <c r="G8" s="18" t="n">
        <v>36.72953191</v>
      </c>
      <c r="H8" s="20" t="n">
        <v>1.36147337</v>
      </c>
      <c r="I8" s="18" t="n">
        <v>0</v>
      </c>
      <c r="J8" s="20" t="n">
        <v>0</v>
      </c>
      <c r="K8" s="18" t="n">
        <v>1.7647597</v>
      </c>
      <c r="L8" s="20" t="n">
        <v>0.28669499</v>
      </c>
      <c r="M8" s="18" t="n">
        <v>0</v>
      </c>
      <c r="N8" s="20" t="n">
        <v>0</v>
      </c>
      <c r="O8" s="18" t="n">
        <v>0</v>
      </c>
      <c r="P8" s="20" t="n">
        <v>0</v>
      </c>
      <c r="Q8" s="18" t="n">
        <v>0.61046334</v>
      </c>
      <c r="R8" s="20" t="n">
        <v>0.1884881</v>
      </c>
    </row>
    <row r="9" spans="1:18">
      <c r="A9" s="15" t="s">
        <v>567</v>
      </c>
      <c r="B9" s="17" t="n">
        <v>9651</v>
      </c>
      <c r="C9" s="18">
        <f>(7727.0/B9*100)</f>
        <v/>
      </c>
      <c r="D9" s="19" t="n">
        <v>1924</v>
      </c>
      <c r="E9" s="18" t="n">
        <v>65.84595087</v>
      </c>
      <c r="F9" s="20" t="n">
        <v>1.09769109</v>
      </c>
      <c r="G9" s="18" t="n">
        <v>30.90251878</v>
      </c>
      <c r="H9" s="20" t="n">
        <v>1.04506655</v>
      </c>
      <c r="I9" s="18" t="n">
        <v>0</v>
      </c>
      <c r="J9" s="20" t="n">
        <v>0</v>
      </c>
      <c r="K9" s="18" t="n">
        <v>2.54091807</v>
      </c>
      <c r="L9" s="20" t="n">
        <v>0.39002828</v>
      </c>
      <c r="M9" s="18" t="n">
        <v>0</v>
      </c>
      <c r="N9" s="20" t="n">
        <v>0</v>
      </c>
      <c r="O9" s="18" t="n">
        <v>0</v>
      </c>
      <c r="P9" s="20" t="n">
        <v>0</v>
      </c>
      <c r="Q9" s="18" t="n">
        <v>0.71061229</v>
      </c>
      <c r="R9" s="20" t="n">
        <v>0.21420404</v>
      </c>
    </row>
    <row r="10" spans="1:18">
      <c r="A10" s="15" t="s">
        <v>568</v>
      </c>
      <c r="B10" s="17" t="n">
        <v>20058</v>
      </c>
      <c r="C10" s="18">
        <f>(15709.0/B10*100)</f>
        <v/>
      </c>
      <c r="D10" s="19" t="n">
        <v>4349</v>
      </c>
      <c r="E10" s="18" t="n">
        <v>58.37852896</v>
      </c>
      <c r="F10" s="20" t="n">
        <v>1.03595082</v>
      </c>
      <c r="G10" s="18" t="n">
        <v>39.51269766</v>
      </c>
      <c r="H10" s="20" t="n">
        <v>0.99727605</v>
      </c>
      <c r="I10" s="18" t="n">
        <v>0</v>
      </c>
      <c r="J10" s="20" t="n">
        <v>0</v>
      </c>
      <c r="K10" s="18" t="n">
        <v>1.67009318</v>
      </c>
      <c r="L10" s="20" t="n">
        <v>0.27496122</v>
      </c>
      <c r="M10" s="18" t="n">
        <v>0</v>
      </c>
      <c r="N10" s="20" t="n">
        <v>0</v>
      </c>
      <c r="O10" s="18" t="n">
        <v>0</v>
      </c>
      <c r="P10" s="20" t="n">
        <v>0</v>
      </c>
      <c r="Q10" s="18" t="n">
        <v>0.43868021</v>
      </c>
      <c r="R10" s="20" t="n">
        <v>0.14456924</v>
      </c>
    </row>
    <row r="11" spans="1:18">
      <c r="A11" s="15" t="s">
        <v>569</v>
      </c>
      <c r="B11" s="17" t="n">
        <v>7053</v>
      </c>
      <c r="C11" s="18">
        <f>(5632.0/B11*100)</f>
        <v/>
      </c>
      <c r="D11" s="19" t="n">
        <v>1421</v>
      </c>
      <c r="E11" s="18" t="n">
        <v>77.66862635</v>
      </c>
      <c r="F11" s="20" t="n">
        <v>1.36455104</v>
      </c>
      <c r="G11" s="18" t="n">
        <v>16.95921396</v>
      </c>
      <c r="H11" s="20" t="n">
        <v>1.21393086</v>
      </c>
      <c r="I11" s="18" t="n">
        <v>0</v>
      </c>
      <c r="J11" s="20" t="n">
        <v>0</v>
      </c>
      <c r="K11" s="18" t="n">
        <v>4.27149514</v>
      </c>
      <c r="L11" s="20" t="n">
        <v>0.71664638</v>
      </c>
      <c r="M11" s="18" t="n">
        <v>0</v>
      </c>
      <c r="N11" s="20" t="n">
        <v>0</v>
      </c>
      <c r="O11" s="18" t="n">
        <v>0</v>
      </c>
      <c r="P11" s="20" t="n">
        <v>0</v>
      </c>
      <c r="Q11" s="18" t="n">
        <v>1.10066454</v>
      </c>
      <c r="R11" s="20" t="n">
        <v>0.31043935</v>
      </c>
    </row>
    <row r="12" spans="1:18">
      <c r="A12" s="15" t="s">
        <v>570</v>
      </c>
      <c r="B12" s="17" t="n">
        <v>6894</v>
      </c>
      <c r="C12" s="18">
        <f>(5451.0/B12*100)</f>
        <v/>
      </c>
      <c r="D12" s="19" t="n">
        <v>1443</v>
      </c>
      <c r="E12" s="18" t="n">
        <v>65.46488296</v>
      </c>
      <c r="F12" s="20" t="n">
        <v>1.44426839</v>
      </c>
      <c r="G12" s="18" t="n">
        <v>33.13797924</v>
      </c>
      <c r="H12" s="20" t="n">
        <v>1.43474167</v>
      </c>
      <c r="I12" s="18" t="n">
        <v>0</v>
      </c>
      <c r="J12" s="20" t="n">
        <v>0</v>
      </c>
      <c r="K12" s="18" t="n">
        <v>1.04051368</v>
      </c>
      <c r="L12" s="20" t="n">
        <v>0.30133736</v>
      </c>
      <c r="M12" s="18" t="n">
        <v>0</v>
      </c>
      <c r="N12" s="20" t="n">
        <v>0</v>
      </c>
      <c r="O12" s="18" t="n">
        <v>0</v>
      </c>
      <c r="P12" s="20" t="n">
        <v>0</v>
      </c>
      <c r="Q12" s="18" t="n">
        <v>0.35662412</v>
      </c>
      <c r="R12" s="20" t="n">
        <v>0.19833954</v>
      </c>
    </row>
    <row r="13" spans="1:18">
      <c r="A13" s="15" t="s">
        <v>571</v>
      </c>
      <c r="B13" s="17" t="n">
        <v>7161</v>
      </c>
      <c r="C13" s="18">
        <f>(5690.0/B13*100)</f>
        <v/>
      </c>
      <c r="D13" s="19" t="n">
        <v>1471</v>
      </c>
      <c r="E13" s="18" t="n">
        <v>62.78980988</v>
      </c>
      <c r="F13" s="20" t="n">
        <v>1.60759434</v>
      </c>
      <c r="G13" s="18" t="n">
        <v>35.25382916</v>
      </c>
      <c r="H13" s="20" t="n">
        <v>1.50347755</v>
      </c>
      <c r="I13" s="18" t="n">
        <v>0</v>
      </c>
      <c r="J13" s="20" t="n">
        <v>0</v>
      </c>
      <c r="K13" s="18" t="n">
        <v>1.75297285</v>
      </c>
      <c r="L13" s="20" t="n">
        <v>0.41335586</v>
      </c>
      <c r="M13" s="18" t="n">
        <v>0</v>
      </c>
      <c r="N13" s="20" t="n">
        <v>0</v>
      </c>
      <c r="O13" s="18" t="n">
        <v>0</v>
      </c>
      <c r="P13" s="20" t="n">
        <v>0</v>
      </c>
      <c r="Q13" s="18" t="n">
        <v>0.20338811</v>
      </c>
      <c r="R13" s="20" t="n">
        <v>0.13104753</v>
      </c>
    </row>
    <row r="14" spans="1:18">
      <c r="A14" s="15" t="s">
        <v>572</v>
      </c>
      <c r="B14" s="17" t="n">
        <v>5587</v>
      </c>
      <c r="C14" s="18">
        <f>(4316.0/B14*100)</f>
        <v/>
      </c>
      <c r="D14" s="19" t="n">
        <v>1271</v>
      </c>
      <c r="E14" s="18" t="n">
        <v>51.46008377</v>
      </c>
      <c r="F14" s="20" t="n">
        <v>1.42552877</v>
      </c>
      <c r="G14" s="18" t="n">
        <v>46.69500107</v>
      </c>
      <c r="H14" s="20" t="n">
        <v>1.34591929</v>
      </c>
      <c r="I14" s="18" t="n">
        <v>0</v>
      </c>
      <c r="J14" s="20" t="n">
        <v>0</v>
      </c>
      <c r="K14" s="18" t="n">
        <v>1.72437776</v>
      </c>
      <c r="L14" s="20" t="n">
        <v>0.47741139</v>
      </c>
      <c r="M14" s="18" t="n">
        <v>0</v>
      </c>
      <c r="N14" s="20" t="n">
        <v>0</v>
      </c>
      <c r="O14" s="18" t="n">
        <v>0</v>
      </c>
      <c r="P14" s="20" t="n">
        <v>0</v>
      </c>
      <c r="Q14" s="18" t="n">
        <v>0.12053739</v>
      </c>
      <c r="R14" s="20" t="n">
        <v>0.08561166000000001</v>
      </c>
    </row>
    <row r="15" spans="1:18">
      <c r="A15" s="15" t="s">
        <v>573</v>
      </c>
      <c r="B15" s="17" t="n">
        <v>5882</v>
      </c>
      <c r="C15" s="18">
        <f>(4614.0/B15*100)</f>
        <v/>
      </c>
      <c r="D15" s="19" t="n">
        <v>1268</v>
      </c>
      <c r="E15" s="18" t="n">
        <v>54.17131131</v>
      </c>
      <c r="F15" s="20" t="n">
        <v>1.52182244</v>
      </c>
      <c r="G15" s="18" t="n">
        <v>44.90128442</v>
      </c>
      <c r="H15" s="20" t="n">
        <v>1.49587016</v>
      </c>
      <c r="I15" s="18" t="n">
        <v>0</v>
      </c>
      <c r="J15" s="20" t="n">
        <v>0</v>
      </c>
      <c r="K15" s="18" t="n">
        <v>0.77976219</v>
      </c>
      <c r="L15" s="20" t="n">
        <v>0.21726962</v>
      </c>
      <c r="M15" s="18" t="n">
        <v>0</v>
      </c>
      <c r="N15" s="20" t="n">
        <v>0</v>
      </c>
      <c r="O15" s="18" t="n">
        <v>0</v>
      </c>
      <c r="P15" s="20" t="n">
        <v>0</v>
      </c>
      <c r="Q15" s="18" t="n">
        <v>0.14764208</v>
      </c>
      <c r="R15" s="20" t="n">
        <v>0.10447365</v>
      </c>
    </row>
    <row r="16" spans="1:18">
      <c r="A16" s="15" t="s">
        <v>574</v>
      </c>
      <c r="B16" s="17" t="n">
        <v>6108</v>
      </c>
      <c r="C16" s="18">
        <f>(4817.0/B16*100)</f>
        <v/>
      </c>
      <c r="D16" s="19" t="n">
        <v>1291</v>
      </c>
      <c r="E16" s="18" t="n">
        <v>63.91850614</v>
      </c>
      <c r="F16" s="20" t="n">
        <v>1.52255508</v>
      </c>
      <c r="G16" s="18" t="n">
        <v>30.57967315</v>
      </c>
      <c r="H16" s="20" t="n">
        <v>1.45761117</v>
      </c>
      <c r="I16" s="18" t="n">
        <v>0</v>
      </c>
      <c r="J16" s="20" t="n">
        <v>0</v>
      </c>
      <c r="K16" s="18" t="n">
        <v>4.4910311</v>
      </c>
      <c r="L16" s="20" t="n">
        <v>0.58436975</v>
      </c>
      <c r="M16" s="18" t="n">
        <v>0</v>
      </c>
      <c r="N16" s="20" t="n">
        <v>0</v>
      </c>
      <c r="O16" s="18" t="n">
        <v>0</v>
      </c>
      <c r="P16" s="20" t="n">
        <v>0</v>
      </c>
      <c r="Q16" s="18" t="n">
        <v>1.01078961</v>
      </c>
      <c r="R16" s="20" t="n">
        <v>0.31030698</v>
      </c>
    </row>
    <row r="17" spans="1:18">
      <c r="A17" s="15" t="s">
        <v>575</v>
      </c>
      <c r="B17" s="17" t="n">
        <v>6504</v>
      </c>
      <c r="C17" s="18">
        <f>(5145.0/B17*100)</f>
        <v/>
      </c>
      <c r="D17" s="19" t="n">
        <v>1359</v>
      </c>
      <c r="E17" s="18" t="n">
        <v>59.7702216</v>
      </c>
      <c r="F17" s="20" t="n">
        <v>1.22316594</v>
      </c>
      <c r="G17" s="18" t="n">
        <v>38.25369415</v>
      </c>
      <c r="H17" s="20" t="n">
        <v>1.31515645</v>
      </c>
      <c r="I17" s="18" t="n">
        <v>0</v>
      </c>
      <c r="J17" s="20" t="n">
        <v>0</v>
      </c>
      <c r="K17" s="18" t="n">
        <v>1.58931518</v>
      </c>
      <c r="L17" s="20" t="n">
        <v>0.40027878</v>
      </c>
      <c r="M17" s="18" t="n">
        <v>0</v>
      </c>
      <c r="N17" s="20" t="n">
        <v>0</v>
      </c>
      <c r="O17" s="18" t="n">
        <v>0</v>
      </c>
      <c r="P17" s="20" t="n">
        <v>0</v>
      </c>
      <c r="Q17" s="18" t="n">
        <v>0.38676907</v>
      </c>
      <c r="R17" s="20" t="n">
        <v>0.16442975</v>
      </c>
    </row>
    <row r="18" spans="1:18">
      <c r="A18" s="15" t="s">
        <v>576</v>
      </c>
      <c r="B18" s="17" t="n">
        <v>5532</v>
      </c>
      <c r="C18" s="18">
        <f>(4320.0/B18*100)</f>
        <v/>
      </c>
      <c r="D18" s="19" t="n">
        <v>1212</v>
      </c>
      <c r="E18" s="18" t="n">
        <v>73.43764029</v>
      </c>
      <c r="F18" s="20" t="n">
        <v>1.44217051</v>
      </c>
      <c r="G18" s="18" t="n">
        <v>22.49679843</v>
      </c>
      <c r="H18" s="20" t="n">
        <v>1.23816349</v>
      </c>
      <c r="I18" s="18" t="n">
        <v>0</v>
      </c>
      <c r="J18" s="20" t="n">
        <v>0</v>
      </c>
      <c r="K18" s="18" t="n">
        <v>2.63677241</v>
      </c>
      <c r="L18" s="20" t="n">
        <v>0.57405699</v>
      </c>
      <c r="M18" s="18" t="n">
        <v>0</v>
      </c>
      <c r="N18" s="20" t="n">
        <v>0</v>
      </c>
      <c r="O18" s="18" t="n">
        <v>0</v>
      </c>
      <c r="P18" s="20" t="n">
        <v>0</v>
      </c>
      <c r="Q18" s="18" t="n">
        <v>1.42878887</v>
      </c>
      <c r="R18" s="20" t="n">
        <v>0.41013615</v>
      </c>
    </row>
    <row r="19" spans="1:18">
      <c r="A19" s="15" t="s">
        <v>577</v>
      </c>
      <c r="B19" s="17" t="n">
        <v>5658</v>
      </c>
      <c r="C19" s="18">
        <f>(4471.0/B19*100)</f>
        <v/>
      </c>
      <c r="D19" s="19" t="n">
        <v>1187</v>
      </c>
      <c r="E19" s="18" t="n">
        <v>68.15551098</v>
      </c>
      <c r="F19" s="20" t="n">
        <v>1.62785721</v>
      </c>
      <c r="G19" s="18" t="n">
        <v>29.78513092</v>
      </c>
      <c r="H19" s="20" t="n">
        <v>1.56566456</v>
      </c>
      <c r="I19" s="18" t="n">
        <v>0</v>
      </c>
      <c r="J19" s="20" t="n">
        <v>0</v>
      </c>
      <c r="K19" s="18" t="n">
        <v>1.41415811</v>
      </c>
      <c r="L19" s="20" t="n">
        <v>0.37433106</v>
      </c>
      <c r="M19" s="18" t="n">
        <v>0</v>
      </c>
      <c r="N19" s="20" t="n">
        <v>0</v>
      </c>
      <c r="O19" s="18" t="n">
        <v>0</v>
      </c>
      <c r="P19" s="20" t="n">
        <v>0</v>
      </c>
      <c r="Q19" s="18" t="n">
        <v>0.64519998</v>
      </c>
      <c r="R19" s="20" t="n">
        <v>0.28884944</v>
      </c>
    </row>
    <row r="20" spans="1:18">
      <c r="A20" s="15" t="s">
        <v>578</v>
      </c>
      <c r="B20" s="17" t="n">
        <v>3371</v>
      </c>
      <c r="C20" s="18">
        <f>(2667.0/B20*100)</f>
        <v/>
      </c>
      <c r="D20" s="19" t="n">
        <v>704</v>
      </c>
      <c r="E20" s="18" t="n">
        <v>67.76909918</v>
      </c>
      <c r="F20" s="20" t="n">
        <v>2.03491657</v>
      </c>
      <c r="G20" s="18" t="n">
        <v>28.35446949</v>
      </c>
      <c r="H20" s="20" t="n">
        <v>1.95882913</v>
      </c>
      <c r="I20" s="18" t="n">
        <v>0</v>
      </c>
      <c r="J20" s="20" t="n">
        <v>0</v>
      </c>
      <c r="K20" s="18" t="n">
        <v>3.12241865</v>
      </c>
      <c r="L20" s="20" t="n">
        <v>0.73046629</v>
      </c>
      <c r="M20" s="18" t="n">
        <v>0</v>
      </c>
      <c r="N20" s="20" t="n">
        <v>0</v>
      </c>
      <c r="O20" s="18" t="n">
        <v>0</v>
      </c>
      <c r="P20" s="20" t="n">
        <v>0</v>
      </c>
      <c r="Q20" s="18" t="n">
        <v>0.7540126700000001</v>
      </c>
      <c r="R20" s="20" t="n">
        <v>0.35401978</v>
      </c>
    </row>
    <row r="21" spans="1:18">
      <c r="A21" s="15" t="s">
        <v>579</v>
      </c>
      <c r="B21" s="17" t="n">
        <v>5741</v>
      </c>
      <c r="C21" s="18">
        <f>(4495.0/B21*100)</f>
        <v/>
      </c>
      <c r="D21" s="19" t="n">
        <v>1246</v>
      </c>
      <c r="E21" s="18" t="n">
        <v>65.87531086</v>
      </c>
      <c r="F21" s="20" t="n">
        <v>1.24791985</v>
      </c>
      <c r="G21" s="18" t="n">
        <v>31.99131893</v>
      </c>
      <c r="H21" s="20" t="n">
        <v>1.27691443</v>
      </c>
      <c r="I21" s="18" t="n">
        <v>0</v>
      </c>
      <c r="J21" s="20" t="n">
        <v>0</v>
      </c>
      <c r="K21" s="18" t="n">
        <v>1.82362914</v>
      </c>
      <c r="L21" s="20" t="n">
        <v>0.40965123</v>
      </c>
      <c r="M21" s="18" t="n">
        <v>0</v>
      </c>
      <c r="N21" s="20" t="n">
        <v>0</v>
      </c>
      <c r="O21" s="18" t="n">
        <v>0</v>
      </c>
      <c r="P21" s="20" t="n">
        <v>0</v>
      </c>
      <c r="Q21" s="18" t="n">
        <v>0.30974107</v>
      </c>
      <c r="R21" s="20" t="n">
        <v>0.15151492</v>
      </c>
    </row>
    <row r="22" spans="1:18">
      <c r="A22" s="15" t="s">
        <v>580</v>
      </c>
      <c r="B22" s="17" t="n">
        <v>6598</v>
      </c>
      <c r="C22" s="18">
        <f>(5214.0/B22*100)</f>
        <v/>
      </c>
      <c r="D22" s="19" t="n">
        <v>1384</v>
      </c>
      <c r="E22" s="18" t="n">
        <v>71.18897080000001</v>
      </c>
      <c r="F22" s="20" t="n">
        <v>1.44399098</v>
      </c>
      <c r="G22" s="18" t="n">
        <v>25.43519399</v>
      </c>
      <c r="H22" s="20" t="n">
        <v>1.23398336</v>
      </c>
      <c r="I22" s="18" t="n">
        <v>0</v>
      </c>
      <c r="J22" s="20" t="n">
        <v>0</v>
      </c>
      <c r="K22" s="18" t="n">
        <v>2.78477783</v>
      </c>
      <c r="L22" s="20" t="n">
        <v>0.56122541</v>
      </c>
      <c r="M22" s="18" t="n">
        <v>0</v>
      </c>
      <c r="N22" s="20" t="n">
        <v>0</v>
      </c>
      <c r="O22" s="18" t="n">
        <v>0</v>
      </c>
      <c r="P22" s="20" t="n">
        <v>0</v>
      </c>
      <c r="Q22" s="18" t="n">
        <v>0.59105739</v>
      </c>
      <c r="R22" s="20" t="n">
        <v>0.20240492</v>
      </c>
    </row>
    <row r="23" spans="1:18">
      <c r="A23" s="15" t="s">
        <v>581</v>
      </c>
      <c r="B23" s="17" t="n">
        <v>11583</v>
      </c>
      <c r="C23" s="18">
        <f>(9129.0/B23*100)</f>
        <v/>
      </c>
      <c r="D23" s="19" t="n">
        <v>2454</v>
      </c>
      <c r="E23" s="18" t="n">
        <v>68.57411853000001</v>
      </c>
      <c r="F23" s="20" t="n">
        <v>1.16768865</v>
      </c>
      <c r="G23" s="18" t="n">
        <v>27.73474051</v>
      </c>
      <c r="H23" s="20" t="n">
        <v>1.24188706</v>
      </c>
      <c r="I23" s="18" t="n">
        <v>0</v>
      </c>
      <c r="J23" s="20" t="n">
        <v>0</v>
      </c>
      <c r="K23" s="18" t="n">
        <v>2.67677263</v>
      </c>
      <c r="L23" s="20" t="n">
        <v>0.51317039</v>
      </c>
      <c r="M23" s="18" t="n">
        <v>0</v>
      </c>
      <c r="N23" s="20" t="n">
        <v>0</v>
      </c>
      <c r="O23" s="18" t="n">
        <v>0</v>
      </c>
      <c r="P23" s="20" t="n">
        <v>0</v>
      </c>
      <c r="Q23" s="18" t="n">
        <v>1.01436832</v>
      </c>
      <c r="R23" s="20" t="n">
        <v>0.2971038</v>
      </c>
    </row>
    <row r="24" spans="1:18">
      <c r="A24" s="15" t="s">
        <v>582</v>
      </c>
      <c r="B24" s="17" t="n">
        <v>6647</v>
      </c>
      <c r="C24" s="18">
        <f>(5247.0/B24*100)</f>
        <v/>
      </c>
      <c r="D24" s="19" t="n">
        <v>1400</v>
      </c>
      <c r="E24" s="18" t="n">
        <v>60.56426627</v>
      </c>
      <c r="F24" s="20" t="n">
        <v>1.68562137</v>
      </c>
      <c r="G24" s="18" t="n">
        <v>38.2837698</v>
      </c>
      <c r="H24" s="20" t="n">
        <v>1.67243868</v>
      </c>
      <c r="I24" s="18" t="n">
        <v>0</v>
      </c>
      <c r="J24" s="20" t="n">
        <v>0</v>
      </c>
      <c r="K24" s="18" t="n">
        <v>0.7139965700000001</v>
      </c>
      <c r="L24" s="20" t="n">
        <v>0.23005916</v>
      </c>
      <c r="M24" s="18" t="n">
        <v>0</v>
      </c>
      <c r="N24" s="20" t="n">
        <v>0</v>
      </c>
      <c r="O24" s="18" t="n">
        <v>0</v>
      </c>
      <c r="P24" s="20" t="n">
        <v>0</v>
      </c>
      <c r="Q24" s="18" t="n">
        <v>0.43796736</v>
      </c>
      <c r="R24" s="20" t="n">
        <v>0.18006489</v>
      </c>
    </row>
    <row r="25" spans="1:18">
      <c r="A25" s="15" t="s">
        <v>583</v>
      </c>
      <c r="B25" s="17" t="n">
        <v>5581</v>
      </c>
      <c r="C25" s="18">
        <f>(4322.0/B25*100)</f>
        <v/>
      </c>
      <c r="D25" s="19" t="n">
        <v>1259</v>
      </c>
      <c r="E25" s="18" t="n">
        <v>51.59600717</v>
      </c>
      <c r="F25" s="20" t="n">
        <v>1.65548194</v>
      </c>
      <c r="G25" s="18" t="n">
        <v>47.7112067</v>
      </c>
      <c r="H25" s="20" t="n">
        <v>1.65888309</v>
      </c>
      <c r="I25" s="18" t="n">
        <v>0</v>
      </c>
      <c r="J25" s="20" t="n">
        <v>0</v>
      </c>
      <c r="K25" s="18" t="n">
        <v>0.54014819</v>
      </c>
      <c r="L25" s="20" t="n">
        <v>0.22889195</v>
      </c>
      <c r="M25" s="18" t="n">
        <v>0</v>
      </c>
      <c r="N25" s="20" t="n">
        <v>0</v>
      </c>
      <c r="O25" s="18" t="n">
        <v>0</v>
      </c>
      <c r="P25" s="20" t="n">
        <v>0</v>
      </c>
      <c r="Q25" s="18" t="n">
        <v>0.15263794</v>
      </c>
      <c r="R25" s="20" t="n">
        <v>0.10898354</v>
      </c>
    </row>
    <row r="26" spans="1:18">
      <c r="A26" s="15" t="s">
        <v>584</v>
      </c>
      <c r="B26" s="17" t="n">
        <v>4869</v>
      </c>
      <c r="C26" s="18">
        <f>(3804.0/B26*100)</f>
        <v/>
      </c>
      <c r="D26" s="19" t="n">
        <v>1065</v>
      </c>
      <c r="E26" s="18" t="n">
        <v>62.83243396</v>
      </c>
      <c r="F26" s="20" t="n">
        <v>1.65649824</v>
      </c>
      <c r="G26" s="18" t="n">
        <v>36.00793652</v>
      </c>
      <c r="H26" s="20" t="n">
        <v>1.66404036</v>
      </c>
      <c r="I26" s="18" t="n">
        <v>0</v>
      </c>
      <c r="J26" s="20" t="n">
        <v>0</v>
      </c>
      <c r="K26" s="18" t="n">
        <v>0.90692536</v>
      </c>
      <c r="L26" s="20" t="n">
        <v>0.33060206</v>
      </c>
      <c r="M26" s="18" t="n">
        <v>0</v>
      </c>
      <c r="N26" s="20" t="n">
        <v>0</v>
      </c>
      <c r="O26" s="18" t="n">
        <v>0</v>
      </c>
      <c r="P26" s="20" t="n">
        <v>0</v>
      </c>
      <c r="Q26" s="18" t="n">
        <v>0.25270416</v>
      </c>
      <c r="R26" s="20" t="n">
        <v>0.2128172</v>
      </c>
    </row>
    <row r="27" spans="1:18">
      <c r="A27" s="15" t="s">
        <v>585</v>
      </c>
      <c r="B27" s="17" t="n">
        <v>5299</v>
      </c>
      <c r="C27" s="18">
        <f>(4226.0/B27*100)</f>
        <v/>
      </c>
      <c r="D27" s="19" t="n">
        <v>1073</v>
      </c>
      <c r="E27" s="18" t="n">
        <v>67.39585765</v>
      </c>
      <c r="F27" s="20" t="n">
        <v>1.25618671</v>
      </c>
      <c r="G27" s="18" t="n">
        <v>31.02051646</v>
      </c>
      <c r="H27" s="20" t="n">
        <v>1.25059066</v>
      </c>
      <c r="I27" s="18" t="n">
        <v>0</v>
      </c>
      <c r="J27" s="20" t="n">
        <v>0</v>
      </c>
      <c r="K27" s="18" t="n">
        <v>1.30813645</v>
      </c>
      <c r="L27" s="20" t="n">
        <v>0.2953882</v>
      </c>
      <c r="M27" s="18" t="n">
        <v>0</v>
      </c>
      <c r="N27" s="20" t="n">
        <v>0</v>
      </c>
      <c r="O27" s="18" t="n">
        <v>0</v>
      </c>
      <c r="P27" s="20" t="n">
        <v>0</v>
      </c>
      <c r="Q27" s="18" t="n">
        <v>0.27548945</v>
      </c>
      <c r="R27" s="20" t="n">
        <v>0.15975191</v>
      </c>
    </row>
    <row r="28" spans="1:18">
      <c r="A28" s="15" t="s">
        <v>586</v>
      </c>
      <c r="B28" s="17" t="n">
        <v>7568</v>
      </c>
      <c r="C28" s="18">
        <f>(6075.0/B28*100)</f>
        <v/>
      </c>
      <c r="D28" s="19" t="n">
        <v>1493</v>
      </c>
      <c r="E28" s="18" t="n">
        <v>87.59885882</v>
      </c>
      <c r="F28" s="20" t="n">
        <v>1.07241583</v>
      </c>
      <c r="G28" s="18" t="n">
        <v>8.720590939999999</v>
      </c>
      <c r="H28" s="20" t="n">
        <v>0.78826883</v>
      </c>
      <c r="I28" s="18" t="n">
        <v>0</v>
      </c>
      <c r="J28" s="20" t="n">
        <v>0</v>
      </c>
      <c r="K28" s="18" t="n">
        <v>2.20551488</v>
      </c>
      <c r="L28" s="20" t="n">
        <v>0.57468641</v>
      </c>
      <c r="M28" s="18" t="n">
        <v>0</v>
      </c>
      <c r="N28" s="20" t="n">
        <v>0</v>
      </c>
      <c r="O28" s="18" t="n">
        <v>0</v>
      </c>
      <c r="P28" s="20" t="n">
        <v>0</v>
      </c>
      <c r="Q28" s="18" t="n">
        <v>1.47503536</v>
      </c>
      <c r="R28" s="20" t="n">
        <v>0.4143008</v>
      </c>
    </row>
    <row r="29" spans="1:18">
      <c r="A29" s="15" t="s">
        <v>587</v>
      </c>
      <c r="B29" s="17" t="n">
        <v>5385</v>
      </c>
      <c r="C29" s="18">
        <f>(4243.0/B29*100)</f>
        <v/>
      </c>
      <c r="D29" s="19" t="n">
        <v>1142</v>
      </c>
      <c r="E29" s="18" t="n">
        <v>71.47143853999999</v>
      </c>
      <c r="F29" s="20" t="n">
        <v>1.38509806</v>
      </c>
      <c r="G29" s="18" t="n">
        <v>27.98587691</v>
      </c>
      <c r="H29" s="20" t="n">
        <v>1.4119809</v>
      </c>
      <c r="I29" s="18" t="n">
        <v>0</v>
      </c>
      <c r="J29" s="20" t="n">
        <v>0</v>
      </c>
      <c r="K29" s="18" t="n">
        <v>0.32989096</v>
      </c>
      <c r="L29" s="20" t="n">
        <v>0.1698398</v>
      </c>
      <c r="M29" s="18" t="n">
        <v>0</v>
      </c>
      <c r="N29" s="20" t="n">
        <v>0</v>
      </c>
      <c r="O29" s="18" t="n">
        <v>0</v>
      </c>
      <c r="P29" s="20" t="n">
        <v>0</v>
      </c>
      <c r="Q29" s="18" t="n">
        <v>0.21279358</v>
      </c>
      <c r="R29" s="20" t="n">
        <v>0.15736091</v>
      </c>
    </row>
    <row r="30" spans="1:18">
      <c r="A30" s="15" t="s">
        <v>588</v>
      </c>
      <c r="B30" s="17" t="n">
        <v>4520</v>
      </c>
      <c r="C30" s="18">
        <f>(3593.0/B30*100)</f>
        <v/>
      </c>
      <c r="D30" s="19" t="n">
        <v>927</v>
      </c>
      <c r="E30" s="18" t="n">
        <v>58.4856597</v>
      </c>
      <c r="F30" s="20" t="n">
        <v>1.79619959</v>
      </c>
      <c r="G30" s="18" t="n">
        <v>38.91796608</v>
      </c>
      <c r="H30" s="20" t="n">
        <v>1.69866427</v>
      </c>
      <c r="I30" s="18" t="n">
        <v>0</v>
      </c>
      <c r="J30" s="20" t="n">
        <v>0</v>
      </c>
      <c r="K30" s="18" t="n">
        <v>2.11909152</v>
      </c>
      <c r="L30" s="20" t="n">
        <v>0.5363011600000001</v>
      </c>
      <c r="M30" s="18" t="n">
        <v>0</v>
      </c>
      <c r="N30" s="20" t="n">
        <v>0</v>
      </c>
      <c r="O30" s="18" t="n">
        <v>0</v>
      </c>
      <c r="P30" s="20" t="n">
        <v>0</v>
      </c>
      <c r="Q30" s="18" t="n">
        <v>0.47728271</v>
      </c>
      <c r="R30" s="20" t="n">
        <v>0.21941887</v>
      </c>
    </row>
    <row r="31" spans="1:18">
      <c r="A31" s="15" t="s">
        <v>589</v>
      </c>
      <c r="B31" s="17" t="n">
        <v>5456</v>
      </c>
      <c r="C31" s="18">
        <f>(4272.0/B31*100)</f>
        <v/>
      </c>
      <c r="D31" s="19" t="n">
        <v>1184</v>
      </c>
      <c r="E31" s="18" t="n">
        <v>63.89390547</v>
      </c>
      <c r="F31" s="20" t="n">
        <v>1.59391307</v>
      </c>
      <c r="G31" s="18" t="n">
        <v>32.86986414</v>
      </c>
      <c r="H31" s="20" t="n">
        <v>1.5503184</v>
      </c>
      <c r="I31" s="18" t="n">
        <v>0</v>
      </c>
      <c r="J31" s="20" t="n">
        <v>0</v>
      </c>
      <c r="K31" s="18" t="n">
        <v>2.82456645</v>
      </c>
      <c r="L31" s="20" t="n">
        <v>0.43822712</v>
      </c>
      <c r="M31" s="18" t="n">
        <v>0</v>
      </c>
      <c r="N31" s="20" t="n">
        <v>0</v>
      </c>
      <c r="O31" s="18" t="n">
        <v>0</v>
      </c>
      <c r="P31" s="20" t="n">
        <v>0</v>
      </c>
      <c r="Q31" s="18" t="n">
        <v>0.41166394</v>
      </c>
      <c r="R31" s="20" t="n">
        <v>0.1859418</v>
      </c>
    </row>
    <row r="32" spans="1:18">
      <c r="A32" s="15" t="s">
        <v>590</v>
      </c>
      <c r="B32" s="17" t="n">
        <v>4478</v>
      </c>
      <c r="C32" s="18">
        <f>(3483.0/B32*100)</f>
        <v/>
      </c>
      <c r="D32" s="19" t="n">
        <v>995</v>
      </c>
      <c r="E32" s="18" t="n">
        <v>64.45559341000001</v>
      </c>
      <c r="F32" s="20" t="n">
        <v>1.58235221</v>
      </c>
      <c r="G32" s="18" t="n">
        <v>34.24380138</v>
      </c>
      <c r="H32" s="20" t="n">
        <v>1.54546633</v>
      </c>
      <c r="I32" s="18" t="n">
        <v>0</v>
      </c>
      <c r="J32" s="20" t="n">
        <v>0</v>
      </c>
      <c r="K32" s="18" t="n">
        <v>1.07492945</v>
      </c>
      <c r="L32" s="20" t="n">
        <v>0.40049166</v>
      </c>
      <c r="M32" s="18" t="n">
        <v>0</v>
      </c>
      <c r="N32" s="20" t="n">
        <v>0</v>
      </c>
      <c r="O32" s="18" t="n">
        <v>0</v>
      </c>
      <c r="P32" s="20" t="n">
        <v>0</v>
      </c>
      <c r="Q32" s="18" t="n">
        <v>0.22567576</v>
      </c>
      <c r="R32" s="20" t="n">
        <v>0.1398367</v>
      </c>
    </row>
    <row r="33" spans="1:18">
      <c r="A33" s="15" t="s">
        <v>591</v>
      </c>
      <c r="B33" s="17" t="n">
        <v>7325</v>
      </c>
      <c r="C33" s="18">
        <f>(5825.0/B33*100)</f>
        <v/>
      </c>
      <c r="D33" s="19" t="n">
        <v>1500</v>
      </c>
      <c r="E33" s="18" t="n">
        <v>69.87118365000001</v>
      </c>
      <c r="F33" s="20" t="n">
        <v>1.49816943</v>
      </c>
      <c r="G33" s="18" t="n">
        <v>27.76789774</v>
      </c>
      <c r="H33" s="20" t="n">
        <v>1.46182252</v>
      </c>
      <c r="I33" s="18" t="n">
        <v>0</v>
      </c>
      <c r="J33" s="20" t="n">
        <v>0</v>
      </c>
      <c r="K33" s="18" t="n">
        <v>1.88723993</v>
      </c>
      <c r="L33" s="20" t="n">
        <v>0.45684771</v>
      </c>
      <c r="M33" s="18" t="n">
        <v>0</v>
      </c>
      <c r="N33" s="20" t="n">
        <v>0</v>
      </c>
      <c r="O33" s="18" t="n">
        <v>0</v>
      </c>
      <c r="P33" s="20" t="n">
        <v>0</v>
      </c>
      <c r="Q33" s="18" t="n">
        <v>0.47367868</v>
      </c>
      <c r="R33" s="20" t="n">
        <v>0.21033371</v>
      </c>
    </row>
    <row r="34" spans="1:18">
      <c r="A34" s="15" t="s">
        <v>592</v>
      </c>
      <c r="B34" s="17" t="n">
        <v>6350</v>
      </c>
      <c r="C34" s="18">
        <f>(5081.0/B34*100)</f>
        <v/>
      </c>
      <c r="D34" s="19" t="n">
        <v>1269</v>
      </c>
      <c r="E34" s="18" t="n">
        <v>79.06632892</v>
      </c>
      <c r="F34" s="20" t="n">
        <v>1.39971433</v>
      </c>
      <c r="G34" s="18" t="n">
        <v>18.2715053</v>
      </c>
      <c r="H34" s="20" t="n">
        <v>1.35020955</v>
      </c>
      <c r="I34" s="18" t="n">
        <v>0</v>
      </c>
      <c r="J34" s="20" t="n">
        <v>0</v>
      </c>
      <c r="K34" s="18" t="n">
        <v>1.65867697</v>
      </c>
      <c r="L34" s="20" t="n">
        <v>0.40035255</v>
      </c>
      <c r="M34" s="18" t="n">
        <v>0</v>
      </c>
      <c r="N34" s="20" t="n">
        <v>0</v>
      </c>
      <c r="O34" s="18" t="n">
        <v>0</v>
      </c>
      <c r="P34" s="20" t="n">
        <v>0</v>
      </c>
      <c r="Q34" s="18" t="n">
        <v>1.00348882</v>
      </c>
      <c r="R34" s="20" t="n">
        <v>0.26099939</v>
      </c>
    </row>
    <row r="35" spans="1:18">
      <c r="A35" s="15" t="s">
        <v>593</v>
      </c>
      <c r="B35" s="17" t="n">
        <v>6406</v>
      </c>
      <c r="C35" s="18">
        <f>(5069.0/B35*100)</f>
        <v/>
      </c>
      <c r="D35" s="19" t="n">
        <v>1337</v>
      </c>
      <c r="E35" s="18" t="n">
        <v>60.00522035</v>
      </c>
      <c r="F35" s="20" t="n">
        <v>1.82619808</v>
      </c>
      <c r="G35" s="18" t="n">
        <v>38.85104401</v>
      </c>
      <c r="H35" s="20" t="n">
        <v>1.80432574</v>
      </c>
      <c r="I35" s="18" t="n">
        <v>0</v>
      </c>
      <c r="J35" s="20" t="n">
        <v>0</v>
      </c>
      <c r="K35" s="18" t="n">
        <v>0.68513249</v>
      </c>
      <c r="L35" s="20" t="n">
        <v>0.1919036</v>
      </c>
      <c r="M35" s="18" t="n">
        <v>0</v>
      </c>
      <c r="N35" s="20" t="n">
        <v>0</v>
      </c>
      <c r="O35" s="18" t="n">
        <v>0</v>
      </c>
      <c r="P35" s="20" t="n">
        <v>0</v>
      </c>
      <c r="Q35" s="18" t="n">
        <v>0.45860315</v>
      </c>
      <c r="R35" s="20" t="n">
        <v>0.1309449</v>
      </c>
    </row>
    <row r="36" spans="1:18">
      <c r="A36" s="15" t="s">
        <v>594</v>
      </c>
      <c r="B36" s="17" t="n">
        <v>6736</v>
      </c>
      <c r="C36" s="18">
        <f>(5346.0/B36*100)</f>
        <v/>
      </c>
      <c r="D36" s="19" t="n">
        <v>1390</v>
      </c>
      <c r="E36" s="18" t="n">
        <v>68.38265527999999</v>
      </c>
      <c r="F36" s="20" t="n">
        <v>1.33315764</v>
      </c>
      <c r="G36" s="18" t="n">
        <v>29.07060521</v>
      </c>
      <c r="H36" s="20" t="n">
        <v>1.31070454</v>
      </c>
      <c r="I36" s="18" t="n">
        <v>0</v>
      </c>
      <c r="J36" s="20" t="n">
        <v>0</v>
      </c>
      <c r="K36" s="18" t="n">
        <v>2.06747711</v>
      </c>
      <c r="L36" s="20" t="n">
        <v>0.38749964</v>
      </c>
      <c r="M36" s="18" t="n">
        <v>0</v>
      </c>
      <c r="N36" s="20" t="n">
        <v>0</v>
      </c>
      <c r="O36" s="18" t="n">
        <v>0</v>
      </c>
      <c r="P36" s="20" t="n">
        <v>0</v>
      </c>
      <c r="Q36" s="18" t="n">
        <v>0.47926241</v>
      </c>
      <c r="R36" s="20" t="n">
        <v>0.20903925</v>
      </c>
    </row>
    <row r="37" spans="1:18">
      <c r="A37" s="15" t="s">
        <v>595</v>
      </c>
      <c r="B37" s="17" t="n">
        <v>5458</v>
      </c>
      <c r="C37" s="18">
        <f>(4348.0/B37*100)</f>
        <v/>
      </c>
      <c r="D37" s="19" t="n">
        <v>1110</v>
      </c>
      <c r="E37" s="18" t="n">
        <v>63.59984963</v>
      </c>
      <c r="F37" s="20" t="n">
        <v>1.63785706</v>
      </c>
      <c r="G37" s="18" t="n">
        <v>31.17056513</v>
      </c>
      <c r="H37" s="20" t="n">
        <v>1.63038782</v>
      </c>
      <c r="I37" s="18" t="n">
        <v>0</v>
      </c>
      <c r="J37" s="20" t="n">
        <v>0</v>
      </c>
      <c r="K37" s="18" t="n">
        <v>4.07334346</v>
      </c>
      <c r="L37" s="20" t="n">
        <v>0.60473169</v>
      </c>
      <c r="M37" s="18" t="n">
        <v>0</v>
      </c>
      <c r="N37" s="20" t="n">
        <v>0</v>
      </c>
      <c r="O37" s="18" t="n">
        <v>0</v>
      </c>
      <c r="P37" s="20" t="n">
        <v>0</v>
      </c>
      <c r="Q37" s="18" t="n">
        <v>1.15624177</v>
      </c>
      <c r="R37" s="20" t="n">
        <v>0.36530578</v>
      </c>
    </row>
    <row r="38" spans="1:18">
      <c r="A38" s="15" t="s">
        <v>596</v>
      </c>
      <c r="B38" s="17" t="n">
        <v>5860</v>
      </c>
      <c r="C38" s="18">
        <f>(4632.0/B38*100)</f>
        <v/>
      </c>
      <c r="D38" s="19" t="n">
        <v>1228</v>
      </c>
      <c r="E38" s="18" t="n">
        <v>58.60479933</v>
      </c>
      <c r="F38" s="20" t="n">
        <v>1.8793762</v>
      </c>
      <c r="G38" s="18" t="n">
        <v>38.06125728</v>
      </c>
      <c r="H38" s="20" t="n">
        <v>1.90477327</v>
      </c>
      <c r="I38" s="18" t="n">
        <v>0</v>
      </c>
      <c r="J38" s="20" t="n">
        <v>0</v>
      </c>
      <c r="K38" s="18" t="n">
        <v>2.10234583</v>
      </c>
      <c r="L38" s="20" t="n">
        <v>0.46302009</v>
      </c>
      <c r="M38" s="18" t="n">
        <v>0</v>
      </c>
      <c r="N38" s="20" t="n">
        <v>0</v>
      </c>
      <c r="O38" s="18" t="n">
        <v>0</v>
      </c>
      <c r="P38" s="20" t="n">
        <v>0</v>
      </c>
      <c r="Q38" s="18" t="n">
        <v>1.23159756</v>
      </c>
      <c r="R38" s="20" t="n">
        <v>0.44872919</v>
      </c>
    </row>
    <row r="39" spans="1:18">
      <c r="A39" s="15" t="s">
        <v>597</v>
      </c>
      <c r="B39" s="17" t="n">
        <v>5895</v>
      </c>
      <c r="C39" s="18">
        <f>(4574.0/B39*100)</f>
        <v/>
      </c>
      <c r="D39" s="19" t="n">
        <v>1321</v>
      </c>
      <c r="E39" s="18" t="n">
        <v>77.29348220999999</v>
      </c>
      <c r="F39" s="20" t="n">
        <v>1.774195</v>
      </c>
      <c r="G39" s="18" t="n">
        <v>20.81266226</v>
      </c>
      <c r="H39" s="20" t="n">
        <v>1.79990017</v>
      </c>
      <c r="I39" s="18" t="n">
        <v>0</v>
      </c>
      <c r="J39" s="20" t="n">
        <v>0</v>
      </c>
      <c r="K39" s="18" t="n">
        <v>0.77319806</v>
      </c>
      <c r="L39" s="20" t="n">
        <v>0.20577379</v>
      </c>
      <c r="M39" s="18" t="n">
        <v>0</v>
      </c>
      <c r="N39" s="20" t="n">
        <v>0</v>
      </c>
      <c r="O39" s="18" t="n">
        <v>0</v>
      </c>
      <c r="P39" s="20" t="n">
        <v>0</v>
      </c>
      <c r="Q39" s="18" t="n">
        <v>1.12065748</v>
      </c>
      <c r="R39" s="20" t="n">
        <v>0.29569824</v>
      </c>
    </row>
    <row r="40" spans="1:18">
      <c r="A40" s="15" t="s">
        <v>598</v>
      </c>
      <c r="B40" s="17" t="n">
        <v>14157</v>
      </c>
      <c r="C40" s="18">
        <f>(11042.0/B40*100)</f>
        <v/>
      </c>
      <c r="D40" s="19" t="n">
        <v>3115</v>
      </c>
      <c r="E40" s="18" t="n">
        <v>64.55934194</v>
      </c>
      <c r="F40" s="20" t="n">
        <v>1.44774352</v>
      </c>
      <c r="G40" s="18" t="n">
        <v>33.64156222</v>
      </c>
      <c r="H40" s="20" t="n">
        <v>1.4303222</v>
      </c>
      <c r="I40" s="18" t="n">
        <v>0</v>
      </c>
      <c r="J40" s="20" t="n">
        <v>0</v>
      </c>
      <c r="K40" s="18" t="n">
        <v>1.5882578</v>
      </c>
      <c r="L40" s="20" t="n">
        <v>0.35442776</v>
      </c>
      <c r="M40" s="18" t="n">
        <v>0</v>
      </c>
      <c r="N40" s="20" t="n">
        <v>0</v>
      </c>
      <c r="O40" s="18" t="n">
        <v>0</v>
      </c>
      <c r="P40" s="20" t="n">
        <v>0</v>
      </c>
      <c r="Q40" s="18" t="n">
        <v>0.21083805</v>
      </c>
      <c r="R40" s="20" t="n">
        <v>0.1238836</v>
      </c>
    </row>
    <row r="41" spans="1:18">
      <c r="A41" s="15" t="s">
        <v>599</v>
      </c>
      <c r="B41" s="17" t="n">
        <v>5712</v>
      </c>
      <c r="C41" s="18">
        <f>(4544.0/B41*100)</f>
        <v/>
      </c>
      <c r="D41" s="19" t="n">
        <v>1168</v>
      </c>
      <c r="E41" s="18" t="n">
        <v>67.42522605000001</v>
      </c>
      <c r="F41" s="20" t="n">
        <v>1.47208246</v>
      </c>
      <c r="G41" s="18" t="n">
        <v>30.88123014</v>
      </c>
      <c r="H41" s="20" t="n">
        <v>1.45015212</v>
      </c>
      <c r="I41" s="18" t="n">
        <v>0</v>
      </c>
      <c r="J41" s="20" t="n">
        <v>0</v>
      </c>
      <c r="K41" s="18" t="n">
        <v>1.61602152</v>
      </c>
      <c r="L41" s="20" t="n">
        <v>0.41952604</v>
      </c>
      <c r="M41" s="18" t="n">
        <v>0</v>
      </c>
      <c r="N41" s="20" t="n">
        <v>0</v>
      </c>
      <c r="O41" s="18" t="n">
        <v>0</v>
      </c>
      <c r="P41" s="20" t="n">
        <v>0</v>
      </c>
      <c r="Q41" s="18" t="n">
        <v>0.07752228999999999</v>
      </c>
      <c r="R41" s="20" t="n">
        <v>0.07504352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(19906.0/B46*100)</f>
        <v/>
      </c>
      <c r="D46" s="19" t="n">
        <v>3235</v>
      </c>
      <c r="E46" s="18" t="n">
        <v>80.00561061000001</v>
      </c>
      <c r="F46" s="20" t="n">
        <v>0.9543903500000001</v>
      </c>
      <c r="G46" s="18" t="n">
        <v>10.66843158</v>
      </c>
      <c r="H46" s="20" t="n">
        <v>0.76823773</v>
      </c>
      <c r="I46" s="18" t="n">
        <v>0</v>
      </c>
      <c r="J46" s="20" t="n">
        <v>0</v>
      </c>
      <c r="K46" s="18" t="n">
        <v>4.23591524</v>
      </c>
      <c r="L46" s="20" t="n">
        <v>0.5848809699999999</v>
      </c>
      <c r="M46" s="18" t="n">
        <v>0</v>
      </c>
      <c r="N46" s="20" t="n">
        <v>0</v>
      </c>
      <c r="O46" s="18" t="n">
        <v>0</v>
      </c>
      <c r="P46" s="20" t="n">
        <v>0</v>
      </c>
      <c r="Q46" s="18" t="n">
        <v>5.09004257</v>
      </c>
      <c r="R46" s="20" t="n">
        <v>0.5066923</v>
      </c>
    </row>
    <row r="47" spans="1:18">
      <c r="A47" s="15" t="s">
        <v>606</v>
      </c>
      <c r="B47" s="17" t="n">
        <v>5928</v>
      </c>
      <c r="C47" s="18">
        <f>(4652.0/B47*100)</f>
        <v/>
      </c>
      <c r="D47" s="19" t="n">
        <v>1276</v>
      </c>
      <c r="E47" s="18" t="n">
        <v>70.92719078</v>
      </c>
      <c r="F47" s="20" t="n">
        <v>1.46085886</v>
      </c>
      <c r="G47" s="18" t="n">
        <v>24.66035374</v>
      </c>
      <c r="H47" s="20" t="n">
        <v>1.50696045</v>
      </c>
      <c r="I47" s="18" t="n">
        <v>0</v>
      </c>
      <c r="J47" s="20" t="n">
        <v>0</v>
      </c>
      <c r="K47" s="18" t="n">
        <v>2.37693539</v>
      </c>
      <c r="L47" s="20" t="n">
        <v>0.43467349</v>
      </c>
      <c r="M47" s="18" t="n">
        <v>0</v>
      </c>
      <c r="N47" s="20" t="n">
        <v>0</v>
      </c>
      <c r="O47" s="18" t="n">
        <v>0</v>
      </c>
      <c r="P47" s="20" t="n">
        <v>0</v>
      </c>
      <c r="Q47" s="18" t="n">
        <v>2.03552009</v>
      </c>
      <c r="R47" s="20" t="n">
        <v>0.5312256</v>
      </c>
    </row>
    <row r="48" spans="1:18">
      <c r="A48" s="15" t="s">
        <v>607</v>
      </c>
      <c r="B48" s="17" t="n">
        <v>9841</v>
      </c>
      <c r="C48" s="18">
        <f>(7704.0/B48*100)</f>
        <v/>
      </c>
      <c r="D48" s="19" t="n">
        <v>2137</v>
      </c>
      <c r="E48" s="18" t="n">
        <v>61.11815554</v>
      </c>
      <c r="F48" s="20" t="n">
        <v>1.65444388</v>
      </c>
      <c r="G48" s="18" t="n">
        <v>37.15997839</v>
      </c>
      <c r="H48" s="20" t="n">
        <v>1.6795326</v>
      </c>
      <c r="I48" s="18" t="n">
        <v>0</v>
      </c>
      <c r="J48" s="20" t="n">
        <v>0</v>
      </c>
      <c r="K48" s="18" t="n">
        <v>1.0906176</v>
      </c>
      <c r="L48" s="20" t="n">
        <v>0.29756406</v>
      </c>
      <c r="M48" s="18" t="n">
        <v>0</v>
      </c>
      <c r="N48" s="20" t="n">
        <v>0</v>
      </c>
      <c r="O48" s="18" t="n">
        <v>0</v>
      </c>
      <c r="P48" s="20" t="n">
        <v>0</v>
      </c>
      <c r="Q48" s="18" t="n">
        <v>0.63124847</v>
      </c>
      <c r="R48" s="20" t="n">
        <v>0.2547775</v>
      </c>
    </row>
    <row r="49" spans="1:18">
      <c r="A49" s="15" t="s">
        <v>608</v>
      </c>
      <c r="B49" s="17" t="n">
        <v>11795</v>
      </c>
      <c r="C49" s="18">
        <f>(9370.0/B49*100)</f>
        <v/>
      </c>
      <c r="D49" s="19" t="n">
        <v>2425</v>
      </c>
      <c r="E49" s="18" t="n">
        <v>82.8392324</v>
      </c>
      <c r="F49" s="20" t="n">
        <v>1.13938511</v>
      </c>
      <c r="G49" s="18" t="n">
        <v>10.52921774</v>
      </c>
      <c r="H49" s="20" t="n">
        <v>0.90912707</v>
      </c>
      <c r="I49" s="18" t="n">
        <v>0</v>
      </c>
      <c r="J49" s="20" t="n">
        <v>0</v>
      </c>
      <c r="K49" s="18" t="n">
        <v>5.1405285</v>
      </c>
      <c r="L49" s="20" t="n">
        <v>0.76190216</v>
      </c>
      <c r="M49" s="18" t="n">
        <v>0</v>
      </c>
      <c r="N49" s="20" t="n">
        <v>0</v>
      </c>
      <c r="O49" s="18" t="n">
        <v>0</v>
      </c>
      <c r="P49" s="20" t="n">
        <v>0</v>
      </c>
      <c r="Q49" s="18" t="n">
        <v>1.49102136</v>
      </c>
      <c r="R49" s="20" t="n">
        <v>0.53405569</v>
      </c>
    </row>
    <row r="50" spans="1:18">
      <c r="A50" s="15" t="s">
        <v>609</v>
      </c>
      <c r="B50" s="17" t="n">
        <v>6866</v>
      </c>
      <c r="C50" s="18">
        <f>(5731.0/B50*100)</f>
        <v/>
      </c>
      <c r="D50" s="19" t="n">
        <v>1135</v>
      </c>
      <c r="E50" s="18" t="n">
        <v>86.27552278</v>
      </c>
      <c r="F50" s="20" t="n">
        <v>1.07421529</v>
      </c>
      <c r="G50" s="18" t="n">
        <v>10.13472704</v>
      </c>
      <c r="H50" s="20" t="n">
        <v>0.9948808</v>
      </c>
      <c r="I50" s="18" t="n">
        <v>0</v>
      </c>
      <c r="J50" s="20" t="n">
        <v>0</v>
      </c>
      <c r="K50" s="18" t="n">
        <v>2.04970649</v>
      </c>
      <c r="L50" s="20" t="n">
        <v>0.39122625</v>
      </c>
      <c r="M50" s="18" t="n">
        <v>0</v>
      </c>
      <c r="N50" s="20" t="n">
        <v>0</v>
      </c>
      <c r="O50" s="18" t="n">
        <v>0</v>
      </c>
      <c r="P50" s="20" t="n">
        <v>0</v>
      </c>
      <c r="Q50" s="18" t="n">
        <v>1.5400437</v>
      </c>
      <c r="R50" s="20" t="n">
        <v>0.40719061</v>
      </c>
    </row>
    <row r="51" spans="1:18">
      <c r="A51" s="15" t="s">
        <v>610</v>
      </c>
      <c r="B51" s="17" t="n">
        <v>5809</v>
      </c>
      <c r="C51" s="18">
        <f>(4572.0/B51*100)</f>
        <v/>
      </c>
      <c r="D51" s="19" t="n">
        <v>1237</v>
      </c>
      <c r="E51" s="18" t="n">
        <v>69.71212757000001</v>
      </c>
      <c r="F51" s="20" t="n">
        <v>1.6032389</v>
      </c>
      <c r="G51" s="18" t="n">
        <v>28.59449234</v>
      </c>
      <c r="H51" s="20" t="n">
        <v>1.60120383</v>
      </c>
      <c r="I51" s="18" t="n">
        <v>0</v>
      </c>
      <c r="J51" s="20" t="n">
        <v>0</v>
      </c>
      <c r="K51" s="18" t="n">
        <v>1.29178501</v>
      </c>
      <c r="L51" s="20" t="n">
        <v>0.3908548</v>
      </c>
      <c r="M51" s="18" t="n">
        <v>0</v>
      </c>
      <c r="N51" s="20" t="n">
        <v>0</v>
      </c>
      <c r="O51" s="18" t="n">
        <v>0</v>
      </c>
      <c r="P51" s="20" t="n">
        <v>0</v>
      </c>
      <c r="Q51" s="18" t="n">
        <v>0.40159508</v>
      </c>
      <c r="R51" s="20" t="n">
        <v>0.18483564</v>
      </c>
    </row>
    <row r="52" spans="1:18">
      <c r="A52" s="15" t="s">
        <v>611</v>
      </c>
      <c r="B52" s="17" t="n">
        <v>5571</v>
      </c>
      <c r="C52" s="18">
        <f>(4316.0/B52*100)</f>
        <v/>
      </c>
      <c r="D52" s="19" t="n">
        <v>1255</v>
      </c>
      <c r="E52" s="18" t="n">
        <v>82.64180653</v>
      </c>
      <c r="F52" s="20" t="n">
        <v>1.10402603</v>
      </c>
      <c r="G52" s="18" t="n">
        <v>14.6308242</v>
      </c>
      <c r="H52" s="20" t="n">
        <v>1.00846954</v>
      </c>
      <c r="I52" s="18" t="n">
        <v>0</v>
      </c>
      <c r="J52" s="20" t="n">
        <v>0</v>
      </c>
      <c r="K52" s="18" t="n">
        <v>1.70380602</v>
      </c>
      <c r="L52" s="20" t="n">
        <v>0.40845053</v>
      </c>
      <c r="M52" s="18" t="n">
        <v>0</v>
      </c>
      <c r="N52" s="20" t="n">
        <v>0</v>
      </c>
      <c r="O52" s="18" t="n">
        <v>0</v>
      </c>
      <c r="P52" s="20" t="n">
        <v>0</v>
      </c>
      <c r="Q52" s="18" t="n">
        <v>1.02356324</v>
      </c>
      <c r="R52" s="20" t="n">
        <v>0.27052144</v>
      </c>
    </row>
    <row r="53" spans="1:18">
      <c r="A53" s="15" t="s">
        <v>612</v>
      </c>
      <c r="B53" s="17" t="n">
        <v>4740</v>
      </c>
      <c r="C53" s="18">
        <f>(3711.0/B53*100)</f>
        <v/>
      </c>
      <c r="D53" s="19" t="n">
        <v>1029</v>
      </c>
      <c r="E53" s="18" t="n">
        <v>62.93893315</v>
      </c>
      <c r="F53" s="20" t="n">
        <v>1.92393581</v>
      </c>
      <c r="G53" s="18" t="n">
        <v>3.87680143</v>
      </c>
      <c r="H53" s="20" t="n">
        <v>0.63128233</v>
      </c>
      <c r="I53" s="18" t="n">
        <v>0</v>
      </c>
      <c r="J53" s="20" t="n">
        <v>0</v>
      </c>
      <c r="K53" s="18" t="n">
        <v>23.60619877</v>
      </c>
      <c r="L53" s="20" t="n">
        <v>1.52202718</v>
      </c>
      <c r="M53" s="18" t="n">
        <v>0</v>
      </c>
      <c r="N53" s="20" t="n">
        <v>0</v>
      </c>
      <c r="O53" s="18" t="n">
        <v>0</v>
      </c>
      <c r="P53" s="20" t="n">
        <v>0</v>
      </c>
      <c r="Q53" s="18" t="n">
        <v>9.57806665</v>
      </c>
      <c r="R53" s="20" t="n">
        <v>1.37480388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(4253.0/B55*100)</f>
        <v/>
      </c>
      <c r="D55" s="19" t="n">
        <v>1106</v>
      </c>
      <c r="E55" s="18" t="n">
        <v>62.62401935</v>
      </c>
      <c r="F55" s="20" t="n">
        <v>1.35420589</v>
      </c>
      <c r="G55" s="18" t="n">
        <v>36.4120813</v>
      </c>
      <c r="H55" s="20" t="n">
        <v>1.35091121</v>
      </c>
      <c r="I55" s="18" t="n">
        <v>0</v>
      </c>
      <c r="J55" s="20" t="n">
        <v>0</v>
      </c>
      <c r="K55" s="18" t="n">
        <v>0.87783194</v>
      </c>
      <c r="L55" s="20" t="n">
        <v>0.34672378</v>
      </c>
      <c r="M55" s="18" t="n">
        <v>0</v>
      </c>
      <c r="N55" s="20" t="n">
        <v>0</v>
      </c>
      <c r="O55" s="18" t="n">
        <v>0</v>
      </c>
      <c r="P55" s="20" t="n">
        <v>0</v>
      </c>
      <c r="Q55" s="18" t="n">
        <v>0.08606741</v>
      </c>
      <c r="R55" s="20" t="n">
        <v>0.08560383000000001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(5121.0/B61*100)</f>
        <v/>
      </c>
      <c r="D61" s="19" t="n">
        <v>1404</v>
      </c>
      <c r="E61" s="18" t="n">
        <v>68.5846588</v>
      </c>
      <c r="F61" s="20" t="n">
        <v>1.42696211</v>
      </c>
      <c r="G61" s="18" t="n">
        <v>29.5624884</v>
      </c>
      <c r="H61" s="20" t="n">
        <v>1.42722083</v>
      </c>
      <c r="I61" s="18" t="n">
        <v>0</v>
      </c>
      <c r="J61" s="20" t="n">
        <v>0</v>
      </c>
      <c r="K61" s="18" t="n">
        <v>1.25960872</v>
      </c>
      <c r="L61" s="20" t="n">
        <v>0.31550674</v>
      </c>
      <c r="M61" s="18" t="n">
        <v>0</v>
      </c>
      <c r="N61" s="20" t="n">
        <v>0</v>
      </c>
      <c r="O61" s="18" t="n">
        <v>0</v>
      </c>
      <c r="P61" s="20" t="n">
        <v>0</v>
      </c>
      <c r="Q61" s="18" t="n">
        <v>0.59324408</v>
      </c>
      <c r="R61" s="20" t="n">
        <v>0.21714278</v>
      </c>
    </row>
    <row r="62" spans="1:18">
      <c r="A62" s="15" t="s">
        <v>622</v>
      </c>
      <c r="B62" s="17" t="n">
        <v>4476</v>
      </c>
      <c r="C62" s="18">
        <f>(3558.0/B62*100)</f>
        <v/>
      </c>
      <c r="D62" s="19" t="n">
        <v>918</v>
      </c>
      <c r="E62" s="18" t="n">
        <v>63.76318342</v>
      </c>
      <c r="F62" s="20" t="n">
        <v>1.37587902</v>
      </c>
      <c r="G62" s="18" t="n">
        <v>36.01442802</v>
      </c>
      <c r="H62" s="20" t="n">
        <v>1.36763611</v>
      </c>
      <c r="I62" s="18" t="n">
        <v>0</v>
      </c>
      <c r="J62" s="20" t="n">
        <v>0</v>
      </c>
      <c r="K62" s="18" t="n">
        <v>0.22238856</v>
      </c>
      <c r="L62" s="20" t="n">
        <v>0.13581669</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(4493.0/B67*100)</f>
        <v/>
      </c>
      <c r="D67" s="19" t="n">
        <v>1172</v>
      </c>
      <c r="E67" s="18" t="n">
        <v>79.36682768999999</v>
      </c>
      <c r="F67" s="20" t="n">
        <v>1.07838003</v>
      </c>
      <c r="G67" s="18" t="n">
        <v>12.37127526</v>
      </c>
      <c r="H67" s="20" t="n">
        <v>0.78051058</v>
      </c>
      <c r="I67" s="18" t="n">
        <v>0</v>
      </c>
      <c r="J67" s="20" t="n">
        <v>0</v>
      </c>
      <c r="K67" s="18" t="n">
        <v>5.14391549</v>
      </c>
      <c r="L67" s="20" t="n">
        <v>0.67462492</v>
      </c>
      <c r="M67" s="18" t="n">
        <v>0</v>
      </c>
      <c r="N67" s="20" t="n">
        <v>0</v>
      </c>
      <c r="O67" s="18" t="n">
        <v>0</v>
      </c>
      <c r="P67" s="20" t="n">
        <v>0</v>
      </c>
      <c r="Q67" s="18" t="n">
        <v>3.11798155</v>
      </c>
      <c r="R67" s="20" t="n">
        <v>0.52029289</v>
      </c>
    </row>
    <row r="68" spans="1:18">
      <c r="A68" s="15" t="s">
        <v>628</v>
      </c>
      <c r="B68" s="17" t="n">
        <v>6971</v>
      </c>
      <c r="C68" s="18">
        <f>(5800.0/B68*100)</f>
        <v/>
      </c>
      <c r="D68" s="19" t="n">
        <v>1171</v>
      </c>
      <c r="E68" s="18" t="n">
        <v>85.32902249999999</v>
      </c>
      <c r="F68" s="20" t="n">
        <v>1.24836338</v>
      </c>
      <c r="G68" s="18" t="n">
        <v>10.68053415</v>
      </c>
      <c r="H68" s="20" t="n">
        <v>0.96677499</v>
      </c>
      <c r="I68" s="18" t="n">
        <v>0</v>
      </c>
      <c r="J68" s="20" t="n">
        <v>0</v>
      </c>
      <c r="K68" s="18" t="n">
        <v>1.41303921</v>
      </c>
      <c r="L68" s="20" t="n">
        <v>0.5289230700000001</v>
      </c>
      <c r="M68" s="18" t="n">
        <v>0</v>
      </c>
      <c r="N68" s="20" t="n">
        <v>0</v>
      </c>
      <c r="O68" s="18" t="n">
        <v>0</v>
      </c>
      <c r="P68" s="20" t="n">
        <v>0</v>
      </c>
      <c r="Q68" s="18" t="n">
        <v>2.57740415</v>
      </c>
      <c r="R68" s="20" t="n">
        <v>0.55452553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(9387.0/B70*100)</f>
        <v/>
      </c>
      <c r="D70" s="19" t="n">
        <v>2696</v>
      </c>
      <c r="E70" s="18" t="n">
        <v>75.82591634000001</v>
      </c>
      <c r="F70" s="20" t="n">
        <v>0.87604765</v>
      </c>
      <c r="G70" s="18" t="n">
        <v>15.22285736</v>
      </c>
      <c r="H70" s="20" t="n">
        <v>0.59907311</v>
      </c>
      <c r="I70" s="18" t="n">
        <v>0</v>
      </c>
      <c r="J70" s="20" t="n">
        <v>0</v>
      </c>
      <c r="K70" s="18" t="n">
        <v>7.41238087</v>
      </c>
      <c r="L70" s="20" t="n">
        <v>0.49990401</v>
      </c>
      <c r="M70" s="18" t="n">
        <v>0</v>
      </c>
      <c r="N70" s="20" t="n">
        <v>0</v>
      </c>
      <c r="O70" s="18" t="n">
        <v>0</v>
      </c>
      <c r="P70" s="20" t="n">
        <v>0</v>
      </c>
      <c r="Q70" s="18" t="n">
        <v>1.53884543</v>
      </c>
      <c r="R70" s="20" t="n">
        <v>0.19950976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(4814.0/B72*100)</f>
        <v/>
      </c>
      <c r="D72" s="19" t="n">
        <v>1222</v>
      </c>
      <c r="E72" s="18" t="n">
        <v>68.24233503000001</v>
      </c>
      <c r="F72" s="20" t="n">
        <v>1.74026538</v>
      </c>
      <c r="G72" s="18" t="n">
        <v>29.41413372</v>
      </c>
      <c r="H72" s="20" t="n">
        <v>1.86105592</v>
      </c>
      <c r="I72" s="18" t="n">
        <v>0</v>
      </c>
      <c r="J72" s="20" t="n">
        <v>0</v>
      </c>
      <c r="K72" s="18" t="n">
        <v>2.01093535</v>
      </c>
      <c r="L72" s="20" t="n">
        <v>0.46872374</v>
      </c>
      <c r="M72" s="18" t="n">
        <v>0</v>
      </c>
      <c r="N72" s="20" t="n">
        <v>0</v>
      </c>
      <c r="O72" s="18" t="n">
        <v>0</v>
      </c>
      <c r="P72" s="20" t="n">
        <v>0</v>
      </c>
      <c r="Q72" s="18" t="n">
        <v>0.3325959</v>
      </c>
      <c r="R72" s="20" t="n">
        <v>0.16267501</v>
      </c>
    </row>
    <row r="73" spans="1:18">
      <c r="A73" s="15" t="s">
        <v>633</v>
      </c>
      <c r="B73" s="17" t="n">
        <v>6115</v>
      </c>
      <c r="C73" s="18">
        <f>(4783.0/B73*100)</f>
        <v/>
      </c>
      <c r="D73" s="19" t="n">
        <v>1332</v>
      </c>
      <c r="E73" s="18" t="n">
        <v>51.48839933</v>
      </c>
      <c r="F73" s="20" t="n">
        <v>1.40196567</v>
      </c>
      <c r="G73" s="18" t="n">
        <v>47.23687436</v>
      </c>
      <c r="H73" s="20" t="n">
        <v>1.35898315</v>
      </c>
      <c r="I73" s="18" t="n">
        <v>0</v>
      </c>
      <c r="J73" s="20" t="n">
        <v>0</v>
      </c>
      <c r="K73" s="18" t="n">
        <v>1.00287258</v>
      </c>
      <c r="L73" s="20" t="n">
        <v>0.29922325</v>
      </c>
      <c r="M73" s="18" t="n">
        <v>0</v>
      </c>
      <c r="N73" s="20" t="n">
        <v>0</v>
      </c>
      <c r="O73" s="18" t="n">
        <v>0</v>
      </c>
      <c r="P73" s="20" t="n">
        <v>0</v>
      </c>
      <c r="Q73" s="18" t="n">
        <v>0.27185374</v>
      </c>
      <c r="R73" s="20" t="n">
        <v>0.11229042</v>
      </c>
    </row>
    <row r="74" spans="1:18">
      <c r="A74" s="15" t="s">
        <v>634</v>
      </c>
      <c r="B74" s="17" t="n">
        <v>7708</v>
      </c>
      <c r="C74" s="18">
        <f>(6065.0/B74*100)</f>
        <v/>
      </c>
      <c r="D74" s="19" t="n">
        <v>1643</v>
      </c>
      <c r="E74" s="18" t="n">
        <v>56.98752154</v>
      </c>
      <c r="F74" s="20" t="n">
        <v>1.41169292</v>
      </c>
      <c r="G74" s="18" t="n">
        <v>42.46462477</v>
      </c>
      <c r="H74" s="20" t="n">
        <v>1.40022916</v>
      </c>
      <c r="I74" s="18" t="n">
        <v>0</v>
      </c>
      <c r="J74" s="20" t="n">
        <v>0</v>
      </c>
      <c r="K74" s="18" t="n">
        <v>0.40226257</v>
      </c>
      <c r="L74" s="20" t="n">
        <v>0.1562163</v>
      </c>
      <c r="M74" s="18" t="n">
        <v>0</v>
      </c>
      <c r="N74" s="20" t="n">
        <v>0</v>
      </c>
      <c r="O74" s="18" t="n">
        <v>0</v>
      </c>
      <c r="P74" s="20" t="n">
        <v>0</v>
      </c>
      <c r="Q74" s="18" t="n">
        <v>0.14559113</v>
      </c>
      <c r="R74" s="20" t="n">
        <v>0.093699</v>
      </c>
    </row>
    <row r="75" spans="1:18">
      <c r="A75" s="15" t="s">
        <v>635</v>
      </c>
      <c r="B75" s="17" t="n">
        <v>8249</v>
      </c>
      <c r="C75" s="18">
        <f>(6666.0/B75*100)</f>
        <v/>
      </c>
      <c r="D75" s="19" t="n">
        <v>1583</v>
      </c>
      <c r="E75" s="18" t="n">
        <v>87.13793802000001</v>
      </c>
      <c r="F75" s="20" t="n">
        <v>0.90251685</v>
      </c>
      <c r="G75" s="18" t="n">
        <v>11.7040409</v>
      </c>
      <c r="H75" s="20" t="n">
        <v>0.88242018</v>
      </c>
      <c r="I75" s="18" t="n">
        <v>0</v>
      </c>
      <c r="J75" s="20" t="n">
        <v>0</v>
      </c>
      <c r="K75" s="18" t="n">
        <v>0.12371718</v>
      </c>
      <c r="L75" s="20" t="n">
        <v>0.09534334999999999</v>
      </c>
      <c r="M75" s="18" t="n">
        <v>0</v>
      </c>
      <c r="N75" s="20" t="n">
        <v>0</v>
      </c>
      <c r="O75" s="18" t="n">
        <v>0</v>
      </c>
      <c r="P75" s="20" t="n">
        <v>0</v>
      </c>
      <c r="Q75" s="18" t="n">
        <v>1.0343039</v>
      </c>
      <c r="R75" s="20" t="n">
        <v>0.3869604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(4386.0/B77*100)</f>
        <v/>
      </c>
      <c r="D77" s="19" t="n">
        <v>989</v>
      </c>
      <c r="E77" s="18" t="n">
        <v>77.79653103</v>
      </c>
      <c r="F77" s="20" t="n">
        <v>1.4086966</v>
      </c>
      <c r="G77" s="18" t="n">
        <v>11.6840617</v>
      </c>
      <c r="H77" s="20" t="n">
        <v>1.08889941</v>
      </c>
      <c r="I77" s="18" t="n">
        <v>0</v>
      </c>
      <c r="J77" s="20" t="n">
        <v>0</v>
      </c>
      <c r="K77" s="18" t="n">
        <v>7.85227623</v>
      </c>
      <c r="L77" s="20" t="n">
        <v>1.09551513</v>
      </c>
      <c r="M77" s="18" t="n">
        <v>0</v>
      </c>
      <c r="N77" s="20" t="n">
        <v>0</v>
      </c>
      <c r="O77" s="18" t="n">
        <v>0</v>
      </c>
      <c r="P77" s="20" t="n">
        <v>0</v>
      </c>
      <c r="Q77" s="18" t="n">
        <v>2.66713103</v>
      </c>
      <c r="R77" s="20" t="n">
        <v>0.49219591</v>
      </c>
    </row>
    <row r="78" spans="1:18">
      <c r="A78" s="15" t="s">
        <v>638</v>
      </c>
      <c r="B78" s="17" t="n">
        <v>14167</v>
      </c>
      <c r="C78" s="18">
        <f>(11197.0/B78*100)</f>
        <v/>
      </c>
      <c r="D78" s="19" t="n">
        <v>2970</v>
      </c>
      <c r="E78" s="18" t="n">
        <v>73.07983416</v>
      </c>
      <c r="F78" s="20" t="n">
        <v>1.25633331</v>
      </c>
      <c r="G78" s="18" t="n">
        <v>22.67455604</v>
      </c>
      <c r="H78" s="20" t="n">
        <v>1.24516907</v>
      </c>
      <c r="I78" s="18" t="n">
        <v>0</v>
      </c>
      <c r="J78" s="20" t="n">
        <v>0</v>
      </c>
      <c r="K78" s="18" t="n">
        <v>3.04783155</v>
      </c>
      <c r="L78" s="20" t="n">
        <v>0.38566683</v>
      </c>
      <c r="M78" s="18" t="n">
        <v>0</v>
      </c>
      <c r="N78" s="20" t="n">
        <v>0</v>
      </c>
      <c r="O78" s="18" t="n">
        <v>0</v>
      </c>
      <c r="P78" s="20" t="n">
        <v>0</v>
      </c>
      <c r="Q78" s="18" t="n">
        <v>1.19777826</v>
      </c>
      <c r="R78" s="20" t="n">
        <v>0.2144849</v>
      </c>
    </row>
    <row r="79" spans="1:18">
      <c r="A79" s="15" t="s">
        <v>639</v>
      </c>
      <c r="B79" s="17" t="n">
        <v>6062</v>
      </c>
      <c r="C79" s="18">
        <f>(4820.0/B79*100)</f>
        <v/>
      </c>
      <c r="D79" s="19" t="n">
        <v>1242</v>
      </c>
      <c r="E79" s="18" t="n">
        <v>78.44185829</v>
      </c>
      <c r="F79" s="20" t="n">
        <v>1.28642245</v>
      </c>
      <c r="G79" s="18" t="n">
        <v>15.20324331</v>
      </c>
      <c r="H79" s="20" t="n">
        <v>1.13751765</v>
      </c>
      <c r="I79" s="18" t="n">
        <v>0</v>
      </c>
      <c r="J79" s="20" t="n">
        <v>0</v>
      </c>
      <c r="K79" s="18" t="n">
        <v>4.69109283</v>
      </c>
      <c r="L79" s="20" t="n">
        <v>0.65851488</v>
      </c>
      <c r="M79" s="18" t="n">
        <v>0</v>
      </c>
      <c r="N79" s="20" t="n">
        <v>0</v>
      </c>
      <c r="O79" s="18" t="n">
        <v>0</v>
      </c>
      <c r="P79" s="20" t="n">
        <v>0</v>
      </c>
      <c r="Q79" s="18" t="n">
        <v>1.66380557</v>
      </c>
      <c r="R79" s="20" t="n">
        <v>0.39528091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(25625.0/B82*100)</f>
        <v/>
      </c>
      <c r="D82" s="19" t="n">
        <v>6705</v>
      </c>
      <c r="E82" s="18" t="n">
        <v>67.88197</v>
      </c>
      <c r="F82" s="20" t="n">
        <v>0.87490052</v>
      </c>
      <c r="G82" s="18" t="n">
        <v>29.6430701</v>
      </c>
      <c r="H82" s="20" t="n">
        <v>0.86090093</v>
      </c>
      <c r="I82" s="18" t="n">
        <v>0</v>
      </c>
      <c r="J82" s="20" t="n">
        <v>0</v>
      </c>
      <c r="K82" s="18" t="n">
        <v>1.93291471</v>
      </c>
      <c r="L82" s="20" t="n">
        <v>0.25122314</v>
      </c>
      <c r="M82" s="18" t="n">
        <v>0</v>
      </c>
      <c r="N82" s="20" t="n">
        <v>0</v>
      </c>
      <c r="O82" s="18" t="n">
        <v>0</v>
      </c>
      <c r="P82" s="20" t="n">
        <v>0</v>
      </c>
      <c r="Q82" s="18" t="n">
        <v>0.54204519</v>
      </c>
      <c r="R82" s="20" t="n">
        <v>0.13151418</v>
      </c>
    </row>
    <row r="83" spans="1:18">
      <c r="A83" s="15" t="s">
        <v>643</v>
      </c>
      <c r="B83" s="17" t="n">
        <v>1652</v>
      </c>
      <c r="C83" s="18">
        <f>(1326.0/B83*100)</f>
        <v/>
      </c>
      <c r="D83" s="19" t="n">
        <v>326</v>
      </c>
      <c r="E83" s="18" t="n">
        <v>60.82165877</v>
      </c>
      <c r="F83" s="20" t="n">
        <v>3.27818354</v>
      </c>
      <c r="G83" s="18" t="n">
        <v>39.17834123</v>
      </c>
      <c r="H83" s="20" t="n">
        <v>3.27818354</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(1512.0/B84*100)</f>
        <v/>
      </c>
      <c r="D84" s="19" t="n">
        <v>375</v>
      </c>
      <c r="E84" s="18" t="n">
        <v>64.66070037</v>
      </c>
      <c r="F84" s="20" t="n">
        <v>2.68034722</v>
      </c>
      <c r="G84" s="18" t="n">
        <v>34.17444557</v>
      </c>
      <c r="H84" s="20" t="n">
        <v>2.60685682</v>
      </c>
      <c r="I84" s="18" t="n">
        <v>0</v>
      </c>
      <c r="J84" s="20" t="n">
        <v>0</v>
      </c>
      <c r="K84" s="18" t="n">
        <v>0.8195765699999999</v>
      </c>
      <c r="L84" s="20" t="n">
        <v>0.45641711</v>
      </c>
      <c r="M84" s="18" t="n">
        <v>0</v>
      </c>
      <c r="N84" s="20" t="n">
        <v>0</v>
      </c>
      <c r="O84" s="18" t="n">
        <v>0</v>
      </c>
      <c r="P84" s="20" t="n">
        <v>0</v>
      </c>
      <c r="Q84" s="18" t="n">
        <v>0.34527749</v>
      </c>
      <c r="R84" s="20" t="n">
        <v>0.34692363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(11554.0/B7*100)</f>
        <v/>
      </c>
      <c r="D7" s="19" t="n">
        <v>2976</v>
      </c>
      <c r="E7" s="18" t="n">
        <v>44.01430379</v>
      </c>
      <c r="F7" s="20" t="n">
        <v>1.18376084</v>
      </c>
      <c r="G7" s="18" t="n">
        <v>52.49871145</v>
      </c>
      <c r="H7" s="20" t="n">
        <v>1.17789218</v>
      </c>
      <c r="I7" s="18" t="n">
        <v>0</v>
      </c>
      <c r="J7" s="20" t="n">
        <v>0</v>
      </c>
      <c r="K7" s="18" t="n">
        <v>2.63264288</v>
      </c>
      <c r="L7" s="20" t="n">
        <v>0.35541221</v>
      </c>
      <c r="M7" s="18" t="n">
        <v>0</v>
      </c>
      <c r="N7" s="20" t="n">
        <v>0</v>
      </c>
      <c r="O7" s="18" t="n">
        <v>0</v>
      </c>
      <c r="P7" s="20" t="n">
        <v>0</v>
      </c>
      <c r="Q7" s="18" t="n">
        <v>0.85434188</v>
      </c>
      <c r="R7" s="20" t="n">
        <v>0.18535492</v>
      </c>
    </row>
    <row r="8" spans="1:18">
      <c r="A8" s="15" t="s">
        <v>566</v>
      </c>
      <c r="B8" s="17" t="n">
        <v>7007</v>
      </c>
      <c r="C8" s="18">
        <f>(5463.0/B8*100)</f>
        <v/>
      </c>
      <c r="D8" s="19" t="n">
        <v>1544</v>
      </c>
      <c r="E8" s="18" t="n">
        <v>42.13674272</v>
      </c>
      <c r="F8" s="20" t="n">
        <v>1.23634223</v>
      </c>
      <c r="G8" s="18" t="n">
        <v>50.71604547</v>
      </c>
      <c r="H8" s="20" t="n">
        <v>1.44070385</v>
      </c>
      <c r="I8" s="18" t="n">
        <v>0</v>
      </c>
      <c r="J8" s="20" t="n">
        <v>0</v>
      </c>
      <c r="K8" s="18" t="n">
        <v>5.11058309</v>
      </c>
      <c r="L8" s="20" t="n">
        <v>0.59156072</v>
      </c>
      <c r="M8" s="18" t="n">
        <v>0</v>
      </c>
      <c r="N8" s="20" t="n">
        <v>0</v>
      </c>
      <c r="O8" s="18" t="n">
        <v>0</v>
      </c>
      <c r="P8" s="20" t="n">
        <v>0</v>
      </c>
      <c r="Q8" s="18" t="n">
        <v>2.03662872</v>
      </c>
      <c r="R8" s="20" t="n">
        <v>0.40906581</v>
      </c>
    </row>
    <row r="9" spans="1:18">
      <c r="A9" s="15" t="s">
        <v>567</v>
      </c>
      <c r="B9" s="17" t="n">
        <v>9651</v>
      </c>
      <c r="C9" s="18">
        <f>(7743.0/B9*100)</f>
        <v/>
      </c>
      <c r="D9" s="19" t="n">
        <v>1908</v>
      </c>
      <c r="E9" s="18" t="n">
        <v>38.94198281</v>
      </c>
      <c r="F9" s="20" t="n">
        <v>1.173284</v>
      </c>
      <c r="G9" s="18" t="n">
        <v>55.01601919</v>
      </c>
      <c r="H9" s="20" t="n">
        <v>1.15432101</v>
      </c>
      <c r="I9" s="18" t="n">
        <v>0</v>
      </c>
      <c r="J9" s="20" t="n">
        <v>0</v>
      </c>
      <c r="K9" s="18" t="n">
        <v>4.70681458</v>
      </c>
      <c r="L9" s="20" t="n">
        <v>0.54512375</v>
      </c>
      <c r="M9" s="18" t="n">
        <v>0</v>
      </c>
      <c r="N9" s="20" t="n">
        <v>0</v>
      </c>
      <c r="O9" s="18" t="n">
        <v>0</v>
      </c>
      <c r="P9" s="20" t="n">
        <v>0</v>
      </c>
      <c r="Q9" s="18" t="n">
        <v>1.33518342</v>
      </c>
      <c r="R9" s="20" t="n">
        <v>0.26322354</v>
      </c>
    </row>
    <row r="10" spans="1:18">
      <c r="A10" s="15" t="s">
        <v>568</v>
      </c>
      <c r="B10" s="17" t="n">
        <v>20058</v>
      </c>
      <c r="C10" s="18">
        <f>(15721.0/B10*100)</f>
        <v/>
      </c>
      <c r="D10" s="19" t="n">
        <v>4337</v>
      </c>
      <c r="E10" s="18" t="n">
        <v>40.00254075</v>
      </c>
      <c r="F10" s="20" t="n">
        <v>1.10003496</v>
      </c>
      <c r="G10" s="18" t="n">
        <v>56.77579625</v>
      </c>
      <c r="H10" s="20" t="n">
        <v>1.15665986</v>
      </c>
      <c r="I10" s="18" t="n">
        <v>0</v>
      </c>
      <c r="J10" s="20" t="n">
        <v>0</v>
      </c>
      <c r="K10" s="18" t="n">
        <v>2.51474974</v>
      </c>
      <c r="L10" s="20" t="n">
        <v>0.30987167</v>
      </c>
      <c r="M10" s="18" t="n">
        <v>0</v>
      </c>
      <c r="N10" s="20" t="n">
        <v>0</v>
      </c>
      <c r="O10" s="18" t="n">
        <v>0</v>
      </c>
      <c r="P10" s="20" t="n">
        <v>0</v>
      </c>
      <c r="Q10" s="18" t="n">
        <v>0.70691325</v>
      </c>
      <c r="R10" s="20" t="n">
        <v>0.15980754</v>
      </c>
    </row>
    <row r="11" spans="1:18">
      <c r="A11" s="15" t="s">
        <v>569</v>
      </c>
      <c r="B11" s="17" t="n">
        <v>7053</v>
      </c>
      <c r="C11" s="18">
        <f>(5644.0/B11*100)</f>
        <v/>
      </c>
      <c r="D11" s="19" t="n">
        <v>1409</v>
      </c>
      <c r="E11" s="18" t="n">
        <v>48.75625915</v>
      </c>
      <c r="F11" s="20" t="n">
        <v>1.65593852</v>
      </c>
      <c r="G11" s="18" t="n">
        <v>41.96273415</v>
      </c>
      <c r="H11" s="20" t="n">
        <v>1.5364653</v>
      </c>
      <c r="I11" s="18" t="n">
        <v>0</v>
      </c>
      <c r="J11" s="20" t="n">
        <v>0</v>
      </c>
      <c r="K11" s="18" t="n">
        <v>8.18480052</v>
      </c>
      <c r="L11" s="20" t="n">
        <v>0.9908533</v>
      </c>
      <c r="M11" s="18" t="n">
        <v>0</v>
      </c>
      <c r="N11" s="20" t="n">
        <v>0</v>
      </c>
      <c r="O11" s="18" t="n">
        <v>0</v>
      </c>
      <c r="P11" s="20" t="n">
        <v>0</v>
      </c>
      <c r="Q11" s="18" t="n">
        <v>1.09620618</v>
      </c>
      <c r="R11" s="20" t="n">
        <v>0.35248252</v>
      </c>
    </row>
    <row r="12" spans="1:18">
      <c r="A12" s="15" t="s">
        <v>570</v>
      </c>
      <c r="B12" s="17" t="n">
        <v>6894</v>
      </c>
      <c r="C12" s="18">
        <f>(5458.0/B12*100)</f>
        <v/>
      </c>
      <c r="D12" s="19" t="n">
        <v>1436</v>
      </c>
      <c r="E12" s="18" t="n">
        <v>46.2567086</v>
      </c>
      <c r="F12" s="20" t="n">
        <v>1.59159242</v>
      </c>
      <c r="G12" s="18" t="n">
        <v>49.58727564</v>
      </c>
      <c r="H12" s="20" t="n">
        <v>1.48177969</v>
      </c>
      <c r="I12" s="18" t="n">
        <v>0</v>
      </c>
      <c r="J12" s="20" t="n">
        <v>0</v>
      </c>
      <c r="K12" s="18" t="n">
        <v>2.95993047</v>
      </c>
      <c r="L12" s="20" t="n">
        <v>0.46377708</v>
      </c>
      <c r="M12" s="18" t="n">
        <v>0</v>
      </c>
      <c r="N12" s="20" t="n">
        <v>0</v>
      </c>
      <c r="O12" s="18" t="n">
        <v>0</v>
      </c>
      <c r="P12" s="20" t="n">
        <v>0</v>
      </c>
      <c r="Q12" s="18" t="n">
        <v>1.1960853</v>
      </c>
      <c r="R12" s="20" t="n">
        <v>0.39729609</v>
      </c>
    </row>
    <row r="13" spans="1:18">
      <c r="A13" s="15" t="s">
        <v>571</v>
      </c>
      <c r="B13" s="17" t="n">
        <v>7161</v>
      </c>
      <c r="C13" s="18">
        <f>(5698.0/B13*100)</f>
        <v/>
      </c>
      <c r="D13" s="19" t="n">
        <v>1463</v>
      </c>
      <c r="E13" s="18" t="n">
        <v>45.87473978</v>
      </c>
      <c r="F13" s="20" t="n">
        <v>1.46132523</v>
      </c>
      <c r="G13" s="18" t="n">
        <v>50.1005251</v>
      </c>
      <c r="H13" s="20" t="n">
        <v>1.45001997</v>
      </c>
      <c r="I13" s="18" t="n">
        <v>0</v>
      </c>
      <c r="J13" s="20" t="n">
        <v>0</v>
      </c>
      <c r="K13" s="18" t="n">
        <v>3.35428831</v>
      </c>
      <c r="L13" s="20" t="n">
        <v>0.57292011</v>
      </c>
      <c r="M13" s="18" t="n">
        <v>0</v>
      </c>
      <c r="N13" s="20" t="n">
        <v>0</v>
      </c>
      <c r="O13" s="18" t="n">
        <v>0</v>
      </c>
      <c r="P13" s="20" t="n">
        <v>0</v>
      </c>
      <c r="Q13" s="18" t="n">
        <v>0.67044682</v>
      </c>
      <c r="R13" s="20" t="n">
        <v>0.23741373</v>
      </c>
    </row>
    <row r="14" spans="1:18">
      <c r="A14" s="15" t="s">
        <v>572</v>
      </c>
      <c r="B14" s="17" t="n">
        <v>5587</v>
      </c>
      <c r="C14" s="18">
        <f>(4323.0/B14*100)</f>
        <v/>
      </c>
      <c r="D14" s="19" t="n">
        <v>1264</v>
      </c>
      <c r="E14" s="18" t="n">
        <v>43.14303183</v>
      </c>
      <c r="F14" s="20" t="n">
        <v>1.43427868</v>
      </c>
      <c r="G14" s="18" t="n">
        <v>53.83287903</v>
      </c>
      <c r="H14" s="20" t="n">
        <v>1.42170775</v>
      </c>
      <c r="I14" s="18" t="n">
        <v>0</v>
      </c>
      <c r="J14" s="20" t="n">
        <v>0</v>
      </c>
      <c r="K14" s="18" t="n">
        <v>2.50284855</v>
      </c>
      <c r="L14" s="20" t="n">
        <v>0.51023177</v>
      </c>
      <c r="M14" s="18" t="n">
        <v>0</v>
      </c>
      <c r="N14" s="20" t="n">
        <v>0</v>
      </c>
      <c r="O14" s="18" t="n">
        <v>0</v>
      </c>
      <c r="P14" s="20" t="n">
        <v>0</v>
      </c>
      <c r="Q14" s="18" t="n">
        <v>0.5212406000000001</v>
      </c>
      <c r="R14" s="20" t="n">
        <v>0.17413848</v>
      </c>
    </row>
    <row r="15" spans="1:18">
      <c r="A15" s="15" t="s">
        <v>573</v>
      </c>
      <c r="B15" s="17" t="n">
        <v>5882</v>
      </c>
      <c r="C15" s="18">
        <f>(4618.0/B15*100)</f>
        <v/>
      </c>
      <c r="D15" s="19" t="n">
        <v>1264</v>
      </c>
      <c r="E15" s="18" t="n">
        <v>37.64813721</v>
      </c>
      <c r="F15" s="20" t="n">
        <v>1.36743483</v>
      </c>
      <c r="G15" s="18" t="n">
        <v>60.20590048</v>
      </c>
      <c r="H15" s="20" t="n">
        <v>1.33678159</v>
      </c>
      <c r="I15" s="18" t="n">
        <v>0</v>
      </c>
      <c r="J15" s="20" t="n">
        <v>0</v>
      </c>
      <c r="K15" s="18" t="n">
        <v>1.54617929</v>
      </c>
      <c r="L15" s="20" t="n">
        <v>0.34630857</v>
      </c>
      <c r="M15" s="18" t="n">
        <v>0</v>
      </c>
      <c r="N15" s="20" t="n">
        <v>0</v>
      </c>
      <c r="O15" s="18" t="n">
        <v>0</v>
      </c>
      <c r="P15" s="20" t="n">
        <v>0</v>
      </c>
      <c r="Q15" s="18" t="n">
        <v>0.5997830199999999</v>
      </c>
      <c r="R15" s="20" t="n">
        <v>0.21289931</v>
      </c>
    </row>
    <row r="16" spans="1:18">
      <c r="A16" s="15" t="s">
        <v>574</v>
      </c>
      <c r="B16" s="17" t="n">
        <v>6108</v>
      </c>
      <c r="C16" s="18">
        <f>(4824.0/B16*100)</f>
        <v/>
      </c>
      <c r="D16" s="19" t="n">
        <v>1284</v>
      </c>
      <c r="E16" s="18" t="n">
        <v>40.51313618</v>
      </c>
      <c r="F16" s="20" t="n">
        <v>1.28044399</v>
      </c>
      <c r="G16" s="18" t="n">
        <v>50.75194791</v>
      </c>
      <c r="H16" s="20" t="n">
        <v>1.3247104</v>
      </c>
      <c r="I16" s="18" t="n">
        <v>0</v>
      </c>
      <c r="J16" s="20" t="n">
        <v>0</v>
      </c>
      <c r="K16" s="18" t="n">
        <v>7.19774868</v>
      </c>
      <c r="L16" s="20" t="n">
        <v>0.74443215</v>
      </c>
      <c r="M16" s="18" t="n">
        <v>0</v>
      </c>
      <c r="N16" s="20" t="n">
        <v>0</v>
      </c>
      <c r="O16" s="18" t="n">
        <v>0</v>
      </c>
      <c r="P16" s="20" t="n">
        <v>0</v>
      </c>
      <c r="Q16" s="18" t="n">
        <v>1.53716723</v>
      </c>
      <c r="R16" s="20" t="n">
        <v>0.39201058</v>
      </c>
    </row>
    <row r="17" spans="1:18">
      <c r="A17" s="15" t="s">
        <v>575</v>
      </c>
      <c r="B17" s="17" t="n">
        <v>6504</v>
      </c>
      <c r="C17" s="18">
        <f>(5154.0/B17*100)</f>
        <v/>
      </c>
      <c r="D17" s="19" t="n">
        <v>1350</v>
      </c>
      <c r="E17" s="18" t="n">
        <v>41.46681022</v>
      </c>
      <c r="F17" s="20" t="n">
        <v>1.4529966</v>
      </c>
      <c r="G17" s="18" t="n">
        <v>54.30430385</v>
      </c>
      <c r="H17" s="20" t="n">
        <v>1.38973049</v>
      </c>
      <c r="I17" s="18" t="n">
        <v>0</v>
      </c>
      <c r="J17" s="20" t="n">
        <v>0</v>
      </c>
      <c r="K17" s="18" t="n">
        <v>3.41774195</v>
      </c>
      <c r="L17" s="20" t="n">
        <v>0.58870463</v>
      </c>
      <c r="M17" s="18" t="n">
        <v>0</v>
      </c>
      <c r="N17" s="20" t="n">
        <v>0</v>
      </c>
      <c r="O17" s="18" t="n">
        <v>0</v>
      </c>
      <c r="P17" s="20" t="n">
        <v>0</v>
      </c>
      <c r="Q17" s="18" t="n">
        <v>0.81114398</v>
      </c>
      <c r="R17" s="20" t="n">
        <v>0.24602641</v>
      </c>
    </row>
    <row r="18" spans="1:18">
      <c r="A18" s="15" t="s">
        <v>576</v>
      </c>
      <c r="B18" s="17" t="n">
        <v>5532</v>
      </c>
      <c r="C18" s="18">
        <f>(4321.0/B18*100)</f>
        <v/>
      </c>
      <c r="D18" s="19" t="n">
        <v>1211</v>
      </c>
      <c r="E18" s="18" t="n">
        <v>54.13664464</v>
      </c>
      <c r="F18" s="20" t="n">
        <v>1.45298731</v>
      </c>
      <c r="G18" s="18" t="n">
        <v>41.16163623</v>
      </c>
      <c r="H18" s="20" t="n">
        <v>1.49681585</v>
      </c>
      <c r="I18" s="18" t="n">
        <v>0</v>
      </c>
      <c r="J18" s="20" t="n">
        <v>0</v>
      </c>
      <c r="K18" s="18" t="n">
        <v>4.00053623</v>
      </c>
      <c r="L18" s="20" t="n">
        <v>0.66305329</v>
      </c>
      <c r="M18" s="18" t="n">
        <v>0</v>
      </c>
      <c r="N18" s="20" t="n">
        <v>0</v>
      </c>
      <c r="O18" s="18" t="n">
        <v>0</v>
      </c>
      <c r="P18" s="20" t="n">
        <v>0</v>
      </c>
      <c r="Q18" s="18" t="n">
        <v>0.7011829000000001</v>
      </c>
      <c r="R18" s="20" t="n">
        <v>0.23087407</v>
      </c>
    </row>
    <row r="19" spans="1:18">
      <c r="A19" s="15" t="s">
        <v>577</v>
      </c>
      <c r="B19" s="17" t="n">
        <v>5658</v>
      </c>
      <c r="C19" s="18">
        <f>(4475.0/B19*100)</f>
        <v/>
      </c>
      <c r="D19" s="19" t="n">
        <v>1183</v>
      </c>
      <c r="E19" s="18" t="n">
        <v>50.96077646</v>
      </c>
      <c r="F19" s="20" t="n">
        <v>1.45640603</v>
      </c>
      <c r="G19" s="18" t="n">
        <v>45.87485059</v>
      </c>
      <c r="H19" s="20" t="n">
        <v>1.3908556</v>
      </c>
      <c r="I19" s="18" t="n">
        <v>0</v>
      </c>
      <c r="J19" s="20" t="n">
        <v>0</v>
      </c>
      <c r="K19" s="18" t="n">
        <v>2.61926568</v>
      </c>
      <c r="L19" s="20" t="n">
        <v>0.50161203</v>
      </c>
      <c r="M19" s="18" t="n">
        <v>0</v>
      </c>
      <c r="N19" s="20" t="n">
        <v>0</v>
      </c>
      <c r="O19" s="18" t="n">
        <v>0</v>
      </c>
      <c r="P19" s="20" t="n">
        <v>0</v>
      </c>
      <c r="Q19" s="18" t="n">
        <v>0.54510726</v>
      </c>
      <c r="R19" s="20" t="n">
        <v>0.23211954</v>
      </c>
    </row>
    <row r="20" spans="1:18">
      <c r="A20" s="15" t="s">
        <v>578</v>
      </c>
      <c r="B20" s="17" t="n">
        <v>3371</v>
      </c>
      <c r="C20" s="18">
        <f>(2673.0/B20*100)</f>
        <v/>
      </c>
      <c r="D20" s="19" t="n">
        <v>698</v>
      </c>
      <c r="E20" s="18" t="n">
        <v>40.98424544</v>
      </c>
      <c r="F20" s="20" t="n">
        <v>2.24279159</v>
      </c>
      <c r="G20" s="18" t="n">
        <v>52.02395826</v>
      </c>
      <c r="H20" s="20" t="n">
        <v>2.20802043</v>
      </c>
      <c r="I20" s="18" t="n">
        <v>0</v>
      </c>
      <c r="J20" s="20" t="n">
        <v>0</v>
      </c>
      <c r="K20" s="18" t="n">
        <v>5.75094622</v>
      </c>
      <c r="L20" s="20" t="n">
        <v>0.96305965</v>
      </c>
      <c r="M20" s="18" t="n">
        <v>0</v>
      </c>
      <c r="N20" s="20" t="n">
        <v>0</v>
      </c>
      <c r="O20" s="18" t="n">
        <v>0</v>
      </c>
      <c r="P20" s="20" t="n">
        <v>0</v>
      </c>
      <c r="Q20" s="18" t="n">
        <v>1.24085008</v>
      </c>
      <c r="R20" s="20" t="n">
        <v>0.36307327</v>
      </c>
    </row>
    <row r="21" spans="1:18">
      <c r="A21" s="15" t="s">
        <v>579</v>
      </c>
      <c r="B21" s="17" t="n">
        <v>5741</v>
      </c>
      <c r="C21" s="18">
        <f>(4498.0/B21*100)</f>
        <v/>
      </c>
      <c r="D21" s="19" t="n">
        <v>1243</v>
      </c>
      <c r="E21" s="18" t="n">
        <v>38.10942847</v>
      </c>
      <c r="F21" s="20" t="n">
        <v>1.31966144</v>
      </c>
      <c r="G21" s="18" t="n">
        <v>59.01748602</v>
      </c>
      <c r="H21" s="20" t="n">
        <v>1.28097219</v>
      </c>
      <c r="I21" s="18" t="n">
        <v>0</v>
      </c>
      <c r="J21" s="20" t="n">
        <v>0</v>
      </c>
      <c r="K21" s="18" t="n">
        <v>2.35568451</v>
      </c>
      <c r="L21" s="20" t="n">
        <v>0.45735462</v>
      </c>
      <c r="M21" s="18" t="n">
        <v>0</v>
      </c>
      <c r="N21" s="20" t="n">
        <v>0</v>
      </c>
      <c r="O21" s="18" t="n">
        <v>0</v>
      </c>
      <c r="P21" s="20" t="n">
        <v>0</v>
      </c>
      <c r="Q21" s="18" t="n">
        <v>0.517401</v>
      </c>
      <c r="R21" s="20" t="n">
        <v>0.23256702</v>
      </c>
    </row>
    <row r="22" spans="1:18">
      <c r="A22" s="15" t="s">
        <v>580</v>
      </c>
      <c r="B22" s="17" t="n">
        <v>6598</v>
      </c>
      <c r="C22" s="18">
        <f>(5227.0/B22*100)</f>
        <v/>
      </c>
      <c r="D22" s="19" t="n">
        <v>1371</v>
      </c>
      <c r="E22" s="18" t="n">
        <v>41.47008138</v>
      </c>
      <c r="F22" s="20" t="n">
        <v>1.64482529</v>
      </c>
      <c r="G22" s="18" t="n">
        <v>52.67700483</v>
      </c>
      <c r="H22" s="20" t="n">
        <v>1.42756635</v>
      </c>
      <c r="I22" s="18" t="n">
        <v>0</v>
      </c>
      <c r="J22" s="20" t="n">
        <v>0</v>
      </c>
      <c r="K22" s="18" t="n">
        <v>4.89896817</v>
      </c>
      <c r="L22" s="20" t="n">
        <v>0.79402213</v>
      </c>
      <c r="M22" s="18" t="n">
        <v>0</v>
      </c>
      <c r="N22" s="20" t="n">
        <v>0</v>
      </c>
      <c r="O22" s="18" t="n">
        <v>0</v>
      </c>
      <c r="P22" s="20" t="n">
        <v>0</v>
      </c>
      <c r="Q22" s="18" t="n">
        <v>0.95394563</v>
      </c>
      <c r="R22" s="20" t="n">
        <v>0.35511039</v>
      </c>
    </row>
    <row r="23" spans="1:18">
      <c r="A23" s="15" t="s">
        <v>581</v>
      </c>
      <c r="B23" s="17" t="n">
        <v>11583</v>
      </c>
      <c r="C23" s="18">
        <f>(9137.0/B23*100)</f>
        <v/>
      </c>
      <c r="D23" s="19" t="n">
        <v>2446</v>
      </c>
      <c r="E23" s="18" t="n">
        <v>46.90774182</v>
      </c>
      <c r="F23" s="20" t="n">
        <v>1.05410156</v>
      </c>
      <c r="G23" s="18" t="n">
        <v>47.32298785</v>
      </c>
      <c r="H23" s="20" t="n">
        <v>1.07470874</v>
      </c>
      <c r="I23" s="18" t="n">
        <v>0</v>
      </c>
      <c r="J23" s="20" t="n">
        <v>0</v>
      </c>
      <c r="K23" s="18" t="n">
        <v>4.33952217</v>
      </c>
      <c r="L23" s="20" t="n">
        <v>0.72346078</v>
      </c>
      <c r="M23" s="18" t="n">
        <v>0</v>
      </c>
      <c r="N23" s="20" t="n">
        <v>0</v>
      </c>
      <c r="O23" s="18" t="n">
        <v>0</v>
      </c>
      <c r="P23" s="20" t="n">
        <v>0</v>
      </c>
      <c r="Q23" s="18" t="n">
        <v>1.42974815</v>
      </c>
      <c r="R23" s="20" t="n">
        <v>0.34439605</v>
      </c>
    </row>
    <row r="24" spans="1:18">
      <c r="A24" s="15" t="s">
        <v>582</v>
      </c>
      <c r="B24" s="17" t="n">
        <v>6647</v>
      </c>
      <c r="C24" s="18">
        <f>(5254.0/B24*100)</f>
        <v/>
      </c>
      <c r="D24" s="19" t="n">
        <v>1393</v>
      </c>
      <c r="E24" s="18" t="n">
        <v>41.02432787</v>
      </c>
      <c r="F24" s="20" t="n">
        <v>1.5447381</v>
      </c>
      <c r="G24" s="18" t="n">
        <v>56.70508926</v>
      </c>
      <c r="H24" s="20" t="n">
        <v>1.60261941</v>
      </c>
      <c r="I24" s="18" t="n">
        <v>0</v>
      </c>
      <c r="J24" s="20" t="n">
        <v>0</v>
      </c>
      <c r="K24" s="18" t="n">
        <v>1.00069325</v>
      </c>
      <c r="L24" s="20" t="n">
        <v>0.28923711</v>
      </c>
      <c r="M24" s="18" t="n">
        <v>0</v>
      </c>
      <c r="N24" s="20" t="n">
        <v>0</v>
      </c>
      <c r="O24" s="18" t="n">
        <v>0</v>
      </c>
      <c r="P24" s="20" t="n">
        <v>0</v>
      </c>
      <c r="Q24" s="18" t="n">
        <v>1.26988962</v>
      </c>
      <c r="R24" s="20" t="n">
        <v>0.27125308</v>
      </c>
    </row>
    <row r="25" spans="1:18">
      <c r="A25" s="15" t="s">
        <v>583</v>
      </c>
      <c r="B25" s="17" t="n">
        <v>5581</v>
      </c>
      <c r="C25" s="18">
        <f>(4323.0/B25*100)</f>
        <v/>
      </c>
      <c r="D25" s="19" t="n">
        <v>1258</v>
      </c>
      <c r="E25" s="18" t="n">
        <v>32.80961242</v>
      </c>
      <c r="F25" s="20" t="n">
        <v>1.60403568</v>
      </c>
      <c r="G25" s="18" t="n">
        <v>65.42567919</v>
      </c>
      <c r="H25" s="20" t="n">
        <v>1.6022141</v>
      </c>
      <c r="I25" s="18" t="n">
        <v>0</v>
      </c>
      <c r="J25" s="20" t="n">
        <v>0</v>
      </c>
      <c r="K25" s="18" t="n">
        <v>0.98199445</v>
      </c>
      <c r="L25" s="20" t="n">
        <v>0.29052252</v>
      </c>
      <c r="M25" s="18" t="n">
        <v>0</v>
      </c>
      <c r="N25" s="20" t="n">
        <v>0</v>
      </c>
      <c r="O25" s="18" t="n">
        <v>0</v>
      </c>
      <c r="P25" s="20" t="n">
        <v>0</v>
      </c>
      <c r="Q25" s="18" t="n">
        <v>0.78271395</v>
      </c>
      <c r="R25" s="20" t="n">
        <v>0.25178353</v>
      </c>
    </row>
    <row r="26" spans="1:18">
      <c r="A26" s="15" t="s">
        <v>584</v>
      </c>
      <c r="B26" s="17" t="n">
        <v>4869</v>
      </c>
      <c r="C26" s="18">
        <f>(3808.0/B26*100)</f>
        <v/>
      </c>
      <c r="D26" s="19" t="n">
        <v>1061</v>
      </c>
      <c r="E26" s="18" t="n">
        <v>51.91389658</v>
      </c>
      <c r="F26" s="20" t="n">
        <v>1.51747762</v>
      </c>
      <c r="G26" s="18" t="n">
        <v>45.74684328</v>
      </c>
      <c r="H26" s="20" t="n">
        <v>1.63308765</v>
      </c>
      <c r="I26" s="18" t="n">
        <v>0</v>
      </c>
      <c r="J26" s="20" t="n">
        <v>0</v>
      </c>
      <c r="K26" s="18" t="n">
        <v>1.74093385</v>
      </c>
      <c r="L26" s="20" t="n">
        <v>0.4548763</v>
      </c>
      <c r="M26" s="18" t="n">
        <v>0</v>
      </c>
      <c r="N26" s="20" t="n">
        <v>0</v>
      </c>
      <c r="O26" s="18" t="n">
        <v>0</v>
      </c>
      <c r="P26" s="20" t="n">
        <v>0</v>
      </c>
      <c r="Q26" s="18" t="n">
        <v>0.59832629</v>
      </c>
      <c r="R26" s="20" t="n">
        <v>0.22382054</v>
      </c>
    </row>
    <row r="27" spans="1:18">
      <c r="A27" s="15" t="s">
        <v>585</v>
      </c>
      <c r="B27" s="17" t="n">
        <v>5299</v>
      </c>
      <c r="C27" s="18">
        <f>(4236.0/B27*100)</f>
        <v/>
      </c>
      <c r="D27" s="19" t="n">
        <v>1063</v>
      </c>
      <c r="E27" s="18" t="n">
        <v>45.4009458</v>
      </c>
      <c r="F27" s="20" t="n">
        <v>1.3628475</v>
      </c>
      <c r="G27" s="18" t="n">
        <v>48.69211259</v>
      </c>
      <c r="H27" s="20" t="n">
        <v>1.45205059</v>
      </c>
      <c r="I27" s="18" t="n">
        <v>0</v>
      </c>
      <c r="J27" s="20" t="n">
        <v>0</v>
      </c>
      <c r="K27" s="18" t="n">
        <v>4.70352414</v>
      </c>
      <c r="L27" s="20" t="n">
        <v>0.57837288</v>
      </c>
      <c r="M27" s="18" t="n">
        <v>0</v>
      </c>
      <c r="N27" s="20" t="n">
        <v>0</v>
      </c>
      <c r="O27" s="18" t="n">
        <v>0</v>
      </c>
      <c r="P27" s="20" t="n">
        <v>0</v>
      </c>
      <c r="Q27" s="18" t="n">
        <v>1.20341747</v>
      </c>
      <c r="R27" s="20" t="n">
        <v>0.35980664</v>
      </c>
    </row>
    <row r="28" spans="1:18">
      <c r="A28" s="15" t="s">
        <v>586</v>
      </c>
      <c r="B28" s="17" t="n">
        <v>7568</v>
      </c>
      <c r="C28" s="18">
        <f>(6092.0/B28*100)</f>
        <v/>
      </c>
      <c r="D28" s="19" t="n">
        <v>1476</v>
      </c>
      <c r="E28" s="18" t="n">
        <v>52.33342222</v>
      </c>
      <c r="F28" s="20" t="n">
        <v>1.55271745</v>
      </c>
      <c r="G28" s="18" t="n">
        <v>43.91641538</v>
      </c>
      <c r="H28" s="20" t="n">
        <v>1.42029175</v>
      </c>
      <c r="I28" s="18" t="n">
        <v>0</v>
      </c>
      <c r="J28" s="20" t="n">
        <v>0</v>
      </c>
      <c r="K28" s="18" t="n">
        <v>2.8765605</v>
      </c>
      <c r="L28" s="20" t="n">
        <v>0.61906494</v>
      </c>
      <c r="M28" s="18" t="n">
        <v>0</v>
      </c>
      <c r="N28" s="20" t="n">
        <v>0</v>
      </c>
      <c r="O28" s="18" t="n">
        <v>0</v>
      </c>
      <c r="P28" s="20" t="n">
        <v>0</v>
      </c>
      <c r="Q28" s="18" t="n">
        <v>0.87360189</v>
      </c>
      <c r="R28" s="20" t="n">
        <v>0.24159118</v>
      </c>
    </row>
    <row r="29" spans="1:18">
      <c r="A29" s="15" t="s">
        <v>587</v>
      </c>
      <c r="B29" s="17" t="n">
        <v>5385</v>
      </c>
      <c r="C29" s="18">
        <f>(4242.0/B29*100)</f>
        <v/>
      </c>
      <c r="D29" s="19" t="n">
        <v>1143</v>
      </c>
      <c r="E29" s="18" t="n">
        <v>39.83925789</v>
      </c>
      <c r="F29" s="20" t="n">
        <v>1.41076662</v>
      </c>
      <c r="G29" s="18" t="n">
        <v>59.0980634</v>
      </c>
      <c r="H29" s="20" t="n">
        <v>1.40549624</v>
      </c>
      <c r="I29" s="18" t="n">
        <v>0</v>
      </c>
      <c r="J29" s="20" t="n">
        <v>0</v>
      </c>
      <c r="K29" s="18" t="n">
        <v>0.68589095</v>
      </c>
      <c r="L29" s="20" t="n">
        <v>0.27608398</v>
      </c>
      <c r="M29" s="18" t="n">
        <v>0</v>
      </c>
      <c r="N29" s="20" t="n">
        <v>0</v>
      </c>
      <c r="O29" s="18" t="n">
        <v>0</v>
      </c>
      <c r="P29" s="20" t="n">
        <v>0</v>
      </c>
      <c r="Q29" s="18" t="n">
        <v>0.37678776</v>
      </c>
      <c r="R29" s="20" t="n">
        <v>0.23707512</v>
      </c>
    </row>
    <row r="30" spans="1:18">
      <c r="A30" s="15" t="s">
        <v>588</v>
      </c>
      <c r="B30" s="17" t="n">
        <v>4520</v>
      </c>
      <c r="C30" s="18">
        <f>(3601.0/B30*100)</f>
        <v/>
      </c>
      <c r="D30" s="19" t="n">
        <v>919</v>
      </c>
      <c r="E30" s="18" t="n">
        <v>44.64626994</v>
      </c>
      <c r="F30" s="20" t="n">
        <v>2.10359534</v>
      </c>
      <c r="G30" s="18" t="n">
        <v>50.73122124</v>
      </c>
      <c r="H30" s="20" t="n">
        <v>2.1542245</v>
      </c>
      <c r="I30" s="18" t="n">
        <v>0</v>
      </c>
      <c r="J30" s="20" t="n">
        <v>0</v>
      </c>
      <c r="K30" s="18" t="n">
        <v>3.88009388</v>
      </c>
      <c r="L30" s="20" t="n">
        <v>0.79231281</v>
      </c>
      <c r="M30" s="18" t="n">
        <v>0</v>
      </c>
      <c r="N30" s="20" t="n">
        <v>0</v>
      </c>
      <c r="O30" s="18" t="n">
        <v>0</v>
      </c>
      <c r="P30" s="20" t="n">
        <v>0</v>
      </c>
      <c r="Q30" s="18" t="n">
        <v>0.74241494</v>
      </c>
      <c r="R30" s="20" t="n">
        <v>0.32102066</v>
      </c>
    </row>
    <row r="31" spans="1:18">
      <c r="A31" s="15" t="s">
        <v>589</v>
      </c>
      <c r="B31" s="17" t="n">
        <v>5456</v>
      </c>
      <c r="C31" s="18">
        <f>(4278.0/B31*100)</f>
        <v/>
      </c>
      <c r="D31" s="19" t="n">
        <v>1178</v>
      </c>
      <c r="E31" s="18" t="n">
        <v>38.92388883</v>
      </c>
      <c r="F31" s="20" t="n">
        <v>1.48524402</v>
      </c>
      <c r="G31" s="18" t="n">
        <v>56.05728672</v>
      </c>
      <c r="H31" s="20" t="n">
        <v>1.44927758</v>
      </c>
      <c r="I31" s="18" t="n">
        <v>0</v>
      </c>
      <c r="J31" s="20" t="n">
        <v>0</v>
      </c>
      <c r="K31" s="18" t="n">
        <v>3.87027084</v>
      </c>
      <c r="L31" s="20" t="n">
        <v>0.51824098</v>
      </c>
      <c r="M31" s="18" t="n">
        <v>0</v>
      </c>
      <c r="N31" s="20" t="n">
        <v>0</v>
      </c>
      <c r="O31" s="18" t="n">
        <v>0</v>
      </c>
      <c r="P31" s="20" t="n">
        <v>0</v>
      </c>
      <c r="Q31" s="18" t="n">
        <v>1.14855361</v>
      </c>
      <c r="R31" s="20" t="n">
        <v>0.29690836</v>
      </c>
    </row>
    <row r="32" spans="1:18">
      <c r="A32" s="15" t="s">
        <v>590</v>
      </c>
      <c r="B32" s="17" t="n">
        <v>4478</v>
      </c>
      <c r="C32" s="18">
        <f>(3487.0/B32*100)</f>
        <v/>
      </c>
      <c r="D32" s="19" t="n">
        <v>991</v>
      </c>
      <c r="E32" s="18" t="n">
        <v>51.12230238</v>
      </c>
      <c r="F32" s="20" t="n">
        <v>1.70994048</v>
      </c>
      <c r="G32" s="18" t="n">
        <v>47.12661988</v>
      </c>
      <c r="H32" s="20" t="n">
        <v>1.6440589</v>
      </c>
      <c r="I32" s="18" t="n">
        <v>0</v>
      </c>
      <c r="J32" s="20" t="n">
        <v>0</v>
      </c>
      <c r="K32" s="18" t="n">
        <v>1.46091892</v>
      </c>
      <c r="L32" s="20" t="n">
        <v>0.41197088</v>
      </c>
      <c r="M32" s="18" t="n">
        <v>0</v>
      </c>
      <c r="N32" s="20" t="n">
        <v>0</v>
      </c>
      <c r="O32" s="18" t="n">
        <v>0</v>
      </c>
      <c r="P32" s="20" t="n">
        <v>0</v>
      </c>
      <c r="Q32" s="18" t="n">
        <v>0.29015881</v>
      </c>
      <c r="R32" s="20" t="n">
        <v>0.17727634</v>
      </c>
    </row>
    <row r="33" spans="1:18">
      <c r="A33" s="15" t="s">
        <v>591</v>
      </c>
      <c r="B33" s="17" t="n">
        <v>7325</v>
      </c>
      <c r="C33" s="18">
        <f>(5846.0/B33*100)</f>
        <v/>
      </c>
      <c r="D33" s="19" t="n">
        <v>1479</v>
      </c>
      <c r="E33" s="18" t="n">
        <v>41.43510456</v>
      </c>
      <c r="F33" s="20" t="n">
        <v>1.90089644</v>
      </c>
      <c r="G33" s="18" t="n">
        <v>55.54428979</v>
      </c>
      <c r="H33" s="20" t="n">
        <v>1.95149921</v>
      </c>
      <c r="I33" s="18" t="n">
        <v>0</v>
      </c>
      <c r="J33" s="20" t="n">
        <v>0</v>
      </c>
      <c r="K33" s="18" t="n">
        <v>2.59905952</v>
      </c>
      <c r="L33" s="20" t="n">
        <v>0.51529434</v>
      </c>
      <c r="M33" s="18" t="n">
        <v>0</v>
      </c>
      <c r="N33" s="20" t="n">
        <v>0</v>
      </c>
      <c r="O33" s="18" t="n">
        <v>0</v>
      </c>
      <c r="P33" s="20" t="n">
        <v>0</v>
      </c>
      <c r="Q33" s="18" t="n">
        <v>0.42154612</v>
      </c>
      <c r="R33" s="20" t="n">
        <v>0.16825691</v>
      </c>
    </row>
    <row r="34" spans="1:18">
      <c r="A34" s="15" t="s">
        <v>592</v>
      </c>
      <c r="B34" s="17" t="n">
        <v>6350</v>
      </c>
      <c r="C34" s="18">
        <f>(5086.0/B34*100)</f>
        <v/>
      </c>
      <c r="D34" s="19" t="n">
        <v>1264</v>
      </c>
      <c r="E34" s="18" t="n">
        <v>59.97047449</v>
      </c>
      <c r="F34" s="20" t="n">
        <v>1.32453084</v>
      </c>
      <c r="G34" s="18" t="n">
        <v>36.82572896</v>
      </c>
      <c r="H34" s="20" t="n">
        <v>1.35529034</v>
      </c>
      <c r="I34" s="18" t="n">
        <v>0</v>
      </c>
      <c r="J34" s="20" t="n">
        <v>0</v>
      </c>
      <c r="K34" s="18" t="n">
        <v>2.05191743</v>
      </c>
      <c r="L34" s="20" t="n">
        <v>0.44716682</v>
      </c>
      <c r="M34" s="18" t="n">
        <v>0</v>
      </c>
      <c r="N34" s="20" t="n">
        <v>0</v>
      </c>
      <c r="O34" s="18" t="n">
        <v>0</v>
      </c>
      <c r="P34" s="20" t="n">
        <v>0</v>
      </c>
      <c r="Q34" s="18" t="n">
        <v>1.15187913</v>
      </c>
      <c r="R34" s="20" t="n">
        <v>0.2425875</v>
      </c>
    </row>
    <row r="35" spans="1:18">
      <c r="A35" s="15" t="s">
        <v>593</v>
      </c>
      <c r="B35" s="17" t="n">
        <v>6406</v>
      </c>
      <c r="C35" s="18">
        <f>(5074.0/B35*100)</f>
        <v/>
      </c>
      <c r="D35" s="19" t="n">
        <v>1332</v>
      </c>
      <c r="E35" s="18" t="n">
        <v>54.1001282</v>
      </c>
      <c r="F35" s="20" t="n">
        <v>1.59711183</v>
      </c>
      <c r="G35" s="18" t="n">
        <v>44.24809171</v>
      </c>
      <c r="H35" s="20" t="n">
        <v>1.56233488</v>
      </c>
      <c r="I35" s="18" t="n">
        <v>0</v>
      </c>
      <c r="J35" s="20" t="n">
        <v>0</v>
      </c>
      <c r="K35" s="18" t="n">
        <v>1.39802583</v>
      </c>
      <c r="L35" s="20" t="n">
        <v>0.27749641</v>
      </c>
      <c r="M35" s="18" t="n">
        <v>0</v>
      </c>
      <c r="N35" s="20" t="n">
        <v>0</v>
      </c>
      <c r="O35" s="18" t="n">
        <v>0</v>
      </c>
      <c r="P35" s="20" t="n">
        <v>0</v>
      </c>
      <c r="Q35" s="18" t="n">
        <v>0.25375426</v>
      </c>
      <c r="R35" s="20" t="n">
        <v>0.13119625</v>
      </c>
    </row>
    <row r="36" spans="1:18">
      <c r="A36" s="15" t="s">
        <v>594</v>
      </c>
      <c r="B36" s="17" t="n">
        <v>6736</v>
      </c>
      <c r="C36" s="18">
        <f>(5366.0/B36*100)</f>
        <v/>
      </c>
      <c r="D36" s="19" t="n">
        <v>1370</v>
      </c>
      <c r="E36" s="18" t="n">
        <v>40.01313064</v>
      </c>
      <c r="F36" s="20" t="n">
        <v>1.1615532</v>
      </c>
      <c r="G36" s="18" t="n">
        <v>55.66355892</v>
      </c>
      <c r="H36" s="20" t="n">
        <v>1.26704112</v>
      </c>
      <c r="I36" s="18" t="n">
        <v>0</v>
      </c>
      <c r="J36" s="20" t="n">
        <v>0</v>
      </c>
      <c r="K36" s="18" t="n">
        <v>3.24779395</v>
      </c>
      <c r="L36" s="20" t="n">
        <v>0.47376831</v>
      </c>
      <c r="M36" s="18" t="n">
        <v>0</v>
      </c>
      <c r="N36" s="20" t="n">
        <v>0</v>
      </c>
      <c r="O36" s="18" t="n">
        <v>0</v>
      </c>
      <c r="P36" s="20" t="n">
        <v>0</v>
      </c>
      <c r="Q36" s="18" t="n">
        <v>1.07551649</v>
      </c>
      <c r="R36" s="20" t="n">
        <v>0.32965353</v>
      </c>
    </row>
    <row r="37" spans="1:18">
      <c r="A37" s="15" t="s">
        <v>595</v>
      </c>
      <c r="B37" s="17" t="n">
        <v>5458</v>
      </c>
      <c r="C37" s="18">
        <f>(4362.0/B37*100)</f>
        <v/>
      </c>
      <c r="D37" s="19" t="n">
        <v>1096</v>
      </c>
      <c r="E37" s="18" t="n">
        <v>42.76517597</v>
      </c>
      <c r="F37" s="20" t="n">
        <v>1.3252743</v>
      </c>
      <c r="G37" s="18" t="n">
        <v>49.14515079</v>
      </c>
      <c r="H37" s="20" t="n">
        <v>1.48008422</v>
      </c>
      <c r="I37" s="18" t="n">
        <v>0</v>
      </c>
      <c r="J37" s="20" t="n">
        <v>0</v>
      </c>
      <c r="K37" s="18" t="n">
        <v>6.26120201</v>
      </c>
      <c r="L37" s="20" t="n">
        <v>0.74985529</v>
      </c>
      <c r="M37" s="18" t="n">
        <v>0</v>
      </c>
      <c r="N37" s="20" t="n">
        <v>0</v>
      </c>
      <c r="O37" s="18" t="n">
        <v>0</v>
      </c>
      <c r="P37" s="20" t="n">
        <v>0</v>
      </c>
      <c r="Q37" s="18" t="n">
        <v>1.82847123</v>
      </c>
      <c r="R37" s="20" t="n">
        <v>0.43110026</v>
      </c>
    </row>
    <row r="38" spans="1:18">
      <c r="A38" s="15" t="s">
        <v>596</v>
      </c>
      <c r="B38" s="17" t="n">
        <v>5860</v>
      </c>
      <c r="C38" s="18">
        <f>(4640.0/B38*100)</f>
        <v/>
      </c>
      <c r="D38" s="19" t="n">
        <v>1220</v>
      </c>
      <c r="E38" s="18" t="n">
        <v>42.51350446</v>
      </c>
      <c r="F38" s="20" t="n">
        <v>1.48472422</v>
      </c>
      <c r="G38" s="18" t="n">
        <v>52.50546652</v>
      </c>
      <c r="H38" s="20" t="n">
        <v>1.53561652</v>
      </c>
      <c r="I38" s="18" t="n">
        <v>0</v>
      </c>
      <c r="J38" s="20" t="n">
        <v>0</v>
      </c>
      <c r="K38" s="18" t="n">
        <v>3.97284673</v>
      </c>
      <c r="L38" s="20" t="n">
        <v>0.61432697</v>
      </c>
      <c r="M38" s="18" t="n">
        <v>0</v>
      </c>
      <c r="N38" s="20" t="n">
        <v>0</v>
      </c>
      <c r="O38" s="18" t="n">
        <v>0</v>
      </c>
      <c r="P38" s="20" t="n">
        <v>0</v>
      </c>
      <c r="Q38" s="18" t="n">
        <v>1.00818229</v>
      </c>
      <c r="R38" s="20" t="n">
        <v>0.29725861</v>
      </c>
    </row>
    <row r="39" spans="1:18">
      <c r="A39" s="15" t="s">
        <v>597</v>
      </c>
      <c r="B39" s="17" t="n">
        <v>5895</v>
      </c>
      <c r="C39" s="18">
        <f>(4574.0/B39*100)</f>
        <v/>
      </c>
      <c r="D39" s="19" t="n">
        <v>1321</v>
      </c>
      <c r="E39" s="18" t="n">
        <v>57.42728321</v>
      </c>
      <c r="F39" s="20" t="n">
        <v>1.60809006</v>
      </c>
      <c r="G39" s="18" t="n">
        <v>39.48718386</v>
      </c>
      <c r="H39" s="20" t="n">
        <v>1.61644684</v>
      </c>
      <c r="I39" s="18" t="n">
        <v>0</v>
      </c>
      <c r="J39" s="20" t="n">
        <v>0</v>
      </c>
      <c r="K39" s="18" t="n">
        <v>1.86616404</v>
      </c>
      <c r="L39" s="20" t="n">
        <v>0.34036957</v>
      </c>
      <c r="M39" s="18" t="n">
        <v>0</v>
      </c>
      <c r="N39" s="20" t="n">
        <v>0</v>
      </c>
      <c r="O39" s="18" t="n">
        <v>0</v>
      </c>
      <c r="P39" s="20" t="n">
        <v>0</v>
      </c>
      <c r="Q39" s="18" t="n">
        <v>1.21936889</v>
      </c>
      <c r="R39" s="20" t="n">
        <v>0.36545593</v>
      </c>
    </row>
    <row r="40" spans="1:18">
      <c r="A40" s="15" t="s">
        <v>598</v>
      </c>
      <c r="B40" s="17" t="n">
        <v>14157</v>
      </c>
      <c r="C40" s="18">
        <f>(11046.0/B40*100)</f>
        <v/>
      </c>
      <c r="D40" s="19" t="n">
        <v>3111</v>
      </c>
      <c r="E40" s="18" t="n">
        <v>39.17217698</v>
      </c>
      <c r="F40" s="20" t="n">
        <v>1.39791445</v>
      </c>
      <c r="G40" s="18" t="n">
        <v>56.36795647</v>
      </c>
      <c r="H40" s="20" t="n">
        <v>1.2280792</v>
      </c>
      <c r="I40" s="18" t="n">
        <v>0</v>
      </c>
      <c r="J40" s="20" t="n">
        <v>0</v>
      </c>
      <c r="K40" s="18" t="n">
        <v>3.40510648</v>
      </c>
      <c r="L40" s="20" t="n">
        <v>0.52312496</v>
      </c>
      <c r="M40" s="18" t="n">
        <v>0</v>
      </c>
      <c r="N40" s="20" t="n">
        <v>0</v>
      </c>
      <c r="O40" s="18" t="n">
        <v>0</v>
      </c>
      <c r="P40" s="20" t="n">
        <v>0</v>
      </c>
      <c r="Q40" s="18" t="n">
        <v>1.05476007</v>
      </c>
      <c r="R40" s="20" t="n">
        <v>0.30884909</v>
      </c>
    </row>
    <row r="41" spans="1:18">
      <c r="A41" s="15" t="s">
        <v>599</v>
      </c>
      <c r="B41" s="17" t="n">
        <v>5712</v>
      </c>
      <c r="C41" s="18">
        <f>(4549.0/B41*100)</f>
        <v/>
      </c>
      <c r="D41" s="19" t="n">
        <v>1163</v>
      </c>
      <c r="E41" s="18" t="n">
        <v>45.5288469</v>
      </c>
      <c r="F41" s="20" t="n">
        <v>1.40905999</v>
      </c>
      <c r="G41" s="18" t="n">
        <v>51.61008417</v>
      </c>
      <c r="H41" s="20" t="n">
        <v>1.42792193</v>
      </c>
      <c r="I41" s="18" t="n">
        <v>0</v>
      </c>
      <c r="J41" s="20" t="n">
        <v>0</v>
      </c>
      <c r="K41" s="18" t="n">
        <v>2.36519737</v>
      </c>
      <c r="L41" s="20" t="n">
        <v>0.52519372</v>
      </c>
      <c r="M41" s="18" t="n">
        <v>0</v>
      </c>
      <c r="N41" s="20" t="n">
        <v>0</v>
      </c>
      <c r="O41" s="18" t="n">
        <v>0</v>
      </c>
      <c r="P41" s="20" t="n">
        <v>0</v>
      </c>
      <c r="Q41" s="18" t="n">
        <v>0.49587156</v>
      </c>
      <c r="R41" s="20" t="n">
        <v>0.21262031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(19980.0/B46*100)</f>
        <v/>
      </c>
      <c r="D46" s="19" t="n">
        <v>3161</v>
      </c>
      <c r="E46" s="18" t="n">
        <v>54.92098034</v>
      </c>
      <c r="F46" s="20" t="n">
        <v>1.04588242</v>
      </c>
      <c r="G46" s="18" t="n">
        <v>37.67551821</v>
      </c>
      <c r="H46" s="20" t="n">
        <v>1.12629311</v>
      </c>
      <c r="I46" s="18" t="n">
        <v>0</v>
      </c>
      <c r="J46" s="20" t="n">
        <v>0</v>
      </c>
      <c r="K46" s="18" t="n">
        <v>6.5302723</v>
      </c>
      <c r="L46" s="20" t="n">
        <v>0.7205778</v>
      </c>
      <c r="M46" s="18" t="n">
        <v>0</v>
      </c>
      <c r="N46" s="20" t="n">
        <v>0</v>
      </c>
      <c r="O46" s="18" t="n">
        <v>0</v>
      </c>
      <c r="P46" s="20" t="n">
        <v>0</v>
      </c>
      <c r="Q46" s="18" t="n">
        <v>0.87322914</v>
      </c>
      <c r="R46" s="20" t="n">
        <v>0.19492203</v>
      </c>
    </row>
    <row r="47" spans="1:18">
      <c r="A47" s="15" t="s">
        <v>606</v>
      </c>
      <c r="B47" s="17" t="n">
        <v>5928</v>
      </c>
      <c r="C47" s="18">
        <f>(4654.0/B47*100)</f>
        <v/>
      </c>
      <c r="D47" s="19" t="n">
        <v>1274</v>
      </c>
      <c r="E47" s="18" t="n">
        <v>48.34811604</v>
      </c>
      <c r="F47" s="20" t="n">
        <v>1.42354167</v>
      </c>
      <c r="G47" s="18" t="n">
        <v>47.2607666</v>
      </c>
      <c r="H47" s="20" t="n">
        <v>1.55717392</v>
      </c>
      <c r="I47" s="18" t="n">
        <v>0</v>
      </c>
      <c r="J47" s="20" t="n">
        <v>0</v>
      </c>
      <c r="K47" s="18" t="n">
        <v>3.93991914</v>
      </c>
      <c r="L47" s="20" t="n">
        <v>0.56239979</v>
      </c>
      <c r="M47" s="18" t="n">
        <v>0</v>
      </c>
      <c r="N47" s="20" t="n">
        <v>0</v>
      </c>
      <c r="O47" s="18" t="n">
        <v>0</v>
      </c>
      <c r="P47" s="20" t="n">
        <v>0</v>
      </c>
      <c r="Q47" s="18" t="n">
        <v>0.45119822</v>
      </c>
      <c r="R47" s="20" t="n">
        <v>0.21693043</v>
      </c>
    </row>
    <row r="48" spans="1:18">
      <c r="A48" s="15" t="s">
        <v>607</v>
      </c>
      <c r="B48" s="17" t="n">
        <v>9841</v>
      </c>
      <c r="C48" s="18">
        <f>(7706.0/B48*100)</f>
        <v/>
      </c>
      <c r="D48" s="19" t="n">
        <v>2135</v>
      </c>
      <c r="E48" s="18" t="n">
        <v>24.86691427</v>
      </c>
      <c r="F48" s="20" t="n">
        <v>1.3585093</v>
      </c>
      <c r="G48" s="18" t="n">
        <v>73.2070622</v>
      </c>
      <c r="H48" s="20" t="n">
        <v>1.43812672</v>
      </c>
      <c r="I48" s="18" t="n">
        <v>0</v>
      </c>
      <c r="J48" s="20" t="n">
        <v>0</v>
      </c>
      <c r="K48" s="18" t="n">
        <v>1.63207329</v>
      </c>
      <c r="L48" s="20" t="n">
        <v>0.41272051</v>
      </c>
      <c r="M48" s="18" t="n">
        <v>0</v>
      </c>
      <c r="N48" s="20" t="n">
        <v>0</v>
      </c>
      <c r="O48" s="18" t="n">
        <v>0</v>
      </c>
      <c r="P48" s="20" t="n">
        <v>0</v>
      </c>
      <c r="Q48" s="18" t="n">
        <v>0.29395025</v>
      </c>
      <c r="R48" s="20" t="n">
        <v>0.14419707</v>
      </c>
    </row>
    <row r="49" spans="1:18">
      <c r="A49" s="15" t="s">
        <v>608</v>
      </c>
      <c r="B49" s="17" t="n">
        <v>11795</v>
      </c>
      <c r="C49" s="18">
        <f>(9384.0/B49*100)</f>
        <v/>
      </c>
      <c r="D49" s="19" t="n">
        <v>2411</v>
      </c>
      <c r="E49" s="18" t="n">
        <v>46.64691432</v>
      </c>
      <c r="F49" s="20" t="n">
        <v>1.36067581</v>
      </c>
      <c r="G49" s="18" t="n">
        <v>46.68957363</v>
      </c>
      <c r="H49" s="20" t="n">
        <v>1.22009303</v>
      </c>
      <c r="I49" s="18" t="n">
        <v>0</v>
      </c>
      <c r="J49" s="20" t="n">
        <v>0</v>
      </c>
      <c r="K49" s="18" t="n">
        <v>6.27732578</v>
      </c>
      <c r="L49" s="20" t="n">
        <v>0.84682548</v>
      </c>
      <c r="M49" s="18" t="n">
        <v>0</v>
      </c>
      <c r="N49" s="20" t="n">
        <v>0</v>
      </c>
      <c r="O49" s="18" t="n">
        <v>0</v>
      </c>
      <c r="P49" s="20" t="n">
        <v>0</v>
      </c>
      <c r="Q49" s="18" t="n">
        <v>0.38618626</v>
      </c>
      <c r="R49" s="20" t="n">
        <v>0.16853286</v>
      </c>
    </row>
    <row r="50" spans="1:18">
      <c r="A50" s="15" t="s">
        <v>609</v>
      </c>
      <c r="B50" s="17" t="n">
        <v>6866</v>
      </c>
      <c r="C50" s="18">
        <f>(5731.0/B50*100)</f>
        <v/>
      </c>
      <c r="D50" s="19" t="n">
        <v>1135</v>
      </c>
      <c r="E50" s="18" t="n">
        <v>51.75660165</v>
      </c>
      <c r="F50" s="20" t="n">
        <v>1.51481178</v>
      </c>
      <c r="G50" s="18" t="n">
        <v>43.20071984</v>
      </c>
      <c r="H50" s="20" t="n">
        <v>1.54397508</v>
      </c>
      <c r="I50" s="18" t="n">
        <v>0</v>
      </c>
      <c r="J50" s="20" t="n">
        <v>0</v>
      </c>
      <c r="K50" s="18" t="n">
        <v>4.03082971</v>
      </c>
      <c r="L50" s="20" t="n">
        <v>0.58795663</v>
      </c>
      <c r="M50" s="18" t="n">
        <v>0</v>
      </c>
      <c r="N50" s="20" t="n">
        <v>0</v>
      </c>
      <c r="O50" s="18" t="n">
        <v>0</v>
      </c>
      <c r="P50" s="20" t="n">
        <v>0</v>
      </c>
      <c r="Q50" s="18" t="n">
        <v>1.0118488</v>
      </c>
      <c r="R50" s="20" t="n">
        <v>0.28943847</v>
      </c>
    </row>
    <row r="51" spans="1:18">
      <c r="A51" s="15" t="s">
        <v>610</v>
      </c>
      <c r="B51" s="17" t="n">
        <v>5809</v>
      </c>
      <c r="C51" s="18">
        <f>(4578.0/B51*100)</f>
        <v/>
      </c>
      <c r="D51" s="19" t="n">
        <v>1231</v>
      </c>
      <c r="E51" s="18" t="n">
        <v>54.91729849</v>
      </c>
      <c r="F51" s="20" t="n">
        <v>1.39980525</v>
      </c>
      <c r="G51" s="18" t="n">
        <v>39.80152228</v>
      </c>
      <c r="H51" s="20" t="n">
        <v>1.35427866</v>
      </c>
      <c r="I51" s="18" t="n">
        <v>0</v>
      </c>
      <c r="J51" s="20" t="n">
        <v>0</v>
      </c>
      <c r="K51" s="18" t="n">
        <v>3.92340352</v>
      </c>
      <c r="L51" s="20" t="n">
        <v>0.60992765</v>
      </c>
      <c r="M51" s="18" t="n">
        <v>0</v>
      </c>
      <c r="N51" s="20" t="n">
        <v>0</v>
      </c>
      <c r="O51" s="18" t="n">
        <v>0</v>
      </c>
      <c r="P51" s="20" t="n">
        <v>0</v>
      </c>
      <c r="Q51" s="18" t="n">
        <v>1.35777571</v>
      </c>
      <c r="R51" s="20" t="n">
        <v>0.33173766</v>
      </c>
    </row>
    <row r="52" spans="1:18">
      <c r="A52" s="15" t="s">
        <v>611</v>
      </c>
      <c r="B52" s="17" t="n">
        <v>5571</v>
      </c>
      <c r="C52" s="18">
        <f>(4318.0/B52*100)</f>
        <v/>
      </c>
      <c r="D52" s="19" t="n">
        <v>1253</v>
      </c>
      <c r="E52" s="18" t="n">
        <v>52.70340589</v>
      </c>
      <c r="F52" s="20" t="n">
        <v>1.60653403</v>
      </c>
      <c r="G52" s="18" t="n">
        <v>43.92087922</v>
      </c>
      <c r="H52" s="20" t="n">
        <v>1.6617604</v>
      </c>
      <c r="I52" s="18" t="n">
        <v>0</v>
      </c>
      <c r="J52" s="20" t="n">
        <v>0</v>
      </c>
      <c r="K52" s="18" t="n">
        <v>2.35896465</v>
      </c>
      <c r="L52" s="20" t="n">
        <v>0.4707383</v>
      </c>
      <c r="M52" s="18" t="n">
        <v>0</v>
      </c>
      <c r="N52" s="20" t="n">
        <v>0</v>
      </c>
      <c r="O52" s="18" t="n">
        <v>0</v>
      </c>
      <c r="P52" s="20" t="n">
        <v>0</v>
      </c>
      <c r="Q52" s="18" t="n">
        <v>1.01675024</v>
      </c>
      <c r="R52" s="20" t="n">
        <v>0.27241025</v>
      </c>
    </row>
    <row r="53" spans="1:18">
      <c r="A53" s="15" t="s">
        <v>612</v>
      </c>
      <c r="B53" s="17" t="n">
        <v>4740</v>
      </c>
      <c r="C53" s="18">
        <f>(3711.0/B53*100)</f>
        <v/>
      </c>
      <c r="D53" s="19" t="n">
        <v>1029</v>
      </c>
      <c r="E53" s="18" t="n">
        <v>45.15864268</v>
      </c>
      <c r="F53" s="20" t="n">
        <v>1.91095653</v>
      </c>
      <c r="G53" s="18" t="n">
        <v>25.87380968</v>
      </c>
      <c r="H53" s="20" t="n">
        <v>1.56029795</v>
      </c>
      <c r="I53" s="18" t="n">
        <v>0</v>
      </c>
      <c r="J53" s="20" t="n">
        <v>0</v>
      </c>
      <c r="K53" s="18" t="n">
        <v>26.96372962</v>
      </c>
      <c r="L53" s="20" t="n">
        <v>1.62106315</v>
      </c>
      <c r="M53" s="18" t="n">
        <v>0</v>
      </c>
      <c r="N53" s="20" t="n">
        <v>0</v>
      </c>
      <c r="O53" s="18" t="n">
        <v>0</v>
      </c>
      <c r="P53" s="20" t="n">
        <v>0</v>
      </c>
      <c r="Q53" s="18" t="n">
        <v>2.00381801</v>
      </c>
      <c r="R53" s="20" t="n">
        <v>0.82889963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(4255.0/B55*100)</f>
        <v/>
      </c>
      <c r="D55" s="19" t="n">
        <v>1104</v>
      </c>
      <c r="E55" s="18" t="n">
        <v>29.02839803</v>
      </c>
      <c r="F55" s="20" t="n">
        <v>1.54860139</v>
      </c>
      <c r="G55" s="18" t="n">
        <v>69.65833652000001</v>
      </c>
      <c r="H55" s="20" t="n">
        <v>1.54954101</v>
      </c>
      <c r="I55" s="18" t="n">
        <v>0</v>
      </c>
      <c r="J55" s="20" t="n">
        <v>0</v>
      </c>
      <c r="K55" s="18" t="n">
        <v>1.05148942</v>
      </c>
      <c r="L55" s="20" t="n">
        <v>0.36826091</v>
      </c>
      <c r="M55" s="18" t="n">
        <v>0</v>
      </c>
      <c r="N55" s="20" t="n">
        <v>0</v>
      </c>
      <c r="O55" s="18" t="n">
        <v>0</v>
      </c>
      <c r="P55" s="20" t="n">
        <v>0</v>
      </c>
      <c r="Q55" s="18" t="n">
        <v>0.26177603</v>
      </c>
      <c r="R55" s="20" t="n">
        <v>0.14970314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(5127.0/B61*100)</f>
        <v/>
      </c>
      <c r="D61" s="19" t="n">
        <v>1398</v>
      </c>
      <c r="E61" s="18" t="n">
        <v>43.21547549</v>
      </c>
      <c r="F61" s="20" t="n">
        <v>1.41717613</v>
      </c>
      <c r="G61" s="18" t="n">
        <v>53.91539022</v>
      </c>
      <c r="H61" s="20" t="n">
        <v>1.39188353</v>
      </c>
      <c r="I61" s="18" t="n">
        <v>0</v>
      </c>
      <c r="J61" s="20" t="n">
        <v>0</v>
      </c>
      <c r="K61" s="18" t="n">
        <v>2.42510993</v>
      </c>
      <c r="L61" s="20" t="n">
        <v>0.41484011</v>
      </c>
      <c r="M61" s="18" t="n">
        <v>0</v>
      </c>
      <c r="N61" s="20" t="n">
        <v>0</v>
      </c>
      <c r="O61" s="18" t="n">
        <v>0</v>
      </c>
      <c r="P61" s="20" t="n">
        <v>0</v>
      </c>
      <c r="Q61" s="18" t="n">
        <v>0.44402437</v>
      </c>
      <c r="R61" s="20" t="n">
        <v>0.15096526</v>
      </c>
    </row>
    <row r="62" spans="1:18">
      <c r="A62" s="15" t="s">
        <v>622</v>
      </c>
      <c r="B62" s="17" t="n">
        <v>4476</v>
      </c>
      <c r="C62" s="18">
        <f>(3568.0/B62*100)</f>
        <v/>
      </c>
      <c r="D62" s="19" t="n">
        <v>908</v>
      </c>
      <c r="E62" s="18" t="n">
        <v>31.74369839</v>
      </c>
      <c r="F62" s="20" t="n">
        <v>1.31659136</v>
      </c>
      <c r="G62" s="18" t="n">
        <v>67.92211871000001</v>
      </c>
      <c r="H62" s="20" t="n">
        <v>1.31572452</v>
      </c>
      <c r="I62" s="18" t="n">
        <v>0</v>
      </c>
      <c r="J62" s="20" t="n">
        <v>0</v>
      </c>
      <c r="K62" s="18" t="n">
        <v>0.3341829</v>
      </c>
      <c r="L62" s="20" t="n">
        <v>0.17545485</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(4494.0/B67*100)</f>
        <v/>
      </c>
      <c r="D67" s="19" t="n">
        <v>1171</v>
      </c>
      <c r="E67" s="18" t="n">
        <v>56.6182024</v>
      </c>
      <c r="F67" s="20" t="n">
        <v>1.39226286</v>
      </c>
      <c r="G67" s="18" t="n">
        <v>31.81076542</v>
      </c>
      <c r="H67" s="20" t="n">
        <v>1.38226571</v>
      </c>
      <c r="I67" s="18" t="n">
        <v>0</v>
      </c>
      <c r="J67" s="20" t="n">
        <v>0</v>
      </c>
      <c r="K67" s="18" t="n">
        <v>10.10242782</v>
      </c>
      <c r="L67" s="20" t="n">
        <v>0.9218499100000001</v>
      </c>
      <c r="M67" s="18" t="n">
        <v>0</v>
      </c>
      <c r="N67" s="20" t="n">
        <v>0</v>
      </c>
      <c r="O67" s="18" t="n">
        <v>0</v>
      </c>
      <c r="P67" s="20" t="n">
        <v>0</v>
      </c>
      <c r="Q67" s="18" t="n">
        <v>1.46860435</v>
      </c>
      <c r="R67" s="20" t="n">
        <v>0.36097328</v>
      </c>
    </row>
    <row r="68" spans="1:18">
      <c r="A68" s="15" t="s">
        <v>628</v>
      </c>
      <c r="B68" s="17" t="n">
        <v>6971</v>
      </c>
      <c r="C68" s="18">
        <f>(5813.0/B68*100)</f>
        <v/>
      </c>
      <c r="D68" s="19" t="n">
        <v>1158</v>
      </c>
      <c r="E68" s="18" t="n">
        <v>52.21535313</v>
      </c>
      <c r="F68" s="20" t="n">
        <v>1.61474153</v>
      </c>
      <c r="G68" s="18" t="n">
        <v>43.45342543</v>
      </c>
      <c r="H68" s="20" t="n">
        <v>1.61839809</v>
      </c>
      <c r="I68" s="18" t="n">
        <v>0</v>
      </c>
      <c r="J68" s="20" t="n">
        <v>0</v>
      </c>
      <c r="K68" s="18" t="n">
        <v>3.48781404</v>
      </c>
      <c r="L68" s="20" t="n">
        <v>0.72674673</v>
      </c>
      <c r="M68" s="18" t="n">
        <v>0</v>
      </c>
      <c r="N68" s="20" t="n">
        <v>0</v>
      </c>
      <c r="O68" s="18" t="n">
        <v>0</v>
      </c>
      <c r="P68" s="20" t="n">
        <v>0</v>
      </c>
      <c r="Q68" s="18" t="n">
        <v>0.8434074</v>
      </c>
      <c r="R68" s="20" t="n">
        <v>0.2650861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(9385.0/B70*100)</f>
        <v/>
      </c>
      <c r="D70" s="19" t="n">
        <v>2698</v>
      </c>
      <c r="E70" s="18" t="n">
        <v>48.72099619</v>
      </c>
      <c r="F70" s="20" t="n">
        <v>0.87554499</v>
      </c>
      <c r="G70" s="18" t="n">
        <v>40.94530043</v>
      </c>
      <c r="H70" s="20" t="n">
        <v>0.8079182</v>
      </c>
      <c r="I70" s="18" t="n">
        <v>0</v>
      </c>
      <c r="J70" s="20" t="n">
        <v>0</v>
      </c>
      <c r="K70" s="18" t="n">
        <v>9.20757938</v>
      </c>
      <c r="L70" s="20" t="n">
        <v>0.5450475</v>
      </c>
      <c r="M70" s="18" t="n">
        <v>0</v>
      </c>
      <c r="N70" s="20" t="n">
        <v>0</v>
      </c>
      <c r="O70" s="18" t="n">
        <v>0</v>
      </c>
      <c r="P70" s="20" t="n">
        <v>0</v>
      </c>
      <c r="Q70" s="18" t="n">
        <v>1.12612401</v>
      </c>
      <c r="R70" s="20" t="n">
        <v>0.17412773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(4816.0/B72*100)</f>
        <v/>
      </c>
      <c r="D72" s="19" t="n">
        <v>1220</v>
      </c>
      <c r="E72" s="18" t="n">
        <v>44.30035969</v>
      </c>
      <c r="F72" s="20" t="n">
        <v>1.40121103</v>
      </c>
      <c r="G72" s="18" t="n">
        <v>51.69311609</v>
      </c>
      <c r="H72" s="20" t="n">
        <v>1.61011098</v>
      </c>
      <c r="I72" s="18" t="n">
        <v>0</v>
      </c>
      <c r="J72" s="20" t="n">
        <v>0</v>
      </c>
      <c r="K72" s="18" t="n">
        <v>3.210906</v>
      </c>
      <c r="L72" s="20" t="n">
        <v>0.65601821</v>
      </c>
      <c r="M72" s="18" t="n">
        <v>0</v>
      </c>
      <c r="N72" s="20" t="n">
        <v>0</v>
      </c>
      <c r="O72" s="18" t="n">
        <v>0</v>
      </c>
      <c r="P72" s="20" t="n">
        <v>0</v>
      </c>
      <c r="Q72" s="18" t="n">
        <v>0.79561822</v>
      </c>
      <c r="R72" s="20" t="n">
        <v>0.27656823</v>
      </c>
    </row>
    <row r="73" spans="1:18">
      <c r="A73" s="15" t="s">
        <v>633</v>
      </c>
      <c r="B73" s="17" t="n">
        <v>6115</v>
      </c>
      <c r="C73" s="18">
        <f>(4786.0/B73*100)</f>
        <v/>
      </c>
      <c r="D73" s="19" t="n">
        <v>1329</v>
      </c>
      <c r="E73" s="18" t="n">
        <v>33.27144271</v>
      </c>
      <c r="F73" s="20" t="n">
        <v>1.39088466</v>
      </c>
      <c r="G73" s="18" t="n">
        <v>63.92892052</v>
      </c>
      <c r="H73" s="20" t="n">
        <v>1.3943196</v>
      </c>
      <c r="I73" s="18" t="n">
        <v>0</v>
      </c>
      <c r="J73" s="20" t="n">
        <v>0</v>
      </c>
      <c r="K73" s="18" t="n">
        <v>2.1013048</v>
      </c>
      <c r="L73" s="20" t="n">
        <v>0.43796374</v>
      </c>
      <c r="M73" s="18" t="n">
        <v>0</v>
      </c>
      <c r="N73" s="20" t="n">
        <v>0</v>
      </c>
      <c r="O73" s="18" t="n">
        <v>0</v>
      </c>
      <c r="P73" s="20" t="n">
        <v>0</v>
      </c>
      <c r="Q73" s="18" t="n">
        <v>0.69833197</v>
      </c>
      <c r="R73" s="20" t="n">
        <v>0.20425483</v>
      </c>
    </row>
    <row r="74" spans="1:18">
      <c r="A74" s="15" t="s">
        <v>634</v>
      </c>
      <c r="B74" s="17" t="n">
        <v>7708</v>
      </c>
      <c r="C74" s="18">
        <f>(6069.0/B74*100)</f>
        <v/>
      </c>
      <c r="D74" s="19" t="n">
        <v>1639</v>
      </c>
      <c r="E74" s="18" t="n">
        <v>29.31532506</v>
      </c>
      <c r="F74" s="20" t="n">
        <v>1.15373285</v>
      </c>
      <c r="G74" s="18" t="n">
        <v>69.90237327</v>
      </c>
      <c r="H74" s="20" t="n">
        <v>1.1228133</v>
      </c>
      <c r="I74" s="18" t="n">
        <v>0</v>
      </c>
      <c r="J74" s="20" t="n">
        <v>0</v>
      </c>
      <c r="K74" s="18" t="n">
        <v>0.56029447</v>
      </c>
      <c r="L74" s="20" t="n">
        <v>0.17601696</v>
      </c>
      <c r="M74" s="18" t="n">
        <v>0</v>
      </c>
      <c r="N74" s="20" t="n">
        <v>0</v>
      </c>
      <c r="O74" s="18" t="n">
        <v>0</v>
      </c>
      <c r="P74" s="20" t="n">
        <v>0</v>
      </c>
      <c r="Q74" s="18" t="n">
        <v>0.22200719</v>
      </c>
      <c r="R74" s="20" t="n">
        <v>0.12016084</v>
      </c>
    </row>
    <row r="75" spans="1:18">
      <c r="A75" s="15" t="s">
        <v>635</v>
      </c>
      <c r="B75" s="17" t="n">
        <v>8249</v>
      </c>
      <c r="C75" s="18">
        <f>(6676.0/B75*100)</f>
        <v/>
      </c>
      <c r="D75" s="19" t="n">
        <v>1573</v>
      </c>
      <c r="E75" s="18" t="n">
        <v>56.491585</v>
      </c>
      <c r="F75" s="20" t="n">
        <v>1.43463086</v>
      </c>
      <c r="G75" s="18" t="n">
        <v>42.88400582</v>
      </c>
      <c r="H75" s="20" t="n">
        <v>1.39422471</v>
      </c>
      <c r="I75" s="18" t="n">
        <v>0</v>
      </c>
      <c r="J75" s="20" t="n">
        <v>0</v>
      </c>
      <c r="K75" s="18" t="n">
        <v>0.16047175</v>
      </c>
      <c r="L75" s="20" t="n">
        <v>0.09973578</v>
      </c>
      <c r="M75" s="18" t="n">
        <v>0</v>
      </c>
      <c r="N75" s="20" t="n">
        <v>0</v>
      </c>
      <c r="O75" s="18" t="n">
        <v>0</v>
      </c>
      <c r="P75" s="20" t="n">
        <v>0</v>
      </c>
      <c r="Q75" s="18" t="n">
        <v>0.46393743</v>
      </c>
      <c r="R75" s="20" t="n">
        <v>0.2022631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(4395.0/B77*100)</f>
        <v/>
      </c>
      <c r="D77" s="19" t="n">
        <v>980</v>
      </c>
      <c r="E77" s="18" t="n">
        <v>56.57934381</v>
      </c>
      <c r="F77" s="20" t="n">
        <v>1.86289112</v>
      </c>
      <c r="G77" s="18" t="n">
        <v>31.09560145</v>
      </c>
      <c r="H77" s="20" t="n">
        <v>1.4502305</v>
      </c>
      <c r="I77" s="18" t="n">
        <v>0</v>
      </c>
      <c r="J77" s="20" t="n">
        <v>0</v>
      </c>
      <c r="K77" s="18" t="n">
        <v>11.08604423</v>
      </c>
      <c r="L77" s="20" t="n">
        <v>1.25396068</v>
      </c>
      <c r="M77" s="18" t="n">
        <v>0</v>
      </c>
      <c r="N77" s="20" t="n">
        <v>0</v>
      </c>
      <c r="O77" s="18" t="n">
        <v>0</v>
      </c>
      <c r="P77" s="20" t="n">
        <v>0</v>
      </c>
      <c r="Q77" s="18" t="n">
        <v>1.23901051</v>
      </c>
      <c r="R77" s="20" t="n">
        <v>0.30613498</v>
      </c>
    </row>
    <row r="78" spans="1:18">
      <c r="A78" s="15" t="s">
        <v>638</v>
      </c>
      <c r="B78" s="17" t="n">
        <v>14167</v>
      </c>
      <c r="C78" s="18">
        <f>(11200.0/B78*100)</f>
        <v/>
      </c>
      <c r="D78" s="19" t="n">
        <v>2967</v>
      </c>
      <c r="E78" s="18" t="n">
        <v>52.72422248</v>
      </c>
      <c r="F78" s="20" t="n">
        <v>1.15091332</v>
      </c>
      <c r="G78" s="18" t="n">
        <v>42.38423038</v>
      </c>
      <c r="H78" s="20" t="n">
        <v>1.23344045</v>
      </c>
      <c r="I78" s="18" t="n">
        <v>0</v>
      </c>
      <c r="J78" s="20" t="n">
        <v>0</v>
      </c>
      <c r="K78" s="18" t="n">
        <v>3.92322456</v>
      </c>
      <c r="L78" s="20" t="n">
        <v>0.44252319</v>
      </c>
      <c r="M78" s="18" t="n">
        <v>0</v>
      </c>
      <c r="N78" s="20" t="n">
        <v>0</v>
      </c>
      <c r="O78" s="18" t="n">
        <v>0</v>
      </c>
      <c r="P78" s="20" t="n">
        <v>0</v>
      </c>
      <c r="Q78" s="18" t="n">
        <v>0.96832258</v>
      </c>
      <c r="R78" s="20" t="n">
        <v>0.21479176</v>
      </c>
    </row>
    <row r="79" spans="1:18">
      <c r="A79" s="15" t="s">
        <v>639</v>
      </c>
      <c r="B79" s="17" t="n">
        <v>6062</v>
      </c>
      <c r="C79" s="18">
        <f>(4830.0/B79*100)</f>
        <v/>
      </c>
      <c r="D79" s="19" t="n">
        <v>1232</v>
      </c>
      <c r="E79" s="18" t="n">
        <v>45.49191181</v>
      </c>
      <c r="F79" s="20" t="n">
        <v>1.37214733</v>
      </c>
      <c r="G79" s="18" t="n">
        <v>43.09655863</v>
      </c>
      <c r="H79" s="20" t="n">
        <v>1.395138</v>
      </c>
      <c r="I79" s="18" t="n">
        <v>0</v>
      </c>
      <c r="J79" s="20" t="n">
        <v>0</v>
      </c>
      <c r="K79" s="18" t="n">
        <v>9.679376230000001</v>
      </c>
      <c r="L79" s="20" t="n">
        <v>1.02197933</v>
      </c>
      <c r="M79" s="18" t="n">
        <v>0</v>
      </c>
      <c r="N79" s="20" t="n">
        <v>0</v>
      </c>
      <c r="O79" s="18" t="n">
        <v>0</v>
      </c>
      <c r="P79" s="20" t="n">
        <v>0</v>
      </c>
      <c r="Q79" s="18" t="n">
        <v>1.73215333</v>
      </c>
      <c r="R79" s="20" t="n">
        <v>0.34846151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(25682.0/B82*100)</f>
        <v/>
      </c>
      <c r="D82" s="19" t="n">
        <v>6648</v>
      </c>
      <c r="E82" s="18" t="n">
        <v>41.53334175</v>
      </c>
      <c r="F82" s="20" t="n">
        <v>0.88029032</v>
      </c>
      <c r="G82" s="18" t="n">
        <v>53.90087604</v>
      </c>
      <c r="H82" s="20" t="n">
        <v>0.91486416</v>
      </c>
      <c r="I82" s="18" t="n">
        <v>0</v>
      </c>
      <c r="J82" s="20" t="n">
        <v>0</v>
      </c>
      <c r="K82" s="18" t="n">
        <v>3.48890348</v>
      </c>
      <c r="L82" s="20" t="n">
        <v>0.29801465</v>
      </c>
      <c r="M82" s="18" t="n">
        <v>0</v>
      </c>
      <c r="N82" s="20" t="n">
        <v>0</v>
      </c>
      <c r="O82" s="18" t="n">
        <v>0</v>
      </c>
      <c r="P82" s="20" t="n">
        <v>0</v>
      </c>
      <c r="Q82" s="18" t="n">
        <v>1.07687872</v>
      </c>
      <c r="R82" s="20" t="n">
        <v>0.2209643</v>
      </c>
    </row>
    <row r="83" spans="1:18">
      <c r="A83" s="15" t="s">
        <v>643</v>
      </c>
      <c r="B83" s="17" t="n">
        <v>1652</v>
      </c>
      <c r="C83" s="18">
        <f>(1331.0/B83*100)</f>
        <v/>
      </c>
      <c r="D83" s="19" t="n">
        <v>321</v>
      </c>
      <c r="E83" s="18" t="n">
        <v>38.51513152</v>
      </c>
      <c r="F83" s="20" t="n">
        <v>3.0227422</v>
      </c>
      <c r="G83" s="18" t="n">
        <v>59.99387746</v>
      </c>
      <c r="H83" s="20" t="n">
        <v>3.10895855</v>
      </c>
      <c r="I83" s="18" t="n">
        <v>0</v>
      </c>
      <c r="J83" s="20" t="n">
        <v>0</v>
      </c>
      <c r="K83" s="18" t="n">
        <v>0.66663294</v>
      </c>
      <c r="L83" s="20" t="n">
        <v>0.03908564</v>
      </c>
      <c r="M83" s="18" t="n">
        <v>0</v>
      </c>
      <c r="N83" s="20" t="n">
        <v>0</v>
      </c>
      <c r="O83" s="18" t="n">
        <v>0</v>
      </c>
      <c r="P83" s="20" t="n">
        <v>0</v>
      </c>
      <c r="Q83" s="18" t="n">
        <v>0.82435808</v>
      </c>
      <c r="R83" s="20" t="n">
        <v>0.46588633</v>
      </c>
    </row>
    <row r="84" spans="1:18">
      <c r="A84" s="23" t="s">
        <v>644</v>
      </c>
      <c r="B84" s="24" t="n">
        <v>1887</v>
      </c>
      <c r="C84" s="25">
        <f>(1512.0/B84*100)</f>
        <v/>
      </c>
      <c r="D84" s="19" t="n">
        <v>375</v>
      </c>
      <c r="E84" s="18" t="n">
        <v>48.01956987</v>
      </c>
      <c r="F84" s="20" t="n">
        <v>2.7476688</v>
      </c>
      <c r="G84" s="18" t="n">
        <v>49.99938106</v>
      </c>
      <c r="H84" s="20" t="n">
        <v>3.19430914</v>
      </c>
      <c r="I84" s="18" t="n">
        <v>0</v>
      </c>
      <c r="J84" s="20" t="n">
        <v>0</v>
      </c>
      <c r="K84" s="18" t="n">
        <v>1.09434165</v>
      </c>
      <c r="L84" s="20" t="n">
        <v>0.53253763</v>
      </c>
      <c r="M84" s="18" t="n">
        <v>0</v>
      </c>
      <c r="N84" s="20" t="n">
        <v>0</v>
      </c>
      <c r="O84" s="18" t="n">
        <v>0</v>
      </c>
      <c r="P84" s="20" t="n">
        <v>0</v>
      </c>
      <c r="Q84" s="18" t="n">
        <v>0.88670742</v>
      </c>
      <c r="R84" s="20" t="n">
        <v>0.51188665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19.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781</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(11579.0/B7*100)</f>
        <v/>
      </c>
      <c r="D7" s="19" t="n">
        <v>2951</v>
      </c>
      <c r="E7" s="18" t="n">
        <v>27.61916454</v>
      </c>
      <c r="F7" s="20" t="n">
        <v>0.94263644</v>
      </c>
      <c r="G7" s="18" t="n">
        <v>10.97091222</v>
      </c>
      <c r="H7" s="20" t="n">
        <v>0.71432198</v>
      </c>
      <c r="I7" s="18" t="n">
        <v>38.98479676</v>
      </c>
      <c r="J7" s="20" t="n">
        <v>1.02959544</v>
      </c>
      <c r="K7" s="18" t="n">
        <v>0</v>
      </c>
      <c r="L7" s="20" t="n">
        <v>0</v>
      </c>
      <c r="M7" s="18" t="n">
        <v>22.32215809</v>
      </c>
      <c r="N7" s="20" t="n">
        <v>0.91132349</v>
      </c>
      <c r="O7" s="18" t="n">
        <v>0.1029684</v>
      </c>
      <c r="P7" s="20" t="n">
        <v>0.06047714</v>
      </c>
      <c r="Q7" s="18" t="n">
        <v>0</v>
      </c>
      <c r="R7" s="20" t="n">
        <v>0</v>
      </c>
      <c r="S7" s="18" t="n">
        <v>0</v>
      </c>
      <c r="T7" s="20" t="n">
        <v>0</v>
      </c>
    </row>
    <row r="8" spans="1:20">
      <c r="A8" s="15" t="s">
        <v>566</v>
      </c>
      <c r="B8" s="17" t="n">
        <v>7007</v>
      </c>
      <c r="C8" s="18">
        <f>(5474.0/B8*100)</f>
        <v/>
      </c>
      <c r="D8" s="19" t="n">
        <v>1533</v>
      </c>
      <c r="E8" s="18" t="n">
        <v>15.42672111</v>
      </c>
      <c r="F8" s="20" t="n">
        <v>1.06296568</v>
      </c>
      <c r="G8" s="18" t="n">
        <v>22.11585731</v>
      </c>
      <c r="H8" s="20" t="n">
        <v>1.33501526</v>
      </c>
      <c r="I8" s="18" t="n">
        <v>35.40593068</v>
      </c>
      <c r="J8" s="20" t="n">
        <v>1.40716325</v>
      </c>
      <c r="K8" s="18" t="n">
        <v>0</v>
      </c>
      <c r="L8" s="20" t="n">
        <v>0</v>
      </c>
      <c r="M8" s="18" t="n">
        <v>27.0514909</v>
      </c>
      <c r="N8" s="20" t="n">
        <v>1.3790488</v>
      </c>
      <c r="O8" s="18" t="n">
        <v>0</v>
      </c>
      <c r="P8" s="20" t="n">
        <v>0</v>
      </c>
      <c r="Q8" s="18" t="n">
        <v>0</v>
      </c>
      <c r="R8" s="20" t="n">
        <v>0</v>
      </c>
      <c r="S8" s="18" t="n">
        <v>0</v>
      </c>
      <c r="T8" s="20" t="n">
        <v>0</v>
      </c>
    </row>
    <row r="9" spans="1:20">
      <c r="A9" s="15" t="s">
        <v>567</v>
      </c>
      <c r="B9" s="17" t="n">
        <v>9651</v>
      </c>
      <c r="C9" s="18">
        <f>(7761.0/B9*100)</f>
        <v/>
      </c>
      <c r="D9" s="19" t="n">
        <v>1890</v>
      </c>
      <c r="E9" s="18" t="n">
        <v>21.23219249</v>
      </c>
      <c r="F9" s="20" t="n">
        <v>0.8894557199999999</v>
      </c>
      <c r="G9" s="18" t="n">
        <v>16.26152854</v>
      </c>
      <c r="H9" s="20" t="n">
        <v>1.10984515</v>
      </c>
      <c r="I9" s="18" t="n">
        <v>35.30909119</v>
      </c>
      <c r="J9" s="20" t="n">
        <v>1.37501778</v>
      </c>
      <c r="K9" s="18" t="n">
        <v>0</v>
      </c>
      <c r="L9" s="20" t="n">
        <v>0</v>
      </c>
      <c r="M9" s="18" t="n">
        <v>26.69017797</v>
      </c>
      <c r="N9" s="20" t="n">
        <v>1.1958963</v>
      </c>
      <c r="O9" s="18" t="n">
        <v>0.5070098</v>
      </c>
      <c r="P9" s="20" t="n">
        <v>0.13437016</v>
      </c>
      <c r="Q9" s="18" t="n">
        <v>0</v>
      </c>
      <c r="R9" s="20" t="n">
        <v>0</v>
      </c>
      <c r="S9" s="18" t="n">
        <v>0</v>
      </c>
      <c r="T9" s="20" t="n">
        <v>0</v>
      </c>
    </row>
    <row r="10" spans="1:20">
      <c r="A10" s="15" t="s">
        <v>568</v>
      </c>
      <c r="B10" s="17" t="n">
        <v>20058</v>
      </c>
      <c r="C10" s="18">
        <f>(15730.0/B10*100)</f>
        <v/>
      </c>
      <c r="D10" s="19" t="n">
        <v>4328</v>
      </c>
      <c r="E10" s="18" t="n">
        <v>18.03058227</v>
      </c>
      <c r="F10" s="20" t="n">
        <v>0.91674954</v>
      </c>
      <c r="G10" s="18" t="n">
        <v>19.24718337</v>
      </c>
      <c r="H10" s="20" t="n">
        <v>0.82749922</v>
      </c>
      <c r="I10" s="18" t="n">
        <v>48.53337143</v>
      </c>
      <c r="J10" s="20" t="n">
        <v>1.16185754</v>
      </c>
      <c r="K10" s="18" t="n">
        <v>0</v>
      </c>
      <c r="L10" s="20" t="n">
        <v>0</v>
      </c>
      <c r="M10" s="18" t="n">
        <v>14.13912586</v>
      </c>
      <c r="N10" s="20" t="n">
        <v>0.78526022</v>
      </c>
      <c r="O10" s="18" t="n">
        <v>0.04973707</v>
      </c>
      <c r="P10" s="20" t="n">
        <v>0.04970908</v>
      </c>
      <c r="Q10" s="18" t="n">
        <v>0</v>
      </c>
      <c r="R10" s="20" t="n">
        <v>0</v>
      </c>
      <c r="S10" s="18" t="n">
        <v>0</v>
      </c>
      <c r="T10" s="20" t="n">
        <v>0</v>
      </c>
    </row>
    <row r="11" spans="1:20">
      <c r="A11" s="15" t="s">
        <v>569</v>
      </c>
      <c r="B11" s="17" t="n">
        <v>7053</v>
      </c>
      <c r="C11" s="18">
        <f>(5660.0/B11*100)</f>
        <v/>
      </c>
      <c r="D11" s="19" t="n">
        <v>1393</v>
      </c>
      <c r="E11" s="18" t="n">
        <v>16.59056504</v>
      </c>
      <c r="F11" s="20" t="n">
        <v>1.11236413</v>
      </c>
      <c r="G11" s="18" t="n">
        <v>23.46684524</v>
      </c>
      <c r="H11" s="20" t="n">
        <v>1.30225489</v>
      </c>
      <c r="I11" s="18" t="n">
        <v>15.01991795</v>
      </c>
      <c r="J11" s="20" t="n">
        <v>1.0224914</v>
      </c>
      <c r="K11" s="18" t="n">
        <v>0</v>
      </c>
      <c r="L11" s="20" t="n">
        <v>0</v>
      </c>
      <c r="M11" s="18" t="n">
        <v>44.85587794</v>
      </c>
      <c r="N11" s="20" t="n">
        <v>1.44414946</v>
      </c>
      <c r="O11" s="18" t="n">
        <v>0.06679383</v>
      </c>
      <c r="P11" s="20" t="n">
        <v>0.06684948</v>
      </c>
      <c r="Q11" s="18" t="n">
        <v>0</v>
      </c>
      <c r="R11" s="20" t="n">
        <v>0</v>
      </c>
      <c r="S11" s="18" t="n">
        <v>0</v>
      </c>
      <c r="T11" s="20" t="n">
        <v>0</v>
      </c>
    </row>
    <row r="12" spans="1:20">
      <c r="A12" s="15" t="s">
        <v>570</v>
      </c>
      <c r="B12" s="17" t="n">
        <v>6894</v>
      </c>
      <c r="C12" s="18">
        <f>(5471.0/B12*100)</f>
        <v/>
      </c>
      <c r="D12" s="19" t="n">
        <v>1423</v>
      </c>
      <c r="E12" s="18" t="n">
        <v>10.85503408</v>
      </c>
      <c r="F12" s="20" t="n">
        <v>0.90515847</v>
      </c>
      <c r="G12" s="18" t="n">
        <v>31.64214777</v>
      </c>
      <c r="H12" s="20" t="n">
        <v>1.28523076</v>
      </c>
      <c r="I12" s="18" t="n">
        <v>37.35721958</v>
      </c>
      <c r="J12" s="20" t="n">
        <v>1.35580435</v>
      </c>
      <c r="K12" s="18" t="n">
        <v>0</v>
      </c>
      <c r="L12" s="20" t="n">
        <v>0</v>
      </c>
      <c r="M12" s="18" t="n">
        <v>20.14559856</v>
      </c>
      <c r="N12" s="20" t="n">
        <v>1.24430462</v>
      </c>
      <c r="O12" s="18" t="n">
        <v>0</v>
      </c>
      <c r="P12" s="20" t="n">
        <v>0</v>
      </c>
      <c r="Q12" s="18" t="n">
        <v>0</v>
      </c>
      <c r="R12" s="20" t="n">
        <v>0</v>
      </c>
      <c r="S12" s="18" t="n">
        <v>0</v>
      </c>
      <c r="T12" s="20" t="n">
        <v>0</v>
      </c>
    </row>
    <row r="13" spans="1:20">
      <c r="A13" s="15" t="s">
        <v>571</v>
      </c>
      <c r="B13" s="17" t="n">
        <v>7161</v>
      </c>
      <c r="C13" s="18">
        <f>(5714.0/B13*100)</f>
        <v/>
      </c>
      <c r="D13" s="19" t="n">
        <v>1447</v>
      </c>
      <c r="E13" s="18" t="n">
        <v>24.85837719</v>
      </c>
      <c r="F13" s="20" t="n">
        <v>1.2762505</v>
      </c>
      <c r="G13" s="18" t="n">
        <v>17.20481384</v>
      </c>
      <c r="H13" s="20" t="n">
        <v>1.18661645</v>
      </c>
      <c r="I13" s="18" t="n">
        <v>35.84100021</v>
      </c>
      <c r="J13" s="20" t="n">
        <v>1.57146363</v>
      </c>
      <c r="K13" s="18" t="n">
        <v>0</v>
      </c>
      <c r="L13" s="20" t="n">
        <v>0</v>
      </c>
      <c r="M13" s="18" t="n">
        <v>22.03009291</v>
      </c>
      <c r="N13" s="20" t="n">
        <v>1.27452544</v>
      </c>
      <c r="O13" s="18" t="n">
        <v>0.06571585000000001</v>
      </c>
      <c r="P13" s="20" t="n">
        <v>0.06608355</v>
      </c>
      <c r="Q13" s="18" t="n">
        <v>0</v>
      </c>
      <c r="R13" s="20" t="n">
        <v>0</v>
      </c>
      <c r="S13" s="18" t="n">
        <v>0</v>
      </c>
      <c r="T13" s="20" t="n">
        <v>0</v>
      </c>
    </row>
    <row r="14" spans="1:20">
      <c r="A14" s="15" t="s">
        <v>572</v>
      </c>
      <c r="B14" s="17" t="n">
        <v>5587</v>
      </c>
      <c r="C14" s="18">
        <f>(4324.0/B14*100)</f>
        <v/>
      </c>
      <c r="D14" s="19" t="n">
        <v>1263</v>
      </c>
      <c r="E14" s="18" t="n">
        <v>17.48090919</v>
      </c>
      <c r="F14" s="20" t="n">
        <v>1.39950156</v>
      </c>
      <c r="G14" s="18" t="n">
        <v>18.30225753</v>
      </c>
      <c r="H14" s="20" t="n">
        <v>1.24827613</v>
      </c>
      <c r="I14" s="18" t="n">
        <v>43.38258341</v>
      </c>
      <c r="J14" s="20" t="n">
        <v>1.52756316</v>
      </c>
      <c r="K14" s="18" t="n">
        <v>0</v>
      </c>
      <c r="L14" s="20" t="n">
        <v>0</v>
      </c>
      <c r="M14" s="18" t="n">
        <v>20.83424987</v>
      </c>
      <c r="N14" s="20" t="n">
        <v>1.38946102</v>
      </c>
      <c r="O14" s="18" t="n">
        <v>0</v>
      </c>
      <c r="P14" s="20" t="n">
        <v>0</v>
      </c>
      <c r="Q14" s="18" t="n">
        <v>0</v>
      </c>
      <c r="R14" s="20" t="n">
        <v>0</v>
      </c>
      <c r="S14" s="18" t="n">
        <v>0</v>
      </c>
      <c r="T14" s="20" t="n">
        <v>0</v>
      </c>
    </row>
    <row r="15" spans="1:20">
      <c r="A15" s="15" t="s">
        <v>573</v>
      </c>
      <c r="B15" s="17" t="n">
        <v>5882</v>
      </c>
      <c r="C15" s="18">
        <f>(4623.0/B15*100)</f>
        <v/>
      </c>
      <c r="D15" s="19" t="n">
        <v>1259</v>
      </c>
      <c r="E15" s="18" t="n">
        <v>16.36261758</v>
      </c>
      <c r="F15" s="20" t="n">
        <v>1.02995423</v>
      </c>
      <c r="G15" s="18" t="n">
        <v>14.05926448</v>
      </c>
      <c r="H15" s="20" t="n">
        <v>1.03852575</v>
      </c>
      <c r="I15" s="18" t="n">
        <v>51.06391606</v>
      </c>
      <c r="J15" s="20" t="n">
        <v>1.51527655</v>
      </c>
      <c r="K15" s="18" t="n">
        <v>0</v>
      </c>
      <c r="L15" s="20" t="n">
        <v>0</v>
      </c>
      <c r="M15" s="18" t="n">
        <v>18.51420187</v>
      </c>
      <c r="N15" s="20" t="n">
        <v>1.29611476</v>
      </c>
      <c r="O15" s="18" t="n">
        <v>0</v>
      </c>
      <c r="P15" s="20" t="n">
        <v>0</v>
      </c>
      <c r="Q15" s="18" t="n">
        <v>0</v>
      </c>
      <c r="R15" s="20" t="n">
        <v>0</v>
      </c>
      <c r="S15" s="18" t="n">
        <v>0</v>
      </c>
      <c r="T15" s="20" t="n">
        <v>0</v>
      </c>
    </row>
    <row r="16" spans="1:20">
      <c r="A16" s="15" t="s">
        <v>574</v>
      </c>
      <c r="B16" s="17" t="n">
        <v>6108</v>
      </c>
      <c r="C16" s="18">
        <f>(4836.0/B16*100)</f>
        <v/>
      </c>
      <c r="D16" s="19" t="n">
        <v>1272</v>
      </c>
      <c r="E16" s="18" t="n">
        <v>14.34921674</v>
      </c>
      <c r="F16" s="20" t="n">
        <v>1.06150391</v>
      </c>
      <c r="G16" s="18" t="n">
        <v>20.82751008</v>
      </c>
      <c r="H16" s="20" t="n">
        <v>1.20006327</v>
      </c>
      <c r="I16" s="18" t="n">
        <v>32.72350325</v>
      </c>
      <c r="J16" s="20" t="n">
        <v>1.24385762</v>
      </c>
      <c r="K16" s="18" t="n">
        <v>0</v>
      </c>
      <c r="L16" s="20" t="n">
        <v>0</v>
      </c>
      <c r="M16" s="18" t="n">
        <v>32.09976993</v>
      </c>
      <c r="N16" s="20" t="n">
        <v>1.35369299</v>
      </c>
      <c r="O16" s="18" t="n">
        <v>0</v>
      </c>
      <c r="P16" s="20" t="n">
        <v>0</v>
      </c>
      <c r="Q16" s="18" t="n">
        <v>0</v>
      </c>
      <c r="R16" s="20" t="n">
        <v>0</v>
      </c>
      <c r="S16" s="18" t="n">
        <v>0</v>
      </c>
      <c r="T16" s="20" t="n">
        <v>0</v>
      </c>
    </row>
    <row r="17" spans="1:20">
      <c r="A17" s="15" t="s">
        <v>575</v>
      </c>
      <c r="B17" s="17" t="n">
        <v>6504</v>
      </c>
      <c r="C17" s="18">
        <f>(5163.0/B17*100)</f>
        <v/>
      </c>
      <c r="D17" s="19" t="n">
        <v>1341</v>
      </c>
      <c r="E17" s="18" t="n">
        <v>15.20647928</v>
      </c>
      <c r="F17" s="20" t="n">
        <v>1.07245443</v>
      </c>
      <c r="G17" s="18" t="n">
        <v>16.90160117</v>
      </c>
      <c r="H17" s="20" t="n">
        <v>1.15577795</v>
      </c>
      <c r="I17" s="18" t="n">
        <v>45.04825912</v>
      </c>
      <c r="J17" s="20" t="n">
        <v>1.42496096</v>
      </c>
      <c r="K17" s="18" t="n">
        <v>0</v>
      </c>
      <c r="L17" s="20" t="n">
        <v>0</v>
      </c>
      <c r="M17" s="18" t="n">
        <v>22.84366043</v>
      </c>
      <c r="N17" s="20" t="n">
        <v>1.24302961</v>
      </c>
      <c r="O17" s="18" t="n">
        <v>0</v>
      </c>
      <c r="P17" s="20" t="n">
        <v>0</v>
      </c>
      <c r="Q17" s="18" t="n">
        <v>0</v>
      </c>
      <c r="R17" s="20" t="n">
        <v>0</v>
      </c>
      <c r="S17" s="18" t="n">
        <v>0</v>
      </c>
      <c r="T17" s="20" t="n">
        <v>0</v>
      </c>
    </row>
    <row r="18" spans="1:20">
      <c r="A18" s="15" t="s">
        <v>576</v>
      </c>
      <c r="B18" s="17" t="n">
        <v>5532</v>
      </c>
      <c r="C18" s="18">
        <f>(4330.0/B18*100)</f>
        <v/>
      </c>
      <c r="D18" s="19" t="n">
        <v>1202</v>
      </c>
      <c r="E18" s="18" t="n">
        <v>22.52107439</v>
      </c>
      <c r="F18" s="20" t="n">
        <v>1.43735662</v>
      </c>
      <c r="G18" s="18" t="n">
        <v>17.82242104</v>
      </c>
      <c r="H18" s="20" t="n">
        <v>1.29236172</v>
      </c>
      <c r="I18" s="18" t="n">
        <v>22.39339394</v>
      </c>
      <c r="J18" s="20" t="n">
        <v>1.36084322</v>
      </c>
      <c r="K18" s="18" t="n">
        <v>0</v>
      </c>
      <c r="L18" s="20" t="n">
        <v>0</v>
      </c>
      <c r="M18" s="18" t="n">
        <v>37.26311063</v>
      </c>
      <c r="N18" s="20" t="n">
        <v>1.71550241</v>
      </c>
      <c r="O18" s="18" t="n">
        <v>0</v>
      </c>
      <c r="P18" s="20" t="n">
        <v>0</v>
      </c>
      <c r="Q18" s="18" t="n">
        <v>0</v>
      </c>
      <c r="R18" s="20" t="n">
        <v>0</v>
      </c>
      <c r="S18" s="18" t="n">
        <v>0</v>
      </c>
      <c r="T18" s="20" t="n">
        <v>0</v>
      </c>
    </row>
    <row r="19" spans="1:20">
      <c r="A19" s="15" t="s">
        <v>577</v>
      </c>
      <c r="B19" s="17" t="n">
        <v>5658</v>
      </c>
      <c r="C19" s="18">
        <f>(4490.0/B19*100)</f>
        <v/>
      </c>
      <c r="D19" s="19" t="n">
        <v>1168</v>
      </c>
      <c r="E19" s="18" t="n">
        <v>11.61525318</v>
      </c>
      <c r="F19" s="20" t="n">
        <v>1.26557752</v>
      </c>
      <c r="G19" s="18" t="n">
        <v>23.74769262</v>
      </c>
      <c r="H19" s="20" t="n">
        <v>1.29655732</v>
      </c>
      <c r="I19" s="18" t="n">
        <v>33.88450391</v>
      </c>
      <c r="J19" s="20" t="n">
        <v>1.69583865</v>
      </c>
      <c r="K19" s="18" t="n">
        <v>0</v>
      </c>
      <c r="L19" s="20" t="n">
        <v>0</v>
      </c>
      <c r="M19" s="18" t="n">
        <v>30.68309343</v>
      </c>
      <c r="N19" s="20" t="n">
        <v>1.68225538</v>
      </c>
      <c r="O19" s="18" t="n">
        <v>0.06945686</v>
      </c>
      <c r="P19" s="20" t="n">
        <v>0.06945732</v>
      </c>
      <c r="Q19" s="18" t="n">
        <v>0</v>
      </c>
      <c r="R19" s="20" t="n">
        <v>0</v>
      </c>
      <c r="S19" s="18" t="n">
        <v>0</v>
      </c>
      <c r="T19" s="20" t="n">
        <v>0</v>
      </c>
    </row>
    <row r="20" spans="1:20">
      <c r="A20" s="15" t="s">
        <v>578</v>
      </c>
      <c r="B20" s="17" t="n">
        <v>3371</v>
      </c>
      <c r="C20" s="18">
        <f>(2677.0/B20*100)</f>
        <v/>
      </c>
      <c r="D20" s="19" t="n">
        <v>694</v>
      </c>
      <c r="E20" s="18" t="n">
        <v>34.00022929</v>
      </c>
      <c r="F20" s="20" t="n">
        <v>1.88217648</v>
      </c>
      <c r="G20" s="18" t="n">
        <v>18.12128992</v>
      </c>
      <c r="H20" s="20" t="n">
        <v>1.42288537</v>
      </c>
      <c r="I20" s="18" t="n">
        <v>17.58904154</v>
      </c>
      <c r="J20" s="20" t="n">
        <v>1.45466415</v>
      </c>
      <c r="K20" s="18" t="n">
        <v>0</v>
      </c>
      <c r="L20" s="20" t="n">
        <v>0</v>
      </c>
      <c r="M20" s="18" t="n">
        <v>30.0691665</v>
      </c>
      <c r="N20" s="20" t="n">
        <v>1.64649067</v>
      </c>
      <c r="O20" s="18" t="n">
        <v>0.22027274</v>
      </c>
      <c r="P20" s="20" t="n">
        <v>0.21397627</v>
      </c>
      <c r="Q20" s="18" t="n">
        <v>0</v>
      </c>
      <c r="R20" s="20" t="n">
        <v>0</v>
      </c>
      <c r="S20" s="18" t="n">
        <v>0</v>
      </c>
      <c r="T20" s="20" t="n">
        <v>0</v>
      </c>
    </row>
    <row r="21" spans="1:20">
      <c r="A21" s="15" t="s">
        <v>579</v>
      </c>
      <c r="B21" s="17" t="n">
        <v>5741</v>
      </c>
      <c r="C21" s="18">
        <f>(4507.0/B21*100)</f>
        <v/>
      </c>
      <c r="D21" s="19" t="n">
        <v>1234</v>
      </c>
      <c r="E21" s="18" t="n">
        <v>18.50524349</v>
      </c>
      <c r="F21" s="20" t="n">
        <v>0.96396481</v>
      </c>
      <c r="G21" s="18" t="n">
        <v>15.45768536</v>
      </c>
      <c r="H21" s="20" t="n">
        <v>1.02329847</v>
      </c>
      <c r="I21" s="18" t="n">
        <v>45.56725146</v>
      </c>
      <c r="J21" s="20" t="n">
        <v>1.42258742</v>
      </c>
      <c r="K21" s="18" t="n">
        <v>0</v>
      </c>
      <c r="L21" s="20" t="n">
        <v>0</v>
      </c>
      <c r="M21" s="18" t="n">
        <v>20.40037326</v>
      </c>
      <c r="N21" s="20" t="n">
        <v>1.3583605</v>
      </c>
      <c r="O21" s="18" t="n">
        <v>0.06944644</v>
      </c>
      <c r="P21" s="20" t="n">
        <v>0.0690457</v>
      </c>
      <c r="Q21" s="18" t="n">
        <v>0</v>
      </c>
      <c r="R21" s="20" t="n">
        <v>0</v>
      </c>
      <c r="S21" s="18" t="n">
        <v>0</v>
      </c>
      <c r="T21" s="20" t="n">
        <v>0</v>
      </c>
    </row>
    <row r="22" spans="1:20">
      <c r="A22" s="15" t="s">
        <v>580</v>
      </c>
      <c r="B22" s="17" t="n">
        <v>6598</v>
      </c>
      <c r="C22" s="18">
        <f>(5234.0/B22*100)</f>
        <v/>
      </c>
      <c r="D22" s="19" t="n">
        <v>1364</v>
      </c>
      <c r="E22" s="18" t="n">
        <v>26.29989323</v>
      </c>
      <c r="F22" s="20" t="n">
        <v>1.35447147</v>
      </c>
      <c r="G22" s="18" t="n">
        <v>13.72159768</v>
      </c>
      <c r="H22" s="20" t="n">
        <v>1.01405486</v>
      </c>
      <c r="I22" s="18" t="n">
        <v>26.87012397</v>
      </c>
      <c r="J22" s="20" t="n">
        <v>1.36617074</v>
      </c>
      <c r="K22" s="18" t="n">
        <v>0</v>
      </c>
      <c r="L22" s="20" t="n">
        <v>0</v>
      </c>
      <c r="M22" s="18" t="n">
        <v>33.10838512</v>
      </c>
      <c r="N22" s="20" t="n">
        <v>1.53565044</v>
      </c>
      <c r="O22" s="18" t="n">
        <v>0</v>
      </c>
      <c r="P22" s="20" t="n">
        <v>0</v>
      </c>
      <c r="Q22" s="18" t="n">
        <v>0</v>
      </c>
      <c r="R22" s="20" t="n">
        <v>0</v>
      </c>
      <c r="S22" s="18" t="n">
        <v>0</v>
      </c>
      <c r="T22" s="20" t="n">
        <v>0</v>
      </c>
    </row>
    <row r="23" spans="1:20">
      <c r="A23" s="15" t="s">
        <v>581</v>
      </c>
      <c r="B23" s="17" t="n">
        <v>11583</v>
      </c>
      <c r="C23" s="18">
        <f>(9152.0/B23*100)</f>
        <v/>
      </c>
      <c r="D23" s="19" t="n">
        <v>2431</v>
      </c>
      <c r="E23" s="18" t="n">
        <v>10.54395888</v>
      </c>
      <c r="F23" s="20" t="n">
        <v>0.89531371</v>
      </c>
      <c r="G23" s="18" t="n">
        <v>27.50405958</v>
      </c>
      <c r="H23" s="20" t="n">
        <v>1.33497827</v>
      </c>
      <c r="I23" s="18" t="n">
        <v>29.457745</v>
      </c>
      <c r="J23" s="20" t="n">
        <v>1.3726687</v>
      </c>
      <c r="K23" s="18" t="n">
        <v>0</v>
      </c>
      <c r="L23" s="20" t="n">
        <v>0</v>
      </c>
      <c r="M23" s="18" t="n">
        <v>32.41741435</v>
      </c>
      <c r="N23" s="20" t="n">
        <v>1.49277352</v>
      </c>
      <c r="O23" s="18" t="n">
        <v>0.07682219</v>
      </c>
      <c r="P23" s="20" t="n">
        <v>0.05969478</v>
      </c>
      <c r="Q23" s="18" t="n">
        <v>0</v>
      </c>
      <c r="R23" s="20" t="n">
        <v>0</v>
      </c>
      <c r="S23" s="18" t="n">
        <v>0</v>
      </c>
      <c r="T23" s="20" t="n">
        <v>0</v>
      </c>
    </row>
    <row r="24" spans="1:20">
      <c r="A24" s="15" t="s">
        <v>582</v>
      </c>
      <c r="B24" s="17" t="n">
        <v>6647</v>
      </c>
      <c r="C24" s="18">
        <f>(5278.0/B24*100)</f>
        <v/>
      </c>
      <c r="D24" s="19" t="n">
        <v>1369</v>
      </c>
      <c r="E24" s="18" t="n">
        <v>8.93205077</v>
      </c>
      <c r="F24" s="20" t="n">
        <v>1.04780287</v>
      </c>
      <c r="G24" s="18" t="n">
        <v>27.84018934</v>
      </c>
      <c r="H24" s="20" t="n">
        <v>1.27576094</v>
      </c>
      <c r="I24" s="18" t="n">
        <v>46.41607852</v>
      </c>
      <c r="J24" s="20" t="n">
        <v>1.77031161</v>
      </c>
      <c r="K24" s="18" t="n">
        <v>0</v>
      </c>
      <c r="L24" s="20" t="n">
        <v>0</v>
      </c>
      <c r="M24" s="18" t="n">
        <v>16.81168136</v>
      </c>
      <c r="N24" s="20" t="n">
        <v>1.18232026</v>
      </c>
      <c r="O24" s="18" t="n">
        <v>0</v>
      </c>
      <c r="P24" s="20" t="n">
        <v>0</v>
      </c>
      <c r="Q24" s="18" t="n">
        <v>0</v>
      </c>
      <c r="R24" s="20" t="n">
        <v>0</v>
      </c>
      <c r="S24" s="18" t="n">
        <v>0</v>
      </c>
      <c r="T24" s="20" t="n">
        <v>0</v>
      </c>
    </row>
    <row r="25" spans="1:20">
      <c r="A25" s="15" t="s">
        <v>583</v>
      </c>
      <c r="B25" s="17" t="n">
        <v>5581</v>
      </c>
      <c r="C25" s="18">
        <f>(4323.0/B25*100)</f>
        <v/>
      </c>
      <c r="D25" s="19" t="n">
        <v>1258</v>
      </c>
      <c r="E25" s="18" t="n">
        <v>15.70010233</v>
      </c>
      <c r="F25" s="20" t="n">
        <v>0.98536774</v>
      </c>
      <c r="G25" s="18" t="n">
        <v>40.1806675</v>
      </c>
      <c r="H25" s="20" t="n">
        <v>1.34665284</v>
      </c>
      <c r="I25" s="18" t="n">
        <v>23.06801431</v>
      </c>
      <c r="J25" s="20" t="n">
        <v>1.25966176</v>
      </c>
      <c r="K25" s="18" t="n">
        <v>0</v>
      </c>
      <c r="L25" s="20" t="n">
        <v>0</v>
      </c>
      <c r="M25" s="18" t="n">
        <v>21.05121586</v>
      </c>
      <c r="N25" s="20" t="n">
        <v>1.40515097</v>
      </c>
      <c r="O25" s="18" t="n">
        <v>0</v>
      </c>
      <c r="P25" s="20" t="n">
        <v>0</v>
      </c>
      <c r="Q25" s="18" t="n">
        <v>0</v>
      </c>
      <c r="R25" s="20" t="n">
        <v>0</v>
      </c>
      <c r="S25" s="18" t="n">
        <v>0</v>
      </c>
      <c r="T25" s="20" t="n">
        <v>0</v>
      </c>
    </row>
    <row r="26" spans="1:20">
      <c r="A26" s="15" t="s">
        <v>584</v>
      </c>
      <c r="B26" s="17" t="n">
        <v>4869</v>
      </c>
      <c r="C26" s="18">
        <f>(3812.0/B26*100)</f>
        <v/>
      </c>
      <c r="D26" s="19" t="n">
        <v>1057</v>
      </c>
      <c r="E26" s="18" t="n">
        <v>28.97184041</v>
      </c>
      <c r="F26" s="20" t="n">
        <v>1.62207123</v>
      </c>
      <c r="G26" s="18" t="n">
        <v>34.02884596</v>
      </c>
      <c r="H26" s="20" t="n">
        <v>1.54441993</v>
      </c>
      <c r="I26" s="18" t="n">
        <v>11.58411945</v>
      </c>
      <c r="J26" s="20" t="n">
        <v>1.17135225</v>
      </c>
      <c r="K26" s="18" t="n">
        <v>0</v>
      </c>
      <c r="L26" s="20" t="n">
        <v>0</v>
      </c>
      <c r="M26" s="18" t="n">
        <v>25.41519419</v>
      </c>
      <c r="N26" s="20" t="n">
        <v>1.58368021</v>
      </c>
      <c r="O26" s="18" t="n">
        <v>0</v>
      </c>
      <c r="P26" s="20" t="n">
        <v>0</v>
      </c>
      <c r="Q26" s="18" t="n">
        <v>0</v>
      </c>
      <c r="R26" s="20" t="n">
        <v>0</v>
      </c>
      <c r="S26" s="18" t="n">
        <v>0</v>
      </c>
      <c r="T26" s="20" t="n">
        <v>0</v>
      </c>
    </row>
    <row r="27" spans="1:20">
      <c r="A27" s="15" t="s">
        <v>585</v>
      </c>
      <c r="B27" s="17" t="n">
        <v>5299</v>
      </c>
      <c r="C27" s="18">
        <f>(4251.0/B27*100)</f>
        <v/>
      </c>
      <c r="D27" s="19" t="n">
        <v>1048</v>
      </c>
      <c r="E27" s="18" t="n">
        <v>21.60546069</v>
      </c>
      <c r="F27" s="20" t="n">
        <v>1.21192422</v>
      </c>
      <c r="G27" s="18" t="n">
        <v>12.71132947</v>
      </c>
      <c r="H27" s="20" t="n">
        <v>0.91025952</v>
      </c>
      <c r="I27" s="18" t="n">
        <v>32.39772483</v>
      </c>
      <c r="J27" s="20" t="n">
        <v>1.45910643</v>
      </c>
      <c r="K27" s="18" t="n">
        <v>0</v>
      </c>
      <c r="L27" s="20" t="n">
        <v>0</v>
      </c>
      <c r="M27" s="18" t="n">
        <v>33.28548502</v>
      </c>
      <c r="N27" s="20" t="n">
        <v>1.44880756</v>
      </c>
      <c r="O27" s="18" t="n">
        <v>0</v>
      </c>
      <c r="P27" s="20" t="n">
        <v>0</v>
      </c>
      <c r="Q27" s="18" t="n">
        <v>0</v>
      </c>
      <c r="R27" s="20" t="n">
        <v>0</v>
      </c>
      <c r="S27" s="18" t="n">
        <v>0</v>
      </c>
      <c r="T27" s="20" t="n">
        <v>0</v>
      </c>
    </row>
    <row r="28" spans="1:20">
      <c r="A28" s="15" t="s">
        <v>586</v>
      </c>
      <c r="B28" s="17" t="n">
        <v>7568</v>
      </c>
      <c r="C28" s="18">
        <f>(6118.0/B28*100)</f>
        <v/>
      </c>
      <c r="D28" s="19" t="n">
        <v>1450</v>
      </c>
      <c r="E28" s="18" t="n">
        <v>35.83334041</v>
      </c>
      <c r="F28" s="20" t="n">
        <v>1.63001395</v>
      </c>
      <c r="G28" s="18" t="n">
        <v>27.24121211</v>
      </c>
      <c r="H28" s="20" t="n">
        <v>1.13053616</v>
      </c>
      <c r="I28" s="18" t="n">
        <v>12.66658669</v>
      </c>
      <c r="J28" s="20" t="n">
        <v>0.94341203</v>
      </c>
      <c r="K28" s="18" t="n">
        <v>0</v>
      </c>
      <c r="L28" s="20" t="n">
        <v>0</v>
      </c>
      <c r="M28" s="18" t="n">
        <v>24.13279446</v>
      </c>
      <c r="N28" s="20" t="n">
        <v>1.73026268</v>
      </c>
      <c r="O28" s="18" t="n">
        <v>0.12606633</v>
      </c>
      <c r="P28" s="20" t="n">
        <v>0.08363708</v>
      </c>
      <c r="Q28" s="18" t="n">
        <v>0</v>
      </c>
      <c r="R28" s="20" t="n">
        <v>0</v>
      </c>
      <c r="S28" s="18" t="n">
        <v>0</v>
      </c>
      <c r="T28" s="20" t="n">
        <v>0</v>
      </c>
    </row>
    <row r="29" spans="1:20">
      <c r="A29" s="15" t="s">
        <v>587</v>
      </c>
      <c r="B29" s="17" t="n">
        <v>5385</v>
      </c>
      <c r="C29" s="18">
        <f>(4242.0/B29*100)</f>
        <v/>
      </c>
      <c r="D29" s="19" t="n">
        <v>1143</v>
      </c>
      <c r="E29" s="18" t="n">
        <v>21.36592446</v>
      </c>
      <c r="F29" s="20" t="n">
        <v>1.24647264</v>
      </c>
      <c r="G29" s="18" t="n">
        <v>21.37569129</v>
      </c>
      <c r="H29" s="20" t="n">
        <v>1.27677548</v>
      </c>
      <c r="I29" s="18" t="n">
        <v>45.19918323</v>
      </c>
      <c r="J29" s="20" t="n">
        <v>1.58740089</v>
      </c>
      <c r="K29" s="18" t="n">
        <v>0</v>
      </c>
      <c r="L29" s="20" t="n">
        <v>0</v>
      </c>
      <c r="M29" s="18" t="n">
        <v>12.05920103</v>
      </c>
      <c r="N29" s="20" t="n">
        <v>1.2199687</v>
      </c>
      <c r="O29" s="18" t="n">
        <v>0</v>
      </c>
      <c r="P29" s="20" t="n">
        <v>0</v>
      </c>
      <c r="Q29" s="18" t="n">
        <v>0</v>
      </c>
      <c r="R29" s="20" t="n">
        <v>0</v>
      </c>
      <c r="S29" s="18" t="n">
        <v>0</v>
      </c>
      <c r="T29" s="20" t="n">
        <v>0</v>
      </c>
    </row>
    <row r="30" spans="1:20">
      <c r="A30" s="15" t="s">
        <v>588</v>
      </c>
      <c r="B30" s="17" t="n">
        <v>4520</v>
      </c>
      <c r="C30" s="18">
        <f>(3605.0/B30*100)</f>
        <v/>
      </c>
      <c r="D30" s="19" t="n">
        <v>915</v>
      </c>
      <c r="E30" s="18" t="n">
        <v>21.09201648</v>
      </c>
      <c r="F30" s="20" t="n">
        <v>1.32610494</v>
      </c>
      <c r="G30" s="18" t="n">
        <v>12.11088829</v>
      </c>
      <c r="H30" s="20" t="n">
        <v>0.99500378</v>
      </c>
      <c r="I30" s="18" t="n">
        <v>39.37040432</v>
      </c>
      <c r="J30" s="20" t="n">
        <v>1.48630543</v>
      </c>
      <c r="K30" s="18" t="n">
        <v>0</v>
      </c>
      <c r="L30" s="20" t="n">
        <v>0</v>
      </c>
      <c r="M30" s="18" t="n">
        <v>27.42669091</v>
      </c>
      <c r="N30" s="20" t="n">
        <v>1.56717025</v>
      </c>
      <c r="O30" s="18" t="n">
        <v>0</v>
      </c>
      <c r="P30" s="20" t="n">
        <v>0</v>
      </c>
      <c r="Q30" s="18" t="n">
        <v>0</v>
      </c>
      <c r="R30" s="20" t="n">
        <v>0</v>
      </c>
      <c r="S30" s="18" t="n">
        <v>0</v>
      </c>
      <c r="T30" s="20" t="n">
        <v>0</v>
      </c>
    </row>
    <row r="31" spans="1:20">
      <c r="A31" s="15" t="s">
        <v>589</v>
      </c>
      <c r="B31" s="17" t="n">
        <v>5456</v>
      </c>
      <c r="C31" s="18">
        <f>(4283.0/B31*100)</f>
        <v/>
      </c>
      <c r="D31" s="19" t="n">
        <v>1173</v>
      </c>
      <c r="E31" s="18" t="n">
        <v>12.48058854</v>
      </c>
      <c r="F31" s="20" t="n">
        <v>1.12187382</v>
      </c>
      <c r="G31" s="18" t="n">
        <v>21.63829103</v>
      </c>
      <c r="H31" s="20" t="n">
        <v>1.37651144</v>
      </c>
      <c r="I31" s="18" t="n">
        <v>46.36253559</v>
      </c>
      <c r="J31" s="20" t="n">
        <v>1.80875754</v>
      </c>
      <c r="K31" s="18" t="n">
        <v>0</v>
      </c>
      <c r="L31" s="20" t="n">
        <v>0</v>
      </c>
      <c r="M31" s="18" t="n">
        <v>19.51858484</v>
      </c>
      <c r="N31" s="20" t="n">
        <v>1.33294742</v>
      </c>
      <c r="O31" s="18" t="n">
        <v>0</v>
      </c>
      <c r="P31" s="20" t="n">
        <v>0</v>
      </c>
      <c r="Q31" s="18" t="n">
        <v>0</v>
      </c>
      <c r="R31" s="20" t="n">
        <v>0</v>
      </c>
      <c r="S31" s="18" t="n">
        <v>0</v>
      </c>
      <c r="T31" s="20" t="n">
        <v>0</v>
      </c>
    </row>
    <row r="32" spans="1:20">
      <c r="A32" s="15" t="s">
        <v>590</v>
      </c>
      <c r="B32" s="17" t="n">
        <v>4478</v>
      </c>
      <c r="C32" s="18">
        <f>(3491.0/B32*100)</f>
        <v/>
      </c>
      <c r="D32" s="19" t="n">
        <v>987</v>
      </c>
      <c r="E32" s="18" t="n">
        <v>25.95760118</v>
      </c>
      <c r="F32" s="20" t="n">
        <v>1.29841225</v>
      </c>
      <c r="G32" s="18" t="n">
        <v>20.0357378</v>
      </c>
      <c r="H32" s="20" t="n">
        <v>1.38899858</v>
      </c>
      <c r="I32" s="18" t="n">
        <v>25.32531498</v>
      </c>
      <c r="J32" s="20" t="n">
        <v>1.44913645</v>
      </c>
      <c r="K32" s="18" t="n">
        <v>0</v>
      </c>
      <c r="L32" s="20" t="n">
        <v>0</v>
      </c>
      <c r="M32" s="18" t="n">
        <v>28.68134604</v>
      </c>
      <c r="N32" s="20" t="n">
        <v>1.45064504</v>
      </c>
      <c r="O32" s="18" t="n">
        <v>0</v>
      </c>
      <c r="P32" s="20" t="n">
        <v>0</v>
      </c>
      <c r="Q32" s="18" t="n">
        <v>0</v>
      </c>
      <c r="R32" s="20" t="n">
        <v>0</v>
      </c>
      <c r="S32" s="18" t="n">
        <v>0</v>
      </c>
      <c r="T32" s="20" t="n">
        <v>0</v>
      </c>
    </row>
    <row r="33" spans="1:20">
      <c r="A33" s="15" t="s">
        <v>591</v>
      </c>
      <c r="B33" s="17" t="n">
        <v>7325</v>
      </c>
      <c r="C33" s="18">
        <f>(5868.0/B33*100)</f>
        <v/>
      </c>
      <c r="D33" s="19" t="n">
        <v>1457</v>
      </c>
      <c r="E33" s="18" t="n">
        <v>14.34543394</v>
      </c>
      <c r="F33" s="20" t="n">
        <v>1.12623849</v>
      </c>
      <c r="G33" s="18" t="n">
        <v>20.47759214</v>
      </c>
      <c r="H33" s="20" t="n">
        <v>1.20075252</v>
      </c>
      <c r="I33" s="18" t="n">
        <v>34.27139343</v>
      </c>
      <c r="J33" s="20" t="n">
        <v>1.65745915</v>
      </c>
      <c r="K33" s="18" t="n">
        <v>0</v>
      </c>
      <c r="L33" s="20" t="n">
        <v>0</v>
      </c>
      <c r="M33" s="18" t="n">
        <v>30.90558049</v>
      </c>
      <c r="N33" s="20" t="n">
        <v>1.7028298</v>
      </c>
      <c r="O33" s="18" t="n">
        <v>0</v>
      </c>
      <c r="P33" s="20" t="n">
        <v>0</v>
      </c>
      <c r="Q33" s="18" t="n">
        <v>0</v>
      </c>
      <c r="R33" s="20" t="n">
        <v>0</v>
      </c>
      <c r="S33" s="18" t="n">
        <v>0</v>
      </c>
      <c r="T33" s="20" t="n">
        <v>0</v>
      </c>
    </row>
    <row r="34" spans="1:20">
      <c r="A34" s="15" t="s">
        <v>592</v>
      </c>
      <c r="B34" s="17" t="n">
        <v>6350</v>
      </c>
      <c r="C34" s="18">
        <f>(5094.0/B34*100)</f>
        <v/>
      </c>
      <c r="D34" s="19" t="n">
        <v>1256</v>
      </c>
      <c r="E34" s="18" t="n">
        <v>26.68869685</v>
      </c>
      <c r="F34" s="20" t="n">
        <v>1.49787617</v>
      </c>
      <c r="G34" s="18" t="n">
        <v>26.7417599</v>
      </c>
      <c r="H34" s="20" t="n">
        <v>1.64280533</v>
      </c>
      <c r="I34" s="18" t="n">
        <v>21.79610249</v>
      </c>
      <c r="J34" s="20" t="n">
        <v>1.30222918</v>
      </c>
      <c r="K34" s="18" t="n">
        <v>0</v>
      </c>
      <c r="L34" s="20" t="n">
        <v>0</v>
      </c>
      <c r="M34" s="18" t="n">
        <v>24.70353141</v>
      </c>
      <c r="N34" s="20" t="n">
        <v>1.50547235</v>
      </c>
      <c r="O34" s="18" t="n">
        <v>0.06990934</v>
      </c>
      <c r="P34" s="20" t="n">
        <v>0.04893669</v>
      </c>
      <c r="Q34" s="18" t="n">
        <v>0</v>
      </c>
      <c r="R34" s="20" t="n">
        <v>0</v>
      </c>
      <c r="S34" s="18" t="n">
        <v>0</v>
      </c>
      <c r="T34" s="20" t="n">
        <v>0</v>
      </c>
    </row>
    <row r="35" spans="1:20">
      <c r="A35" s="15" t="s">
        <v>593</v>
      </c>
      <c r="B35" s="17" t="n">
        <v>6406</v>
      </c>
      <c r="C35" s="18">
        <f>(5077.0/B35*100)</f>
        <v/>
      </c>
      <c r="D35" s="19" t="n">
        <v>1329</v>
      </c>
      <c r="E35" s="18" t="n">
        <v>21.09474101</v>
      </c>
      <c r="F35" s="20" t="n">
        <v>1.37289396</v>
      </c>
      <c r="G35" s="18" t="n">
        <v>25.85697853</v>
      </c>
      <c r="H35" s="20" t="n">
        <v>1.45182688</v>
      </c>
      <c r="I35" s="18" t="n">
        <v>34.33314268</v>
      </c>
      <c r="J35" s="20" t="n">
        <v>1.71348083</v>
      </c>
      <c r="K35" s="18" t="n">
        <v>0</v>
      </c>
      <c r="L35" s="20" t="n">
        <v>0</v>
      </c>
      <c r="M35" s="18" t="n">
        <v>18.71513777</v>
      </c>
      <c r="N35" s="20" t="n">
        <v>1.28786329</v>
      </c>
      <c r="O35" s="18" t="n">
        <v>0</v>
      </c>
      <c r="P35" s="20" t="n">
        <v>0</v>
      </c>
      <c r="Q35" s="18" t="n">
        <v>0</v>
      </c>
      <c r="R35" s="20" t="n">
        <v>0</v>
      </c>
      <c r="S35" s="18" t="n">
        <v>0</v>
      </c>
      <c r="T35" s="20" t="n">
        <v>0</v>
      </c>
    </row>
    <row r="36" spans="1:20">
      <c r="A36" s="15" t="s">
        <v>594</v>
      </c>
      <c r="B36" s="17" t="n">
        <v>6736</v>
      </c>
      <c r="C36" s="18">
        <f>(5382.0/B36*100)</f>
        <v/>
      </c>
      <c r="D36" s="19" t="n">
        <v>1354</v>
      </c>
      <c r="E36" s="18" t="n">
        <v>11.78491364</v>
      </c>
      <c r="F36" s="20" t="n">
        <v>1.01994661</v>
      </c>
      <c r="G36" s="18" t="n">
        <v>25.47466942</v>
      </c>
      <c r="H36" s="20" t="n">
        <v>1.27956842</v>
      </c>
      <c r="I36" s="18" t="n">
        <v>37.88076958</v>
      </c>
      <c r="J36" s="20" t="n">
        <v>1.59284858</v>
      </c>
      <c r="K36" s="18" t="n">
        <v>0</v>
      </c>
      <c r="L36" s="20" t="n">
        <v>0</v>
      </c>
      <c r="M36" s="18" t="n">
        <v>24.85964736</v>
      </c>
      <c r="N36" s="20" t="n">
        <v>1.48849392</v>
      </c>
      <c r="O36" s="18" t="n">
        <v>0</v>
      </c>
      <c r="P36" s="20" t="n">
        <v>0</v>
      </c>
      <c r="Q36" s="18" t="n">
        <v>0</v>
      </c>
      <c r="R36" s="20" t="n">
        <v>0</v>
      </c>
      <c r="S36" s="18" t="n">
        <v>0</v>
      </c>
      <c r="T36" s="20" t="n">
        <v>0</v>
      </c>
    </row>
    <row r="37" spans="1:20">
      <c r="A37" s="15" t="s">
        <v>595</v>
      </c>
      <c r="B37" s="17" t="n">
        <v>5458</v>
      </c>
      <c r="C37" s="18">
        <f>(4376.0/B37*100)</f>
        <v/>
      </c>
      <c r="D37" s="19" t="n">
        <v>1082</v>
      </c>
      <c r="E37" s="18" t="n">
        <v>9.724927900000001</v>
      </c>
      <c r="F37" s="20" t="n">
        <v>0.90106546</v>
      </c>
      <c r="G37" s="18" t="n">
        <v>19.63916673</v>
      </c>
      <c r="H37" s="20" t="n">
        <v>1.22087922</v>
      </c>
      <c r="I37" s="18" t="n">
        <v>45.22397074</v>
      </c>
      <c r="J37" s="20" t="n">
        <v>1.97026034</v>
      </c>
      <c r="K37" s="18" t="n">
        <v>0</v>
      </c>
      <c r="L37" s="20" t="n">
        <v>0</v>
      </c>
      <c r="M37" s="18" t="n">
        <v>25.41193463</v>
      </c>
      <c r="N37" s="20" t="n">
        <v>1.66314604</v>
      </c>
      <c r="O37" s="18" t="n">
        <v>0</v>
      </c>
      <c r="P37" s="20" t="n">
        <v>0</v>
      </c>
      <c r="Q37" s="18" t="n">
        <v>0</v>
      </c>
      <c r="R37" s="20" t="n">
        <v>0</v>
      </c>
      <c r="S37" s="18" t="n">
        <v>0</v>
      </c>
      <c r="T37" s="20" t="n">
        <v>0</v>
      </c>
    </row>
    <row r="38" spans="1:20">
      <c r="A38" s="15" t="s">
        <v>596</v>
      </c>
      <c r="B38" s="17" t="n">
        <v>5860</v>
      </c>
      <c r="C38" s="18">
        <f>(4647.0/B38*100)</f>
        <v/>
      </c>
      <c r="D38" s="19" t="n">
        <v>1213</v>
      </c>
      <c r="E38" s="18" t="n">
        <v>15.59826112</v>
      </c>
      <c r="F38" s="20" t="n">
        <v>1.15673972</v>
      </c>
      <c r="G38" s="18" t="n">
        <v>16.30844625</v>
      </c>
      <c r="H38" s="20" t="n">
        <v>1.31102536</v>
      </c>
      <c r="I38" s="18" t="n">
        <v>38.55244687</v>
      </c>
      <c r="J38" s="20" t="n">
        <v>1.86590246</v>
      </c>
      <c r="K38" s="18" t="n">
        <v>0</v>
      </c>
      <c r="L38" s="20" t="n">
        <v>0</v>
      </c>
      <c r="M38" s="18" t="n">
        <v>28.11115031</v>
      </c>
      <c r="N38" s="20" t="n">
        <v>1.45378881</v>
      </c>
      <c r="O38" s="18" t="n">
        <v>1.42969545</v>
      </c>
      <c r="P38" s="20" t="n">
        <v>0.41218495</v>
      </c>
      <c r="Q38" s="18" t="n">
        <v>0</v>
      </c>
      <c r="R38" s="20" t="n">
        <v>0</v>
      </c>
      <c r="S38" s="18" t="n">
        <v>0</v>
      </c>
      <c r="T38" s="20" t="n">
        <v>0</v>
      </c>
    </row>
    <row r="39" spans="1:20">
      <c r="A39" s="15" t="s">
        <v>597</v>
      </c>
      <c r="B39" s="17" t="n">
        <v>5895</v>
      </c>
      <c r="C39" s="18">
        <f>(4573.0/B39*100)</f>
        <v/>
      </c>
      <c r="D39" s="19" t="n">
        <v>1322</v>
      </c>
      <c r="E39" s="18" t="n">
        <v>30.50503425</v>
      </c>
      <c r="F39" s="20" t="n">
        <v>1.90945131</v>
      </c>
      <c r="G39" s="18" t="n">
        <v>24.62289055</v>
      </c>
      <c r="H39" s="20" t="n">
        <v>1.33749388</v>
      </c>
      <c r="I39" s="18" t="n">
        <v>15.59610737</v>
      </c>
      <c r="J39" s="20" t="n">
        <v>1.76039436</v>
      </c>
      <c r="K39" s="18" t="n">
        <v>0</v>
      </c>
      <c r="L39" s="20" t="n">
        <v>0</v>
      </c>
      <c r="M39" s="18" t="n">
        <v>29.27596783</v>
      </c>
      <c r="N39" s="20" t="n">
        <v>1.40910728</v>
      </c>
      <c r="O39" s="18" t="n">
        <v>0</v>
      </c>
      <c r="P39" s="20" t="n">
        <v>0</v>
      </c>
      <c r="Q39" s="18" t="n">
        <v>0</v>
      </c>
      <c r="R39" s="20" t="n">
        <v>0</v>
      </c>
      <c r="S39" s="18" t="n">
        <v>0</v>
      </c>
      <c r="T39" s="20" t="n">
        <v>0</v>
      </c>
    </row>
    <row r="40" spans="1:20">
      <c r="A40" s="15" t="s">
        <v>598</v>
      </c>
      <c r="B40" s="17" t="n">
        <v>14157</v>
      </c>
      <c r="C40" s="18">
        <f>(11052.0/B40*100)</f>
        <v/>
      </c>
      <c r="D40" s="19" t="n">
        <v>3105</v>
      </c>
      <c r="E40" s="18" t="n">
        <v>14.49596557</v>
      </c>
      <c r="F40" s="20" t="n">
        <v>0.98242957</v>
      </c>
      <c r="G40" s="18" t="n">
        <v>13.95592446</v>
      </c>
      <c r="H40" s="20" t="n">
        <v>1.04554538</v>
      </c>
      <c r="I40" s="18" t="n">
        <v>47.80309346</v>
      </c>
      <c r="J40" s="20" t="n">
        <v>1.55582204</v>
      </c>
      <c r="K40" s="18" t="n">
        <v>0</v>
      </c>
      <c r="L40" s="20" t="n">
        <v>0</v>
      </c>
      <c r="M40" s="18" t="n">
        <v>23.74501651</v>
      </c>
      <c r="N40" s="20" t="n">
        <v>1.14247338</v>
      </c>
      <c r="O40" s="18" t="n">
        <v>0</v>
      </c>
      <c r="P40" s="20" t="n">
        <v>0</v>
      </c>
      <c r="Q40" s="18" t="n">
        <v>0</v>
      </c>
      <c r="R40" s="20" t="n">
        <v>0</v>
      </c>
      <c r="S40" s="18" t="n">
        <v>0</v>
      </c>
      <c r="T40" s="20" t="n">
        <v>0</v>
      </c>
    </row>
    <row r="41" spans="1:20">
      <c r="A41" s="15" t="s">
        <v>599</v>
      </c>
      <c r="B41" s="17" t="n">
        <v>5712</v>
      </c>
      <c r="C41" s="18">
        <f>(4560.0/B41*100)</f>
        <v/>
      </c>
      <c r="D41" s="19" t="n">
        <v>1152</v>
      </c>
      <c r="E41" s="18" t="n">
        <v>44.72675627</v>
      </c>
      <c r="F41" s="20" t="n">
        <v>1.58480362</v>
      </c>
      <c r="G41" s="18" t="n">
        <v>9.846676390000001</v>
      </c>
      <c r="H41" s="20" t="n">
        <v>0.9014008100000001</v>
      </c>
      <c r="I41" s="18" t="n">
        <v>31.76460535</v>
      </c>
      <c r="J41" s="20" t="n">
        <v>1.59848637</v>
      </c>
      <c r="K41" s="18" t="n">
        <v>0</v>
      </c>
      <c r="L41" s="20" t="n">
        <v>0</v>
      </c>
      <c r="M41" s="18" t="n">
        <v>13.661962</v>
      </c>
      <c r="N41" s="20" t="n">
        <v>1.05404154</v>
      </c>
      <c r="O41" s="18" t="n">
        <v>0</v>
      </c>
      <c r="P41" s="20" t="n">
        <v>0</v>
      </c>
      <c r="Q41" s="18" t="n">
        <v>0</v>
      </c>
      <c r="R41" s="20" t="n">
        <v>0</v>
      </c>
      <c r="S41" s="18" t="n">
        <v>0</v>
      </c>
      <c r="T41" s="20" t="n">
        <v>0</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(20074.0/B46*100)</f>
        <v/>
      </c>
      <c r="D46" s="19" t="n">
        <v>3067</v>
      </c>
      <c r="E46" s="18" t="n">
        <v>27.06163178</v>
      </c>
      <c r="F46" s="20" t="n">
        <v>0.96272165</v>
      </c>
      <c r="G46" s="18" t="n">
        <v>15.80357079</v>
      </c>
      <c r="H46" s="20" t="n">
        <v>0.9396914200000001</v>
      </c>
      <c r="I46" s="18" t="n">
        <v>19.39186228</v>
      </c>
      <c r="J46" s="20" t="n">
        <v>1.23121024</v>
      </c>
      <c r="K46" s="18" t="n">
        <v>0</v>
      </c>
      <c r="L46" s="20" t="n">
        <v>0</v>
      </c>
      <c r="M46" s="18" t="n">
        <v>37.64921413</v>
      </c>
      <c r="N46" s="20" t="n">
        <v>1.33565187</v>
      </c>
      <c r="O46" s="18" t="n">
        <v>0.09372102</v>
      </c>
      <c r="P46" s="20" t="n">
        <v>0.06032355</v>
      </c>
      <c r="Q46" s="18" t="n">
        <v>0</v>
      </c>
      <c r="R46" s="20" t="n">
        <v>0</v>
      </c>
      <c r="S46" s="18" t="n">
        <v>0</v>
      </c>
      <c r="T46" s="20" t="n">
        <v>0</v>
      </c>
    </row>
    <row r="47" spans="1:20">
      <c r="A47" s="15" t="s">
        <v>606</v>
      </c>
      <c r="B47" s="17" t="n">
        <v>5928</v>
      </c>
      <c r="C47" s="18">
        <f>(4666.0/B47*100)</f>
        <v/>
      </c>
      <c r="D47" s="19" t="n">
        <v>1262</v>
      </c>
      <c r="E47" s="18" t="n">
        <v>21.98982996</v>
      </c>
      <c r="F47" s="20" t="n">
        <v>1.29469912</v>
      </c>
      <c r="G47" s="18" t="n">
        <v>22.1824304</v>
      </c>
      <c r="H47" s="20" t="n">
        <v>1.4019094</v>
      </c>
      <c r="I47" s="18" t="n">
        <v>11.41539874</v>
      </c>
      <c r="J47" s="20" t="n">
        <v>1.29042174</v>
      </c>
      <c r="K47" s="18" t="n">
        <v>0</v>
      </c>
      <c r="L47" s="20" t="n">
        <v>0</v>
      </c>
      <c r="M47" s="18" t="n">
        <v>44.18994589</v>
      </c>
      <c r="N47" s="20" t="n">
        <v>1.60666271</v>
      </c>
      <c r="O47" s="18" t="n">
        <v>0.22239501</v>
      </c>
      <c r="P47" s="20" t="n">
        <v>0.16425902</v>
      </c>
      <c r="Q47" s="18" t="n">
        <v>0</v>
      </c>
      <c r="R47" s="20" t="n">
        <v>0</v>
      </c>
      <c r="S47" s="18" t="n">
        <v>0</v>
      </c>
      <c r="T47" s="20" t="n">
        <v>0</v>
      </c>
    </row>
    <row r="48" spans="1:20">
      <c r="A48" s="15" t="s">
        <v>607</v>
      </c>
      <c r="B48" s="17" t="n">
        <v>9841</v>
      </c>
      <c r="C48" s="18">
        <f>(7712.0/B48*100)</f>
        <v/>
      </c>
      <c r="D48" s="19" t="n">
        <v>2129</v>
      </c>
      <c r="E48" s="18" t="n">
        <v>27.28004675</v>
      </c>
      <c r="F48" s="20" t="n">
        <v>1.45341923</v>
      </c>
      <c r="G48" s="18" t="n">
        <v>27.51506474</v>
      </c>
      <c r="H48" s="20" t="n">
        <v>1.26083081</v>
      </c>
      <c r="I48" s="18" t="n">
        <v>24.6147084</v>
      </c>
      <c r="J48" s="20" t="n">
        <v>1.50066197</v>
      </c>
      <c r="K48" s="18" t="n">
        <v>0</v>
      </c>
      <c r="L48" s="20" t="n">
        <v>0</v>
      </c>
      <c r="M48" s="18" t="n">
        <v>20.59018011</v>
      </c>
      <c r="N48" s="20" t="n">
        <v>1.38155739</v>
      </c>
      <c r="O48" s="18" t="n">
        <v>0</v>
      </c>
      <c r="P48" s="20" t="n">
        <v>0</v>
      </c>
      <c r="Q48" s="18" t="n">
        <v>0</v>
      </c>
      <c r="R48" s="20" t="n">
        <v>0</v>
      </c>
      <c r="S48" s="18" t="n">
        <v>0</v>
      </c>
      <c r="T48" s="20" t="n">
        <v>0</v>
      </c>
    </row>
    <row r="49" spans="1:20">
      <c r="A49" s="15" t="s">
        <v>608</v>
      </c>
      <c r="B49" s="17" t="n">
        <v>11795</v>
      </c>
      <c r="C49" s="18">
        <f>(9403.0/B49*100)</f>
        <v/>
      </c>
      <c r="D49" s="19" t="n">
        <v>2392</v>
      </c>
      <c r="E49" s="18" t="n">
        <v>39.9199702</v>
      </c>
      <c r="F49" s="20" t="n">
        <v>1.30464937</v>
      </c>
      <c r="G49" s="18" t="n">
        <v>18.77559373</v>
      </c>
      <c r="H49" s="20" t="n">
        <v>1.11400298</v>
      </c>
      <c r="I49" s="18" t="n">
        <v>10.45703782</v>
      </c>
      <c r="J49" s="20" t="n">
        <v>0.83763902</v>
      </c>
      <c r="K49" s="18" t="n">
        <v>0</v>
      </c>
      <c r="L49" s="20" t="n">
        <v>0</v>
      </c>
      <c r="M49" s="18" t="n">
        <v>30.83550619</v>
      </c>
      <c r="N49" s="20" t="n">
        <v>1.22239487</v>
      </c>
      <c r="O49" s="18" t="n">
        <v>0.01189205</v>
      </c>
      <c r="P49" s="20" t="n">
        <v>0.01091893</v>
      </c>
      <c r="Q49" s="18" t="n">
        <v>0</v>
      </c>
      <c r="R49" s="20" t="n">
        <v>0</v>
      </c>
      <c r="S49" s="18" t="n">
        <v>0</v>
      </c>
      <c r="T49" s="20" t="n">
        <v>0</v>
      </c>
    </row>
    <row r="50" spans="1:20">
      <c r="A50" s="15" t="s">
        <v>609</v>
      </c>
      <c r="B50" s="17" t="n">
        <v>6866</v>
      </c>
      <c r="C50" s="18">
        <f>(5746.0/B50*100)</f>
        <v/>
      </c>
      <c r="D50" s="19" t="n">
        <v>1120</v>
      </c>
      <c r="E50" s="18" t="n">
        <v>31.56285097</v>
      </c>
      <c r="F50" s="20" t="n">
        <v>1.47178417</v>
      </c>
      <c r="G50" s="18" t="n">
        <v>20.77524194</v>
      </c>
      <c r="H50" s="20" t="n">
        <v>1.24580613</v>
      </c>
      <c r="I50" s="18" t="n">
        <v>16.84534597</v>
      </c>
      <c r="J50" s="20" t="n">
        <v>1.44800567</v>
      </c>
      <c r="K50" s="18" t="n">
        <v>0</v>
      </c>
      <c r="L50" s="20" t="n">
        <v>0</v>
      </c>
      <c r="M50" s="18" t="n">
        <v>30.81656111</v>
      </c>
      <c r="N50" s="20" t="n">
        <v>1.29671733</v>
      </c>
      <c r="O50" s="18" t="n">
        <v>0</v>
      </c>
      <c r="P50" s="20" t="n">
        <v>0</v>
      </c>
      <c r="Q50" s="18" t="n">
        <v>0</v>
      </c>
      <c r="R50" s="20" t="n">
        <v>0</v>
      </c>
      <c r="S50" s="18" t="n">
        <v>0</v>
      </c>
      <c r="T50" s="20" t="n">
        <v>0</v>
      </c>
    </row>
    <row r="51" spans="1:20">
      <c r="A51" s="15" t="s">
        <v>610</v>
      </c>
      <c r="B51" s="17" t="n">
        <v>5809</v>
      </c>
      <c r="C51" s="18">
        <f>(4592.0/B51*100)</f>
        <v/>
      </c>
      <c r="D51" s="19" t="n">
        <v>1217</v>
      </c>
      <c r="E51" s="18" t="n">
        <v>15.99736935</v>
      </c>
      <c r="F51" s="20" t="n">
        <v>0.96614787</v>
      </c>
      <c r="G51" s="18" t="n">
        <v>27.30247718</v>
      </c>
      <c r="H51" s="20" t="n">
        <v>1.09718091</v>
      </c>
      <c r="I51" s="18" t="n">
        <v>23.97253524</v>
      </c>
      <c r="J51" s="20" t="n">
        <v>1.31973252</v>
      </c>
      <c r="K51" s="18" t="n">
        <v>0</v>
      </c>
      <c r="L51" s="20" t="n">
        <v>0</v>
      </c>
      <c r="M51" s="18" t="n">
        <v>32.72761823</v>
      </c>
      <c r="N51" s="20" t="n">
        <v>1.42632812</v>
      </c>
      <c r="O51" s="18" t="n">
        <v>0</v>
      </c>
      <c r="P51" s="20" t="n">
        <v>0</v>
      </c>
      <c r="Q51" s="18" t="n">
        <v>0</v>
      </c>
      <c r="R51" s="20" t="n">
        <v>0</v>
      </c>
      <c r="S51" s="18" t="n">
        <v>0</v>
      </c>
      <c r="T51" s="20" t="n">
        <v>0</v>
      </c>
    </row>
    <row r="52" spans="1:20">
      <c r="A52" s="15" t="s">
        <v>611</v>
      </c>
      <c r="B52" s="17" t="n">
        <v>5571</v>
      </c>
      <c r="C52" s="18">
        <f>(4324.0/B52*100)</f>
        <v/>
      </c>
      <c r="D52" s="19" t="n">
        <v>1247</v>
      </c>
      <c r="E52" s="18" t="n">
        <v>25.76743264</v>
      </c>
      <c r="F52" s="20" t="n">
        <v>1.54662164</v>
      </c>
      <c r="G52" s="18" t="n">
        <v>22.55450665</v>
      </c>
      <c r="H52" s="20" t="n">
        <v>1.20321619</v>
      </c>
      <c r="I52" s="18" t="n">
        <v>12.09798201</v>
      </c>
      <c r="J52" s="20" t="n">
        <v>0.94938825</v>
      </c>
      <c r="K52" s="18" t="n">
        <v>0</v>
      </c>
      <c r="L52" s="20" t="n">
        <v>0</v>
      </c>
      <c r="M52" s="18" t="n">
        <v>39.58007871</v>
      </c>
      <c r="N52" s="20" t="n">
        <v>1.3291905</v>
      </c>
      <c r="O52" s="18" t="n">
        <v>0</v>
      </c>
      <c r="P52" s="20" t="n">
        <v>0</v>
      </c>
      <c r="Q52" s="18" t="n">
        <v>0</v>
      </c>
      <c r="R52" s="20" t="n">
        <v>0</v>
      </c>
      <c r="S52" s="18" t="n">
        <v>0</v>
      </c>
      <c r="T52" s="20" t="n">
        <v>0</v>
      </c>
    </row>
    <row r="53" spans="1:20">
      <c r="A53" s="15" t="s">
        <v>612</v>
      </c>
      <c r="B53" s="17" t="n">
        <v>4740</v>
      </c>
      <c r="C53" s="18">
        <f>(3715.0/B53*100)</f>
        <v/>
      </c>
      <c r="D53" s="19" t="n">
        <v>1025</v>
      </c>
      <c r="E53" s="18" t="n">
        <v>29.32306992</v>
      </c>
      <c r="F53" s="20" t="n">
        <v>1.48336467</v>
      </c>
      <c r="G53" s="18" t="n">
        <v>7.71064426</v>
      </c>
      <c r="H53" s="20" t="n">
        <v>0.9063649499999999</v>
      </c>
      <c r="I53" s="18" t="n">
        <v>2.18313557</v>
      </c>
      <c r="J53" s="20" t="n">
        <v>0.57061836</v>
      </c>
      <c r="K53" s="18" t="n">
        <v>0</v>
      </c>
      <c r="L53" s="20" t="n">
        <v>0</v>
      </c>
      <c r="M53" s="18" t="n">
        <v>59.52860299</v>
      </c>
      <c r="N53" s="20" t="n">
        <v>1.58690057</v>
      </c>
      <c r="O53" s="18" t="n">
        <v>1.25454726</v>
      </c>
      <c r="P53" s="20" t="n">
        <v>1.23906497</v>
      </c>
      <c r="Q53" s="18" t="n">
        <v>0</v>
      </c>
      <c r="R53" s="20" t="n">
        <v>0</v>
      </c>
      <c r="S53" s="18" t="n">
        <v>0</v>
      </c>
      <c r="T53" s="20" t="n">
        <v>0</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(4264.0/B55*100)</f>
        <v/>
      </c>
      <c r="D55" s="19" t="n">
        <v>1095</v>
      </c>
      <c r="E55" s="18" t="n">
        <v>19.25168373</v>
      </c>
      <c r="F55" s="20" t="n">
        <v>1.50556665</v>
      </c>
      <c r="G55" s="18" t="n">
        <v>17.77916848</v>
      </c>
      <c r="H55" s="20" t="n">
        <v>1.33520116</v>
      </c>
      <c r="I55" s="18" t="n">
        <v>47.43523734</v>
      </c>
      <c r="J55" s="20" t="n">
        <v>1.6734486</v>
      </c>
      <c r="K55" s="18" t="n">
        <v>0</v>
      </c>
      <c r="L55" s="20" t="n">
        <v>0</v>
      </c>
      <c r="M55" s="18" t="n">
        <v>15.47132484</v>
      </c>
      <c r="N55" s="20" t="n">
        <v>1.18008525</v>
      </c>
      <c r="O55" s="18" t="n">
        <v>0.06258561</v>
      </c>
      <c r="P55" s="20" t="n">
        <v>0.06257925</v>
      </c>
      <c r="Q55" s="18" t="n">
        <v>0</v>
      </c>
      <c r="R55" s="20" t="n">
        <v>0</v>
      </c>
      <c r="S55" s="18" t="n">
        <v>0</v>
      </c>
      <c r="T55" s="20" t="n">
        <v>0</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(5132.0/B61*100)</f>
        <v/>
      </c>
      <c r="D61" s="19" t="n">
        <v>1393</v>
      </c>
      <c r="E61" s="18" t="n">
        <v>29.47965416</v>
      </c>
      <c r="F61" s="20" t="n">
        <v>1.36847153</v>
      </c>
      <c r="G61" s="18" t="n">
        <v>15.06532781</v>
      </c>
      <c r="H61" s="20" t="n">
        <v>1.01280296</v>
      </c>
      <c r="I61" s="18" t="n">
        <v>21.6913272</v>
      </c>
      <c r="J61" s="20" t="n">
        <v>1.41508693</v>
      </c>
      <c r="K61" s="18" t="n">
        <v>0</v>
      </c>
      <c r="L61" s="20" t="n">
        <v>0</v>
      </c>
      <c r="M61" s="18" t="n">
        <v>33.66304977</v>
      </c>
      <c r="N61" s="20" t="n">
        <v>1.45606308</v>
      </c>
      <c r="O61" s="18" t="n">
        <v>0.10064106</v>
      </c>
      <c r="P61" s="20" t="n">
        <v>0.07678735</v>
      </c>
      <c r="Q61" s="18" t="n">
        <v>0</v>
      </c>
      <c r="R61" s="20" t="n">
        <v>0</v>
      </c>
      <c r="S61" s="18" t="n">
        <v>0</v>
      </c>
      <c r="T61" s="20" t="n">
        <v>0</v>
      </c>
    </row>
    <row r="62" spans="1:20">
      <c r="A62" s="15" t="s">
        <v>622</v>
      </c>
      <c r="B62" s="17" t="n">
        <v>4476</v>
      </c>
      <c r="C62" s="18">
        <f>(3594.0/B62*100)</f>
        <v/>
      </c>
      <c r="D62" s="19" t="n">
        <v>882</v>
      </c>
      <c r="E62" s="18" t="n">
        <v>24.2685189</v>
      </c>
      <c r="F62" s="20" t="n">
        <v>1.40420583</v>
      </c>
      <c r="G62" s="18" t="n">
        <v>36.47269305</v>
      </c>
      <c r="H62" s="20" t="n">
        <v>1.51673037</v>
      </c>
      <c r="I62" s="18" t="n">
        <v>24.83362884</v>
      </c>
      <c r="J62" s="20" t="n">
        <v>1.40723419</v>
      </c>
      <c r="K62" s="18" t="n">
        <v>0</v>
      </c>
      <c r="L62" s="20" t="n">
        <v>0</v>
      </c>
      <c r="M62" s="18" t="n">
        <v>14.42515921</v>
      </c>
      <c r="N62" s="20" t="n">
        <v>1.19559693</v>
      </c>
      <c r="O62" s="18" t="n">
        <v>0</v>
      </c>
      <c r="P62" s="20" t="n">
        <v>0</v>
      </c>
      <c r="Q62" s="18" t="n">
        <v>0</v>
      </c>
      <c r="R62" s="20" t="n">
        <v>0</v>
      </c>
      <c r="S62" s="18" t="n">
        <v>0</v>
      </c>
      <c r="T62" s="20" t="n">
        <v>0</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(4498.0/B67*100)</f>
        <v/>
      </c>
      <c r="D67" s="19" t="n">
        <v>1167</v>
      </c>
      <c r="E67" s="18" t="n">
        <v>19.75810818</v>
      </c>
      <c r="F67" s="20" t="n">
        <v>1.13551528</v>
      </c>
      <c r="G67" s="18" t="n">
        <v>9.80243791</v>
      </c>
      <c r="H67" s="20" t="n">
        <v>0.83845742</v>
      </c>
      <c r="I67" s="18" t="n">
        <v>9.12867866</v>
      </c>
      <c r="J67" s="20" t="n">
        <v>0.80821981</v>
      </c>
      <c r="K67" s="18" t="n">
        <v>0</v>
      </c>
      <c r="L67" s="20" t="n">
        <v>0</v>
      </c>
      <c r="M67" s="18" t="n">
        <v>61.07399062</v>
      </c>
      <c r="N67" s="20" t="n">
        <v>1.32185364</v>
      </c>
      <c r="O67" s="18" t="n">
        <v>0.23678463</v>
      </c>
      <c r="P67" s="20" t="n">
        <v>0.1366173</v>
      </c>
      <c r="Q67" s="18" t="n">
        <v>0</v>
      </c>
      <c r="R67" s="20" t="n">
        <v>0</v>
      </c>
      <c r="S67" s="18" t="n">
        <v>0</v>
      </c>
      <c r="T67" s="20" t="n">
        <v>0</v>
      </c>
    </row>
    <row r="68" spans="1:20">
      <c r="A68" s="15" t="s">
        <v>628</v>
      </c>
      <c r="B68" s="17" t="n">
        <v>6971</v>
      </c>
      <c r="C68" s="18">
        <f>(5858.0/B68*100)</f>
        <v/>
      </c>
      <c r="D68" s="19" t="n">
        <v>1113</v>
      </c>
      <c r="E68" s="18" t="n">
        <v>38.50955896</v>
      </c>
      <c r="F68" s="20" t="n">
        <v>1.63291898</v>
      </c>
      <c r="G68" s="18" t="n">
        <v>15.09095812</v>
      </c>
      <c r="H68" s="20" t="n">
        <v>1.07123285</v>
      </c>
      <c r="I68" s="18" t="n">
        <v>7.35501254</v>
      </c>
      <c r="J68" s="20" t="n">
        <v>0.95755703</v>
      </c>
      <c r="K68" s="18" t="n">
        <v>0</v>
      </c>
      <c r="L68" s="20" t="n">
        <v>0</v>
      </c>
      <c r="M68" s="18" t="n">
        <v>38.67553687</v>
      </c>
      <c r="N68" s="20" t="n">
        <v>1.68319111</v>
      </c>
      <c r="O68" s="18" t="n">
        <v>0.36893352</v>
      </c>
      <c r="P68" s="20" t="n">
        <v>0.2270748</v>
      </c>
      <c r="Q68" s="18" t="n">
        <v>0</v>
      </c>
      <c r="R68" s="20" t="n">
        <v>0</v>
      </c>
      <c r="S68" s="18" t="n">
        <v>0</v>
      </c>
      <c r="T68" s="20" t="n">
        <v>0</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(9384.0/B70*100)</f>
        <v/>
      </c>
      <c r="D70" s="19" t="n">
        <v>2699</v>
      </c>
      <c r="E70" s="18" t="n">
        <v>40.03239605</v>
      </c>
      <c r="F70" s="20" t="n">
        <v>1.02378303</v>
      </c>
      <c r="G70" s="18" t="n">
        <v>12.76792923</v>
      </c>
      <c r="H70" s="20" t="n">
        <v>0.62814481</v>
      </c>
      <c r="I70" s="18" t="n">
        <v>15.46546772</v>
      </c>
      <c r="J70" s="20" t="n">
        <v>0.64669549</v>
      </c>
      <c r="K70" s="18" t="n">
        <v>0</v>
      </c>
      <c r="L70" s="20" t="n">
        <v>0</v>
      </c>
      <c r="M70" s="18" t="n">
        <v>31.734207</v>
      </c>
      <c r="N70" s="20" t="n">
        <v>0.83293255</v>
      </c>
      <c r="O70" s="18" t="n">
        <v>0</v>
      </c>
      <c r="P70" s="20" t="n">
        <v>0</v>
      </c>
      <c r="Q70" s="18" t="n">
        <v>0</v>
      </c>
      <c r="R70" s="20" t="n">
        <v>0</v>
      </c>
      <c r="S70" s="18" t="n">
        <v>0</v>
      </c>
      <c r="T70" s="20" t="n">
        <v>0</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(4819.0/B72*100)</f>
        <v/>
      </c>
      <c r="D72" s="19" t="n">
        <v>1217</v>
      </c>
      <c r="E72" s="18" t="n">
        <v>33.44897236</v>
      </c>
      <c r="F72" s="20" t="n">
        <v>1.74297203</v>
      </c>
      <c r="G72" s="18" t="n">
        <v>24.03515752</v>
      </c>
      <c r="H72" s="20" t="n">
        <v>1.31312971</v>
      </c>
      <c r="I72" s="18" t="n">
        <v>14.76742866</v>
      </c>
      <c r="J72" s="20" t="n">
        <v>1.15869392</v>
      </c>
      <c r="K72" s="18" t="n">
        <v>0</v>
      </c>
      <c r="L72" s="20" t="n">
        <v>0</v>
      </c>
      <c r="M72" s="18" t="n">
        <v>27.68770878</v>
      </c>
      <c r="N72" s="20" t="n">
        <v>1.84834295</v>
      </c>
      <c r="O72" s="18" t="n">
        <v>0.06073268</v>
      </c>
      <c r="P72" s="20" t="n">
        <v>0.06082097</v>
      </c>
      <c r="Q72" s="18" t="n">
        <v>0</v>
      </c>
      <c r="R72" s="20" t="n">
        <v>0</v>
      </c>
      <c r="S72" s="18" t="n">
        <v>0</v>
      </c>
      <c r="T72" s="20" t="n">
        <v>0</v>
      </c>
    </row>
    <row r="73" spans="1:20">
      <c r="A73" s="15" t="s">
        <v>633</v>
      </c>
      <c r="B73" s="17" t="n">
        <v>6115</v>
      </c>
      <c r="C73" s="18">
        <f>(4791.0/B73*100)</f>
        <v/>
      </c>
      <c r="D73" s="19" t="n">
        <v>1324</v>
      </c>
      <c r="E73" s="18" t="n">
        <v>24.58685427</v>
      </c>
      <c r="F73" s="20" t="n">
        <v>1.23137274</v>
      </c>
      <c r="G73" s="18" t="n">
        <v>15.64342899</v>
      </c>
      <c r="H73" s="20" t="n">
        <v>1.03295927</v>
      </c>
      <c r="I73" s="18" t="n">
        <v>47.04891554</v>
      </c>
      <c r="J73" s="20" t="n">
        <v>1.51752349</v>
      </c>
      <c r="K73" s="18" t="n">
        <v>0</v>
      </c>
      <c r="L73" s="20" t="n">
        <v>0</v>
      </c>
      <c r="M73" s="18" t="n">
        <v>12.7208012</v>
      </c>
      <c r="N73" s="20" t="n">
        <v>0.900271</v>
      </c>
      <c r="O73" s="18" t="n">
        <v>0</v>
      </c>
      <c r="P73" s="20" t="n">
        <v>0</v>
      </c>
      <c r="Q73" s="18" t="n">
        <v>0</v>
      </c>
      <c r="R73" s="20" t="n">
        <v>0</v>
      </c>
      <c r="S73" s="18" t="n">
        <v>0</v>
      </c>
      <c r="T73" s="20" t="n">
        <v>0</v>
      </c>
    </row>
    <row r="74" spans="1:20">
      <c r="A74" s="15" t="s">
        <v>634</v>
      </c>
      <c r="B74" s="17" t="n">
        <v>7708</v>
      </c>
      <c r="C74" s="18">
        <f>(6073.0/B74*100)</f>
        <v/>
      </c>
      <c r="D74" s="19" t="n">
        <v>1635</v>
      </c>
      <c r="E74" s="18" t="n">
        <v>21.09010709</v>
      </c>
      <c r="F74" s="20" t="n">
        <v>1.06263419</v>
      </c>
      <c r="G74" s="18" t="n">
        <v>14.12654996</v>
      </c>
      <c r="H74" s="20" t="n">
        <v>0.82308151</v>
      </c>
      <c r="I74" s="18" t="n">
        <v>50.17247329</v>
      </c>
      <c r="J74" s="20" t="n">
        <v>1.35936482</v>
      </c>
      <c r="K74" s="18" t="n">
        <v>0</v>
      </c>
      <c r="L74" s="20" t="n">
        <v>0</v>
      </c>
      <c r="M74" s="18" t="n">
        <v>14.61086966</v>
      </c>
      <c r="N74" s="20" t="n">
        <v>1.05642335</v>
      </c>
      <c r="O74" s="18" t="n">
        <v>0</v>
      </c>
      <c r="P74" s="20" t="n">
        <v>0</v>
      </c>
      <c r="Q74" s="18" t="n">
        <v>0</v>
      </c>
      <c r="R74" s="20" t="n">
        <v>0</v>
      </c>
      <c r="S74" s="18" t="n">
        <v>0</v>
      </c>
      <c r="T74" s="20" t="n">
        <v>0</v>
      </c>
    </row>
    <row r="75" spans="1:20">
      <c r="A75" s="15" t="s">
        <v>635</v>
      </c>
      <c r="B75" s="17" t="n">
        <v>8249</v>
      </c>
      <c r="C75" s="18">
        <f>(6697.0/B75*100)</f>
        <v/>
      </c>
      <c r="D75" s="19" t="n">
        <v>1552</v>
      </c>
      <c r="E75" s="18" t="n">
        <v>59.88030314</v>
      </c>
      <c r="F75" s="20" t="n">
        <v>1.36269813</v>
      </c>
      <c r="G75" s="18" t="n">
        <v>18.91750832</v>
      </c>
      <c r="H75" s="20" t="n">
        <v>1.03636842</v>
      </c>
      <c r="I75" s="18" t="n">
        <v>12.90470753</v>
      </c>
      <c r="J75" s="20" t="n">
        <v>1.00890378</v>
      </c>
      <c r="K75" s="18" t="n">
        <v>0</v>
      </c>
      <c r="L75" s="20" t="n">
        <v>0</v>
      </c>
      <c r="M75" s="18" t="n">
        <v>8.05389168</v>
      </c>
      <c r="N75" s="20" t="n">
        <v>0.8177407</v>
      </c>
      <c r="O75" s="18" t="n">
        <v>0.24358932</v>
      </c>
      <c r="P75" s="20" t="n">
        <v>0.17425202</v>
      </c>
      <c r="Q75" s="18" t="n">
        <v>0</v>
      </c>
      <c r="R75" s="20" t="n">
        <v>0</v>
      </c>
      <c r="S75" s="18" t="n">
        <v>0</v>
      </c>
      <c r="T75" s="20" t="n">
        <v>0</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(4403.0/B77*100)</f>
        <v/>
      </c>
      <c r="D77" s="19" t="n">
        <v>972</v>
      </c>
      <c r="E77" s="18" t="n">
        <v>28.44785145</v>
      </c>
      <c r="F77" s="20" t="n">
        <v>1.84348207</v>
      </c>
      <c r="G77" s="18" t="n">
        <v>12.82743136</v>
      </c>
      <c r="H77" s="20" t="n">
        <v>1.02507123</v>
      </c>
      <c r="I77" s="18" t="n">
        <v>0.8656396</v>
      </c>
      <c r="J77" s="20" t="n">
        <v>0.30692778</v>
      </c>
      <c r="K77" s="18" t="n">
        <v>0</v>
      </c>
      <c r="L77" s="20" t="n">
        <v>0</v>
      </c>
      <c r="M77" s="18" t="n">
        <v>57.7364245</v>
      </c>
      <c r="N77" s="20" t="n">
        <v>1.96627771</v>
      </c>
      <c r="O77" s="18" t="n">
        <v>0.12265309</v>
      </c>
      <c r="P77" s="20" t="n">
        <v>0.12748653</v>
      </c>
      <c r="Q77" s="18" t="n">
        <v>0</v>
      </c>
      <c r="R77" s="20" t="n">
        <v>0</v>
      </c>
      <c r="S77" s="18" t="n">
        <v>0</v>
      </c>
      <c r="T77" s="20" t="n">
        <v>0</v>
      </c>
    </row>
    <row r="78" spans="1:20">
      <c r="A78" s="15" t="s">
        <v>638</v>
      </c>
      <c r="B78" s="17" t="n">
        <v>14167</v>
      </c>
      <c r="C78" s="18">
        <f>(11203.0/B78*100)</f>
        <v/>
      </c>
      <c r="D78" s="19" t="n">
        <v>2964</v>
      </c>
      <c r="E78" s="18" t="n">
        <v>42.47780809</v>
      </c>
      <c r="F78" s="20" t="n">
        <v>1.2580097</v>
      </c>
      <c r="G78" s="18" t="n">
        <v>19.4496984</v>
      </c>
      <c r="H78" s="20" t="n">
        <v>1.08098183</v>
      </c>
      <c r="I78" s="18" t="n">
        <v>18.51657205</v>
      </c>
      <c r="J78" s="20" t="n">
        <v>1.01326849</v>
      </c>
      <c r="K78" s="18" t="n">
        <v>0</v>
      </c>
      <c r="L78" s="20" t="n">
        <v>0</v>
      </c>
      <c r="M78" s="18" t="n">
        <v>19.47355729</v>
      </c>
      <c r="N78" s="20" t="n">
        <v>0.81860016</v>
      </c>
      <c r="O78" s="18" t="n">
        <v>0.08236417</v>
      </c>
      <c r="P78" s="20" t="n">
        <v>0.04962234</v>
      </c>
      <c r="Q78" s="18" t="n">
        <v>0</v>
      </c>
      <c r="R78" s="20" t="n">
        <v>0</v>
      </c>
      <c r="S78" s="18" t="n">
        <v>0</v>
      </c>
      <c r="T78" s="20" t="n">
        <v>0</v>
      </c>
    </row>
    <row r="79" spans="1:20">
      <c r="A79" s="15" t="s">
        <v>639</v>
      </c>
      <c r="B79" s="17" t="n">
        <v>6062</v>
      </c>
      <c r="C79" s="18">
        <f>(4840.0/B79*100)</f>
        <v/>
      </c>
      <c r="D79" s="19" t="n">
        <v>1222</v>
      </c>
      <c r="E79" s="18" t="n">
        <v>13.43818314</v>
      </c>
      <c r="F79" s="20" t="n">
        <v>1.04020956</v>
      </c>
      <c r="G79" s="18" t="n">
        <v>21.97776066</v>
      </c>
      <c r="H79" s="20" t="n">
        <v>1.02618871</v>
      </c>
      <c r="I79" s="18" t="n">
        <v>17.58234074</v>
      </c>
      <c r="J79" s="20" t="n">
        <v>0.99242467</v>
      </c>
      <c r="K79" s="18" t="n">
        <v>0</v>
      </c>
      <c r="L79" s="20" t="n">
        <v>0</v>
      </c>
      <c r="M79" s="18" t="n">
        <v>46.84980165</v>
      </c>
      <c r="N79" s="20" t="n">
        <v>1.3734894</v>
      </c>
      <c r="O79" s="18" t="n">
        <v>0.15191382</v>
      </c>
      <c r="P79" s="20" t="n">
        <v>0.12222606</v>
      </c>
      <c r="Q79" s="18" t="n">
        <v>0</v>
      </c>
      <c r="R79" s="20" t="n">
        <v>0</v>
      </c>
      <c r="S79" s="18" t="n">
        <v>0</v>
      </c>
      <c r="T79" s="20" t="n">
        <v>0</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(25743.0/B82*100)</f>
        <v/>
      </c>
      <c r="D82" s="19" t="n">
        <v>6587</v>
      </c>
      <c r="E82" s="18" t="n">
        <v>11.95094671</v>
      </c>
      <c r="F82" s="20" t="n">
        <v>0.60281657</v>
      </c>
      <c r="G82" s="18" t="n">
        <v>24.56287499</v>
      </c>
      <c r="H82" s="20" t="n">
        <v>0.79875992</v>
      </c>
      <c r="I82" s="18" t="n">
        <v>39.03349476</v>
      </c>
      <c r="J82" s="20" t="n">
        <v>0.91493883</v>
      </c>
      <c r="K82" s="18" t="n">
        <v>0</v>
      </c>
      <c r="L82" s="20" t="n">
        <v>0</v>
      </c>
      <c r="M82" s="18" t="n">
        <v>24.43268142</v>
      </c>
      <c r="N82" s="20" t="n">
        <v>0.8785475</v>
      </c>
      <c r="O82" s="18" t="n">
        <v>0.02000212</v>
      </c>
      <c r="P82" s="20" t="n">
        <v>0.01434312</v>
      </c>
      <c r="Q82" s="18" t="n">
        <v>0</v>
      </c>
      <c r="R82" s="20" t="n">
        <v>0</v>
      </c>
      <c r="S82" s="18" t="n">
        <v>0</v>
      </c>
      <c r="T82" s="20" t="n">
        <v>0</v>
      </c>
    </row>
    <row r="83" spans="1:20">
      <c r="A83" s="15" t="s">
        <v>643</v>
      </c>
      <c r="B83" s="17" t="n">
        <v>1652</v>
      </c>
      <c r="C83" s="18">
        <f>(1333.0/B83*100)</f>
        <v/>
      </c>
      <c r="D83" s="19" t="n">
        <v>319</v>
      </c>
      <c r="E83" s="18" t="n">
        <v>40.4930787</v>
      </c>
      <c r="F83" s="20" t="n">
        <v>2.47897628</v>
      </c>
      <c r="G83" s="18" t="n">
        <v>8.966648599999999</v>
      </c>
      <c r="H83" s="20" t="n">
        <v>1.81026364</v>
      </c>
      <c r="I83" s="18" t="n">
        <v>38.53982094</v>
      </c>
      <c r="J83" s="20" t="n">
        <v>3.17306389</v>
      </c>
      <c r="K83" s="18" t="n">
        <v>0</v>
      </c>
      <c r="L83" s="20" t="n">
        <v>0</v>
      </c>
      <c r="M83" s="18" t="n">
        <v>12.00045175</v>
      </c>
      <c r="N83" s="20" t="n">
        <v>2.05019323</v>
      </c>
      <c r="O83" s="18" t="n">
        <v>0</v>
      </c>
      <c r="P83" s="20" t="n">
        <v>0</v>
      </c>
      <c r="Q83" s="18" t="n">
        <v>0</v>
      </c>
      <c r="R83" s="20" t="n">
        <v>0</v>
      </c>
      <c r="S83" s="18" t="n">
        <v>0</v>
      </c>
      <c r="T83" s="20" t="n">
        <v>0</v>
      </c>
    </row>
    <row r="84" spans="1:20">
      <c r="A84" s="23" t="s">
        <v>644</v>
      </c>
      <c r="B84" s="24" t="n">
        <v>1887</v>
      </c>
      <c r="C84" s="25">
        <f>(1512.0/B84*100)</f>
        <v/>
      </c>
      <c r="D84" s="19" t="n">
        <v>375</v>
      </c>
      <c r="E84" s="18" t="n">
        <v>40.09208803</v>
      </c>
      <c r="F84" s="20" t="n">
        <v>3.0795215</v>
      </c>
      <c r="G84" s="18" t="n">
        <v>12.54714315</v>
      </c>
      <c r="H84" s="20" t="n">
        <v>1.86961057</v>
      </c>
      <c r="I84" s="18" t="n">
        <v>35.68266638</v>
      </c>
      <c r="J84" s="20" t="n">
        <v>3.1604845</v>
      </c>
      <c r="K84" s="18" t="n">
        <v>0</v>
      </c>
      <c r="L84" s="20" t="n">
        <v>0</v>
      </c>
      <c r="M84" s="18" t="n">
        <v>11.67810245</v>
      </c>
      <c r="N84" s="20" t="n">
        <v>1.81320367</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(11282.0/B7*100)</f>
        <v/>
      </c>
      <c r="D7" s="19" t="n">
        <v>3248</v>
      </c>
      <c r="E7" s="18" t="n">
        <v>71.51848261000001</v>
      </c>
      <c r="F7" s="20" t="n">
        <v>0.91215733</v>
      </c>
      <c r="G7" s="18" t="n">
        <v>27.74132032</v>
      </c>
      <c r="H7" s="20" t="n">
        <v>0.91715618</v>
      </c>
      <c r="I7" s="18" t="n">
        <v>0</v>
      </c>
      <c r="J7" s="20" t="n">
        <v>0</v>
      </c>
      <c r="K7" s="18" t="n">
        <v>0.1225447</v>
      </c>
      <c r="L7" s="20" t="n">
        <v>0.06448737</v>
      </c>
      <c r="M7" s="18" t="n">
        <v>0</v>
      </c>
      <c r="N7" s="20" t="n">
        <v>0</v>
      </c>
      <c r="O7" s="18" t="n">
        <v>0</v>
      </c>
      <c r="P7" s="20" t="n">
        <v>0</v>
      </c>
      <c r="Q7" s="18" t="n">
        <v>0.61765237</v>
      </c>
      <c r="R7" s="20" t="n">
        <v>0.15537291</v>
      </c>
    </row>
    <row r="8" spans="1:18">
      <c r="A8" s="15" t="s">
        <v>566</v>
      </c>
      <c r="B8" s="17" t="n">
        <v>7007</v>
      </c>
      <c r="C8" s="18">
        <f>(5493.0/B8*100)</f>
        <v/>
      </c>
      <c r="D8" s="19" t="n">
        <v>1514</v>
      </c>
      <c r="E8" s="18" t="n">
        <v>65.65959460000001</v>
      </c>
      <c r="F8" s="20" t="n">
        <v>1.71503626</v>
      </c>
      <c r="G8" s="18" t="n">
        <v>33.94018638</v>
      </c>
      <c r="H8" s="20" t="n">
        <v>1.71776468</v>
      </c>
      <c r="I8" s="18" t="n">
        <v>0</v>
      </c>
      <c r="J8" s="20" t="n">
        <v>0</v>
      </c>
      <c r="K8" s="18" t="n">
        <v>0</v>
      </c>
      <c r="L8" s="20" t="n">
        <v>0</v>
      </c>
      <c r="M8" s="18" t="n">
        <v>0</v>
      </c>
      <c r="N8" s="20" t="n">
        <v>0</v>
      </c>
      <c r="O8" s="18" t="n">
        <v>0</v>
      </c>
      <c r="P8" s="20" t="n">
        <v>0</v>
      </c>
      <c r="Q8" s="18" t="n">
        <v>0.40021902</v>
      </c>
      <c r="R8" s="20" t="n">
        <v>0.15550563</v>
      </c>
    </row>
    <row r="9" spans="1:18">
      <c r="A9" s="15" t="s">
        <v>567</v>
      </c>
      <c r="B9" s="17" t="n">
        <v>9651</v>
      </c>
      <c r="C9" s="18">
        <f>(7597.0/B9*100)</f>
        <v/>
      </c>
      <c r="D9" s="19" t="n">
        <v>2054</v>
      </c>
      <c r="E9" s="18" t="n">
        <v>74.60508268</v>
      </c>
      <c r="F9" s="20" t="n">
        <v>1.06338</v>
      </c>
      <c r="G9" s="18" t="n">
        <v>24.66909103</v>
      </c>
      <c r="H9" s="20" t="n">
        <v>1.03575801</v>
      </c>
      <c r="I9" s="18" t="n">
        <v>0</v>
      </c>
      <c r="J9" s="20" t="n">
        <v>0</v>
      </c>
      <c r="K9" s="18" t="n">
        <v>0</v>
      </c>
      <c r="L9" s="20" t="n">
        <v>0</v>
      </c>
      <c r="M9" s="18" t="n">
        <v>0</v>
      </c>
      <c r="N9" s="20" t="n">
        <v>0</v>
      </c>
      <c r="O9" s="18" t="n">
        <v>0</v>
      </c>
      <c r="P9" s="20" t="n">
        <v>0</v>
      </c>
      <c r="Q9" s="18" t="n">
        <v>0.7258263</v>
      </c>
      <c r="R9" s="20" t="n">
        <v>0.17290929</v>
      </c>
    </row>
    <row r="10" spans="1:18">
      <c r="A10" s="15" t="s">
        <v>568</v>
      </c>
      <c r="B10" s="17" t="n">
        <v>20058</v>
      </c>
      <c r="C10" s="18">
        <f>(15511.0/B10*100)</f>
        <v/>
      </c>
      <c r="D10" s="19" t="n">
        <v>4547</v>
      </c>
      <c r="E10" s="18" t="n">
        <v>74.92094548999999</v>
      </c>
      <c r="F10" s="20" t="n">
        <v>0.87894982</v>
      </c>
      <c r="G10" s="18" t="n">
        <v>24.85777662</v>
      </c>
      <c r="H10" s="20" t="n">
        <v>0.8814559</v>
      </c>
      <c r="I10" s="18" t="n">
        <v>0</v>
      </c>
      <c r="J10" s="20" t="n">
        <v>0</v>
      </c>
      <c r="K10" s="18" t="n">
        <v>0</v>
      </c>
      <c r="L10" s="20" t="n">
        <v>0</v>
      </c>
      <c r="M10" s="18" t="n">
        <v>0</v>
      </c>
      <c r="N10" s="20" t="n">
        <v>0</v>
      </c>
      <c r="O10" s="18" t="n">
        <v>0</v>
      </c>
      <c r="P10" s="20" t="n">
        <v>0</v>
      </c>
      <c r="Q10" s="18" t="n">
        <v>0.22127789</v>
      </c>
      <c r="R10" s="20" t="n">
        <v>0.05667383</v>
      </c>
    </row>
    <row r="11" spans="1:18">
      <c r="A11" s="15" t="s">
        <v>569</v>
      </c>
      <c r="B11" s="17" t="n">
        <v>7053</v>
      </c>
      <c r="C11" s="18">
        <f>(5445.0/B11*100)</f>
        <v/>
      </c>
      <c r="D11" s="19" t="n">
        <v>1608</v>
      </c>
      <c r="E11" s="18" t="n">
        <v>75.69053039000001</v>
      </c>
      <c r="F11" s="20" t="n">
        <v>1.27052698</v>
      </c>
      <c r="G11" s="18" t="n">
        <v>23.34061998</v>
      </c>
      <c r="H11" s="20" t="n">
        <v>1.23457841</v>
      </c>
      <c r="I11" s="18" t="n">
        <v>0</v>
      </c>
      <c r="J11" s="20" t="n">
        <v>0</v>
      </c>
      <c r="K11" s="18" t="n">
        <v>0</v>
      </c>
      <c r="L11" s="20" t="n">
        <v>0</v>
      </c>
      <c r="M11" s="18" t="n">
        <v>0</v>
      </c>
      <c r="N11" s="20" t="n">
        <v>0</v>
      </c>
      <c r="O11" s="18" t="n">
        <v>0</v>
      </c>
      <c r="P11" s="20" t="n">
        <v>0</v>
      </c>
      <c r="Q11" s="18" t="n">
        <v>0.96884963</v>
      </c>
      <c r="R11" s="20" t="n">
        <v>0.2793486</v>
      </c>
    </row>
    <row r="12" spans="1:18">
      <c r="A12" s="15" t="s">
        <v>570</v>
      </c>
      <c r="B12" s="17" t="n">
        <v>6894</v>
      </c>
      <c r="C12" s="18">
        <f>(5398.0/B12*100)</f>
        <v/>
      </c>
      <c r="D12" s="19" t="n">
        <v>1496</v>
      </c>
      <c r="E12" s="18" t="n">
        <v>60.78404297</v>
      </c>
      <c r="F12" s="20" t="n">
        <v>1.38177394</v>
      </c>
      <c r="G12" s="18" t="n">
        <v>38.78428241</v>
      </c>
      <c r="H12" s="20" t="n">
        <v>1.37910068</v>
      </c>
      <c r="I12" s="18" t="n">
        <v>0</v>
      </c>
      <c r="J12" s="20" t="n">
        <v>0</v>
      </c>
      <c r="K12" s="18" t="n">
        <v>0.06100358</v>
      </c>
      <c r="L12" s="20" t="n">
        <v>0.06029782</v>
      </c>
      <c r="M12" s="18" t="n">
        <v>0</v>
      </c>
      <c r="N12" s="20" t="n">
        <v>0</v>
      </c>
      <c r="O12" s="18" t="n">
        <v>0</v>
      </c>
      <c r="P12" s="20" t="n">
        <v>0</v>
      </c>
      <c r="Q12" s="18" t="n">
        <v>0.37067104</v>
      </c>
      <c r="R12" s="20" t="n">
        <v>0.17507887</v>
      </c>
    </row>
    <row r="13" spans="1:18">
      <c r="A13" s="15" t="s">
        <v>571</v>
      </c>
      <c r="B13" s="17" t="n">
        <v>7161</v>
      </c>
      <c r="C13" s="18">
        <f>(5634.0/B13*100)</f>
        <v/>
      </c>
      <c r="D13" s="19" t="n">
        <v>1527</v>
      </c>
      <c r="E13" s="18" t="n">
        <v>70.29944073</v>
      </c>
      <c r="F13" s="20" t="n">
        <v>1.48200011</v>
      </c>
      <c r="G13" s="18" t="n">
        <v>29.08027723</v>
      </c>
      <c r="H13" s="20" t="n">
        <v>1.50561941</v>
      </c>
      <c r="I13" s="18" t="n">
        <v>0</v>
      </c>
      <c r="J13" s="20" t="n">
        <v>0</v>
      </c>
      <c r="K13" s="18" t="n">
        <v>0.19595206</v>
      </c>
      <c r="L13" s="20" t="n">
        <v>0.12458856</v>
      </c>
      <c r="M13" s="18" t="n">
        <v>0</v>
      </c>
      <c r="N13" s="20" t="n">
        <v>0</v>
      </c>
      <c r="O13" s="18" t="n">
        <v>0</v>
      </c>
      <c r="P13" s="20" t="n">
        <v>0</v>
      </c>
      <c r="Q13" s="18" t="n">
        <v>0.42432999</v>
      </c>
      <c r="R13" s="20" t="n">
        <v>0.20722748</v>
      </c>
    </row>
    <row r="14" spans="1:18">
      <c r="A14" s="15" t="s">
        <v>572</v>
      </c>
      <c r="B14" s="17" t="n">
        <v>5587</v>
      </c>
      <c r="C14" s="18">
        <f>(4335.0/B14*100)</f>
        <v/>
      </c>
      <c r="D14" s="19" t="n">
        <v>1252</v>
      </c>
      <c r="E14" s="18" t="n">
        <v>69.66156526</v>
      </c>
      <c r="F14" s="20" t="n">
        <v>1.3938381</v>
      </c>
      <c r="G14" s="18" t="n">
        <v>30.02781897</v>
      </c>
      <c r="H14" s="20" t="n">
        <v>1.39261546</v>
      </c>
      <c r="I14" s="18" t="n">
        <v>0</v>
      </c>
      <c r="J14" s="20" t="n">
        <v>0</v>
      </c>
      <c r="K14" s="18" t="n">
        <v>0.13293526</v>
      </c>
      <c r="L14" s="20" t="n">
        <v>0.09160153</v>
      </c>
      <c r="M14" s="18" t="n">
        <v>0</v>
      </c>
      <c r="N14" s="20" t="n">
        <v>0</v>
      </c>
      <c r="O14" s="18" t="n">
        <v>0</v>
      </c>
      <c r="P14" s="20" t="n">
        <v>0</v>
      </c>
      <c r="Q14" s="18" t="n">
        <v>0.17768051</v>
      </c>
      <c r="R14" s="20" t="n">
        <v>0.17701867</v>
      </c>
    </row>
    <row r="15" spans="1:18">
      <c r="A15" s="15" t="s">
        <v>573</v>
      </c>
      <c r="B15" s="17" t="n">
        <v>5882</v>
      </c>
      <c r="C15" s="18">
        <f>(4570.0/B15*100)</f>
        <v/>
      </c>
      <c r="D15" s="19" t="n">
        <v>1312</v>
      </c>
      <c r="E15" s="18" t="n">
        <v>67.84710523</v>
      </c>
      <c r="F15" s="20" t="n">
        <v>1.37793451</v>
      </c>
      <c r="G15" s="18" t="n">
        <v>31.7721923</v>
      </c>
      <c r="H15" s="20" t="n">
        <v>1.36020389</v>
      </c>
      <c r="I15" s="18" t="n">
        <v>0</v>
      </c>
      <c r="J15" s="20" t="n">
        <v>0</v>
      </c>
      <c r="K15" s="18" t="n">
        <v>0.07878634</v>
      </c>
      <c r="L15" s="20" t="n">
        <v>0.07910336</v>
      </c>
      <c r="M15" s="18" t="n">
        <v>0</v>
      </c>
      <c r="N15" s="20" t="n">
        <v>0</v>
      </c>
      <c r="O15" s="18" t="n">
        <v>0</v>
      </c>
      <c r="P15" s="20" t="n">
        <v>0</v>
      </c>
      <c r="Q15" s="18" t="n">
        <v>0.30191613</v>
      </c>
      <c r="R15" s="20" t="n">
        <v>0.15449487</v>
      </c>
    </row>
    <row r="16" spans="1:18">
      <c r="A16" s="15" t="s">
        <v>574</v>
      </c>
      <c r="B16" s="17" t="n">
        <v>6108</v>
      </c>
      <c r="C16" s="18">
        <f>(4729.0/B16*100)</f>
        <v/>
      </c>
      <c r="D16" s="19" t="n">
        <v>1379</v>
      </c>
      <c r="E16" s="18" t="n">
        <v>74.79218292</v>
      </c>
      <c r="F16" s="20" t="n">
        <v>1.17901492</v>
      </c>
      <c r="G16" s="18" t="n">
        <v>23.97875207</v>
      </c>
      <c r="H16" s="20" t="n">
        <v>1.19464012</v>
      </c>
      <c r="I16" s="18" t="n">
        <v>0</v>
      </c>
      <c r="J16" s="20" t="n">
        <v>0</v>
      </c>
      <c r="K16" s="18" t="n">
        <v>0</v>
      </c>
      <c r="L16" s="20" t="n">
        <v>0</v>
      </c>
      <c r="M16" s="18" t="n">
        <v>0</v>
      </c>
      <c r="N16" s="20" t="n">
        <v>0</v>
      </c>
      <c r="O16" s="18" t="n">
        <v>0</v>
      </c>
      <c r="P16" s="20" t="n">
        <v>0</v>
      </c>
      <c r="Q16" s="18" t="n">
        <v>1.22906501</v>
      </c>
      <c r="R16" s="20" t="n">
        <v>0.28866303</v>
      </c>
    </row>
    <row r="17" spans="1:18">
      <c r="A17" s="15" t="s">
        <v>575</v>
      </c>
      <c r="B17" s="17" t="n">
        <v>6504</v>
      </c>
      <c r="C17" s="18">
        <f>(5076.0/B17*100)</f>
        <v/>
      </c>
      <c r="D17" s="19" t="n">
        <v>1428</v>
      </c>
      <c r="E17" s="18" t="n">
        <v>64.11791261</v>
      </c>
      <c r="F17" s="20" t="n">
        <v>1.42990437</v>
      </c>
      <c r="G17" s="18" t="n">
        <v>35.54662446</v>
      </c>
      <c r="H17" s="20" t="n">
        <v>1.4404985</v>
      </c>
      <c r="I17" s="18" t="n">
        <v>0</v>
      </c>
      <c r="J17" s="20" t="n">
        <v>0</v>
      </c>
      <c r="K17" s="18" t="n">
        <v>0.14321507</v>
      </c>
      <c r="L17" s="20" t="n">
        <v>0.14214665</v>
      </c>
      <c r="M17" s="18" t="n">
        <v>0</v>
      </c>
      <c r="N17" s="20" t="n">
        <v>0</v>
      </c>
      <c r="O17" s="18" t="n">
        <v>0</v>
      </c>
      <c r="P17" s="20" t="n">
        <v>0</v>
      </c>
      <c r="Q17" s="18" t="n">
        <v>0.19224786</v>
      </c>
      <c r="R17" s="20" t="n">
        <v>0.11145759</v>
      </c>
    </row>
    <row r="18" spans="1:18">
      <c r="A18" s="15" t="s">
        <v>576</v>
      </c>
      <c r="B18" s="17" t="n">
        <v>5532</v>
      </c>
      <c r="C18" s="18">
        <f>(4309.0/B18*100)</f>
        <v/>
      </c>
      <c r="D18" s="19" t="n">
        <v>1223</v>
      </c>
      <c r="E18" s="18" t="n">
        <v>76.54244584</v>
      </c>
      <c r="F18" s="20" t="n">
        <v>1.5762868</v>
      </c>
      <c r="G18" s="18" t="n">
        <v>22.59608843</v>
      </c>
      <c r="H18" s="20" t="n">
        <v>1.46293252</v>
      </c>
      <c r="I18" s="18" t="n">
        <v>0</v>
      </c>
      <c r="J18" s="20" t="n">
        <v>0</v>
      </c>
      <c r="K18" s="18" t="n">
        <v>0.24176187</v>
      </c>
      <c r="L18" s="20" t="n">
        <v>0.14205942</v>
      </c>
      <c r="M18" s="18" t="n">
        <v>0</v>
      </c>
      <c r="N18" s="20" t="n">
        <v>0</v>
      </c>
      <c r="O18" s="18" t="n">
        <v>0</v>
      </c>
      <c r="P18" s="20" t="n">
        <v>0</v>
      </c>
      <c r="Q18" s="18" t="n">
        <v>0.61970386</v>
      </c>
      <c r="R18" s="20" t="n">
        <v>0.23684496</v>
      </c>
    </row>
    <row r="19" spans="1:18">
      <c r="A19" s="15" t="s">
        <v>577</v>
      </c>
      <c r="B19" s="17" t="n">
        <v>5658</v>
      </c>
      <c r="C19" s="18">
        <f>(4366.0/B19*100)</f>
        <v/>
      </c>
      <c r="D19" s="19" t="n">
        <v>1292</v>
      </c>
      <c r="E19" s="18" t="n">
        <v>63.88647641</v>
      </c>
      <c r="F19" s="20" t="n">
        <v>1.43589112</v>
      </c>
      <c r="G19" s="18" t="n">
        <v>35.2512173</v>
      </c>
      <c r="H19" s="20" t="n">
        <v>1.41471942</v>
      </c>
      <c r="I19" s="18" t="n">
        <v>0</v>
      </c>
      <c r="J19" s="20" t="n">
        <v>0</v>
      </c>
      <c r="K19" s="18" t="n">
        <v>0</v>
      </c>
      <c r="L19" s="20" t="n">
        <v>0</v>
      </c>
      <c r="M19" s="18" t="n">
        <v>0</v>
      </c>
      <c r="N19" s="20" t="n">
        <v>0</v>
      </c>
      <c r="O19" s="18" t="n">
        <v>0</v>
      </c>
      <c r="P19" s="20" t="n">
        <v>0</v>
      </c>
      <c r="Q19" s="18" t="n">
        <v>0.86230629</v>
      </c>
      <c r="R19" s="20" t="n">
        <v>0.28316864</v>
      </c>
    </row>
    <row r="20" spans="1:18">
      <c r="A20" s="15" t="s">
        <v>578</v>
      </c>
      <c r="B20" s="17" t="n">
        <v>3371</v>
      </c>
      <c r="C20" s="18">
        <f>(2596.0/B20*100)</f>
        <v/>
      </c>
      <c r="D20" s="19" t="n">
        <v>775</v>
      </c>
      <c r="E20" s="18" t="n">
        <v>78.35025271000001</v>
      </c>
      <c r="F20" s="20" t="n">
        <v>1.27578359</v>
      </c>
      <c r="G20" s="18" t="n">
        <v>20.10777</v>
      </c>
      <c r="H20" s="20" t="n">
        <v>1.21826189</v>
      </c>
      <c r="I20" s="18" t="n">
        <v>0</v>
      </c>
      <c r="J20" s="20" t="n">
        <v>0</v>
      </c>
      <c r="K20" s="18" t="n">
        <v>0.2545692</v>
      </c>
      <c r="L20" s="20" t="n">
        <v>0.15872082</v>
      </c>
      <c r="M20" s="18" t="n">
        <v>0</v>
      </c>
      <c r="N20" s="20" t="n">
        <v>0</v>
      </c>
      <c r="O20" s="18" t="n">
        <v>0</v>
      </c>
      <c r="P20" s="20" t="n">
        <v>0</v>
      </c>
      <c r="Q20" s="18" t="n">
        <v>1.28740809</v>
      </c>
      <c r="R20" s="20" t="n">
        <v>0.43764087</v>
      </c>
    </row>
    <row r="21" spans="1:18">
      <c r="A21" s="15" t="s">
        <v>579</v>
      </c>
      <c r="B21" s="17" t="n">
        <v>5741</v>
      </c>
      <c r="C21" s="18">
        <f>(4483.0/B21*100)</f>
        <v/>
      </c>
      <c r="D21" s="19" t="n">
        <v>1258</v>
      </c>
      <c r="E21" s="18" t="n">
        <v>74.87099809999999</v>
      </c>
      <c r="F21" s="20" t="n">
        <v>1.30802039</v>
      </c>
      <c r="G21" s="18" t="n">
        <v>24.31423624</v>
      </c>
      <c r="H21" s="20" t="n">
        <v>1.26184229</v>
      </c>
      <c r="I21" s="18" t="n">
        <v>0</v>
      </c>
      <c r="J21" s="20" t="n">
        <v>0</v>
      </c>
      <c r="K21" s="18" t="n">
        <v>0</v>
      </c>
      <c r="L21" s="20" t="n">
        <v>0</v>
      </c>
      <c r="M21" s="18" t="n">
        <v>0</v>
      </c>
      <c r="N21" s="20" t="n">
        <v>0</v>
      </c>
      <c r="O21" s="18" t="n">
        <v>0</v>
      </c>
      <c r="P21" s="20" t="n">
        <v>0</v>
      </c>
      <c r="Q21" s="18" t="n">
        <v>0.81476565</v>
      </c>
      <c r="R21" s="20" t="n">
        <v>0.2569426</v>
      </c>
    </row>
    <row r="22" spans="1:18">
      <c r="A22" s="15" t="s">
        <v>580</v>
      </c>
      <c r="B22" s="17" t="n">
        <v>6598</v>
      </c>
      <c r="C22" s="18">
        <f>(5118.0/B22*100)</f>
        <v/>
      </c>
      <c r="D22" s="19" t="n">
        <v>1480</v>
      </c>
      <c r="E22" s="18" t="n">
        <v>72.50662271</v>
      </c>
      <c r="F22" s="20" t="n">
        <v>1.3549292</v>
      </c>
      <c r="G22" s="18" t="n">
        <v>25.89822252</v>
      </c>
      <c r="H22" s="20" t="n">
        <v>1.32239297</v>
      </c>
      <c r="I22" s="18" t="n">
        <v>0</v>
      </c>
      <c r="J22" s="20" t="n">
        <v>0</v>
      </c>
      <c r="K22" s="18" t="n">
        <v>0.12127071</v>
      </c>
      <c r="L22" s="20" t="n">
        <v>0.0877681</v>
      </c>
      <c r="M22" s="18" t="n">
        <v>0</v>
      </c>
      <c r="N22" s="20" t="n">
        <v>0</v>
      </c>
      <c r="O22" s="18" t="n">
        <v>0</v>
      </c>
      <c r="P22" s="20" t="n">
        <v>0</v>
      </c>
      <c r="Q22" s="18" t="n">
        <v>1.47388406</v>
      </c>
      <c r="R22" s="20" t="n">
        <v>0.36013122</v>
      </c>
    </row>
    <row r="23" spans="1:18">
      <c r="A23" s="15" t="s">
        <v>581</v>
      </c>
      <c r="B23" s="17" t="n">
        <v>11583</v>
      </c>
      <c r="C23" s="18">
        <f>(9054.0/B23*100)</f>
        <v/>
      </c>
      <c r="D23" s="19" t="n">
        <v>2529</v>
      </c>
      <c r="E23" s="18" t="n">
        <v>74.41612074</v>
      </c>
      <c r="F23" s="20" t="n">
        <v>1.35167351</v>
      </c>
      <c r="G23" s="18" t="n">
        <v>24.35744097</v>
      </c>
      <c r="H23" s="20" t="n">
        <v>1.36992491</v>
      </c>
      <c r="I23" s="18" t="n">
        <v>0</v>
      </c>
      <c r="J23" s="20" t="n">
        <v>0</v>
      </c>
      <c r="K23" s="18" t="n">
        <v>0.34265953</v>
      </c>
      <c r="L23" s="20" t="n">
        <v>0.19221696</v>
      </c>
      <c r="M23" s="18" t="n">
        <v>0</v>
      </c>
      <c r="N23" s="20" t="n">
        <v>0</v>
      </c>
      <c r="O23" s="18" t="n">
        <v>0</v>
      </c>
      <c r="P23" s="20" t="n">
        <v>0</v>
      </c>
      <c r="Q23" s="18" t="n">
        <v>0.88377877</v>
      </c>
      <c r="R23" s="20" t="n">
        <v>0.30350416</v>
      </c>
    </row>
    <row r="24" spans="1:18">
      <c r="A24" s="15" t="s">
        <v>582</v>
      </c>
      <c r="B24" s="17" t="n">
        <v>6647</v>
      </c>
      <c r="C24" s="18">
        <f>(5155.0/B24*100)</f>
        <v/>
      </c>
      <c r="D24" s="19" t="n">
        <v>1492</v>
      </c>
      <c r="E24" s="18" t="n">
        <v>76.48852115</v>
      </c>
      <c r="F24" s="20" t="n">
        <v>1.33379771</v>
      </c>
      <c r="G24" s="18" t="n">
        <v>22.9825673</v>
      </c>
      <c r="H24" s="20" t="n">
        <v>1.32701186</v>
      </c>
      <c r="I24" s="18" t="n">
        <v>0</v>
      </c>
      <c r="J24" s="20" t="n">
        <v>0</v>
      </c>
      <c r="K24" s="18" t="n">
        <v>0</v>
      </c>
      <c r="L24" s="20" t="n">
        <v>0</v>
      </c>
      <c r="M24" s="18" t="n">
        <v>0</v>
      </c>
      <c r="N24" s="20" t="n">
        <v>0</v>
      </c>
      <c r="O24" s="18" t="n">
        <v>0</v>
      </c>
      <c r="P24" s="20" t="n">
        <v>0</v>
      </c>
      <c r="Q24" s="18" t="n">
        <v>0.52891155</v>
      </c>
      <c r="R24" s="20" t="n">
        <v>0.18794139</v>
      </c>
    </row>
    <row r="25" spans="1:18">
      <c r="A25" s="15" t="s">
        <v>583</v>
      </c>
      <c r="B25" s="17" t="n">
        <v>5581</v>
      </c>
      <c r="C25" s="18">
        <f>(4341.0/B25*100)</f>
        <v/>
      </c>
      <c r="D25" s="19" t="n">
        <v>1240</v>
      </c>
      <c r="E25" s="18" t="n">
        <v>88.06827414</v>
      </c>
      <c r="F25" s="20" t="n">
        <v>0.82117472</v>
      </c>
      <c r="G25" s="18" t="n">
        <v>11.29868477</v>
      </c>
      <c r="H25" s="20" t="n">
        <v>0.80871662</v>
      </c>
      <c r="I25" s="18" t="n">
        <v>0</v>
      </c>
      <c r="J25" s="20" t="n">
        <v>0</v>
      </c>
      <c r="K25" s="18" t="n">
        <v>0.32521405</v>
      </c>
      <c r="L25" s="20" t="n">
        <v>0.21838672</v>
      </c>
      <c r="M25" s="18" t="n">
        <v>0</v>
      </c>
      <c r="N25" s="20" t="n">
        <v>0</v>
      </c>
      <c r="O25" s="18" t="n">
        <v>0</v>
      </c>
      <c r="P25" s="20" t="n">
        <v>0</v>
      </c>
      <c r="Q25" s="18" t="n">
        <v>0.30782705</v>
      </c>
      <c r="R25" s="20" t="n">
        <v>0.15379327</v>
      </c>
    </row>
    <row r="26" spans="1:18">
      <c r="A26" s="15" t="s">
        <v>584</v>
      </c>
      <c r="B26" s="17" t="n">
        <v>4869</v>
      </c>
      <c r="C26" s="18">
        <f>(3798.0/B26*100)</f>
        <v/>
      </c>
      <c r="D26" s="19" t="n">
        <v>1071</v>
      </c>
      <c r="E26" s="18" t="n">
        <v>72.6293807</v>
      </c>
      <c r="F26" s="20" t="n">
        <v>1.24521843</v>
      </c>
      <c r="G26" s="18" t="n">
        <v>27.04647504</v>
      </c>
      <c r="H26" s="20" t="n">
        <v>1.24429572</v>
      </c>
      <c r="I26" s="18" t="n">
        <v>0</v>
      </c>
      <c r="J26" s="20" t="n">
        <v>0</v>
      </c>
      <c r="K26" s="18" t="n">
        <v>0</v>
      </c>
      <c r="L26" s="20" t="n">
        <v>0</v>
      </c>
      <c r="M26" s="18" t="n">
        <v>0</v>
      </c>
      <c r="N26" s="20" t="n">
        <v>0</v>
      </c>
      <c r="O26" s="18" t="n">
        <v>0</v>
      </c>
      <c r="P26" s="20" t="n">
        <v>0</v>
      </c>
      <c r="Q26" s="18" t="n">
        <v>0.32414425</v>
      </c>
      <c r="R26" s="20" t="n">
        <v>0.16086944</v>
      </c>
    </row>
    <row r="27" spans="1:18">
      <c r="A27" s="15" t="s">
        <v>585</v>
      </c>
      <c r="B27" s="17" t="n">
        <v>5299</v>
      </c>
      <c r="C27" s="18">
        <f>(4129.0/B27*100)</f>
        <v/>
      </c>
      <c r="D27" s="19" t="n">
        <v>1170</v>
      </c>
      <c r="E27" s="18" t="n">
        <v>73.0230808</v>
      </c>
      <c r="F27" s="20" t="n">
        <v>1.31706512</v>
      </c>
      <c r="G27" s="18" t="n">
        <v>26.27184509</v>
      </c>
      <c r="H27" s="20" t="n">
        <v>1.32068513</v>
      </c>
      <c r="I27" s="18" t="n">
        <v>0</v>
      </c>
      <c r="J27" s="20" t="n">
        <v>0</v>
      </c>
      <c r="K27" s="18" t="n">
        <v>0.18160488</v>
      </c>
      <c r="L27" s="20" t="n">
        <v>0.12657718</v>
      </c>
      <c r="M27" s="18" t="n">
        <v>0</v>
      </c>
      <c r="N27" s="20" t="n">
        <v>0</v>
      </c>
      <c r="O27" s="18" t="n">
        <v>0</v>
      </c>
      <c r="P27" s="20" t="n">
        <v>0</v>
      </c>
      <c r="Q27" s="18" t="n">
        <v>0.52346922</v>
      </c>
      <c r="R27" s="20" t="n">
        <v>0.21681518</v>
      </c>
    </row>
    <row r="28" spans="1:18">
      <c r="A28" s="15" t="s">
        <v>586</v>
      </c>
      <c r="B28" s="17" t="n">
        <v>7568</v>
      </c>
      <c r="C28" s="18">
        <f>(5896.0/B28*100)</f>
        <v/>
      </c>
      <c r="D28" s="19" t="n">
        <v>1672</v>
      </c>
      <c r="E28" s="18" t="n">
        <v>90.01314867000001</v>
      </c>
      <c r="F28" s="20" t="n">
        <v>0.80703958</v>
      </c>
      <c r="G28" s="18" t="n">
        <v>8.94709724</v>
      </c>
      <c r="H28" s="20" t="n">
        <v>0.7686121299999999</v>
      </c>
      <c r="I28" s="18" t="n">
        <v>0</v>
      </c>
      <c r="J28" s="20" t="n">
        <v>0</v>
      </c>
      <c r="K28" s="18" t="n">
        <v>0.16413596</v>
      </c>
      <c r="L28" s="20" t="n">
        <v>0.12176552</v>
      </c>
      <c r="M28" s="18" t="n">
        <v>0</v>
      </c>
      <c r="N28" s="20" t="n">
        <v>0</v>
      </c>
      <c r="O28" s="18" t="n">
        <v>0</v>
      </c>
      <c r="P28" s="20" t="n">
        <v>0</v>
      </c>
      <c r="Q28" s="18" t="n">
        <v>0.87561813</v>
      </c>
      <c r="R28" s="20" t="n">
        <v>0.28576065</v>
      </c>
    </row>
    <row r="29" spans="1:18">
      <c r="A29" s="15" t="s">
        <v>587</v>
      </c>
      <c r="B29" s="17" t="n">
        <v>5385</v>
      </c>
      <c r="C29" s="18">
        <f>(4197.0/B29*100)</f>
        <v/>
      </c>
      <c r="D29" s="19" t="n">
        <v>1188</v>
      </c>
      <c r="E29" s="18" t="n">
        <v>67.90571844999999</v>
      </c>
      <c r="F29" s="20" t="n">
        <v>1.45369435</v>
      </c>
      <c r="G29" s="18" t="n">
        <v>31.4753219</v>
      </c>
      <c r="H29" s="20" t="n">
        <v>1.47065967</v>
      </c>
      <c r="I29" s="18" t="n">
        <v>0</v>
      </c>
      <c r="J29" s="20" t="n">
        <v>0</v>
      </c>
      <c r="K29" s="18" t="n">
        <v>0.06547995</v>
      </c>
      <c r="L29" s="20" t="n">
        <v>0.06484348</v>
      </c>
      <c r="M29" s="18" t="n">
        <v>0</v>
      </c>
      <c r="N29" s="20" t="n">
        <v>0</v>
      </c>
      <c r="O29" s="18" t="n">
        <v>0</v>
      </c>
      <c r="P29" s="20" t="n">
        <v>0</v>
      </c>
      <c r="Q29" s="18" t="n">
        <v>0.5534797</v>
      </c>
      <c r="R29" s="20" t="n">
        <v>0.2327579</v>
      </c>
    </row>
    <row r="30" spans="1:18">
      <c r="A30" s="15" t="s">
        <v>588</v>
      </c>
      <c r="B30" s="17" t="n">
        <v>4520</v>
      </c>
      <c r="C30" s="18">
        <f>(3495.0/B30*100)</f>
        <v/>
      </c>
      <c r="D30" s="19" t="n">
        <v>1025</v>
      </c>
      <c r="E30" s="18" t="n">
        <v>71.21554894000001</v>
      </c>
      <c r="F30" s="20" t="n">
        <v>1.38022482</v>
      </c>
      <c r="G30" s="18" t="n">
        <v>28.12727496</v>
      </c>
      <c r="H30" s="20" t="n">
        <v>1.38913082</v>
      </c>
      <c r="I30" s="18" t="n">
        <v>0</v>
      </c>
      <c r="J30" s="20" t="n">
        <v>0</v>
      </c>
      <c r="K30" s="18" t="n">
        <v>0.17264685</v>
      </c>
      <c r="L30" s="20" t="n">
        <v>0.12428434</v>
      </c>
      <c r="M30" s="18" t="n">
        <v>0</v>
      </c>
      <c r="N30" s="20" t="n">
        <v>0</v>
      </c>
      <c r="O30" s="18" t="n">
        <v>0</v>
      </c>
      <c r="P30" s="20" t="n">
        <v>0</v>
      </c>
      <c r="Q30" s="18" t="n">
        <v>0.48452925</v>
      </c>
      <c r="R30" s="20" t="n">
        <v>0.08956327</v>
      </c>
    </row>
    <row r="31" spans="1:18">
      <c r="A31" s="15" t="s">
        <v>589</v>
      </c>
      <c r="B31" s="17" t="n">
        <v>5456</v>
      </c>
      <c r="C31" s="18">
        <f>(4220.0/B31*100)</f>
        <v/>
      </c>
      <c r="D31" s="19" t="n">
        <v>1236</v>
      </c>
      <c r="E31" s="18" t="n">
        <v>70.71815856000001</v>
      </c>
      <c r="F31" s="20" t="n">
        <v>1.17971517</v>
      </c>
      <c r="G31" s="18" t="n">
        <v>28.52403299</v>
      </c>
      <c r="H31" s="20" t="n">
        <v>1.16093963</v>
      </c>
      <c r="I31" s="18" t="n">
        <v>0</v>
      </c>
      <c r="J31" s="20" t="n">
        <v>0</v>
      </c>
      <c r="K31" s="18" t="n">
        <v>0.08006812000000001</v>
      </c>
      <c r="L31" s="20" t="n">
        <v>0.08004865</v>
      </c>
      <c r="M31" s="18" t="n">
        <v>0</v>
      </c>
      <c r="N31" s="20" t="n">
        <v>0</v>
      </c>
      <c r="O31" s="18" t="n">
        <v>0</v>
      </c>
      <c r="P31" s="20" t="n">
        <v>0</v>
      </c>
      <c r="Q31" s="18" t="n">
        <v>0.67774033</v>
      </c>
      <c r="R31" s="20" t="n">
        <v>0.22277475</v>
      </c>
    </row>
    <row r="32" spans="1:18">
      <c r="A32" s="15" t="s">
        <v>590</v>
      </c>
      <c r="B32" s="17" t="n">
        <v>4478</v>
      </c>
      <c r="C32" s="18">
        <f>(3477.0/B32*100)</f>
        <v/>
      </c>
      <c r="D32" s="19" t="n">
        <v>1001</v>
      </c>
      <c r="E32" s="18" t="n">
        <v>67.35388167000001</v>
      </c>
      <c r="F32" s="20" t="n">
        <v>1.54224525</v>
      </c>
      <c r="G32" s="18" t="n">
        <v>32.55125904</v>
      </c>
      <c r="H32" s="20" t="n">
        <v>1.54115936</v>
      </c>
      <c r="I32" s="18" t="n">
        <v>0</v>
      </c>
      <c r="J32" s="20" t="n">
        <v>0</v>
      </c>
      <c r="K32" s="18" t="n">
        <v>0</v>
      </c>
      <c r="L32" s="20" t="n">
        <v>0</v>
      </c>
      <c r="M32" s="18" t="n">
        <v>0</v>
      </c>
      <c r="N32" s="20" t="n">
        <v>0</v>
      </c>
      <c r="O32" s="18" t="n">
        <v>0</v>
      </c>
      <c r="P32" s="20" t="n">
        <v>0</v>
      </c>
      <c r="Q32" s="18" t="n">
        <v>0.09485929999999999</v>
      </c>
      <c r="R32" s="20" t="n">
        <v>0.10112214</v>
      </c>
    </row>
    <row r="33" spans="1:18">
      <c r="A33" s="15" t="s">
        <v>591</v>
      </c>
      <c r="B33" s="17" t="n">
        <v>7325</v>
      </c>
      <c r="C33" s="18">
        <f>(5741.0/B33*100)</f>
        <v/>
      </c>
      <c r="D33" s="19" t="n">
        <v>1584</v>
      </c>
      <c r="E33" s="18" t="n">
        <v>86.12732649</v>
      </c>
      <c r="F33" s="20" t="n">
        <v>1.20955898</v>
      </c>
      <c r="G33" s="18" t="n">
        <v>13.18383338</v>
      </c>
      <c r="H33" s="20" t="n">
        <v>1.20356937</v>
      </c>
      <c r="I33" s="18" t="n">
        <v>0</v>
      </c>
      <c r="J33" s="20" t="n">
        <v>0</v>
      </c>
      <c r="K33" s="18" t="n">
        <v>0.12524964</v>
      </c>
      <c r="L33" s="20" t="n">
        <v>0.14848439</v>
      </c>
      <c r="M33" s="18" t="n">
        <v>0</v>
      </c>
      <c r="N33" s="20" t="n">
        <v>0</v>
      </c>
      <c r="O33" s="18" t="n">
        <v>0</v>
      </c>
      <c r="P33" s="20" t="n">
        <v>0</v>
      </c>
      <c r="Q33" s="18" t="n">
        <v>0.56359048</v>
      </c>
      <c r="R33" s="20" t="n">
        <v>0.18989705</v>
      </c>
    </row>
    <row r="34" spans="1:18">
      <c r="A34" s="15" t="s">
        <v>592</v>
      </c>
      <c r="B34" s="17" t="n">
        <v>6350</v>
      </c>
      <c r="C34" s="18">
        <f>(4933.0/B34*100)</f>
        <v/>
      </c>
      <c r="D34" s="19" t="n">
        <v>1417</v>
      </c>
      <c r="E34" s="18" t="n">
        <v>76.04910046000001</v>
      </c>
      <c r="F34" s="20" t="n">
        <v>1.28623189</v>
      </c>
      <c r="G34" s="18" t="n">
        <v>23.11902771</v>
      </c>
      <c r="H34" s="20" t="n">
        <v>1.31364986</v>
      </c>
      <c r="I34" s="18" t="n">
        <v>0</v>
      </c>
      <c r="J34" s="20" t="n">
        <v>0</v>
      </c>
      <c r="K34" s="18" t="n">
        <v>0.12707793</v>
      </c>
      <c r="L34" s="20" t="n">
        <v>0.08974636</v>
      </c>
      <c r="M34" s="18" t="n">
        <v>0</v>
      </c>
      <c r="N34" s="20" t="n">
        <v>0</v>
      </c>
      <c r="O34" s="18" t="n">
        <v>0</v>
      </c>
      <c r="P34" s="20" t="n">
        <v>0</v>
      </c>
      <c r="Q34" s="18" t="n">
        <v>0.7047939</v>
      </c>
      <c r="R34" s="20" t="n">
        <v>0.2850576</v>
      </c>
    </row>
    <row r="35" spans="1:18">
      <c r="A35" s="15" t="s">
        <v>593</v>
      </c>
      <c r="B35" s="17" t="n">
        <v>6406</v>
      </c>
      <c r="C35" s="18">
        <f>(5028.0/B35*100)</f>
        <v/>
      </c>
      <c r="D35" s="19" t="n">
        <v>1378</v>
      </c>
      <c r="E35" s="18" t="n">
        <v>56.93337699</v>
      </c>
      <c r="F35" s="20" t="n">
        <v>1.52842685</v>
      </c>
      <c r="G35" s="18" t="n">
        <v>42.2685182</v>
      </c>
      <c r="H35" s="20" t="n">
        <v>1.49908759</v>
      </c>
      <c r="I35" s="18" t="n">
        <v>0</v>
      </c>
      <c r="J35" s="20" t="n">
        <v>0</v>
      </c>
      <c r="K35" s="18" t="n">
        <v>0.48241959</v>
      </c>
      <c r="L35" s="20" t="n">
        <v>0.36625428</v>
      </c>
      <c r="M35" s="18" t="n">
        <v>0</v>
      </c>
      <c r="N35" s="20" t="n">
        <v>0</v>
      </c>
      <c r="O35" s="18" t="n">
        <v>0</v>
      </c>
      <c r="P35" s="20" t="n">
        <v>0</v>
      </c>
      <c r="Q35" s="18" t="n">
        <v>0.31568522</v>
      </c>
      <c r="R35" s="20" t="n">
        <v>0.17059311</v>
      </c>
    </row>
    <row r="36" spans="1:18">
      <c r="A36" s="15" t="s">
        <v>594</v>
      </c>
      <c r="B36" s="17" t="n">
        <v>6736</v>
      </c>
      <c r="C36" s="18">
        <f>(5262.0/B36*100)</f>
        <v/>
      </c>
      <c r="D36" s="19" t="n">
        <v>1474</v>
      </c>
      <c r="E36" s="18" t="n">
        <v>73.62180234</v>
      </c>
      <c r="F36" s="20" t="n">
        <v>1.25896001</v>
      </c>
      <c r="G36" s="18" t="n">
        <v>26.10160601</v>
      </c>
      <c r="H36" s="20" t="n">
        <v>1.24531482</v>
      </c>
      <c r="I36" s="18" t="n">
        <v>0</v>
      </c>
      <c r="J36" s="20" t="n">
        <v>0</v>
      </c>
      <c r="K36" s="18" t="n">
        <v>0</v>
      </c>
      <c r="L36" s="20" t="n">
        <v>0</v>
      </c>
      <c r="M36" s="18" t="n">
        <v>0</v>
      </c>
      <c r="N36" s="20" t="n">
        <v>0</v>
      </c>
      <c r="O36" s="18" t="n">
        <v>0</v>
      </c>
      <c r="P36" s="20" t="n">
        <v>0</v>
      </c>
      <c r="Q36" s="18" t="n">
        <v>0.27659165</v>
      </c>
      <c r="R36" s="20" t="n">
        <v>0.15784224</v>
      </c>
    </row>
    <row r="37" spans="1:18">
      <c r="A37" s="15" t="s">
        <v>595</v>
      </c>
      <c r="B37" s="17" t="n">
        <v>5458</v>
      </c>
      <c r="C37" s="18">
        <f>(4257.0/B37*100)</f>
        <v/>
      </c>
      <c r="D37" s="19" t="n">
        <v>1201</v>
      </c>
      <c r="E37" s="18" t="n">
        <v>67.91361214</v>
      </c>
      <c r="F37" s="20" t="n">
        <v>1.39194286</v>
      </c>
      <c r="G37" s="18" t="n">
        <v>31.27649809</v>
      </c>
      <c r="H37" s="20" t="n">
        <v>1.35830063</v>
      </c>
      <c r="I37" s="18" t="n">
        <v>0</v>
      </c>
      <c r="J37" s="20" t="n">
        <v>0</v>
      </c>
      <c r="K37" s="18" t="n">
        <v>0.08880705999999999</v>
      </c>
      <c r="L37" s="20" t="n">
        <v>0.08897467000000001</v>
      </c>
      <c r="M37" s="18" t="n">
        <v>0</v>
      </c>
      <c r="N37" s="20" t="n">
        <v>0</v>
      </c>
      <c r="O37" s="18" t="n">
        <v>0</v>
      </c>
      <c r="P37" s="20" t="n">
        <v>0</v>
      </c>
      <c r="Q37" s="18" t="n">
        <v>0.72108271</v>
      </c>
      <c r="R37" s="20" t="n">
        <v>0.26967853</v>
      </c>
    </row>
    <row r="38" spans="1:18">
      <c r="A38" s="15" t="s">
        <v>596</v>
      </c>
      <c r="B38" s="17" t="n">
        <v>5860</v>
      </c>
      <c r="C38" s="18">
        <f>(4606.0/B38*100)</f>
        <v/>
      </c>
      <c r="D38" s="19" t="n">
        <v>1254</v>
      </c>
      <c r="E38" s="18" t="n">
        <v>68.96731601</v>
      </c>
      <c r="F38" s="20" t="n">
        <v>1.39880853</v>
      </c>
      <c r="G38" s="18" t="n">
        <v>30.06012629</v>
      </c>
      <c r="H38" s="20" t="n">
        <v>1.44651862</v>
      </c>
      <c r="I38" s="18" t="n">
        <v>0</v>
      </c>
      <c r="J38" s="20" t="n">
        <v>0</v>
      </c>
      <c r="K38" s="18" t="n">
        <v>0</v>
      </c>
      <c r="L38" s="20" t="n">
        <v>0</v>
      </c>
      <c r="M38" s="18" t="n">
        <v>0</v>
      </c>
      <c r="N38" s="20" t="n">
        <v>0</v>
      </c>
      <c r="O38" s="18" t="n">
        <v>0</v>
      </c>
      <c r="P38" s="20" t="n">
        <v>0</v>
      </c>
      <c r="Q38" s="18" t="n">
        <v>0.9725577</v>
      </c>
      <c r="R38" s="20" t="n">
        <v>0.29227115</v>
      </c>
    </row>
    <row r="39" spans="1:18">
      <c r="A39" s="15" t="s">
        <v>597</v>
      </c>
      <c r="B39" s="17" t="n">
        <v>5895</v>
      </c>
      <c r="C39" s="18">
        <f>(4566.0/B39*100)</f>
        <v/>
      </c>
      <c r="D39" s="19" t="n">
        <v>1329</v>
      </c>
      <c r="E39" s="18" t="n">
        <v>73.18537136</v>
      </c>
      <c r="F39" s="20" t="n">
        <v>1.54370475</v>
      </c>
      <c r="G39" s="18" t="n">
        <v>26.00146248</v>
      </c>
      <c r="H39" s="20" t="n">
        <v>1.52592995</v>
      </c>
      <c r="I39" s="18" t="n">
        <v>0</v>
      </c>
      <c r="J39" s="20" t="n">
        <v>0</v>
      </c>
      <c r="K39" s="18" t="n">
        <v>0.05843781</v>
      </c>
      <c r="L39" s="20" t="n">
        <v>0.08123225000000001</v>
      </c>
      <c r="M39" s="18" t="n">
        <v>0</v>
      </c>
      <c r="N39" s="20" t="n">
        <v>0</v>
      </c>
      <c r="O39" s="18" t="n">
        <v>0</v>
      </c>
      <c r="P39" s="20" t="n">
        <v>0</v>
      </c>
      <c r="Q39" s="18" t="n">
        <v>0.75472835</v>
      </c>
      <c r="R39" s="20" t="n">
        <v>0.23155431</v>
      </c>
    </row>
    <row r="40" spans="1:18">
      <c r="A40" s="15" t="s">
        <v>598</v>
      </c>
      <c r="B40" s="17" t="n">
        <v>14157</v>
      </c>
      <c r="C40" s="18">
        <f>(11032.0/B40*100)</f>
        <v/>
      </c>
      <c r="D40" s="19" t="n">
        <v>3125</v>
      </c>
      <c r="E40" s="18" t="n">
        <v>72.94478552</v>
      </c>
      <c r="F40" s="20" t="n">
        <v>1.11507934</v>
      </c>
      <c r="G40" s="18" t="n">
        <v>26.1445906</v>
      </c>
      <c r="H40" s="20" t="n">
        <v>1.12061104</v>
      </c>
      <c r="I40" s="18" t="n">
        <v>0</v>
      </c>
      <c r="J40" s="20" t="n">
        <v>0</v>
      </c>
      <c r="K40" s="18" t="n">
        <v>0.21504764</v>
      </c>
      <c r="L40" s="20" t="n">
        <v>0.14888431</v>
      </c>
      <c r="M40" s="18" t="n">
        <v>0</v>
      </c>
      <c r="N40" s="20" t="n">
        <v>0</v>
      </c>
      <c r="O40" s="18" t="n">
        <v>0</v>
      </c>
      <c r="P40" s="20" t="n">
        <v>0</v>
      </c>
      <c r="Q40" s="18" t="n">
        <v>0.69557624</v>
      </c>
      <c r="R40" s="20" t="n">
        <v>0.21183218</v>
      </c>
    </row>
    <row r="41" spans="1:18">
      <c r="A41" s="15" t="s">
        <v>599</v>
      </c>
      <c r="B41" s="17" t="n">
        <v>5712</v>
      </c>
      <c r="C41" s="18">
        <f>(4465.0/B41*100)</f>
        <v/>
      </c>
      <c r="D41" s="19" t="n">
        <v>1247</v>
      </c>
      <c r="E41" s="18" t="n">
        <v>72.06321251999999</v>
      </c>
      <c r="F41" s="20" t="n">
        <v>1.43300046</v>
      </c>
      <c r="G41" s="18" t="n">
        <v>27.77352206</v>
      </c>
      <c r="H41" s="20" t="n">
        <v>1.44390061</v>
      </c>
      <c r="I41" s="18" t="n">
        <v>0</v>
      </c>
      <c r="J41" s="20" t="n">
        <v>0</v>
      </c>
      <c r="K41" s="18" t="n">
        <v>0.03256786</v>
      </c>
      <c r="L41" s="20" t="n">
        <v>0.03275272</v>
      </c>
      <c r="M41" s="18" t="n">
        <v>0</v>
      </c>
      <c r="N41" s="20" t="n">
        <v>0</v>
      </c>
      <c r="O41" s="18" t="n">
        <v>0</v>
      </c>
      <c r="P41" s="20" t="n">
        <v>0</v>
      </c>
      <c r="Q41" s="18" t="n">
        <v>0.13069756</v>
      </c>
      <c r="R41" s="20" t="n">
        <v>0.09641656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(18460.0/B46*100)</f>
        <v/>
      </c>
      <c r="D46" s="19" t="n">
        <v>4681</v>
      </c>
      <c r="E46" s="18" t="n">
        <v>80.67048213</v>
      </c>
      <c r="F46" s="20" t="n">
        <v>0.7611125</v>
      </c>
      <c r="G46" s="18" t="n">
        <v>17.37372045</v>
      </c>
      <c r="H46" s="20" t="n">
        <v>0.77729896</v>
      </c>
      <c r="I46" s="18" t="n">
        <v>0</v>
      </c>
      <c r="J46" s="20" t="n">
        <v>0</v>
      </c>
      <c r="K46" s="18" t="n">
        <v>0.40374775</v>
      </c>
      <c r="L46" s="20" t="n">
        <v>0.12775906</v>
      </c>
      <c r="M46" s="18" t="n">
        <v>0</v>
      </c>
      <c r="N46" s="20" t="n">
        <v>0</v>
      </c>
      <c r="O46" s="18" t="n">
        <v>0</v>
      </c>
      <c r="P46" s="20" t="n">
        <v>0</v>
      </c>
      <c r="Q46" s="18" t="n">
        <v>1.55204968</v>
      </c>
      <c r="R46" s="20" t="n">
        <v>0.25414059</v>
      </c>
    </row>
    <row r="47" spans="1:18">
      <c r="A47" s="15" t="s">
        <v>606</v>
      </c>
      <c r="B47" s="17" t="n">
        <v>5928</v>
      </c>
      <c r="C47" s="18">
        <f>(4579.0/B47*100)</f>
        <v/>
      </c>
      <c r="D47" s="19" t="n">
        <v>1349</v>
      </c>
      <c r="E47" s="18" t="n">
        <v>72.86356695000001</v>
      </c>
      <c r="F47" s="20" t="n">
        <v>1.18962605</v>
      </c>
      <c r="G47" s="18" t="n">
        <v>26.05309651</v>
      </c>
      <c r="H47" s="20" t="n">
        <v>1.16814363</v>
      </c>
      <c r="I47" s="18" t="n">
        <v>0</v>
      </c>
      <c r="J47" s="20" t="n">
        <v>0</v>
      </c>
      <c r="K47" s="18" t="n">
        <v>0</v>
      </c>
      <c r="L47" s="20" t="n">
        <v>0</v>
      </c>
      <c r="M47" s="18" t="n">
        <v>0</v>
      </c>
      <c r="N47" s="20" t="n">
        <v>0</v>
      </c>
      <c r="O47" s="18" t="n">
        <v>0</v>
      </c>
      <c r="P47" s="20" t="n">
        <v>0</v>
      </c>
      <c r="Q47" s="18" t="n">
        <v>1.08333654</v>
      </c>
      <c r="R47" s="20" t="n">
        <v>0.27325828</v>
      </c>
    </row>
    <row r="48" spans="1:18">
      <c r="A48" s="15" t="s">
        <v>607</v>
      </c>
      <c r="B48" s="17" t="n">
        <v>9841</v>
      </c>
      <c r="C48" s="18">
        <f>(7656.0/B48*100)</f>
        <v/>
      </c>
      <c r="D48" s="19" t="n">
        <v>2185</v>
      </c>
      <c r="E48" s="18" t="n">
        <v>79.66319056</v>
      </c>
      <c r="F48" s="20" t="n">
        <v>1.17127424</v>
      </c>
      <c r="G48" s="18" t="n">
        <v>18.72041179</v>
      </c>
      <c r="H48" s="20" t="n">
        <v>1.15614901</v>
      </c>
      <c r="I48" s="18" t="n">
        <v>0</v>
      </c>
      <c r="J48" s="20" t="n">
        <v>0</v>
      </c>
      <c r="K48" s="18" t="n">
        <v>0.10681287</v>
      </c>
      <c r="L48" s="20" t="n">
        <v>0.08262696999999999</v>
      </c>
      <c r="M48" s="18" t="n">
        <v>0</v>
      </c>
      <c r="N48" s="20" t="n">
        <v>0</v>
      </c>
      <c r="O48" s="18" t="n">
        <v>0</v>
      </c>
      <c r="P48" s="20" t="n">
        <v>0</v>
      </c>
      <c r="Q48" s="18" t="n">
        <v>1.50958479</v>
      </c>
      <c r="R48" s="20" t="n">
        <v>0.26308573</v>
      </c>
    </row>
    <row r="49" spans="1:18">
      <c r="A49" s="15" t="s">
        <v>608</v>
      </c>
      <c r="B49" s="17" t="n">
        <v>11795</v>
      </c>
      <c r="C49" s="18">
        <f>(9233.0/B49*100)</f>
        <v/>
      </c>
      <c r="D49" s="19" t="n">
        <v>2562</v>
      </c>
      <c r="E49" s="18" t="n">
        <v>86.47258782999999</v>
      </c>
      <c r="F49" s="20" t="n">
        <v>0.83716108</v>
      </c>
      <c r="G49" s="18" t="n">
        <v>13.3310334</v>
      </c>
      <c r="H49" s="20" t="n">
        <v>0.85099373</v>
      </c>
      <c r="I49" s="18" t="n">
        <v>0</v>
      </c>
      <c r="J49" s="20" t="n">
        <v>0</v>
      </c>
      <c r="K49" s="18" t="n">
        <v>0.08948759000000001</v>
      </c>
      <c r="L49" s="20" t="n">
        <v>0.06235325</v>
      </c>
      <c r="M49" s="18" t="n">
        <v>0</v>
      </c>
      <c r="N49" s="20" t="n">
        <v>0</v>
      </c>
      <c r="O49" s="18" t="n">
        <v>0</v>
      </c>
      <c r="P49" s="20" t="n">
        <v>0</v>
      </c>
      <c r="Q49" s="18" t="n">
        <v>0.10689117</v>
      </c>
      <c r="R49" s="20" t="n">
        <v>0.04115056</v>
      </c>
    </row>
    <row r="50" spans="1:18">
      <c r="A50" s="15" t="s">
        <v>609</v>
      </c>
      <c r="B50" s="17" t="n">
        <v>6866</v>
      </c>
      <c r="C50" s="18">
        <f>(5553.0/B50*100)</f>
        <v/>
      </c>
      <c r="D50" s="19" t="n">
        <v>1313</v>
      </c>
      <c r="E50" s="18" t="n">
        <v>88.71286404999999</v>
      </c>
      <c r="F50" s="20" t="n">
        <v>0.98643489</v>
      </c>
      <c r="G50" s="18" t="n">
        <v>10.32121767</v>
      </c>
      <c r="H50" s="20" t="n">
        <v>0.98699541</v>
      </c>
      <c r="I50" s="18" t="n">
        <v>0</v>
      </c>
      <c r="J50" s="20" t="n">
        <v>0</v>
      </c>
      <c r="K50" s="18" t="n">
        <v>0.06923077</v>
      </c>
      <c r="L50" s="20" t="n">
        <v>0.06897547</v>
      </c>
      <c r="M50" s="18" t="n">
        <v>0</v>
      </c>
      <c r="N50" s="20" t="n">
        <v>0</v>
      </c>
      <c r="O50" s="18" t="n">
        <v>0</v>
      </c>
      <c r="P50" s="20" t="n">
        <v>0</v>
      </c>
      <c r="Q50" s="18" t="n">
        <v>0.89668752</v>
      </c>
      <c r="R50" s="20" t="n">
        <v>0.2810438</v>
      </c>
    </row>
    <row r="51" spans="1:18">
      <c r="A51" s="15" t="s">
        <v>610</v>
      </c>
      <c r="B51" s="17" t="n">
        <v>5809</v>
      </c>
      <c r="C51" s="18">
        <f>(4569.0/B51*100)</f>
        <v/>
      </c>
      <c r="D51" s="19" t="n">
        <v>1240</v>
      </c>
      <c r="E51" s="18" t="n">
        <v>70.46266285999999</v>
      </c>
      <c r="F51" s="20" t="n">
        <v>1.33148396</v>
      </c>
      <c r="G51" s="18" t="n">
        <v>28.76440355</v>
      </c>
      <c r="H51" s="20" t="n">
        <v>1.38208878</v>
      </c>
      <c r="I51" s="18" t="n">
        <v>0</v>
      </c>
      <c r="J51" s="20" t="n">
        <v>0</v>
      </c>
      <c r="K51" s="18" t="n">
        <v>0</v>
      </c>
      <c r="L51" s="20" t="n">
        <v>0</v>
      </c>
      <c r="M51" s="18" t="n">
        <v>0</v>
      </c>
      <c r="N51" s="20" t="n">
        <v>0</v>
      </c>
      <c r="O51" s="18" t="n">
        <v>0</v>
      </c>
      <c r="P51" s="20" t="n">
        <v>0</v>
      </c>
      <c r="Q51" s="18" t="n">
        <v>0.7729335899999999</v>
      </c>
      <c r="R51" s="20" t="n">
        <v>0.26148404</v>
      </c>
    </row>
    <row r="52" spans="1:18">
      <c r="A52" s="15" t="s">
        <v>611</v>
      </c>
      <c r="B52" s="17" t="n">
        <v>5571</v>
      </c>
      <c r="C52" s="18">
        <f>(4380.0/B52*100)</f>
        <v/>
      </c>
      <c r="D52" s="19" t="n">
        <v>1191</v>
      </c>
      <c r="E52" s="18" t="n">
        <v>76.81405549</v>
      </c>
      <c r="F52" s="20" t="n">
        <v>1.36281264</v>
      </c>
      <c r="G52" s="18" t="n">
        <v>21.55821495</v>
      </c>
      <c r="H52" s="20" t="n">
        <v>1.26630433</v>
      </c>
      <c r="I52" s="18" t="n">
        <v>0</v>
      </c>
      <c r="J52" s="20" t="n">
        <v>0</v>
      </c>
      <c r="K52" s="18" t="n">
        <v>0.18207122</v>
      </c>
      <c r="L52" s="20" t="n">
        <v>0.10486073</v>
      </c>
      <c r="M52" s="18" t="n">
        <v>0</v>
      </c>
      <c r="N52" s="20" t="n">
        <v>0</v>
      </c>
      <c r="O52" s="18" t="n">
        <v>0</v>
      </c>
      <c r="P52" s="20" t="n">
        <v>0</v>
      </c>
      <c r="Q52" s="18" t="n">
        <v>1.44565834</v>
      </c>
      <c r="R52" s="20" t="n">
        <v>0.39730345</v>
      </c>
    </row>
    <row r="53" spans="1:18">
      <c r="A53" s="15" t="s">
        <v>612</v>
      </c>
      <c r="B53" s="17" t="n">
        <v>4740</v>
      </c>
      <c r="C53" s="18">
        <f>(3666.0/B53*100)</f>
        <v/>
      </c>
      <c r="D53" s="19" t="n">
        <v>1074</v>
      </c>
      <c r="E53" s="18" t="n">
        <v>76.54484841</v>
      </c>
      <c r="F53" s="20" t="n">
        <v>1.54490309</v>
      </c>
      <c r="G53" s="18" t="n">
        <v>12.80409214</v>
      </c>
      <c r="H53" s="20" t="n">
        <v>1.11963128</v>
      </c>
      <c r="I53" s="18" t="n">
        <v>0</v>
      </c>
      <c r="J53" s="20" t="n">
        <v>0</v>
      </c>
      <c r="K53" s="18" t="n">
        <v>7.61303214</v>
      </c>
      <c r="L53" s="20" t="n">
        <v>0.8712156</v>
      </c>
      <c r="M53" s="18" t="n">
        <v>0</v>
      </c>
      <c r="N53" s="20" t="n">
        <v>0</v>
      </c>
      <c r="O53" s="18" t="n">
        <v>0</v>
      </c>
      <c r="P53" s="20" t="n">
        <v>0</v>
      </c>
      <c r="Q53" s="18" t="n">
        <v>3.03802731</v>
      </c>
      <c r="R53" s="20" t="n">
        <v>0.72054126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(4173.0/B55*100)</f>
        <v/>
      </c>
      <c r="D55" s="19" t="n">
        <v>1186</v>
      </c>
      <c r="E55" s="18" t="n">
        <v>76.74126262</v>
      </c>
      <c r="F55" s="20" t="n">
        <v>1.25249158</v>
      </c>
      <c r="G55" s="18" t="n">
        <v>22.92813173</v>
      </c>
      <c r="H55" s="20" t="n">
        <v>1.1975565</v>
      </c>
      <c r="I55" s="18" t="n">
        <v>0</v>
      </c>
      <c r="J55" s="20" t="n">
        <v>0</v>
      </c>
      <c r="K55" s="18" t="n">
        <v>0.14813311</v>
      </c>
      <c r="L55" s="20" t="n">
        <v>0.1115697</v>
      </c>
      <c r="M55" s="18" t="n">
        <v>0</v>
      </c>
      <c r="N55" s="20" t="n">
        <v>0</v>
      </c>
      <c r="O55" s="18" t="n">
        <v>0</v>
      </c>
      <c r="P55" s="20" t="n">
        <v>0</v>
      </c>
      <c r="Q55" s="18" t="n">
        <v>0.18247254</v>
      </c>
      <c r="R55" s="20" t="n">
        <v>0.14318713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(5073.0/B61*100)</f>
        <v/>
      </c>
      <c r="D61" s="19" t="n">
        <v>1452</v>
      </c>
      <c r="E61" s="18" t="n">
        <v>66.01499686</v>
      </c>
      <c r="F61" s="20" t="n">
        <v>1.50487063</v>
      </c>
      <c r="G61" s="18" t="n">
        <v>33.24740438</v>
      </c>
      <c r="H61" s="20" t="n">
        <v>1.43519626</v>
      </c>
      <c r="I61" s="18" t="n">
        <v>0</v>
      </c>
      <c r="J61" s="20" t="n">
        <v>0</v>
      </c>
      <c r="K61" s="18" t="n">
        <v>0.16756196</v>
      </c>
      <c r="L61" s="20" t="n">
        <v>0.10521185</v>
      </c>
      <c r="M61" s="18" t="n">
        <v>0</v>
      </c>
      <c r="N61" s="20" t="n">
        <v>0</v>
      </c>
      <c r="O61" s="18" t="n">
        <v>0</v>
      </c>
      <c r="P61" s="20" t="n">
        <v>0</v>
      </c>
      <c r="Q61" s="18" t="n">
        <v>0.5700368099999999</v>
      </c>
      <c r="R61" s="20" t="n">
        <v>0.22067777</v>
      </c>
    </row>
    <row r="62" spans="1:18">
      <c r="A62" s="15" t="s">
        <v>622</v>
      </c>
      <c r="B62" s="17" t="n">
        <v>4476</v>
      </c>
      <c r="C62" s="18">
        <f>(3508.0/B62*100)</f>
        <v/>
      </c>
      <c r="D62" s="19" t="n">
        <v>968</v>
      </c>
      <c r="E62" s="18" t="n">
        <v>78.64464479</v>
      </c>
      <c r="F62" s="20" t="n">
        <v>1.38163947</v>
      </c>
      <c r="G62" s="18" t="n">
        <v>21.24917072</v>
      </c>
      <c r="H62" s="20" t="n">
        <v>1.37933261</v>
      </c>
      <c r="I62" s="18" t="n">
        <v>0</v>
      </c>
      <c r="J62" s="20" t="n">
        <v>0</v>
      </c>
      <c r="K62" s="18" t="n">
        <v>0.10618449</v>
      </c>
      <c r="L62" s="20" t="n">
        <v>0.10644555</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(4402.0/B67*100)</f>
        <v/>
      </c>
      <c r="D67" s="19" t="n">
        <v>1263</v>
      </c>
      <c r="E67" s="18" t="n">
        <v>81.54359096</v>
      </c>
      <c r="F67" s="20" t="n">
        <v>0.97053724</v>
      </c>
      <c r="G67" s="18" t="n">
        <v>15.63432293</v>
      </c>
      <c r="H67" s="20" t="n">
        <v>0.9133151900000001</v>
      </c>
      <c r="I67" s="18" t="n">
        <v>0</v>
      </c>
      <c r="J67" s="20" t="n">
        <v>0</v>
      </c>
      <c r="K67" s="18" t="n">
        <v>0.22602255</v>
      </c>
      <c r="L67" s="20" t="n">
        <v>0.13082827</v>
      </c>
      <c r="M67" s="18" t="n">
        <v>0</v>
      </c>
      <c r="N67" s="20" t="n">
        <v>0</v>
      </c>
      <c r="O67" s="18" t="n">
        <v>0</v>
      </c>
      <c r="P67" s="20" t="n">
        <v>0</v>
      </c>
      <c r="Q67" s="18" t="n">
        <v>2.59606356</v>
      </c>
      <c r="R67" s="20" t="n">
        <v>0.4482996</v>
      </c>
    </row>
    <row r="68" spans="1:18">
      <c r="A68" s="15" t="s">
        <v>628</v>
      </c>
      <c r="B68" s="17" t="n">
        <v>6971</v>
      </c>
      <c r="C68" s="18">
        <f>(5455.0/B68*100)</f>
        <v/>
      </c>
      <c r="D68" s="19" t="n">
        <v>1516</v>
      </c>
      <c r="E68" s="18" t="n">
        <v>86.02136872</v>
      </c>
      <c r="F68" s="20" t="n">
        <v>0.91424812</v>
      </c>
      <c r="G68" s="18" t="n">
        <v>12.72264317</v>
      </c>
      <c r="H68" s="20" t="n">
        <v>0.8951982000000001</v>
      </c>
      <c r="I68" s="18" t="n">
        <v>0</v>
      </c>
      <c r="J68" s="20" t="n">
        <v>0</v>
      </c>
      <c r="K68" s="18" t="n">
        <v>0.0594738</v>
      </c>
      <c r="L68" s="20" t="n">
        <v>0.05977669</v>
      </c>
      <c r="M68" s="18" t="n">
        <v>0</v>
      </c>
      <c r="N68" s="20" t="n">
        <v>0</v>
      </c>
      <c r="O68" s="18" t="n">
        <v>0</v>
      </c>
      <c r="P68" s="20" t="n">
        <v>0</v>
      </c>
      <c r="Q68" s="18" t="n">
        <v>1.19651431</v>
      </c>
      <c r="R68" s="20" t="n">
        <v>0.25486334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(9413.0/B70*100)</f>
        <v/>
      </c>
      <c r="D70" s="19" t="n">
        <v>2670</v>
      </c>
      <c r="E70" s="18" t="n">
        <v>75.43981762</v>
      </c>
      <c r="F70" s="20" t="n">
        <v>0.78824354</v>
      </c>
      <c r="G70" s="18" t="n">
        <v>22.29098842</v>
      </c>
      <c r="H70" s="20" t="n">
        <v>0.75872609</v>
      </c>
      <c r="I70" s="18" t="n">
        <v>0</v>
      </c>
      <c r="J70" s="20" t="n">
        <v>0</v>
      </c>
      <c r="K70" s="18" t="n">
        <v>0.3649278</v>
      </c>
      <c r="L70" s="20" t="n">
        <v>0.12255661</v>
      </c>
      <c r="M70" s="18" t="n">
        <v>0</v>
      </c>
      <c r="N70" s="20" t="n">
        <v>0</v>
      </c>
      <c r="O70" s="18" t="n">
        <v>0</v>
      </c>
      <c r="P70" s="20" t="n">
        <v>0</v>
      </c>
      <c r="Q70" s="18" t="n">
        <v>1.90426616</v>
      </c>
      <c r="R70" s="20" t="n">
        <v>0.26616827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(4710.0/B72*100)</f>
        <v/>
      </c>
      <c r="D72" s="19" t="n">
        <v>1326</v>
      </c>
      <c r="E72" s="18" t="n">
        <v>81.528244</v>
      </c>
      <c r="F72" s="20" t="n">
        <v>1.08481309</v>
      </c>
      <c r="G72" s="18" t="n">
        <v>18.03794609</v>
      </c>
      <c r="H72" s="20" t="n">
        <v>1.09499569</v>
      </c>
      <c r="I72" s="18" t="n">
        <v>0</v>
      </c>
      <c r="J72" s="20" t="n">
        <v>0</v>
      </c>
      <c r="K72" s="18" t="n">
        <v>0</v>
      </c>
      <c r="L72" s="20" t="n">
        <v>0</v>
      </c>
      <c r="M72" s="18" t="n">
        <v>0</v>
      </c>
      <c r="N72" s="20" t="n">
        <v>0</v>
      </c>
      <c r="O72" s="18" t="n">
        <v>0</v>
      </c>
      <c r="P72" s="20" t="n">
        <v>0</v>
      </c>
      <c r="Q72" s="18" t="n">
        <v>0.43380991</v>
      </c>
      <c r="R72" s="20" t="n">
        <v>0.22197295</v>
      </c>
    </row>
    <row r="73" spans="1:18">
      <c r="A73" s="15" t="s">
        <v>633</v>
      </c>
      <c r="B73" s="17" t="n">
        <v>6115</v>
      </c>
      <c r="C73" s="18">
        <f>(4714.0/B73*100)</f>
        <v/>
      </c>
      <c r="D73" s="19" t="n">
        <v>1401</v>
      </c>
      <c r="E73" s="18" t="n">
        <v>67.02860027</v>
      </c>
      <c r="F73" s="20" t="n">
        <v>1.34076535</v>
      </c>
      <c r="G73" s="18" t="n">
        <v>32.64853343</v>
      </c>
      <c r="H73" s="20" t="n">
        <v>1.33182329</v>
      </c>
      <c r="I73" s="18" t="n">
        <v>0</v>
      </c>
      <c r="J73" s="20" t="n">
        <v>0</v>
      </c>
      <c r="K73" s="18" t="n">
        <v>0.09448478</v>
      </c>
      <c r="L73" s="20" t="n">
        <v>0.06882070999999999</v>
      </c>
      <c r="M73" s="18" t="n">
        <v>0</v>
      </c>
      <c r="N73" s="20" t="n">
        <v>0</v>
      </c>
      <c r="O73" s="18" t="n">
        <v>0</v>
      </c>
      <c r="P73" s="20" t="n">
        <v>0</v>
      </c>
      <c r="Q73" s="18" t="n">
        <v>0.22838152</v>
      </c>
      <c r="R73" s="20" t="n">
        <v>0.11762617</v>
      </c>
    </row>
    <row r="74" spans="1:18">
      <c r="A74" s="15" t="s">
        <v>634</v>
      </c>
      <c r="B74" s="17" t="n">
        <v>7708</v>
      </c>
      <c r="C74" s="18">
        <f>(5977.0/B74*100)</f>
        <v/>
      </c>
      <c r="D74" s="19" t="n">
        <v>1731</v>
      </c>
      <c r="E74" s="18" t="n">
        <v>63.58698522</v>
      </c>
      <c r="F74" s="20" t="n">
        <v>1.37656432</v>
      </c>
      <c r="G74" s="18" t="n">
        <v>36.13198933</v>
      </c>
      <c r="H74" s="20" t="n">
        <v>1.35769809</v>
      </c>
      <c r="I74" s="18" t="n">
        <v>0</v>
      </c>
      <c r="J74" s="20" t="n">
        <v>0</v>
      </c>
      <c r="K74" s="18" t="n">
        <v>0.06658601</v>
      </c>
      <c r="L74" s="20" t="n">
        <v>0.04764207</v>
      </c>
      <c r="M74" s="18" t="n">
        <v>0</v>
      </c>
      <c r="N74" s="20" t="n">
        <v>0</v>
      </c>
      <c r="O74" s="18" t="n">
        <v>0</v>
      </c>
      <c r="P74" s="20" t="n">
        <v>0</v>
      </c>
      <c r="Q74" s="18" t="n">
        <v>0.21443944</v>
      </c>
      <c r="R74" s="20" t="n">
        <v>0.11335484</v>
      </c>
    </row>
    <row r="75" spans="1:18">
      <c r="A75" s="15" t="s">
        <v>635</v>
      </c>
      <c r="B75" s="17" t="n">
        <v>8249</v>
      </c>
      <c r="C75" s="18">
        <f>(6458.0/B75*100)</f>
        <v/>
      </c>
      <c r="D75" s="19" t="n">
        <v>1791</v>
      </c>
      <c r="E75" s="18" t="n">
        <v>81.3808128</v>
      </c>
      <c r="F75" s="20" t="n">
        <v>1.19736014</v>
      </c>
      <c r="G75" s="18" t="n">
        <v>18.39336533</v>
      </c>
      <c r="H75" s="20" t="n">
        <v>1.20105962</v>
      </c>
      <c r="I75" s="18" t="n">
        <v>0</v>
      </c>
      <c r="J75" s="20" t="n">
        <v>0</v>
      </c>
      <c r="K75" s="18" t="n">
        <v>0</v>
      </c>
      <c r="L75" s="20" t="n">
        <v>0</v>
      </c>
      <c r="M75" s="18" t="n">
        <v>0</v>
      </c>
      <c r="N75" s="20" t="n">
        <v>0</v>
      </c>
      <c r="O75" s="18" t="n">
        <v>0</v>
      </c>
      <c r="P75" s="20" t="n">
        <v>0</v>
      </c>
      <c r="Q75" s="18" t="n">
        <v>0.22582187</v>
      </c>
      <c r="R75" s="20" t="n">
        <v>0.14386631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(4269.0/B77*100)</f>
        <v/>
      </c>
      <c r="D77" s="19" t="n">
        <v>1106</v>
      </c>
      <c r="E77" s="18" t="n">
        <v>69.85756963</v>
      </c>
      <c r="F77" s="20" t="n">
        <v>1.50003263</v>
      </c>
      <c r="G77" s="18" t="n">
        <v>27.15337965</v>
      </c>
      <c r="H77" s="20" t="n">
        <v>1.44652068</v>
      </c>
      <c r="I77" s="18" t="n">
        <v>0</v>
      </c>
      <c r="J77" s="20" t="n">
        <v>0</v>
      </c>
      <c r="K77" s="18" t="n">
        <v>0.83444705</v>
      </c>
      <c r="L77" s="20" t="n">
        <v>0.29631653</v>
      </c>
      <c r="M77" s="18" t="n">
        <v>0</v>
      </c>
      <c r="N77" s="20" t="n">
        <v>0</v>
      </c>
      <c r="O77" s="18" t="n">
        <v>0</v>
      </c>
      <c r="P77" s="20" t="n">
        <v>0</v>
      </c>
      <c r="Q77" s="18" t="n">
        <v>2.15460368</v>
      </c>
      <c r="R77" s="20" t="n">
        <v>0.51579752</v>
      </c>
    </row>
    <row r="78" spans="1:18">
      <c r="A78" s="15" t="s">
        <v>638</v>
      </c>
      <c r="B78" s="17" t="n">
        <v>14167</v>
      </c>
      <c r="C78" s="18">
        <f>(11025.0/B78*100)</f>
        <v/>
      </c>
      <c r="D78" s="19" t="n">
        <v>3142</v>
      </c>
      <c r="E78" s="18" t="n">
        <v>76.63305481</v>
      </c>
      <c r="F78" s="20" t="n">
        <v>1.00289075</v>
      </c>
      <c r="G78" s="18" t="n">
        <v>22.11718739</v>
      </c>
      <c r="H78" s="20" t="n">
        <v>0.95437032</v>
      </c>
      <c r="I78" s="18" t="n">
        <v>0</v>
      </c>
      <c r="J78" s="20" t="n">
        <v>0</v>
      </c>
      <c r="K78" s="18" t="n">
        <v>0.27825425</v>
      </c>
      <c r="L78" s="20" t="n">
        <v>0.09414881</v>
      </c>
      <c r="M78" s="18" t="n">
        <v>0</v>
      </c>
      <c r="N78" s="20" t="n">
        <v>0</v>
      </c>
      <c r="O78" s="18" t="n">
        <v>0</v>
      </c>
      <c r="P78" s="20" t="n">
        <v>0</v>
      </c>
      <c r="Q78" s="18" t="n">
        <v>0.97150355</v>
      </c>
      <c r="R78" s="20" t="n">
        <v>0.20419895</v>
      </c>
    </row>
    <row r="79" spans="1:18">
      <c r="A79" s="15" t="s">
        <v>639</v>
      </c>
      <c r="B79" s="17" t="n">
        <v>6062</v>
      </c>
      <c r="C79" s="18">
        <f>(4805.0/B79*100)</f>
        <v/>
      </c>
      <c r="D79" s="19" t="n">
        <v>1257</v>
      </c>
      <c r="E79" s="18" t="n">
        <v>78.12284438</v>
      </c>
      <c r="F79" s="20" t="n">
        <v>1.0794066</v>
      </c>
      <c r="G79" s="18" t="n">
        <v>20.20430411</v>
      </c>
      <c r="H79" s="20" t="n">
        <v>0.9360557900000001</v>
      </c>
      <c r="I79" s="18" t="n">
        <v>0</v>
      </c>
      <c r="J79" s="20" t="n">
        <v>0</v>
      </c>
      <c r="K79" s="18" t="n">
        <v>0.48783309</v>
      </c>
      <c r="L79" s="20" t="n">
        <v>0.13849724</v>
      </c>
      <c r="M79" s="18" t="n">
        <v>0</v>
      </c>
      <c r="N79" s="20" t="n">
        <v>0</v>
      </c>
      <c r="O79" s="18" t="n">
        <v>0</v>
      </c>
      <c r="P79" s="20" t="n">
        <v>0</v>
      </c>
      <c r="Q79" s="18" t="n">
        <v>1.18501841</v>
      </c>
      <c r="R79" s="20" t="n">
        <v>0.38826134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(25198.0/B82*100)</f>
        <v/>
      </c>
      <c r="D82" s="19" t="n">
        <v>7132</v>
      </c>
      <c r="E82" s="18" t="n">
        <v>75.35761162999999</v>
      </c>
      <c r="F82" s="20" t="n">
        <v>0.70793604</v>
      </c>
      <c r="G82" s="18" t="n">
        <v>24.25813299</v>
      </c>
      <c r="H82" s="20" t="n">
        <v>0.7360171</v>
      </c>
      <c r="I82" s="18" t="n">
        <v>0</v>
      </c>
      <c r="J82" s="20" t="n">
        <v>0</v>
      </c>
      <c r="K82" s="18" t="n">
        <v>0.0121154</v>
      </c>
      <c r="L82" s="20" t="n">
        <v>0.008590550000000001</v>
      </c>
      <c r="M82" s="18" t="n">
        <v>0</v>
      </c>
      <c r="N82" s="20" t="n">
        <v>0</v>
      </c>
      <c r="O82" s="18" t="n">
        <v>0</v>
      </c>
      <c r="P82" s="20" t="n">
        <v>0</v>
      </c>
      <c r="Q82" s="18" t="n">
        <v>0.37213999</v>
      </c>
      <c r="R82" s="20" t="n">
        <v>0.10468365</v>
      </c>
    </row>
    <row r="83" spans="1:18">
      <c r="A83" s="15" t="s">
        <v>643</v>
      </c>
      <c r="B83" s="17" t="n">
        <v>1652</v>
      </c>
      <c r="C83" s="18">
        <f>(1311.0/B83*100)</f>
        <v/>
      </c>
      <c r="D83" s="19" t="n">
        <v>341</v>
      </c>
      <c r="E83" s="18" t="n">
        <v>70.22339359999999</v>
      </c>
      <c r="F83" s="20" t="n">
        <v>2.55157744</v>
      </c>
      <c r="G83" s="18" t="n">
        <v>29.47698492</v>
      </c>
      <c r="H83" s="20" t="n">
        <v>2.54567661</v>
      </c>
      <c r="I83" s="18" t="n">
        <v>0</v>
      </c>
      <c r="J83" s="20" t="n">
        <v>0</v>
      </c>
      <c r="K83" s="18" t="n">
        <v>0</v>
      </c>
      <c r="L83" s="20" t="n">
        <v>0</v>
      </c>
      <c r="M83" s="18" t="n">
        <v>0</v>
      </c>
      <c r="N83" s="20" t="n">
        <v>0</v>
      </c>
      <c r="O83" s="18" t="n">
        <v>0</v>
      </c>
      <c r="P83" s="20" t="n">
        <v>0</v>
      </c>
      <c r="Q83" s="18" t="n">
        <v>0.29962148</v>
      </c>
      <c r="R83" s="20" t="n">
        <v>0.28351494</v>
      </c>
    </row>
    <row r="84" spans="1:18">
      <c r="A84" s="23" t="s">
        <v>644</v>
      </c>
      <c r="B84" s="24" t="n">
        <v>1887</v>
      </c>
      <c r="C84" s="25">
        <f>(1451.0/B84*100)</f>
        <v/>
      </c>
      <c r="D84" s="19" t="n">
        <v>436</v>
      </c>
      <c r="E84" s="18" t="n">
        <v>69.64348089000001</v>
      </c>
      <c r="F84" s="20" t="n">
        <v>2.41686742</v>
      </c>
      <c r="G84" s="18" t="n">
        <v>30.23399174</v>
      </c>
      <c r="H84" s="20" t="n">
        <v>2.39048823</v>
      </c>
      <c r="I84" s="18" t="n">
        <v>0</v>
      </c>
      <c r="J84" s="20" t="n">
        <v>0</v>
      </c>
      <c r="K84" s="18" t="n">
        <v>0</v>
      </c>
      <c r="L84" s="20" t="n">
        <v>0</v>
      </c>
      <c r="M84" s="18" t="n">
        <v>0</v>
      </c>
      <c r="N84" s="20" t="n">
        <v>0</v>
      </c>
      <c r="O84" s="18" t="n">
        <v>0</v>
      </c>
      <c r="P84" s="20" t="n">
        <v>0</v>
      </c>
      <c r="Q84" s="18" t="n">
        <v>0.12252737</v>
      </c>
      <c r="R84" s="20" t="n">
        <v>0.12372043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(11284.0/B7*100)</f>
        <v/>
      </c>
      <c r="D7" s="19" t="n">
        <v>3246</v>
      </c>
      <c r="E7" s="18" t="n">
        <v>81.54685851000001</v>
      </c>
      <c r="F7" s="20" t="n">
        <v>0.82164088</v>
      </c>
      <c r="G7" s="18" t="n">
        <v>11.04535935</v>
      </c>
      <c r="H7" s="20" t="n">
        <v>0.73330977</v>
      </c>
      <c r="I7" s="18" t="n">
        <v>0</v>
      </c>
      <c r="J7" s="20" t="n">
        <v>0</v>
      </c>
      <c r="K7" s="18" t="n">
        <v>0.15808313</v>
      </c>
      <c r="L7" s="20" t="n">
        <v>0.07362759000000001</v>
      </c>
      <c r="M7" s="18" t="n">
        <v>0.03828038</v>
      </c>
      <c r="N7" s="20" t="n">
        <v>0.02268271</v>
      </c>
      <c r="O7" s="18" t="n">
        <v>0</v>
      </c>
      <c r="P7" s="20" t="n">
        <v>0</v>
      </c>
      <c r="Q7" s="18" t="n">
        <v>7.21141863</v>
      </c>
      <c r="R7" s="20" t="n">
        <v>0.53047026</v>
      </c>
    </row>
    <row r="8" spans="1:18">
      <c r="A8" s="15" t="s">
        <v>566</v>
      </c>
      <c r="B8" s="17" t="n">
        <v>7007</v>
      </c>
      <c r="C8" s="18">
        <f>(5493.0/B8*100)</f>
        <v/>
      </c>
      <c r="D8" s="19" t="n">
        <v>1514</v>
      </c>
      <c r="E8" s="18" t="n">
        <v>59.31092117</v>
      </c>
      <c r="F8" s="20" t="n">
        <v>1.56004219</v>
      </c>
      <c r="G8" s="18" t="n">
        <v>18.80713036</v>
      </c>
      <c r="H8" s="20" t="n">
        <v>1.25326784</v>
      </c>
      <c r="I8" s="18" t="n">
        <v>0</v>
      </c>
      <c r="J8" s="20" t="n">
        <v>0</v>
      </c>
      <c r="K8" s="18" t="n">
        <v>0</v>
      </c>
      <c r="L8" s="20" t="n">
        <v>0</v>
      </c>
      <c r="M8" s="18" t="n">
        <v>0</v>
      </c>
      <c r="N8" s="20" t="n">
        <v>0</v>
      </c>
      <c r="O8" s="18" t="n">
        <v>0</v>
      </c>
      <c r="P8" s="20" t="n">
        <v>0</v>
      </c>
      <c r="Q8" s="18" t="n">
        <v>21.88194846</v>
      </c>
      <c r="R8" s="20" t="n">
        <v>1.22852422</v>
      </c>
    </row>
    <row r="9" spans="1:18">
      <c r="A9" s="15" t="s">
        <v>567</v>
      </c>
      <c r="B9" s="17" t="n">
        <v>9651</v>
      </c>
      <c r="C9" s="18">
        <f>(7600.0/B9*100)</f>
        <v/>
      </c>
      <c r="D9" s="19" t="n">
        <v>2051</v>
      </c>
      <c r="E9" s="18" t="n">
        <v>74.08309158</v>
      </c>
      <c r="F9" s="20" t="n">
        <v>1.09486553</v>
      </c>
      <c r="G9" s="18" t="n">
        <v>10.57883837</v>
      </c>
      <c r="H9" s="20" t="n">
        <v>0.78832715</v>
      </c>
      <c r="I9" s="18" t="n">
        <v>0</v>
      </c>
      <c r="J9" s="20" t="n">
        <v>0</v>
      </c>
      <c r="K9" s="18" t="n">
        <v>0</v>
      </c>
      <c r="L9" s="20" t="n">
        <v>0</v>
      </c>
      <c r="M9" s="18" t="n">
        <v>0.27579865</v>
      </c>
      <c r="N9" s="20" t="n">
        <v>0.1108226</v>
      </c>
      <c r="O9" s="18" t="n">
        <v>0</v>
      </c>
      <c r="P9" s="20" t="n">
        <v>0</v>
      </c>
      <c r="Q9" s="18" t="n">
        <v>15.0622714</v>
      </c>
      <c r="R9" s="20" t="n">
        <v>0.92285358</v>
      </c>
    </row>
    <row r="10" spans="1:18">
      <c r="A10" s="15" t="s">
        <v>568</v>
      </c>
      <c r="B10" s="17" t="n">
        <v>20058</v>
      </c>
      <c r="C10" s="18">
        <f>(15515.0/B10*100)</f>
        <v/>
      </c>
      <c r="D10" s="19" t="n">
        <v>4543</v>
      </c>
      <c r="E10" s="18" t="n">
        <v>79.33386108000001</v>
      </c>
      <c r="F10" s="20" t="n">
        <v>0.8620882</v>
      </c>
      <c r="G10" s="18" t="n">
        <v>15.23274032</v>
      </c>
      <c r="H10" s="20" t="n">
        <v>0.78274554</v>
      </c>
      <c r="I10" s="18" t="n">
        <v>0</v>
      </c>
      <c r="J10" s="20" t="n">
        <v>0</v>
      </c>
      <c r="K10" s="18" t="n">
        <v>0</v>
      </c>
      <c r="L10" s="20" t="n">
        <v>0</v>
      </c>
      <c r="M10" s="18" t="n">
        <v>0.01965038</v>
      </c>
      <c r="N10" s="20" t="n">
        <v>0.01392194</v>
      </c>
      <c r="O10" s="18" t="n">
        <v>0</v>
      </c>
      <c r="P10" s="20" t="n">
        <v>0</v>
      </c>
      <c r="Q10" s="18" t="n">
        <v>5.41374821</v>
      </c>
      <c r="R10" s="20" t="n">
        <v>0.49269136</v>
      </c>
    </row>
    <row r="11" spans="1:18">
      <c r="A11" s="15" t="s">
        <v>569</v>
      </c>
      <c r="B11" s="17" t="n">
        <v>7053</v>
      </c>
      <c r="C11" s="18">
        <f>(5447.0/B11*100)</f>
        <v/>
      </c>
      <c r="D11" s="19" t="n">
        <v>1606</v>
      </c>
      <c r="E11" s="18" t="n">
        <v>84.35511225</v>
      </c>
      <c r="F11" s="20" t="n">
        <v>1.07460735</v>
      </c>
      <c r="G11" s="18" t="n">
        <v>1.15572595</v>
      </c>
      <c r="H11" s="20" t="n">
        <v>0.23690174</v>
      </c>
      <c r="I11" s="18" t="n">
        <v>0</v>
      </c>
      <c r="J11" s="20" t="n">
        <v>0</v>
      </c>
      <c r="K11" s="18" t="n">
        <v>0.08490539</v>
      </c>
      <c r="L11" s="20" t="n">
        <v>0.08793107999999999</v>
      </c>
      <c r="M11" s="18" t="n">
        <v>0.00676185</v>
      </c>
      <c r="N11" s="20" t="n">
        <v>0.00681327</v>
      </c>
      <c r="O11" s="18" t="n">
        <v>0</v>
      </c>
      <c r="P11" s="20" t="n">
        <v>0</v>
      </c>
      <c r="Q11" s="18" t="n">
        <v>14.39749456</v>
      </c>
      <c r="R11" s="20" t="n">
        <v>1.09117345</v>
      </c>
    </row>
    <row r="12" spans="1:18">
      <c r="A12" s="15" t="s">
        <v>570</v>
      </c>
      <c r="B12" s="17" t="n">
        <v>6894</v>
      </c>
      <c r="C12" s="18">
        <f>(5398.0/B12*100)</f>
        <v/>
      </c>
      <c r="D12" s="19" t="n">
        <v>1496</v>
      </c>
      <c r="E12" s="18" t="n">
        <v>59.50393385</v>
      </c>
      <c r="F12" s="20" t="n">
        <v>1.5527772</v>
      </c>
      <c r="G12" s="18" t="n">
        <v>20.79620117</v>
      </c>
      <c r="H12" s="20" t="n">
        <v>1.21180127</v>
      </c>
      <c r="I12" s="18" t="n">
        <v>0</v>
      </c>
      <c r="J12" s="20" t="n">
        <v>0</v>
      </c>
      <c r="K12" s="18" t="n">
        <v>0.06100039</v>
      </c>
      <c r="L12" s="20" t="n">
        <v>0.06029568</v>
      </c>
      <c r="M12" s="18" t="n">
        <v>0.06087436</v>
      </c>
      <c r="N12" s="20" t="n">
        <v>0.05974006</v>
      </c>
      <c r="O12" s="18" t="n">
        <v>0</v>
      </c>
      <c r="P12" s="20" t="n">
        <v>0</v>
      </c>
      <c r="Q12" s="18" t="n">
        <v>19.57799023</v>
      </c>
      <c r="R12" s="20" t="n">
        <v>1.1569477</v>
      </c>
    </row>
    <row r="13" spans="1:18">
      <c r="A13" s="15" t="s">
        <v>571</v>
      </c>
      <c r="B13" s="17" t="n">
        <v>7161</v>
      </c>
      <c r="C13" s="18">
        <f>(5635.0/B13*100)</f>
        <v/>
      </c>
      <c r="D13" s="19" t="n">
        <v>1526</v>
      </c>
      <c r="E13" s="18" t="n">
        <v>64.58055985</v>
      </c>
      <c r="F13" s="20" t="n">
        <v>1.81871895</v>
      </c>
      <c r="G13" s="18" t="n">
        <v>25.08989431</v>
      </c>
      <c r="H13" s="20" t="n">
        <v>1.54033694</v>
      </c>
      <c r="I13" s="18" t="n">
        <v>0</v>
      </c>
      <c r="J13" s="20" t="n">
        <v>0</v>
      </c>
      <c r="K13" s="18" t="n">
        <v>0.1961108</v>
      </c>
      <c r="L13" s="20" t="n">
        <v>0.12469331</v>
      </c>
      <c r="M13" s="18" t="n">
        <v>0.23431488</v>
      </c>
      <c r="N13" s="20" t="n">
        <v>0.2356921</v>
      </c>
      <c r="O13" s="18" t="n">
        <v>0</v>
      </c>
      <c r="P13" s="20" t="n">
        <v>0</v>
      </c>
      <c r="Q13" s="18" t="n">
        <v>9.899120160000001</v>
      </c>
      <c r="R13" s="20" t="n">
        <v>0.99102631</v>
      </c>
    </row>
    <row r="14" spans="1:18">
      <c r="A14" s="15" t="s">
        <v>572</v>
      </c>
      <c r="B14" s="17" t="n">
        <v>5587</v>
      </c>
      <c r="C14" s="18">
        <f>(4336.0/B14*100)</f>
        <v/>
      </c>
      <c r="D14" s="19" t="n">
        <v>1251</v>
      </c>
      <c r="E14" s="18" t="n">
        <v>71.16970876000001</v>
      </c>
      <c r="F14" s="20" t="n">
        <v>1.32723327</v>
      </c>
      <c r="G14" s="18" t="n">
        <v>19.15797314</v>
      </c>
      <c r="H14" s="20" t="n">
        <v>1.22579768</v>
      </c>
      <c r="I14" s="18" t="n">
        <v>0</v>
      </c>
      <c r="J14" s="20" t="n">
        <v>0</v>
      </c>
      <c r="K14" s="18" t="n">
        <v>0.13302867</v>
      </c>
      <c r="L14" s="20" t="n">
        <v>0.09166472000000001</v>
      </c>
      <c r="M14" s="18" t="n">
        <v>0</v>
      </c>
      <c r="N14" s="20" t="n">
        <v>0</v>
      </c>
      <c r="O14" s="18" t="n">
        <v>0</v>
      </c>
      <c r="P14" s="20" t="n">
        <v>0</v>
      </c>
      <c r="Q14" s="18" t="n">
        <v>9.53928943</v>
      </c>
      <c r="R14" s="20" t="n">
        <v>0.68541485</v>
      </c>
    </row>
    <row r="15" spans="1:18">
      <c r="A15" s="15" t="s">
        <v>573</v>
      </c>
      <c r="B15" s="17" t="n">
        <v>5882</v>
      </c>
      <c r="C15" s="18">
        <f>(4571.0/B15*100)</f>
        <v/>
      </c>
      <c r="D15" s="19" t="n">
        <v>1311</v>
      </c>
      <c r="E15" s="18" t="n">
        <v>72.97971721</v>
      </c>
      <c r="F15" s="20" t="n">
        <v>1.224566</v>
      </c>
      <c r="G15" s="18" t="n">
        <v>15.77931943</v>
      </c>
      <c r="H15" s="20" t="n">
        <v>1.0765679</v>
      </c>
      <c r="I15" s="18" t="n">
        <v>0</v>
      </c>
      <c r="J15" s="20" t="n">
        <v>0</v>
      </c>
      <c r="K15" s="18" t="n">
        <v>0.07885285</v>
      </c>
      <c r="L15" s="20" t="n">
        <v>0.07916972</v>
      </c>
      <c r="M15" s="18" t="n">
        <v>0</v>
      </c>
      <c r="N15" s="20" t="n">
        <v>0</v>
      </c>
      <c r="O15" s="18" t="n">
        <v>0</v>
      </c>
      <c r="P15" s="20" t="n">
        <v>0</v>
      </c>
      <c r="Q15" s="18" t="n">
        <v>11.16211051</v>
      </c>
      <c r="R15" s="20" t="n">
        <v>0.96049067</v>
      </c>
    </row>
    <row r="16" spans="1:18">
      <c r="A16" s="15" t="s">
        <v>574</v>
      </c>
      <c r="B16" s="17" t="n">
        <v>6108</v>
      </c>
      <c r="C16" s="18">
        <f>(4733.0/B16*100)</f>
        <v/>
      </c>
      <c r="D16" s="19" t="n">
        <v>1375</v>
      </c>
      <c r="E16" s="18" t="n">
        <v>70.11743564</v>
      </c>
      <c r="F16" s="20" t="n">
        <v>1.28062484</v>
      </c>
      <c r="G16" s="18" t="n">
        <v>6.43306928</v>
      </c>
      <c r="H16" s="20" t="n">
        <v>0.70344303</v>
      </c>
      <c r="I16" s="18" t="n">
        <v>0</v>
      </c>
      <c r="J16" s="20" t="n">
        <v>0</v>
      </c>
      <c r="K16" s="18" t="n">
        <v>0</v>
      </c>
      <c r="L16" s="20" t="n">
        <v>0</v>
      </c>
      <c r="M16" s="18" t="n">
        <v>0.06296335</v>
      </c>
      <c r="N16" s="20" t="n">
        <v>0.06491015999999999</v>
      </c>
      <c r="O16" s="18" t="n">
        <v>0</v>
      </c>
      <c r="P16" s="20" t="n">
        <v>0</v>
      </c>
      <c r="Q16" s="18" t="n">
        <v>23.38653173</v>
      </c>
      <c r="R16" s="20" t="n">
        <v>1.23471036</v>
      </c>
    </row>
    <row r="17" spans="1:18">
      <c r="A17" s="15" t="s">
        <v>575</v>
      </c>
      <c r="B17" s="17" t="n">
        <v>6504</v>
      </c>
      <c r="C17" s="18">
        <f>(5076.0/B17*100)</f>
        <v/>
      </c>
      <c r="D17" s="19" t="n">
        <v>1428</v>
      </c>
      <c r="E17" s="18" t="n">
        <v>60.67852191</v>
      </c>
      <c r="F17" s="20" t="n">
        <v>1.31297675</v>
      </c>
      <c r="G17" s="18" t="n">
        <v>21.25285543</v>
      </c>
      <c r="H17" s="20" t="n">
        <v>1.30383242</v>
      </c>
      <c r="I17" s="18" t="n">
        <v>0</v>
      </c>
      <c r="J17" s="20" t="n">
        <v>0</v>
      </c>
      <c r="K17" s="18" t="n">
        <v>0.14319554</v>
      </c>
      <c r="L17" s="20" t="n">
        <v>0.14202822</v>
      </c>
      <c r="M17" s="18" t="n">
        <v>0</v>
      </c>
      <c r="N17" s="20" t="n">
        <v>0</v>
      </c>
      <c r="O17" s="18" t="n">
        <v>0</v>
      </c>
      <c r="P17" s="20" t="n">
        <v>0</v>
      </c>
      <c r="Q17" s="18" t="n">
        <v>17.92542713</v>
      </c>
      <c r="R17" s="20" t="n">
        <v>1.04542201</v>
      </c>
    </row>
    <row r="18" spans="1:18">
      <c r="A18" s="15" t="s">
        <v>576</v>
      </c>
      <c r="B18" s="17" t="n">
        <v>5532</v>
      </c>
      <c r="C18" s="18">
        <f>(4310.0/B18*100)</f>
        <v/>
      </c>
      <c r="D18" s="19" t="n">
        <v>1222</v>
      </c>
      <c r="E18" s="18" t="n">
        <v>74.00282511</v>
      </c>
      <c r="F18" s="20" t="n">
        <v>1.61693086</v>
      </c>
      <c r="G18" s="18" t="n">
        <v>8.04048265</v>
      </c>
      <c r="H18" s="20" t="n">
        <v>0.90728145</v>
      </c>
      <c r="I18" s="18" t="n">
        <v>0</v>
      </c>
      <c r="J18" s="20" t="n">
        <v>0</v>
      </c>
      <c r="K18" s="18" t="n">
        <v>0.24197214</v>
      </c>
      <c r="L18" s="20" t="n">
        <v>0.14218562</v>
      </c>
      <c r="M18" s="18" t="n">
        <v>0</v>
      </c>
      <c r="N18" s="20" t="n">
        <v>0</v>
      </c>
      <c r="O18" s="18" t="n">
        <v>0</v>
      </c>
      <c r="P18" s="20" t="n">
        <v>0</v>
      </c>
      <c r="Q18" s="18" t="n">
        <v>17.71472009</v>
      </c>
      <c r="R18" s="20" t="n">
        <v>1.45522112</v>
      </c>
    </row>
    <row r="19" spans="1:18">
      <c r="A19" s="15" t="s">
        <v>577</v>
      </c>
      <c r="B19" s="17" t="n">
        <v>5658</v>
      </c>
      <c r="C19" s="18">
        <f>(4367.0/B19*100)</f>
        <v/>
      </c>
      <c r="D19" s="19" t="n">
        <v>1291</v>
      </c>
      <c r="E19" s="18" t="n">
        <v>61.40226881</v>
      </c>
      <c r="F19" s="20" t="n">
        <v>1.43936296</v>
      </c>
      <c r="G19" s="18" t="n">
        <v>14.38208551</v>
      </c>
      <c r="H19" s="20" t="n">
        <v>0.94546566</v>
      </c>
      <c r="I19" s="18" t="n">
        <v>0</v>
      </c>
      <c r="J19" s="20" t="n">
        <v>0</v>
      </c>
      <c r="K19" s="18" t="n">
        <v>0</v>
      </c>
      <c r="L19" s="20" t="n">
        <v>0</v>
      </c>
      <c r="M19" s="18" t="n">
        <v>0.07189465</v>
      </c>
      <c r="N19" s="20" t="n">
        <v>0.0720237</v>
      </c>
      <c r="O19" s="18" t="n">
        <v>0</v>
      </c>
      <c r="P19" s="20" t="n">
        <v>0</v>
      </c>
      <c r="Q19" s="18" t="n">
        <v>24.14375103</v>
      </c>
      <c r="R19" s="20" t="n">
        <v>1.27228448</v>
      </c>
    </row>
    <row r="20" spans="1:18">
      <c r="A20" s="15" t="s">
        <v>578</v>
      </c>
      <c r="B20" s="17" t="n">
        <v>3371</v>
      </c>
      <c r="C20" s="18">
        <f>(2598.0/B20*100)</f>
        <v/>
      </c>
      <c r="D20" s="19" t="n">
        <v>773</v>
      </c>
      <c r="E20" s="18" t="n">
        <v>81.85175941999999</v>
      </c>
      <c r="F20" s="20" t="n">
        <v>1.56988316</v>
      </c>
      <c r="G20" s="18" t="n">
        <v>4.49932308</v>
      </c>
      <c r="H20" s="20" t="n">
        <v>0.78678092</v>
      </c>
      <c r="I20" s="18" t="n">
        <v>0</v>
      </c>
      <c r="J20" s="20" t="n">
        <v>0</v>
      </c>
      <c r="K20" s="18" t="n">
        <v>0.25515129</v>
      </c>
      <c r="L20" s="20" t="n">
        <v>0.15909272</v>
      </c>
      <c r="M20" s="18" t="n">
        <v>0.19947285</v>
      </c>
      <c r="N20" s="20" t="n">
        <v>0.19267888</v>
      </c>
      <c r="O20" s="18" t="n">
        <v>0</v>
      </c>
      <c r="P20" s="20" t="n">
        <v>0</v>
      </c>
      <c r="Q20" s="18" t="n">
        <v>13.19429336</v>
      </c>
      <c r="R20" s="20" t="n">
        <v>1.29304307</v>
      </c>
    </row>
    <row r="21" spans="1:18">
      <c r="A21" s="15" t="s">
        <v>579</v>
      </c>
      <c r="B21" s="17" t="n">
        <v>5741</v>
      </c>
      <c r="C21" s="18">
        <f>(4483.0/B21*100)</f>
        <v/>
      </c>
      <c r="D21" s="19" t="n">
        <v>1258</v>
      </c>
      <c r="E21" s="18" t="n">
        <v>82.61313208</v>
      </c>
      <c r="F21" s="20" t="n">
        <v>1.09412756</v>
      </c>
      <c r="G21" s="18" t="n">
        <v>11.86148785</v>
      </c>
      <c r="H21" s="20" t="n">
        <v>0.78188172</v>
      </c>
      <c r="I21" s="18" t="n">
        <v>0</v>
      </c>
      <c r="J21" s="20" t="n">
        <v>0</v>
      </c>
      <c r="K21" s="18" t="n">
        <v>0</v>
      </c>
      <c r="L21" s="20" t="n">
        <v>0</v>
      </c>
      <c r="M21" s="18" t="n">
        <v>0</v>
      </c>
      <c r="N21" s="20" t="n">
        <v>0</v>
      </c>
      <c r="O21" s="18" t="n">
        <v>0</v>
      </c>
      <c r="P21" s="20" t="n">
        <v>0</v>
      </c>
      <c r="Q21" s="18" t="n">
        <v>5.52538007</v>
      </c>
      <c r="R21" s="20" t="n">
        <v>0.80223277</v>
      </c>
    </row>
    <row r="22" spans="1:18">
      <c r="A22" s="15" t="s">
        <v>580</v>
      </c>
      <c r="B22" s="17" t="n">
        <v>6598</v>
      </c>
      <c r="C22" s="18">
        <f>(5124.0/B22*100)</f>
        <v/>
      </c>
      <c r="D22" s="19" t="n">
        <v>1474</v>
      </c>
      <c r="E22" s="18" t="n">
        <v>70.262107</v>
      </c>
      <c r="F22" s="20" t="n">
        <v>1.33665333</v>
      </c>
      <c r="G22" s="18" t="n">
        <v>11.24407589</v>
      </c>
      <c r="H22" s="20" t="n">
        <v>1.04406845</v>
      </c>
      <c r="I22" s="18" t="n">
        <v>0</v>
      </c>
      <c r="J22" s="20" t="n">
        <v>0</v>
      </c>
      <c r="K22" s="18" t="n">
        <v>0.18518611</v>
      </c>
      <c r="L22" s="20" t="n">
        <v>0.10912434</v>
      </c>
      <c r="M22" s="18" t="n">
        <v>0.05564232</v>
      </c>
      <c r="N22" s="20" t="n">
        <v>0.0555601</v>
      </c>
      <c r="O22" s="18" t="n">
        <v>0</v>
      </c>
      <c r="P22" s="20" t="n">
        <v>0</v>
      </c>
      <c r="Q22" s="18" t="n">
        <v>18.25298867</v>
      </c>
      <c r="R22" s="20" t="n">
        <v>1.20545069</v>
      </c>
    </row>
    <row r="23" spans="1:18">
      <c r="A23" s="15" t="s">
        <v>581</v>
      </c>
      <c r="B23" s="17" t="n">
        <v>11583</v>
      </c>
      <c r="C23" s="18">
        <f>(9052.0/B23*100)</f>
        <v/>
      </c>
      <c r="D23" s="19" t="n">
        <v>2531</v>
      </c>
      <c r="E23" s="18" t="n">
        <v>73.55189546</v>
      </c>
      <c r="F23" s="20" t="n">
        <v>1.46731263</v>
      </c>
      <c r="G23" s="18" t="n">
        <v>6.17189147</v>
      </c>
      <c r="H23" s="20" t="n">
        <v>0.63929333</v>
      </c>
      <c r="I23" s="18" t="n">
        <v>0</v>
      </c>
      <c r="J23" s="20" t="n">
        <v>0</v>
      </c>
      <c r="K23" s="18" t="n">
        <v>0.34231741</v>
      </c>
      <c r="L23" s="20" t="n">
        <v>0.19201034</v>
      </c>
      <c r="M23" s="18" t="n">
        <v>0.12276237</v>
      </c>
      <c r="N23" s="20" t="n">
        <v>0.14316502</v>
      </c>
      <c r="O23" s="18" t="n">
        <v>0</v>
      </c>
      <c r="P23" s="20" t="n">
        <v>0</v>
      </c>
      <c r="Q23" s="18" t="n">
        <v>19.81113328</v>
      </c>
      <c r="R23" s="20" t="n">
        <v>1.30035855</v>
      </c>
    </row>
    <row r="24" spans="1:18">
      <c r="A24" s="15" t="s">
        <v>582</v>
      </c>
      <c r="B24" s="17" t="n">
        <v>6647</v>
      </c>
      <c r="C24" s="18">
        <f>(5158.0/B24*100)</f>
        <v/>
      </c>
      <c r="D24" s="19" t="n">
        <v>1489</v>
      </c>
      <c r="E24" s="18" t="n">
        <v>50.3085943</v>
      </c>
      <c r="F24" s="20" t="n">
        <v>1.63818627</v>
      </c>
      <c r="G24" s="18" t="n">
        <v>36.48434395</v>
      </c>
      <c r="H24" s="20" t="n">
        <v>1.56355447</v>
      </c>
      <c r="I24" s="18" t="n">
        <v>0</v>
      </c>
      <c r="J24" s="20" t="n">
        <v>0</v>
      </c>
      <c r="K24" s="18" t="n">
        <v>0</v>
      </c>
      <c r="L24" s="20" t="n">
        <v>0</v>
      </c>
      <c r="M24" s="18" t="n">
        <v>0</v>
      </c>
      <c r="N24" s="20" t="n">
        <v>0</v>
      </c>
      <c r="O24" s="18" t="n">
        <v>0</v>
      </c>
      <c r="P24" s="20" t="n">
        <v>0</v>
      </c>
      <c r="Q24" s="18" t="n">
        <v>13.20706175</v>
      </c>
      <c r="R24" s="20" t="n">
        <v>0.89303278</v>
      </c>
    </row>
    <row r="25" spans="1:18">
      <c r="A25" s="15" t="s">
        <v>583</v>
      </c>
      <c r="B25" s="17" t="n">
        <v>5581</v>
      </c>
      <c r="C25" s="18">
        <f>(4341.0/B25*100)</f>
        <v/>
      </c>
      <c r="D25" s="19" t="n">
        <v>1240</v>
      </c>
      <c r="E25" s="18" t="n">
        <v>53.08160609</v>
      </c>
      <c r="F25" s="20" t="n">
        <v>1.43042696</v>
      </c>
      <c r="G25" s="18" t="n">
        <v>33.57890755</v>
      </c>
      <c r="H25" s="20" t="n">
        <v>1.66249179</v>
      </c>
      <c r="I25" s="18" t="n">
        <v>0</v>
      </c>
      <c r="J25" s="20" t="n">
        <v>0</v>
      </c>
      <c r="K25" s="18" t="n">
        <v>0.32521405</v>
      </c>
      <c r="L25" s="20" t="n">
        <v>0.21838672</v>
      </c>
      <c r="M25" s="18" t="n">
        <v>0</v>
      </c>
      <c r="N25" s="20" t="n">
        <v>0</v>
      </c>
      <c r="O25" s="18" t="n">
        <v>0</v>
      </c>
      <c r="P25" s="20" t="n">
        <v>0</v>
      </c>
      <c r="Q25" s="18" t="n">
        <v>13.01427231</v>
      </c>
      <c r="R25" s="20" t="n">
        <v>1.04613379</v>
      </c>
    </row>
    <row r="26" spans="1:18">
      <c r="A26" s="15" t="s">
        <v>584</v>
      </c>
      <c r="B26" s="17" t="n">
        <v>4869</v>
      </c>
      <c r="C26" s="18">
        <f>(3798.0/B26*100)</f>
        <v/>
      </c>
      <c r="D26" s="19" t="n">
        <v>1071</v>
      </c>
      <c r="E26" s="18" t="n">
        <v>74.58565234</v>
      </c>
      <c r="F26" s="20" t="n">
        <v>1.52694037</v>
      </c>
      <c r="G26" s="18" t="n">
        <v>17.53366377</v>
      </c>
      <c r="H26" s="20" t="n">
        <v>1.41957593</v>
      </c>
      <c r="I26" s="18" t="n">
        <v>0</v>
      </c>
      <c r="J26" s="20" t="n">
        <v>0</v>
      </c>
      <c r="K26" s="18" t="n">
        <v>0</v>
      </c>
      <c r="L26" s="20" t="n">
        <v>0</v>
      </c>
      <c r="M26" s="18" t="n">
        <v>0.10130213</v>
      </c>
      <c r="N26" s="20" t="n">
        <v>0.06987327</v>
      </c>
      <c r="O26" s="18" t="n">
        <v>0</v>
      </c>
      <c r="P26" s="20" t="n">
        <v>0</v>
      </c>
      <c r="Q26" s="18" t="n">
        <v>7.77938176</v>
      </c>
      <c r="R26" s="20" t="n">
        <v>0.86945872</v>
      </c>
    </row>
    <row r="27" spans="1:18">
      <c r="A27" s="15" t="s">
        <v>585</v>
      </c>
      <c r="B27" s="17" t="n">
        <v>5299</v>
      </c>
      <c r="C27" s="18">
        <f>(4129.0/B27*100)</f>
        <v/>
      </c>
      <c r="D27" s="19" t="n">
        <v>1170</v>
      </c>
      <c r="E27" s="18" t="n">
        <v>65.06502</v>
      </c>
      <c r="F27" s="20" t="n">
        <v>1.36249512</v>
      </c>
      <c r="G27" s="18" t="n">
        <v>14.12155838</v>
      </c>
      <c r="H27" s="20" t="n">
        <v>1.07134523</v>
      </c>
      <c r="I27" s="18" t="n">
        <v>0</v>
      </c>
      <c r="J27" s="20" t="n">
        <v>0</v>
      </c>
      <c r="K27" s="18" t="n">
        <v>0.35199709</v>
      </c>
      <c r="L27" s="20" t="n">
        <v>0.17443961</v>
      </c>
      <c r="M27" s="18" t="n">
        <v>0</v>
      </c>
      <c r="N27" s="20" t="n">
        <v>0</v>
      </c>
      <c r="O27" s="18" t="n">
        <v>0</v>
      </c>
      <c r="P27" s="20" t="n">
        <v>0</v>
      </c>
      <c r="Q27" s="18" t="n">
        <v>20.46142453</v>
      </c>
      <c r="R27" s="20" t="n">
        <v>1.3450137</v>
      </c>
    </row>
    <row r="28" spans="1:18">
      <c r="A28" s="15" t="s">
        <v>586</v>
      </c>
      <c r="B28" s="17" t="n">
        <v>7568</v>
      </c>
      <c r="C28" s="18">
        <f>(5916.0/B28*100)</f>
        <v/>
      </c>
      <c r="D28" s="19" t="n">
        <v>1652</v>
      </c>
      <c r="E28" s="18" t="n">
        <v>93.36353502</v>
      </c>
      <c r="F28" s="20" t="n">
        <v>0.69445686</v>
      </c>
      <c r="G28" s="18" t="n">
        <v>2.75219886</v>
      </c>
      <c r="H28" s="20" t="n">
        <v>0.48407366</v>
      </c>
      <c r="I28" s="18" t="n">
        <v>0</v>
      </c>
      <c r="J28" s="20" t="n">
        <v>0</v>
      </c>
      <c r="K28" s="18" t="n">
        <v>0.274026</v>
      </c>
      <c r="L28" s="20" t="n">
        <v>0.22078354</v>
      </c>
      <c r="M28" s="18" t="n">
        <v>0.13420673</v>
      </c>
      <c r="N28" s="20" t="n">
        <v>0.10445124</v>
      </c>
      <c r="O28" s="18" t="n">
        <v>0</v>
      </c>
      <c r="P28" s="20" t="n">
        <v>0</v>
      </c>
      <c r="Q28" s="18" t="n">
        <v>3.47603338</v>
      </c>
      <c r="R28" s="20" t="n">
        <v>0.45348748</v>
      </c>
    </row>
    <row r="29" spans="1:18">
      <c r="A29" s="15" t="s">
        <v>587</v>
      </c>
      <c r="B29" s="17" t="n">
        <v>5385</v>
      </c>
      <c r="C29" s="18">
        <f>(4197.0/B29*100)</f>
        <v/>
      </c>
      <c r="D29" s="19" t="n">
        <v>1188</v>
      </c>
      <c r="E29" s="18" t="n">
        <v>83.57005487000001</v>
      </c>
      <c r="F29" s="20" t="n">
        <v>1.18442177</v>
      </c>
      <c r="G29" s="18" t="n">
        <v>12.55629982</v>
      </c>
      <c r="H29" s="20" t="n">
        <v>1.03256863</v>
      </c>
      <c r="I29" s="18" t="n">
        <v>0</v>
      </c>
      <c r="J29" s="20" t="n">
        <v>0</v>
      </c>
      <c r="K29" s="18" t="n">
        <v>0.06547995</v>
      </c>
      <c r="L29" s="20" t="n">
        <v>0.06484348</v>
      </c>
      <c r="M29" s="18" t="n">
        <v>0</v>
      </c>
      <c r="N29" s="20" t="n">
        <v>0</v>
      </c>
      <c r="O29" s="18" t="n">
        <v>0</v>
      </c>
      <c r="P29" s="20" t="n">
        <v>0</v>
      </c>
      <c r="Q29" s="18" t="n">
        <v>3.80816536</v>
      </c>
      <c r="R29" s="20" t="n">
        <v>0.70540175</v>
      </c>
    </row>
    <row r="30" spans="1:18">
      <c r="A30" s="15" t="s">
        <v>588</v>
      </c>
      <c r="B30" s="17" t="n">
        <v>4520</v>
      </c>
      <c r="C30" s="18">
        <f>(3497.0/B30*100)</f>
        <v/>
      </c>
      <c r="D30" s="19" t="n">
        <v>1023</v>
      </c>
      <c r="E30" s="18" t="n">
        <v>76.55910824999999</v>
      </c>
      <c r="F30" s="20" t="n">
        <v>1.31522654</v>
      </c>
      <c r="G30" s="18" t="n">
        <v>15.38957919</v>
      </c>
      <c r="H30" s="20" t="n">
        <v>1.2773941</v>
      </c>
      <c r="I30" s="18" t="n">
        <v>0</v>
      </c>
      <c r="J30" s="20" t="n">
        <v>0</v>
      </c>
      <c r="K30" s="18" t="n">
        <v>0.17301601</v>
      </c>
      <c r="L30" s="20" t="n">
        <v>0.12455393</v>
      </c>
      <c r="M30" s="18" t="n">
        <v>0.10473173</v>
      </c>
      <c r="N30" s="20" t="n">
        <v>0.1068508</v>
      </c>
      <c r="O30" s="18" t="n">
        <v>0</v>
      </c>
      <c r="P30" s="20" t="n">
        <v>0</v>
      </c>
      <c r="Q30" s="18" t="n">
        <v>7.77356482</v>
      </c>
      <c r="R30" s="20" t="n">
        <v>0.91167989</v>
      </c>
    </row>
    <row r="31" spans="1:18">
      <c r="A31" s="15" t="s">
        <v>589</v>
      </c>
      <c r="B31" s="17" t="n">
        <v>5456</v>
      </c>
      <c r="C31" s="18">
        <f>(4222.0/B31*100)</f>
        <v/>
      </c>
      <c r="D31" s="19" t="n">
        <v>1234</v>
      </c>
      <c r="E31" s="18" t="n">
        <v>73.78075844999999</v>
      </c>
      <c r="F31" s="20" t="n">
        <v>1.52145292</v>
      </c>
      <c r="G31" s="18" t="n">
        <v>13.72417388</v>
      </c>
      <c r="H31" s="20" t="n">
        <v>1.25811838</v>
      </c>
      <c r="I31" s="18" t="n">
        <v>0</v>
      </c>
      <c r="J31" s="20" t="n">
        <v>0</v>
      </c>
      <c r="K31" s="18" t="n">
        <v>0.17103451</v>
      </c>
      <c r="L31" s="20" t="n">
        <v>0.12421361</v>
      </c>
      <c r="M31" s="18" t="n">
        <v>0</v>
      </c>
      <c r="N31" s="20" t="n">
        <v>0</v>
      </c>
      <c r="O31" s="18" t="n">
        <v>0</v>
      </c>
      <c r="P31" s="20" t="n">
        <v>0</v>
      </c>
      <c r="Q31" s="18" t="n">
        <v>12.32403315</v>
      </c>
      <c r="R31" s="20" t="n">
        <v>1.11973616</v>
      </c>
    </row>
    <row r="32" spans="1:18">
      <c r="A32" s="15" t="s">
        <v>590</v>
      </c>
      <c r="B32" s="17" t="n">
        <v>4478</v>
      </c>
      <c r="C32" s="18">
        <f>(3478.0/B32*100)</f>
        <v/>
      </c>
      <c r="D32" s="19" t="n">
        <v>1000</v>
      </c>
      <c r="E32" s="18" t="n">
        <v>72.46056547000001</v>
      </c>
      <c r="F32" s="20" t="n">
        <v>1.60990381</v>
      </c>
      <c r="G32" s="18" t="n">
        <v>11.12484787</v>
      </c>
      <c r="H32" s="20" t="n">
        <v>1.11449929</v>
      </c>
      <c r="I32" s="18" t="n">
        <v>0</v>
      </c>
      <c r="J32" s="20" t="n">
        <v>0</v>
      </c>
      <c r="K32" s="18" t="n">
        <v>0</v>
      </c>
      <c r="L32" s="20" t="n">
        <v>0</v>
      </c>
      <c r="M32" s="18" t="n">
        <v>0</v>
      </c>
      <c r="N32" s="20" t="n">
        <v>0</v>
      </c>
      <c r="O32" s="18" t="n">
        <v>0</v>
      </c>
      <c r="P32" s="20" t="n">
        <v>0</v>
      </c>
      <c r="Q32" s="18" t="n">
        <v>16.41458667</v>
      </c>
      <c r="R32" s="20" t="n">
        <v>1.22050689</v>
      </c>
    </row>
    <row r="33" spans="1:18">
      <c r="A33" s="15" t="s">
        <v>591</v>
      </c>
      <c r="B33" s="17" t="n">
        <v>7325</v>
      </c>
      <c r="C33" s="18">
        <f>(5749.0/B33*100)</f>
        <v/>
      </c>
      <c r="D33" s="19" t="n">
        <v>1576</v>
      </c>
      <c r="E33" s="18" t="n">
        <v>80.00790967</v>
      </c>
      <c r="F33" s="20" t="n">
        <v>1.20592064</v>
      </c>
      <c r="G33" s="18" t="n">
        <v>4.26593606</v>
      </c>
      <c r="H33" s="20" t="n">
        <v>0.56635433</v>
      </c>
      <c r="I33" s="18" t="n">
        <v>0</v>
      </c>
      <c r="J33" s="20" t="n">
        <v>0</v>
      </c>
      <c r="K33" s="18" t="n">
        <v>0.12652838</v>
      </c>
      <c r="L33" s="20" t="n">
        <v>0.14994486</v>
      </c>
      <c r="M33" s="18" t="n">
        <v>0.34790525</v>
      </c>
      <c r="N33" s="20" t="n">
        <v>0.1598051</v>
      </c>
      <c r="O33" s="18" t="n">
        <v>0</v>
      </c>
      <c r="P33" s="20" t="n">
        <v>0</v>
      </c>
      <c r="Q33" s="18" t="n">
        <v>15.25172064</v>
      </c>
      <c r="R33" s="20" t="n">
        <v>1.10242776</v>
      </c>
    </row>
    <row r="34" spans="1:18">
      <c r="A34" s="15" t="s">
        <v>592</v>
      </c>
      <c r="B34" s="17" t="n">
        <v>6350</v>
      </c>
      <c r="C34" s="18">
        <f>(4934.0/B34*100)</f>
        <v/>
      </c>
      <c r="D34" s="19" t="n">
        <v>1416</v>
      </c>
      <c r="E34" s="18" t="n">
        <v>62.21882691</v>
      </c>
      <c r="F34" s="20" t="n">
        <v>1.25163711</v>
      </c>
      <c r="G34" s="18" t="n">
        <v>18.03388976</v>
      </c>
      <c r="H34" s="20" t="n">
        <v>1.18797469</v>
      </c>
      <c r="I34" s="18" t="n">
        <v>0</v>
      </c>
      <c r="J34" s="20" t="n">
        <v>0</v>
      </c>
      <c r="K34" s="18" t="n">
        <v>0.12729752</v>
      </c>
      <c r="L34" s="20" t="n">
        <v>0.08990362</v>
      </c>
      <c r="M34" s="18" t="n">
        <v>0.60446693</v>
      </c>
      <c r="N34" s="20" t="n">
        <v>0.32246814</v>
      </c>
      <c r="O34" s="18" t="n">
        <v>0</v>
      </c>
      <c r="P34" s="20" t="n">
        <v>0</v>
      </c>
      <c r="Q34" s="18" t="n">
        <v>19.01551888</v>
      </c>
      <c r="R34" s="20" t="n">
        <v>1.00633914</v>
      </c>
    </row>
    <row r="35" spans="1:18">
      <c r="A35" s="15" t="s">
        <v>593</v>
      </c>
      <c r="B35" s="17" t="n">
        <v>6406</v>
      </c>
      <c r="C35" s="18">
        <f>(5027.0/B35*100)</f>
        <v/>
      </c>
      <c r="D35" s="19" t="n">
        <v>1379</v>
      </c>
      <c r="E35" s="18" t="n">
        <v>66.1974376</v>
      </c>
      <c r="F35" s="20" t="n">
        <v>1.42798187</v>
      </c>
      <c r="G35" s="18" t="n">
        <v>16.76328417</v>
      </c>
      <c r="H35" s="20" t="n">
        <v>1.26145379</v>
      </c>
      <c r="I35" s="18" t="n">
        <v>0</v>
      </c>
      <c r="J35" s="20" t="n">
        <v>0</v>
      </c>
      <c r="K35" s="18" t="n">
        <v>0.48228341</v>
      </c>
      <c r="L35" s="20" t="n">
        <v>0.36615098</v>
      </c>
      <c r="M35" s="18" t="n">
        <v>0.23497749</v>
      </c>
      <c r="N35" s="20" t="n">
        <v>0.15990929</v>
      </c>
      <c r="O35" s="18" t="n">
        <v>0</v>
      </c>
      <c r="P35" s="20" t="n">
        <v>0</v>
      </c>
      <c r="Q35" s="18" t="n">
        <v>16.32201733</v>
      </c>
      <c r="R35" s="20" t="n">
        <v>1.30317606</v>
      </c>
    </row>
    <row r="36" spans="1:18">
      <c r="A36" s="15" t="s">
        <v>594</v>
      </c>
      <c r="B36" s="17" t="n">
        <v>6736</v>
      </c>
      <c r="C36" s="18">
        <f>(5267.0/B36*100)</f>
        <v/>
      </c>
      <c r="D36" s="19" t="n">
        <v>1469</v>
      </c>
      <c r="E36" s="18" t="n">
        <v>83.39959650999999</v>
      </c>
      <c r="F36" s="20" t="n">
        <v>1.0551448</v>
      </c>
      <c r="G36" s="18" t="n">
        <v>4.73387744</v>
      </c>
      <c r="H36" s="20" t="n">
        <v>0.60186228</v>
      </c>
      <c r="I36" s="18" t="n">
        <v>0</v>
      </c>
      <c r="J36" s="20" t="n">
        <v>0</v>
      </c>
      <c r="K36" s="18" t="n">
        <v>0.0974985</v>
      </c>
      <c r="L36" s="20" t="n">
        <v>0.10266858</v>
      </c>
      <c r="M36" s="18" t="n">
        <v>0.14656964</v>
      </c>
      <c r="N36" s="20" t="n">
        <v>0.11040585</v>
      </c>
      <c r="O36" s="18" t="n">
        <v>0</v>
      </c>
      <c r="P36" s="20" t="n">
        <v>0</v>
      </c>
      <c r="Q36" s="18" t="n">
        <v>11.62245792</v>
      </c>
      <c r="R36" s="20" t="n">
        <v>0.9067541</v>
      </c>
    </row>
    <row r="37" spans="1:18">
      <c r="A37" s="15" t="s">
        <v>595</v>
      </c>
      <c r="B37" s="17" t="n">
        <v>5458</v>
      </c>
      <c r="C37" s="18">
        <f>(4259.0/B37*100)</f>
        <v/>
      </c>
      <c r="D37" s="19" t="n">
        <v>1199</v>
      </c>
      <c r="E37" s="18" t="n">
        <v>68.45861905</v>
      </c>
      <c r="F37" s="20" t="n">
        <v>1.57630002</v>
      </c>
      <c r="G37" s="18" t="n">
        <v>13.98757129</v>
      </c>
      <c r="H37" s="20" t="n">
        <v>1.30440869</v>
      </c>
      <c r="I37" s="18" t="n">
        <v>0</v>
      </c>
      <c r="J37" s="20" t="n">
        <v>0</v>
      </c>
      <c r="K37" s="18" t="n">
        <v>0.0889802</v>
      </c>
      <c r="L37" s="20" t="n">
        <v>0.08914881</v>
      </c>
      <c r="M37" s="18" t="n">
        <v>0</v>
      </c>
      <c r="N37" s="20" t="n">
        <v>0</v>
      </c>
      <c r="O37" s="18" t="n">
        <v>0</v>
      </c>
      <c r="P37" s="20" t="n">
        <v>0</v>
      </c>
      <c r="Q37" s="18" t="n">
        <v>17.46482946</v>
      </c>
      <c r="R37" s="20" t="n">
        <v>1.09399215</v>
      </c>
    </row>
    <row r="38" spans="1:18">
      <c r="A38" s="15" t="s">
        <v>596</v>
      </c>
      <c r="B38" s="17" t="n">
        <v>5860</v>
      </c>
      <c r="C38" s="18">
        <f>(4609.0/B38*100)</f>
        <v/>
      </c>
      <c r="D38" s="19" t="n">
        <v>1251</v>
      </c>
      <c r="E38" s="18" t="n">
        <v>62.39188013</v>
      </c>
      <c r="F38" s="20" t="n">
        <v>1.85054938</v>
      </c>
      <c r="G38" s="18" t="n">
        <v>19.75863309</v>
      </c>
      <c r="H38" s="20" t="n">
        <v>1.48302013</v>
      </c>
      <c r="I38" s="18" t="n">
        <v>0</v>
      </c>
      <c r="J38" s="20" t="n">
        <v>0</v>
      </c>
      <c r="K38" s="18" t="n">
        <v>0</v>
      </c>
      <c r="L38" s="20" t="n">
        <v>0</v>
      </c>
      <c r="M38" s="18" t="n">
        <v>2.91086357</v>
      </c>
      <c r="N38" s="20" t="n">
        <v>0.6868727100000001</v>
      </c>
      <c r="O38" s="18" t="n">
        <v>0</v>
      </c>
      <c r="P38" s="20" t="n">
        <v>0</v>
      </c>
      <c r="Q38" s="18" t="n">
        <v>14.93862321</v>
      </c>
      <c r="R38" s="20" t="n">
        <v>1.17051252</v>
      </c>
    </row>
    <row r="39" spans="1:18">
      <c r="A39" s="15" t="s">
        <v>597</v>
      </c>
      <c r="B39" s="17" t="n">
        <v>5895</v>
      </c>
      <c r="C39" s="18">
        <f>(4565.0/B39*100)</f>
        <v/>
      </c>
      <c r="D39" s="19" t="n">
        <v>1330</v>
      </c>
      <c r="E39" s="18" t="n">
        <v>83.43621146</v>
      </c>
      <c r="F39" s="20" t="n">
        <v>1.00996226</v>
      </c>
      <c r="G39" s="18" t="n">
        <v>5.41581532</v>
      </c>
      <c r="H39" s="20" t="n">
        <v>0.63983259</v>
      </c>
      <c r="I39" s="18" t="n">
        <v>0</v>
      </c>
      <c r="J39" s="20" t="n">
        <v>0</v>
      </c>
      <c r="K39" s="18" t="n">
        <v>0.05839185</v>
      </c>
      <c r="L39" s="20" t="n">
        <v>0.08116713</v>
      </c>
      <c r="M39" s="18" t="n">
        <v>0.15090865</v>
      </c>
      <c r="N39" s="20" t="n">
        <v>0.08815365999999999</v>
      </c>
      <c r="O39" s="18" t="n">
        <v>0</v>
      </c>
      <c r="P39" s="20" t="n">
        <v>0</v>
      </c>
      <c r="Q39" s="18" t="n">
        <v>10.93867272</v>
      </c>
      <c r="R39" s="20" t="n">
        <v>1.04573245</v>
      </c>
    </row>
    <row r="40" spans="1:18">
      <c r="A40" s="15" t="s">
        <v>598</v>
      </c>
      <c r="B40" s="17" t="n">
        <v>14157</v>
      </c>
      <c r="C40" s="18">
        <f>(11029.0/B40*100)</f>
        <v/>
      </c>
      <c r="D40" s="19" t="n">
        <v>3128</v>
      </c>
      <c r="E40" s="18" t="n">
        <v>74.31352308</v>
      </c>
      <c r="F40" s="20" t="n">
        <v>1.11989829</v>
      </c>
      <c r="G40" s="18" t="n">
        <v>15.83396072</v>
      </c>
      <c r="H40" s="20" t="n">
        <v>0.97189524</v>
      </c>
      <c r="I40" s="18" t="n">
        <v>0</v>
      </c>
      <c r="J40" s="20" t="n">
        <v>0</v>
      </c>
      <c r="K40" s="18" t="n">
        <v>0.22121681</v>
      </c>
      <c r="L40" s="20" t="n">
        <v>0.14880478</v>
      </c>
      <c r="M40" s="18" t="n">
        <v>0</v>
      </c>
      <c r="N40" s="20" t="n">
        <v>0</v>
      </c>
      <c r="O40" s="18" t="n">
        <v>0</v>
      </c>
      <c r="P40" s="20" t="n">
        <v>0</v>
      </c>
      <c r="Q40" s="18" t="n">
        <v>9.631299390000001</v>
      </c>
      <c r="R40" s="20" t="n">
        <v>0.8408035</v>
      </c>
    </row>
    <row r="41" spans="1:18">
      <c r="A41" s="15" t="s">
        <v>599</v>
      </c>
      <c r="B41" s="17" t="n">
        <v>5712</v>
      </c>
      <c r="C41" s="18">
        <f>(4469.0/B41*100)</f>
        <v/>
      </c>
      <c r="D41" s="19" t="n">
        <v>1243</v>
      </c>
      <c r="E41" s="18" t="n">
        <v>92.23651635</v>
      </c>
      <c r="F41" s="20" t="n">
        <v>0.75074128</v>
      </c>
      <c r="G41" s="18" t="n">
        <v>4.95088325</v>
      </c>
      <c r="H41" s="20" t="n">
        <v>0.58624216</v>
      </c>
      <c r="I41" s="18" t="n">
        <v>0</v>
      </c>
      <c r="J41" s="20" t="n">
        <v>0</v>
      </c>
      <c r="K41" s="18" t="n">
        <v>0.03266917</v>
      </c>
      <c r="L41" s="20" t="n">
        <v>0.03286273</v>
      </c>
      <c r="M41" s="18" t="n">
        <v>0</v>
      </c>
      <c r="N41" s="20" t="n">
        <v>0</v>
      </c>
      <c r="O41" s="18" t="n">
        <v>0</v>
      </c>
      <c r="P41" s="20" t="n">
        <v>0</v>
      </c>
      <c r="Q41" s="18" t="n">
        <v>2.77993123</v>
      </c>
      <c r="R41" s="20" t="n">
        <v>0.51656112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(18608.0/B46*100)</f>
        <v/>
      </c>
      <c r="D46" s="19" t="n">
        <v>4533</v>
      </c>
      <c r="E46" s="18" t="n">
        <v>76.92535834</v>
      </c>
      <c r="F46" s="20" t="n">
        <v>0.98939923</v>
      </c>
      <c r="G46" s="18" t="n">
        <v>1.49948274</v>
      </c>
      <c r="H46" s="20" t="n">
        <v>0.23208204</v>
      </c>
      <c r="I46" s="18" t="n">
        <v>0</v>
      </c>
      <c r="J46" s="20" t="n">
        <v>0</v>
      </c>
      <c r="K46" s="18" t="n">
        <v>0.48336242</v>
      </c>
      <c r="L46" s="20" t="n">
        <v>0.13342839</v>
      </c>
      <c r="M46" s="18" t="n">
        <v>0.44186408</v>
      </c>
      <c r="N46" s="20" t="n">
        <v>0.15106178</v>
      </c>
      <c r="O46" s="18" t="n">
        <v>0</v>
      </c>
      <c r="P46" s="20" t="n">
        <v>0</v>
      </c>
      <c r="Q46" s="18" t="n">
        <v>20.64993241</v>
      </c>
      <c r="R46" s="20" t="n">
        <v>0.96402872</v>
      </c>
    </row>
    <row r="47" spans="1:18">
      <c r="A47" s="15" t="s">
        <v>606</v>
      </c>
      <c r="B47" s="17" t="n">
        <v>5928</v>
      </c>
      <c r="C47" s="18">
        <f>(4582.0/B47*100)</f>
        <v/>
      </c>
      <c r="D47" s="19" t="n">
        <v>1346</v>
      </c>
      <c r="E47" s="18" t="n">
        <v>60.35722256</v>
      </c>
      <c r="F47" s="20" t="n">
        <v>1.63647411</v>
      </c>
      <c r="G47" s="18" t="n">
        <v>8.35973006</v>
      </c>
      <c r="H47" s="20" t="n">
        <v>0.90531562</v>
      </c>
      <c r="I47" s="18" t="n">
        <v>0</v>
      </c>
      <c r="J47" s="20" t="n">
        <v>0</v>
      </c>
      <c r="K47" s="18" t="n">
        <v>0.06883229</v>
      </c>
      <c r="L47" s="20" t="n">
        <v>0.06883134</v>
      </c>
      <c r="M47" s="18" t="n">
        <v>0.07622552</v>
      </c>
      <c r="N47" s="20" t="n">
        <v>0.07209781</v>
      </c>
      <c r="O47" s="18" t="n">
        <v>0</v>
      </c>
      <c r="P47" s="20" t="n">
        <v>0</v>
      </c>
      <c r="Q47" s="18" t="n">
        <v>31.13798957</v>
      </c>
      <c r="R47" s="20" t="n">
        <v>1.52131125</v>
      </c>
    </row>
    <row r="48" spans="1:18">
      <c r="A48" s="15" t="s">
        <v>607</v>
      </c>
      <c r="B48" s="17" t="n">
        <v>9841</v>
      </c>
      <c r="C48" s="18">
        <f>(7656.0/B48*100)</f>
        <v/>
      </c>
      <c r="D48" s="19" t="n">
        <v>2185</v>
      </c>
      <c r="E48" s="18" t="n">
        <v>43.31399216</v>
      </c>
      <c r="F48" s="20" t="n">
        <v>1.59128603</v>
      </c>
      <c r="G48" s="18" t="n">
        <v>45.83019484</v>
      </c>
      <c r="H48" s="20" t="n">
        <v>1.73108797</v>
      </c>
      <c r="I48" s="18" t="n">
        <v>0</v>
      </c>
      <c r="J48" s="20" t="n">
        <v>0</v>
      </c>
      <c r="K48" s="18" t="n">
        <v>0.10681287</v>
      </c>
      <c r="L48" s="20" t="n">
        <v>0.08262696999999999</v>
      </c>
      <c r="M48" s="18" t="n">
        <v>0.00404707</v>
      </c>
      <c r="N48" s="20" t="n">
        <v>0.0040132</v>
      </c>
      <c r="O48" s="18" t="n">
        <v>0</v>
      </c>
      <c r="P48" s="20" t="n">
        <v>0</v>
      </c>
      <c r="Q48" s="18" t="n">
        <v>10.74495306</v>
      </c>
      <c r="R48" s="20" t="n">
        <v>0.91066954</v>
      </c>
    </row>
    <row r="49" spans="1:18">
      <c r="A49" s="15" t="s">
        <v>608</v>
      </c>
      <c r="B49" s="17" t="n">
        <v>11795</v>
      </c>
      <c r="C49" s="18">
        <f>(9242.0/B49*100)</f>
        <v/>
      </c>
      <c r="D49" s="19" t="n">
        <v>2553</v>
      </c>
      <c r="E49" s="18" t="n">
        <v>91.79812059</v>
      </c>
      <c r="F49" s="20" t="n">
        <v>0.77273592</v>
      </c>
      <c r="G49" s="18" t="n">
        <v>2.59940222</v>
      </c>
      <c r="H49" s="20" t="n">
        <v>0.4321793</v>
      </c>
      <c r="I49" s="18" t="n">
        <v>0</v>
      </c>
      <c r="J49" s="20" t="n">
        <v>0</v>
      </c>
      <c r="K49" s="18" t="n">
        <v>0.17083005</v>
      </c>
      <c r="L49" s="20" t="n">
        <v>0.09538903</v>
      </c>
      <c r="M49" s="18" t="n">
        <v>0.20028886</v>
      </c>
      <c r="N49" s="20" t="n">
        <v>0.13074251</v>
      </c>
      <c r="O49" s="18" t="n">
        <v>0</v>
      </c>
      <c r="P49" s="20" t="n">
        <v>0</v>
      </c>
      <c r="Q49" s="18" t="n">
        <v>5.23135829</v>
      </c>
      <c r="R49" s="20" t="n">
        <v>0.58119144</v>
      </c>
    </row>
    <row r="50" spans="1:18">
      <c r="A50" s="15" t="s">
        <v>609</v>
      </c>
      <c r="B50" s="17" t="n">
        <v>6866</v>
      </c>
      <c r="C50" s="18">
        <f>(5561.0/B50*100)</f>
        <v/>
      </c>
      <c r="D50" s="19" t="n">
        <v>1305</v>
      </c>
      <c r="E50" s="18" t="n">
        <v>87.51339915</v>
      </c>
      <c r="F50" s="20" t="n">
        <v>0.9551340699999999</v>
      </c>
      <c r="G50" s="18" t="n">
        <v>5.66946301</v>
      </c>
      <c r="H50" s="20" t="n">
        <v>0.63900446</v>
      </c>
      <c r="I50" s="18" t="n">
        <v>0</v>
      </c>
      <c r="J50" s="20" t="n">
        <v>0</v>
      </c>
      <c r="K50" s="18" t="n">
        <v>0.06967458999999999</v>
      </c>
      <c r="L50" s="20" t="n">
        <v>0.06941427</v>
      </c>
      <c r="M50" s="18" t="n">
        <v>0.16645018</v>
      </c>
      <c r="N50" s="20" t="n">
        <v>0.16242534</v>
      </c>
      <c r="O50" s="18" t="n">
        <v>0</v>
      </c>
      <c r="P50" s="20" t="n">
        <v>0</v>
      </c>
      <c r="Q50" s="18" t="n">
        <v>6.58101306</v>
      </c>
      <c r="R50" s="20" t="n">
        <v>0.75414393</v>
      </c>
    </row>
    <row r="51" spans="1:18">
      <c r="A51" s="15" t="s">
        <v>610</v>
      </c>
      <c r="B51" s="17" t="n">
        <v>5809</v>
      </c>
      <c r="C51" s="18">
        <f>(4569.0/B51*100)</f>
        <v/>
      </c>
      <c r="D51" s="19" t="n">
        <v>1240</v>
      </c>
      <c r="E51" s="18" t="n">
        <v>57.70194888</v>
      </c>
      <c r="F51" s="20" t="n">
        <v>1.55998182</v>
      </c>
      <c r="G51" s="18" t="n">
        <v>13.84155411</v>
      </c>
      <c r="H51" s="20" t="n">
        <v>0.98491719</v>
      </c>
      <c r="I51" s="18" t="n">
        <v>0</v>
      </c>
      <c r="J51" s="20" t="n">
        <v>0</v>
      </c>
      <c r="K51" s="18" t="n">
        <v>0</v>
      </c>
      <c r="L51" s="20" t="n">
        <v>0</v>
      </c>
      <c r="M51" s="18" t="n">
        <v>0</v>
      </c>
      <c r="N51" s="20" t="n">
        <v>0</v>
      </c>
      <c r="O51" s="18" t="n">
        <v>0</v>
      </c>
      <c r="P51" s="20" t="n">
        <v>0</v>
      </c>
      <c r="Q51" s="18" t="n">
        <v>28.45649701</v>
      </c>
      <c r="R51" s="20" t="n">
        <v>1.17068381</v>
      </c>
    </row>
    <row r="52" spans="1:18">
      <c r="A52" s="15" t="s">
        <v>611</v>
      </c>
      <c r="B52" s="17" t="n">
        <v>5571</v>
      </c>
      <c r="C52" s="18">
        <f>(4382.0/B52*100)</f>
        <v/>
      </c>
      <c r="D52" s="19" t="n">
        <v>1189</v>
      </c>
      <c r="E52" s="18" t="n">
        <v>72.97432612</v>
      </c>
      <c r="F52" s="20" t="n">
        <v>1.31042155</v>
      </c>
      <c r="G52" s="18" t="n">
        <v>6.91564904</v>
      </c>
      <c r="H52" s="20" t="n">
        <v>0.8879481</v>
      </c>
      <c r="I52" s="18" t="n">
        <v>0</v>
      </c>
      <c r="J52" s="20" t="n">
        <v>0</v>
      </c>
      <c r="K52" s="18" t="n">
        <v>0.18249798</v>
      </c>
      <c r="L52" s="20" t="n">
        <v>0.10522417</v>
      </c>
      <c r="M52" s="18" t="n">
        <v>0.11669097</v>
      </c>
      <c r="N52" s="20" t="n">
        <v>0.11775306</v>
      </c>
      <c r="O52" s="18" t="n">
        <v>0</v>
      </c>
      <c r="P52" s="20" t="n">
        <v>0</v>
      </c>
      <c r="Q52" s="18" t="n">
        <v>19.8108359</v>
      </c>
      <c r="R52" s="20" t="n">
        <v>1.21366908</v>
      </c>
    </row>
    <row r="53" spans="1:18">
      <c r="A53" s="15" t="s">
        <v>612</v>
      </c>
      <c r="B53" s="17" t="n">
        <v>4740</v>
      </c>
      <c r="C53" s="18">
        <f>(3665.0/B53*100)</f>
        <v/>
      </c>
      <c r="D53" s="19" t="n">
        <v>1075</v>
      </c>
      <c r="E53" s="18" t="n">
        <v>73.72120896</v>
      </c>
      <c r="F53" s="20" t="n">
        <v>1.68145021</v>
      </c>
      <c r="G53" s="18" t="n">
        <v>0.8206244700000001</v>
      </c>
      <c r="H53" s="20" t="n">
        <v>0.25560397</v>
      </c>
      <c r="I53" s="18" t="n">
        <v>0</v>
      </c>
      <c r="J53" s="20" t="n">
        <v>0</v>
      </c>
      <c r="K53" s="18" t="n">
        <v>8.89177812</v>
      </c>
      <c r="L53" s="20" t="n">
        <v>0.87107789</v>
      </c>
      <c r="M53" s="18" t="n">
        <v>0.5936627799999999</v>
      </c>
      <c r="N53" s="20" t="n">
        <v>0.54992111</v>
      </c>
      <c r="O53" s="18" t="n">
        <v>0</v>
      </c>
      <c r="P53" s="20" t="n">
        <v>0</v>
      </c>
      <c r="Q53" s="18" t="n">
        <v>15.97272567</v>
      </c>
      <c r="R53" s="20" t="n">
        <v>1.29094789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(4172.0/B55*100)</f>
        <v/>
      </c>
      <c r="D55" s="19" t="n">
        <v>1187</v>
      </c>
      <c r="E55" s="18" t="n">
        <v>48.17868019</v>
      </c>
      <c r="F55" s="20" t="n">
        <v>1.83523115</v>
      </c>
      <c r="G55" s="18" t="n">
        <v>43.94859494</v>
      </c>
      <c r="H55" s="20" t="n">
        <v>1.81968014</v>
      </c>
      <c r="I55" s="18" t="n">
        <v>0</v>
      </c>
      <c r="J55" s="20" t="n">
        <v>0</v>
      </c>
      <c r="K55" s="18" t="n">
        <v>0.14802818</v>
      </c>
      <c r="L55" s="20" t="n">
        <v>0.11142232</v>
      </c>
      <c r="M55" s="18" t="n">
        <v>0.10469622</v>
      </c>
      <c r="N55" s="20" t="n">
        <v>0.11526796</v>
      </c>
      <c r="O55" s="18" t="n">
        <v>0</v>
      </c>
      <c r="P55" s="20" t="n">
        <v>0</v>
      </c>
      <c r="Q55" s="18" t="n">
        <v>7.62000047</v>
      </c>
      <c r="R55" s="20" t="n">
        <v>0.85892138</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(5073.0/B61*100)</f>
        <v/>
      </c>
      <c r="D61" s="19" t="n">
        <v>1452</v>
      </c>
      <c r="E61" s="18" t="n">
        <v>71.91850813000001</v>
      </c>
      <c r="F61" s="20" t="n">
        <v>1.33393597</v>
      </c>
      <c r="G61" s="18" t="n">
        <v>11.7748186</v>
      </c>
      <c r="H61" s="20" t="n">
        <v>1.09482627</v>
      </c>
      <c r="I61" s="18" t="n">
        <v>0</v>
      </c>
      <c r="J61" s="20" t="n">
        <v>0</v>
      </c>
      <c r="K61" s="18" t="n">
        <v>0.16756196</v>
      </c>
      <c r="L61" s="20" t="n">
        <v>0.10521185</v>
      </c>
      <c r="M61" s="18" t="n">
        <v>0</v>
      </c>
      <c r="N61" s="20" t="n">
        <v>0</v>
      </c>
      <c r="O61" s="18" t="n">
        <v>0</v>
      </c>
      <c r="P61" s="20" t="n">
        <v>0</v>
      </c>
      <c r="Q61" s="18" t="n">
        <v>16.13911131</v>
      </c>
      <c r="R61" s="20" t="n">
        <v>1.18776576</v>
      </c>
    </row>
    <row r="62" spans="1:18">
      <c r="A62" s="15" t="s">
        <v>622</v>
      </c>
      <c r="B62" s="17" t="n">
        <v>4476</v>
      </c>
      <c r="C62" s="18">
        <f>(3508.0/B62*100)</f>
        <v/>
      </c>
      <c r="D62" s="19" t="n">
        <v>968</v>
      </c>
      <c r="E62" s="18" t="n">
        <v>51.42136978</v>
      </c>
      <c r="F62" s="20" t="n">
        <v>1.74981657</v>
      </c>
      <c r="G62" s="18" t="n">
        <v>44.02964379</v>
      </c>
      <c r="H62" s="20" t="n">
        <v>1.63649536</v>
      </c>
      <c r="I62" s="18" t="n">
        <v>0</v>
      </c>
      <c r="J62" s="20" t="n">
        <v>0</v>
      </c>
      <c r="K62" s="18" t="n">
        <v>0.10618449</v>
      </c>
      <c r="L62" s="20" t="n">
        <v>0.10644555</v>
      </c>
      <c r="M62" s="18" t="n">
        <v>0.20638271</v>
      </c>
      <c r="N62" s="20" t="n">
        <v>0.14496745</v>
      </c>
      <c r="O62" s="18" t="n">
        <v>0</v>
      </c>
      <c r="P62" s="20" t="n">
        <v>0</v>
      </c>
      <c r="Q62" s="18" t="n">
        <v>4.23641923</v>
      </c>
      <c r="R62" s="20" t="n">
        <v>0.63267093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(4404.0/B67*100)</f>
        <v/>
      </c>
      <c r="D67" s="19" t="n">
        <v>1261</v>
      </c>
      <c r="E67" s="18" t="n">
        <v>54.67979996</v>
      </c>
      <c r="F67" s="20" t="n">
        <v>1.37024548</v>
      </c>
      <c r="G67" s="18" t="n">
        <v>3.94061444</v>
      </c>
      <c r="H67" s="20" t="n">
        <v>0.56552854</v>
      </c>
      <c r="I67" s="18" t="n">
        <v>0</v>
      </c>
      <c r="J67" s="20" t="n">
        <v>0</v>
      </c>
      <c r="K67" s="18" t="n">
        <v>0.29892234</v>
      </c>
      <c r="L67" s="20" t="n">
        <v>0.14975365</v>
      </c>
      <c r="M67" s="18" t="n">
        <v>0.50131778</v>
      </c>
      <c r="N67" s="20" t="n">
        <v>0.18932569</v>
      </c>
      <c r="O67" s="18" t="n">
        <v>0</v>
      </c>
      <c r="P67" s="20" t="n">
        <v>0</v>
      </c>
      <c r="Q67" s="18" t="n">
        <v>40.57934549</v>
      </c>
      <c r="R67" s="20" t="n">
        <v>1.31190453</v>
      </c>
    </row>
    <row r="68" spans="1:18">
      <c r="A68" s="15" t="s">
        <v>628</v>
      </c>
      <c r="B68" s="17" t="n">
        <v>6971</v>
      </c>
      <c r="C68" s="18">
        <f>(5485.0/B68*100)</f>
        <v/>
      </c>
      <c r="D68" s="19" t="n">
        <v>1486</v>
      </c>
      <c r="E68" s="18" t="n">
        <v>89.26759634</v>
      </c>
      <c r="F68" s="20" t="n">
        <v>0.8595487000000001</v>
      </c>
      <c r="G68" s="18" t="n">
        <v>0.99372723</v>
      </c>
      <c r="H68" s="20" t="n">
        <v>0.27694123</v>
      </c>
      <c r="I68" s="18" t="n">
        <v>0</v>
      </c>
      <c r="J68" s="20" t="n">
        <v>0</v>
      </c>
      <c r="K68" s="18" t="n">
        <v>0.06067134</v>
      </c>
      <c r="L68" s="20" t="n">
        <v>0.06098467</v>
      </c>
      <c r="M68" s="18" t="n">
        <v>0.17674282</v>
      </c>
      <c r="N68" s="20" t="n">
        <v>0.10323973</v>
      </c>
      <c r="O68" s="18" t="n">
        <v>0</v>
      </c>
      <c r="P68" s="20" t="n">
        <v>0</v>
      </c>
      <c r="Q68" s="18" t="n">
        <v>9.50126227</v>
      </c>
      <c r="R68" s="20" t="n">
        <v>0.88738495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(9412.0/B70*100)</f>
        <v/>
      </c>
      <c r="D70" s="19" t="n">
        <v>2671</v>
      </c>
      <c r="E70" s="18" t="n">
        <v>74.65749003000001</v>
      </c>
      <c r="F70" s="20" t="n">
        <v>0.88972372</v>
      </c>
      <c r="G70" s="18" t="n">
        <v>11.67280324</v>
      </c>
      <c r="H70" s="20" t="n">
        <v>0.62922844</v>
      </c>
      <c r="I70" s="18" t="n">
        <v>0</v>
      </c>
      <c r="J70" s="20" t="n">
        <v>0</v>
      </c>
      <c r="K70" s="18" t="n">
        <v>0.44197274</v>
      </c>
      <c r="L70" s="20" t="n">
        <v>0.1340092</v>
      </c>
      <c r="M70" s="18" t="n">
        <v>0.03595274</v>
      </c>
      <c r="N70" s="20" t="n">
        <v>0.03580609</v>
      </c>
      <c r="O70" s="18" t="n">
        <v>0</v>
      </c>
      <c r="P70" s="20" t="n">
        <v>0</v>
      </c>
      <c r="Q70" s="18" t="n">
        <v>13.19178125</v>
      </c>
      <c r="R70" s="20" t="n">
        <v>0.71138968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(4722.0/B72*100)</f>
        <v/>
      </c>
      <c r="D72" s="19" t="n">
        <v>1314</v>
      </c>
      <c r="E72" s="18" t="n">
        <v>70.19208857</v>
      </c>
      <c r="F72" s="20" t="n">
        <v>1.54585484</v>
      </c>
      <c r="G72" s="18" t="n">
        <v>12.79772148</v>
      </c>
      <c r="H72" s="20" t="n">
        <v>1.43674591</v>
      </c>
      <c r="I72" s="18" t="n">
        <v>0</v>
      </c>
      <c r="J72" s="20" t="n">
        <v>0</v>
      </c>
      <c r="K72" s="18" t="n">
        <v>0.03776647</v>
      </c>
      <c r="L72" s="20" t="n">
        <v>0.03810976</v>
      </c>
      <c r="M72" s="18" t="n">
        <v>0.15628229</v>
      </c>
      <c r="N72" s="20" t="n">
        <v>0.1113505</v>
      </c>
      <c r="O72" s="18" t="n">
        <v>0</v>
      </c>
      <c r="P72" s="20" t="n">
        <v>0</v>
      </c>
      <c r="Q72" s="18" t="n">
        <v>16.81614119</v>
      </c>
      <c r="R72" s="20" t="n">
        <v>1.38121744</v>
      </c>
    </row>
    <row r="73" spans="1:18">
      <c r="A73" s="15" t="s">
        <v>633</v>
      </c>
      <c r="B73" s="17" t="n">
        <v>6115</v>
      </c>
      <c r="C73" s="18">
        <f>(4714.0/B73*100)</f>
        <v/>
      </c>
      <c r="D73" s="19" t="n">
        <v>1401</v>
      </c>
      <c r="E73" s="18" t="n">
        <v>65.52944660999999</v>
      </c>
      <c r="F73" s="20" t="n">
        <v>1.35442251</v>
      </c>
      <c r="G73" s="18" t="n">
        <v>30.42185888</v>
      </c>
      <c r="H73" s="20" t="n">
        <v>1.29628666</v>
      </c>
      <c r="I73" s="18" t="n">
        <v>0</v>
      </c>
      <c r="J73" s="20" t="n">
        <v>0</v>
      </c>
      <c r="K73" s="18" t="n">
        <v>0.09448478</v>
      </c>
      <c r="L73" s="20" t="n">
        <v>0.06882070999999999</v>
      </c>
      <c r="M73" s="18" t="n">
        <v>0</v>
      </c>
      <c r="N73" s="20" t="n">
        <v>0</v>
      </c>
      <c r="O73" s="18" t="n">
        <v>0</v>
      </c>
      <c r="P73" s="20" t="n">
        <v>0</v>
      </c>
      <c r="Q73" s="18" t="n">
        <v>3.95420973</v>
      </c>
      <c r="R73" s="20" t="n">
        <v>0.51488031</v>
      </c>
    </row>
    <row r="74" spans="1:18">
      <c r="A74" s="15" t="s">
        <v>634</v>
      </c>
      <c r="B74" s="17" t="n">
        <v>7708</v>
      </c>
      <c r="C74" s="18">
        <f>(5977.0/B74*100)</f>
        <v/>
      </c>
      <c r="D74" s="19" t="n">
        <v>1731</v>
      </c>
      <c r="E74" s="18" t="n">
        <v>33.17880682</v>
      </c>
      <c r="F74" s="20" t="n">
        <v>1.35850813</v>
      </c>
      <c r="G74" s="18" t="n">
        <v>57.73114564</v>
      </c>
      <c r="H74" s="20" t="n">
        <v>1.53992981</v>
      </c>
      <c r="I74" s="18" t="n">
        <v>0</v>
      </c>
      <c r="J74" s="20" t="n">
        <v>0</v>
      </c>
      <c r="K74" s="18" t="n">
        <v>0.06658601</v>
      </c>
      <c r="L74" s="20" t="n">
        <v>0.04764207</v>
      </c>
      <c r="M74" s="18" t="n">
        <v>0</v>
      </c>
      <c r="N74" s="20" t="n">
        <v>0</v>
      </c>
      <c r="O74" s="18" t="n">
        <v>0</v>
      </c>
      <c r="P74" s="20" t="n">
        <v>0</v>
      </c>
      <c r="Q74" s="18" t="n">
        <v>9.023461530000001</v>
      </c>
      <c r="R74" s="20" t="n">
        <v>0.63534016</v>
      </c>
    </row>
    <row r="75" spans="1:18">
      <c r="A75" s="15" t="s">
        <v>635</v>
      </c>
      <c r="B75" s="17" t="n">
        <v>8249</v>
      </c>
      <c r="C75" s="18">
        <f>(6469.0/B75*100)</f>
        <v/>
      </c>
      <c r="D75" s="19" t="n">
        <v>1780</v>
      </c>
      <c r="E75" s="18" t="n">
        <v>89.21626196</v>
      </c>
      <c r="F75" s="20" t="n">
        <v>0.95547728</v>
      </c>
      <c r="G75" s="18" t="n">
        <v>7.18031334</v>
      </c>
      <c r="H75" s="20" t="n">
        <v>0.7515553</v>
      </c>
      <c r="I75" s="18" t="n">
        <v>0</v>
      </c>
      <c r="J75" s="20" t="n">
        <v>0</v>
      </c>
      <c r="K75" s="18" t="n">
        <v>0</v>
      </c>
      <c r="L75" s="20" t="n">
        <v>0</v>
      </c>
      <c r="M75" s="18" t="n">
        <v>0.16325618</v>
      </c>
      <c r="N75" s="20" t="n">
        <v>0.11009664</v>
      </c>
      <c r="O75" s="18" t="n">
        <v>0</v>
      </c>
      <c r="P75" s="20" t="n">
        <v>0</v>
      </c>
      <c r="Q75" s="18" t="n">
        <v>3.44016852</v>
      </c>
      <c r="R75" s="20" t="n">
        <v>0.57826903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(4284.0/B77*100)</f>
        <v/>
      </c>
      <c r="D77" s="19" t="n">
        <v>1091</v>
      </c>
      <c r="E77" s="18" t="n">
        <v>63.76130235</v>
      </c>
      <c r="F77" s="20" t="n">
        <v>1.69341503</v>
      </c>
      <c r="G77" s="18" t="n">
        <v>1.38614929</v>
      </c>
      <c r="H77" s="20" t="n">
        <v>0.35772539</v>
      </c>
      <c r="I77" s="18" t="n">
        <v>0</v>
      </c>
      <c r="J77" s="20" t="n">
        <v>0</v>
      </c>
      <c r="K77" s="18" t="n">
        <v>0.84596591</v>
      </c>
      <c r="L77" s="20" t="n">
        <v>0.30040879</v>
      </c>
      <c r="M77" s="18" t="n">
        <v>0.45212105</v>
      </c>
      <c r="N77" s="20" t="n">
        <v>0.20399461</v>
      </c>
      <c r="O77" s="18" t="n">
        <v>0</v>
      </c>
      <c r="P77" s="20" t="n">
        <v>0</v>
      </c>
      <c r="Q77" s="18" t="n">
        <v>33.5544614</v>
      </c>
      <c r="R77" s="20" t="n">
        <v>1.6072298</v>
      </c>
    </row>
    <row r="78" spans="1:18">
      <c r="A78" s="15" t="s">
        <v>638</v>
      </c>
      <c r="B78" s="17" t="n">
        <v>14167</v>
      </c>
      <c r="C78" s="18">
        <f>(11028.0/B78*100)</f>
        <v/>
      </c>
      <c r="D78" s="19" t="n">
        <v>3139</v>
      </c>
      <c r="E78" s="18" t="n">
        <v>82.10195844</v>
      </c>
      <c r="F78" s="20" t="n">
        <v>0.94883393</v>
      </c>
      <c r="G78" s="18" t="n">
        <v>12.52112451</v>
      </c>
      <c r="H78" s="20" t="n">
        <v>0.82066957</v>
      </c>
      <c r="I78" s="18" t="n">
        <v>0</v>
      </c>
      <c r="J78" s="20" t="n">
        <v>0</v>
      </c>
      <c r="K78" s="18" t="n">
        <v>0.46431305</v>
      </c>
      <c r="L78" s="20" t="n">
        <v>0.12188589</v>
      </c>
      <c r="M78" s="18" t="n">
        <v>0.09430771</v>
      </c>
      <c r="N78" s="20" t="n">
        <v>0.05669355</v>
      </c>
      <c r="O78" s="18" t="n">
        <v>0</v>
      </c>
      <c r="P78" s="20" t="n">
        <v>0</v>
      </c>
      <c r="Q78" s="18" t="n">
        <v>4.81829628</v>
      </c>
      <c r="R78" s="20" t="n">
        <v>0.42187579</v>
      </c>
    </row>
    <row r="79" spans="1:18">
      <c r="A79" s="15" t="s">
        <v>639</v>
      </c>
      <c r="B79" s="17" t="n">
        <v>6062</v>
      </c>
      <c r="C79" s="18">
        <f>(4816.0/B79*100)</f>
        <v/>
      </c>
      <c r="D79" s="19" t="n">
        <v>1246</v>
      </c>
      <c r="E79" s="18" t="n">
        <v>75.61888257</v>
      </c>
      <c r="F79" s="20" t="n">
        <v>1.24871666</v>
      </c>
      <c r="G79" s="18" t="n">
        <v>3.67813567</v>
      </c>
      <c r="H79" s="20" t="n">
        <v>0.6224806000000001</v>
      </c>
      <c r="I79" s="18" t="n">
        <v>0</v>
      </c>
      <c r="J79" s="20" t="n">
        <v>0</v>
      </c>
      <c r="K79" s="18" t="n">
        <v>0.56089523</v>
      </c>
      <c r="L79" s="20" t="n">
        <v>0.15656558</v>
      </c>
      <c r="M79" s="18" t="n">
        <v>0.06582588</v>
      </c>
      <c r="N79" s="20" t="n">
        <v>0.0728805</v>
      </c>
      <c r="O79" s="18" t="n">
        <v>0</v>
      </c>
      <c r="P79" s="20" t="n">
        <v>0</v>
      </c>
      <c r="Q79" s="18" t="n">
        <v>20.07626065</v>
      </c>
      <c r="R79" s="20" t="n">
        <v>1.13547982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(25212.0/B82*100)</f>
        <v/>
      </c>
      <c r="D82" s="19" t="n">
        <v>7118</v>
      </c>
      <c r="E82" s="18" t="n">
        <v>83.03957794</v>
      </c>
      <c r="F82" s="20" t="n">
        <v>0.71648575</v>
      </c>
      <c r="G82" s="18" t="n">
        <v>4.46110271</v>
      </c>
      <c r="H82" s="20" t="n">
        <v>0.34890729</v>
      </c>
      <c r="I82" s="18" t="n">
        <v>0</v>
      </c>
      <c r="J82" s="20" t="n">
        <v>0</v>
      </c>
      <c r="K82" s="18" t="n">
        <v>0.08612722</v>
      </c>
      <c r="L82" s="20" t="n">
        <v>0.08175293</v>
      </c>
      <c r="M82" s="18" t="n">
        <v>0.12349013</v>
      </c>
      <c r="N82" s="20" t="n">
        <v>0.08828134</v>
      </c>
      <c r="O82" s="18" t="n">
        <v>0</v>
      </c>
      <c r="P82" s="20" t="n">
        <v>0</v>
      </c>
      <c r="Q82" s="18" t="n">
        <v>12.28970201</v>
      </c>
      <c r="R82" s="20" t="n">
        <v>0.64027295</v>
      </c>
    </row>
    <row r="83" spans="1:18">
      <c r="A83" s="15" t="s">
        <v>643</v>
      </c>
      <c r="B83" s="17" t="n">
        <v>1652</v>
      </c>
      <c r="C83" s="18">
        <f>(1312.0/B83*100)</f>
        <v/>
      </c>
      <c r="D83" s="19" t="n">
        <v>340</v>
      </c>
      <c r="E83" s="18" t="n">
        <v>90.51100947</v>
      </c>
      <c r="F83" s="20" t="n">
        <v>1.46891932</v>
      </c>
      <c r="G83" s="18" t="n">
        <v>6.79189343</v>
      </c>
      <c r="H83" s="20" t="n">
        <v>1.30732086</v>
      </c>
      <c r="I83" s="18" t="n">
        <v>0</v>
      </c>
      <c r="J83" s="20" t="n">
        <v>0</v>
      </c>
      <c r="K83" s="18" t="n">
        <v>0</v>
      </c>
      <c r="L83" s="20" t="n">
        <v>0</v>
      </c>
      <c r="M83" s="18" t="n">
        <v>0</v>
      </c>
      <c r="N83" s="20" t="n">
        <v>0</v>
      </c>
      <c r="O83" s="18" t="n">
        <v>0</v>
      </c>
      <c r="P83" s="20" t="n">
        <v>0</v>
      </c>
      <c r="Q83" s="18" t="n">
        <v>2.6970971</v>
      </c>
      <c r="R83" s="20" t="n">
        <v>0.86049799</v>
      </c>
    </row>
    <row r="84" spans="1:18">
      <c r="A84" s="23" t="s">
        <v>644</v>
      </c>
      <c r="B84" s="24" t="n">
        <v>1887</v>
      </c>
      <c r="C84" s="25">
        <f>(1452.0/B84*100)</f>
        <v/>
      </c>
      <c r="D84" s="19" t="n">
        <v>435</v>
      </c>
      <c r="E84" s="18" t="n">
        <v>92.36908108</v>
      </c>
      <c r="F84" s="20" t="n">
        <v>1.41017502</v>
      </c>
      <c r="G84" s="18" t="n">
        <v>5.10644905</v>
      </c>
      <c r="H84" s="20" t="n">
        <v>0.90949345</v>
      </c>
      <c r="I84" s="18" t="n">
        <v>0</v>
      </c>
      <c r="J84" s="20" t="n">
        <v>0</v>
      </c>
      <c r="K84" s="18" t="n">
        <v>0</v>
      </c>
      <c r="L84" s="20" t="n">
        <v>0</v>
      </c>
      <c r="M84" s="18" t="n">
        <v>0</v>
      </c>
      <c r="N84" s="20" t="n">
        <v>0</v>
      </c>
      <c r="O84" s="18" t="n">
        <v>0</v>
      </c>
      <c r="P84" s="20" t="n">
        <v>0</v>
      </c>
      <c r="Q84" s="18" t="n">
        <v>2.52446987</v>
      </c>
      <c r="R84" s="20" t="n">
        <v>0.91026081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(11285.0/B7*100)</f>
        <v/>
      </c>
      <c r="D7" s="19" t="n">
        <v>3245</v>
      </c>
      <c r="E7" s="18" t="n">
        <v>71.51051859</v>
      </c>
      <c r="F7" s="20" t="n">
        <v>1.02948184</v>
      </c>
      <c r="G7" s="18" t="n">
        <v>27.42656033</v>
      </c>
      <c r="H7" s="20" t="n">
        <v>1.03807305</v>
      </c>
      <c r="I7" s="18" t="n">
        <v>0</v>
      </c>
      <c r="J7" s="20" t="n">
        <v>0</v>
      </c>
      <c r="K7" s="18" t="n">
        <v>0.15806845</v>
      </c>
      <c r="L7" s="20" t="n">
        <v>0.07361288000000001</v>
      </c>
      <c r="M7" s="18" t="n">
        <v>0</v>
      </c>
      <c r="N7" s="20" t="n">
        <v>0</v>
      </c>
      <c r="O7" s="18" t="n">
        <v>0</v>
      </c>
      <c r="P7" s="20" t="n">
        <v>0</v>
      </c>
      <c r="Q7" s="18" t="n">
        <v>0.90485262</v>
      </c>
      <c r="R7" s="20" t="n">
        <v>0.15435878</v>
      </c>
    </row>
    <row r="8" spans="1:18">
      <c r="A8" s="15" t="s">
        <v>566</v>
      </c>
      <c r="B8" s="17" t="n">
        <v>7007</v>
      </c>
      <c r="C8" s="18">
        <f>(5493.0/B8*100)</f>
        <v/>
      </c>
      <c r="D8" s="19" t="n">
        <v>1514</v>
      </c>
      <c r="E8" s="18" t="n">
        <v>60.46432724</v>
      </c>
      <c r="F8" s="20" t="n">
        <v>1.3914695</v>
      </c>
      <c r="G8" s="18" t="n">
        <v>38.9320916</v>
      </c>
      <c r="H8" s="20" t="n">
        <v>1.4313212</v>
      </c>
      <c r="I8" s="18" t="n">
        <v>0</v>
      </c>
      <c r="J8" s="20" t="n">
        <v>0</v>
      </c>
      <c r="K8" s="18" t="n">
        <v>0</v>
      </c>
      <c r="L8" s="20" t="n">
        <v>0</v>
      </c>
      <c r="M8" s="18" t="n">
        <v>0</v>
      </c>
      <c r="N8" s="20" t="n">
        <v>0</v>
      </c>
      <c r="O8" s="18" t="n">
        <v>0</v>
      </c>
      <c r="P8" s="20" t="n">
        <v>0</v>
      </c>
      <c r="Q8" s="18" t="n">
        <v>0.6035811599999999</v>
      </c>
      <c r="R8" s="20" t="n">
        <v>0.26921264</v>
      </c>
    </row>
    <row r="9" spans="1:18">
      <c r="A9" s="15" t="s">
        <v>567</v>
      </c>
      <c r="B9" s="17" t="n">
        <v>9651</v>
      </c>
      <c r="C9" s="18">
        <f>(7599.0/B9*100)</f>
        <v/>
      </c>
      <c r="D9" s="19" t="n">
        <v>2052</v>
      </c>
      <c r="E9" s="18" t="n">
        <v>63.73323777</v>
      </c>
      <c r="F9" s="20" t="n">
        <v>1.24804343</v>
      </c>
      <c r="G9" s="18" t="n">
        <v>35.15408863</v>
      </c>
      <c r="H9" s="20" t="n">
        <v>1.27499858</v>
      </c>
      <c r="I9" s="18" t="n">
        <v>0</v>
      </c>
      <c r="J9" s="20" t="n">
        <v>0</v>
      </c>
      <c r="K9" s="18" t="n">
        <v>0</v>
      </c>
      <c r="L9" s="20" t="n">
        <v>0</v>
      </c>
      <c r="M9" s="18" t="n">
        <v>0</v>
      </c>
      <c r="N9" s="20" t="n">
        <v>0</v>
      </c>
      <c r="O9" s="18" t="n">
        <v>0</v>
      </c>
      <c r="P9" s="20" t="n">
        <v>0</v>
      </c>
      <c r="Q9" s="18" t="n">
        <v>1.1126736</v>
      </c>
      <c r="R9" s="20" t="n">
        <v>0.22910597</v>
      </c>
    </row>
    <row r="10" spans="1:18">
      <c r="A10" s="15" t="s">
        <v>568</v>
      </c>
      <c r="B10" s="17" t="n">
        <v>20058</v>
      </c>
      <c r="C10" s="18">
        <f>(15508.0/B10*100)</f>
        <v/>
      </c>
      <c r="D10" s="19" t="n">
        <v>4550</v>
      </c>
      <c r="E10" s="18" t="n">
        <v>66.96274988</v>
      </c>
      <c r="F10" s="20" t="n">
        <v>0.96204552</v>
      </c>
      <c r="G10" s="18" t="n">
        <v>32.58936644</v>
      </c>
      <c r="H10" s="20" t="n">
        <v>0.97130444</v>
      </c>
      <c r="I10" s="18" t="n">
        <v>0</v>
      </c>
      <c r="J10" s="20" t="n">
        <v>0</v>
      </c>
      <c r="K10" s="18" t="n">
        <v>0.00797019</v>
      </c>
      <c r="L10" s="20" t="n">
        <v>0.00837361</v>
      </c>
      <c r="M10" s="18" t="n">
        <v>0</v>
      </c>
      <c r="N10" s="20" t="n">
        <v>0</v>
      </c>
      <c r="O10" s="18" t="n">
        <v>0</v>
      </c>
      <c r="P10" s="20" t="n">
        <v>0</v>
      </c>
      <c r="Q10" s="18" t="n">
        <v>0.43991348</v>
      </c>
      <c r="R10" s="20" t="n">
        <v>0.12122388</v>
      </c>
    </row>
    <row r="11" spans="1:18">
      <c r="A11" s="15" t="s">
        <v>569</v>
      </c>
      <c r="B11" s="17" t="n">
        <v>7053</v>
      </c>
      <c r="C11" s="18">
        <f>(5445.0/B11*100)</f>
        <v/>
      </c>
      <c r="D11" s="19" t="n">
        <v>1608</v>
      </c>
      <c r="E11" s="18" t="n">
        <v>82.21551297000001</v>
      </c>
      <c r="F11" s="20" t="n">
        <v>1.24797921</v>
      </c>
      <c r="G11" s="18" t="n">
        <v>16.47667427</v>
      </c>
      <c r="H11" s="20" t="n">
        <v>1.21513933</v>
      </c>
      <c r="I11" s="18" t="n">
        <v>0</v>
      </c>
      <c r="J11" s="20" t="n">
        <v>0</v>
      </c>
      <c r="K11" s="18" t="n">
        <v>0.08479116</v>
      </c>
      <c r="L11" s="20" t="n">
        <v>0.08781467</v>
      </c>
      <c r="M11" s="18" t="n">
        <v>0</v>
      </c>
      <c r="N11" s="20" t="n">
        <v>0</v>
      </c>
      <c r="O11" s="18" t="n">
        <v>0</v>
      </c>
      <c r="P11" s="20" t="n">
        <v>0</v>
      </c>
      <c r="Q11" s="18" t="n">
        <v>1.2230216</v>
      </c>
      <c r="R11" s="20" t="n">
        <v>0.28205234</v>
      </c>
    </row>
    <row r="12" spans="1:18">
      <c r="A12" s="15" t="s">
        <v>570</v>
      </c>
      <c r="B12" s="17" t="n">
        <v>6894</v>
      </c>
      <c r="C12" s="18">
        <f>(5397.0/B12*100)</f>
        <v/>
      </c>
      <c r="D12" s="19" t="n">
        <v>1497</v>
      </c>
      <c r="E12" s="18" t="n">
        <v>69.17836604999999</v>
      </c>
      <c r="F12" s="20" t="n">
        <v>1.37291976</v>
      </c>
      <c r="G12" s="18" t="n">
        <v>30.44529631</v>
      </c>
      <c r="H12" s="20" t="n">
        <v>1.37066514</v>
      </c>
      <c r="I12" s="18" t="n">
        <v>0</v>
      </c>
      <c r="J12" s="20" t="n">
        <v>0</v>
      </c>
      <c r="K12" s="18" t="n">
        <v>0.06096256</v>
      </c>
      <c r="L12" s="20" t="n">
        <v>0.0602571</v>
      </c>
      <c r="M12" s="18" t="n">
        <v>0</v>
      </c>
      <c r="N12" s="20" t="n">
        <v>0</v>
      </c>
      <c r="O12" s="18" t="n">
        <v>0</v>
      </c>
      <c r="P12" s="20" t="n">
        <v>0</v>
      </c>
      <c r="Q12" s="18" t="n">
        <v>0.31537507</v>
      </c>
      <c r="R12" s="20" t="n">
        <v>0.09942873000000001</v>
      </c>
    </row>
    <row r="13" spans="1:18">
      <c r="A13" s="15" t="s">
        <v>571</v>
      </c>
      <c r="B13" s="17" t="n">
        <v>7161</v>
      </c>
      <c r="C13" s="18">
        <f>(5633.0/B13*100)</f>
        <v/>
      </c>
      <c r="D13" s="19" t="n">
        <v>1528</v>
      </c>
      <c r="E13" s="18" t="n">
        <v>60.82042706</v>
      </c>
      <c r="F13" s="20" t="n">
        <v>1.51523372</v>
      </c>
      <c r="G13" s="18" t="n">
        <v>38.55229856</v>
      </c>
      <c r="H13" s="20" t="n">
        <v>1.56754155</v>
      </c>
      <c r="I13" s="18" t="n">
        <v>0</v>
      </c>
      <c r="J13" s="20" t="n">
        <v>0</v>
      </c>
      <c r="K13" s="18" t="n">
        <v>0.19588858</v>
      </c>
      <c r="L13" s="20" t="n">
        <v>0.12454889</v>
      </c>
      <c r="M13" s="18" t="n">
        <v>0</v>
      </c>
      <c r="N13" s="20" t="n">
        <v>0</v>
      </c>
      <c r="O13" s="18" t="n">
        <v>0</v>
      </c>
      <c r="P13" s="20" t="n">
        <v>0</v>
      </c>
      <c r="Q13" s="18" t="n">
        <v>0.4313858</v>
      </c>
      <c r="R13" s="20" t="n">
        <v>0.18753622</v>
      </c>
    </row>
    <row r="14" spans="1:18">
      <c r="A14" s="15" t="s">
        <v>572</v>
      </c>
      <c r="B14" s="17" t="n">
        <v>5587</v>
      </c>
      <c r="C14" s="18">
        <f>(4335.0/B14*100)</f>
        <v/>
      </c>
      <c r="D14" s="19" t="n">
        <v>1252</v>
      </c>
      <c r="E14" s="18" t="n">
        <v>63.44471423</v>
      </c>
      <c r="F14" s="20" t="n">
        <v>1.51852426</v>
      </c>
      <c r="G14" s="18" t="n">
        <v>36.17110151</v>
      </c>
      <c r="H14" s="20" t="n">
        <v>1.54673993</v>
      </c>
      <c r="I14" s="18" t="n">
        <v>0</v>
      </c>
      <c r="J14" s="20" t="n">
        <v>0</v>
      </c>
      <c r="K14" s="18" t="n">
        <v>0.13293526</v>
      </c>
      <c r="L14" s="20" t="n">
        <v>0.09160153</v>
      </c>
      <c r="M14" s="18" t="n">
        <v>0</v>
      </c>
      <c r="N14" s="20" t="n">
        <v>0</v>
      </c>
      <c r="O14" s="18" t="n">
        <v>0</v>
      </c>
      <c r="P14" s="20" t="n">
        <v>0</v>
      </c>
      <c r="Q14" s="18" t="n">
        <v>0.25124899</v>
      </c>
      <c r="R14" s="20" t="n">
        <v>0.19596961</v>
      </c>
    </row>
    <row r="15" spans="1:18">
      <c r="A15" s="15" t="s">
        <v>573</v>
      </c>
      <c r="B15" s="17" t="n">
        <v>5882</v>
      </c>
      <c r="C15" s="18">
        <f>(4570.0/B15*100)</f>
        <v/>
      </c>
      <c r="D15" s="19" t="n">
        <v>1312</v>
      </c>
      <c r="E15" s="18" t="n">
        <v>63.15606526</v>
      </c>
      <c r="F15" s="20" t="n">
        <v>1.64132824</v>
      </c>
      <c r="G15" s="18" t="n">
        <v>36.11866468</v>
      </c>
      <c r="H15" s="20" t="n">
        <v>1.57716691</v>
      </c>
      <c r="I15" s="18" t="n">
        <v>0</v>
      </c>
      <c r="J15" s="20" t="n">
        <v>0</v>
      </c>
      <c r="K15" s="18" t="n">
        <v>0.07878634</v>
      </c>
      <c r="L15" s="20" t="n">
        <v>0.07910336</v>
      </c>
      <c r="M15" s="18" t="n">
        <v>0</v>
      </c>
      <c r="N15" s="20" t="n">
        <v>0</v>
      </c>
      <c r="O15" s="18" t="n">
        <v>0</v>
      </c>
      <c r="P15" s="20" t="n">
        <v>0</v>
      </c>
      <c r="Q15" s="18" t="n">
        <v>0.64648372</v>
      </c>
      <c r="R15" s="20" t="n">
        <v>0.18752691</v>
      </c>
    </row>
    <row r="16" spans="1:18">
      <c r="A16" s="15" t="s">
        <v>574</v>
      </c>
      <c r="B16" s="17" t="n">
        <v>6108</v>
      </c>
      <c r="C16" s="18">
        <f>(4730.0/B16*100)</f>
        <v/>
      </c>
      <c r="D16" s="19" t="n">
        <v>1378</v>
      </c>
      <c r="E16" s="18" t="n">
        <v>68.14091120000001</v>
      </c>
      <c r="F16" s="20" t="n">
        <v>1.02434365</v>
      </c>
      <c r="G16" s="18" t="n">
        <v>30.00733746</v>
      </c>
      <c r="H16" s="20" t="n">
        <v>1.03991382</v>
      </c>
      <c r="I16" s="18" t="n">
        <v>0</v>
      </c>
      <c r="J16" s="20" t="n">
        <v>0</v>
      </c>
      <c r="K16" s="18" t="n">
        <v>0.08463855000000001</v>
      </c>
      <c r="L16" s="20" t="n">
        <v>0.08296312</v>
      </c>
      <c r="M16" s="18" t="n">
        <v>0</v>
      </c>
      <c r="N16" s="20" t="n">
        <v>0</v>
      </c>
      <c r="O16" s="18" t="n">
        <v>0</v>
      </c>
      <c r="P16" s="20" t="n">
        <v>0</v>
      </c>
      <c r="Q16" s="18" t="n">
        <v>1.76711279</v>
      </c>
      <c r="R16" s="20" t="n">
        <v>0.41397078</v>
      </c>
    </row>
    <row r="17" spans="1:18">
      <c r="A17" s="15" t="s">
        <v>575</v>
      </c>
      <c r="B17" s="17" t="n">
        <v>6504</v>
      </c>
      <c r="C17" s="18">
        <f>(5075.0/B17*100)</f>
        <v/>
      </c>
      <c r="D17" s="19" t="n">
        <v>1429</v>
      </c>
      <c r="E17" s="18" t="n">
        <v>61.76094184</v>
      </c>
      <c r="F17" s="20" t="n">
        <v>1.5654147</v>
      </c>
      <c r="G17" s="18" t="n">
        <v>37.74762751</v>
      </c>
      <c r="H17" s="20" t="n">
        <v>1.58201768</v>
      </c>
      <c r="I17" s="18" t="n">
        <v>0</v>
      </c>
      <c r="J17" s="20" t="n">
        <v>0</v>
      </c>
      <c r="K17" s="18" t="n">
        <v>0.14313636</v>
      </c>
      <c r="L17" s="20" t="n">
        <v>0.14206823</v>
      </c>
      <c r="M17" s="18" t="n">
        <v>0</v>
      </c>
      <c r="N17" s="20" t="n">
        <v>0</v>
      </c>
      <c r="O17" s="18" t="n">
        <v>0</v>
      </c>
      <c r="P17" s="20" t="n">
        <v>0</v>
      </c>
      <c r="Q17" s="18" t="n">
        <v>0.34829429</v>
      </c>
      <c r="R17" s="20" t="n">
        <v>0.1440889</v>
      </c>
    </row>
    <row r="18" spans="1:18">
      <c r="A18" s="15" t="s">
        <v>576</v>
      </c>
      <c r="B18" s="17" t="n">
        <v>5532</v>
      </c>
      <c r="C18" s="18">
        <f>(4308.0/B18*100)</f>
        <v/>
      </c>
      <c r="D18" s="19" t="n">
        <v>1224</v>
      </c>
      <c r="E18" s="18" t="n">
        <v>76.43529371</v>
      </c>
      <c r="F18" s="20" t="n">
        <v>1.49104368</v>
      </c>
      <c r="G18" s="18" t="n">
        <v>22.72853586</v>
      </c>
      <c r="H18" s="20" t="n">
        <v>1.44908562</v>
      </c>
      <c r="I18" s="18" t="n">
        <v>0</v>
      </c>
      <c r="J18" s="20" t="n">
        <v>0</v>
      </c>
      <c r="K18" s="18" t="n">
        <v>0.24157839</v>
      </c>
      <c r="L18" s="20" t="n">
        <v>0.14195219</v>
      </c>
      <c r="M18" s="18" t="n">
        <v>0</v>
      </c>
      <c r="N18" s="20" t="n">
        <v>0</v>
      </c>
      <c r="O18" s="18" t="n">
        <v>0</v>
      </c>
      <c r="P18" s="20" t="n">
        <v>0</v>
      </c>
      <c r="Q18" s="18" t="n">
        <v>0.59459204</v>
      </c>
      <c r="R18" s="20" t="n">
        <v>0.22562607</v>
      </c>
    </row>
    <row r="19" spans="1:18">
      <c r="A19" s="15" t="s">
        <v>577</v>
      </c>
      <c r="B19" s="17" t="n">
        <v>5658</v>
      </c>
      <c r="C19" s="18">
        <f>(4366.0/B19*100)</f>
        <v/>
      </c>
      <c r="D19" s="19" t="n">
        <v>1292</v>
      </c>
      <c r="E19" s="18" t="n">
        <v>69.37246757</v>
      </c>
      <c r="F19" s="20" t="n">
        <v>1.47466183</v>
      </c>
      <c r="G19" s="18" t="n">
        <v>29.56771194</v>
      </c>
      <c r="H19" s="20" t="n">
        <v>1.44134402</v>
      </c>
      <c r="I19" s="18" t="n">
        <v>0</v>
      </c>
      <c r="J19" s="20" t="n">
        <v>0</v>
      </c>
      <c r="K19" s="18" t="n">
        <v>0</v>
      </c>
      <c r="L19" s="20" t="n">
        <v>0</v>
      </c>
      <c r="M19" s="18" t="n">
        <v>0</v>
      </c>
      <c r="N19" s="20" t="n">
        <v>0</v>
      </c>
      <c r="O19" s="18" t="n">
        <v>0</v>
      </c>
      <c r="P19" s="20" t="n">
        <v>0</v>
      </c>
      <c r="Q19" s="18" t="n">
        <v>1.05982049</v>
      </c>
      <c r="R19" s="20" t="n">
        <v>0.27192044</v>
      </c>
    </row>
    <row r="20" spans="1:18">
      <c r="A20" s="15" t="s">
        <v>578</v>
      </c>
      <c r="B20" s="17" t="n">
        <v>3371</v>
      </c>
      <c r="C20" s="18">
        <f>(2597.0/B20*100)</f>
        <v/>
      </c>
      <c r="D20" s="19" t="n">
        <v>774</v>
      </c>
      <c r="E20" s="18" t="n">
        <v>72.51424987</v>
      </c>
      <c r="F20" s="20" t="n">
        <v>1.63926842</v>
      </c>
      <c r="G20" s="18" t="n">
        <v>25.92027649</v>
      </c>
      <c r="H20" s="20" t="n">
        <v>1.61032018</v>
      </c>
      <c r="I20" s="18" t="n">
        <v>0</v>
      </c>
      <c r="J20" s="20" t="n">
        <v>0</v>
      </c>
      <c r="K20" s="18" t="n">
        <v>0.25484951</v>
      </c>
      <c r="L20" s="20" t="n">
        <v>0.15890489</v>
      </c>
      <c r="M20" s="18" t="n">
        <v>0</v>
      </c>
      <c r="N20" s="20" t="n">
        <v>0</v>
      </c>
      <c r="O20" s="18" t="n">
        <v>0</v>
      </c>
      <c r="P20" s="20" t="n">
        <v>0</v>
      </c>
      <c r="Q20" s="18" t="n">
        <v>1.31062413</v>
      </c>
      <c r="R20" s="20" t="n">
        <v>0.41182767</v>
      </c>
    </row>
    <row r="21" spans="1:18">
      <c r="A21" s="15" t="s">
        <v>579</v>
      </c>
      <c r="B21" s="17" t="n">
        <v>5741</v>
      </c>
      <c r="C21" s="18">
        <f>(4483.0/B21*100)</f>
        <v/>
      </c>
      <c r="D21" s="19" t="n">
        <v>1258</v>
      </c>
      <c r="E21" s="18" t="n">
        <v>78.82596839999999</v>
      </c>
      <c r="F21" s="20" t="n">
        <v>1.0952984</v>
      </c>
      <c r="G21" s="18" t="n">
        <v>20.41675859</v>
      </c>
      <c r="H21" s="20" t="n">
        <v>1.14394095</v>
      </c>
      <c r="I21" s="18" t="n">
        <v>0</v>
      </c>
      <c r="J21" s="20" t="n">
        <v>0</v>
      </c>
      <c r="K21" s="18" t="n">
        <v>0</v>
      </c>
      <c r="L21" s="20" t="n">
        <v>0</v>
      </c>
      <c r="M21" s="18" t="n">
        <v>0</v>
      </c>
      <c r="N21" s="20" t="n">
        <v>0</v>
      </c>
      <c r="O21" s="18" t="n">
        <v>0</v>
      </c>
      <c r="P21" s="20" t="n">
        <v>0</v>
      </c>
      <c r="Q21" s="18" t="n">
        <v>0.75727301</v>
      </c>
      <c r="R21" s="20" t="n">
        <v>0.2692328</v>
      </c>
    </row>
    <row r="22" spans="1:18">
      <c r="A22" s="15" t="s">
        <v>580</v>
      </c>
      <c r="B22" s="17" t="n">
        <v>6598</v>
      </c>
      <c r="C22" s="18">
        <f>(5120.0/B22*100)</f>
        <v/>
      </c>
      <c r="D22" s="19" t="n">
        <v>1478</v>
      </c>
      <c r="E22" s="18" t="n">
        <v>66.07560823999999</v>
      </c>
      <c r="F22" s="20" t="n">
        <v>1.4573037</v>
      </c>
      <c r="G22" s="18" t="n">
        <v>31.38991899</v>
      </c>
      <c r="H22" s="20" t="n">
        <v>1.38961973</v>
      </c>
      <c r="I22" s="18" t="n">
        <v>0</v>
      </c>
      <c r="J22" s="20" t="n">
        <v>0</v>
      </c>
      <c r="K22" s="18" t="n">
        <v>0.18474303</v>
      </c>
      <c r="L22" s="20" t="n">
        <v>0.10885241</v>
      </c>
      <c r="M22" s="18" t="n">
        <v>0</v>
      </c>
      <c r="N22" s="20" t="n">
        <v>0</v>
      </c>
      <c r="O22" s="18" t="n">
        <v>0</v>
      </c>
      <c r="P22" s="20" t="n">
        <v>0</v>
      </c>
      <c r="Q22" s="18" t="n">
        <v>2.34972975</v>
      </c>
      <c r="R22" s="20" t="n">
        <v>0.53794346</v>
      </c>
    </row>
    <row r="23" spans="1:18">
      <c r="A23" s="15" t="s">
        <v>581</v>
      </c>
      <c r="B23" s="17" t="n">
        <v>11583</v>
      </c>
      <c r="C23" s="18">
        <f>(9052.0/B23*100)</f>
        <v/>
      </c>
      <c r="D23" s="19" t="n">
        <v>2531</v>
      </c>
      <c r="E23" s="18" t="n">
        <v>64.46691894</v>
      </c>
      <c r="F23" s="20" t="n">
        <v>1.61898591</v>
      </c>
      <c r="G23" s="18" t="n">
        <v>34.32378555</v>
      </c>
      <c r="H23" s="20" t="n">
        <v>1.54520899</v>
      </c>
      <c r="I23" s="18" t="n">
        <v>0</v>
      </c>
      <c r="J23" s="20" t="n">
        <v>0</v>
      </c>
      <c r="K23" s="18" t="n">
        <v>0.42306035</v>
      </c>
      <c r="L23" s="20" t="n">
        <v>0.20779729</v>
      </c>
      <c r="M23" s="18" t="n">
        <v>0</v>
      </c>
      <c r="N23" s="20" t="n">
        <v>0</v>
      </c>
      <c r="O23" s="18" t="n">
        <v>0</v>
      </c>
      <c r="P23" s="20" t="n">
        <v>0</v>
      </c>
      <c r="Q23" s="18" t="n">
        <v>0.78623517</v>
      </c>
      <c r="R23" s="20" t="n">
        <v>0.31870728</v>
      </c>
    </row>
    <row r="24" spans="1:18">
      <c r="A24" s="15" t="s">
        <v>582</v>
      </c>
      <c r="B24" s="17" t="n">
        <v>6647</v>
      </c>
      <c r="C24" s="18">
        <f>(5155.0/B24*100)</f>
        <v/>
      </c>
      <c r="D24" s="19" t="n">
        <v>1492</v>
      </c>
      <c r="E24" s="18" t="n">
        <v>61.82252366</v>
      </c>
      <c r="F24" s="20" t="n">
        <v>1.56931152</v>
      </c>
      <c r="G24" s="18" t="n">
        <v>37.91733903</v>
      </c>
      <c r="H24" s="20" t="n">
        <v>1.58162109</v>
      </c>
      <c r="I24" s="18" t="n">
        <v>0</v>
      </c>
      <c r="J24" s="20" t="n">
        <v>0</v>
      </c>
      <c r="K24" s="18" t="n">
        <v>0</v>
      </c>
      <c r="L24" s="20" t="n">
        <v>0</v>
      </c>
      <c r="M24" s="18" t="n">
        <v>0</v>
      </c>
      <c r="N24" s="20" t="n">
        <v>0</v>
      </c>
      <c r="O24" s="18" t="n">
        <v>0</v>
      </c>
      <c r="P24" s="20" t="n">
        <v>0</v>
      </c>
      <c r="Q24" s="18" t="n">
        <v>0.26013731</v>
      </c>
      <c r="R24" s="20" t="n">
        <v>0.13118745</v>
      </c>
    </row>
    <row r="25" spans="1:18">
      <c r="A25" s="15" t="s">
        <v>583</v>
      </c>
      <c r="B25" s="17" t="n">
        <v>5581</v>
      </c>
      <c r="C25" s="18">
        <f>(4341.0/B25*100)</f>
        <v/>
      </c>
      <c r="D25" s="19" t="n">
        <v>1240</v>
      </c>
      <c r="E25" s="18" t="n">
        <v>58.03682608</v>
      </c>
      <c r="F25" s="20" t="n">
        <v>1.70385721</v>
      </c>
      <c r="G25" s="18" t="n">
        <v>41.22142682</v>
      </c>
      <c r="H25" s="20" t="n">
        <v>1.68589516</v>
      </c>
      <c r="I25" s="18" t="n">
        <v>0</v>
      </c>
      <c r="J25" s="20" t="n">
        <v>0</v>
      </c>
      <c r="K25" s="18" t="n">
        <v>0.32521405</v>
      </c>
      <c r="L25" s="20" t="n">
        <v>0.21838672</v>
      </c>
      <c r="M25" s="18" t="n">
        <v>0</v>
      </c>
      <c r="N25" s="20" t="n">
        <v>0</v>
      </c>
      <c r="O25" s="18" t="n">
        <v>0</v>
      </c>
      <c r="P25" s="20" t="n">
        <v>0</v>
      </c>
      <c r="Q25" s="18" t="n">
        <v>0.41653306</v>
      </c>
      <c r="R25" s="20" t="n">
        <v>0.18588997</v>
      </c>
    </row>
    <row r="26" spans="1:18">
      <c r="A26" s="15" t="s">
        <v>584</v>
      </c>
      <c r="B26" s="17" t="n">
        <v>4869</v>
      </c>
      <c r="C26" s="18">
        <f>(3798.0/B26*100)</f>
        <v/>
      </c>
      <c r="D26" s="19" t="n">
        <v>1071</v>
      </c>
      <c r="E26" s="18" t="n">
        <v>68.38057735</v>
      </c>
      <c r="F26" s="20" t="n">
        <v>1.46821084</v>
      </c>
      <c r="G26" s="18" t="n">
        <v>31.08235018</v>
      </c>
      <c r="H26" s="20" t="n">
        <v>1.44347249</v>
      </c>
      <c r="I26" s="18" t="n">
        <v>0</v>
      </c>
      <c r="J26" s="20" t="n">
        <v>0</v>
      </c>
      <c r="K26" s="18" t="n">
        <v>0</v>
      </c>
      <c r="L26" s="20" t="n">
        <v>0</v>
      </c>
      <c r="M26" s="18" t="n">
        <v>0</v>
      </c>
      <c r="N26" s="20" t="n">
        <v>0</v>
      </c>
      <c r="O26" s="18" t="n">
        <v>0</v>
      </c>
      <c r="P26" s="20" t="n">
        <v>0</v>
      </c>
      <c r="Q26" s="18" t="n">
        <v>0.53707247</v>
      </c>
      <c r="R26" s="20" t="n">
        <v>0.27656456</v>
      </c>
    </row>
    <row r="27" spans="1:18">
      <c r="A27" s="15" t="s">
        <v>585</v>
      </c>
      <c r="B27" s="17" t="n">
        <v>5299</v>
      </c>
      <c r="C27" s="18">
        <f>(4128.0/B27*100)</f>
        <v/>
      </c>
      <c r="D27" s="19" t="n">
        <v>1171</v>
      </c>
      <c r="E27" s="18" t="n">
        <v>67.28927776</v>
      </c>
      <c r="F27" s="20" t="n">
        <v>1.32287564</v>
      </c>
      <c r="G27" s="18" t="n">
        <v>31.50125995</v>
      </c>
      <c r="H27" s="20" t="n">
        <v>1.29866432</v>
      </c>
      <c r="I27" s="18" t="n">
        <v>0</v>
      </c>
      <c r="J27" s="20" t="n">
        <v>0</v>
      </c>
      <c r="K27" s="18" t="n">
        <v>0.35169757</v>
      </c>
      <c r="L27" s="20" t="n">
        <v>0.17429182</v>
      </c>
      <c r="M27" s="18" t="n">
        <v>0</v>
      </c>
      <c r="N27" s="20" t="n">
        <v>0</v>
      </c>
      <c r="O27" s="18" t="n">
        <v>0</v>
      </c>
      <c r="P27" s="20" t="n">
        <v>0</v>
      </c>
      <c r="Q27" s="18" t="n">
        <v>0.85776472</v>
      </c>
      <c r="R27" s="20" t="n">
        <v>0.29203947</v>
      </c>
    </row>
    <row r="28" spans="1:18">
      <c r="A28" s="15" t="s">
        <v>586</v>
      </c>
      <c r="B28" s="17" t="n">
        <v>7568</v>
      </c>
      <c r="C28" s="18">
        <f>(5901.0/B28*100)</f>
        <v/>
      </c>
      <c r="D28" s="19" t="n">
        <v>1667</v>
      </c>
      <c r="E28" s="18" t="n">
        <v>85.33139269999999</v>
      </c>
      <c r="F28" s="20" t="n">
        <v>0.91021674</v>
      </c>
      <c r="G28" s="18" t="n">
        <v>12.57812639</v>
      </c>
      <c r="H28" s="20" t="n">
        <v>0.78672398</v>
      </c>
      <c r="I28" s="18" t="n">
        <v>0</v>
      </c>
      <c r="J28" s="20" t="n">
        <v>0</v>
      </c>
      <c r="K28" s="18" t="n">
        <v>0.27143103</v>
      </c>
      <c r="L28" s="20" t="n">
        <v>0.21871738</v>
      </c>
      <c r="M28" s="18" t="n">
        <v>0</v>
      </c>
      <c r="N28" s="20" t="n">
        <v>0</v>
      </c>
      <c r="O28" s="18" t="n">
        <v>0</v>
      </c>
      <c r="P28" s="20" t="n">
        <v>0</v>
      </c>
      <c r="Q28" s="18" t="n">
        <v>1.81904988</v>
      </c>
      <c r="R28" s="20" t="n">
        <v>0.35709201</v>
      </c>
    </row>
    <row r="29" spans="1:18">
      <c r="A29" s="15" t="s">
        <v>587</v>
      </c>
      <c r="B29" s="17" t="n">
        <v>5385</v>
      </c>
      <c r="C29" s="18">
        <f>(4197.0/B29*100)</f>
        <v/>
      </c>
      <c r="D29" s="19" t="n">
        <v>1188</v>
      </c>
      <c r="E29" s="18" t="n">
        <v>65.49993791999999</v>
      </c>
      <c r="F29" s="20" t="n">
        <v>1.49912389</v>
      </c>
      <c r="G29" s="18" t="n">
        <v>34.12898523</v>
      </c>
      <c r="H29" s="20" t="n">
        <v>1.53460275</v>
      </c>
      <c r="I29" s="18" t="n">
        <v>0</v>
      </c>
      <c r="J29" s="20" t="n">
        <v>0</v>
      </c>
      <c r="K29" s="18" t="n">
        <v>0.06547995</v>
      </c>
      <c r="L29" s="20" t="n">
        <v>0.06484348</v>
      </c>
      <c r="M29" s="18" t="n">
        <v>0</v>
      </c>
      <c r="N29" s="20" t="n">
        <v>0</v>
      </c>
      <c r="O29" s="18" t="n">
        <v>0</v>
      </c>
      <c r="P29" s="20" t="n">
        <v>0</v>
      </c>
      <c r="Q29" s="18" t="n">
        <v>0.3055969</v>
      </c>
      <c r="R29" s="20" t="n">
        <v>0.15418614</v>
      </c>
    </row>
    <row r="30" spans="1:18">
      <c r="A30" s="15" t="s">
        <v>588</v>
      </c>
      <c r="B30" s="17" t="n">
        <v>4520</v>
      </c>
      <c r="C30" s="18">
        <f>(3496.0/B30*100)</f>
        <v/>
      </c>
      <c r="D30" s="19" t="n">
        <v>1024</v>
      </c>
      <c r="E30" s="18" t="n">
        <v>70.57789224</v>
      </c>
      <c r="F30" s="20" t="n">
        <v>1.57244269</v>
      </c>
      <c r="G30" s="18" t="n">
        <v>27.69578382</v>
      </c>
      <c r="H30" s="20" t="n">
        <v>1.5077358</v>
      </c>
      <c r="I30" s="18" t="n">
        <v>0</v>
      </c>
      <c r="J30" s="20" t="n">
        <v>0</v>
      </c>
      <c r="K30" s="18" t="n">
        <v>0.2723527</v>
      </c>
      <c r="L30" s="20" t="n">
        <v>0.15734506</v>
      </c>
      <c r="M30" s="18" t="n">
        <v>0</v>
      </c>
      <c r="N30" s="20" t="n">
        <v>0</v>
      </c>
      <c r="O30" s="18" t="n">
        <v>0</v>
      </c>
      <c r="P30" s="20" t="n">
        <v>0</v>
      </c>
      <c r="Q30" s="18" t="n">
        <v>1.45397124</v>
      </c>
      <c r="R30" s="20" t="n">
        <v>0.34239302</v>
      </c>
    </row>
    <row r="31" spans="1:18">
      <c r="A31" s="15" t="s">
        <v>589</v>
      </c>
      <c r="B31" s="17" t="n">
        <v>5456</v>
      </c>
      <c r="C31" s="18">
        <f>(4220.0/B31*100)</f>
        <v/>
      </c>
      <c r="D31" s="19" t="n">
        <v>1236</v>
      </c>
      <c r="E31" s="18" t="n">
        <v>66.79108266999999</v>
      </c>
      <c r="F31" s="20" t="n">
        <v>1.41055276</v>
      </c>
      <c r="G31" s="18" t="n">
        <v>31.38689884</v>
      </c>
      <c r="H31" s="20" t="n">
        <v>1.36398266</v>
      </c>
      <c r="I31" s="18" t="n">
        <v>0</v>
      </c>
      <c r="J31" s="20" t="n">
        <v>0</v>
      </c>
      <c r="K31" s="18" t="n">
        <v>0.170732</v>
      </c>
      <c r="L31" s="20" t="n">
        <v>0.12399655</v>
      </c>
      <c r="M31" s="18" t="n">
        <v>0</v>
      </c>
      <c r="N31" s="20" t="n">
        <v>0</v>
      </c>
      <c r="O31" s="18" t="n">
        <v>0</v>
      </c>
      <c r="P31" s="20" t="n">
        <v>0</v>
      </c>
      <c r="Q31" s="18" t="n">
        <v>1.65128649</v>
      </c>
      <c r="R31" s="20" t="n">
        <v>0.37064897</v>
      </c>
    </row>
    <row r="32" spans="1:18">
      <c r="A32" s="15" t="s">
        <v>590</v>
      </c>
      <c r="B32" s="17" t="n">
        <v>4478</v>
      </c>
      <c r="C32" s="18">
        <f>(3477.0/B32*100)</f>
        <v/>
      </c>
      <c r="D32" s="19" t="n">
        <v>1001</v>
      </c>
      <c r="E32" s="18" t="n">
        <v>67.10124709999999</v>
      </c>
      <c r="F32" s="20" t="n">
        <v>1.58953416</v>
      </c>
      <c r="G32" s="18" t="n">
        <v>32.53625021</v>
      </c>
      <c r="H32" s="20" t="n">
        <v>1.56219314</v>
      </c>
      <c r="I32" s="18" t="n">
        <v>0</v>
      </c>
      <c r="J32" s="20" t="n">
        <v>0</v>
      </c>
      <c r="K32" s="18" t="n">
        <v>0</v>
      </c>
      <c r="L32" s="20" t="n">
        <v>0</v>
      </c>
      <c r="M32" s="18" t="n">
        <v>0</v>
      </c>
      <c r="N32" s="20" t="n">
        <v>0</v>
      </c>
      <c r="O32" s="18" t="n">
        <v>0</v>
      </c>
      <c r="P32" s="20" t="n">
        <v>0</v>
      </c>
      <c r="Q32" s="18" t="n">
        <v>0.36250269</v>
      </c>
      <c r="R32" s="20" t="n">
        <v>0.22125076</v>
      </c>
    </row>
    <row r="33" spans="1:18">
      <c r="A33" s="15" t="s">
        <v>591</v>
      </c>
      <c r="B33" s="17" t="n">
        <v>7325</v>
      </c>
      <c r="C33" s="18">
        <f>(5743.0/B33*100)</f>
        <v/>
      </c>
      <c r="D33" s="19" t="n">
        <v>1582</v>
      </c>
      <c r="E33" s="18" t="n">
        <v>70.57095553000001</v>
      </c>
      <c r="F33" s="20" t="n">
        <v>1.57709655</v>
      </c>
      <c r="G33" s="18" t="n">
        <v>28.63001314</v>
      </c>
      <c r="H33" s="20" t="n">
        <v>1.582166</v>
      </c>
      <c r="I33" s="18" t="n">
        <v>0</v>
      </c>
      <c r="J33" s="20" t="n">
        <v>0</v>
      </c>
      <c r="K33" s="18" t="n">
        <v>0.12581226</v>
      </c>
      <c r="L33" s="20" t="n">
        <v>0.14906807</v>
      </c>
      <c r="M33" s="18" t="n">
        <v>0</v>
      </c>
      <c r="N33" s="20" t="n">
        <v>0</v>
      </c>
      <c r="O33" s="18" t="n">
        <v>0</v>
      </c>
      <c r="P33" s="20" t="n">
        <v>0</v>
      </c>
      <c r="Q33" s="18" t="n">
        <v>0.67321907</v>
      </c>
      <c r="R33" s="20" t="n">
        <v>0.23244339</v>
      </c>
    </row>
    <row r="34" spans="1:18">
      <c r="A34" s="15" t="s">
        <v>592</v>
      </c>
      <c r="B34" s="17" t="n">
        <v>6350</v>
      </c>
      <c r="C34" s="18">
        <f>(4933.0/B34*100)</f>
        <v/>
      </c>
      <c r="D34" s="19" t="n">
        <v>1417</v>
      </c>
      <c r="E34" s="18" t="n">
        <v>70.72032303</v>
      </c>
      <c r="F34" s="20" t="n">
        <v>1.25836252</v>
      </c>
      <c r="G34" s="18" t="n">
        <v>28.53230535</v>
      </c>
      <c r="H34" s="20" t="n">
        <v>1.29746823</v>
      </c>
      <c r="I34" s="18" t="n">
        <v>0</v>
      </c>
      <c r="J34" s="20" t="n">
        <v>0</v>
      </c>
      <c r="K34" s="18" t="n">
        <v>0.12711469</v>
      </c>
      <c r="L34" s="20" t="n">
        <v>0.08978161</v>
      </c>
      <c r="M34" s="18" t="n">
        <v>0</v>
      </c>
      <c r="N34" s="20" t="n">
        <v>0</v>
      </c>
      <c r="O34" s="18" t="n">
        <v>0</v>
      </c>
      <c r="P34" s="20" t="n">
        <v>0</v>
      </c>
      <c r="Q34" s="18" t="n">
        <v>0.62025693</v>
      </c>
      <c r="R34" s="20" t="n">
        <v>0.20565702</v>
      </c>
    </row>
    <row r="35" spans="1:18">
      <c r="A35" s="15" t="s">
        <v>593</v>
      </c>
      <c r="B35" s="17" t="n">
        <v>6406</v>
      </c>
      <c r="C35" s="18">
        <f>(5027.0/B35*100)</f>
        <v/>
      </c>
      <c r="D35" s="19" t="n">
        <v>1379</v>
      </c>
      <c r="E35" s="18" t="n">
        <v>60.95757805</v>
      </c>
      <c r="F35" s="20" t="n">
        <v>1.67852627</v>
      </c>
      <c r="G35" s="18" t="n">
        <v>38.13567154</v>
      </c>
      <c r="H35" s="20" t="n">
        <v>1.61488867</v>
      </c>
      <c r="I35" s="18" t="n">
        <v>0</v>
      </c>
      <c r="J35" s="20" t="n">
        <v>0</v>
      </c>
      <c r="K35" s="18" t="n">
        <v>0.48228341</v>
      </c>
      <c r="L35" s="20" t="n">
        <v>0.36615098</v>
      </c>
      <c r="M35" s="18" t="n">
        <v>0</v>
      </c>
      <c r="N35" s="20" t="n">
        <v>0</v>
      </c>
      <c r="O35" s="18" t="n">
        <v>0</v>
      </c>
      <c r="P35" s="20" t="n">
        <v>0</v>
      </c>
      <c r="Q35" s="18" t="n">
        <v>0.424467</v>
      </c>
      <c r="R35" s="20" t="n">
        <v>0.17412415</v>
      </c>
    </row>
    <row r="36" spans="1:18">
      <c r="A36" s="15" t="s">
        <v>594</v>
      </c>
      <c r="B36" s="17" t="n">
        <v>6736</v>
      </c>
      <c r="C36" s="18">
        <f>(5263.0/B36*100)</f>
        <v/>
      </c>
      <c r="D36" s="19" t="n">
        <v>1473</v>
      </c>
      <c r="E36" s="18" t="n">
        <v>67.21430142</v>
      </c>
      <c r="F36" s="20" t="n">
        <v>1.27937826</v>
      </c>
      <c r="G36" s="18" t="n">
        <v>31.72869839</v>
      </c>
      <c r="H36" s="20" t="n">
        <v>1.25512987</v>
      </c>
      <c r="I36" s="18" t="n">
        <v>0</v>
      </c>
      <c r="J36" s="20" t="n">
        <v>0</v>
      </c>
      <c r="K36" s="18" t="n">
        <v>0.09717758</v>
      </c>
      <c r="L36" s="20" t="n">
        <v>0.10233193</v>
      </c>
      <c r="M36" s="18" t="n">
        <v>0</v>
      </c>
      <c r="N36" s="20" t="n">
        <v>0</v>
      </c>
      <c r="O36" s="18" t="n">
        <v>0</v>
      </c>
      <c r="P36" s="20" t="n">
        <v>0</v>
      </c>
      <c r="Q36" s="18" t="n">
        <v>0.95982261</v>
      </c>
      <c r="R36" s="20" t="n">
        <v>0.23759947</v>
      </c>
    </row>
    <row r="37" spans="1:18">
      <c r="A37" s="15" t="s">
        <v>595</v>
      </c>
      <c r="B37" s="17" t="n">
        <v>5458</v>
      </c>
      <c r="C37" s="18">
        <f>(4257.0/B37*100)</f>
        <v/>
      </c>
      <c r="D37" s="19" t="n">
        <v>1201</v>
      </c>
      <c r="E37" s="18" t="n">
        <v>73.10646978</v>
      </c>
      <c r="F37" s="20" t="n">
        <v>1.42400532</v>
      </c>
      <c r="G37" s="18" t="n">
        <v>25.3215569</v>
      </c>
      <c r="H37" s="20" t="n">
        <v>1.43406372</v>
      </c>
      <c r="I37" s="18" t="n">
        <v>0</v>
      </c>
      <c r="J37" s="20" t="n">
        <v>0</v>
      </c>
      <c r="K37" s="18" t="n">
        <v>0.08884516000000001</v>
      </c>
      <c r="L37" s="20" t="n">
        <v>0.08901339</v>
      </c>
      <c r="M37" s="18" t="n">
        <v>0</v>
      </c>
      <c r="N37" s="20" t="n">
        <v>0</v>
      </c>
      <c r="O37" s="18" t="n">
        <v>0</v>
      </c>
      <c r="P37" s="20" t="n">
        <v>0</v>
      </c>
      <c r="Q37" s="18" t="n">
        <v>1.48312816</v>
      </c>
      <c r="R37" s="20" t="n">
        <v>0.45597416</v>
      </c>
    </row>
    <row r="38" spans="1:18">
      <c r="A38" s="15" t="s">
        <v>596</v>
      </c>
      <c r="B38" s="17" t="n">
        <v>5860</v>
      </c>
      <c r="C38" s="18">
        <f>(4607.0/B38*100)</f>
        <v/>
      </c>
      <c r="D38" s="19" t="n">
        <v>1253</v>
      </c>
      <c r="E38" s="18" t="n">
        <v>58.84915285</v>
      </c>
      <c r="F38" s="20" t="n">
        <v>1.69518127</v>
      </c>
      <c r="G38" s="18" t="n">
        <v>40.05806609</v>
      </c>
      <c r="H38" s="20" t="n">
        <v>1.64727477</v>
      </c>
      <c r="I38" s="18" t="n">
        <v>0</v>
      </c>
      <c r="J38" s="20" t="n">
        <v>0</v>
      </c>
      <c r="K38" s="18" t="n">
        <v>0</v>
      </c>
      <c r="L38" s="20" t="n">
        <v>0</v>
      </c>
      <c r="M38" s="18" t="n">
        <v>0</v>
      </c>
      <c r="N38" s="20" t="n">
        <v>0</v>
      </c>
      <c r="O38" s="18" t="n">
        <v>0</v>
      </c>
      <c r="P38" s="20" t="n">
        <v>0</v>
      </c>
      <c r="Q38" s="18" t="n">
        <v>1.09278105</v>
      </c>
      <c r="R38" s="20" t="n">
        <v>0.42139647</v>
      </c>
    </row>
    <row r="39" spans="1:18">
      <c r="A39" s="15" t="s">
        <v>597</v>
      </c>
      <c r="B39" s="17" t="n">
        <v>5895</v>
      </c>
      <c r="C39" s="18">
        <f>(4565.0/B39*100)</f>
        <v/>
      </c>
      <c r="D39" s="19" t="n">
        <v>1330</v>
      </c>
      <c r="E39" s="18" t="n">
        <v>87.41901068999999</v>
      </c>
      <c r="F39" s="20" t="n">
        <v>1.10153402</v>
      </c>
      <c r="G39" s="18" t="n">
        <v>12.04856895</v>
      </c>
      <c r="H39" s="20" t="n">
        <v>1.10052846</v>
      </c>
      <c r="I39" s="18" t="n">
        <v>0</v>
      </c>
      <c r="J39" s="20" t="n">
        <v>0</v>
      </c>
      <c r="K39" s="18" t="n">
        <v>0.05839185</v>
      </c>
      <c r="L39" s="20" t="n">
        <v>0.08116713</v>
      </c>
      <c r="M39" s="18" t="n">
        <v>0</v>
      </c>
      <c r="N39" s="20" t="n">
        <v>0</v>
      </c>
      <c r="O39" s="18" t="n">
        <v>0</v>
      </c>
      <c r="P39" s="20" t="n">
        <v>0</v>
      </c>
      <c r="Q39" s="18" t="n">
        <v>0.47402851</v>
      </c>
      <c r="R39" s="20" t="n">
        <v>0.2192316</v>
      </c>
    </row>
    <row r="40" spans="1:18">
      <c r="A40" s="15" t="s">
        <v>598</v>
      </c>
      <c r="B40" s="17" t="n">
        <v>14157</v>
      </c>
      <c r="C40" s="18">
        <f>(11029.0/B40*100)</f>
        <v/>
      </c>
      <c r="D40" s="19" t="n">
        <v>3128</v>
      </c>
      <c r="E40" s="18" t="n">
        <v>71.82398854</v>
      </c>
      <c r="F40" s="20" t="n">
        <v>1.42705762</v>
      </c>
      <c r="G40" s="18" t="n">
        <v>27.30902134</v>
      </c>
      <c r="H40" s="20" t="n">
        <v>1.41286439</v>
      </c>
      <c r="I40" s="18" t="n">
        <v>0</v>
      </c>
      <c r="J40" s="20" t="n">
        <v>0</v>
      </c>
      <c r="K40" s="18" t="n">
        <v>0.22121681</v>
      </c>
      <c r="L40" s="20" t="n">
        <v>0.14880478</v>
      </c>
      <c r="M40" s="18" t="n">
        <v>0</v>
      </c>
      <c r="N40" s="20" t="n">
        <v>0</v>
      </c>
      <c r="O40" s="18" t="n">
        <v>0</v>
      </c>
      <c r="P40" s="20" t="n">
        <v>0</v>
      </c>
      <c r="Q40" s="18" t="n">
        <v>0.64577331</v>
      </c>
      <c r="R40" s="20" t="n">
        <v>0.23338882</v>
      </c>
    </row>
    <row r="41" spans="1:18">
      <c r="A41" s="15" t="s">
        <v>599</v>
      </c>
      <c r="B41" s="17" t="n">
        <v>5712</v>
      </c>
      <c r="C41" s="18">
        <f>(4463.0/B41*100)</f>
        <v/>
      </c>
      <c r="D41" s="19" t="n">
        <v>1249</v>
      </c>
      <c r="E41" s="18" t="n">
        <v>78.94111839</v>
      </c>
      <c r="F41" s="20" t="n">
        <v>1.47945074</v>
      </c>
      <c r="G41" s="18" t="n">
        <v>20.70228769</v>
      </c>
      <c r="H41" s="20" t="n">
        <v>1.47323631</v>
      </c>
      <c r="I41" s="18" t="n">
        <v>0</v>
      </c>
      <c r="J41" s="20" t="n">
        <v>0</v>
      </c>
      <c r="K41" s="18" t="n">
        <v>0.03253568</v>
      </c>
      <c r="L41" s="20" t="n">
        <v>0.03272042</v>
      </c>
      <c r="M41" s="18" t="n">
        <v>0</v>
      </c>
      <c r="N41" s="20" t="n">
        <v>0</v>
      </c>
      <c r="O41" s="18" t="n">
        <v>0</v>
      </c>
      <c r="P41" s="20" t="n">
        <v>0</v>
      </c>
      <c r="Q41" s="18" t="n">
        <v>0.32405824</v>
      </c>
      <c r="R41" s="20" t="n">
        <v>0.15703735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(18520.0/B46*100)</f>
        <v/>
      </c>
      <c r="D46" s="19" t="n">
        <v>4621</v>
      </c>
      <c r="E46" s="18" t="n">
        <v>80.86557024</v>
      </c>
      <c r="F46" s="20" t="n">
        <v>0.83110915</v>
      </c>
      <c r="G46" s="18" t="n">
        <v>12.71279159</v>
      </c>
      <c r="H46" s="20" t="n">
        <v>0.70688777</v>
      </c>
      <c r="I46" s="18" t="n">
        <v>0</v>
      </c>
      <c r="J46" s="20" t="n">
        <v>0</v>
      </c>
      <c r="K46" s="18" t="n">
        <v>0.47528127</v>
      </c>
      <c r="L46" s="20" t="n">
        <v>0.13110686</v>
      </c>
      <c r="M46" s="18" t="n">
        <v>0</v>
      </c>
      <c r="N46" s="20" t="n">
        <v>0</v>
      </c>
      <c r="O46" s="18" t="n">
        <v>0</v>
      </c>
      <c r="P46" s="20" t="n">
        <v>0</v>
      </c>
      <c r="Q46" s="18" t="n">
        <v>5.9463569</v>
      </c>
      <c r="R46" s="20" t="n">
        <v>0.44572366</v>
      </c>
    </row>
    <row r="47" spans="1:18">
      <c r="A47" s="15" t="s">
        <v>606</v>
      </c>
      <c r="B47" s="17" t="n">
        <v>5928</v>
      </c>
      <c r="C47" s="18">
        <f>(4580.0/B47*100)</f>
        <v/>
      </c>
      <c r="D47" s="19" t="n">
        <v>1348</v>
      </c>
      <c r="E47" s="18" t="n">
        <v>74.14101287</v>
      </c>
      <c r="F47" s="20" t="n">
        <v>1.69881046</v>
      </c>
      <c r="G47" s="18" t="n">
        <v>24.00471363</v>
      </c>
      <c r="H47" s="20" t="n">
        <v>1.73834893</v>
      </c>
      <c r="I47" s="18" t="n">
        <v>0</v>
      </c>
      <c r="J47" s="20" t="n">
        <v>0</v>
      </c>
      <c r="K47" s="18" t="n">
        <v>0.06873601</v>
      </c>
      <c r="L47" s="20" t="n">
        <v>0.06873435999999999</v>
      </c>
      <c r="M47" s="18" t="n">
        <v>0</v>
      </c>
      <c r="N47" s="20" t="n">
        <v>0</v>
      </c>
      <c r="O47" s="18" t="n">
        <v>0</v>
      </c>
      <c r="P47" s="20" t="n">
        <v>0</v>
      </c>
      <c r="Q47" s="18" t="n">
        <v>1.78553749</v>
      </c>
      <c r="R47" s="20" t="n">
        <v>0.4149843</v>
      </c>
    </row>
    <row r="48" spans="1:18">
      <c r="A48" s="15" t="s">
        <v>607</v>
      </c>
      <c r="B48" s="17" t="n">
        <v>9841</v>
      </c>
      <c r="C48" s="18">
        <f>(7656.0/B48*100)</f>
        <v/>
      </c>
      <c r="D48" s="19" t="n">
        <v>2185</v>
      </c>
      <c r="E48" s="18" t="n">
        <v>56.45597033</v>
      </c>
      <c r="F48" s="20" t="n">
        <v>1.87951646</v>
      </c>
      <c r="G48" s="18" t="n">
        <v>42.42525154</v>
      </c>
      <c r="H48" s="20" t="n">
        <v>1.86549424</v>
      </c>
      <c r="I48" s="18" t="n">
        <v>0</v>
      </c>
      <c r="J48" s="20" t="n">
        <v>0</v>
      </c>
      <c r="K48" s="18" t="n">
        <v>0.10681287</v>
      </c>
      <c r="L48" s="20" t="n">
        <v>0.08262696999999999</v>
      </c>
      <c r="M48" s="18" t="n">
        <v>0</v>
      </c>
      <c r="N48" s="20" t="n">
        <v>0</v>
      </c>
      <c r="O48" s="18" t="n">
        <v>0</v>
      </c>
      <c r="P48" s="20" t="n">
        <v>0</v>
      </c>
      <c r="Q48" s="18" t="n">
        <v>1.01196527</v>
      </c>
      <c r="R48" s="20" t="n">
        <v>0.26311631</v>
      </c>
    </row>
    <row r="49" spans="1:18">
      <c r="A49" s="15" t="s">
        <v>608</v>
      </c>
      <c r="B49" s="17" t="n">
        <v>11795</v>
      </c>
      <c r="C49" s="18">
        <f>(9233.0/B49*100)</f>
        <v/>
      </c>
      <c r="D49" s="19" t="n">
        <v>2562</v>
      </c>
      <c r="E49" s="18" t="n">
        <v>83.81657308</v>
      </c>
      <c r="F49" s="20" t="n">
        <v>0.8897272899999999</v>
      </c>
      <c r="G49" s="18" t="n">
        <v>13.95290622</v>
      </c>
      <c r="H49" s="20" t="n">
        <v>0.78555755</v>
      </c>
      <c r="I49" s="18" t="n">
        <v>0</v>
      </c>
      <c r="J49" s="20" t="n">
        <v>0</v>
      </c>
      <c r="K49" s="18" t="n">
        <v>0.18753535</v>
      </c>
      <c r="L49" s="20" t="n">
        <v>0.09620387</v>
      </c>
      <c r="M49" s="18" t="n">
        <v>0</v>
      </c>
      <c r="N49" s="20" t="n">
        <v>0</v>
      </c>
      <c r="O49" s="18" t="n">
        <v>0</v>
      </c>
      <c r="P49" s="20" t="n">
        <v>0</v>
      </c>
      <c r="Q49" s="18" t="n">
        <v>2.04298534</v>
      </c>
      <c r="R49" s="20" t="n">
        <v>0.6124162399999999</v>
      </c>
    </row>
    <row r="50" spans="1:18">
      <c r="A50" s="15" t="s">
        <v>609</v>
      </c>
      <c r="B50" s="17" t="n">
        <v>6866</v>
      </c>
      <c r="C50" s="18">
        <f>(5554.0/B50*100)</f>
        <v/>
      </c>
      <c r="D50" s="19" t="n">
        <v>1312</v>
      </c>
      <c r="E50" s="18" t="n">
        <v>82.0655225</v>
      </c>
      <c r="F50" s="20" t="n">
        <v>1.18014274</v>
      </c>
      <c r="G50" s="18" t="n">
        <v>15.75245681</v>
      </c>
      <c r="H50" s="20" t="n">
        <v>1.17091042</v>
      </c>
      <c r="I50" s="18" t="n">
        <v>0</v>
      </c>
      <c r="J50" s="20" t="n">
        <v>0</v>
      </c>
      <c r="K50" s="18" t="n">
        <v>0.06931413</v>
      </c>
      <c r="L50" s="20" t="n">
        <v>0.06905606</v>
      </c>
      <c r="M50" s="18" t="n">
        <v>0</v>
      </c>
      <c r="N50" s="20" t="n">
        <v>0</v>
      </c>
      <c r="O50" s="18" t="n">
        <v>0</v>
      </c>
      <c r="P50" s="20" t="n">
        <v>0</v>
      </c>
      <c r="Q50" s="18" t="n">
        <v>2.11270656</v>
      </c>
      <c r="R50" s="20" t="n">
        <v>0.35021098</v>
      </c>
    </row>
    <row r="51" spans="1:18">
      <c r="A51" s="15" t="s">
        <v>610</v>
      </c>
      <c r="B51" s="17" t="n">
        <v>5809</v>
      </c>
      <c r="C51" s="18">
        <f>(4569.0/B51*100)</f>
        <v/>
      </c>
      <c r="D51" s="19" t="n">
        <v>1240</v>
      </c>
      <c r="E51" s="18" t="n">
        <v>67.34529673</v>
      </c>
      <c r="F51" s="20" t="n">
        <v>1.20705316</v>
      </c>
      <c r="G51" s="18" t="n">
        <v>32.03322519</v>
      </c>
      <c r="H51" s="20" t="n">
        <v>1.21379418</v>
      </c>
      <c r="I51" s="18" t="n">
        <v>0</v>
      </c>
      <c r="J51" s="20" t="n">
        <v>0</v>
      </c>
      <c r="K51" s="18" t="n">
        <v>0</v>
      </c>
      <c r="L51" s="20" t="n">
        <v>0</v>
      </c>
      <c r="M51" s="18" t="n">
        <v>0</v>
      </c>
      <c r="N51" s="20" t="n">
        <v>0</v>
      </c>
      <c r="O51" s="18" t="n">
        <v>0</v>
      </c>
      <c r="P51" s="20" t="n">
        <v>0</v>
      </c>
      <c r="Q51" s="18" t="n">
        <v>0.62147808</v>
      </c>
      <c r="R51" s="20" t="n">
        <v>0.2429975</v>
      </c>
    </row>
    <row r="52" spans="1:18">
      <c r="A52" s="15" t="s">
        <v>611</v>
      </c>
      <c r="B52" s="17" t="n">
        <v>5571</v>
      </c>
      <c r="C52" s="18">
        <f>(4381.0/B52*100)</f>
        <v/>
      </c>
      <c r="D52" s="19" t="n">
        <v>1190</v>
      </c>
      <c r="E52" s="18" t="n">
        <v>74.16575539999999</v>
      </c>
      <c r="F52" s="20" t="n">
        <v>1.24190563</v>
      </c>
      <c r="G52" s="18" t="n">
        <v>23.3398488</v>
      </c>
      <c r="H52" s="20" t="n">
        <v>1.10332125</v>
      </c>
      <c r="I52" s="18" t="n">
        <v>0</v>
      </c>
      <c r="J52" s="20" t="n">
        <v>0</v>
      </c>
      <c r="K52" s="18" t="n">
        <v>0.29481104</v>
      </c>
      <c r="L52" s="20" t="n">
        <v>0.15437919</v>
      </c>
      <c r="M52" s="18" t="n">
        <v>0</v>
      </c>
      <c r="N52" s="20" t="n">
        <v>0</v>
      </c>
      <c r="O52" s="18" t="n">
        <v>0</v>
      </c>
      <c r="P52" s="20" t="n">
        <v>0</v>
      </c>
      <c r="Q52" s="18" t="n">
        <v>2.19958476</v>
      </c>
      <c r="R52" s="20" t="n">
        <v>0.4685969</v>
      </c>
    </row>
    <row r="53" spans="1:18">
      <c r="A53" s="15" t="s">
        <v>612</v>
      </c>
      <c r="B53" s="17" t="n">
        <v>4740</v>
      </c>
      <c r="C53" s="18">
        <f>(3665.0/B53*100)</f>
        <v/>
      </c>
      <c r="D53" s="19" t="n">
        <v>1075</v>
      </c>
      <c r="E53" s="18" t="n">
        <v>73.17316934</v>
      </c>
      <c r="F53" s="20" t="n">
        <v>1.62933057</v>
      </c>
      <c r="G53" s="18" t="n">
        <v>6.52469763</v>
      </c>
      <c r="H53" s="20" t="n">
        <v>0.84452317</v>
      </c>
      <c r="I53" s="18" t="n">
        <v>0</v>
      </c>
      <c r="J53" s="20" t="n">
        <v>0</v>
      </c>
      <c r="K53" s="18" t="n">
        <v>9.66583432</v>
      </c>
      <c r="L53" s="20" t="n">
        <v>0.89478737</v>
      </c>
      <c r="M53" s="18" t="n">
        <v>0</v>
      </c>
      <c r="N53" s="20" t="n">
        <v>0</v>
      </c>
      <c r="O53" s="18" t="n">
        <v>0</v>
      </c>
      <c r="P53" s="20" t="n">
        <v>0</v>
      </c>
      <c r="Q53" s="18" t="n">
        <v>10.6362987</v>
      </c>
      <c r="R53" s="20" t="n">
        <v>1.23840623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(4172.0/B55*100)</f>
        <v/>
      </c>
      <c r="D55" s="19" t="n">
        <v>1187</v>
      </c>
      <c r="E55" s="18" t="n">
        <v>71.29167133</v>
      </c>
      <c r="F55" s="20" t="n">
        <v>1.46639518</v>
      </c>
      <c r="G55" s="18" t="n">
        <v>28.28768787</v>
      </c>
      <c r="H55" s="20" t="n">
        <v>1.46292706</v>
      </c>
      <c r="I55" s="18" t="n">
        <v>0</v>
      </c>
      <c r="J55" s="20" t="n">
        <v>0</v>
      </c>
      <c r="K55" s="18" t="n">
        <v>0.14802727</v>
      </c>
      <c r="L55" s="20" t="n">
        <v>0.11149785</v>
      </c>
      <c r="M55" s="18" t="n">
        <v>0</v>
      </c>
      <c r="N55" s="20" t="n">
        <v>0</v>
      </c>
      <c r="O55" s="18" t="n">
        <v>0</v>
      </c>
      <c r="P55" s="20" t="n">
        <v>0</v>
      </c>
      <c r="Q55" s="18" t="n">
        <v>0.27261352</v>
      </c>
      <c r="R55" s="20" t="n">
        <v>0.17157829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(5072.0/B61*100)</f>
        <v/>
      </c>
      <c r="D61" s="19" t="n">
        <v>1453</v>
      </c>
      <c r="E61" s="18" t="n">
        <v>74.79608356999999</v>
      </c>
      <c r="F61" s="20" t="n">
        <v>1.40952339</v>
      </c>
      <c r="G61" s="18" t="n">
        <v>24.2972849</v>
      </c>
      <c r="H61" s="20" t="n">
        <v>1.34878744</v>
      </c>
      <c r="I61" s="18" t="n">
        <v>0</v>
      </c>
      <c r="J61" s="20" t="n">
        <v>0</v>
      </c>
      <c r="K61" s="18" t="n">
        <v>0.16742308</v>
      </c>
      <c r="L61" s="20" t="n">
        <v>0.10512736</v>
      </c>
      <c r="M61" s="18" t="n">
        <v>0</v>
      </c>
      <c r="N61" s="20" t="n">
        <v>0</v>
      </c>
      <c r="O61" s="18" t="n">
        <v>0</v>
      </c>
      <c r="P61" s="20" t="n">
        <v>0</v>
      </c>
      <c r="Q61" s="18" t="n">
        <v>0.73920845</v>
      </c>
      <c r="R61" s="20" t="n">
        <v>0.26071913</v>
      </c>
    </row>
    <row r="62" spans="1:18">
      <c r="A62" s="15" t="s">
        <v>622</v>
      </c>
      <c r="B62" s="17" t="n">
        <v>4476</v>
      </c>
      <c r="C62" s="18">
        <f>(3508.0/B62*100)</f>
        <v/>
      </c>
      <c r="D62" s="19" t="n">
        <v>968</v>
      </c>
      <c r="E62" s="18" t="n">
        <v>69.0257697</v>
      </c>
      <c r="F62" s="20" t="n">
        <v>1.42504009</v>
      </c>
      <c r="G62" s="18" t="n">
        <v>30.76540052</v>
      </c>
      <c r="H62" s="20" t="n">
        <v>1.39129335</v>
      </c>
      <c r="I62" s="18" t="n">
        <v>0</v>
      </c>
      <c r="J62" s="20" t="n">
        <v>0</v>
      </c>
      <c r="K62" s="18" t="n">
        <v>0.10618449</v>
      </c>
      <c r="L62" s="20" t="n">
        <v>0.10644555</v>
      </c>
      <c r="M62" s="18" t="n">
        <v>0</v>
      </c>
      <c r="N62" s="20" t="n">
        <v>0</v>
      </c>
      <c r="O62" s="18" t="n">
        <v>0</v>
      </c>
      <c r="P62" s="20" t="n">
        <v>0</v>
      </c>
      <c r="Q62" s="18" t="n">
        <v>0.10264528</v>
      </c>
      <c r="R62" s="20" t="n">
        <v>0.10236543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(4403.0/B67*100)</f>
        <v/>
      </c>
      <c r="D67" s="19" t="n">
        <v>1262</v>
      </c>
      <c r="E67" s="18" t="n">
        <v>78.32509886</v>
      </c>
      <c r="F67" s="20" t="n">
        <v>1.12804306</v>
      </c>
      <c r="G67" s="18" t="n">
        <v>17.47143217</v>
      </c>
      <c r="H67" s="20" t="n">
        <v>1.09636085</v>
      </c>
      <c r="I67" s="18" t="n">
        <v>0</v>
      </c>
      <c r="J67" s="20" t="n">
        <v>0</v>
      </c>
      <c r="K67" s="18" t="n">
        <v>0.29866526</v>
      </c>
      <c r="L67" s="20" t="n">
        <v>0.14963473</v>
      </c>
      <c r="M67" s="18" t="n">
        <v>0</v>
      </c>
      <c r="N67" s="20" t="n">
        <v>0</v>
      </c>
      <c r="O67" s="18" t="n">
        <v>0</v>
      </c>
      <c r="P67" s="20" t="n">
        <v>0</v>
      </c>
      <c r="Q67" s="18" t="n">
        <v>3.90480371</v>
      </c>
      <c r="R67" s="20" t="n">
        <v>0.53197068</v>
      </c>
    </row>
    <row r="68" spans="1:18">
      <c r="A68" s="15" t="s">
        <v>628</v>
      </c>
      <c r="B68" s="17" t="n">
        <v>6971</v>
      </c>
      <c r="C68" s="18">
        <f>(5464.0/B68*100)</f>
        <v/>
      </c>
      <c r="D68" s="19" t="n">
        <v>1507</v>
      </c>
      <c r="E68" s="18" t="n">
        <v>82.96409765999999</v>
      </c>
      <c r="F68" s="20" t="n">
        <v>1.10426423</v>
      </c>
      <c r="G68" s="18" t="n">
        <v>13.03473049</v>
      </c>
      <c r="H68" s="20" t="n">
        <v>0.94159896</v>
      </c>
      <c r="I68" s="18" t="n">
        <v>0</v>
      </c>
      <c r="J68" s="20" t="n">
        <v>0</v>
      </c>
      <c r="K68" s="18" t="n">
        <v>0.05981735</v>
      </c>
      <c r="L68" s="20" t="n">
        <v>0.06012586</v>
      </c>
      <c r="M68" s="18" t="n">
        <v>0</v>
      </c>
      <c r="N68" s="20" t="n">
        <v>0</v>
      </c>
      <c r="O68" s="18" t="n">
        <v>0</v>
      </c>
      <c r="P68" s="20" t="n">
        <v>0</v>
      </c>
      <c r="Q68" s="18" t="n">
        <v>3.9413545</v>
      </c>
      <c r="R68" s="20" t="n">
        <v>0.54343228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(9414.0/B70*100)</f>
        <v/>
      </c>
      <c r="D70" s="19" t="n">
        <v>2669</v>
      </c>
      <c r="E70" s="18" t="n">
        <v>82.3750033</v>
      </c>
      <c r="F70" s="20" t="n">
        <v>0.68522919</v>
      </c>
      <c r="G70" s="18" t="n">
        <v>14.08878998</v>
      </c>
      <c r="H70" s="20" t="n">
        <v>0.64925811</v>
      </c>
      <c r="I70" s="18" t="n">
        <v>0</v>
      </c>
      <c r="J70" s="20" t="n">
        <v>0</v>
      </c>
      <c r="K70" s="18" t="n">
        <v>0.47742743</v>
      </c>
      <c r="L70" s="20" t="n">
        <v>0.14704822</v>
      </c>
      <c r="M70" s="18" t="n">
        <v>0</v>
      </c>
      <c r="N70" s="20" t="n">
        <v>0</v>
      </c>
      <c r="O70" s="18" t="n">
        <v>0</v>
      </c>
      <c r="P70" s="20" t="n">
        <v>0</v>
      </c>
      <c r="Q70" s="18" t="n">
        <v>3.05877929</v>
      </c>
      <c r="R70" s="20" t="n">
        <v>0.34066872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(4714.0/B72*100)</f>
        <v/>
      </c>
      <c r="D72" s="19" t="n">
        <v>1322</v>
      </c>
      <c r="E72" s="18" t="n">
        <v>65.26677798999999</v>
      </c>
      <c r="F72" s="20" t="n">
        <v>1.95898102</v>
      </c>
      <c r="G72" s="18" t="n">
        <v>34.16096148</v>
      </c>
      <c r="H72" s="20" t="n">
        <v>1.96744164</v>
      </c>
      <c r="I72" s="18" t="n">
        <v>0</v>
      </c>
      <c r="J72" s="20" t="n">
        <v>0</v>
      </c>
      <c r="K72" s="18" t="n">
        <v>0.16784214</v>
      </c>
      <c r="L72" s="20" t="n">
        <v>0.08310105</v>
      </c>
      <c r="M72" s="18" t="n">
        <v>0</v>
      </c>
      <c r="N72" s="20" t="n">
        <v>0</v>
      </c>
      <c r="O72" s="18" t="n">
        <v>0</v>
      </c>
      <c r="P72" s="20" t="n">
        <v>0</v>
      </c>
      <c r="Q72" s="18" t="n">
        <v>0.40441838</v>
      </c>
      <c r="R72" s="20" t="n">
        <v>0.17955492</v>
      </c>
    </row>
    <row r="73" spans="1:18">
      <c r="A73" s="15" t="s">
        <v>633</v>
      </c>
      <c r="B73" s="17" t="n">
        <v>6115</v>
      </c>
      <c r="C73" s="18">
        <f>(4715.0/B73*100)</f>
        <v/>
      </c>
      <c r="D73" s="19" t="n">
        <v>1400</v>
      </c>
      <c r="E73" s="18" t="n">
        <v>65.60172728000001</v>
      </c>
      <c r="F73" s="20" t="n">
        <v>1.31869421</v>
      </c>
      <c r="G73" s="18" t="n">
        <v>33.76138034</v>
      </c>
      <c r="H73" s="20" t="n">
        <v>1.3365905</v>
      </c>
      <c r="I73" s="18" t="n">
        <v>0</v>
      </c>
      <c r="J73" s="20" t="n">
        <v>0</v>
      </c>
      <c r="K73" s="18" t="n">
        <v>0.09456979</v>
      </c>
      <c r="L73" s="20" t="n">
        <v>0.06888269</v>
      </c>
      <c r="M73" s="18" t="n">
        <v>0</v>
      </c>
      <c r="N73" s="20" t="n">
        <v>0</v>
      </c>
      <c r="O73" s="18" t="n">
        <v>0</v>
      </c>
      <c r="P73" s="20" t="n">
        <v>0</v>
      </c>
      <c r="Q73" s="18" t="n">
        <v>0.5423226</v>
      </c>
      <c r="R73" s="20" t="n">
        <v>0.18491619</v>
      </c>
    </row>
    <row r="74" spans="1:18">
      <c r="A74" s="15" t="s">
        <v>634</v>
      </c>
      <c r="B74" s="17" t="n">
        <v>7708</v>
      </c>
      <c r="C74" s="18">
        <f>(5977.0/B74*100)</f>
        <v/>
      </c>
      <c r="D74" s="19" t="n">
        <v>1731</v>
      </c>
      <c r="E74" s="18" t="n">
        <v>59.68075662</v>
      </c>
      <c r="F74" s="20" t="n">
        <v>1.3214782</v>
      </c>
      <c r="G74" s="18" t="n">
        <v>39.89545778</v>
      </c>
      <c r="H74" s="20" t="n">
        <v>1.31609693</v>
      </c>
      <c r="I74" s="18" t="n">
        <v>0</v>
      </c>
      <c r="J74" s="20" t="n">
        <v>0</v>
      </c>
      <c r="K74" s="18" t="n">
        <v>0.06658601</v>
      </c>
      <c r="L74" s="20" t="n">
        <v>0.04764207</v>
      </c>
      <c r="M74" s="18" t="n">
        <v>0</v>
      </c>
      <c r="N74" s="20" t="n">
        <v>0</v>
      </c>
      <c r="O74" s="18" t="n">
        <v>0</v>
      </c>
      <c r="P74" s="20" t="n">
        <v>0</v>
      </c>
      <c r="Q74" s="18" t="n">
        <v>0.35719959</v>
      </c>
      <c r="R74" s="20" t="n">
        <v>0.13294432</v>
      </c>
    </row>
    <row r="75" spans="1:18">
      <c r="A75" s="15" t="s">
        <v>635</v>
      </c>
      <c r="B75" s="17" t="n">
        <v>8249</v>
      </c>
      <c r="C75" s="18">
        <f>(6461.0/B75*100)</f>
        <v/>
      </c>
      <c r="D75" s="19" t="n">
        <v>1788</v>
      </c>
      <c r="E75" s="18" t="n">
        <v>88.36599645</v>
      </c>
      <c r="F75" s="20" t="n">
        <v>1.01572219</v>
      </c>
      <c r="G75" s="18" t="n">
        <v>10.78245354</v>
      </c>
      <c r="H75" s="20" t="n">
        <v>1.0045535</v>
      </c>
      <c r="I75" s="18" t="n">
        <v>0</v>
      </c>
      <c r="J75" s="20" t="n">
        <v>0</v>
      </c>
      <c r="K75" s="18" t="n">
        <v>0</v>
      </c>
      <c r="L75" s="20" t="n">
        <v>0</v>
      </c>
      <c r="M75" s="18" t="n">
        <v>0</v>
      </c>
      <c r="N75" s="20" t="n">
        <v>0</v>
      </c>
      <c r="O75" s="18" t="n">
        <v>0</v>
      </c>
      <c r="P75" s="20" t="n">
        <v>0</v>
      </c>
      <c r="Q75" s="18" t="n">
        <v>0.85155001</v>
      </c>
      <c r="R75" s="20" t="n">
        <v>0.27683475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(4271.0/B77*100)</f>
        <v/>
      </c>
      <c r="D77" s="19" t="n">
        <v>1104</v>
      </c>
      <c r="E77" s="18" t="n">
        <v>86.67126168999999</v>
      </c>
      <c r="F77" s="20" t="n">
        <v>1.21985054</v>
      </c>
      <c r="G77" s="18" t="n">
        <v>8.829290350000001</v>
      </c>
      <c r="H77" s="20" t="n">
        <v>0.87265468</v>
      </c>
      <c r="I77" s="18" t="n">
        <v>0</v>
      </c>
      <c r="J77" s="20" t="n">
        <v>0</v>
      </c>
      <c r="K77" s="18" t="n">
        <v>1.10013806</v>
      </c>
      <c r="L77" s="20" t="n">
        <v>0.35170908</v>
      </c>
      <c r="M77" s="18" t="n">
        <v>0</v>
      </c>
      <c r="N77" s="20" t="n">
        <v>0</v>
      </c>
      <c r="O77" s="18" t="n">
        <v>0</v>
      </c>
      <c r="P77" s="20" t="n">
        <v>0</v>
      </c>
      <c r="Q77" s="18" t="n">
        <v>3.3993099</v>
      </c>
      <c r="R77" s="20" t="n">
        <v>0.68137317</v>
      </c>
    </row>
    <row r="78" spans="1:18">
      <c r="A78" s="15" t="s">
        <v>638</v>
      </c>
      <c r="B78" s="17" t="n">
        <v>14167</v>
      </c>
      <c r="C78" s="18">
        <f>(11026.0/B78*100)</f>
        <v/>
      </c>
      <c r="D78" s="19" t="n">
        <v>3141</v>
      </c>
      <c r="E78" s="18" t="n">
        <v>77.67294013</v>
      </c>
      <c r="F78" s="20" t="n">
        <v>1.11041997</v>
      </c>
      <c r="G78" s="18" t="n">
        <v>20.83746917</v>
      </c>
      <c r="H78" s="20" t="n">
        <v>1.10183708</v>
      </c>
      <c r="I78" s="18" t="n">
        <v>0</v>
      </c>
      <c r="J78" s="20" t="n">
        <v>0</v>
      </c>
      <c r="K78" s="18" t="n">
        <v>0.51204075</v>
      </c>
      <c r="L78" s="20" t="n">
        <v>0.13044104</v>
      </c>
      <c r="M78" s="18" t="n">
        <v>0</v>
      </c>
      <c r="N78" s="20" t="n">
        <v>0</v>
      </c>
      <c r="O78" s="18" t="n">
        <v>0</v>
      </c>
      <c r="P78" s="20" t="n">
        <v>0</v>
      </c>
      <c r="Q78" s="18" t="n">
        <v>0.97754995</v>
      </c>
      <c r="R78" s="20" t="n">
        <v>0.2083719</v>
      </c>
    </row>
    <row r="79" spans="1:18">
      <c r="A79" s="15" t="s">
        <v>639</v>
      </c>
      <c r="B79" s="17" t="n">
        <v>6062</v>
      </c>
      <c r="C79" s="18">
        <f>(4812.0/B79*100)</f>
        <v/>
      </c>
      <c r="D79" s="19" t="n">
        <v>1250</v>
      </c>
      <c r="E79" s="18" t="n">
        <v>79.80738033999999</v>
      </c>
      <c r="F79" s="20" t="n">
        <v>1.2619675</v>
      </c>
      <c r="G79" s="18" t="n">
        <v>17.10313079</v>
      </c>
      <c r="H79" s="20" t="n">
        <v>1.19330702</v>
      </c>
      <c r="I79" s="18" t="n">
        <v>0</v>
      </c>
      <c r="J79" s="20" t="n">
        <v>0</v>
      </c>
      <c r="K79" s="18" t="n">
        <v>0.55919226</v>
      </c>
      <c r="L79" s="20" t="n">
        <v>0.15603057</v>
      </c>
      <c r="M79" s="18" t="n">
        <v>0</v>
      </c>
      <c r="N79" s="20" t="n">
        <v>0</v>
      </c>
      <c r="O79" s="18" t="n">
        <v>0</v>
      </c>
      <c r="P79" s="20" t="n">
        <v>0</v>
      </c>
      <c r="Q79" s="18" t="n">
        <v>2.53029661</v>
      </c>
      <c r="R79" s="20" t="n">
        <v>0.43636209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(25201.0/B82*100)</f>
        <v/>
      </c>
      <c r="D82" s="19" t="n">
        <v>7129</v>
      </c>
      <c r="E82" s="18" t="n">
        <v>67.55698577</v>
      </c>
      <c r="F82" s="20" t="n">
        <v>0.77274068</v>
      </c>
      <c r="G82" s="18" t="n">
        <v>31.59720589</v>
      </c>
      <c r="H82" s="20" t="n">
        <v>0.75590458</v>
      </c>
      <c r="I82" s="18" t="n">
        <v>0</v>
      </c>
      <c r="J82" s="20" t="n">
        <v>0</v>
      </c>
      <c r="K82" s="18" t="n">
        <v>0.08849455000000001</v>
      </c>
      <c r="L82" s="20" t="n">
        <v>0.08163189</v>
      </c>
      <c r="M82" s="18" t="n">
        <v>0</v>
      </c>
      <c r="N82" s="20" t="n">
        <v>0</v>
      </c>
      <c r="O82" s="18" t="n">
        <v>0</v>
      </c>
      <c r="P82" s="20" t="n">
        <v>0</v>
      </c>
      <c r="Q82" s="18" t="n">
        <v>0.7573138</v>
      </c>
      <c r="R82" s="20" t="n">
        <v>0.180082</v>
      </c>
    </row>
    <row r="83" spans="1:18">
      <c r="A83" s="15" t="s">
        <v>643</v>
      </c>
      <c r="B83" s="17" t="n">
        <v>1652</v>
      </c>
      <c r="C83" s="18">
        <f>(1312.0/B83*100)</f>
        <v/>
      </c>
      <c r="D83" s="19" t="n">
        <v>340</v>
      </c>
      <c r="E83" s="18" t="n">
        <v>67.23845021</v>
      </c>
      <c r="F83" s="20" t="n">
        <v>1.98760251</v>
      </c>
      <c r="G83" s="18" t="n">
        <v>32.48077076</v>
      </c>
      <c r="H83" s="20" t="n">
        <v>1.98155598</v>
      </c>
      <c r="I83" s="18" t="n">
        <v>0</v>
      </c>
      <c r="J83" s="20" t="n">
        <v>0</v>
      </c>
      <c r="K83" s="18" t="n">
        <v>0</v>
      </c>
      <c r="L83" s="20" t="n">
        <v>0</v>
      </c>
      <c r="M83" s="18" t="n">
        <v>0</v>
      </c>
      <c r="N83" s="20" t="n">
        <v>0</v>
      </c>
      <c r="O83" s="18" t="n">
        <v>0</v>
      </c>
      <c r="P83" s="20" t="n">
        <v>0</v>
      </c>
      <c r="Q83" s="18" t="n">
        <v>0.28077903</v>
      </c>
      <c r="R83" s="20" t="n">
        <v>0.27300056</v>
      </c>
    </row>
    <row r="84" spans="1:18">
      <c r="A84" s="23" t="s">
        <v>644</v>
      </c>
      <c r="B84" s="24" t="n">
        <v>1887</v>
      </c>
      <c r="C84" s="25">
        <f>(1451.0/B84*100)</f>
        <v/>
      </c>
      <c r="D84" s="19" t="n">
        <v>436</v>
      </c>
      <c r="E84" s="18" t="n">
        <v>75.69956771</v>
      </c>
      <c r="F84" s="20" t="n">
        <v>2.65146902</v>
      </c>
      <c r="G84" s="18" t="n">
        <v>24.17794977</v>
      </c>
      <c r="H84" s="20" t="n">
        <v>2.66312874</v>
      </c>
      <c r="I84" s="18" t="n">
        <v>0</v>
      </c>
      <c r="J84" s="20" t="n">
        <v>0</v>
      </c>
      <c r="K84" s="18" t="n">
        <v>0</v>
      </c>
      <c r="L84" s="20" t="n">
        <v>0</v>
      </c>
      <c r="M84" s="18" t="n">
        <v>0</v>
      </c>
      <c r="N84" s="20" t="n">
        <v>0</v>
      </c>
      <c r="O84" s="18" t="n">
        <v>0</v>
      </c>
      <c r="P84" s="20" t="n">
        <v>0</v>
      </c>
      <c r="Q84" s="18" t="n">
        <v>0.12248252</v>
      </c>
      <c r="R84" s="20" t="n">
        <v>0.12368192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(11287.0/B7*100)</f>
        <v/>
      </c>
      <c r="D7" s="19" t="n">
        <v>3243</v>
      </c>
      <c r="E7" s="18" t="n">
        <v>56.84894767</v>
      </c>
      <c r="F7" s="20" t="n">
        <v>1.11872599</v>
      </c>
      <c r="G7" s="18" t="n">
        <v>42.27940144</v>
      </c>
      <c r="H7" s="20" t="n">
        <v>1.08614081</v>
      </c>
      <c r="I7" s="18" t="n">
        <v>0</v>
      </c>
      <c r="J7" s="20" t="n">
        <v>0</v>
      </c>
      <c r="K7" s="18" t="n">
        <v>0.1581721</v>
      </c>
      <c r="L7" s="20" t="n">
        <v>0.07366995</v>
      </c>
      <c r="M7" s="18" t="n">
        <v>0</v>
      </c>
      <c r="N7" s="20" t="n">
        <v>0</v>
      </c>
      <c r="O7" s="18" t="n">
        <v>0</v>
      </c>
      <c r="P7" s="20" t="n">
        <v>0</v>
      </c>
      <c r="Q7" s="18" t="n">
        <v>0.71347879</v>
      </c>
      <c r="R7" s="20" t="n">
        <v>0.16936467</v>
      </c>
    </row>
    <row r="8" spans="1:18">
      <c r="A8" s="15" t="s">
        <v>566</v>
      </c>
      <c r="B8" s="17" t="n">
        <v>7007</v>
      </c>
      <c r="C8" s="18">
        <f>(5493.0/B8*100)</f>
        <v/>
      </c>
      <c r="D8" s="19" t="n">
        <v>1514</v>
      </c>
      <c r="E8" s="18" t="n">
        <v>54.69054133</v>
      </c>
      <c r="F8" s="20" t="n">
        <v>1.61776073</v>
      </c>
      <c r="G8" s="18" t="n">
        <v>43.66591134</v>
      </c>
      <c r="H8" s="20" t="n">
        <v>1.71300784</v>
      </c>
      <c r="I8" s="18" t="n">
        <v>0</v>
      </c>
      <c r="J8" s="20" t="n">
        <v>0</v>
      </c>
      <c r="K8" s="18" t="n">
        <v>0</v>
      </c>
      <c r="L8" s="20" t="n">
        <v>0</v>
      </c>
      <c r="M8" s="18" t="n">
        <v>0</v>
      </c>
      <c r="N8" s="20" t="n">
        <v>0</v>
      </c>
      <c r="O8" s="18" t="n">
        <v>0</v>
      </c>
      <c r="P8" s="20" t="n">
        <v>0</v>
      </c>
      <c r="Q8" s="18" t="n">
        <v>1.64354734</v>
      </c>
      <c r="R8" s="20" t="n">
        <v>0.33725589</v>
      </c>
    </row>
    <row r="9" spans="1:18">
      <c r="A9" s="15" t="s">
        <v>567</v>
      </c>
      <c r="B9" s="17" t="n">
        <v>9651</v>
      </c>
      <c r="C9" s="18">
        <f>(7599.0/B9*100)</f>
        <v/>
      </c>
      <c r="D9" s="19" t="n">
        <v>2052</v>
      </c>
      <c r="E9" s="18" t="n">
        <v>50.91643859</v>
      </c>
      <c r="F9" s="20" t="n">
        <v>1.15062122</v>
      </c>
      <c r="G9" s="18" t="n">
        <v>47.40492035</v>
      </c>
      <c r="H9" s="20" t="n">
        <v>1.15345672</v>
      </c>
      <c r="I9" s="18" t="n">
        <v>0</v>
      </c>
      <c r="J9" s="20" t="n">
        <v>0</v>
      </c>
      <c r="K9" s="18" t="n">
        <v>0.15715472</v>
      </c>
      <c r="L9" s="20" t="n">
        <v>0.09554437</v>
      </c>
      <c r="M9" s="18" t="n">
        <v>0</v>
      </c>
      <c r="N9" s="20" t="n">
        <v>0</v>
      </c>
      <c r="O9" s="18" t="n">
        <v>0</v>
      </c>
      <c r="P9" s="20" t="n">
        <v>0</v>
      </c>
      <c r="Q9" s="18" t="n">
        <v>1.52148635</v>
      </c>
      <c r="R9" s="20" t="n">
        <v>0.25867108</v>
      </c>
    </row>
    <row r="10" spans="1:18">
      <c r="A10" s="15" t="s">
        <v>568</v>
      </c>
      <c r="B10" s="17" t="n">
        <v>20058</v>
      </c>
      <c r="C10" s="18">
        <f>(15515.0/B10*100)</f>
        <v/>
      </c>
      <c r="D10" s="19" t="n">
        <v>4543</v>
      </c>
      <c r="E10" s="18" t="n">
        <v>49.56574187</v>
      </c>
      <c r="F10" s="20" t="n">
        <v>1.03262299</v>
      </c>
      <c r="G10" s="18" t="n">
        <v>49.86722404</v>
      </c>
      <c r="H10" s="20" t="n">
        <v>1.07098239</v>
      </c>
      <c r="I10" s="18" t="n">
        <v>0</v>
      </c>
      <c r="J10" s="20" t="n">
        <v>0</v>
      </c>
      <c r="K10" s="18" t="n">
        <v>0.007987589999999999</v>
      </c>
      <c r="L10" s="20" t="n">
        <v>0.00839199</v>
      </c>
      <c r="M10" s="18" t="n">
        <v>0</v>
      </c>
      <c r="N10" s="20" t="n">
        <v>0</v>
      </c>
      <c r="O10" s="18" t="n">
        <v>0</v>
      </c>
      <c r="P10" s="20" t="n">
        <v>0</v>
      </c>
      <c r="Q10" s="18" t="n">
        <v>0.5590465</v>
      </c>
      <c r="R10" s="20" t="n">
        <v>0.13985763</v>
      </c>
    </row>
    <row r="11" spans="1:18">
      <c r="A11" s="15" t="s">
        <v>569</v>
      </c>
      <c r="B11" s="17" t="n">
        <v>7053</v>
      </c>
      <c r="C11" s="18">
        <f>(5446.0/B11*100)</f>
        <v/>
      </c>
      <c r="D11" s="19" t="n">
        <v>1607</v>
      </c>
      <c r="E11" s="18" t="n">
        <v>65.75696084</v>
      </c>
      <c r="F11" s="20" t="n">
        <v>1.45142974</v>
      </c>
      <c r="G11" s="18" t="n">
        <v>32.66710844</v>
      </c>
      <c r="H11" s="20" t="n">
        <v>1.44347096</v>
      </c>
      <c r="I11" s="18" t="n">
        <v>0</v>
      </c>
      <c r="J11" s="20" t="n">
        <v>0</v>
      </c>
      <c r="K11" s="18" t="n">
        <v>0.08484029999999999</v>
      </c>
      <c r="L11" s="20" t="n">
        <v>0.08786487</v>
      </c>
      <c r="M11" s="18" t="n">
        <v>0</v>
      </c>
      <c r="N11" s="20" t="n">
        <v>0</v>
      </c>
      <c r="O11" s="18" t="n">
        <v>0</v>
      </c>
      <c r="P11" s="20" t="n">
        <v>0</v>
      </c>
      <c r="Q11" s="18" t="n">
        <v>1.49109042</v>
      </c>
      <c r="R11" s="20" t="n">
        <v>0.29782888</v>
      </c>
    </row>
    <row r="12" spans="1:18">
      <c r="A12" s="15" t="s">
        <v>570</v>
      </c>
      <c r="B12" s="17" t="n">
        <v>6894</v>
      </c>
      <c r="C12" s="18">
        <f>(5398.0/B12*100)</f>
        <v/>
      </c>
      <c r="D12" s="19" t="n">
        <v>1496</v>
      </c>
      <c r="E12" s="18" t="n">
        <v>43.75030168</v>
      </c>
      <c r="F12" s="20" t="n">
        <v>1.5160374</v>
      </c>
      <c r="G12" s="18" t="n">
        <v>55.35935221</v>
      </c>
      <c r="H12" s="20" t="n">
        <v>1.55393069</v>
      </c>
      <c r="I12" s="18" t="n">
        <v>0</v>
      </c>
      <c r="J12" s="20" t="n">
        <v>0</v>
      </c>
      <c r="K12" s="18" t="n">
        <v>0.06100039</v>
      </c>
      <c r="L12" s="20" t="n">
        <v>0.06029568</v>
      </c>
      <c r="M12" s="18" t="n">
        <v>0</v>
      </c>
      <c r="N12" s="20" t="n">
        <v>0</v>
      </c>
      <c r="O12" s="18" t="n">
        <v>0</v>
      </c>
      <c r="P12" s="20" t="n">
        <v>0</v>
      </c>
      <c r="Q12" s="18" t="n">
        <v>0.82934571</v>
      </c>
      <c r="R12" s="20" t="n">
        <v>0.25779515</v>
      </c>
    </row>
    <row r="13" spans="1:18">
      <c r="A13" s="15" t="s">
        <v>571</v>
      </c>
      <c r="B13" s="17" t="n">
        <v>7161</v>
      </c>
      <c r="C13" s="18">
        <f>(5635.0/B13*100)</f>
        <v/>
      </c>
      <c r="D13" s="19" t="n">
        <v>1526</v>
      </c>
      <c r="E13" s="18" t="n">
        <v>50.87375124</v>
      </c>
      <c r="F13" s="20" t="n">
        <v>1.41298322</v>
      </c>
      <c r="G13" s="18" t="n">
        <v>48.58971253</v>
      </c>
      <c r="H13" s="20" t="n">
        <v>1.39814238</v>
      </c>
      <c r="I13" s="18" t="n">
        <v>0</v>
      </c>
      <c r="J13" s="20" t="n">
        <v>0</v>
      </c>
      <c r="K13" s="18" t="n">
        <v>0.1961108</v>
      </c>
      <c r="L13" s="20" t="n">
        <v>0.12469331</v>
      </c>
      <c r="M13" s="18" t="n">
        <v>0</v>
      </c>
      <c r="N13" s="20" t="n">
        <v>0</v>
      </c>
      <c r="O13" s="18" t="n">
        <v>0</v>
      </c>
      <c r="P13" s="20" t="n">
        <v>0</v>
      </c>
      <c r="Q13" s="18" t="n">
        <v>0.34042543</v>
      </c>
      <c r="R13" s="20" t="n">
        <v>0.1103165</v>
      </c>
    </row>
    <row r="14" spans="1:18">
      <c r="A14" s="15" t="s">
        <v>572</v>
      </c>
      <c r="B14" s="17" t="n">
        <v>5587</v>
      </c>
      <c r="C14" s="18">
        <f>(4432.0/B14*100)</f>
        <v/>
      </c>
      <c r="D14" s="19" t="n">
        <v>1155</v>
      </c>
      <c r="E14" s="18" t="n">
        <v>54.08396804</v>
      </c>
      <c r="F14" s="20" t="n">
        <v>1.61672602</v>
      </c>
      <c r="G14" s="18" t="n">
        <v>44.94057407</v>
      </c>
      <c r="H14" s="20" t="n">
        <v>1.67094821</v>
      </c>
      <c r="I14" s="18" t="n">
        <v>0</v>
      </c>
      <c r="J14" s="20" t="n">
        <v>0</v>
      </c>
      <c r="K14" s="18" t="n">
        <v>0.14441149</v>
      </c>
      <c r="L14" s="20" t="n">
        <v>0.09942324</v>
      </c>
      <c r="M14" s="18" t="n">
        <v>0</v>
      </c>
      <c r="N14" s="20" t="n">
        <v>0</v>
      </c>
      <c r="O14" s="18" t="n">
        <v>0</v>
      </c>
      <c r="P14" s="20" t="n">
        <v>0</v>
      </c>
      <c r="Q14" s="18" t="n">
        <v>0.8310464</v>
      </c>
      <c r="R14" s="20" t="n">
        <v>0.28938385</v>
      </c>
    </row>
    <row r="15" spans="1:18">
      <c r="A15" s="15" t="s">
        <v>573</v>
      </c>
      <c r="B15" s="17" t="n">
        <v>5882</v>
      </c>
      <c r="C15" s="18">
        <f>(4571.0/B15*100)</f>
        <v/>
      </c>
      <c r="D15" s="19" t="n">
        <v>1311</v>
      </c>
      <c r="E15" s="18" t="n">
        <v>57.19266428</v>
      </c>
      <c r="F15" s="20" t="n">
        <v>1.58662564</v>
      </c>
      <c r="G15" s="18" t="n">
        <v>42.08137598</v>
      </c>
      <c r="H15" s="20" t="n">
        <v>1.60361501</v>
      </c>
      <c r="I15" s="18" t="n">
        <v>0</v>
      </c>
      <c r="J15" s="20" t="n">
        <v>0</v>
      </c>
      <c r="K15" s="18" t="n">
        <v>0.07885285</v>
      </c>
      <c r="L15" s="20" t="n">
        <v>0.07916972</v>
      </c>
      <c r="M15" s="18" t="n">
        <v>0</v>
      </c>
      <c r="N15" s="20" t="n">
        <v>0</v>
      </c>
      <c r="O15" s="18" t="n">
        <v>0</v>
      </c>
      <c r="P15" s="20" t="n">
        <v>0</v>
      </c>
      <c r="Q15" s="18" t="n">
        <v>0.64710689</v>
      </c>
      <c r="R15" s="20" t="n">
        <v>0.21494078</v>
      </c>
    </row>
    <row r="16" spans="1:18">
      <c r="A16" s="15" t="s">
        <v>574</v>
      </c>
      <c r="B16" s="17" t="n">
        <v>6108</v>
      </c>
      <c r="C16" s="18">
        <f>(4732.0/B16*100)</f>
        <v/>
      </c>
      <c r="D16" s="19" t="n">
        <v>1376</v>
      </c>
      <c r="E16" s="18" t="n">
        <v>55.47247968</v>
      </c>
      <c r="F16" s="20" t="n">
        <v>1.35502518</v>
      </c>
      <c r="G16" s="18" t="n">
        <v>42.19986273</v>
      </c>
      <c r="H16" s="20" t="n">
        <v>1.33010785</v>
      </c>
      <c r="I16" s="18" t="n">
        <v>0</v>
      </c>
      <c r="J16" s="20" t="n">
        <v>0</v>
      </c>
      <c r="K16" s="18" t="n">
        <v>0.08478242</v>
      </c>
      <c r="L16" s="20" t="n">
        <v>0.08310713</v>
      </c>
      <c r="M16" s="18" t="n">
        <v>0</v>
      </c>
      <c r="N16" s="20" t="n">
        <v>0</v>
      </c>
      <c r="O16" s="18" t="n">
        <v>0</v>
      </c>
      <c r="P16" s="20" t="n">
        <v>0</v>
      </c>
      <c r="Q16" s="18" t="n">
        <v>2.24287516</v>
      </c>
      <c r="R16" s="20" t="n">
        <v>0.39581744</v>
      </c>
    </row>
    <row r="17" spans="1:18">
      <c r="A17" s="15" t="s">
        <v>575</v>
      </c>
      <c r="B17" s="17" t="n">
        <v>6504</v>
      </c>
      <c r="C17" s="18">
        <f>(5077.0/B17*100)</f>
        <v/>
      </c>
      <c r="D17" s="19" t="n">
        <v>1427</v>
      </c>
      <c r="E17" s="18" t="n">
        <v>60.860537</v>
      </c>
      <c r="F17" s="20" t="n">
        <v>1.48405683</v>
      </c>
      <c r="G17" s="18" t="n">
        <v>38.35723651</v>
      </c>
      <c r="H17" s="20" t="n">
        <v>1.42420557</v>
      </c>
      <c r="I17" s="18" t="n">
        <v>0</v>
      </c>
      <c r="J17" s="20" t="n">
        <v>0</v>
      </c>
      <c r="K17" s="18" t="n">
        <v>0.14329602</v>
      </c>
      <c r="L17" s="20" t="n">
        <v>0.14222774</v>
      </c>
      <c r="M17" s="18" t="n">
        <v>0</v>
      </c>
      <c r="N17" s="20" t="n">
        <v>0</v>
      </c>
      <c r="O17" s="18" t="n">
        <v>0</v>
      </c>
      <c r="P17" s="20" t="n">
        <v>0</v>
      </c>
      <c r="Q17" s="18" t="n">
        <v>0.63893047</v>
      </c>
      <c r="R17" s="20" t="n">
        <v>0.20404019</v>
      </c>
    </row>
    <row r="18" spans="1:18">
      <c r="A18" s="15" t="s">
        <v>576</v>
      </c>
      <c r="B18" s="17" t="n">
        <v>5532</v>
      </c>
      <c r="C18" s="18">
        <f>(4310.0/B18*100)</f>
        <v/>
      </c>
      <c r="D18" s="19" t="n">
        <v>1222</v>
      </c>
      <c r="E18" s="18" t="n">
        <v>59.50746669</v>
      </c>
      <c r="F18" s="20" t="n">
        <v>1.7411332</v>
      </c>
      <c r="G18" s="18" t="n">
        <v>38.72792231</v>
      </c>
      <c r="H18" s="20" t="n">
        <v>1.66393541</v>
      </c>
      <c r="I18" s="18" t="n">
        <v>0</v>
      </c>
      <c r="J18" s="20" t="n">
        <v>0</v>
      </c>
      <c r="K18" s="18" t="n">
        <v>0.24197214</v>
      </c>
      <c r="L18" s="20" t="n">
        <v>0.14218562</v>
      </c>
      <c r="M18" s="18" t="n">
        <v>0</v>
      </c>
      <c r="N18" s="20" t="n">
        <v>0</v>
      </c>
      <c r="O18" s="18" t="n">
        <v>0</v>
      </c>
      <c r="P18" s="20" t="n">
        <v>0</v>
      </c>
      <c r="Q18" s="18" t="n">
        <v>1.52263885</v>
      </c>
      <c r="R18" s="20" t="n">
        <v>0.35262575</v>
      </c>
    </row>
    <row r="19" spans="1:18">
      <c r="A19" s="15" t="s">
        <v>577</v>
      </c>
      <c r="B19" s="17" t="n">
        <v>5658</v>
      </c>
      <c r="C19" s="18">
        <f>(4368.0/B19*100)</f>
        <v/>
      </c>
      <c r="D19" s="19" t="n">
        <v>1290</v>
      </c>
      <c r="E19" s="18" t="n">
        <v>53.30871594</v>
      </c>
      <c r="F19" s="20" t="n">
        <v>1.52723441</v>
      </c>
      <c r="G19" s="18" t="n">
        <v>45.36509951</v>
      </c>
      <c r="H19" s="20" t="n">
        <v>1.50919438</v>
      </c>
      <c r="I19" s="18" t="n">
        <v>0</v>
      </c>
      <c r="J19" s="20" t="n">
        <v>0</v>
      </c>
      <c r="K19" s="18" t="n">
        <v>0</v>
      </c>
      <c r="L19" s="20" t="n">
        <v>0</v>
      </c>
      <c r="M19" s="18" t="n">
        <v>0</v>
      </c>
      <c r="N19" s="20" t="n">
        <v>0</v>
      </c>
      <c r="O19" s="18" t="n">
        <v>0</v>
      </c>
      <c r="P19" s="20" t="n">
        <v>0</v>
      </c>
      <c r="Q19" s="18" t="n">
        <v>1.32618455</v>
      </c>
      <c r="R19" s="20" t="n">
        <v>0.31413991</v>
      </c>
    </row>
    <row r="20" spans="1:18">
      <c r="A20" s="15" t="s">
        <v>578</v>
      </c>
      <c r="B20" s="17" t="n">
        <v>3371</v>
      </c>
      <c r="C20" s="18">
        <f>(2598.0/B20*100)</f>
        <v/>
      </c>
      <c r="D20" s="19" t="n">
        <v>773</v>
      </c>
      <c r="E20" s="18" t="n">
        <v>54.03194022</v>
      </c>
      <c r="F20" s="20" t="n">
        <v>1.66431464</v>
      </c>
      <c r="G20" s="18" t="n">
        <v>44.82145716</v>
      </c>
      <c r="H20" s="20" t="n">
        <v>1.61734226</v>
      </c>
      <c r="I20" s="18" t="n">
        <v>0</v>
      </c>
      <c r="J20" s="20" t="n">
        <v>0</v>
      </c>
      <c r="K20" s="18" t="n">
        <v>0.37764626</v>
      </c>
      <c r="L20" s="20" t="n">
        <v>0.20102775</v>
      </c>
      <c r="M20" s="18" t="n">
        <v>0</v>
      </c>
      <c r="N20" s="20" t="n">
        <v>0</v>
      </c>
      <c r="O20" s="18" t="n">
        <v>0</v>
      </c>
      <c r="P20" s="20" t="n">
        <v>0</v>
      </c>
      <c r="Q20" s="18" t="n">
        <v>0.76895636</v>
      </c>
      <c r="R20" s="20" t="n">
        <v>0.31156666</v>
      </c>
    </row>
    <row r="21" spans="1:18">
      <c r="A21" s="15" t="s">
        <v>579</v>
      </c>
      <c r="B21" s="17" t="n">
        <v>5741</v>
      </c>
      <c r="C21" s="18">
        <f>(4483.0/B21*100)</f>
        <v/>
      </c>
      <c r="D21" s="19" t="n">
        <v>1258</v>
      </c>
      <c r="E21" s="18" t="n">
        <v>59.26288125</v>
      </c>
      <c r="F21" s="20" t="n">
        <v>1.35437187</v>
      </c>
      <c r="G21" s="18" t="n">
        <v>40.0620046</v>
      </c>
      <c r="H21" s="20" t="n">
        <v>1.33254696</v>
      </c>
      <c r="I21" s="18" t="n">
        <v>0</v>
      </c>
      <c r="J21" s="20" t="n">
        <v>0</v>
      </c>
      <c r="K21" s="18" t="n">
        <v>0</v>
      </c>
      <c r="L21" s="20" t="n">
        <v>0</v>
      </c>
      <c r="M21" s="18" t="n">
        <v>0</v>
      </c>
      <c r="N21" s="20" t="n">
        <v>0</v>
      </c>
      <c r="O21" s="18" t="n">
        <v>0</v>
      </c>
      <c r="P21" s="20" t="n">
        <v>0</v>
      </c>
      <c r="Q21" s="18" t="n">
        <v>0.67511415</v>
      </c>
      <c r="R21" s="20" t="n">
        <v>0.23617465</v>
      </c>
    </row>
    <row r="22" spans="1:18">
      <c r="A22" s="15" t="s">
        <v>580</v>
      </c>
      <c r="B22" s="17" t="n">
        <v>6598</v>
      </c>
      <c r="C22" s="18">
        <f>(5124.0/B22*100)</f>
        <v/>
      </c>
      <c r="D22" s="19" t="n">
        <v>1474</v>
      </c>
      <c r="E22" s="18" t="n">
        <v>48.31929574</v>
      </c>
      <c r="F22" s="20" t="n">
        <v>1.56594427</v>
      </c>
      <c r="G22" s="18" t="n">
        <v>48.77804642</v>
      </c>
      <c r="H22" s="20" t="n">
        <v>1.52034254</v>
      </c>
      <c r="I22" s="18" t="n">
        <v>0</v>
      </c>
      <c r="J22" s="20" t="n">
        <v>0</v>
      </c>
      <c r="K22" s="18" t="n">
        <v>0.18518611</v>
      </c>
      <c r="L22" s="20" t="n">
        <v>0.10912434</v>
      </c>
      <c r="M22" s="18" t="n">
        <v>0</v>
      </c>
      <c r="N22" s="20" t="n">
        <v>0</v>
      </c>
      <c r="O22" s="18" t="n">
        <v>0</v>
      </c>
      <c r="P22" s="20" t="n">
        <v>0</v>
      </c>
      <c r="Q22" s="18" t="n">
        <v>2.71747173</v>
      </c>
      <c r="R22" s="20" t="n">
        <v>0.49402304</v>
      </c>
    </row>
    <row r="23" spans="1:18">
      <c r="A23" s="15" t="s">
        <v>581</v>
      </c>
      <c r="B23" s="17" t="n">
        <v>11583</v>
      </c>
      <c r="C23" s="18">
        <f>(9052.0/B23*100)</f>
        <v/>
      </c>
      <c r="D23" s="19" t="n">
        <v>2531</v>
      </c>
      <c r="E23" s="18" t="n">
        <v>53.51887044</v>
      </c>
      <c r="F23" s="20" t="n">
        <v>1.78508692</v>
      </c>
      <c r="G23" s="18" t="n">
        <v>44.70577155</v>
      </c>
      <c r="H23" s="20" t="n">
        <v>1.70693564</v>
      </c>
      <c r="I23" s="18" t="n">
        <v>0</v>
      </c>
      <c r="J23" s="20" t="n">
        <v>0</v>
      </c>
      <c r="K23" s="18" t="n">
        <v>0.42306035</v>
      </c>
      <c r="L23" s="20" t="n">
        <v>0.20779729</v>
      </c>
      <c r="M23" s="18" t="n">
        <v>0</v>
      </c>
      <c r="N23" s="20" t="n">
        <v>0</v>
      </c>
      <c r="O23" s="18" t="n">
        <v>0</v>
      </c>
      <c r="P23" s="20" t="n">
        <v>0</v>
      </c>
      <c r="Q23" s="18" t="n">
        <v>1.35229767</v>
      </c>
      <c r="R23" s="20" t="n">
        <v>0.39044318</v>
      </c>
    </row>
    <row r="24" spans="1:18">
      <c r="A24" s="15" t="s">
        <v>582</v>
      </c>
      <c r="B24" s="17" t="n">
        <v>6647</v>
      </c>
      <c r="C24" s="18">
        <f>(5157.0/B24*100)</f>
        <v/>
      </c>
      <c r="D24" s="19" t="n">
        <v>1490</v>
      </c>
      <c r="E24" s="18" t="n">
        <v>40.85531316</v>
      </c>
      <c r="F24" s="20" t="n">
        <v>1.15912668</v>
      </c>
      <c r="G24" s="18" t="n">
        <v>58.67514655</v>
      </c>
      <c r="H24" s="20" t="n">
        <v>1.15969794</v>
      </c>
      <c r="I24" s="18" t="n">
        <v>0</v>
      </c>
      <c r="J24" s="20" t="n">
        <v>0</v>
      </c>
      <c r="K24" s="18" t="n">
        <v>0.07043214</v>
      </c>
      <c r="L24" s="20" t="n">
        <v>0.06815908</v>
      </c>
      <c r="M24" s="18" t="n">
        <v>0</v>
      </c>
      <c r="N24" s="20" t="n">
        <v>0</v>
      </c>
      <c r="O24" s="18" t="n">
        <v>0</v>
      </c>
      <c r="P24" s="20" t="n">
        <v>0</v>
      </c>
      <c r="Q24" s="18" t="n">
        <v>0.39910815</v>
      </c>
      <c r="R24" s="20" t="n">
        <v>0.16148337</v>
      </c>
    </row>
    <row r="25" spans="1:18">
      <c r="A25" s="15" t="s">
        <v>583</v>
      </c>
      <c r="B25" s="17" t="n">
        <v>5581</v>
      </c>
      <c r="C25" s="18">
        <f>(4341.0/B25*100)</f>
        <v/>
      </c>
      <c r="D25" s="19" t="n">
        <v>1240</v>
      </c>
      <c r="E25" s="18" t="n">
        <v>41.77660676</v>
      </c>
      <c r="F25" s="20" t="n">
        <v>1.70148349</v>
      </c>
      <c r="G25" s="18" t="n">
        <v>57.14888</v>
      </c>
      <c r="H25" s="20" t="n">
        <v>1.74768485</v>
      </c>
      <c r="I25" s="18" t="n">
        <v>0</v>
      </c>
      <c r="J25" s="20" t="n">
        <v>0</v>
      </c>
      <c r="K25" s="18" t="n">
        <v>0.32521405</v>
      </c>
      <c r="L25" s="20" t="n">
        <v>0.21838672</v>
      </c>
      <c r="M25" s="18" t="n">
        <v>0</v>
      </c>
      <c r="N25" s="20" t="n">
        <v>0</v>
      </c>
      <c r="O25" s="18" t="n">
        <v>0</v>
      </c>
      <c r="P25" s="20" t="n">
        <v>0</v>
      </c>
      <c r="Q25" s="18" t="n">
        <v>0.7492992000000001</v>
      </c>
      <c r="R25" s="20" t="n">
        <v>0.2475124</v>
      </c>
    </row>
    <row r="26" spans="1:18">
      <c r="A26" s="15" t="s">
        <v>584</v>
      </c>
      <c r="B26" s="17" t="n">
        <v>4869</v>
      </c>
      <c r="C26" s="18">
        <f>(3798.0/B26*100)</f>
        <v/>
      </c>
      <c r="D26" s="19" t="n">
        <v>1071</v>
      </c>
      <c r="E26" s="18" t="n">
        <v>59.99059514</v>
      </c>
      <c r="F26" s="20" t="n">
        <v>1.82447841</v>
      </c>
      <c r="G26" s="18" t="n">
        <v>39.4930471</v>
      </c>
      <c r="H26" s="20" t="n">
        <v>1.82298528</v>
      </c>
      <c r="I26" s="18" t="n">
        <v>0</v>
      </c>
      <c r="J26" s="20" t="n">
        <v>0</v>
      </c>
      <c r="K26" s="18" t="n">
        <v>0</v>
      </c>
      <c r="L26" s="20" t="n">
        <v>0</v>
      </c>
      <c r="M26" s="18" t="n">
        <v>0</v>
      </c>
      <c r="N26" s="20" t="n">
        <v>0</v>
      </c>
      <c r="O26" s="18" t="n">
        <v>0</v>
      </c>
      <c r="P26" s="20" t="n">
        <v>0</v>
      </c>
      <c r="Q26" s="18" t="n">
        <v>0.51635777</v>
      </c>
      <c r="R26" s="20" t="n">
        <v>0.26876254</v>
      </c>
    </row>
    <row r="27" spans="1:18">
      <c r="A27" s="15" t="s">
        <v>585</v>
      </c>
      <c r="B27" s="17" t="n">
        <v>5299</v>
      </c>
      <c r="C27" s="18">
        <f>(4130.0/B27*100)</f>
        <v/>
      </c>
      <c r="D27" s="19" t="n">
        <v>1169</v>
      </c>
      <c r="E27" s="18" t="n">
        <v>58.96664551</v>
      </c>
      <c r="F27" s="20" t="n">
        <v>1.57517544</v>
      </c>
      <c r="G27" s="18" t="n">
        <v>39.12170423</v>
      </c>
      <c r="H27" s="20" t="n">
        <v>1.57876112</v>
      </c>
      <c r="I27" s="18" t="n">
        <v>0</v>
      </c>
      <c r="J27" s="20" t="n">
        <v>0</v>
      </c>
      <c r="K27" s="18" t="n">
        <v>0.35234247</v>
      </c>
      <c r="L27" s="20" t="n">
        <v>0.17461296</v>
      </c>
      <c r="M27" s="18" t="n">
        <v>0</v>
      </c>
      <c r="N27" s="20" t="n">
        <v>0</v>
      </c>
      <c r="O27" s="18" t="n">
        <v>0</v>
      </c>
      <c r="P27" s="20" t="n">
        <v>0</v>
      </c>
      <c r="Q27" s="18" t="n">
        <v>1.55930779</v>
      </c>
      <c r="R27" s="20" t="n">
        <v>0.3953935</v>
      </c>
    </row>
    <row r="28" spans="1:18">
      <c r="A28" s="15" t="s">
        <v>586</v>
      </c>
      <c r="B28" s="17" t="n">
        <v>7568</v>
      </c>
      <c r="C28" s="18">
        <f>(5914.0/B28*100)</f>
        <v/>
      </c>
      <c r="D28" s="19" t="n">
        <v>1654</v>
      </c>
      <c r="E28" s="18" t="n">
        <v>68.91486144</v>
      </c>
      <c r="F28" s="20" t="n">
        <v>1.44687787</v>
      </c>
      <c r="G28" s="18" t="n">
        <v>29.58748429</v>
      </c>
      <c r="H28" s="20" t="n">
        <v>1.39428971</v>
      </c>
      <c r="I28" s="18" t="n">
        <v>0</v>
      </c>
      <c r="J28" s="20" t="n">
        <v>0</v>
      </c>
      <c r="K28" s="18" t="n">
        <v>0.27354352</v>
      </c>
      <c r="L28" s="20" t="n">
        <v>0.22038624</v>
      </c>
      <c r="M28" s="18" t="n">
        <v>0</v>
      </c>
      <c r="N28" s="20" t="n">
        <v>0</v>
      </c>
      <c r="O28" s="18" t="n">
        <v>0</v>
      </c>
      <c r="P28" s="20" t="n">
        <v>0</v>
      </c>
      <c r="Q28" s="18" t="n">
        <v>1.22411075</v>
      </c>
      <c r="R28" s="20" t="n">
        <v>0.31624363</v>
      </c>
    </row>
    <row r="29" spans="1:18">
      <c r="A29" s="15" t="s">
        <v>587</v>
      </c>
      <c r="B29" s="17" t="n">
        <v>5385</v>
      </c>
      <c r="C29" s="18">
        <f>(4197.0/B29*100)</f>
        <v/>
      </c>
      <c r="D29" s="19" t="n">
        <v>1188</v>
      </c>
      <c r="E29" s="18" t="n">
        <v>55.02920308</v>
      </c>
      <c r="F29" s="20" t="n">
        <v>1.54986604</v>
      </c>
      <c r="G29" s="18" t="n">
        <v>44.15964752</v>
      </c>
      <c r="H29" s="20" t="n">
        <v>1.55581335</v>
      </c>
      <c r="I29" s="18" t="n">
        <v>0</v>
      </c>
      <c r="J29" s="20" t="n">
        <v>0</v>
      </c>
      <c r="K29" s="18" t="n">
        <v>0.06547995</v>
      </c>
      <c r="L29" s="20" t="n">
        <v>0.06484348</v>
      </c>
      <c r="M29" s="18" t="n">
        <v>0</v>
      </c>
      <c r="N29" s="20" t="n">
        <v>0</v>
      </c>
      <c r="O29" s="18" t="n">
        <v>0</v>
      </c>
      <c r="P29" s="20" t="n">
        <v>0</v>
      </c>
      <c r="Q29" s="18" t="n">
        <v>0.74566945</v>
      </c>
      <c r="R29" s="20" t="n">
        <v>0.2360986</v>
      </c>
    </row>
    <row r="30" spans="1:18">
      <c r="A30" s="15" t="s">
        <v>588</v>
      </c>
      <c r="B30" s="17" t="n">
        <v>4520</v>
      </c>
      <c r="C30" s="18">
        <f>(3496.0/B30*100)</f>
        <v/>
      </c>
      <c r="D30" s="19" t="n">
        <v>1024</v>
      </c>
      <c r="E30" s="18" t="n">
        <v>51.40023851</v>
      </c>
      <c r="F30" s="20" t="n">
        <v>1.48733539</v>
      </c>
      <c r="G30" s="18" t="n">
        <v>47.09456807</v>
      </c>
      <c r="H30" s="20" t="n">
        <v>1.50854045</v>
      </c>
      <c r="I30" s="18" t="n">
        <v>0</v>
      </c>
      <c r="J30" s="20" t="n">
        <v>0</v>
      </c>
      <c r="K30" s="18" t="n">
        <v>0.2723527</v>
      </c>
      <c r="L30" s="20" t="n">
        <v>0.15734506</v>
      </c>
      <c r="M30" s="18" t="n">
        <v>0</v>
      </c>
      <c r="N30" s="20" t="n">
        <v>0</v>
      </c>
      <c r="O30" s="18" t="n">
        <v>0</v>
      </c>
      <c r="P30" s="20" t="n">
        <v>0</v>
      </c>
      <c r="Q30" s="18" t="n">
        <v>1.23284072</v>
      </c>
      <c r="R30" s="20" t="n">
        <v>0.31622721</v>
      </c>
    </row>
    <row r="31" spans="1:18">
      <c r="A31" s="15" t="s">
        <v>589</v>
      </c>
      <c r="B31" s="17" t="n">
        <v>5456</v>
      </c>
      <c r="C31" s="18">
        <f>(4223.0/B31*100)</f>
        <v/>
      </c>
      <c r="D31" s="19" t="n">
        <v>1233</v>
      </c>
      <c r="E31" s="18" t="n">
        <v>43.66184779</v>
      </c>
      <c r="F31" s="20" t="n">
        <v>1.53191809</v>
      </c>
      <c r="G31" s="18" t="n">
        <v>54.67803318</v>
      </c>
      <c r="H31" s="20" t="n">
        <v>1.53787322</v>
      </c>
      <c r="I31" s="18" t="n">
        <v>0</v>
      </c>
      <c r="J31" s="20" t="n">
        <v>0</v>
      </c>
      <c r="K31" s="18" t="n">
        <v>0.1711588</v>
      </c>
      <c r="L31" s="20" t="n">
        <v>0.12430518</v>
      </c>
      <c r="M31" s="18" t="n">
        <v>0</v>
      </c>
      <c r="N31" s="20" t="n">
        <v>0</v>
      </c>
      <c r="O31" s="18" t="n">
        <v>0</v>
      </c>
      <c r="P31" s="20" t="n">
        <v>0</v>
      </c>
      <c r="Q31" s="18" t="n">
        <v>1.48896023</v>
      </c>
      <c r="R31" s="20" t="n">
        <v>0.29546517</v>
      </c>
    </row>
    <row r="32" spans="1:18">
      <c r="A32" s="15" t="s">
        <v>590</v>
      </c>
      <c r="B32" s="17" t="n">
        <v>4478</v>
      </c>
      <c r="C32" s="18">
        <f>(3478.0/B32*100)</f>
        <v/>
      </c>
      <c r="D32" s="19" t="n">
        <v>1000</v>
      </c>
      <c r="E32" s="18" t="n">
        <v>38.85343255</v>
      </c>
      <c r="F32" s="20" t="n">
        <v>1.42194332</v>
      </c>
      <c r="G32" s="18" t="n">
        <v>60.94627234</v>
      </c>
      <c r="H32" s="20" t="n">
        <v>1.45310715</v>
      </c>
      <c r="I32" s="18" t="n">
        <v>0</v>
      </c>
      <c r="J32" s="20" t="n">
        <v>0</v>
      </c>
      <c r="K32" s="18" t="n">
        <v>0</v>
      </c>
      <c r="L32" s="20" t="n">
        <v>0</v>
      </c>
      <c r="M32" s="18" t="n">
        <v>0</v>
      </c>
      <c r="N32" s="20" t="n">
        <v>0</v>
      </c>
      <c r="O32" s="18" t="n">
        <v>0</v>
      </c>
      <c r="P32" s="20" t="n">
        <v>0</v>
      </c>
      <c r="Q32" s="18" t="n">
        <v>0.20029511</v>
      </c>
      <c r="R32" s="20" t="n">
        <v>0.14176489</v>
      </c>
    </row>
    <row r="33" spans="1:18">
      <c r="A33" s="15" t="s">
        <v>591</v>
      </c>
      <c r="B33" s="17" t="n">
        <v>7325</v>
      </c>
      <c r="C33" s="18">
        <f>(5748.0/B33*100)</f>
        <v/>
      </c>
      <c r="D33" s="19" t="n">
        <v>1577</v>
      </c>
      <c r="E33" s="18" t="n">
        <v>50.19232222</v>
      </c>
      <c r="F33" s="20" t="n">
        <v>1.71879618</v>
      </c>
      <c r="G33" s="18" t="n">
        <v>49.19716579</v>
      </c>
      <c r="H33" s="20" t="n">
        <v>1.69449994</v>
      </c>
      <c r="I33" s="18" t="n">
        <v>0</v>
      </c>
      <c r="J33" s="20" t="n">
        <v>0</v>
      </c>
      <c r="K33" s="18" t="n">
        <v>0.1264336</v>
      </c>
      <c r="L33" s="20" t="n">
        <v>0.14982745</v>
      </c>
      <c r="M33" s="18" t="n">
        <v>0</v>
      </c>
      <c r="N33" s="20" t="n">
        <v>0</v>
      </c>
      <c r="O33" s="18" t="n">
        <v>0</v>
      </c>
      <c r="P33" s="20" t="n">
        <v>0</v>
      </c>
      <c r="Q33" s="18" t="n">
        <v>0.48407839</v>
      </c>
      <c r="R33" s="20" t="n">
        <v>0.17412235</v>
      </c>
    </row>
    <row r="34" spans="1:18">
      <c r="A34" s="15" t="s">
        <v>592</v>
      </c>
      <c r="B34" s="17" t="n">
        <v>6350</v>
      </c>
      <c r="C34" s="18">
        <f>(4933.0/B34*100)</f>
        <v/>
      </c>
      <c r="D34" s="19" t="n">
        <v>1417</v>
      </c>
      <c r="E34" s="18" t="n">
        <v>58.02506785</v>
      </c>
      <c r="F34" s="20" t="n">
        <v>1.4288794</v>
      </c>
      <c r="G34" s="18" t="n">
        <v>40.99683301</v>
      </c>
      <c r="H34" s="20" t="n">
        <v>1.4391563</v>
      </c>
      <c r="I34" s="18" t="n">
        <v>0</v>
      </c>
      <c r="J34" s="20" t="n">
        <v>0</v>
      </c>
      <c r="K34" s="18" t="n">
        <v>0.12710264</v>
      </c>
      <c r="L34" s="20" t="n">
        <v>0.08976886000000001</v>
      </c>
      <c r="M34" s="18" t="n">
        <v>0</v>
      </c>
      <c r="N34" s="20" t="n">
        <v>0</v>
      </c>
      <c r="O34" s="18" t="n">
        <v>0</v>
      </c>
      <c r="P34" s="20" t="n">
        <v>0</v>
      </c>
      <c r="Q34" s="18" t="n">
        <v>0.8509965</v>
      </c>
      <c r="R34" s="20" t="n">
        <v>0.27060961</v>
      </c>
    </row>
    <row r="35" spans="1:18">
      <c r="A35" s="15" t="s">
        <v>593</v>
      </c>
      <c r="B35" s="17" t="n">
        <v>6406</v>
      </c>
      <c r="C35" s="18">
        <f>(5027.0/B35*100)</f>
        <v/>
      </c>
      <c r="D35" s="19" t="n">
        <v>1379</v>
      </c>
      <c r="E35" s="18" t="n">
        <v>43.6814505</v>
      </c>
      <c r="F35" s="20" t="n">
        <v>1.76201312</v>
      </c>
      <c r="G35" s="18" t="n">
        <v>55.26930735</v>
      </c>
      <c r="H35" s="20" t="n">
        <v>1.79329633</v>
      </c>
      <c r="I35" s="18" t="n">
        <v>0</v>
      </c>
      <c r="J35" s="20" t="n">
        <v>0</v>
      </c>
      <c r="K35" s="18" t="n">
        <v>0.48228341</v>
      </c>
      <c r="L35" s="20" t="n">
        <v>0.36615098</v>
      </c>
      <c r="M35" s="18" t="n">
        <v>0</v>
      </c>
      <c r="N35" s="20" t="n">
        <v>0</v>
      </c>
      <c r="O35" s="18" t="n">
        <v>0</v>
      </c>
      <c r="P35" s="20" t="n">
        <v>0</v>
      </c>
      <c r="Q35" s="18" t="n">
        <v>0.56695874</v>
      </c>
      <c r="R35" s="20" t="n">
        <v>0.19785705</v>
      </c>
    </row>
    <row r="36" spans="1:18">
      <c r="A36" s="15" t="s">
        <v>594</v>
      </c>
      <c r="B36" s="17" t="n">
        <v>6736</v>
      </c>
      <c r="C36" s="18">
        <f>(5267.0/B36*100)</f>
        <v/>
      </c>
      <c r="D36" s="19" t="n">
        <v>1469</v>
      </c>
      <c r="E36" s="18" t="n">
        <v>49.18066534</v>
      </c>
      <c r="F36" s="20" t="n">
        <v>1.47466459</v>
      </c>
      <c r="G36" s="18" t="n">
        <v>49.82374217</v>
      </c>
      <c r="H36" s="20" t="n">
        <v>1.44471745</v>
      </c>
      <c r="I36" s="18" t="n">
        <v>0</v>
      </c>
      <c r="J36" s="20" t="n">
        <v>0</v>
      </c>
      <c r="K36" s="18" t="n">
        <v>0.0974985</v>
      </c>
      <c r="L36" s="20" t="n">
        <v>0.10266858</v>
      </c>
      <c r="M36" s="18" t="n">
        <v>0</v>
      </c>
      <c r="N36" s="20" t="n">
        <v>0</v>
      </c>
      <c r="O36" s="18" t="n">
        <v>0</v>
      </c>
      <c r="P36" s="20" t="n">
        <v>0</v>
      </c>
      <c r="Q36" s="18" t="n">
        <v>0.8980939999999999</v>
      </c>
      <c r="R36" s="20" t="n">
        <v>0.27259792</v>
      </c>
    </row>
    <row r="37" spans="1:18">
      <c r="A37" s="15" t="s">
        <v>595</v>
      </c>
      <c r="B37" s="17" t="n">
        <v>5458</v>
      </c>
      <c r="C37" s="18">
        <f>(4260.0/B37*100)</f>
        <v/>
      </c>
      <c r="D37" s="19" t="n">
        <v>1198</v>
      </c>
      <c r="E37" s="18" t="n">
        <v>50.16149549</v>
      </c>
      <c r="F37" s="20" t="n">
        <v>1.43880447</v>
      </c>
      <c r="G37" s="18" t="n">
        <v>47.77075716</v>
      </c>
      <c r="H37" s="20" t="n">
        <v>1.49345863</v>
      </c>
      <c r="I37" s="18" t="n">
        <v>0</v>
      </c>
      <c r="J37" s="20" t="n">
        <v>0</v>
      </c>
      <c r="K37" s="18" t="n">
        <v>0.17352692</v>
      </c>
      <c r="L37" s="20" t="n">
        <v>0.12370459</v>
      </c>
      <c r="M37" s="18" t="n">
        <v>0</v>
      </c>
      <c r="N37" s="20" t="n">
        <v>0</v>
      </c>
      <c r="O37" s="18" t="n">
        <v>0</v>
      </c>
      <c r="P37" s="20" t="n">
        <v>0</v>
      </c>
      <c r="Q37" s="18" t="n">
        <v>1.89422043</v>
      </c>
      <c r="R37" s="20" t="n">
        <v>0.47599271</v>
      </c>
    </row>
    <row r="38" spans="1:18">
      <c r="A38" s="15" t="s">
        <v>596</v>
      </c>
      <c r="B38" s="17" t="n">
        <v>5860</v>
      </c>
      <c r="C38" s="18">
        <f>(4609.0/B38*100)</f>
        <v/>
      </c>
      <c r="D38" s="19" t="n">
        <v>1251</v>
      </c>
      <c r="E38" s="18" t="n">
        <v>54.74628467</v>
      </c>
      <c r="F38" s="20" t="n">
        <v>1.50652485</v>
      </c>
      <c r="G38" s="18" t="n">
        <v>43.87960488</v>
      </c>
      <c r="H38" s="20" t="n">
        <v>1.5554142</v>
      </c>
      <c r="I38" s="18" t="n">
        <v>0</v>
      </c>
      <c r="J38" s="20" t="n">
        <v>0</v>
      </c>
      <c r="K38" s="18" t="n">
        <v>0</v>
      </c>
      <c r="L38" s="20" t="n">
        <v>0</v>
      </c>
      <c r="M38" s="18" t="n">
        <v>0</v>
      </c>
      <c r="N38" s="20" t="n">
        <v>0</v>
      </c>
      <c r="O38" s="18" t="n">
        <v>0</v>
      </c>
      <c r="P38" s="20" t="n">
        <v>0</v>
      </c>
      <c r="Q38" s="18" t="n">
        <v>1.37411045</v>
      </c>
      <c r="R38" s="20" t="n">
        <v>0.47663091</v>
      </c>
    </row>
    <row r="39" spans="1:18">
      <c r="A39" s="15" t="s">
        <v>597</v>
      </c>
      <c r="B39" s="17" t="n">
        <v>5895</v>
      </c>
      <c r="C39" s="18">
        <f>(4566.0/B39*100)</f>
        <v/>
      </c>
      <c r="D39" s="19" t="n">
        <v>1329</v>
      </c>
      <c r="E39" s="18" t="n">
        <v>46.09820363</v>
      </c>
      <c r="F39" s="20" t="n">
        <v>1.67425113</v>
      </c>
      <c r="G39" s="18" t="n">
        <v>52.84081012</v>
      </c>
      <c r="H39" s="20" t="n">
        <v>1.69022718</v>
      </c>
      <c r="I39" s="18" t="n">
        <v>0</v>
      </c>
      <c r="J39" s="20" t="n">
        <v>0</v>
      </c>
      <c r="K39" s="18" t="n">
        <v>0.09375702</v>
      </c>
      <c r="L39" s="20" t="n">
        <v>0.08862903</v>
      </c>
      <c r="M39" s="18" t="n">
        <v>0</v>
      </c>
      <c r="N39" s="20" t="n">
        <v>0</v>
      </c>
      <c r="O39" s="18" t="n">
        <v>0</v>
      </c>
      <c r="P39" s="20" t="n">
        <v>0</v>
      </c>
      <c r="Q39" s="18" t="n">
        <v>0.9672292300000001</v>
      </c>
      <c r="R39" s="20" t="n">
        <v>0.27842434</v>
      </c>
    </row>
    <row r="40" spans="1:18">
      <c r="A40" s="15" t="s">
        <v>598</v>
      </c>
      <c r="B40" s="17" t="n">
        <v>14157</v>
      </c>
      <c r="C40" s="18">
        <f>(11029.0/B40*100)</f>
        <v/>
      </c>
      <c r="D40" s="19" t="n">
        <v>3128</v>
      </c>
      <c r="E40" s="18" t="n">
        <v>62.64479183</v>
      </c>
      <c r="F40" s="20" t="n">
        <v>1.35126527</v>
      </c>
      <c r="G40" s="18" t="n">
        <v>35.9171528</v>
      </c>
      <c r="H40" s="20" t="n">
        <v>1.32514012</v>
      </c>
      <c r="I40" s="18" t="n">
        <v>0</v>
      </c>
      <c r="J40" s="20" t="n">
        <v>0</v>
      </c>
      <c r="K40" s="18" t="n">
        <v>0.22833483</v>
      </c>
      <c r="L40" s="20" t="n">
        <v>0.14898245</v>
      </c>
      <c r="M40" s="18" t="n">
        <v>0</v>
      </c>
      <c r="N40" s="20" t="n">
        <v>0</v>
      </c>
      <c r="O40" s="18" t="n">
        <v>0</v>
      </c>
      <c r="P40" s="20" t="n">
        <v>0</v>
      </c>
      <c r="Q40" s="18" t="n">
        <v>1.20972053</v>
      </c>
      <c r="R40" s="20" t="n">
        <v>0.26792221</v>
      </c>
    </row>
    <row r="41" spans="1:18">
      <c r="A41" s="15" t="s">
        <v>599</v>
      </c>
      <c r="B41" s="17" t="n">
        <v>5712</v>
      </c>
      <c r="C41" s="18">
        <f>(4469.0/B41*100)</f>
        <v/>
      </c>
      <c r="D41" s="19" t="n">
        <v>1243</v>
      </c>
      <c r="E41" s="18" t="n">
        <v>57.02208131</v>
      </c>
      <c r="F41" s="20" t="n">
        <v>1.34975705</v>
      </c>
      <c r="G41" s="18" t="n">
        <v>42.207675</v>
      </c>
      <c r="H41" s="20" t="n">
        <v>1.35109811</v>
      </c>
      <c r="I41" s="18" t="n">
        <v>0</v>
      </c>
      <c r="J41" s="20" t="n">
        <v>0</v>
      </c>
      <c r="K41" s="18" t="n">
        <v>0.03266917</v>
      </c>
      <c r="L41" s="20" t="n">
        <v>0.03286273</v>
      </c>
      <c r="M41" s="18" t="n">
        <v>0</v>
      </c>
      <c r="N41" s="20" t="n">
        <v>0</v>
      </c>
      <c r="O41" s="18" t="n">
        <v>0</v>
      </c>
      <c r="P41" s="20" t="n">
        <v>0</v>
      </c>
      <c r="Q41" s="18" t="n">
        <v>0.73757452</v>
      </c>
      <c r="R41" s="20" t="n">
        <v>0.55597195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(18607.0/B46*100)</f>
        <v/>
      </c>
      <c r="D46" s="19" t="n">
        <v>4534</v>
      </c>
      <c r="E46" s="18" t="n">
        <v>63.43917296</v>
      </c>
      <c r="F46" s="20" t="n">
        <v>1.07640564</v>
      </c>
      <c r="G46" s="18" t="n">
        <v>33.58099973</v>
      </c>
      <c r="H46" s="20" t="n">
        <v>1.12174594</v>
      </c>
      <c r="I46" s="18" t="n">
        <v>0</v>
      </c>
      <c r="J46" s="20" t="n">
        <v>0</v>
      </c>
      <c r="K46" s="18" t="n">
        <v>0.53745599</v>
      </c>
      <c r="L46" s="20" t="n">
        <v>0.13134102</v>
      </c>
      <c r="M46" s="18" t="n">
        <v>0</v>
      </c>
      <c r="N46" s="20" t="n">
        <v>0</v>
      </c>
      <c r="O46" s="18" t="n">
        <v>0</v>
      </c>
      <c r="P46" s="20" t="n">
        <v>0</v>
      </c>
      <c r="Q46" s="18" t="n">
        <v>2.44237133</v>
      </c>
      <c r="R46" s="20" t="n">
        <v>0.31263563</v>
      </c>
    </row>
    <row r="47" spans="1:18">
      <c r="A47" s="15" t="s">
        <v>606</v>
      </c>
      <c r="B47" s="17" t="n">
        <v>5928</v>
      </c>
      <c r="C47" s="18">
        <f>(4582.0/B47*100)</f>
        <v/>
      </c>
      <c r="D47" s="19" t="n">
        <v>1346</v>
      </c>
      <c r="E47" s="18" t="n">
        <v>57.31594506</v>
      </c>
      <c r="F47" s="20" t="n">
        <v>1.66462912</v>
      </c>
      <c r="G47" s="18" t="n">
        <v>41.54013705</v>
      </c>
      <c r="H47" s="20" t="n">
        <v>1.66632125</v>
      </c>
      <c r="I47" s="18" t="n">
        <v>0</v>
      </c>
      <c r="J47" s="20" t="n">
        <v>0</v>
      </c>
      <c r="K47" s="18" t="n">
        <v>0.13070616</v>
      </c>
      <c r="L47" s="20" t="n">
        <v>0.09204498999999999</v>
      </c>
      <c r="M47" s="18" t="n">
        <v>0</v>
      </c>
      <c r="N47" s="20" t="n">
        <v>0</v>
      </c>
      <c r="O47" s="18" t="n">
        <v>0</v>
      </c>
      <c r="P47" s="20" t="n">
        <v>0</v>
      </c>
      <c r="Q47" s="18" t="n">
        <v>1.01321173</v>
      </c>
      <c r="R47" s="20" t="n">
        <v>0.19579584</v>
      </c>
    </row>
    <row r="48" spans="1:18">
      <c r="A48" s="15" t="s">
        <v>607</v>
      </c>
      <c r="B48" s="17" t="n">
        <v>9841</v>
      </c>
      <c r="C48" s="18">
        <f>(7656.0/B48*100)</f>
        <v/>
      </c>
      <c r="D48" s="19" t="n">
        <v>2185</v>
      </c>
      <c r="E48" s="18" t="n">
        <v>61.16155255</v>
      </c>
      <c r="F48" s="20" t="n">
        <v>1.87659833</v>
      </c>
      <c r="G48" s="18" t="n">
        <v>37.1683062</v>
      </c>
      <c r="H48" s="20" t="n">
        <v>1.9281829</v>
      </c>
      <c r="I48" s="18" t="n">
        <v>0</v>
      </c>
      <c r="J48" s="20" t="n">
        <v>0</v>
      </c>
      <c r="K48" s="18" t="n">
        <v>0.21236419</v>
      </c>
      <c r="L48" s="20" t="n">
        <v>0.13466383</v>
      </c>
      <c r="M48" s="18" t="n">
        <v>0</v>
      </c>
      <c r="N48" s="20" t="n">
        <v>0</v>
      </c>
      <c r="O48" s="18" t="n">
        <v>0</v>
      </c>
      <c r="P48" s="20" t="n">
        <v>0</v>
      </c>
      <c r="Q48" s="18" t="n">
        <v>1.45777706</v>
      </c>
      <c r="R48" s="20" t="n">
        <v>0.28031524</v>
      </c>
    </row>
    <row r="49" spans="1:18">
      <c r="A49" s="15" t="s">
        <v>608</v>
      </c>
      <c r="B49" s="17" t="n">
        <v>11795</v>
      </c>
      <c r="C49" s="18">
        <f>(9240.0/B49*100)</f>
        <v/>
      </c>
      <c r="D49" s="19" t="n">
        <v>2555</v>
      </c>
      <c r="E49" s="18" t="n">
        <v>73.22540689</v>
      </c>
      <c r="F49" s="20" t="n">
        <v>1.29348215</v>
      </c>
      <c r="G49" s="18" t="n">
        <v>25.86281563</v>
      </c>
      <c r="H49" s="20" t="n">
        <v>1.28554912</v>
      </c>
      <c r="I49" s="18" t="n">
        <v>0</v>
      </c>
      <c r="J49" s="20" t="n">
        <v>0</v>
      </c>
      <c r="K49" s="18" t="n">
        <v>0.26249362</v>
      </c>
      <c r="L49" s="20" t="n">
        <v>0.12150942</v>
      </c>
      <c r="M49" s="18" t="n">
        <v>0</v>
      </c>
      <c r="N49" s="20" t="n">
        <v>0</v>
      </c>
      <c r="O49" s="18" t="n">
        <v>0</v>
      </c>
      <c r="P49" s="20" t="n">
        <v>0</v>
      </c>
      <c r="Q49" s="18" t="n">
        <v>0.64928386</v>
      </c>
      <c r="R49" s="20" t="n">
        <v>0.20456861</v>
      </c>
    </row>
    <row r="50" spans="1:18">
      <c r="A50" s="15" t="s">
        <v>609</v>
      </c>
      <c r="B50" s="17" t="n">
        <v>6866</v>
      </c>
      <c r="C50" s="18">
        <f>(5562.0/B50*100)</f>
        <v/>
      </c>
      <c r="D50" s="19" t="n">
        <v>1304</v>
      </c>
      <c r="E50" s="18" t="n">
        <v>64.55379354</v>
      </c>
      <c r="F50" s="20" t="n">
        <v>1.47603737</v>
      </c>
      <c r="G50" s="18" t="n">
        <v>33.69701265</v>
      </c>
      <c r="H50" s="20" t="n">
        <v>1.49351868</v>
      </c>
      <c r="I50" s="18" t="n">
        <v>0</v>
      </c>
      <c r="J50" s="20" t="n">
        <v>0</v>
      </c>
      <c r="K50" s="18" t="n">
        <v>0.11141509</v>
      </c>
      <c r="L50" s="20" t="n">
        <v>0.08333357</v>
      </c>
      <c r="M50" s="18" t="n">
        <v>0</v>
      </c>
      <c r="N50" s="20" t="n">
        <v>0</v>
      </c>
      <c r="O50" s="18" t="n">
        <v>0</v>
      </c>
      <c r="P50" s="20" t="n">
        <v>0</v>
      </c>
      <c r="Q50" s="18" t="n">
        <v>1.63777873</v>
      </c>
      <c r="R50" s="20" t="n">
        <v>0.40734968</v>
      </c>
    </row>
    <row r="51" spans="1:18">
      <c r="A51" s="15" t="s">
        <v>610</v>
      </c>
      <c r="B51" s="17" t="n">
        <v>5809</v>
      </c>
      <c r="C51" s="18">
        <f>(4569.0/B51*100)</f>
        <v/>
      </c>
      <c r="D51" s="19" t="n">
        <v>1240</v>
      </c>
      <c r="E51" s="18" t="n">
        <v>58.28586318</v>
      </c>
      <c r="F51" s="20" t="n">
        <v>1.50366933</v>
      </c>
      <c r="G51" s="18" t="n">
        <v>40.75831293</v>
      </c>
      <c r="H51" s="20" t="n">
        <v>1.52010609</v>
      </c>
      <c r="I51" s="18" t="n">
        <v>0</v>
      </c>
      <c r="J51" s="20" t="n">
        <v>0</v>
      </c>
      <c r="K51" s="18" t="n">
        <v>0</v>
      </c>
      <c r="L51" s="20" t="n">
        <v>0</v>
      </c>
      <c r="M51" s="18" t="n">
        <v>0</v>
      </c>
      <c r="N51" s="20" t="n">
        <v>0</v>
      </c>
      <c r="O51" s="18" t="n">
        <v>0</v>
      </c>
      <c r="P51" s="20" t="n">
        <v>0</v>
      </c>
      <c r="Q51" s="18" t="n">
        <v>0.9558238999999999</v>
      </c>
      <c r="R51" s="20" t="n">
        <v>0.26623689</v>
      </c>
    </row>
    <row r="52" spans="1:18">
      <c r="A52" s="15" t="s">
        <v>611</v>
      </c>
      <c r="B52" s="17" t="n">
        <v>5571</v>
      </c>
      <c r="C52" s="18">
        <f>(4383.0/B52*100)</f>
        <v/>
      </c>
      <c r="D52" s="19" t="n">
        <v>1188</v>
      </c>
      <c r="E52" s="18" t="n">
        <v>69.99335381</v>
      </c>
      <c r="F52" s="20" t="n">
        <v>1.44549633</v>
      </c>
      <c r="G52" s="18" t="n">
        <v>27.98602425</v>
      </c>
      <c r="H52" s="20" t="n">
        <v>1.43679038</v>
      </c>
      <c r="I52" s="18" t="n">
        <v>0</v>
      </c>
      <c r="J52" s="20" t="n">
        <v>0</v>
      </c>
      <c r="K52" s="18" t="n">
        <v>0.29540991</v>
      </c>
      <c r="L52" s="20" t="n">
        <v>0.15481179</v>
      </c>
      <c r="M52" s="18" t="n">
        <v>0</v>
      </c>
      <c r="N52" s="20" t="n">
        <v>0</v>
      </c>
      <c r="O52" s="18" t="n">
        <v>0</v>
      </c>
      <c r="P52" s="20" t="n">
        <v>0</v>
      </c>
      <c r="Q52" s="18" t="n">
        <v>1.72521204</v>
      </c>
      <c r="R52" s="20" t="n">
        <v>0.40371958</v>
      </c>
    </row>
    <row r="53" spans="1:18">
      <c r="A53" s="15" t="s">
        <v>612</v>
      </c>
      <c r="B53" s="17" t="n">
        <v>4740</v>
      </c>
      <c r="C53" s="18">
        <f>(3665.0/B53*100)</f>
        <v/>
      </c>
      <c r="D53" s="19" t="n">
        <v>1075</v>
      </c>
      <c r="E53" s="18" t="n">
        <v>64.41421984999999</v>
      </c>
      <c r="F53" s="20" t="n">
        <v>1.58433987</v>
      </c>
      <c r="G53" s="18" t="n">
        <v>21.63765275</v>
      </c>
      <c r="H53" s="20" t="n">
        <v>1.41041753</v>
      </c>
      <c r="I53" s="18" t="n">
        <v>0</v>
      </c>
      <c r="J53" s="20" t="n">
        <v>0</v>
      </c>
      <c r="K53" s="18" t="n">
        <v>10.62120991</v>
      </c>
      <c r="L53" s="20" t="n">
        <v>0.94994558</v>
      </c>
      <c r="M53" s="18" t="n">
        <v>0</v>
      </c>
      <c r="N53" s="20" t="n">
        <v>0</v>
      </c>
      <c r="O53" s="18" t="n">
        <v>0</v>
      </c>
      <c r="P53" s="20" t="n">
        <v>0</v>
      </c>
      <c r="Q53" s="18" t="n">
        <v>3.3269175</v>
      </c>
      <c r="R53" s="20" t="n">
        <v>0.6736422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(4172.0/B55*100)</f>
        <v/>
      </c>
      <c r="D55" s="19" t="n">
        <v>1187</v>
      </c>
      <c r="E55" s="18" t="n">
        <v>47.56077046</v>
      </c>
      <c r="F55" s="20" t="n">
        <v>1.67373548</v>
      </c>
      <c r="G55" s="18" t="n">
        <v>52.10886009</v>
      </c>
      <c r="H55" s="20" t="n">
        <v>1.72572961</v>
      </c>
      <c r="I55" s="18" t="n">
        <v>0</v>
      </c>
      <c r="J55" s="20" t="n">
        <v>0</v>
      </c>
      <c r="K55" s="18" t="n">
        <v>0.14802727</v>
      </c>
      <c r="L55" s="20" t="n">
        <v>0.11149785</v>
      </c>
      <c r="M55" s="18" t="n">
        <v>0</v>
      </c>
      <c r="N55" s="20" t="n">
        <v>0</v>
      </c>
      <c r="O55" s="18" t="n">
        <v>0</v>
      </c>
      <c r="P55" s="20" t="n">
        <v>0</v>
      </c>
      <c r="Q55" s="18" t="n">
        <v>0.18234217</v>
      </c>
      <c r="R55" s="20" t="n">
        <v>0.14308487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(5073.0/B61*100)</f>
        <v/>
      </c>
      <c r="D61" s="19" t="n">
        <v>1452</v>
      </c>
      <c r="E61" s="18" t="n">
        <v>49.10747641</v>
      </c>
      <c r="F61" s="20" t="n">
        <v>1.58337919</v>
      </c>
      <c r="G61" s="18" t="n">
        <v>49.49321648</v>
      </c>
      <c r="H61" s="20" t="n">
        <v>1.54580229</v>
      </c>
      <c r="I61" s="18" t="n">
        <v>0</v>
      </c>
      <c r="J61" s="20" t="n">
        <v>0</v>
      </c>
      <c r="K61" s="18" t="n">
        <v>0.16756196</v>
      </c>
      <c r="L61" s="20" t="n">
        <v>0.10521185</v>
      </c>
      <c r="M61" s="18" t="n">
        <v>0</v>
      </c>
      <c r="N61" s="20" t="n">
        <v>0</v>
      </c>
      <c r="O61" s="18" t="n">
        <v>0</v>
      </c>
      <c r="P61" s="20" t="n">
        <v>0</v>
      </c>
      <c r="Q61" s="18" t="n">
        <v>1.23174515</v>
      </c>
      <c r="R61" s="20" t="n">
        <v>0.32184504</v>
      </c>
    </row>
    <row r="62" spans="1:18">
      <c r="A62" s="15" t="s">
        <v>622</v>
      </c>
      <c r="B62" s="17" t="n">
        <v>4476</v>
      </c>
      <c r="C62" s="18">
        <f>(3508.0/B62*100)</f>
        <v/>
      </c>
      <c r="D62" s="19" t="n">
        <v>968</v>
      </c>
      <c r="E62" s="18" t="n">
        <v>58.60219563</v>
      </c>
      <c r="F62" s="20" t="n">
        <v>1.64904914</v>
      </c>
      <c r="G62" s="18" t="n">
        <v>41.08632931</v>
      </c>
      <c r="H62" s="20" t="n">
        <v>1.64760962</v>
      </c>
      <c r="I62" s="18" t="n">
        <v>0</v>
      </c>
      <c r="J62" s="20" t="n">
        <v>0</v>
      </c>
      <c r="K62" s="18" t="n">
        <v>0.10618449</v>
      </c>
      <c r="L62" s="20" t="n">
        <v>0.10644555</v>
      </c>
      <c r="M62" s="18" t="n">
        <v>0</v>
      </c>
      <c r="N62" s="20" t="n">
        <v>0</v>
      </c>
      <c r="O62" s="18" t="n">
        <v>0</v>
      </c>
      <c r="P62" s="20" t="n">
        <v>0</v>
      </c>
      <c r="Q62" s="18" t="n">
        <v>0.20529057</v>
      </c>
      <c r="R62" s="20" t="n">
        <v>0.14448263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(4405.0/B67*100)</f>
        <v/>
      </c>
      <c r="D67" s="19" t="n">
        <v>1260</v>
      </c>
      <c r="E67" s="18" t="n">
        <v>56.27912225</v>
      </c>
      <c r="F67" s="20" t="n">
        <v>1.28117801</v>
      </c>
      <c r="G67" s="18" t="n">
        <v>38.94177031</v>
      </c>
      <c r="H67" s="20" t="n">
        <v>1.29806467</v>
      </c>
      <c r="I67" s="18" t="n">
        <v>0</v>
      </c>
      <c r="J67" s="20" t="n">
        <v>0</v>
      </c>
      <c r="K67" s="18" t="n">
        <v>0.45442875</v>
      </c>
      <c r="L67" s="20" t="n">
        <v>0.14785933</v>
      </c>
      <c r="M67" s="18" t="n">
        <v>0</v>
      </c>
      <c r="N67" s="20" t="n">
        <v>0</v>
      </c>
      <c r="O67" s="18" t="n">
        <v>0</v>
      </c>
      <c r="P67" s="20" t="n">
        <v>0</v>
      </c>
      <c r="Q67" s="18" t="n">
        <v>4.3246787</v>
      </c>
      <c r="R67" s="20" t="n">
        <v>0.56834746</v>
      </c>
    </row>
    <row r="68" spans="1:18">
      <c r="A68" s="15" t="s">
        <v>628</v>
      </c>
      <c r="B68" s="17" t="n">
        <v>6971</v>
      </c>
      <c r="C68" s="18">
        <f>(5485.0/B68*100)</f>
        <v/>
      </c>
      <c r="D68" s="19" t="n">
        <v>1486</v>
      </c>
      <c r="E68" s="18" t="n">
        <v>74.79547667999999</v>
      </c>
      <c r="F68" s="20" t="n">
        <v>1.11812008</v>
      </c>
      <c r="G68" s="18" t="n">
        <v>23.56782321</v>
      </c>
      <c r="H68" s="20" t="n">
        <v>1.06923763</v>
      </c>
      <c r="I68" s="18" t="n">
        <v>0</v>
      </c>
      <c r="J68" s="20" t="n">
        <v>0</v>
      </c>
      <c r="K68" s="18" t="n">
        <v>0.1300652</v>
      </c>
      <c r="L68" s="20" t="n">
        <v>0.09212975</v>
      </c>
      <c r="M68" s="18" t="n">
        <v>0</v>
      </c>
      <c r="N68" s="20" t="n">
        <v>0</v>
      </c>
      <c r="O68" s="18" t="n">
        <v>0</v>
      </c>
      <c r="P68" s="20" t="n">
        <v>0</v>
      </c>
      <c r="Q68" s="18" t="n">
        <v>1.50663491</v>
      </c>
      <c r="R68" s="20" t="n">
        <v>0.31225129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(9413.0/B70*100)</f>
        <v/>
      </c>
      <c r="D70" s="19" t="n">
        <v>2670</v>
      </c>
      <c r="E70" s="18" t="n">
        <v>59.28265808</v>
      </c>
      <c r="F70" s="20" t="n">
        <v>1.02671003</v>
      </c>
      <c r="G70" s="18" t="n">
        <v>36.83848954</v>
      </c>
      <c r="H70" s="20" t="n">
        <v>0.9457705199999999</v>
      </c>
      <c r="I70" s="18" t="n">
        <v>0</v>
      </c>
      <c r="J70" s="20" t="n">
        <v>0</v>
      </c>
      <c r="K70" s="18" t="n">
        <v>0.52353551</v>
      </c>
      <c r="L70" s="20" t="n">
        <v>0.13656434</v>
      </c>
      <c r="M70" s="18" t="n">
        <v>0</v>
      </c>
      <c r="N70" s="20" t="n">
        <v>0</v>
      </c>
      <c r="O70" s="18" t="n">
        <v>0</v>
      </c>
      <c r="P70" s="20" t="n">
        <v>0</v>
      </c>
      <c r="Q70" s="18" t="n">
        <v>3.35531687</v>
      </c>
      <c r="R70" s="20" t="n">
        <v>0.37449972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(4721.0/B72*100)</f>
        <v/>
      </c>
      <c r="D72" s="19" t="n">
        <v>1315</v>
      </c>
      <c r="E72" s="18" t="n">
        <v>52.65811974</v>
      </c>
      <c r="F72" s="20" t="n">
        <v>1.47079822</v>
      </c>
      <c r="G72" s="18" t="n">
        <v>46.46418438</v>
      </c>
      <c r="H72" s="20" t="n">
        <v>1.48709169</v>
      </c>
      <c r="I72" s="18" t="n">
        <v>0</v>
      </c>
      <c r="J72" s="20" t="n">
        <v>0</v>
      </c>
      <c r="K72" s="18" t="n">
        <v>0.16865589</v>
      </c>
      <c r="L72" s="20" t="n">
        <v>0.08350026000000001</v>
      </c>
      <c r="M72" s="18" t="n">
        <v>0</v>
      </c>
      <c r="N72" s="20" t="n">
        <v>0</v>
      </c>
      <c r="O72" s="18" t="n">
        <v>0</v>
      </c>
      <c r="P72" s="20" t="n">
        <v>0</v>
      </c>
      <c r="Q72" s="18" t="n">
        <v>0.70903998</v>
      </c>
      <c r="R72" s="20" t="n">
        <v>0.25551854</v>
      </c>
    </row>
    <row r="73" spans="1:18">
      <c r="A73" s="15" t="s">
        <v>633</v>
      </c>
      <c r="B73" s="17" t="n">
        <v>6115</v>
      </c>
      <c r="C73" s="18">
        <f>(4714.0/B73*100)</f>
        <v/>
      </c>
      <c r="D73" s="19" t="n">
        <v>1401</v>
      </c>
      <c r="E73" s="18" t="n">
        <v>41.51969711</v>
      </c>
      <c r="F73" s="20" t="n">
        <v>1.50766217</v>
      </c>
      <c r="G73" s="18" t="n">
        <v>57.87636926</v>
      </c>
      <c r="H73" s="20" t="n">
        <v>1.52350487</v>
      </c>
      <c r="I73" s="18" t="n">
        <v>0</v>
      </c>
      <c r="J73" s="20" t="n">
        <v>0</v>
      </c>
      <c r="K73" s="18" t="n">
        <v>0.09448478</v>
      </c>
      <c r="L73" s="20" t="n">
        <v>0.06882070999999999</v>
      </c>
      <c r="M73" s="18" t="n">
        <v>0</v>
      </c>
      <c r="N73" s="20" t="n">
        <v>0</v>
      </c>
      <c r="O73" s="18" t="n">
        <v>0</v>
      </c>
      <c r="P73" s="20" t="n">
        <v>0</v>
      </c>
      <c r="Q73" s="18" t="n">
        <v>0.50944884</v>
      </c>
      <c r="R73" s="20" t="n">
        <v>0.18045616</v>
      </c>
    </row>
    <row r="74" spans="1:18">
      <c r="A74" s="15" t="s">
        <v>634</v>
      </c>
      <c r="B74" s="17" t="n">
        <v>7708</v>
      </c>
      <c r="C74" s="18">
        <f>(5978.0/B74*100)</f>
        <v/>
      </c>
      <c r="D74" s="19" t="n">
        <v>1730</v>
      </c>
      <c r="E74" s="18" t="n">
        <v>64.24093517</v>
      </c>
      <c r="F74" s="20" t="n">
        <v>1.19798082</v>
      </c>
      <c r="G74" s="18" t="n">
        <v>35.18764507</v>
      </c>
      <c r="H74" s="20" t="n">
        <v>1.15562779</v>
      </c>
      <c r="I74" s="18" t="n">
        <v>0</v>
      </c>
      <c r="J74" s="20" t="n">
        <v>0</v>
      </c>
      <c r="K74" s="18" t="n">
        <v>0.1046033</v>
      </c>
      <c r="L74" s="20" t="n">
        <v>0.08209273</v>
      </c>
      <c r="M74" s="18" t="n">
        <v>0</v>
      </c>
      <c r="N74" s="20" t="n">
        <v>0</v>
      </c>
      <c r="O74" s="18" t="n">
        <v>0</v>
      </c>
      <c r="P74" s="20" t="n">
        <v>0</v>
      </c>
      <c r="Q74" s="18" t="n">
        <v>0.46681645</v>
      </c>
      <c r="R74" s="20" t="n">
        <v>0.18724022</v>
      </c>
    </row>
    <row r="75" spans="1:18">
      <c r="A75" s="15" t="s">
        <v>635</v>
      </c>
      <c r="B75" s="17" t="n">
        <v>8249</v>
      </c>
      <c r="C75" s="18">
        <f>(6470.0/B75*100)</f>
        <v/>
      </c>
      <c r="D75" s="19" t="n">
        <v>1779</v>
      </c>
      <c r="E75" s="18" t="n">
        <v>70.61625343999999</v>
      </c>
      <c r="F75" s="20" t="n">
        <v>1.43138305</v>
      </c>
      <c r="G75" s="18" t="n">
        <v>28.75028681</v>
      </c>
      <c r="H75" s="20" t="n">
        <v>1.41481081</v>
      </c>
      <c r="I75" s="18" t="n">
        <v>0</v>
      </c>
      <c r="J75" s="20" t="n">
        <v>0</v>
      </c>
      <c r="K75" s="18" t="n">
        <v>0</v>
      </c>
      <c r="L75" s="20" t="n">
        <v>0</v>
      </c>
      <c r="M75" s="18" t="n">
        <v>0</v>
      </c>
      <c r="N75" s="20" t="n">
        <v>0</v>
      </c>
      <c r="O75" s="18" t="n">
        <v>0</v>
      </c>
      <c r="P75" s="20" t="n">
        <v>0</v>
      </c>
      <c r="Q75" s="18" t="n">
        <v>0.63345975</v>
      </c>
      <c r="R75" s="20" t="n">
        <v>0.19889325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(4284.0/B77*100)</f>
        <v/>
      </c>
      <c r="D77" s="19" t="n">
        <v>1091</v>
      </c>
      <c r="E77" s="18" t="n">
        <v>64.10726181</v>
      </c>
      <c r="F77" s="20" t="n">
        <v>1.4457688</v>
      </c>
      <c r="G77" s="18" t="n">
        <v>31.12237104</v>
      </c>
      <c r="H77" s="20" t="n">
        <v>1.38062949</v>
      </c>
      <c r="I77" s="18" t="n">
        <v>0</v>
      </c>
      <c r="J77" s="20" t="n">
        <v>0</v>
      </c>
      <c r="K77" s="18" t="n">
        <v>1.28029233</v>
      </c>
      <c r="L77" s="20" t="n">
        <v>0.37635883</v>
      </c>
      <c r="M77" s="18" t="n">
        <v>0</v>
      </c>
      <c r="N77" s="20" t="n">
        <v>0</v>
      </c>
      <c r="O77" s="18" t="n">
        <v>0</v>
      </c>
      <c r="P77" s="20" t="n">
        <v>0</v>
      </c>
      <c r="Q77" s="18" t="n">
        <v>3.49007481</v>
      </c>
      <c r="R77" s="20" t="n">
        <v>0.6910062</v>
      </c>
    </row>
    <row r="78" spans="1:18">
      <c r="A78" s="15" t="s">
        <v>638</v>
      </c>
      <c r="B78" s="17" t="n">
        <v>14167</v>
      </c>
      <c r="C78" s="18">
        <f>(11028.0/B78*100)</f>
        <v/>
      </c>
      <c r="D78" s="19" t="n">
        <v>3139</v>
      </c>
      <c r="E78" s="18" t="n">
        <v>59.20399194</v>
      </c>
      <c r="F78" s="20" t="n">
        <v>1.0873126</v>
      </c>
      <c r="G78" s="18" t="n">
        <v>38.95157848</v>
      </c>
      <c r="H78" s="20" t="n">
        <v>1.07934001</v>
      </c>
      <c r="I78" s="18" t="n">
        <v>0</v>
      </c>
      <c r="J78" s="20" t="n">
        <v>0</v>
      </c>
      <c r="K78" s="18" t="n">
        <v>0.5122768599999999</v>
      </c>
      <c r="L78" s="20" t="n">
        <v>0.1305072</v>
      </c>
      <c r="M78" s="18" t="n">
        <v>0</v>
      </c>
      <c r="N78" s="20" t="n">
        <v>0</v>
      </c>
      <c r="O78" s="18" t="n">
        <v>0</v>
      </c>
      <c r="P78" s="20" t="n">
        <v>0</v>
      </c>
      <c r="Q78" s="18" t="n">
        <v>1.33215272</v>
      </c>
      <c r="R78" s="20" t="n">
        <v>0.25744719</v>
      </c>
    </row>
    <row r="79" spans="1:18">
      <c r="A79" s="15" t="s">
        <v>639</v>
      </c>
      <c r="B79" s="17" t="n">
        <v>6062</v>
      </c>
      <c r="C79" s="18">
        <f>(4816.0/B79*100)</f>
        <v/>
      </c>
      <c r="D79" s="19" t="n">
        <v>1246</v>
      </c>
      <c r="E79" s="18" t="n">
        <v>63.85640168</v>
      </c>
      <c r="F79" s="20" t="n">
        <v>1.3013756</v>
      </c>
      <c r="G79" s="18" t="n">
        <v>32.9410446</v>
      </c>
      <c r="H79" s="20" t="n">
        <v>1.2922802</v>
      </c>
      <c r="I79" s="18" t="n">
        <v>0</v>
      </c>
      <c r="J79" s="20" t="n">
        <v>0</v>
      </c>
      <c r="K79" s="18" t="n">
        <v>0.56089523</v>
      </c>
      <c r="L79" s="20" t="n">
        <v>0.15656558</v>
      </c>
      <c r="M79" s="18" t="n">
        <v>0</v>
      </c>
      <c r="N79" s="20" t="n">
        <v>0</v>
      </c>
      <c r="O79" s="18" t="n">
        <v>0</v>
      </c>
      <c r="P79" s="20" t="n">
        <v>0</v>
      </c>
      <c r="Q79" s="18" t="n">
        <v>2.64165849</v>
      </c>
      <c r="R79" s="20" t="n">
        <v>0.5250039399999999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(25213.0/B82*100)</f>
        <v/>
      </c>
      <c r="D82" s="19" t="n">
        <v>7117</v>
      </c>
      <c r="E82" s="18" t="n">
        <v>49.96696957</v>
      </c>
      <c r="F82" s="20" t="n">
        <v>0.83136363</v>
      </c>
      <c r="G82" s="18" t="n">
        <v>49.23796001</v>
      </c>
      <c r="H82" s="20" t="n">
        <v>0.86375008</v>
      </c>
      <c r="I82" s="18" t="n">
        <v>0</v>
      </c>
      <c r="J82" s="20" t="n">
        <v>0</v>
      </c>
      <c r="K82" s="18" t="n">
        <v>0.0938252</v>
      </c>
      <c r="L82" s="20" t="n">
        <v>0.08187497000000001</v>
      </c>
      <c r="M82" s="18" t="n">
        <v>0</v>
      </c>
      <c r="N82" s="20" t="n">
        <v>0</v>
      </c>
      <c r="O82" s="18" t="n">
        <v>0</v>
      </c>
      <c r="P82" s="20" t="n">
        <v>0</v>
      </c>
      <c r="Q82" s="18" t="n">
        <v>0.70124522</v>
      </c>
      <c r="R82" s="20" t="n">
        <v>0.16915511</v>
      </c>
    </row>
    <row r="83" spans="1:18">
      <c r="A83" s="15" t="s">
        <v>643</v>
      </c>
      <c r="B83" s="17" t="n">
        <v>1652</v>
      </c>
      <c r="C83" s="18">
        <f>(1312.0/B83*100)</f>
        <v/>
      </c>
      <c r="D83" s="19" t="n">
        <v>340</v>
      </c>
      <c r="E83" s="18" t="n">
        <v>49.97278305</v>
      </c>
      <c r="F83" s="20" t="n">
        <v>3.35704861</v>
      </c>
      <c r="G83" s="18" t="n">
        <v>49.4354006</v>
      </c>
      <c r="H83" s="20" t="n">
        <v>3.39734784</v>
      </c>
      <c r="I83" s="18" t="n">
        <v>0</v>
      </c>
      <c r="J83" s="20" t="n">
        <v>0</v>
      </c>
      <c r="K83" s="18" t="n">
        <v>0</v>
      </c>
      <c r="L83" s="20" t="n">
        <v>0</v>
      </c>
      <c r="M83" s="18" t="n">
        <v>0</v>
      </c>
      <c r="N83" s="20" t="n">
        <v>0</v>
      </c>
      <c r="O83" s="18" t="n">
        <v>0</v>
      </c>
      <c r="P83" s="20" t="n">
        <v>0</v>
      </c>
      <c r="Q83" s="18" t="n">
        <v>0.59181635</v>
      </c>
      <c r="R83" s="20" t="n">
        <v>0.42669472</v>
      </c>
    </row>
    <row r="84" spans="1:18">
      <c r="A84" s="23" t="s">
        <v>644</v>
      </c>
      <c r="B84" s="24" t="n">
        <v>1887</v>
      </c>
      <c r="C84" s="25">
        <f>(1452.0/B84*100)</f>
        <v/>
      </c>
      <c r="D84" s="19" t="n">
        <v>435</v>
      </c>
      <c r="E84" s="18" t="n">
        <v>60.49771119</v>
      </c>
      <c r="F84" s="20" t="n">
        <v>2.28346641</v>
      </c>
      <c r="G84" s="18" t="n">
        <v>39.25297225</v>
      </c>
      <c r="H84" s="20" t="n">
        <v>2.29058838</v>
      </c>
      <c r="I84" s="18" t="n">
        <v>0</v>
      </c>
      <c r="J84" s="20" t="n">
        <v>0</v>
      </c>
      <c r="K84" s="18" t="n">
        <v>0</v>
      </c>
      <c r="L84" s="20" t="n">
        <v>0</v>
      </c>
      <c r="M84" s="18" t="n">
        <v>0</v>
      </c>
      <c r="N84" s="20" t="n">
        <v>0</v>
      </c>
      <c r="O84" s="18" t="n">
        <v>0</v>
      </c>
      <c r="P84" s="20" t="n">
        <v>0</v>
      </c>
      <c r="Q84" s="18" t="n">
        <v>0.24931656</v>
      </c>
      <c r="R84" s="20" t="n">
        <v>0.17967615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(11303.0/B7*100)</f>
        <v/>
      </c>
      <c r="D7" s="19" t="n">
        <v>3227</v>
      </c>
      <c r="E7" s="18" t="n">
        <v>73.84410106999999</v>
      </c>
      <c r="F7" s="20" t="n">
        <v>0.94064739</v>
      </c>
      <c r="G7" s="18" t="n">
        <v>22.05847601</v>
      </c>
      <c r="H7" s="20" t="n">
        <v>0.9579195700000001</v>
      </c>
      <c r="I7" s="18" t="n">
        <v>0</v>
      </c>
      <c r="J7" s="20" t="n">
        <v>0</v>
      </c>
      <c r="K7" s="18" t="n">
        <v>0.20961921</v>
      </c>
      <c r="L7" s="20" t="n">
        <v>0.12010423</v>
      </c>
      <c r="M7" s="18" t="n">
        <v>0</v>
      </c>
      <c r="N7" s="20" t="n">
        <v>0</v>
      </c>
      <c r="O7" s="18" t="n">
        <v>0</v>
      </c>
      <c r="P7" s="20" t="n">
        <v>0</v>
      </c>
      <c r="Q7" s="18" t="n">
        <v>3.88780372</v>
      </c>
      <c r="R7" s="20" t="n">
        <v>0.36618957</v>
      </c>
    </row>
    <row r="8" spans="1:18">
      <c r="A8" s="15" t="s">
        <v>566</v>
      </c>
      <c r="B8" s="17" t="n">
        <v>7007</v>
      </c>
      <c r="C8" s="18">
        <f>(5495.0/B8*100)</f>
        <v/>
      </c>
      <c r="D8" s="19" t="n">
        <v>1512</v>
      </c>
      <c r="E8" s="18" t="n">
        <v>76.44236355</v>
      </c>
      <c r="F8" s="20" t="n">
        <v>1.26908329</v>
      </c>
      <c r="G8" s="18" t="n">
        <v>21.07323343</v>
      </c>
      <c r="H8" s="20" t="n">
        <v>1.24866977</v>
      </c>
      <c r="I8" s="18" t="n">
        <v>0</v>
      </c>
      <c r="J8" s="20" t="n">
        <v>0</v>
      </c>
      <c r="K8" s="18" t="n">
        <v>0</v>
      </c>
      <c r="L8" s="20" t="n">
        <v>0</v>
      </c>
      <c r="M8" s="18" t="n">
        <v>0</v>
      </c>
      <c r="N8" s="20" t="n">
        <v>0</v>
      </c>
      <c r="O8" s="18" t="n">
        <v>0</v>
      </c>
      <c r="P8" s="20" t="n">
        <v>0</v>
      </c>
      <c r="Q8" s="18" t="n">
        <v>2.48440301</v>
      </c>
      <c r="R8" s="20" t="n">
        <v>0.38931473</v>
      </c>
    </row>
    <row r="9" spans="1:18">
      <c r="A9" s="15" t="s">
        <v>567</v>
      </c>
      <c r="B9" s="17" t="n">
        <v>9651</v>
      </c>
      <c r="C9" s="18">
        <f>(7609.0/B9*100)</f>
        <v/>
      </c>
      <c r="D9" s="19" t="n">
        <v>2042</v>
      </c>
      <c r="E9" s="18" t="n">
        <v>72.96705091</v>
      </c>
      <c r="F9" s="20" t="n">
        <v>1.03969916</v>
      </c>
      <c r="G9" s="18" t="n">
        <v>23.35370941</v>
      </c>
      <c r="H9" s="20" t="n">
        <v>1.04167671</v>
      </c>
      <c r="I9" s="18" t="n">
        <v>0</v>
      </c>
      <c r="J9" s="20" t="n">
        <v>0</v>
      </c>
      <c r="K9" s="18" t="n">
        <v>0.19341295</v>
      </c>
      <c r="L9" s="20" t="n">
        <v>0.10231491</v>
      </c>
      <c r="M9" s="18" t="n">
        <v>0</v>
      </c>
      <c r="N9" s="20" t="n">
        <v>0</v>
      </c>
      <c r="O9" s="18" t="n">
        <v>0</v>
      </c>
      <c r="P9" s="20" t="n">
        <v>0</v>
      </c>
      <c r="Q9" s="18" t="n">
        <v>3.48582672</v>
      </c>
      <c r="R9" s="20" t="n">
        <v>0.42458666</v>
      </c>
    </row>
    <row r="10" spans="1:18">
      <c r="A10" s="15" t="s">
        <v>568</v>
      </c>
      <c r="B10" s="17" t="n">
        <v>20058</v>
      </c>
      <c r="C10" s="18">
        <f>(15525.0/B10*100)</f>
        <v/>
      </c>
      <c r="D10" s="19" t="n">
        <v>4533</v>
      </c>
      <c r="E10" s="18" t="n">
        <v>72.28238622000001</v>
      </c>
      <c r="F10" s="20" t="n">
        <v>0.99702874</v>
      </c>
      <c r="G10" s="18" t="n">
        <v>24.5812055</v>
      </c>
      <c r="H10" s="20" t="n">
        <v>0.92510675</v>
      </c>
      <c r="I10" s="18" t="n">
        <v>0</v>
      </c>
      <c r="J10" s="20" t="n">
        <v>0</v>
      </c>
      <c r="K10" s="18" t="n">
        <v>0.08319922</v>
      </c>
      <c r="L10" s="20" t="n">
        <v>0.05533492</v>
      </c>
      <c r="M10" s="18" t="n">
        <v>0</v>
      </c>
      <c r="N10" s="20" t="n">
        <v>0</v>
      </c>
      <c r="O10" s="18" t="n">
        <v>0</v>
      </c>
      <c r="P10" s="20" t="n">
        <v>0</v>
      </c>
      <c r="Q10" s="18" t="n">
        <v>3.05320905</v>
      </c>
      <c r="R10" s="20" t="n">
        <v>0.34722412</v>
      </c>
    </row>
    <row r="11" spans="1:18">
      <c r="A11" s="15" t="s">
        <v>569</v>
      </c>
      <c r="B11" s="17" t="n">
        <v>7053</v>
      </c>
      <c r="C11" s="18">
        <f>(5459.0/B11*100)</f>
        <v/>
      </c>
      <c r="D11" s="19" t="n">
        <v>1594</v>
      </c>
      <c r="E11" s="18" t="n">
        <v>85.3416538</v>
      </c>
      <c r="F11" s="20" t="n">
        <v>0.94536936</v>
      </c>
      <c r="G11" s="18" t="n">
        <v>9.87328467</v>
      </c>
      <c r="H11" s="20" t="n">
        <v>0.84330683</v>
      </c>
      <c r="I11" s="18" t="n">
        <v>0</v>
      </c>
      <c r="J11" s="20" t="n">
        <v>0</v>
      </c>
      <c r="K11" s="18" t="n">
        <v>0.08553158</v>
      </c>
      <c r="L11" s="20" t="n">
        <v>0.08858089</v>
      </c>
      <c r="M11" s="18" t="n">
        <v>0</v>
      </c>
      <c r="N11" s="20" t="n">
        <v>0</v>
      </c>
      <c r="O11" s="18" t="n">
        <v>0</v>
      </c>
      <c r="P11" s="20" t="n">
        <v>0</v>
      </c>
      <c r="Q11" s="18" t="n">
        <v>4.69952994</v>
      </c>
      <c r="R11" s="20" t="n">
        <v>0.67791114</v>
      </c>
    </row>
    <row r="12" spans="1:18">
      <c r="A12" s="15" t="s">
        <v>570</v>
      </c>
      <c r="B12" s="17" t="n">
        <v>6894</v>
      </c>
      <c r="C12" s="18">
        <f>(5401.0/B12*100)</f>
        <v/>
      </c>
      <c r="D12" s="19" t="n">
        <v>1493</v>
      </c>
      <c r="E12" s="18" t="n">
        <v>79.83658314</v>
      </c>
      <c r="F12" s="20" t="n">
        <v>1.11674121</v>
      </c>
      <c r="G12" s="18" t="n">
        <v>17.47678967</v>
      </c>
      <c r="H12" s="20" t="n">
        <v>1.08039486</v>
      </c>
      <c r="I12" s="18" t="n">
        <v>0</v>
      </c>
      <c r="J12" s="20" t="n">
        <v>0</v>
      </c>
      <c r="K12" s="18" t="n">
        <v>0.06114603</v>
      </c>
      <c r="L12" s="20" t="n">
        <v>0.06043156</v>
      </c>
      <c r="M12" s="18" t="n">
        <v>0</v>
      </c>
      <c r="N12" s="20" t="n">
        <v>0</v>
      </c>
      <c r="O12" s="18" t="n">
        <v>0</v>
      </c>
      <c r="P12" s="20" t="n">
        <v>0</v>
      </c>
      <c r="Q12" s="18" t="n">
        <v>2.62548115</v>
      </c>
      <c r="R12" s="20" t="n">
        <v>0.53133048</v>
      </c>
    </row>
    <row r="13" spans="1:18">
      <c r="A13" s="15" t="s">
        <v>571</v>
      </c>
      <c r="B13" s="17" t="n">
        <v>7161</v>
      </c>
      <c r="C13" s="18">
        <f>(5636.0/B13*100)</f>
        <v/>
      </c>
      <c r="D13" s="19" t="n">
        <v>1525</v>
      </c>
      <c r="E13" s="18" t="n">
        <v>74.22512894</v>
      </c>
      <c r="F13" s="20" t="n">
        <v>1.2940747</v>
      </c>
      <c r="G13" s="18" t="n">
        <v>22.97161522</v>
      </c>
      <c r="H13" s="20" t="n">
        <v>1.3406657</v>
      </c>
      <c r="I13" s="18" t="n">
        <v>0</v>
      </c>
      <c r="J13" s="20" t="n">
        <v>0</v>
      </c>
      <c r="K13" s="18" t="n">
        <v>0.19629848</v>
      </c>
      <c r="L13" s="20" t="n">
        <v>0.12481155</v>
      </c>
      <c r="M13" s="18" t="n">
        <v>0</v>
      </c>
      <c r="N13" s="20" t="n">
        <v>0</v>
      </c>
      <c r="O13" s="18" t="n">
        <v>0</v>
      </c>
      <c r="P13" s="20" t="n">
        <v>0</v>
      </c>
      <c r="Q13" s="18" t="n">
        <v>2.60695736</v>
      </c>
      <c r="R13" s="20" t="n">
        <v>0.46168744</v>
      </c>
    </row>
    <row r="14" spans="1:18">
      <c r="A14" s="15" t="s">
        <v>572</v>
      </c>
      <c r="B14" s="17" t="n">
        <v>5587</v>
      </c>
      <c r="C14" s="18">
        <f>(4336.0/B14*100)</f>
        <v/>
      </c>
      <c r="D14" s="19" t="n">
        <v>1251</v>
      </c>
      <c r="E14" s="18" t="n">
        <v>71.88105594</v>
      </c>
      <c r="F14" s="20" t="n">
        <v>1.33542221</v>
      </c>
      <c r="G14" s="18" t="n">
        <v>26.17747438</v>
      </c>
      <c r="H14" s="20" t="n">
        <v>1.26600757</v>
      </c>
      <c r="I14" s="18" t="n">
        <v>0</v>
      </c>
      <c r="J14" s="20" t="n">
        <v>0</v>
      </c>
      <c r="K14" s="18" t="n">
        <v>0.21035711</v>
      </c>
      <c r="L14" s="20" t="n">
        <v>0.12019789</v>
      </c>
      <c r="M14" s="18" t="n">
        <v>0</v>
      </c>
      <c r="N14" s="20" t="n">
        <v>0</v>
      </c>
      <c r="O14" s="18" t="n">
        <v>0</v>
      </c>
      <c r="P14" s="20" t="n">
        <v>0</v>
      </c>
      <c r="Q14" s="18" t="n">
        <v>1.73111257</v>
      </c>
      <c r="R14" s="20" t="n">
        <v>0.34463568</v>
      </c>
    </row>
    <row r="15" spans="1:18">
      <c r="A15" s="15" t="s">
        <v>573</v>
      </c>
      <c r="B15" s="17" t="n">
        <v>5882</v>
      </c>
      <c r="C15" s="18">
        <f>(4572.0/B15*100)</f>
        <v/>
      </c>
      <c r="D15" s="19" t="n">
        <v>1310</v>
      </c>
      <c r="E15" s="18" t="n">
        <v>71.9057801</v>
      </c>
      <c r="F15" s="20" t="n">
        <v>1.21810796</v>
      </c>
      <c r="G15" s="18" t="n">
        <v>25.6965548</v>
      </c>
      <c r="H15" s="20" t="n">
        <v>1.16925675</v>
      </c>
      <c r="I15" s="18" t="n">
        <v>0</v>
      </c>
      <c r="J15" s="20" t="n">
        <v>0</v>
      </c>
      <c r="K15" s="18" t="n">
        <v>0.07894621</v>
      </c>
      <c r="L15" s="20" t="n">
        <v>0.07926215</v>
      </c>
      <c r="M15" s="18" t="n">
        <v>0</v>
      </c>
      <c r="N15" s="20" t="n">
        <v>0</v>
      </c>
      <c r="O15" s="18" t="n">
        <v>0</v>
      </c>
      <c r="P15" s="20" t="n">
        <v>0</v>
      </c>
      <c r="Q15" s="18" t="n">
        <v>2.31871888</v>
      </c>
      <c r="R15" s="20" t="n">
        <v>0.4200504</v>
      </c>
    </row>
    <row r="16" spans="1:18">
      <c r="A16" s="15" t="s">
        <v>574</v>
      </c>
      <c r="B16" s="17" t="n">
        <v>6108</v>
      </c>
      <c r="C16" s="18">
        <f>(4735.0/B16*100)</f>
        <v/>
      </c>
      <c r="D16" s="19" t="n">
        <v>1373</v>
      </c>
      <c r="E16" s="18" t="n">
        <v>67.74836912000001</v>
      </c>
      <c r="F16" s="20" t="n">
        <v>1.42542716</v>
      </c>
      <c r="G16" s="18" t="n">
        <v>28.02441587</v>
      </c>
      <c r="H16" s="20" t="n">
        <v>1.35312866</v>
      </c>
      <c r="I16" s="18" t="n">
        <v>0</v>
      </c>
      <c r="J16" s="20" t="n">
        <v>0</v>
      </c>
      <c r="K16" s="18" t="n">
        <v>0.16219842</v>
      </c>
      <c r="L16" s="20" t="n">
        <v>0.12910716</v>
      </c>
      <c r="M16" s="18" t="n">
        <v>0</v>
      </c>
      <c r="N16" s="20" t="n">
        <v>0</v>
      </c>
      <c r="O16" s="18" t="n">
        <v>0</v>
      </c>
      <c r="P16" s="20" t="n">
        <v>0</v>
      </c>
      <c r="Q16" s="18" t="n">
        <v>4.06501659</v>
      </c>
      <c r="R16" s="20" t="n">
        <v>0.62586831</v>
      </c>
    </row>
    <row r="17" spans="1:18">
      <c r="A17" s="15" t="s">
        <v>575</v>
      </c>
      <c r="B17" s="17" t="n">
        <v>6504</v>
      </c>
      <c r="C17" s="18">
        <f>(5080.0/B17*100)</f>
        <v/>
      </c>
      <c r="D17" s="19" t="n">
        <v>1424</v>
      </c>
      <c r="E17" s="18" t="n">
        <v>74.2269829</v>
      </c>
      <c r="F17" s="20" t="n">
        <v>1.48130671</v>
      </c>
      <c r="G17" s="18" t="n">
        <v>23.78003206</v>
      </c>
      <c r="H17" s="20" t="n">
        <v>1.47337618</v>
      </c>
      <c r="I17" s="18" t="n">
        <v>0</v>
      </c>
      <c r="J17" s="20" t="n">
        <v>0</v>
      </c>
      <c r="K17" s="18" t="n">
        <v>0.14360136</v>
      </c>
      <c r="L17" s="20" t="n">
        <v>0.14252979</v>
      </c>
      <c r="M17" s="18" t="n">
        <v>0</v>
      </c>
      <c r="N17" s="20" t="n">
        <v>0</v>
      </c>
      <c r="O17" s="18" t="n">
        <v>0</v>
      </c>
      <c r="P17" s="20" t="n">
        <v>0</v>
      </c>
      <c r="Q17" s="18" t="n">
        <v>1.84938369</v>
      </c>
      <c r="R17" s="20" t="n">
        <v>0.34166962</v>
      </c>
    </row>
    <row r="18" spans="1:18">
      <c r="A18" s="15" t="s">
        <v>576</v>
      </c>
      <c r="B18" s="17" t="n">
        <v>5532</v>
      </c>
      <c r="C18" s="18">
        <f>(4314.0/B18*100)</f>
        <v/>
      </c>
      <c r="D18" s="19" t="n">
        <v>1218</v>
      </c>
      <c r="E18" s="18" t="n">
        <v>83.86039412</v>
      </c>
      <c r="F18" s="20" t="n">
        <v>1.28196441</v>
      </c>
      <c r="G18" s="18" t="n">
        <v>11.05653216</v>
      </c>
      <c r="H18" s="20" t="n">
        <v>0.88139528</v>
      </c>
      <c r="I18" s="18" t="n">
        <v>0</v>
      </c>
      <c r="J18" s="20" t="n">
        <v>0</v>
      </c>
      <c r="K18" s="18" t="n">
        <v>0.24281278</v>
      </c>
      <c r="L18" s="20" t="n">
        <v>0.14269092</v>
      </c>
      <c r="M18" s="18" t="n">
        <v>0</v>
      </c>
      <c r="N18" s="20" t="n">
        <v>0</v>
      </c>
      <c r="O18" s="18" t="n">
        <v>0</v>
      </c>
      <c r="P18" s="20" t="n">
        <v>0</v>
      </c>
      <c r="Q18" s="18" t="n">
        <v>4.84026094</v>
      </c>
      <c r="R18" s="20" t="n">
        <v>0.81185107</v>
      </c>
    </row>
    <row r="19" spans="1:18">
      <c r="A19" s="15" t="s">
        <v>577</v>
      </c>
      <c r="B19" s="17" t="n">
        <v>5658</v>
      </c>
      <c r="C19" s="18">
        <f>(4374.0/B19*100)</f>
        <v/>
      </c>
      <c r="D19" s="19" t="n">
        <v>1284</v>
      </c>
      <c r="E19" s="18" t="n">
        <v>78.19120632000001</v>
      </c>
      <c r="F19" s="20" t="n">
        <v>1.44419803</v>
      </c>
      <c r="G19" s="18" t="n">
        <v>17.88145466</v>
      </c>
      <c r="H19" s="20" t="n">
        <v>1.23018962</v>
      </c>
      <c r="I19" s="18" t="n">
        <v>0</v>
      </c>
      <c r="J19" s="20" t="n">
        <v>0</v>
      </c>
      <c r="K19" s="18" t="n">
        <v>0</v>
      </c>
      <c r="L19" s="20" t="n">
        <v>0</v>
      </c>
      <c r="M19" s="18" t="n">
        <v>0</v>
      </c>
      <c r="N19" s="20" t="n">
        <v>0</v>
      </c>
      <c r="O19" s="18" t="n">
        <v>0</v>
      </c>
      <c r="P19" s="20" t="n">
        <v>0</v>
      </c>
      <c r="Q19" s="18" t="n">
        <v>3.92733902</v>
      </c>
      <c r="R19" s="20" t="n">
        <v>0.63423791</v>
      </c>
    </row>
    <row r="20" spans="1:18">
      <c r="A20" s="15" t="s">
        <v>578</v>
      </c>
      <c r="B20" s="17" t="n">
        <v>3371</v>
      </c>
      <c r="C20" s="18">
        <f>(2598.0/B20*100)</f>
        <v/>
      </c>
      <c r="D20" s="19" t="n">
        <v>773</v>
      </c>
      <c r="E20" s="18" t="n">
        <v>73.90725841</v>
      </c>
      <c r="F20" s="20" t="n">
        <v>1.51044278</v>
      </c>
      <c r="G20" s="18" t="n">
        <v>22.16483131</v>
      </c>
      <c r="H20" s="20" t="n">
        <v>1.4643505</v>
      </c>
      <c r="I20" s="18" t="n">
        <v>0</v>
      </c>
      <c r="J20" s="20" t="n">
        <v>0</v>
      </c>
      <c r="K20" s="18" t="n">
        <v>0.6415664800000001</v>
      </c>
      <c r="L20" s="20" t="n">
        <v>0.27209021</v>
      </c>
      <c r="M20" s="18" t="n">
        <v>0</v>
      </c>
      <c r="N20" s="20" t="n">
        <v>0</v>
      </c>
      <c r="O20" s="18" t="n">
        <v>0</v>
      </c>
      <c r="P20" s="20" t="n">
        <v>0</v>
      </c>
      <c r="Q20" s="18" t="n">
        <v>3.2863438</v>
      </c>
      <c r="R20" s="20" t="n">
        <v>0.59804121</v>
      </c>
    </row>
    <row r="21" spans="1:18">
      <c r="A21" s="15" t="s">
        <v>579</v>
      </c>
      <c r="B21" s="17" t="n">
        <v>5741</v>
      </c>
      <c r="C21" s="18">
        <f>(4484.0/B21*100)</f>
        <v/>
      </c>
      <c r="D21" s="19" t="n">
        <v>1257</v>
      </c>
      <c r="E21" s="18" t="n">
        <v>81.79157601999999</v>
      </c>
      <c r="F21" s="20" t="n">
        <v>0.99797193</v>
      </c>
      <c r="G21" s="18" t="n">
        <v>15.77228822</v>
      </c>
      <c r="H21" s="20" t="n">
        <v>0.89285075</v>
      </c>
      <c r="I21" s="18" t="n">
        <v>0</v>
      </c>
      <c r="J21" s="20" t="n">
        <v>0</v>
      </c>
      <c r="K21" s="18" t="n">
        <v>0</v>
      </c>
      <c r="L21" s="20" t="n">
        <v>0</v>
      </c>
      <c r="M21" s="18" t="n">
        <v>0</v>
      </c>
      <c r="N21" s="20" t="n">
        <v>0</v>
      </c>
      <c r="O21" s="18" t="n">
        <v>0</v>
      </c>
      <c r="P21" s="20" t="n">
        <v>0</v>
      </c>
      <c r="Q21" s="18" t="n">
        <v>2.43613576</v>
      </c>
      <c r="R21" s="20" t="n">
        <v>0.48581844</v>
      </c>
    </row>
    <row r="22" spans="1:18">
      <c r="A22" s="15" t="s">
        <v>580</v>
      </c>
      <c r="B22" s="17" t="n">
        <v>6598</v>
      </c>
      <c r="C22" s="18">
        <f>(5134.0/B22*100)</f>
        <v/>
      </c>
      <c r="D22" s="19" t="n">
        <v>1464</v>
      </c>
      <c r="E22" s="18" t="n">
        <v>79.60468289000001</v>
      </c>
      <c r="F22" s="20" t="n">
        <v>1.06150399</v>
      </c>
      <c r="G22" s="18" t="n">
        <v>15.32933452</v>
      </c>
      <c r="H22" s="20" t="n">
        <v>1.02659766</v>
      </c>
      <c r="I22" s="18" t="n">
        <v>0</v>
      </c>
      <c r="J22" s="20" t="n">
        <v>0</v>
      </c>
      <c r="K22" s="18" t="n">
        <v>0.30334788</v>
      </c>
      <c r="L22" s="20" t="n">
        <v>0.13957243</v>
      </c>
      <c r="M22" s="18" t="n">
        <v>0</v>
      </c>
      <c r="N22" s="20" t="n">
        <v>0</v>
      </c>
      <c r="O22" s="18" t="n">
        <v>0</v>
      </c>
      <c r="P22" s="20" t="n">
        <v>0</v>
      </c>
      <c r="Q22" s="18" t="n">
        <v>4.76263471</v>
      </c>
      <c r="R22" s="20" t="n">
        <v>0.64116166</v>
      </c>
    </row>
    <row r="23" spans="1:18">
      <c r="A23" s="15" t="s">
        <v>581</v>
      </c>
      <c r="B23" s="17" t="n">
        <v>11583</v>
      </c>
      <c r="C23" s="18">
        <f>(9054.0/B23*100)</f>
        <v/>
      </c>
      <c r="D23" s="19" t="n">
        <v>2529</v>
      </c>
      <c r="E23" s="18" t="n">
        <v>80.53132622</v>
      </c>
      <c r="F23" s="20" t="n">
        <v>1.21035779</v>
      </c>
      <c r="G23" s="18" t="n">
        <v>14.2008062</v>
      </c>
      <c r="H23" s="20" t="n">
        <v>1.04602753</v>
      </c>
      <c r="I23" s="18" t="n">
        <v>0</v>
      </c>
      <c r="J23" s="20" t="n">
        <v>0</v>
      </c>
      <c r="K23" s="18" t="n">
        <v>0.42350262</v>
      </c>
      <c r="L23" s="20" t="n">
        <v>0.20806188</v>
      </c>
      <c r="M23" s="18" t="n">
        <v>0</v>
      </c>
      <c r="N23" s="20" t="n">
        <v>0</v>
      </c>
      <c r="O23" s="18" t="n">
        <v>0</v>
      </c>
      <c r="P23" s="20" t="n">
        <v>0</v>
      </c>
      <c r="Q23" s="18" t="n">
        <v>4.84436496</v>
      </c>
      <c r="R23" s="20" t="n">
        <v>0.8502787000000001</v>
      </c>
    </row>
    <row r="24" spans="1:18">
      <c r="A24" s="15" t="s">
        <v>582</v>
      </c>
      <c r="B24" s="17" t="n">
        <v>6647</v>
      </c>
      <c r="C24" s="18">
        <f>(5159.0/B24*100)</f>
        <v/>
      </c>
      <c r="D24" s="19" t="n">
        <v>1488</v>
      </c>
      <c r="E24" s="18" t="n">
        <v>73.18125352</v>
      </c>
      <c r="F24" s="20" t="n">
        <v>1.32875488</v>
      </c>
      <c r="G24" s="18" t="n">
        <v>21.21807644</v>
      </c>
      <c r="H24" s="20" t="n">
        <v>1.26202003</v>
      </c>
      <c r="I24" s="18" t="n">
        <v>0</v>
      </c>
      <c r="J24" s="20" t="n">
        <v>0</v>
      </c>
      <c r="K24" s="18" t="n">
        <v>0.07053057</v>
      </c>
      <c r="L24" s="20" t="n">
        <v>0.06825421</v>
      </c>
      <c r="M24" s="18" t="n">
        <v>0</v>
      </c>
      <c r="N24" s="20" t="n">
        <v>0</v>
      </c>
      <c r="O24" s="18" t="n">
        <v>0</v>
      </c>
      <c r="P24" s="20" t="n">
        <v>0</v>
      </c>
      <c r="Q24" s="18" t="n">
        <v>5.53013948</v>
      </c>
      <c r="R24" s="20" t="n">
        <v>0.66492232</v>
      </c>
    </row>
    <row r="25" spans="1:18">
      <c r="A25" s="15" t="s">
        <v>583</v>
      </c>
      <c r="B25" s="17" t="n">
        <v>5581</v>
      </c>
      <c r="C25" s="18">
        <f>(4342.0/B25*100)</f>
        <v/>
      </c>
      <c r="D25" s="19" t="n">
        <v>1239</v>
      </c>
      <c r="E25" s="18" t="n">
        <v>83.25192143</v>
      </c>
      <c r="F25" s="20" t="n">
        <v>1.09219404</v>
      </c>
      <c r="G25" s="18" t="n">
        <v>13.59231003</v>
      </c>
      <c r="H25" s="20" t="n">
        <v>0.97503708</v>
      </c>
      <c r="I25" s="18" t="n">
        <v>0</v>
      </c>
      <c r="J25" s="20" t="n">
        <v>0</v>
      </c>
      <c r="K25" s="18" t="n">
        <v>0.32546322</v>
      </c>
      <c r="L25" s="20" t="n">
        <v>0.21855532</v>
      </c>
      <c r="M25" s="18" t="n">
        <v>0</v>
      </c>
      <c r="N25" s="20" t="n">
        <v>0</v>
      </c>
      <c r="O25" s="18" t="n">
        <v>0</v>
      </c>
      <c r="P25" s="20" t="n">
        <v>0</v>
      </c>
      <c r="Q25" s="18" t="n">
        <v>2.83030532</v>
      </c>
      <c r="R25" s="20" t="n">
        <v>0.50771096</v>
      </c>
    </row>
    <row r="26" spans="1:18">
      <c r="A26" s="15" t="s">
        <v>584</v>
      </c>
      <c r="B26" s="17" t="n">
        <v>4869</v>
      </c>
      <c r="C26" s="18">
        <f>(3843.0/B26*100)</f>
        <v/>
      </c>
      <c r="D26" s="19" t="n">
        <v>1026</v>
      </c>
      <c r="E26" s="18" t="n">
        <v>84.20405671</v>
      </c>
      <c r="F26" s="20" t="n">
        <v>1.16423904</v>
      </c>
      <c r="G26" s="18" t="n">
        <v>14.15184338</v>
      </c>
      <c r="H26" s="20" t="n">
        <v>1.19534432</v>
      </c>
      <c r="I26" s="18" t="n">
        <v>0</v>
      </c>
      <c r="J26" s="20" t="n">
        <v>0</v>
      </c>
      <c r="K26" s="18" t="n">
        <v>0</v>
      </c>
      <c r="L26" s="20" t="n">
        <v>0</v>
      </c>
      <c r="M26" s="18" t="n">
        <v>0</v>
      </c>
      <c r="N26" s="20" t="n">
        <v>0</v>
      </c>
      <c r="O26" s="18" t="n">
        <v>0</v>
      </c>
      <c r="P26" s="20" t="n">
        <v>0</v>
      </c>
      <c r="Q26" s="18" t="n">
        <v>1.64409991</v>
      </c>
      <c r="R26" s="20" t="n">
        <v>0.43728764</v>
      </c>
    </row>
    <row r="27" spans="1:18">
      <c r="A27" s="15" t="s">
        <v>585</v>
      </c>
      <c r="B27" s="17" t="n">
        <v>5299</v>
      </c>
      <c r="C27" s="18">
        <f>(4137.0/B27*100)</f>
        <v/>
      </c>
      <c r="D27" s="19" t="n">
        <v>1162</v>
      </c>
      <c r="E27" s="18" t="n">
        <v>74.69577974000001</v>
      </c>
      <c r="F27" s="20" t="n">
        <v>1.33531749</v>
      </c>
      <c r="G27" s="18" t="n">
        <v>23.13288378</v>
      </c>
      <c r="H27" s="20" t="n">
        <v>1.30168643</v>
      </c>
      <c r="I27" s="18" t="n">
        <v>0</v>
      </c>
      <c r="J27" s="20" t="n">
        <v>0</v>
      </c>
      <c r="K27" s="18" t="n">
        <v>0.35444709</v>
      </c>
      <c r="L27" s="20" t="n">
        <v>0.17567554</v>
      </c>
      <c r="M27" s="18" t="n">
        <v>0</v>
      </c>
      <c r="N27" s="20" t="n">
        <v>0</v>
      </c>
      <c r="O27" s="18" t="n">
        <v>0</v>
      </c>
      <c r="P27" s="20" t="n">
        <v>0</v>
      </c>
      <c r="Q27" s="18" t="n">
        <v>1.81688938</v>
      </c>
      <c r="R27" s="20" t="n">
        <v>0.36603152</v>
      </c>
    </row>
    <row r="28" spans="1:18">
      <c r="A28" s="15" t="s">
        <v>586</v>
      </c>
      <c r="B28" s="17" t="n">
        <v>7568</v>
      </c>
      <c r="C28" s="18">
        <f>(5942.0/B28*100)</f>
        <v/>
      </c>
      <c r="D28" s="19" t="n">
        <v>1626</v>
      </c>
      <c r="E28" s="18" t="n">
        <v>90.19707816</v>
      </c>
      <c r="F28" s="20" t="n">
        <v>0.8410247199999999</v>
      </c>
      <c r="G28" s="18" t="n">
        <v>6.25245919</v>
      </c>
      <c r="H28" s="20" t="n">
        <v>0.57546896</v>
      </c>
      <c r="I28" s="18" t="n">
        <v>0</v>
      </c>
      <c r="J28" s="20" t="n">
        <v>0</v>
      </c>
      <c r="K28" s="18" t="n">
        <v>0.33311866</v>
      </c>
      <c r="L28" s="20" t="n">
        <v>0.22972687</v>
      </c>
      <c r="M28" s="18" t="n">
        <v>0</v>
      </c>
      <c r="N28" s="20" t="n">
        <v>0</v>
      </c>
      <c r="O28" s="18" t="n">
        <v>0</v>
      </c>
      <c r="P28" s="20" t="n">
        <v>0</v>
      </c>
      <c r="Q28" s="18" t="n">
        <v>3.21734399</v>
      </c>
      <c r="R28" s="20" t="n">
        <v>0.5990941</v>
      </c>
    </row>
    <row r="29" spans="1:18">
      <c r="A29" s="15" t="s">
        <v>587</v>
      </c>
      <c r="B29" s="17" t="n">
        <v>5385</v>
      </c>
      <c r="C29" s="18">
        <f>(4197.0/B29*100)</f>
        <v/>
      </c>
      <c r="D29" s="19" t="n">
        <v>1188</v>
      </c>
      <c r="E29" s="18" t="n">
        <v>75.45440358</v>
      </c>
      <c r="F29" s="20" t="n">
        <v>1.46717362</v>
      </c>
      <c r="G29" s="18" t="n">
        <v>20.70184935</v>
      </c>
      <c r="H29" s="20" t="n">
        <v>1.30365999</v>
      </c>
      <c r="I29" s="18" t="n">
        <v>0</v>
      </c>
      <c r="J29" s="20" t="n">
        <v>0</v>
      </c>
      <c r="K29" s="18" t="n">
        <v>0.06547995</v>
      </c>
      <c r="L29" s="20" t="n">
        <v>0.06484348</v>
      </c>
      <c r="M29" s="18" t="n">
        <v>0</v>
      </c>
      <c r="N29" s="20" t="n">
        <v>0</v>
      </c>
      <c r="O29" s="18" t="n">
        <v>0</v>
      </c>
      <c r="P29" s="20" t="n">
        <v>0</v>
      </c>
      <c r="Q29" s="18" t="n">
        <v>3.77826712</v>
      </c>
      <c r="R29" s="20" t="n">
        <v>0.64600719</v>
      </c>
    </row>
    <row r="30" spans="1:18">
      <c r="A30" s="15" t="s">
        <v>588</v>
      </c>
      <c r="B30" s="17" t="n">
        <v>4520</v>
      </c>
      <c r="C30" s="18">
        <f>(3502.0/B30*100)</f>
        <v/>
      </c>
      <c r="D30" s="19" t="n">
        <v>1018</v>
      </c>
      <c r="E30" s="18" t="n">
        <v>74.02057804</v>
      </c>
      <c r="F30" s="20" t="n">
        <v>1.32190706</v>
      </c>
      <c r="G30" s="18" t="n">
        <v>22.76519623</v>
      </c>
      <c r="H30" s="20" t="n">
        <v>1.12281778</v>
      </c>
      <c r="I30" s="18" t="n">
        <v>0</v>
      </c>
      <c r="J30" s="20" t="n">
        <v>0</v>
      </c>
      <c r="K30" s="18" t="n">
        <v>0.2739927</v>
      </c>
      <c r="L30" s="20" t="n">
        <v>0.15837137</v>
      </c>
      <c r="M30" s="18" t="n">
        <v>0</v>
      </c>
      <c r="N30" s="20" t="n">
        <v>0</v>
      </c>
      <c r="O30" s="18" t="n">
        <v>0</v>
      </c>
      <c r="P30" s="20" t="n">
        <v>0</v>
      </c>
      <c r="Q30" s="18" t="n">
        <v>2.94023304</v>
      </c>
      <c r="R30" s="20" t="n">
        <v>0.56910512</v>
      </c>
    </row>
    <row r="31" spans="1:18">
      <c r="A31" s="15" t="s">
        <v>589</v>
      </c>
      <c r="B31" s="17" t="n">
        <v>5456</v>
      </c>
      <c r="C31" s="18">
        <f>(4227.0/B31*100)</f>
        <v/>
      </c>
      <c r="D31" s="19" t="n">
        <v>1229</v>
      </c>
      <c r="E31" s="18" t="n">
        <v>72.85688704</v>
      </c>
      <c r="F31" s="20" t="n">
        <v>1.21520581</v>
      </c>
      <c r="G31" s="18" t="n">
        <v>23.30661723</v>
      </c>
      <c r="H31" s="20" t="n">
        <v>1.22794621</v>
      </c>
      <c r="I31" s="18" t="n">
        <v>0</v>
      </c>
      <c r="J31" s="20" t="n">
        <v>0</v>
      </c>
      <c r="K31" s="18" t="n">
        <v>0.32418951</v>
      </c>
      <c r="L31" s="20" t="n">
        <v>0.16647535</v>
      </c>
      <c r="M31" s="18" t="n">
        <v>0</v>
      </c>
      <c r="N31" s="20" t="n">
        <v>0</v>
      </c>
      <c r="O31" s="18" t="n">
        <v>0</v>
      </c>
      <c r="P31" s="20" t="n">
        <v>0</v>
      </c>
      <c r="Q31" s="18" t="n">
        <v>3.51230621</v>
      </c>
      <c r="R31" s="20" t="n">
        <v>0.58737695</v>
      </c>
    </row>
    <row r="32" spans="1:18">
      <c r="A32" s="15" t="s">
        <v>590</v>
      </c>
      <c r="B32" s="17" t="n">
        <v>4478</v>
      </c>
      <c r="C32" s="18">
        <f>(3479.0/B32*100)</f>
        <v/>
      </c>
      <c r="D32" s="19" t="n">
        <v>999</v>
      </c>
      <c r="E32" s="18" t="n">
        <v>83.01828872</v>
      </c>
      <c r="F32" s="20" t="n">
        <v>1.13552777</v>
      </c>
      <c r="G32" s="18" t="n">
        <v>14.66534304</v>
      </c>
      <c r="H32" s="20" t="n">
        <v>1.06455449</v>
      </c>
      <c r="I32" s="18" t="n">
        <v>0</v>
      </c>
      <c r="J32" s="20" t="n">
        <v>0</v>
      </c>
      <c r="K32" s="18" t="n">
        <v>0</v>
      </c>
      <c r="L32" s="20" t="n">
        <v>0</v>
      </c>
      <c r="M32" s="18" t="n">
        <v>0</v>
      </c>
      <c r="N32" s="20" t="n">
        <v>0</v>
      </c>
      <c r="O32" s="18" t="n">
        <v>0</v>
      </c>
      <c r="P32" s="20" t="n">
        <v>0</v>
      </c>
      <c r="Q32" s="18" t="n">
        <v>2.31636825</v>
      </c>
      <c r="R32" s="20" t="n">
        <v>0.5266467</v>
      </c>
    </row>
    <row r="33" spans="1:18">
      <c r="A33" s="15" t="s">
        <v>591</v>
      </c>
      <c r="B33" s="17" t="n">
        <v>7325</v>
      </c>
      <c r="C33" s="18">
        <f>(5762.0/B33*100)</f>
        <v/>
      </c>
      <c r="D33" s="19" t="n">
        <v>1563</v>
      </c>
      <c r="E33" s="18" t="n">
        <v>81.35200285000001</v>
      </c>
      <c r="F33" s="20" t="n">
        <v>1.1754383</v>
      </c>
      <c r="G33" s="18" t="n">
        <v>15.3534013</v>
      </c>
      <c r="H33" s="20" t="n">
        <v>1.0705084</v>
      </c>
      <c r="I33" s="18" t="n">
        <v>0</v>
      </c>
      <c r="J33" s="20" t="n">
        <v>0</v>
      </c>
      <c r="K33" s="18" t="n">
        <v>0.12764596</v>
      </c>
      <c r="L33" s="20" t="n">
        <v>0.15127668</v>
      </c>
      <c r="M33" s="18" t="n">
        <v>0</v>
      </c>
      <c r="N33" s="20" t="n">
        <v>0</v>
      </c>
      <c r="O33" s="18" t="n">
        <v>0</v>
      </c>
      <c r="P33" s="20" t="n">
        <v>0</v>
      </c>
      <c r="Q33" s="18" t="n">
        <v>3.16694988</v>
      </c>
      <c r="R33" s="20" t="n">
        <v>0.59398335</v>
      </c>
    </row>
    <row r="34" spans="1:18">
      <c r="A34" s="15" t="s">
        <v>592</v>
      </c>
      <c r="B34" s="17" t="n">
        <v>6350</v>
      </c>
      <c r="C34" s="18">
        <f>(4939.0/B34*100)</f>
        <v/>
      </c>
      <c r="D34" s="19" t="n">
        <v>1411</v>
      </c>
      <c r="E34" s="18" t="n">
        <v>84.13347871000001</v>
      </c>
      <c r="F34" s="20" t="n">
        <v>1.0616884</v>
      </c>
      <c r="G34" s="18" t="n">
        <v>12.79729223</v>
      </c>
      <c r="H34" s="20" t="n">
        <v>0.98502545</v>
      </c>
      <c r="I34" s="18" t="n">
        <v>0</v>
      </c>
      <c r="J34" s="20" t="n">
        <v>0</v>
      </c>
      <c r="K34" s="18" t="n">
        <v>0.12776475</v>
      </c>
      <c r="L34" s="20" t="n">
        <v>0.09022018</v>
      </c>
      <c r="M34" s="18" t="n">
        <v>0</v>
      </c>
      <c r="N34" s="20" t="n">
        <v>0</v>
      </c>
      <c r="O34" s="18" t="n">
        <v>0</v>
      </c>
      <c r="P34" s="20" t="n">
        <v>0</v>
      </c>
      <c r="Q34" s="18" t="n">
        <v>2.94146431</v>
      </c>
      <c r="R34" s="20" t="n">
        <v>0.47281722</v>
      </c>
    </row>
    <row r="35" spans="1:18">
      <c r="A35" s="15" t="s">
        <v>593</v>
      </c>
      <c r="B35" s="17" t="n">
        <v>6406</v>
      </c>
      <c r="C35" s="18">
        <f>(5029.0/B35*100)</f>
        <v/>
      </c>
      <c r="D35" s="19" t="n">
        <v>1377</v>
      </c>
      <c r="E35" s="18" t="n">
        <v>75.96610563999999</v>
      </c>
      <c r="F35" s="20" t="n">
        <v>1.54880552</v>
      </c>
      <c r="G35" s="18" t="n">
        <v>20.57599335</v>
      </c>
      <c r="H35" s="20" t="n">
        <v>1.41273727</v>
      </c>
      <c r="I35" s="18" t="n">
        <v>0</v>
      </c>
      <c r="J35" s="20" t="n">
        <v>0</v>
      </c>
      <c r="K35" s="18" t="n">
        <v>0.48282153</v>
      </c>
      <c r="L35" s="20" t="n">
        <v>0.36652396</v>
      </c>
      <c r="M35" s="18" t="n">
        <v>0</v>
      </c>
      <c r="N35" s="20" t="n">
        <v>0</v>
      </c>
      <c r="O35" s="18" t="n">
        <v>0</v>
      </c>
      <c r="P35" s="20" t="n">
        <v>0</v>
      </c>
      <c r="Q35" s="18" t="n">
        <v>2.97507949</v>
      </c>
      <c r="R35" s="20" t="n">
        <v>0.54789649</v>
      </c>
    </row>
    <row r="36" spans="1:18">
      <c r="A36" s="15" t="s">
        <v>594</v>
      </c>
      <c r="B36" s="17" t="n">
        <v>6736</v>
      </c>
      <c r="C36" s="18">
        <f>(5278.0/B36*100)</f>
        <v/>
      </c>
      <c r="D36" s="19" t="n">
        <v>1458</v>
      </c>
      <c r="E36" s="18" t="n">
        <v>80.64831827</v>
      </c>
      <c r="F36" s="20" t="n">
        <v>1.1523138</v>
      </c>
      <c r="G36" s="18" t="n">
        <v>15.86572528</v>
      </c>
      <c r="H36" s="20" t="n">
        <v>1.01840222</v>
      </c>
      <c r="I36" s="18" t="n">
        <v>0</v>
      </c>
      <c r="J36" s="20" t="n">
        <v>0</v>
      </c>
      <c r="K36" s="18" t="n">
        <v>0.09826211</v>
      </c>
      <c r="L36" s="20" t="n">
        <v>0.10346954</v>
      </c>
      <c r="M36" s="18" t="n">
        <v>0</v>
      </c>
      <c r="N36" s="20" t="n">
        <v>0</v>
      </c>
      <c r="O36" s="18" t="n">
        <v>0</v>
      </c>
      <c r="P36" s="20" t="n">
        <v>0</v>
      </c>
      <c r="Q36" s="18" t="n">
        <v>3.38769434</v>
      </c>
      <c r="R36" s="20" t="n">
        <v>0.55617636</v>
      </c>
    </row>
    <row r="37" spans="1:18">
      <c r="A37" s="15" t="s">
        <v>595</v>
      </c>
      <c r="B37" s="17" t="n">
        <v>5458</v>
      </c>
      <c r="C37" s="18">
        <f>(4275.0/B37*100)</f>
        <v/>
      </c>
      <c r="D37" s="19" t="n">
        <v>1183</v>
      </c>
      <c r="E37" s="18" t="n">
        <v>77.19324675999999</v>
      </c>
      <c r="F37" s="20" t="n">
        <v>1.29135518</v>
      </c>
      <c r="G37" s="18" t="n">
        <v>17.58470546</v>
      </c>
      <c r="H37" s="20" t="n">
        <v>1.24981744</v>
      </c>
      <c r="I37" s="18" t="n">
        <v>0</v>
      </c>
      <c r="J37" s="20" t="n">
        <v>0</v>
      </c>
      <c r="K37" s="18" t="n">
        <v>0.24598972</v>
      </c>
      <c r="L37" s="20" t="n">
        <v>0.14374185</v>
      </c>
      <c r="M37" s="18" t="n">
        <v>0</v>
      </c>
      <c r="N37" s="20" t="n">
        <v>0</v>
      </c>
      <c r="O37" s="18" t="n">
        <v>0</v>
      </c>
      <c r="P37" s="20" t="n">
        <v>0</v>
      </c>
      <c r="Q37" s="18" t="n">
        <v>4.97605806</v>
      </c>
      <c r="R37" s="20" t="n">
        <v>0.71688484</v>
      </c>
    </row>
    <row r="38" spans="1:18">
      <c r="A38" s="15" t="s">
        <v>596</v>
      </c>
      <c r="B38" s="17" t="n">
        <v>5860</v>
      </c>
      <c r="C38" s="18">
        <f>(4615.0/B38*100)</f>
        <v/>
      </c>
      <c r="D38" s="19" t="n">
        <v>1245</v>
      </c>
      <c r="E38" s="18" t="n">
        <v>70.55512722</v>
      </c>
      <c r="F38" s="20" t="n">
        <v>1.39889765</v>
      </c>
      <c r="G38" s="18" t="n">
        <v>26.89110481</v>
      </c>
      <c r="H38" s="20" t="n">
        <v>1.3766568</v>
      </c>
      <c r="I38" s="18" t="n">
        <v>0</v>
      </c>
      <c r="J38" s="20" t="n">
        <v>0</v>
      </c>
      <c r="K38" s="18" t="n">
        <v>0.12223771</v>
      </c>
      <c r="L38" s="20" t="n">
        <v>0.12171241</v>
      </c>
      <c r="M38" s="18" t="n">
        <v>0</v>
      </c>
      <c r="N38" s="20" t="n">
        <v>0</v>
      </c>
      <c r="O38" s="18" t="n">
        <v>0</v>
      </c>
      <c r="P38" s="20" t="n">
        <v>0</v>
      </c>
      <c r="Q38" s="18" t="n">
        <v>2.43153026</v>
      </c>
      <c r="R38" s="20" t="n">
        <v>0.45721942</v>
      </c>
    </row>
    <row r="39" spans="1:18">
      <c r="A39" s="15" t="s">
        <v>597</v>
      </c>
      <c r="B39" s="17" t="n">
        <v>5895</v>
      </c>
      <c r="C39" s="18">
        <f>(4567.0/B39*100)</f>
        <v/>
      </c>
      <c r="D39" s="19" t="n">
        <v>1328</v>
      </c>
      <c r="E39" s="18" t="n">
        <v>87.6531892</v>
      </c>
      <c r="F39" s="20" t="n">
        <v>1.09423997</v>
      </c>
      <c r="G39" s="18" t="n">
        <v>7.27733419</v>
      </c>
      <c r="H39" s="20" t="n">
        <v>0.90189534</v>
      </c>
      <c r="I39" s="18" t="n">
        <v>0</v>
      </c>
      <c r="J39" s="20" t="n">
        <v>0</v>
      </c>
      <c r="K39" s="18" t="n">
        <v>0.09378867</v>
      </c>
      <c r="L39" s="20" t="n">
        <v>0.08865993</v>
      </c>
      <c r="M39" s="18" t="n">
        <v>0</v>
      </c>
      <c r="N39" s="20" t="n">
        <v>0</v>
      </c>
      <c r="O39" s="18" t="n">
        <v>0</v>
      </c>
      <c r="P39" s="20" t="n">
        <v>0</v>
      </c>
      <c r="Q39" s="18" t="n">
        <v>4.97568794</v>
      </c>
      <c r="R39" s="20" t="n">
        <v>0.9090573</v>
      </c>
    </row>
    <row r="40" spans="1:18">
      <c r="A40" s="15" t="s">
        <v>598</v>
      </c>
      <c r="B40" s="17" t="n">
        <v>14157</v>
      </c>
      <c r="C40" s="18">
        <f>(11033.0/B40*100)</f>
        <v/>
      </c>
      <c r="D40" s="19" t="n">
        <v>3124</v>
      </c>
      <c r="E40" s="18" t="n">
        <v>76.21429191999999</v>
      </c>
      <c r="F40" s="20" t="n">
        <v>1.35178172</v>
      </c>
      <c r="G40" s="18" t="n">
        <v>20.30162583</v>
      </c>
      <c r="H40" s="20" t="n">
        <v>1.32299446</v>
      </c>
      <c r="I40" s="18" t="n">
        <v>0</v>
      </c>
      <c r="J40" s="20" t="n">
        <v>0</v>
      </c>
      <c r="K40" s="18" t="n">
        <v>0.22902056</v>
      </c>
      <c r="L40" s="20" t="n">
        <v>0.14944513</v>
      </c>
      <c r="M40" s="18" t="n">
        <v>0</v>
      </c>
      <c r="N40" s="20" t="n">
        <v>0</v>
      </c>
      <c r="O40" s="18" t="n">
        <v>0</v>
      </c>
      <c r="P40" s="20" t="n">
        <v>0</v>
      </c>
      <c r="Q40" s="18" t="n">
        <v>3.2550617</v>
      </c>
      <c r="R40" s="20" t="n">
        <v>0.44006233</v>
      </c>
    </row>
    <row r="41" spans="1:18">
      <c r="A41" s="15" t="s">
        <v>599</v>
      </c>
      <c r="B41" s="17" t="n">
        <v>5712</v>
      </c>
      <c r="C41" s="18">
        <f>(4476.0/B41*100)</f>
        <v/>
      </c>
      <c r="D41" s="19" t="n">
        <v>1236</v>
      </c>
      <c r="E41" s="18" t="n">
        <v>74.75022703</v>
      </c>
      <c r="F41" s="20" t="n">
        <v>1.67778694</v>
      </c>
      <c r="G41" s="18" t="n">
        <v>22.61966485</v>
      </c>
      <c r="H41" s="20" t="n">
        <v>1.63150469</v>
      </c>
      <c r="I41" s="18" t="n">
        <v>0</v>
      </c>
      <c r="J41" s="20" t="n">
        <v>0</v>
      </c>
      <c r="K41" s="18" t="n">
        <v>0.03285863</v>
      </c>
      <c r="L41" s="20" t="n">
        <v>0.03305369</v>
      </c>
      <c r="M41" s="18" t="n">
        <v>0</v>
      </c>
      <c r="N41" s="20" t="n">
        <v>0</v>
      </c>
      <c r="O41" s="18" t="n">
        <v>0</v>
      </c>
      <c r="P41" s="20" t="n">
        <v>0</v>
      </c>
      <c r="Q41" s="18" t="n">
        <v>2.59724949</v>
      </c>
      <c r="R41" s="20" t="n">
        <v>0.45895949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(18814.0/B46*100)</f>
        <v/>
      </c>
      <c r="D46" s="19" t="n">
        <v>4327</v>
      </c>
      <c r="E46" s="18" t="n">
        <v>87.7309207</v>
      </c>
      <c r="F46" s="20" t="n">
        <v>0.67888098</v>
      </c>
      <c r="G46" s="18" t="n">
        <v>4.42720456</v>
      </c>
      <c r="H46" s="20" t="n">
        <v>0.51269283</v>
      </c>
      <c r="I46" s="18" t="n">
        <v>0</v>
      </c>
      <c r="J46" s="20" t="n">
        <v>0</v>
      </c>
      <c r="K46" s="18" t="n">
        <v>0.74802666</v>
      </c>
      <c r="L46" s="20" t="n">
        <v>0.17462247</v>
      </c>
      <c r="M46" s="18" t="n">
        <v>0</v>
      </c>
      <c r="N46" s="20" t="n">
        <v>0</v>
      </c>
      <c r="O46" s="18" t="n">
        <v>0</v>
      </c>
      <c r="P46" s="20" t="n">
        <v>0</v>
      </c>
      <c r="Q46" s="18" t="n">
        <v>7.09384808</v>
      </c>
      <c r="R46" s="20" t="n">
        <v>0.51718421</v>
      </c>
    </row>
    <row r="47" spans="1:18">
      <c r="A47" s="15" t="s">
        <v>606</v>
      </c>
      <c r="B47" s="17" t="n">
        <v>5928</v>
      </c>
      <c r="C47" s="18">
        <f>(4596.0/B47*100)</f>
        <v/>
      </c>
      <c r="D47" s="19" t="n">
        <v>1332</v>
      </c>
      <c r="E47" s="18" t="n">
        <v>83.17828172</v>
      </c>
      <c r="F47" s="20" t="n">
        <v>1.02488024</v>
      </c>
      <c r="G47" s="18" t="n">
        <v>10.73360795</v>
      </c>
      <c r="H47" s="20" t="n">
        <v>1.04636066</v>
      </c>
      <c r="I47" s="18" t="n">
        <v>0</v>
      </c>
      <c r="J47" s="20" t="n">
        <v>0</v>
      </c>
      <c r="K47" s="18" t="n">
        <v>0.19839009</v>
      </c>
      <c r="L47" s="20" t="n">
        <v>0.11350953</v>
      </c>
      <c r="M47" s="18" t="n">
        <v>0</v>
      </c>
      <c r="N47" s="20" t="n">
        <v>0</v>
      </c>
      <c r="O47" s="18" t="n">
        <v>0</v>
      </c>
      <c r="P47" s="20" t="n">
        <v>0</v>
      </c>
      <c r="Q47" s="18" t="n">
        <v>5.88972023</v>
      </c>
      <c r="R47" s="20" t="n">
        <v>0.6691397100000001</v>
      </c>
    </row>
    <row r="48" spans="1:18">
      <c r="A48" s="15" t="s">
        <v>607</v>
      </c>
      <c r="B48" s="17" t="n">
        <v>9841</v>
      </c>
      <c r="C48" s="18">
        <f>(7666.0/B48*100)</f>
        <v/>
      </c>
      <c r="D48" s="19" t="n">
        <v>2175</v>
      </c>
      <c r="E48" s="18" t="n">
        <v>76.01273513</v>
      </c>
      <c r="F48" s="20" t="n">
        <v>1.37742166</v>
      </c>
      <c r="G48" s="18" t="n">
        <v>21.36498257</v>
      </c>
      <c r="H48" s="20" t="n">
        <v>1.39812673</v>
      </c>
      <c r="I48" s="18" t="n">
        <v>0</v>
      </c>
      <c r="J48" s="20" t="n">
        <v>0</v>
      </c>
      <c r="K48" s="18" t="n">
        <v>0.21360997</v>
      </c>
      <c r="L48" s="20" t="n">
        <v>0.13541265</v>
      </c>
      <c r="M48" s="18" t="n">
        <v>0</v>
      </c>
      <c r="N48" s="20" t="n">
        <v>0</v>
      </c>
      <c r="O48" s="18" t="n">
        <v>0</v>
      </c>
      <c r="P48" s="20" t="n">
        <v>0</v>
      </c>
      <c r="Q48" s="18" t="n">
        <v>2.40867233</v>
      </c>
      <c r="R48" s="20" t="n">
        <v>0.42470598</v>
      </c>
    </row>
    <row r="49" spans="1:18">
      <c r="A49" s="15" t="s">
        <v>608</v>
      </c>
      <c r="B49" s="17" t="n">
        <v>11795</v>
      </c>
      <c r="C49" s="18">
        <f>(9264.0/B49*100)</f>
        <v/>
      </c>
      <c r="D49" s="19" t="n">
        <v>2531</v>
      </c>
      <c r="E49" s="18" t="n">
        <v>90.45889443999999</v>
      </c>
      <c r="F49" s="20" t="n">
        <v>0.71268225</v>
      </c>
      <c r="G49" s="18" t="n">
        <v>6.75110737</v>
      </c>
      <c r="H49" s="20" t="n">
        <v>0.52866635</v>
      </c>
      <c r="I49" s="18" t="n">
        <v>0</v>
      </c>
      <c r="J49" s="20" t="n">
        <v>0</v>
      </c>
      <c r="K49" s="18" t="n">
        <v>0.3318783</v>
      </c>
      <c r="L49" s="20" t="n">
        <v>0.13094414</v>
      </c>
      <c r="M49" s="18" t="n">
        <v>0</v>
      </c>
      <c r="N49" s="20" t="n">
        <v>0</v>
      </c>
      <c r="O49" s="18" t="n">
        <v>0</v>
      </c>
      <c r="P49" s="20" t="n">
        <v>0</v>
      </c>
      <c r="Q49" s="18" t="n">
        <v>2.45811988</v>
      </c>
      <c r="R49" s="20" t="n">
        <v>0.43559818</v>
      </c>
    </row>
    <row r="50" spans="1:18">
      <c r="A50" s="15" t="s">
        <v>609</v>
      </c>
      <c r="B50" s="17" t="n">
        <v>6866</v>
      </c>
      <c r="C50" s="18">
        <f>(5576.0/B50*100)</f>
        <v/>
      </c>
      <c r="D50" s="19" t="n">
        <v>1290</v>
      </c>
      <c r="E50" s="18" t="n">
        <v>88.78263105000001</v>
      </c>
      <c r="F50" s="20" t="n">
        <v>1.05852051</v>
      </c>
      <c r="G50" s="18" t="n">
        <v>6.83759898</v>
      </c>
      <c r="H50" s="20" t="n">
        <v>0.79288291</v>
      </c>
      <c r="I50" s="18" t="n">
        <v>0</v>
      </c>
      <c r="J50" s="20" t="n">
        <v>0</v>
      </c>
      <c r="K50" s="18" t="n">
        <v>0.11271399</v>
      </c>
      <c r="L50" s="20" t="n">
        <v>0.08432291</v>
      </c>
      <c r="M50" s="18" t="n">
        <v>0</v>
      </c>
      <c r="N50" s="20" t="n">
        <v>0</v>
      </c>
      <c r="O50" s="18" t="n">
        <v>0</v>
      </c>
      <c r="P50" s="20" t="n">
        <v>0</v>
      </c>
      <c r="Q50" s="18" t="n">
        <v>4.26705598</v>
      </c>
      <c r="R50" s="20" t="n">
        <v>0.86846356</v>
      </c>
    </row>
    <row r="51" spans="1:18">
      <c r="A51" s="15" t="s">
        <v>610</v>
      </c>
      <c r="B51" s="17" t="n">
        <v>5809</v>
      </c>
      <c r="C51" s="18">
        <f>(4570.0/B51*100)</f>
        <v/>
      </c>
      <c r="D51" s="19" t="n">
        <v>1239</v>
      </c>
      <c r="E51" s="18" t="n">
        <v>87.36341311</v>
      </c>
      <c r="F51" s="20" t="n">
        <v>1.17975499</v>
      </c>
      <c r="G51" s="18" t="n">
        <v>8.59769358</v>
      </c>
      <c r="H51" s="20" t="n">
        <v>1.04549584</v>
      </c>
      <c r="I51" s="18" t="n">
        <v>0</v>
      </c>
      <c r="J51" s="20" t="n">
        <v>0</v>
      </c>
      <c r="K51" s="18" t="n">
        <v>0</v>
      </c>
      <c r="L51" s="20" t="n">
        <v>0</v>
      </c>
      <c r="M51" s="18" t="n">
        <v>0</v>
      </c>
      <c r="N51" s="20" t="n">
        <v>0</v>
      </c>
      <c r="O51" s="18" t="n">
        <v>0</v>
      </c>
      <c r="P51" s="20" t="n">
        <v>0</v>
      </c>
      <c r="Q51" s="18" t="n">
        <v>4.03889331</v>
      </c>
      <c r="R51" s="20" t="n">
        <v>0.57397159</v>
      </c>
    </row>
    <row r="52" spans="1:18">
      <c r="A52" s="15" t="s">
        <v>611</v>
      </c>
      <c r="B52" s="17" t="n">
        <v>5571</v>
      </c>
      <c r="C52" s="18">
        <f>(4386.0/B52*100)</f>
        <v/>
      </c>
      <c r="D52" s="19" t="n">
        <v>1185</v>
      </c>
      <c r="E52" s="18" t="n">
        <v>84.24482697000001</v>
      </c>
      <c r="F52" s="20" t="n">
        <v>1.23516912</v>
      </c>
      <c r="G52" s="18" t="n">
        <v>9.97953287</v>
      </c>
      <c r="H52" s="20" t="n">
        <v>1.03964102</v>
      </c>
      <c r="I52" s="18" t="n">
        <v>0</v>
      </c>
      <c r="J52" s="20" t="n">
        <v>0</v>
      </c>
      <c r="K52" s="18" t="n">
        <v>0.35744016</v>
      </c>
      <c r="L52" s="20" t="n">
        <v>0.16690317</v>
      </c>
      <c r="M52" s="18" t="n">
        <v>0</v>
      </c>
      <c r="N52" s="20" t="n">
        <v>0</v>
      </c>
      <c r="O52" s="18" t="n">
        <v>0</v>
      </c>
      <c r="P52" s="20" t="n">
        <v>0</v>
      </c>
      <c r="Q52" s="18" t="n">
        <v>5.4182</v>
      </c>
      <c r="R52" s="20" t="n">
        <v>0.67843062</v>
      </c>
    </row>
    <row r="53" spans="1:18">
      <c r="A53" s="15" t="s">
        <v>612</v>
      </c>
      <c r="B53" s="17" t="n">
        <v>4740</v>
      </c>
      <c r="C53" s="18">
        <f>(3667.0/B53*100)</f>
        <v/>
      </c>
      <c r="D53" s="19" t="n">
        <v>1073</v>
      </c>
      <c r="E53" s="18" t="n">
        <v>76.58033119</v>
      </c>
      <c r="F53" s="20" t="n">
        <v>1.5204534</v>
      </c>
      <c r="G53" s="18" t="n">
        <v>2.13536724</v>
      </c>
      <c r="H53" s="20" t="n">
        <v>0.57358551</v>
      </c>
      <c r="I53" s="18" t="n">
        <v>0</v>
      </c>
      <c r="J53" s="20" t="n">
        <v>0</v>
      </c>
      <c r="K53" s="18" t="n">
        <v>13.14143727</v>
      </c>
      <c r="L53" s="20" t="n">
        <v>1.1060535</v>
      </c>
      <c r="M53" s="18" t="n">
        <v>0</v>
      </c>
      <c r="N53" s="20" t="n">
        <v>0</v>
      </c>
      <c r="O53" s="18" t="n">
        <v>0</v>
      </c>
      <c r="P53" s="20" t="n">
        <v>0</v>
      </c>
      <c r="Q53" s="18" t="n">
        <v>8.14286429</v>
      </c>
      <c r="R53" s="20" t="n">
        <v>1.01698114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(4173.0/B55*100)</f>
        <v/>
      </c>
      <c r="D55" s="19" t="n">
        <v>1186</v>
      </c>
      <c r="E55" s="18" t="n">
        <v>82.20113923</v>
      </c>
      <c r="F55" s="20" t="n">
        <v>1.17459822</v>
      </c>
      <c r="G55" s="18" t="n">
        <v>15.8626636</v>
      </c>
      <c r="H55" s="20" t="n">
        <v>1.09296908</v>
      </c>
      <c r="I55" s="18" t="n">
        <v>0</v>
      </c>
      <c r="J55" s="20" t="n">
        <v>0</v>
      </c>
      <c r="K55" s="18" t="n">
        <v>0.14813507</v>
      </c>
      <c r="L55" s="20" t="n">
        <v>0.11157053</v>
      </c>
      <c r="M55" s="18" t="n">
        <v>0</v>
      </c>
      <c r="N55" s="20" t="n">
        <v>0</v>
      </c>
      <c r="O55" s="18" t="n">
        <v>0</v>
      </c>
      <c r="P55" s="20" t="n">
        <v>0</v>
      </c>
      <c r="Q55" s="18" t="n">
        <v>1.78806209</v>
      </c>
      <c r="R55" s="20" t="n">
        <v>0.47573409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(5076.0/B61*100)</f>
        <v/>
      </c>
      <c r="D61" s="19" t="n">
        <v>1449</v>
      </c>
      <c r="E61" s="18" t="n">
        <v>84.71362894000001</v>
      </c>
      <c r="F61" s="20" t="n">
        <v>0.88410598</v>
      </c>
      <c r="G61" s="18" t="n">
        <v>11.52962514</v>
      </c>
      <c r="H61" s="20" t="n">
        <v>0.96246038</v>
      </c>
      <c r="I61" s="18" t="n">
        <v>0</v>
      </c>
      <c r="J61" s="20" t="n">
        <v>0</v>
      </c>
      <c r="K61" s="18" t="n">
        <v>0.16785091</v>
      </c>
      <c r="L61" s="20" t="n">
        <v>0.10539438</v>
      </c>
      <c r="M61" s="18" t="n">
        <v>0</v>
      </c>
      <c r="N61" s="20" t="n">
        <v>0</v>
      </c>
      <c r="O61" s="18" t="n">
        <v>0</v>
      </c>
      <c r="P61" s="20" t="n">
        <v>0</v>
      </c>
      <c r="Q61" s="18" t="n">
        <v>3.58889501</v>
      </c>
      <c r="R61" s="20" t="n">
        <v>0.49342367</v>
      </c>
    </row>
    <row r="62" spans="1:18">
      <c r="A62" s="15" t="s">
        <v>622</v>
      </c>
      <c r="B62" s="17" t="n">
        <v>4476</v>
      </c>
      <c r="C62" s="18">
        <f>(3509.0/B62*100)</f>
        <v/>
      </c>
      <c r="D62" s="19" t="n">
        <v>967</v>
      </c>
      <c r="E62" s="18" t="n">
        <v>76.42919334</v>
      </c>
      <c r="F62" s="20" t="n">
        <v>1.36758544</v>
      </c>
      <c r="G62" s="18" t="n">
        <v>22.63449968</v>
      </c>
      <c r="H62" s="20" t="n">
        <v>1.39466113</v>
      </c>
      <c r="I62" s="18" t="n">
        <v>0</v>
      </c>
      <c r="J62" s="20" t="n">
        <v>0</v>
      </c>
      <c r="K62" s="18" t="n">
        <v>0.1062936</v>
      </c>
      <c r="L62" s="20" t="n">
        <v>0.10655536</v>
      </c>
      <c r="M62" s="18" t="n">
        <v>0</v>
      </c>
      <c r="N62" s="20" t="n">
        <v>0</v>
      </c>
      <c r="O62" s="18" t="n">
        <v>0</v>
      </c>
      <c r="P62" s="20" t="n">
        <v>0</v>
      </c>
      <c r="Q62" s="18" t="n">
        <v>0.83001338</v>
      </c>
      <c r="R62" s="20" t="n">
        <v>0.28823128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(4421.0/B67*100)</f>
        <v/>
      </c>
      <c r="D67" s="19" t="n">
        <v>1244</v>
      </c>
      <c r="E67" s="18" t="n">
        <v>86.40772235999999</v>
      </c>
      <c r="F67" s="20" t="n">
        <v>1.0163774</v>
      </c>
      <c r="G67" s="18" t="n">
        <v>3.47563338</v>
      </c>
      <c r="H67" s="20" t="n">
        <v>0.54779167</v>
      </c>
      <c r="I67" s="18" t="n">
        <v>0</v>
      </c>
      <c r="J67" s="20" t="n">
        <v>0</v>
      </c>
      <c r="K67" s="18" t="n">
        <v>0.46024421</v>
      </c>
      <c r="L67" s="20" t="n">
        <v>0.14982788</v>
      </c>
      <c r="M67" s="18" t="n">
        <v>0</v>
      </c>
      <c r="N67" s="20" t="n">
        <v>0</v>
      </c>
      <c r="O67" s="18" t="n">
        <v>0</v>
      </c>
      <c r="P67" s="20" t="n">
        <v>0</v>
      </c>
      <c r="Q67" s="18" t="n">
        <v>9.656400039999999</v>
      </c>
      <c r="R67" s="20" t="n">
        <v>0.75055626</v>
      </c>
    </row>
    <row r="68" spans="1:18">
      <c r="A68" s="15" t="s">
        <v>628</v>
      </c>
      <c r="B68" s="17" t="n">
        <v>6971</v>
      </c>
      <c r="C68" s="18">
        <f>(5530.0/B68*100)</f>
        <v/>
      </c>
      <c r="D68" s="19" t="n">
        <v>1441</v>
      </c>
      <c r="E68" s="18" t="n">
        <v>88.75426275</v>
      </c>
      <c r="F68" s="20" t="n">
        <v>0.8934183999999999</v>
      </c>
      <c r="G68" s="18" t="n">
        <v>6.36340133</v>
      </c>
      <c r="H68" s="20" t="n">
        <v>0.66953765</v>
      </c>
      <c r="I68" s="18" t="n">
        <v>0</v>
      </c>
      <c r="J68" s="20" t="n">
        <v>0</v>
      </c>
      <c r="K68" s="18" t="n">
        <v>0.13438775</v>
      </c>
      <c r="L68" s="20" t="n">
        <v>0.09536992</v>
      </c>
      <c r="M68" s="18" t="n">
        <v>0</v>
      </c>
      <c r="N68" s="20" t="n">
        <v>0</v>
      </c>
      <c r="O68" s="18" t="n">
        <v>0</v>
      </c>
      <c r="P68" s="20" t="n">
        <v>0</v>
      </c>
      <c r="Q68" s="18" t="n">
        <v>4.74794817</v>
      </c>
      <c r="R68" s="20" t="n">
        <v>0.63809064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(9413.0/B70*100)</f>
        <v/>
      </c>
      <c r="D70" s="19" t="n">
        <v>2670</v>
      </c>
      <c r="E70" s="18" t="n">
        <v>85.82004515</v>
      </c>
      <c r="F70" s="20" t="n">
        <v>0.67728989</v>
      </c>
      <c r="G70" s="18" t="n">
        <v>7.66033319</v>
      </c>
      <c r="H70" s="20" t="n">
        <v>0.4932189</v>
      </c>
      <c r="I70" s="18" t="n">
        <v>0</v>
      </c>
      <c r="J70" s="20" t="n">
        <v>0</v>
      </c>
      <c r="K70" s="18" t="n">
        <v>0.8493148</v>
      </c>
      <c r="L70" s="20" t="n">
        <v>0.1734371</v>
      </c>
      <c r="M70" s="18" t="n">
        <v>0</v>
      </c>
      <c r="N70" s="20" t="n">
        <v>0</v>
      </c>
      <c r="O70" s="18" t="n">
        <v>0</v>
      </c>
      <c r="P70" s="20" t="n">
        <v>0</v>
      </c>
      <c r="Q70" s="18" t="n">
        <v>5.67030686</v>
      </c>
      <c r="R70" s="20" t="n">
        <v>0.45132937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(4735.0/B72*100)</f>
        <v/>
      </c>
      <c r="D72" s="19" t="n">
        <v>1301</v>
      </c>
      <c r="E72" s="18" t="n">
        <v>83.43709671000001</v>
      </c>
      <c r="F72" s="20" t="n">
        <v>1.14996643</v>
      </c>
      <c r="G72" s="18" t="n">
        <v>13.46899253</v>
      </c>
      <c r="H72" s="20" t="n">
        <v>1.01527826</v>
      </c>
      <c r="I72" s="18" t="n">
        <v>0</v>
      </c>
      <c r="J72" s="20" t="n">
        <v>0</v>
      </c>
      <c r="K72" s="18" t="n">
        <v>0.17131955</v>
      </c>
      <c r="L72" s="20" t="n">
        <v>0.08481795</v>
      </c>
      <c r="M72" s="18" t="n">
        <v>0</v>
      </c>
      <c r="N72" s="20" t="n">
        <v>0</v>
      </c>
      <c r="O72" s="18" t="n">
        <v>0</v>
      </c>
      <c r="P72" s="20" t="n">
        <v>0</v>
      </c>
      <c r="Q72" s="18" t="n">
        <v>2.92259121</v>
      </c>
      <c r="R72" s="20" t="n">
        <v>0.64672258</v>
      </c>
    </row>
    <row r="73" spans="1:18">
      <c r="A73" s="15" t="s">
        <v>633</v>
      </c>
      <c r="B73" s="17" t="n">
        <v>6115</v>
      </c>
      <c r="C73" s="18">
        <f>(4714.0/B73*100)</f>
        <v/>
      </c>
      <c r="D73" s="19" t="n">
        <v>1401</v>
      </c>
      <c r="E73" s="18" t="n">
        <v>69.64484523</v>
      </c>
      <c r="F73" s="20" t="n">
        <v>1.54443659</v>
      </c>
      <c r="G73" s="18" t="n">
        <v>29.19429051</v>
      </c>
      <c r="H73" s="20" t="n">
        <v>1.51522325</v>
      </c>
      <c r="I73" s="18" t="n">
        <v>0</v>
      </c>
      <c r="J73" s="20" t="n">
        <v>0</v>
      </c>
      <c r="K73" s="18" t="n">
        <v>0.09449895</v>
      </c>
      <c r="L73" s="20" t="n">
        <v>0.06883191</v>
      </c>
      <c r="M73" s="18" t="n">
        <v>0</v>
      </c>
      <c r="N73" s="20" t="n">
        <v>0</v>
      </c>
      <c r="O73" s="18" t="n">
        <v>0</v>
      </c>
      <c r="P73" s="20" t="n">
        <v>0</v>
      </c>
      <c r="Q73" s="18" t="n">
        <v>1.0663653</v>
      </c>
      <c r="R73" s="20" t="n">
        <v>0.28812397</v>
      </c>
    </row>
    <row r="74" spans="1:18">
      <c r="A74" s="15" t="s">
        <v>634</v>
      </c>
      <c r="B74" s="17" t="n">
        <v>7708</v>
      </c>
      <c r="C74" s="18">
        <f>(5977.0/B74*100)</f>
        <v/>
      </c>
      <c r="D74" s="19" t="n">
        <v>1731</v>
      </c>
      <c r="E74" s="18" t="n">
        <v>78.54662512</v>
      </c>
      <c r="F74" s="20" t="n">
        <v>1.01243518</v>
      </c>
      <c r="G74" s="18" t="n">
        <v>19.81979256</v>
      </c>
      <c r="H74" s="20" t="n">
        <v>0.97873405</v>
      </c>
      <c r="I74" s="18" t="n">
        <v>0</v>
      </c>
      <c r="J74" s="20" t="n">
        <v>0</v>
      </c>
      <c r="K74" s="18" t="n">
        <v>0.10453194</v>
      </c>
      <c r="L74" s="20" t="n">
        <v>0.08203671999999999</v>
      </c>
      <c r="M74" s="18" t="n">
        <v>0</v>
      </c>
      <c r="N74" s="20" t="n">
        <v>0</v>
      </c>
      <c r="O74" s="18" t="n">
        <v>0</v>
      </c>
      <c r="P74" s="20" t="n">
        <v>0</v>
      </c>
      <c r="Q74" s="18" t="n">
        <v>1.52905037</v>
      </c>
      <c r="R74" s="20" t="n">
        <v>0.29578871</v>
      </c>
    </row>
    <row r="75" spans="1:18">
      <c r="A75" s="15" t="s">
        <v>635</v>
      </c>
      <c r="B75" s="17" t="n">
        <v>8249</v>
      </c>
      <c r="C75" s="18">
        <f>(6484.0/B75*100)</f>
        <v/>
      </c>
      <c r="D75" s="19" t="n">
        <v>1765</v>
      </c>
      <c r="E75" s="18" t="n">
        <v>91.55818358000001</v>
      </c>
      <c r="F75" s="20" t="n">
        <v>0.688472</v>
      </c>
      <c r="G75" s="18" t="n">
        <v>5.99811246</v>
      </c>
      <c r="H75" s="20" t="n">
        <v>0.60695111</v>
      </c>
      <c r="I75" s="18" t="n">
        <v>0</v>
      </c>
      <c r="J75" s="20" t="n">
        <v>0</v>
      </c>
      <c r="K75" s="18" t="n">
        <v>0</v>
      </c>
      <c r="L75" s="20" t="n">
        <v>0</v>
      </c>
      <c r="M75" s="18" t="n">
        <v>0</v>
      </c>
      <c r="N75" s="20" t="n">
        <v>0</v>
      </c>
      <c r="O75" s="18" t="n">
        <v>0</v>
      </c>
      <c r="P75" s="20" t="n">
        <v>0</v>
      </c>
      <c r="Q75" s="18" t="n">
        <v>2.44370396</v>
      </c>
      <c r="R75" s="20" t="n">
        <v>0.40711178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(4299.0/B77*100)</f>
        <v/>
      </c>
      <c r="D77" s="19" t="n">
        <v>1076</v>
      </c>
      <c r="E77" s="18" t="n">
        <v>86.19174015999999</v>
      </c>
      <c r="F77" s="20" t="n">
        <v>1.17386352</v>
      </c>
      <c r="G77" s="18" t="n">
        <v>5.15094393</v>
      </c>
      <c r="H77" s="20" t="n">
        <v>0.6130348</v>
      </c>
      <c r="I77" s="18" t="n">
        <v>0</v>
      </c>
      <c r="J77" s="20" t="n">
        <v>0</v>
      </c>
      <c r="K77" s="18" t="n">
        <v>2.18942725</v>
      </c>
      <c r="L77" s="20" t="n">
        <v>0.48907522</v>
      </c>
      <c r="M77" s="18" t="n">
        <v>0</v>
      </c>
      <c r="N77" s="20" t="n">
        <v>0</v>
      </c>
      <c r="O77" s="18" t="n">
        <v>0</v>
      </c>
      <c r="P77" s="20" t="n">
        <v>0</v>
      </c>
      <c r="Q77" s="18" t="n">
        <v>6.46788866</v>
      </c>
      <c r="R77" s="20" t="n">
        <v>0.8782694599999999</v>
      </c>
    </row>
    <row r="78" spans="1:18">
      <c r="A78" s="15" t="s">
        <v>638</v>
      </c>
      <c r="B78" s="17" t="n">
        <v>14167</v>
      </c>
      <c r="C78" s="18">
        <f>(11034.0/B78*100)</f>
        <v/>
      </c>
      <c r="D78" s="19" t="n">
        <v>3133</v>
      </c>
      <c r="E78" s="18" t="n">
        <v>85.45659501999999</v>
      </c>
      <c r="F78" s="20" t="n">
        <v>0.71872719</v>
      </c>
      <c r="G78" s="18" t="n">
        <v>10.56342073</v>
      </c>
      <c r="H78" s="20" t="n">
        <v>0.84314932</v>
      </c>
      <c r="I78" s="18" t="n">
        <v>0</v>
      </c>
      <c r="J78" s="20" t="n">
        <v>0</v>
      </c>
      <c r="K78" s="18" t="n">
        <v>0.58503054</v>
      </c>
      <c r="L78" s="20" t="n">
        <v>0.14552355</v>
      </c>
      <c r="M78" s="18" t="n">
        <v>0</v>
      </c>
      <c r="N78" s="20" t="n">
        <v>0</v>
      </c>
      <c r="O78" s="18" t="n">
        <v>0</v>
      </c>
      <c r="P78" s="20" t="n">
        <v>0</v>
      </c>
      <c r="Q78" s="18" t="n">
        <v>3.39495371</v>
      </c>
      <c r="R78" s="20" t="n">
        <v>0.37628948</v>
      </c>
    </row>
    <row r="79" spans="1:18">
      <c r="A79" s="15" t="s">
        <v>639</v>
      </c>
      <c r="B79" s="17" t="n">
        <v>6062</v>
      </c>
      <c r="C79" s="18">
        <f>(4839.0/B79*100)</f>
        <v/>
      </c>
      <c r="D79" s="19" t="n">
        <v>1223</v>
      </c>
      <c r="E79" s="18" t="n">
        <v>84.33452044000001</v>
      </c>
      <c r="F79" s="20" t="n">
        <v>1.13999593</v>
      </c>
      <c r="G79" s="18" t="n">
        <v>8.771605709999999</v>
      </c>
      <c r="H79" s="20" t="n">
        <v>0.85257278</v>
      </c>
      <c r="I79" s="18" t="n">
        <v>0</v>
      </c>
      <c r="J79" s="20" t="n">
        <v>0</v>
      </c>
      <c r="K79" s="18" t="n">
        <v>0.81139175</v>
      </c>
      <c r="L79" s="20" t="n">
        <v>0.21001754</v>
      </c>
      <c r="M79" s="18" t="n">
        <v>0</v>
      </c>
      <c r="N79" s="20" t="n">
        <v>0</v>
      </c>
      <c r="O79" s="18" t="n">
        <v>0</v>
      </c>
      <c r="P79" s="20" t="n">
        <v>0</v>
      </c>
      <c r="Q79" s="18" t="n">
        <v>6.08248209</v>
      </c>
      <c r="R79" s="20" t="n">
        <v>0.78111768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(25248.0/B82*100)</f>
        <v/>
      </c>
      <c r="D82" s="19" t="n">
        <v>7082</v>
      </c>
      <c r="E82" s="18" t="n">
        <v>79.23857069</v>
      </c>
      <c r="F82" s="20" t="n">
        <v>0.6826373</v>
      </c>
      <c r="G82" s="18" t="n">
        <v>17.23332137</v>
      </c>
      <c r="H82" s="20" t="n">
        <v>0.58563771</v>
      </c>
      <c r="I82" s="18" t="n">
        <v>0</v>
      </c>
      <c r="J82" s="20" t="n">
        <v>0</v>
      </c>
      <c r="K82" s="18" t="n">
        <v>0.11327182</v>
      </c>
      <c r="L82" s="20" t="n">
        <v>0.08309936</v>
      </c>
      <c r="M82" s="18" t="n">
        <v>0</v>
      </c>
      <c r="N82" s="20" t="n">
        <v>0</v>
      </c>
      <c r="O82" s="18" t="n">
        <v>0</v>
      </c>
      <c r="P82" s="20" t="n">
        <v>0</v>
      </c>
      <c r="Q82" s="18" t="n">
        <v>3.41483613</v>
      </c>
      <c r="R82" s="20" t="n">
        <v>0.33582572</v>
      </c>
    </row>
    <row r="83" spans="1:18">
      <c r="A83" s="15" t="s">
        <v>643</v>
      </c>
      <c r="B83" s="17" t="n">
        <v>1652</v>
      </c>
      <c r="C83" s="18">
        <f>(1313.0/B83*100)</f>
        <v/>
      </c>
      <c r="D83" s="19" t="n">
        <v>339</v>
      </c>
      <c r="E83" s="18" t="n">
        <v>69.29648643</v>
      </c>
      <c r="F83" s="20" t="n">
        <v>3.18804222</v>
      </c>
      <c r="G83" s="18" t="n">
        <v>27.41844577</v>
      </c>
      <c r="H83" s="20" t="n">
        <v>3.01105387</v>
      </c>
      <c r="I83" s="18" t="n">
        <v>0</v>
      </c>
      <c r="J83" s="20" t="n">
        <v>0</v>
      </c>
      <c r="K83" s="18" t="n">
        <v>0</v>
      </c>
      <c r="L83" s="20" t="n">
        <v>0</v>
      </c>
      <c r="M83" s="18" t="n">
        <v>0</v>
      </c>
      <c r="N83" s="20" t="n">
        <v>0</v>
      </c>
      <c r="O83" s="18" t="n">
        <v>0</v>
      </c>
      <c r="P83" s="20" t="n">
        <v>0</v>
      </c>
      <c r="Q83" s="18" t="n">
        <v>3.28506779</v>
      </c>
      <c r="R83" s="20" t="n">
        <v>1.02582063</v>
      </c>
    </row>
    <row r="84" spans="1:18">
      <c r="A84" s="23" t="s">
        <v>644</v>
      </c>
      <c r="B84" s="24" t="n">
        <v>1887</v>
      </c>
      <c r="C84" s="25">
        <f>(1455.0/B84*100)</f>
        <v/>
      </c>
      <c r="D84" s="19" t="n">
        <v>432</v>
      </c>
      <c r="E84" s="18" t="n">
        <v>72.71973819</v>
      </c>
      <c r="F84" s="20" t="n">
        <v>2.33035778</v>
      </c>
      <c r="G84" s="18" t="n">
        <v>24.7481165</v>
      </c>
      <c r="H84" s="20" t="n">
        <v>2.33433815</v>
      </c>
      <c r="I84" s="18" t="n">
        <v>0</v>
      </c>
      <c r="J84" s="20" t="n">
        <v>0</v>
      </c>
      <c r="K84" s="18" t="n">
        <v>0</v>
      </c>
      <c r="L84" s="20" t="n">
        <v>0</v>
      </c>
      <c r="M84" s="18" t="n">
        <v>0</v>
      </c>
      <c r="N84" s="20" t="n">
        <v>0</v>
      </c>
      <c r="O84" s="18" t="n">
        <v>0</v>
      </c>
      <c r="P84" s="20" t="n">
        <v>0</v>
      </c>
      <c r="Q84" s="18" t="n">
        <v>2.53214532</v>
      </c>
      <c r="R84" s="20" t="n">
        <v>0.3954349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787</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(11311.0/B7*100)</f>
        <v/>
      </c>
      <c r="D7" s="19" t="n">
        <v>3219</v>
      </c>
      <c r="E7" s="18" t="n">
        <v>49.33173884</v>
      </c>
      <c r="F7" s="20" t="n">
        <v>1.04649506</v>
      </c>
      <c r="G7" s="18" t="n">
        <v>31.73725863</v>
      </c>
      <c r="H7" s="20" t="n">
        <v>1.08666737</v>
      </c>
      <c r="I7" s="18" t="n">
        <v>16.47214991</v>
      </c>
      <c r="J7" s="20" t="n">
        <v>0.87611233</v>
      </c>
      <c r="K7" s="18" t="n">
        <v>0</v>
      </c>
      <c r="L7" s="20" t="n">
        <v>0</v>
      </c>
      <c r="M7" s="18" t="n">
        <v>0.27757551</v>
      </c>
      <c r="N7" s="20" t="n">
        <v>0.13410944</v>
      </c>
      <c r="O7" s="18" t="n">
        <v>0</v>
      </c>
      <c r="P7" s="20" t="n">
        <v>0</v>
      </c>
      <c r="Q7" s="18" t="n">
        <v>0</v>
      </c>
      <c r="R7" s="20" t="n">
        <v>0</v>
      </c>
      <c r="S7" s="18" t="n">
        <v>2.18127711</v>
      </c>
      <c r="T7" s="20" t="n">
        <v>0.31705445</v>
      </c>
    </row>
    <row r="8" spans="1:20">
      <c r="A8" s="15" t="s">
        <v>566</v>
      </c>
      <c r="B8" s="17" t="n">
        <v>7007</v>
      </c>
      <c r="C8" s="18">
        <f>(5499.0/B8*100)</f>
        <v/>
      </c>
      <c r="D8" s="19" t="n">
        <v>1508</v>
      </c>
      <c r="E8" s="18" t="n">
        <v>45.77635555</v>
      </c>
      <c r="F8" s="20" t="n">
        <v>1.37451312</v>
      </c>
      <c r="G8" s="18" t="n">
        <v>35.6337476</v>
      </c>
      <c r="H8" s="20" t="n">
        <v>1.32087288</v>
      </c>
      <c r="I8" s="18" t="n">
        <v>16.86211071</v>
      </c>
      <c r="J8" s="20" t="n">
        <v>1.19724395</v>
      </c>
      <c r="K8" s="18" t="n">
        <v>0</v>
      </c>
      <c r="L8" s="20" t="n">
        <v>0</v>
      </c>
      <c r="M8" s="18" t="n">
        <v>0</v>
      </c>
      <c r="N8" s="20" t="n">
        <v>0</v>
      </c>
      <c r="O8" s="18" t="n">
        <v>0</v>
      </c>
      <c r="P8" s="20" t="n">
        <v>0</v>
      </c>
      <c r="Q8" s="18" t="n">
        <v>0</v>
      </c>
      <c r="R8" s="20" t="n">
        <v>0</v>
      </c>
      <c r="S8" s="18" t="n">
        <v>1.72778613</v>
      </c>
      <c r="T8" s="20" t="n">
        <v>0.44350758</v>
      </c>
    </row>
    <row r="9" spans="1:20">
      <c r="A9" s="15" t="s">
        <v>567</v>
      </c>
      <c r="B9" s="17" t="n">
        <v>9651</v>
      </c>
      <c r="C9" s="18">
        <f>(7616.0/B9*100)</f>
        <v/>
      </c>
      <c r="D9" s="19" t="n">
        <v>2035</v>
      </c>
      <c r="E9" s="18" t="n">
        <v>42.28033956</v>
      </c>
      <c r="F9" s="20" t="n">
        <v>1.17460106</v>
      </c>
      <c r="G9" s="18" t="n">
        <v>32.03995082</v>
      </c>
      <c r="H9" s="20" t="n">
        <v>1.19728447</v>
      </c>
      <c r="I9" s="18" t="n">
        <v>23.62157107</v>
      </c>
      <c r="J9" s="20" t="n">
        <v>0.8678374599999999</v>
      </c>
      <c r="K9" s="18" t="n">
        <v>0</v>
      </c>
      <c r="L9" s="20" t="n">
        <v>0</v>
      </c>
      <c r="M9" s="18" t="n">
        <v>0.19409251</v>
      </c>
      <c r="N9" s="20" t="n">
        <v>0.10267055</v>
      </c>
      <c r="O9" s="18" t="n">
        <v>0</v>
      </c>
      <c r="P9" s="20" t="n">
        <v>0</v>
      </c>
      <c r="Q9" s="18" t="n">
        <v>0</v>
      </c>
      <c r="R9" s="20" t="n">
        <v>0</v>
      </c>
      <c r="S9" s="18" t="n">
        <v>1.86404603</v>
      </c>
      <c r="T9" s="20" t="n">
        <v>0.37275457</v>
      </c>
    </row>
    <row r="10" spans="1:20">
      <c r="A10" s="15" t="s">
        <v>568</v>
      </c>
      <c r="B10" s="17" t="n">
        <v>20058</v>
      </c>
      <c r="C10" s="18">
        <f>(15532.0/B10*100)</f>
        <v/>
      </c>
      <c r="D10" s="19" t="n">
        <v>4526</v>
      </c>
      <c r="E10" s="18" t="n">
        <v>43.0517384</v>
      </c>
      <c r="F10" s="20" t="n">
        <v>1.08145331</v>
      </c>
      <c r="G10" s="18" t="n">
        <v>35.81948275</v>
      </c>
      <c r="H10" s="20" t="n">
        <v>1.03290412</v>
      </c>
      <c r="I10" s="18" t="n">
        <v>19.84370095</v>
      </c>
      <c r="J10" s="20" t="n">
        <v>0.984666</v>
      </c>
      <c r="K10" s="18" t="n">
        <v>0</v>
      </c>
      <c r="L10" s="20" t="n">
        <v>0</v>
      </c>
      <c r="M10" s="18" t="n">
        <v>0.11874854</v>
      </c>
      <c r="N10" s="20" t="n">
        <v>0.06321482</v>
      </c>
      <c r="O10" s="18" t="n">
        <v>0</v>
      </c>
      <c r="P10" s="20" t="n">
        <v>0</v>
      </c>
      <c r="Q10" s="18" t="n">
        <v>0</v>
      </c>
      <c r="R10" s="20" t="n">
        <v>0</v>
      </c>
      <c r="S10" s="18" t="n">
        <v>1.16632936</v>
      </c>
      <c r="T10" s="20" t="n">
        <v>0.22846576</v>
      </c>
    </row>
    <row r="11" spans="1:20">
      <c r="A11" s="15" t="s">
        <v>569</v>
      </c>
      <c r="B11" s="17" t="n">
        <v>7053</v>
      </c>
      <c r="C11" s="18">
        <f>(5468.0/B11*100)</f>
        <v/>
      </c>
      <c r="D11" s="19" t="n">
        <v>1585</v>
      </c>
      <c r="E11" s="18" t="n">
        <v>57.92269097</v>
      </c>
      <c r="F11" s="20" t="n">
        <v>1.41470105</v>
      </c>
      <c r="G11" s="18" t="n">
        <v>32.39985761</v>
      </c>
      <c r="H11" s="20" t="n">
        <v>1.37385067</v>
      </c>
      <c r="I11" s="18" t="n">
        <v>5.89287329</v>
      </c>
      <c r="J11" s="20" t="n">
        <v>0.69522393</v>
      </c>
      <c r="K11" s="18" t="n">
        <v>0</v>
      </c>
      <c r="L11" s="20" t="n">
        <v>0</v>
      </c>
      <c r="M11" s="18" t="n">
        <v>0.16113041</v>
      </c>
      <c r="N11" s="20" t="n">
        <v>0.11613463</v>
      </c>
      <c r="O11" s="18" t="n">
        <v>0</v>
      </c>
      <c r="P11" s="20" t="n">
        <v>0</v>
      </c>
      <c r="Q11" s="18" t="n">
        <v>0</v>
      </c>
      <c r="R11" s="20" t="n">
        <v>0</v>
      </c>
      <c r="S11" s="18" t="n">
        <v>3.62344772</v>
      </c>
      <c r="T11" s="20" t="n">
        <v>0.61084058</v>
      </c>
    </row>
    <row r="12" spans="1:20">
      <c r="A12" s="15" t="s">
        <v>570</v>
      </c>
      <c r="B12" s="17" t="n">
        <v>6894</v>
      </c>
      <c r="C12" s="18">
        <f>(5404.0/B12*100)</f>
        <v/>
      </c>
      <c r="D12" s="19" t="n">
        <v>1490</v>
      </c>
      <c r="E12" s="18" t="n">
        <v>44.7623824</v>
      </c>
      <c r="F12" s="20" t="n">
        <v>1.53935617</v>
      </c>
      <c r="G12" s="18" t="n">
        <v>36.73116535</v>
      </c>
      <c r="H12" s="20" t="n">
        <v>1.39845415</v>
      </c>
      <c r="I12" s="18" t="n">
        <v>17.10959343</v>
      </c>
      <c r="J12" s="20" t="n">
        <v>1.29324083</v>
      </c>
      <c r="K12" s="18" t="n">
        <v>0</v>
      </c>
      <c r="L12" s="20" t="n">
        <v>0</v>
      </c>
      <c r="M12" s="18" t="n">
        <v>0.06131286</v>
      </c>
      <c r="N12" s="20" t="n">
        <v>0.06052645</v>
      </c>
      <c r="O12" s="18" t="n">
        <v>0</v>
      </c>
      <c r="P12" s="20" t="n">
        <v>0</v>
      </c>
      <c r="Q12" s="18" t="n">
        <v>0</v>
      </c>
      <c r="R12" s="20" t="n">
        <v>0</v>
      </c>
      <c r="S12" s="18" t="n">
        <v>1.33554596</v>
      </c>
      <c r="T12" s="20" t="n">
        <v>0.34087557</v>
      </c>
    </row>
    <row r="13" spans="1:20">
      <c r="A13" s="15" t="s">
        <v>571</v>
      </c>
      <c r="B13" s="17" t="n">
        <v>7161</v>
      </c>
      <c r="C13" s="18">
        <f>(5638.0/B13*100)</f>
        <v/>
      </c>
      <c r="D13" s="19" t="n">
        <v>1523</v>
      </c>
      <c r="E13" s="18" t="n">
        <v>53.58798852</v>
      </c>
      <c r="F13" s="20" t="n">
        <v>1.56450091</v>
      </c>
      <c r="G13" s="18" t="n">
        <v>34.69974316</v>
      </c>
      <c r="H13" s="20" t="n">
        <v>1.40539291</v>
      </c>
      <c r="I13" s="18" t="n">
        <v>9.852368090000001</v>
      </c>
      <c r="J13" s="20" t="n">
        <v>0.97048812</v>
      </c>
      <c r="K13" s="18" t="n">
        <v>0</v>
      </c>
      <c r="L13" s="20" t="n">
        <v>0</v>
      </c>
      <c r="M13" s="18" t="n">
        <v>0.1963833</v>
      </c>
      <c r="N13" s="20" t="n">
        <v>0.12486499</v>
      </c>
      <c r="O13" s="18" t="n">
        <v>0</v>
      </c>
      <c r="P13" s="20" t="n">
        <v>0</v>
      </c>
      <c r="Q13" s="18" t="n">
        <v>0</v>
      </c>
      <c r="R13" s="20" t="n">
        <v>0</v>
      </c>
      <c r="S13" s="18" t="n">
        <v>1.66351693</v>
      </c>
      <c r="T13" s="20" t="n">
        <v>0.37021932</v>
      </c>
    </row>
    <row r="14" spans="1:20">
      <c r="A14" s="15" t="s">
        <v>572</v>
      </c>
      <c r="B14" s="17" t="n">
        <v>5587</v>
      </c>
      <c r="C14" s="18">
        <f>(4338.0/B14*100)</f>
        <v/>
      </c>
      <c r="D14" s="19" t="n">
        <v>1249</v>
      </c>
      <c r="E14" s="18" t="n">
        <v>44.98367791</v>
      </c>
      <c r="F14" s="20" t="n">
        <v>1.5309348</v>
      </c>
      <c r="G14" s="18" t="n">
        <v>34.50481211</v>
      </c>
      <c r="H14" s="20" t="n">
        <v>1.48953326</v>
      </c>
      <c r="I14" s="18" t="n">
        <v>19.95953631</v>
      </c>
      <c r="J14" s="20" t="n">
        <v>0.98478681</v>
      </c>
      <c r="K14" s="18" t="n">
        <v>0</v>
      </c>
      <c r="L14" s="20" t="n">
        <v>0</v>
      </c>
      <c r="M14" s="18" t="n">
        <v>0.21064418</v>
      </c>
      <c r="N14" s="20" t="n">
        <v>0.1202455</v>
      </c>
      <c r="O14" s="18" t="n">
        <v>0</v>
      </c>
      <c r="P14" s="20" t="n">
        <v>0</v>
      </c>
      <c r="Q14" s="18" t="n">
        <v>0</v>
      </c>
      <c r="R14" s="20" t="n">
        <v>0</v>
      </c>
      <c r="S14" s="18" t="n">
        <v>0.34132949</v>
      </c>
      <c r="T14" s="20" t="n">
        <v>0.17437159</v>
      </c>
    </row>
    <row r="15" spans="1:20">
      <c r="A15" s="15" t="s">
        <v>573</v>
      </c>
      <c r="B15" s="17" t="n">
        <v>5882</v>
      </c>
      <c r="C15" s="18">
        <f>(4574.0/B15*100)</f>
        <v/>
      </c>
      <c r="D15" s="19" t="n">
        <v>1308</v>
      </c>
      <c r="E15" s="18" t="n">
        <v>43.15970658</v>
      </c>
      <c r="F15" s="20" t="n">
        <v>1.45675181</v>
      </c>
      <c r="G15" s="18" t="n">
        <v>37.7035341</v>
      </c>
      <c r="H15" s="20" t="n">
        <v>1.4111827</v>
      </c>
      <c r="I15" s="18" t="n">
        <v>18.075638</v>
      </c>
      <c r="J15" s="20" t="n">
        <v>0.8958530300000001</v>
      </c>
      <c r="K15" s="18" t="n">
        <v>0</v>
      </c>
      <c r="L15" s="20" t="n">
        <v>0</v>
      </c>
      <c r="M15" s="18" t="n">
        <v>0.07906486</v>
      </c>
      <c r="N15" s="20" t="n">
        <v>0.0793224</v>
      </c>
      <c r="O15" s="18" t="n">
        <v>0</v>
      </c>
      <c r="P15" s="20" t="n">
        <v>0</v>
      </c>
      <c r="Q15" s="18" t="n">
        <v>0</v>
      </c>
      <c r="R15" s="20" t="n">
        <v>0</v>
      </c>
      <c r="S15" s="18" t="n">
        <v>0.98205646</v>
      </c>
      <c r="T15" s="20" t="n">
        <v>0.30831227</v>
      </c>
    </row>
    <row r="16" spans="1:20">
      <c r="A16" s="15" t="s">
        <v>574</v>
      </c>
      <c r="B16" s="17" t="n">
        <v>6108</v>
      </c>
      <c r="C16" s="18">
        <f>(4738.0/B16*100)</f>
        <v/>
      </c>
      <c r="D16" s="19" t="n">
        <v>1370</v>
      </c>
      <c r="E16" s="18" t="n">
        <v>46.39606203</v>
      </c>
      <c r="F16" s="20" t="n">
        <v>1.4646665</v>
      </c>
      <c r="G16" s="18" t="n">
        <v>29.83194193</v>
      </c>
      <c r="H16" s="20" t="n">
        <v>1.21890334</v>
      </c>
      <c r="I16" s="18" t="n">
        <v>19.67009438</v>
      </c>
      <c r="J16" s="20" t="n">
        <v>1.21331517</v>
      </c>
      <c r="K16" s="18" t="n">
        <v>0</v>
      </c>
      <c r="L16" s="20" t="n">
        <v>0</v>
      </c>
      <c r="M16" s="18" t="n">
        <v>0.34967472</v>
      </c>
      <c r="N16" s="20" t="n">
        <v>0.15917552</v>
      </c>
      <c r="O16" s="18" t="n">
        <v>0</v>
      </c>
      <c r="P16" s="20" t="n">
        <v>0</v>
      </c>
      <c r="Q16" s="18" t="n">
        <v>0</v>
      </c>
      <c r="R16" s="20" t="n">
        <v>0</v>
      </c>
      <c r="S16" s="18" t="n">
        <v>3.75222695</v>
      </c>
      <c r="T16" s="20" t="n">
        <v>0.65212277</v>
      </c>
    </row>
    <row r="17" spans="1:20">
      <c r="A17" s="15" t="s">
        <v>575</v>
      </c>
      <c r="B17" s="17" t="n">
        <v>6504</v>
      </c>
      <c r="C17" s="18">
        <f>(5081.0/B17*100)</f>
        <v/>
      </c>
      <c r="D17" s="19" t="n">
        <v>1423</v>
      </c>
      <c r="E17" s="18" t="n">
        <v>41.13206461</v>
      </c>
      <c r="F17" s="20" t="n">
        <v>1.58591367</v>
      </c>
      <c r="G17" s="18" t="n">
        <v>36.96890932</v>
      </c>
      <c r="H17" s="20" t="n">
        <v>1.39123957</v>
      </c>
      <c r="I17" s="18" t="n">
        <v>20.11153084</v>
      </c>
      <c r="J17" s="20" t="n">
        <v>1.13718695</v>
      </c>
      <c r="K17" s="18" t="n">
        <v>0</v>
      </c>
      <c r="L17" s="20" t="n">
        <v>0</v>
      </c>
      <c r="M17" s="18" t="n">
        <v>0.14370073</v>
      </c>
      <c r="N17" s="20" t="n">
        <v>0.1426286</v>
      </c>
      <c r="O17" s="18" t="n">
        <v>0</v>
      </c>
      <c r="P17" s="20" t="n">
        <v>0</v>
      </c>
      <c r="Q17" s="18" t="n">
        <v>0</v>
      </c>
      <c r="R17" s="20" t="n">
        <v>0</v>
      </c>
      <c r="S17" s="18" t="n">
        <v>1.6437945</v>
      </c>
      <c r="T17" s="20" t="n">
        <v>0.36505425</v>
      </c>
    </row>
    <row r="18" spans="1:20">
      <c r="A18" s="15" t="s">
        <v>576</v>
      </c>
      <c r="B18" s="17" t="n">
        <v>5532</v>
      </c>
      <c r="C18" s="18">
        <f>(4316.0/B18*100)</f>
        <v/>
      </c>
      <c r="D18" s="19" t="n">
        <v>1216</v>
      </c>
      <c r="E18" s="18" t="n">
        <v>56.81641258</v>
      </c>
      <c r="F18" s="20" t="n">
        <v>1.58738881</v>
      </c>
      <c r="G18" s="18" t="n">
        <v>32.13167481</v>
      </c>
      <c r="H18" s="20" t="n">
        <v>1.4526533</v>
      </c>
      <c r="I18" s="18" t="n">
        <v>8.093686310000001</v>
      </c>
      <c r="J18" s="20" t="n">
        <v>0.9184369100000001</v>
      </c>
      <c r="K18" s="18" t="n">
        <v>0</v>
      </c>
      <c r="L18" s="20" t="n">
        <v>0</v>
      </c>
      <c r="M18" s="18" t="n">
        <v>0.24312259</v>
      </c>
      <c r="N18" s="20" t="n">
        <v>0.14286733</v>
      </c>
      <c r="O18" s="18" t="n">
        <v>0</v>
      </c>
      <c r="P18" s="20" t="n">
        <v>0</v>
      </c>
      <c r="Q18" s="18" t="n">
        <v>0</v>
      </c>
      <c r="R18" s="20" t="n">
        <v>0</v>
      </c>
      <c r="S18" s="18" t="n">
        <v>2.71510371</v>
      </c>
      <c r="T18" s="20" t="n">
        <v>0.58691297</v>
      </c>
    </row>
    <row r="19" spans="1:20">
      <c r="A19" s="15" t="s">
        <v>577</v>
      </c>
      <c r="B19" s="17" t="n">
        <v>5658</v>
      </c>
      <c r="C19" s="18">
        <f>(4375.0/B19*100)</f>
        <v/>
      </c>
      <c r="D19" s="19" t="n">
        <v>1283</v>
      </c>
      <c r="E19" s="18" t="n">
        <v>47.54086227</v>
      </c>
      <c r="F19" s="20" t="n">
        <v>1.64388045</v>
      </c>
      <c r="G19" s="18" t="n">
        <v>38.30333745</v>
      </c>
      <c r="H19" s="20" t="n">
        <v>1.43159886</v>
      </c>
      <c r="I19" s="18" t="n">
        <v>12.50475255</v>
      </c>
      <c r="J19" s="20" t="n">
        <v>0.94454171</v>
      </c>
      <c r="K19" s="18" t="n">
        <v>0</v>
      </c>
      <c r="L19" s="20" t="n">
        <v>0</v>
      </c>
      <c r="M19" s="18" t="n">
        <v>0</v>
      </c>
      <c r="N19" s="20" t="n">
        <v>0</v>
      </c>
      <c r="O19" s="18" t="n">
        <v>0</v>
      </c>
      <c r="P19" s="20" t="n">
        <v>0</v>
      </c>
      <c r="Q19" s="18" t="n">
        <v>0</v>
      </c>
      <c r="R19" s="20" t="n">
        <v>0</v>
      </c>
      <c r="S19" s="18" t="n">
        <v>1.65104773</v>
      </c>
      <c r="T19" s="20" t="n">
        <v>0.44692098</v>
      </c>
    </row>
    <row r="20" spans="1:20">
      <c r="A20" s="15" t="s">
        <v>578</v>
      </c>
      <c r="B20" s="17" t="n">
        <v>3371</v>
      </c>
      <c r="C20" s="18">
        <f>(2600.0/B20*100)</f>
        <v/>
      </c>
      <c r="D20" s="19" t="n">
        <v>771</v>
      </c>
      <c r="E20" s="18" t="n">
        <v>51.93704042</v>
      </c>
      <c r="F20" s="20" t="n">
        <v>1.70629285</v>
      </c>
      <c r="G20" s="18" t="n">
        <v>32.37158121</v>
      </c>
      <c r="H20" s="20" t="n">
        <v>1.59555275</v>
      </c>
      <c r="I20" s="18" t="n">
        <v>12.22763464</v>
      </c>
      <c r="J20" s="20" t="n">
        <v>1.36630066</v>
      </c>
      <c r="K20" s="18" t="n">
        <v>0</v>
      </c>
      <c r="L20" s="20" t="n">
        <v>0</v>
      </c>
      <c r="M20" s="18" t="n">
        <v>0.7715983</v>
      </c>
      <c r="N20" s="20" t="n">
        <v>0.30400215</v>
      </c>
      <c r="O20" s="18" t="n">
        <v>0</v>
      </c>
      <c r="P20" s="20" t="n">
        <v>0</v>
      </c>
      <c r="Q20" s="18" t="n">
        <v>0</v>
      </c>
      <c r="R20" s="20" t="n">
        <v>0</v>
      </c>
      <c r="S20" s="18" t="n">
        <v>2.69214542</v>
      </c>
      <c r="T20" s="20" t="n">
        <v>0.6042436799999999</v>
      </c>
    </row>
    <row r="21" spans="1:20">
      <c r="A21" s="15" t="s">
        <v>579</v>
      </c>
      <c r="B21" s="17" t="n">
        <v>5741</v>
      </c>
      <c r="C21" s="18">
        <f>(4485.0/B21*100)</f>
        <v/>
      </c>
      <c r="D21" s="19" t="n">
        <v>1256</v>
      </c>
      <c r="E21" s="18" t="n">
        <v>54.02227362</v>
      </c>
      <c r="F21" s="20" t="n">
        <v>1.42116695</v>
      </c>
      <c r="G21" s="18" t="n">
        <v>32.41225186</v>
      </c>
      <c r="H21" s="20" t="n">
        <v>1.67624286</v>
      </c>
      <c r="I21" s="18" t="n">
        <v>12.33752506</v>
      </c>
      <c r="J21" s="20" t="n">
        <v>1.02065467</v>
      </c>
      <c r="K21" s="18" t="n">
        <v>0</v>
      </c>
      <c r="L21" s="20" t="n">
        <v>0</v>
      </c>
      <c r="M21" s="18" t="n">
        <v>0</v>
      </c>
      <c r="N21" s="20" t="n">
        <v>0</v>
      </c>
      <c r="O21" s="18" t="n">
        <v>0</v>
      </c>
      <c r="P21" s="20" t="n">
        <v>0</v>
      </c>
      <c r="Q21" s="18" t="n">
        <v>0</v>
      </c>
      <c r="R21" s="20" t="n">
        <v>0</v>
      </c>
      <c r="S21" s="18" t="n">
        <v>1.22794946</v>
      </c>
      <c r="T21" s="20" t="n">
        <v>0.39704317</v>
      </c>
    </row>
    <row r="22" spans="1:20">
      <c r="A22" s="15" t="s">
        <v>580</v>
      </c>
      <c r="B22" s="17" t="n">
        <v>6598</v>
      </c>
      <c r="C22" s="18">
        <f>(5137.0/B22*100)</f>
        <v/>
      </c>
      <c r="D22" s="19" t="n">
        <v>1461</v>
      </c>
      <c r="E22" s="18" t="n">
        <v>48.28693838</v>
      </c>
      <c r="F22" s="20" t="n">
        <v>1.5648209</v>
      </c>
      <c r="G22" s="18" t="n">
        <v>33.65221183</v>
      </c>
      <c r="H22" s="20" t="n">
        <v>1.33884622</v>
      </c>
      <c r="I22" s="18" t="n">
        <v>14.13219703</v>
      </c>
      <c r="J22" s="20" t="n">
        <v>1.05989282</v>
      </c>
      <c r="K22" s="18" t="n">
        <v>0</v>
      </c>
      <c r="L22" s="20" t="n">
        <v>0</v>
      </c>
      <c r="M22" s="18" t="n">
        <v>0.36695414</v>
      </c>
      <c r="N22" s="20" t="n">
        <v>0.15331436</v>
      </c>
      <c r="O22" s="18" t="n">
        <v>0</v>
      </c>
      <c r="P22" s="20" t="n">
        <v>0</v>
      </c>
      <c r="Q22" s="18" t="n">
        <v>0</v>
      </c>
      <c r="R22" s="20" t="n">
        <v>0</v>
      </c>
      <c r="S22" s="18" t="n">
        <v>3.56169861</v>
      </c>
      <c r="T22" s="20" t="n">
        <v>0.54554797</v>
      </c>
    </row>
    <row r="23" spans="1:20">
      <c r="A23" s="15" t="s">
        <v>581</v>
      </c>
      <c r="B23" s="17" t="n">
        <v>11583</v>
      </c>
      <c r="C23" s="18">
        <f>(9065.0/B23*100)</f>
        <v/>
      </c>
      <c r="D23" s="19" t="n">
        <v>2518</v>
      </c>
      <c r="E23" s="18" t="n">
        <v>46.69448244</v>
      </c>
      <c r="F23" s="20" t="n">
        <v>1.60540318</v>
      </c>
      <c r="G23" s="18" t="n">
        <v>33.63516044</v>
      </c>
      <c r="H23" s="20" t="n">
        <v>1.45404362</v>
      </c>
      <c r="I23" s="18" t="n">
        <v>14.77180878</v>
      </c>
      <c r="J23" s="20" t="n">
        <v>1.18810557</v>
      </c>
      <c r="K23" s="18" t="n">
        <v>0</v>
      </c>
      <c r="L23" s="20" t="n">
        <v>0</v>
      </c>
      <c r="M23" s="18" t="n">
        <v>0.98420417</v>
      </c>
      <c r="N23" s="20" t="n">
        <v>0.37587097</v>
      </c>
      <c r="O23" s="18" t="n">
        <v>0</v>
      </c>
      <c r="P23" s="20" t="n">
        <v>0</v>
      </c>
      <c r="Q23" s="18" t="n">
        <v>0</v>
      </c>
      <c r="R23" s="20" t="n">
        <v>0</v>
      </c>
      <c r="S23" s="18" t="n">
        <v>3.91434417</v>
      </c>
      <c r="T23" s="20" t="n">
        <v>0.7537936200000001</v>
      </c>
    </row>
    <row r="24" spans="1:20">
      <c r="A24" s="15" t="s">
        <v>582</v>
      </c>
      <c r="B24" s="17" t="n">
        <v>6647</v>
      </c>
      <c r="C24" s="18">
        <f>(5160.0/B24*100)</f>
        <v/>
      </c>
      <c r="D24" s="19" t="n">
        <v>1487</v>
      </c>
      <c r="E24" s="18" t="n">
        <v>30.48568997</v>
      </c>
      <c r="F24" s="20" t="n">
        <v>1.38737295</v>
      </c>
      <c r="G24" s="18" t="n">
        <v>46.04493591</v>
      </c>
      <c r="H24" s="20" t="n">
        <v>1.35464064</v>
      </c>
      <c r="I24" s="18" t="n">
        <v>22.03813827</v>
      </c>
      <c r="J24" s="20" t="n">
        <v>1.38589814</v>
      </c>
      <c r="K24" s="18" t="n">
        <v>0</v>
      </c>
      <c r="L24" s="20" t="n">
        <v>0</v>
      </c>
      <c r="M24" s="18" t="n">
        <v>0.07057877999999999</v>
      </c>
      <c r="N24" s="20" t="n">
        <v>0.06830081</v>
      </c>
      <c r="O24" s="18" t="n">
        <v>0</v>
      </c>
      <c r="P24" s="20" t="n">
        <v>0</v>
      </c>
      <c r="Q24" s="18" t="n">
        <v>0</v>
      </c>
      <c r="R24" s="20" t="n">
        <v>0</v>
      </c>
      <c r="S24" s="18" t="n">
        <v>1.36065707</v>
      </c>
      <c r="T24" s="20" t="n">
        <v>0.28850289</v>
      </c>
    </row>
    <row r="25" spans="1:20">
      <c r="A25" s="15" t="s">
        <v>583</v>
      </c>
      <c r="B25" s="17" t="n">
        <v>5581</v>
      </c>
      <c r="C25" s="18">
        <f>(4342.0/B25*100)</f>
        <v/>
      </c>
      <c r="D25" s="19" t="n">
        <v>1239</v>
      </c>
      <c r="E25" s="18" t="n">
        <v>37.40528969</v>
      </c>
      <c r="F25" s="20" t="n">
        <v>1.36529638</v>
      </c>
      <c r="G25" s="18" t="n">
        <v>32.32614361</v>
      </c>
      <c r="H25" s="20" t="n">
        <v>1.39064915</v>
      </c>
      <c r="I25" s="18" t="n">
        <v>28.67390099</v>
      </c>
      <c r="J25" s="20" t="n">
        <v>1.43934342</v>
      </c>
      <c r="K25" s="18" t="n">
        <v>0</v>
      </c>
      <c r="L25" s="20" t="n">
        <v>0</v>
      </c>
      <c r="M25" s="18" t="n">
        <v>0.32546322</v>
      </c>
      <c r="N25" s="20" t="n">
        <v>0.21855532</v>
      </c>
      <c r="O25" s="18" t="n">
        <v>0</v>
      </c>
      <c r="P25" s="20" t="n">
        <v>0</v>
      </c>
      <c r="Q25" s="18" t="n">
        <v>0</v>
      </c>
      <c r="R25" s="20" t="n">
        <v>0</v>
      </c>
      <c r="S25" s="18" t="n">
        <v>1.26920249</v>
      </c>
      <c r="T25" s="20" t="n">
        <v>0.3148258</v>
      </c>
    </row>
    <row r="26" spans="1:20">
      <c r="A26" s="15" t="s">
        <v>584</v>
      </c>
      <c r="B26" s="17" t="n">
        <v>4869</v>
      </c>
      <c r="C26" s="18">
        <f>(3845.0/B26*100)</f>
        <v/>
      </c>
      <c r="D26" s="19" t="n">
        <v>1024</v>
      </c>
      <c r="E26" s="18" t="n">
        <v>51.97487246</v>
      </c>
      <c r="F26" s="20" t="n">
        <v>1.58354012</v>
      </c>
      <c r="G26" s="18" t="n">
        <v>32.41288778</v>
      </c>
      <c r="H26" s="20" t="n">
        <v>1.40517286</v>
      </c>
      <c r="I26" s="18" t="n">
        <v>14.6896783</v>
      </c>
      <c r="J26" s="20" t="n">
        <v>1.15472013</v>
      </c>
      <c r="K26" s="18" t="n">
        <v>0</v>
      </c>
      <c r="L26" s="20" t="n">
        <v>0</v>
      </c>
      <c r="M26" s="18" t="n">
        <v>0</v>
      </c>
      <c r="N26" s="20" t="n">
        <v>0</v>
      </c>
      <c r="O26" s="18" t="n">
        <v>0</v>
      </c>
      <c r="P26" s="20" t="n">
        <v>0</v>
      </c>
      <c r="Q26" s="18" t="n">
        <v>0</v>
      </c>
      <c r="R26" s="20" t="n">
        <v>0</v>
      </c>
      <c r="S26" s="18" t="n">
        <v>0.9225614600000001</v>
      </c>
      <c r="T26" s="20" t="n">
        <v>0.31089384</v>
      </c>
    </row>
    <row r="27" spans="1:20">
      <c r="A27" s="15" t="s">
        <v>585</v>
      </c>
      <c r="B27" s="17" t="n">
        <v>5299</v>
      </c>
      <c r="C27" s="18">
        <f>(4147.0/B27*100)</f>
        <v/>
      </c>
      <c r="D27" s="19" t="n">
        <v>1152</v>
      </c>
      <c r="E27" s="18" t="n">
        <v>50.90026542</v>
      </c>
      <c r="F27" s="20" t="n">
        <v>1.48333305</v>
      </c>
      <c r="G27" s="18" t="n">
        <v>31.55576239</v>
      </c>
      <c r="H27" s="20" t="n">
        <v>1.4281859</v>
      </c>
      <c r="I27" s="18" t="n">
        <v>15.53567808</v>
      </c>
      <c r="J27" s="20" t="n">
        <v>1.15481703</v>
      </c>
      <c r="K27" s="18" t="n">
        <v>0</v>
      </c>
      <c r="L27" s="20" t="n">
        <v>0</v>
      </c>
      <c r="M27" s="18" t="n">
        <v>0.35748408</v>
      </c>
      <c r="N27" s="20" t="n">
        <v>0.17748458</v>
      </c>
      <c r="O27" s="18" t="n">
        <v>0</v>
      </c>
      <c r="P27" s="20" t="n">
        <v>0</v>
      </c>
      <c r="Q27" s="18" t="n">
        <v>0</v>
      </c>
      <c r="R27" s="20" t="n">
        <v>0</v>
      </c>
      <c r="S27" s="18" t="n">
        <v>1.65081002</v>
      </c>
      <c r="T27" s="20" t="n">
        <v>0.39490519</v>
      </c>
    </row>
    <row r="28" spans="1:20">
      <c r="A28" s="15" t="s">
        <v>586</v>
      </c>
      <c r="B28" s="17" t="n">
        <v>7568</v>
      </c>
      <c r="C28" s="18">
        <f>(5960.0/B28*100)</f>
        <v/>
      </c>
      <c r="D28" s="19" t="n">
        <v>1608</v>
      </c>
      <c r="E28" s="18" t="n">
        <v>73.44148697999999</v>
      </c>
      <c r="F28" s="20" t="n">
        <v>1.48157312</v>
      </c>
      <c r="G28" s="18" t="n">
        <v>21.82650378</v>
      </c>
      <c r="H28" s="20" t="n">
        <v>1.37362716</v>
      </c>
      <c r="I28" s="18" t="n">
        <v>2.77978164</v>
      </c>
      <c r="J28" s="20" t="n">
        <v>0.43381147</v>
      </c>
      <c r="K28" s="18" t="n">
        <v>0</v>
      </c>
      <c r="L28" s="20" t="n">
        <v>0</v>
      </c>
      <c r="M28" s="18" t="n">
        <v>0.33663184</v>
      </c>
      <c r="N28" s="20" t="n">
        <v>0.2321075</v>
      </c>
      <c r="O28" s="18" t="n">
        <v>0</v>
      </c>
      <c r="P28" s="20" t="n">
        <v>0</v>
      </c>
      <c r="Q28" s="18" t="n">
        <v>0</v>
      </c>
      <c r="R28" s="20" t="n">
        <v>0</v>
      </c>
      <c r="S28" s="18" t="n">
        <v>1.61559577</v>
      </c>
      <c r="T28" s="20" t="n">
        <v>0.457376</v>
      </c>
    </row>
    <row r="29" spans="1:20">
      <c r="A29" s="15" t="s">
        <v>587</v>
      </c>
      <c r="B29" s="17" t="n">
        <v>5385</v>
      </c>
      <c r="C29" s="18">
        <f>(4197.0/B29*100)</f>
        <v/>
      </c>
      <c r="D29" s="19" t="n">
        <v>1188</v>
      </c>
      <c r="E29" s="18" t="n">
        <v>43.90447391</v>
      </c>
      <c r="F29" s="20" t="n">
        <v>1.34472011</v>
      </c>
      <c r="G29" s="18" t="n">
        <v>34.98462193</v>
      </c>
      <c r="H29" s="20" t="n">
        <v>1.26944383</v>
      </c>
      <c r="I29" s="18" t="n">
        <v>19.95026781</v>
      </c>
      <c r="J29" s="20" t="n">
        <v>1.04029216</v>
      </c>
      <c r="K29" s="18" t="n">
        <v>0</v>
      </c>
      <c r="L29" s="20" t="n">
        <v>0</v>
      </c>
      <c r="M29" s="18" t="n">
        <v>0.06547995</v>
      </c>
      <c r="N29" s="20" t="n">
        <v>0.06484348</v>
      </c>
      <c r="O29" s="18" t="n">
        <v>0</v>
      </c>
      <c r="P29" s="20" t="n">
        <v>0</v>
      </c>
      <c r="Q29" s="18" t="n">
        <v>0</v>
      </c>
      <c r="R29" s="20" t="n">
        <v>0</v>
      </c>
      <c r="S29" s="18" t="n">
        <v>1.09515641</v>
      </c>
      <c r="T29" s="20" t="n">
        <v>0.29451504</v>
      </c>
    </row>
    <row r="30" spans="1:20">
      <c r="A30" s="15" t="s">
        <v>588</v>
      </c>
      <c r="B30" s="17" t="n">
        <v>4520</v>
      </c>
      <c r="C30" s="18">
        <f>(3504.0/B30*100)</f>
        <v/>
      </c>
      <c r="D30" s="19" t="n">
        <v>1016</v>
      </c>
      <c r="E30" s="18" t="n">
        <v>46.79863329</v>
      </c>
      <c r="F30" s="20" t="n">
        <v>1.63510825</v>
      </c>
      <c r="G30" s="18" t="n">
        <v>31.68057219</v>
      </c>
      <c r="H30" s="20" t="n">
        <v>1.54698793</v>
      </c>
      <c r="I30" s="18" t="n">
        <v>19.36241112</v>
      </c>
      <c r="J30" s="20" t="n">
        <v>1.25827696</v>
      </c>
      <c r="K30" s="18" t="n">
        <v>0</v>
      </c>
      <c r="L30" s="20" t="n">
        <v>0</v>
      </c>
      <c r="M30" s="18" t="n">
        <v>0.27448762</v>
      </c>
      <c r="N30" s="20" t="n">
        <v>0.15865623</v>
      </c>
      <c r="O30" s="18" t="n">
        <v>0</v>
      </c>
      <c r="P30" s="20" t="n">
        <v>0</v>
      </c>
      <c r="Q30" s="18" t="n">
        <v>0</v>
      </c>
      <c r="R30" s="20" t="n">
        <v>0</v>
      </c>
      <c r="S30" s="18" t="n">
        <v>1.88389578</v>
      </c>
      <c r="T30" s="20" t="n">
        <v>0.45347291</v>
      </c>
    </row>
    <row r="31" spans="1:20">
      <c r="A31" s="15" t="s">
        <v>589</v>
      </c>
      <c r="B31" s="17" t="n">
        <v>5456</v>
      </c>
      <c r="C31" s="18">
        <f>(4227.0/B31*100)</f>
        <v/>
      </c>
      <c r="D31" s="19" t="n">
        <v>1229</v>
      </c>
      <c r="E31" s="18" t="n">
        <v>47.42351779</v>
      </c>
      <c r="F31" s="20" t="n">
        <v>1.56218515</v>
      </c>
      <c r="G31" s="18" t="n">
        <v>34.04220264</v>
      </c>
      <c r="H31" s="20" t="n">
        <v>1.22996783</v>
      </c>
      <c r="I31" s="18" t="n">
        <v>15.64537889</v>
      </c>
      <c r="J31" s="20" t="n">
        <v>1.1234793</v>
      </c>
      <c r="K31" s="18" t="n">
        <v>0</v>
      </c>
      <c r="L31" s="20" t="n">
        <v>0</v>
      </c>
      <c r="M31" s="18" t="n">
        <v>0.32418951</v>
      </c>
      <c r="N31" s="20" t="n">
        <v>0.16647535</v>
      </c>
      <c r="O31" s="18" t="n">
        <v>0</v>
      </c>
      <c r="P31" s="20" t="n">
        <v>0</v>
      </c>
      <c r="Q31" s="18" t="n">
        <v>0</v>
      </c>
      <c r="R31" s="20" t="n">
        <v>0</v>
      </c>
      <c r="S31" s="18" t="n">
        <v>2.56471117</v>
      </c>
      <c r="T31" s="20" t="n">
        <v>0.4770662</v>
      </c>
    </row>
    <row r="32" spans="1:20">
      <c r="A32" s="15" t="s">
        <v>590</v>
      </c>
      <c r="B32" s="17" t="n">
        <v>4478</v>
      </c>
      <c r="C32" s="18">
        <f>(3481.0/B32*100)</f>
        <v/>
      </c>
      <c r="D32" s="19" t="n">
        <v>997</v>
      </c>
      <c r="E32" s="18" t="n">
        <v>54.74437434</v>
      </c>
      <c r="F32" s="20" t="n">
        <v>1.63675263</v>
      </c>
      <c r="G32" s="18" t="n">
        <v>28.20148912</v>
      </c>
      <c r="H32" s="20" t="n">
        <v>1.51248261</v>
      </c>
      <c r="I32" s="18" t="n">
        <v>16.36400539</v>
      </c>
      <c r="J32" s="20" t="n">
        <v>1.14480343</v>
      </c>
      <c r="K32" s="18" t="n">
        <v>0</v>
      </c>
      <c r="L32" s="20" t="n">
        <v>0</v>
      </c>
      <c r="M32" s="18" t="n">
        <v>0</v>
      </c>
      <c r="N32" s="20" t="n">
        <v>0</v>
      </c>
      <c r="O32" s="18" t="n">
        <v>0</v>
      </c>
      <c r="P32" s="20" t="n">
        <v>0</v>
      </c>
      <c r="Q32" s="18" t="n">
        <v>0</v>
      </c>
      <c r="R32" s="20" t="n">
        <v>0</v>
      </c>
      <c r="S32" s="18" t="n">
        <v>0.69013115</v>
      </c>
      <c r="T32" s="20" t="n">
        <v>0.26029969</v>
      </c>
    </row>
    <row r="33" spans="1:20">
      <c r="A33" s="15" t="s">
        <v>591</v>
      </c>
      <c r="B33" s="17" t="n">
        <v>7325</v>
      </c>
      <c r="C33" s="18">
        <f>(5774.0/B33*100)</f>
        <v/>
      </c>
      <c r="D33" s="19" t="n">
        <v>1551</v>
      </c>
      <c r="E33" s="18" t="n">
        <v>40.28536264</v>
      </c>
      <c r="F33" s="20" t="n">
        <v>1.30613209</v>
      </c>
      <c r="G33" s="18" t="n">
        <v>38.13362214</v>
      </c>
      <c r="H33" s="20" t="n">
        <v>1.32537862</v>
      </c>
      <c r="I33" s="18" t="n">
        <v>20.37188789</v>
      </c>
      <c r="J33" s="20" t="n">
        <v>1.22255303</v>
      </c>
      <c r="K33" s="18" t="n">
        <v>0</v>
      </c>
      <c r="L33" s="20" t="n">
        <v>0</v>
      </c>
      <c r="M33" s="18" t="n">
        <v>0.1287114</v>
      </c>
      <c r="N33" s="20" t="n">
        <v>0.15254853</v>
      </c>
      <c r="O33" s="18" t="n">
        <v>0</v>
      </c>
      <c r="P33" s="20" t="n">
        <v>0</v>
      </c>
      <c r="Q33" s="18" t="n">
        <v>0</v>
      </c>
      <c r="R33" s="20" t="n">
        <v>0</v>
      </c>
      <c r="S33" s="18" t="n">
        <v>1.08041593</v>
      </c>
      <c r="T33" s="20" t="n">
        <v>0.33847853</v>
      </c>
    </row>
    <row r="34" spans="1:20">
      <c r="A34" s="15" t="s">
        <v>592</v>
      </c>
      <c r="B34" s="17" t="n">
        <v>6350</v>
      </c>
      <c r="C34" s="18">
        <f>(4943.0/B34*100)</f>
        <v/>
      </c>
      <c r="D34" s="19" t="n">
        <v>1407</v>
      </c>
      <c r="E34" s="18" t="n">
        <v>51.67889626</v>
      </c>
      <c r="F34" s="20" t="n">
        <v>1.49143945</v>
      </c>
      <c r="G34" s="18" t="n">
        <v>29.40059228</v>
      </c>
      <c r="H34" s="20" t="n">
        <v>1.23871771</v>
      </c>
      <c r="I34" s="18" t="n">
        <v>16.23493917</v>
      </c>
      <c r="J34" s="20" t="n">
        <v>1.06132167</v>
      </c>
      <c r="K34" s="18" t="n">
        <v>0</v>
      </c>
      <c r="L34" s="20" t="n">
        <v>0</v>
      </c>
      <c r="M34" s="18" t="n">
        <v>0.17975237</v>
      </c>
      <c r="N34" s="20" t="n">
        <v>0.10513515</v>
      </c>
      <c r="O34" s="18" t="n">
        <v>0</v>
      </c>
      <c r="P34" s="20" t="n">
        <v>0</v>
      </c>
      <c r="Q34" s="18" t="n">
        <v>0</v>
      </c>
      <c r="R34" s="20" t="n">
        <v>0</v>
      </c>
      <c r="S34" s="18" t="n">
        <v>2.50581992</v>
      </c>
      <c r="T34" s="20" t="n">
        <v>0.48812892</v>
      </c>
    </row>
    <row r="35" spans="1:20">
      <c r="A35" s="15" t="s">
        <v>593</v>
      </c>
      <c r="B35" s="17" t="n">
        <v>6406</v>
      </c>
      <c r="C35" s="18">
        <f>(5029.0/B35*100)</f>
        <v/>
      </c>
      <c r="D35" s="19" t="n">
        <v>1377</v>
      </c>
      <c r="E35" s="18" t="n">
        <v>45.32867988</v>
      </c>
      <c r="F35" s="20" t="n">
        <v>1.66775972</v>
      </c>
      <c r="G35" s="18" t="n">
        <v>31.45035307</v>
      </c>
      <c r="H35" s="20" t="n">
        <v>1.43574089</v>
      </c>
      <c r="I35" s="18" t="n">
        <v>22.02506543</v>
      </c>
      <c r="J35" s="20" t="n">
        <v>1.2374382</v>
      </c>
      <c r="K35" s="18" t="n">
        <v>0</v>
      </c>
      <c r="L35" s="20" t="n">
        <v>0</v>
      </c>
      <c r="M35" s="18" t="n">
        <v>0.48282153</v>
      </c>
      <c r="N35" s="20" t="n">
        <v>0.36652396</v>
      </c>
      <c r="O35" s="18" t="n">
        <v>0</v>
      </c>
      <c r="P35" s="20" t="n">
        <v>0</v>
      </c>
      <c r="Q35" s="18" t="n">
        <v>0</v>
      </c>
      <c r="R35" s="20" t="n">
        <v>0</v>
      </c>
      <c r="S35" s="18" t="n">
        <v>0.7130800900000001</v>
      </c>
      <c r="T35" s="20" t="n">
        <v>0.20301473</v>
      </c>
    </row>
    <row r="36" spans="1:20">
      <c r="A36" s="15" t="s">
        <v>594</v>
      </c>
      <c r="B36" s="17" t="n">
        <v>6736</v>
      </c>
      <c r="C36" s="18">
        <f>(5284.0/B36*100)</f>
        <v/>
      </c>
      <c r="D36" s="19" t="n">
        <v>1452</v>
      </c>
      <c r="E36" s="18" t="n">
        <v>45.3852635</v>
      </c>
      <c r="F36" s="20" t="n">
        <v>1.40975909</v>
      </c>
      <c r="G36" s="18" t="n">
        <v>36.4892833</v>
      </c>
      <c r="H36" s="20" t="n">
        <v>1.40312407</v>
      </c>
      <c r="I36" s="18" t="n">
        <v>15.98475931</v>
      </c>
      <c r="J36" s="20" t="n">
        <v>0.9655023700000001</v>
      </c>
      <c r="K36" s="18" t="n">
        <v>0</v>
      </c>
      <c r="L36" s="20" t="n">
        <v>0</v>
      </c>
      <c r="M36" s="18" t="n">
        <v>0.09865127</v>
      </c>
      <c r="N36" s="20" t="n">
        <v>0.10388419</v>
      </c>
      <c r="O36" s="18" t="n">
        <v>0</v>
      </c>
      <c r="P36" s="20" t="n">
        <v>0</v>
      </c>
      <c r="Q36" s="18" t="n">
        <v>0</v>
      </c>
      <c r="R36" s="20" t="n">
        <v>0</v>
      </c>
      <c r="S36" s="18" t="n">
        <v>2.04204261</v>
      </c>
      <c r="T36" s="20" t="n">
        <v>0.53013039</v>
      </c>
    </row>
    <row r="37" spans="1:20">
      <c r="A37" s="15" t="s">
        <v>595</v>
      </c>
      <c r="B37" s="17" t="n">
        <v>5458</v>
      </c>
      <c r="C37" s="18">
        <f>(4283.0/B37*100)</f>
        <v/>
      </c>
      <c r="D37" s="19" t="n">
        <v>1175</v>
      </c>
      <c r="E37" s="18" t="n">
        <v>49.28414659</v>
      </c>
      <c r="F37" s="20" t="n">
        <v>1.44660133</v>
      </c>
      <c r="G37" s="18" t="n">
        <v>31.45984034</v>
      </c>
      <c r="H37" s="20" t="n">
        <v>1.27365082</v>
      </c>
      <c r="I37" s="18" t="n">
        <v>15.01069177</v>
      </c>
      <c r="J37" s="20" t="n">
        <v>1.12903937</v>
      </c>
      <c r="K37" s="18" t="n">
        <v>0</v>
      </c>
      <c r="L37" s="20" t="n">
        <v>0</v>
      </c>
      <c r="M37" s="18" t="n">
        <v>0.41416513</v>
      </c>
      <c r="N37" s="20" t="n">
        <v>0.18674588</v>
      </c>
      <c r="O37" s="18" t="n">
        <v>0</v>
      </c>
      <c r="P37" s="20" t="n">
        <v>0</v>
      </c>
      <c r="Q37" s="18" t="n">
        <v>0</v>
      </c>
      <c r="R37" s="20" t="n">
        <v>0</v>
      </c>
      <c r="S37" s="18" t="n">
        <v>3.83115617</v>
      </c>
      <c r="T37" s="20" t="n">
        <v>0.5303824499999999</v>
      </c>
    </row>
    <row r="38" spans="1:20">
      <c r="A38" s="15" t="s">
        <v>596</v>
      </c>
      <c r="B38" s="17" t="n">
        <v>5860</v>
      </c>
      <c r="C38" s="18">
        <f>(4621.0/B38*100)</f>
        <v/>
      </c>
      <c r="D38" s="19" t="n">
        <v>1239</v>
      </c>
      <c r="E38" s="18" t="n">
        <v>39.11665806</v>
      </c>
      <c r="F38" s="20" t="n">
        <v>1.58518885</v>
      </c>
      <c r="G38" s="18" t="n">
        <v>37.69206518</v>
      </c>
      <c r="H38" s="20" t="n">
        <v>1.3915526</v>
      </c>
      <c r="I38" s="18" t="n">
        <v>20.42387269</v>
      </c>
      <c r="J38" s="20" t="n">
        <v>1.45035001</v>
      </c>
      <c r="K38" s="18" t="n">
        <v>0</v>
      </c>
      <c r="L38" s="20" t="n">
        <v>0</v>
      </c>
      <c r="M38" s="18" t="n">
        <v>0.12286639</v>
      </c>
      <c r="N38" s="20" t="n">
        <v>0.12234164</v>
      </c>
      <c r="O38" s="18" t="n">
        <v>0</v>
      </c>
      <c r="P38" s="20" t="n">
        <v>0</v>
      </c>
      <c r="Q38" s="18" t="n">
        <v>0</v>
      </c>
      <c r="R38" s="20" t="n">
        <v>0</v>
      </c>
      <c r="S38" s="18" t="n">
        <v>2.64453768</v>
      </c>
      <c r="T38" s="20" t="n">
        <v>0.53555199</v>
      </c>
    </row>
    <row r="39" spans="1:20">
      <c r="A39" s="15" t="s">
        <v>597</v>
      </c>
      <c r="B39" s="17" t="n">
        <v>5895</v>
      </c>
      <c r="C39" s="18">
        <f>(4567.0/B39*100)</f>
        <v/>
      </c>
      <c r="D39" s="19" t="n">
        <v>1328</v>
      </c>
      <c r="E39" s="18" t="n">
        <v>52.01348538</v>
      </c>
      <c r="F39" s="20" t="n">
        <v>1.74735521</v>
      </c>
      <c r="G39" s="18" t="n">
        <v>35.50912533</v>
      </c>
      <c r="H39" s="20" t="n">
        <v>1.49773268</v>
      </c>
      <c r="I39" s="18" t="n">
        <v>9.534354649999999</v>
      </c>
      <c r="J39" s="20" t="n">
        <v>0.99754888</v>
      </c>
      <c r="K39" s="18" t="n">
        <v>0</v>
      </c>
      <c r="L39" s="20" t="n">
        <v>0</v>
      </c>
      <c r="M39" s="18" t="n">
        <v>0.09378867</v>
      </c>
      <c r="N39" s="20" t="n">
        <v>0.08865993</v>
      </c>
      <c r="O39" s="18" t="n">
        <v>0</v>
      </c>
      <c r="P39" s="20" t="n">
        <v>0</v>
      </c>
      <c r="Q39" s="18" t="n">
        <v>0</v>
      </c>
      <c r="R39" s="20" t="n">
        <v>0</v>
      </c>
      <c r="S39" s="18" t="n">
        <v>2.84924597</v>
      </c>
      <c r="T39" s="20" t="n">
        <v>0.60317642</v>
      </c>
    </row>
    <row r="40" spans="1:20">
      <c r="A40" s="15" t="s">
        <v>598</v>
      </c>
      <c r="B40" s="17" t="n">
        <v>14157</v>
      </c>
      <c r="C40" s="18">
        <f>(11038.0/B40*100)</f>
        <v/>
      </c>
      <c r="D40" s="19" t="n">
        <v>3119</v>
      </c>
      <c r="E40" s="18" t="n">
        <v>46.98449129</v>
      </c>
      <c r="F40" s="20" t="n">
        <v>1.3727148</v>
      </c>
      <c r="G40" s="18" t="n">
        <v>32.50974128</v>
      </c>
      <c r="H40" s="20" t="n">
        <v>1.24527271</v>
      </c>
      <c r="I40" s="18" t="n">
        <v>18.14710131</v>
      </c>
      <c r="J40" s="20" t="n">
        <v>1.29345774</v>
      </c>
      <c r="K40" s="18" t="n">
        <v>0</v>
      </c>
      <c r="L40" s="20" t="n">
        <v>0</v>
      </c>
      <c r="M40" s="18" t="n">
        <v>0.23794834</v>
      </c>
      <c r="N40" s="20" t="n">
        <v>0.15023089</v>
      </c>
      <c r="O40" s="18" t="n">
        <v>0</v>
      </c>
      <c r="P40" s="20" t="n">
        <v>0</v>
      </c>
      <c r="Q40" s="18" t="n">
        <v>0</v>
      </c>
      <c r="R40" s="20" t="n">
        <v>0</v>
      </c>
      <c r="S40" s="18" t="n">
        <v>2.12071778</v>
      </c>
      <c r="T40" s="20" t="n">
        <v>0.4046833</v>
      </c>
    </row>
    <row r="41" spans="1:20">
      <c r="A41" s="15" t="s">
        <v>599</v>
      </c>
      <c r="B41" s="17" t="n">
        <v>5712</v>
      </c>
      <c r="C41" s="18">
        <f>(4477.0/B41*100)</f>
        <v/>
      </c>
      <c r="D41" s="19" t="n">
        <v>1235</v>
      </c>
      <c r="E41" s="18" t="n">
        <v>53.15949478</v>
      </c>
      <c r="F41" s="20" t="n">
        <v>1.57975409</v>
      </c>
      <c r="G41" s="18" t="n">
        <v>33.20196617</v>
      </c>
      <c r="H41" s="20" t="n">
        <v>1.46713064</v>
      </c>
      <c r="I41" s="18" t="n">
        <v>13.26508488</v>
      </c>
      <c r="J41" s="20" t="n">
        <v>1.1799482</v>
      </c>
      <c r="K41" s="18" t="n">
        <v>0</v>
      </c>
      <c r="L41" s="20" t="n">
        <v>0</v>
      </c>
      <c r="M41" s="18" t="n">
        <v>0.03288472</v>
      </c>
      <c r="N41" s="20" t="n">
        <v>0.03307955</v>
      </c>
      <c r="O41" s="18" t="n">
        <v>0</v>
      </c>
      <c r="P41" s="20" t="n">
        <v>0</v>
      </c>
      <c r="Q41" s="18" t="n">
        <v>0</v>
      </c>
      <c r="R41" s="20" t="n">
        <v>0</v>
      </c>
      <c r="S41" s="18" t="n">
        <v>0.34056945</v>
      </c>
      <c r="T41" s="20" t="n">
        <v>0.1572644</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(18929.0/B46*100)</f>
        <v/>
      </c>
      <c r="D46" s="19" t="n">
        <v>4212</v>
      </c>
      <c r="E46" s="18" t="n">
        <v>59.73584509</v>
      </c>
      <c r="F46" s="20" t="n">
        <v>1.42656223</v>
      </c>
      <c r="G46" s="18" t="n">
        <v>27.2503785</v>
      </c>
      <c r="H46" s="20" t="n">
        <v>1.28161537</v>
      </c>
      <c r="I46" s="18" t="n">
        <v>5.03233176</v>
      </c>
      <c r="J46" s="20" t="n">
        <v>0.59502074</v>
      </c>
      <c r="K46" s="18" t="n">
        <v>0</v>
      </c>
      <c r="L46" s="20" t="n">
        <v>0</v>
      </c>
      <c r="M46" s="18" t="n">
        <v>0.87380171</v>
      </c>
      <c r="N46" s="20" t="n">
        <v>0.19173685</v>
      </c>
      <c r="O46" s="18" t="n">
        <v>0</v>
      </c>
      <c r="P46" s="20" t="n">
        <v>0</v>
      </c>
      <c r="Q46" s="18" t="n">
        <v>0</v>
      </c>
      <c r="R46" s="20" t="n">
        <v>0</v>
      </c>
      <c r="S46" s="18" t="n">
        <v>7.10764294</v>
      </c>
      <c r="T46" s="20" t="n">
        <v>0.65669852</v>
      </c>
    </row>
    <row r="47" spans="1:20">
      <c r="A47" s="15" t="s">
        <v>606</v>
      </c>
      <c r="B47" s="17" t="n">
        <v>5928</v>
      </c>
      <c r="C47" s="18">
        <f>(4602.0/B47*100)</f>
        <v/>
      </c>
      <c r="D47" s="19" t="n">
        <v>1326</v>
      </c>
      <c r="E47" s="18" t="n">
        <v>61.84127868</v>
      </c>
      <c r="F47" s="20" t="n">
        <v>1.33078201</v>
      </c>
      <c r="G47" s="18" t="n">
        <v>25.89421936</v>
      </c>
      <c r="H47" s="20" t="n">
        <v>1.17480846</v>
      </c>
      <c r="I47" s="18" t="n">
        <v>6.91794159</v>
      </c>
      <c r="J47" s="20" t="n">
        <v>0.99120723</v>
      </c>
      <c r="K47" s="18" t="n">
        <v>0</v>
      </c>
      <c r="L47" s="20" t="n">
        <v>0</v>
      </c>
      <c r="M47" s="18" t="n">
        <v>0.1992764</v>
      </c>
      <c r="N47" s="20" t="n">
        <v>0.11401672</v>
      </c>
      <c r="O47" s="18" t="n">
        <v>0</v>
      </c>
      <c r="P47" s="20" t="n">
        <v>0</v>
      </c>
      <c r="Q47" s="18" t="n">
        <v>0</v>
      </c>
      <c r="R47" s="20" t="n">
        <v>0</v>
      </c>
      <c r="S47" s="18" t="n">
        <v>5.14728397</v>
      </c>
      <c r="T47" s="20" t="n">
        <v>0.74631555</v>
      </c>
    </row>
    <row r="48" spans="1:20">
      <c r="A48" s="15" t="s">
        <v>607</v>
      </c>
      <c r="B48" s="17" t="n">
        <v>9841</v>
      </c>
      <c r="C48" s="18">
        <f>(7669.0/B48*100)</f>
        <v/>
      </c>
      <c r="D48" s="19" t="n">
        <v>2172</v>
      </c>
      <c r="E48" s="18" t="n">
        <v>38.54176238</v>
      </c>
      <c r="F48" s="20" t="n">
        <v>1.64937183</v>
      </c>
      <c r="G48" s="18" t="n">
        <v>31.74578891</v>
      </c>
      <c r="H48" s="20" t="n">
        <v>1.27140772</v>
      </c>
      <c r="I48" s="18" t="n">
        <v>28.39458448</v>
      </c>
      <c r="J48" s="20" t="n">
        <v>1.53600048</v>
      </c>
      <c r="K48" s="18" t="n">
        <v>0</v>
      </c>
      <c r="L48" s="20" t="n">
        <v>0</v>
      </c>
      <c r="M48" s="18" t="n">
        <v>0.30192422</v>
      </c>
      <c r="N48" s="20" t="n">
        <v>0.16099131</v>
      </c>
      <c r="O48" s="18" t="n">
        <v>0</v>
      </c>
      <c r="P48" s="20" t="n">
        <v>0</v>
      </c>
      <c r="Q48" s="18" t="n">
        <v>0</v>
      </c>
      <c r="R48" s="20" t="n">
        <v>0</v>
      </c>
      <c r="S48" s="18" t="n">
        <v>1.01594001</v>
      </c>
      <c r="T48" s="20" t="n">
        <v>0.27564314</v>
      </c>
    </row>
    <row r="49" spans="1:20">
      <c r="A49" s="15" t="s">
        <v>608</v>
      </c>
      <c r="B49" s="17" t="n">
        <v>11795</v>
      </c>
      <c r="C49" s="18">
        <f>(9280.0/B49*100)</f>
        <v/>
      </c>
      <c r="D49" s="19" t="n">
        <v>2515</v>
      </c>
      <c r="E49" s="18" t="n">
        <v>66.09368808000001</v>
      </c>
      <c r="F49" s="20" t="n">
        <v>1.32171829</v>
      </c>
      <c r="G49" s="18" t="n">
        <v>27.36411346</v>
      </c>
      <c r="H49" s="20" t="n">
        <v>1.20336682</v>
      </c>
      <c r="I49" s="18" t="n">
        <v>4.2116528</v>
      </c>
      <c r="J49" s="20" t="n">
        <v>0.6063315</v>
      </c>
      <c r="K49" s="18" t="n">
        <v>0</v>
      </c>
      <c r="L49" s="20" t="n">
        <v>0</v>
      </c>
      <c r="M49" s="18" t="n">
        <v>0.34518432</v>
      </c>
      <c r="N49" s="20" t="n">
        <v>0.13216514</v>
      </c>
      <c r="O49" s="18" t="n">
        <v>0</v>
      </c>
      <c r="P49" s="20" t="n">
        <v>0</v>
      </c>
      <c r="Q49" s="18" t="n">
        <v>0</v>
      </c>
      <c r="R49" s="20" t="n">
        <v>0</v>
      </c>
      <c r="S49" s="18" t="n">
        <v>1.98536135</v>
      </c>
      <c r="T49" s="20" t="n">
        <v>0.43312169</v>
      </c>
    </row>
    <row r="50" spans="1:20">
      <c r="A50" s="15" t="s">
        <v>609</v>
      </c>
      <c r="B50" s="17" t="n">
        <v>6866</v>
      </c>
      <c r="C50" s="18">
        <f>(5590.0/B50*100)</f>
        <v/>
      </c>
      <c r="D50" s="19" t="n">
        <v>1276</v>
      </c>
      <c r="E50" s="18" t="n">
        <v>67.67058389</v>
      </c>
      <c r="F50" s="20" t="n">
        <v>1.26922752</v>
      </c>
      <c r="G50" s="18" t="n">
        <v>24.98617899</v>
      </c>
      <c r="H50" s="20" t="n">
        <v>1.10284454</v>
      </c>
      <c r="I50" s="18" t="n">
        <v>4.45405489</v>
      </c>
      <c r="J50" s="20" t="n">
        <v>0.55642669</v>
      </c>
      <c r="K50" s="18" t="n">
        <v>0</v>
      </c>
      <c r="L50" s="20" t="n">
        <v>0</v>
      </c>
      <c r="M50" s="18" t="n">
        <v>0.11397899</v>
      </c>
      <c r="N50" s="20" t="n">
        <v>0.08527554</v>
      </c>
      <c r="O50" s="18" t="n">
        <v>0</v>
      </c>
      <c r="P50" s="20" t="n">
        <v>0</v>
      </c>
      <c r="Q50" s="18" t="n">
        <v>0</v>
      </c>
      <c r="R50" s="20" t="n">
        <v>0</v>
      </c>
      <c r="S50" s="18" t="n">
        <v>2.77520322</v>
      </c>
      <c r="T50" s="20" t="n">
        <v>0.42132004</v>
      </c>
    </row>
    <row r="51" spans="1:20">
      <c r="A51" s="15" t="s">
        <v>610</v>
      </c>
      <c r="B51" s="17" t="n">
        <v>5809</v>
      </c>
      <c r="C51" s="18">
        <f>(4574.0/B51*100)</f>
        <v/>
      </c>
      <c r="D51" s="19" t="n">
        <v>1235</v>
      </c>
      <c r="E51" s="18" t="n">
        <v>59.91248987</v>
      </c>
      <c r="F51" s="20" t="n">
        <v>1.59348485</v>
      </c>
      <c r="G51" s="18" t="n">
        <v>23.8232194</v>
      </c>
      <c r="H51" s="20" t="n">
        <v>1.2409725</v>
      </c>
      <c r="I51" s="18" t="n">
        <v>13.77489911</v>
      </c>
      <c r="J51" s="20" t="n">
        <v>0.9552996</v>
      </c>
      <c r="K51" s="18" t="n">
        <v>0</v>
      </c>
      <c r="L51" s="20" t="n">
        <v>0</v>
      </c>
      <c r="M51" s="18" t="n">
        <v>0.05644104</v>
      </c>
      <c r="N51" s="20" t="n">
        <v>0.05481068</v>
      </c>
      <c r="O51" s="18" t="n">
        <v>0</v>
      </c>
      <c r="P51" s="20" t="n">
        <v>0</v>
      </c>
      <c r="Q51" s="18" t="n">
        <v>0</v>
      </c>
      <c r="R51" s="20" t="n">
        <v>0</v>
      </c>
      <c r="S51" s="18" t="n">
        <v>2.43295058</v>
      </c>
      <c r="T51" s="20" t="n">
        <v>0.44267417</v>
      </c>
    </row>
    <row r="52" spans="1:20">
      <c r="A52" s="15" t="s">
        <v>611</v>
      </c>
      <c r="B52" s="17" t="n">
        <v>5571</v>
      </c>
      <c r="C52" s="18">
        <f>(4389.0/B52*100)</f>
        <v/>
      </c>
      <c r="D52" s="19" t="n">
        <v>1182</v>
      </c>
      <c r="E52" s="18" t="n">
        <v>59.07990862</v>
      </c>
      <c r="F52" s="20" t="n">
        <v>1.59903466</v>
      </c>
      <c r="G52" s="18" t="n">
        <v>27.9053338</v>
      </c>
      <c r="H52" s="20" t="n">
        <v>1.4120459</v>
      </c>
      <c r="I52" s="18" t="n">
        <v>8.49111978</v>
      </c>
      <c r="J52" s="20" t="n">
        <v>0.90529099</v>
      </c>
      <c r="K52" s="18" t="n">
        <v>0</v>
      </c>
      <c r="L52" s="20" t="n">
        <v>0</v>
      </c>
      <c r="M52" s="18" t="n">
        <v>0.35824181</v>
      </c>
      <c r="N52" s="20" t="n">
        <v>0.16716913</v>
      </c>
      <c r="O52" s="18" t="n">
        <v>0</v>
      </c>
      <c r="P52" s="20" t="n">
        <v>0</v>
      </c>
      <c r="Q52" s="18" t="n">
        <v>0</v>
      </c>
      <c r="R52" s="20" t="n">
        <v>0</v>
      </c>
      <c r="S52" s="18" t="n">
        <v>4.16539598</v>
      </c>
      <c r="T52" s="20" t="n">
        <v>0.59816821</v>
      </c>
    </row>
    <row r="53" spans="1:20">
      <c r="A53" s="15" t="s">
        <v>612</v>
      </c>
      <c r="B53" s="17" t="n">
        <v>4740</v>
      </c>
      <c r="C53" s="18">
        <f>(3668.0/B53*100)</f>
        <v/>
      </c>
      <c r="D53" s="19" t="n">
        <v>1072</v>
      </c>
      <c r="E53" s="18" t="n">
        <v>63.32504473</v>
      </c>
      <c r="F53" s="20" t="n">
        <v>1.698422</v>
      </c>
      <c r="G53" s="18" t="n">
        <v>12.54720406</v>
      </c>
      <c r="H53" s="20" t="n">
        <v>1.08195853</v>
      </c>
      <c r="I53" s="18" t="n">
        <v>0.14387684</v>
      </c>
      <c r="J53" s="20" t="n">
        <v>0.12276344</v>
      </c>
      <c r="K53" s="18" t="n">
        <v>0</v>
      </c>
      <c r="L53" s="20" t="n">
        <v>0</v>
      </c>
      <c r="M53" s="18" t="n">
        <v>14.44388898</v>
      </c>
      <c r="N53" s="20" t="n">
        <v>1.13843343</v>
      </c>
      <c r="O53" s="18" t="n">
        <v>0</v>
      </c>
      <c r="P53" s="20" t="n">
        <v>0</v>
      </c>
      <c r="Q53" s="18" t="n">
        <v>0</v>
      </c>
      <c r="R53" s="20" t="n">
        <v>0</v>
      </c>
      <c r="S53" s="18" t="n">
        <v>9.53998539</v>
      </c>
      <c r="T53" s="20" t="n">
        <v>1.18081421</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(4173.0/B55*100)</f>
        <v/>
      </c>
      <c r="D55" s="19" t="n">
        <v>1186</v>
      </c>
      <c r="E55" s="18" t="n">
        <v>38.84834828</v>
      </c>
      <c r="F55" s="20" t="n">
        <v>1.80018891</v>
      </c>
      <c r="G55" s="18" t="n">
        <v>37.81198755</v>
      </c>
      <c r="H55" s="20" t="n">
        <v>1.86720494</v>
      </c>
      <c r="I55" s="18" t="n">
        <v>22.58522784</v>
      </c>
      <c r="J55" s="20" t="n">
        <v>1.2565235</v>
      </c>
      <c r="K55" s="18" t="n">
        <v>0</v>
      </c>
      <c r="L55" s="20" t="n">
        <v>0</v>
      </c>
      <c r="M55" s="18" t="n">
        <v>0.25927215</v>
      </c>
      <c r="N55" s="20" t="n">
        <v>0.1668973</v>
      </c>
      <c r="O55" s="18" t="n">
        <v>0</v>
      </c>
      <c r="P55" s="20" t="n">
        <v>0</v>
      </c>
      <c r="Q55" s="18" t="n">
        <v>0</v>
      </c>
      <c r="R55" s="20" t="n">
        <v>0</v>
      </c>
      <c r="S55" s="18" t="n">
        <v>0.49516417</v>
      </c>
      <c r="T55" s="20" t="n">
        <v>0.21244902</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(5076.0/B61*100)</f>
        <v/>
      </c>
      <c r="D61" s="19" t="n">
        <v>1449</v>
      </c>
      <c r="E61" s="18" t="n">
        <v>56.6884951</v>
      </c>
      <c r="F61" s="20" t="n">
        <v>1.39151727</v>
      </c>
      <c r="G61" s="18" t="n">
        <v>29.29265884</v>
      </c>
      <c r="H61" s="20" t="n">
        <v>1.30594726</v>
      </c>
      <c r="I61" s="18" t="n">
        <v>10.93344826</v>
      </c>
      <c r="J61" s="20" t="n">
        <v>1.08108497</v>
      </c>
      <c r="K61" s="18" t="n">
        <v>0</v>
      </c>
      <c r="L61" s="20" t="n">
        <v>0</v>
      </c>
      <c r="M61" s="18" t="n">
        <v>0.16785091</v>
      </c>
      <c r="N61" s="20" t="n">
        <v>0.10539438</v>
      </c>
      <c r="O61" s="18" t="n">
        <v>0</v>
      </c>
      <c r="P61" s="20" t="n">
        <v>0</v>
      </c>
      <c r="Q61" s="18" t="n">
        <v>0</v>
      </c>
      <c r="R61" s="20" t="n">
        <v>0</v>
      </c>
      <c r="S61" s="18" t="n">
        <v>2.91754689</v>
      </c>
      <c r="T61" s="20" t="n">
        <v>0.45883648</v>
      </c>
    </row>
    <row r="62" spans="1:20">
      <c r="A62" s="15" t="s">
        <v>622</v>
      </c>
      <c r="B62" s="17" t="n">
        <v>4476</v>
      </c>
      <c r="C62" s="18">
        <f>(3509.0/B62*100)</f>
        <v/>
      </c>
      <c r="D62" s="19" t="n">
        <v>967</v>
      </c>
      <c r="E62" s="18" t="n">
        <v>36.74824232</v>
      </c>
      <c r="F62" s="20" t="n">
        <v>1.57037703</v>
      </c>
      <c r="G62" s="18" t="n">
        <v>35.61781556</v>
      </c>
      <c r="H62" s="20" t="n">
        <v>1.61913998</v>
      </c>
      <c r="I62" s="18" t="n">
        <v>27.00914301</v>
      </c>
      <c r="J62" s="20" t="n">
        <v>1.25142124</v>
      </c>
      <c r="K62" s="18" t="n">
        <v>0</v>
      </c>
      <c r="L62" s="20" t="n">
        <v>0</v>
      </c>
      <c r="M62" s="18" t="n">
        <v>0.10629736</v>
      </c>
      <c r="N62" s="20" t="n">
        <v>0.1065584</v>
      </c>
      <c r="O62" s="18" t="n">
        <v>0</v>
      </c>
      <c r="P62" s="20" t="n">
        <v>0</v>
      </c>
      <c r="Q62" s="18" t="n">
        <v>0</v>
      </c>
      <c r="R62" s="20" t="n">
        <v>0</v>
      </c>
      <c r="S62" s="18" t="n">
        <v>0.51850175</v>
      </c>
      <c r="T62" s="20" t="n">
        <v>0.23076615</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(4424.0/B67*100)</f>
        <v/>
      </c>
      <c r="D67" s="19" t="n">
        <v>1241</v>
      </c>
      <c r="E67" s="18" t="n">
        <v>63.51621222</v>
      </c>
      <c r="F67" s="20" t="n">
        <v>1.31067059</v>
      </c>
      <c r="G67" s="18" t="n">
        <v>22.58765718</v>
      </c>
      <c r="H67" s="20" t="n">
        <v>1.19924078</v>
      </c>
      <c r="I67" s="18" t="n">
        <v>5.12146298</v>
      </c>
      <c r="J67" s="20" t="n">
        <v>0.60282355</v>
      </c>
      <c r="K67" s="18" t="n">
        <v>0</v>
      </c>
      <c r="L67" s="20" t="n">
        <v>0</v>
      </c>
      <c r="M67" s="18" t="n">
        <v>0.46132744</v>
      </c>
      <c r="N67" s="20" t="n">
        <v>0.15030419</v>
      </c>
      <c r="O67" s="18" t="n">
        <v>0</v>
      </c>
      <c r="P67" s="20" t="n">
        <v>0</v>
      </c>
      <c r="Q67" s="18" t="n">
        <v>0</v>
      </c>
      <c r="R67" s="20" t="n">
        <v>0</v>
      </c>
      <c r="S67" s="18" t="n">
        <v>8.31334019</v>
      </c>
      <c r="T67" s="20" t="n">
        <v>0.8192517499999999</v>
      </c>
    </row>
    <row r="68" spans="1:20">
      <c r="A68" s="15" t="s">
        <v>628</v>
      </c>
      <c r="B68" s="17" t="n">
        <v>6971</v>
      </c>
      <c r="C68" s="18">
        <f>(5554.0/B68*100)</f>
        <v/>
      </c>
      <c r="D68" s="19" t="n">
        <v>1417</v>
      </c>
      <c r="E68" s="18" t="n">
        <v>68.17640994</v>
      </c>
      <c r="F68" s="20" t="n">
        <v>1.39258094</v>
      </c>
      <c r="G68" s="18" t="n">
        <v>24.88757026</v>
      </c>
      <c r="H68" s="20" t="n">
        <v>1.10484802</v>
      </c>
      <c r="I68" s="18" t="n">
        <v>3.34355225</v>
      </c>
      <c r="J68" s="20" t="n">
        <v>0.63916713</v>
      </c>
      <c r="K68" s="18" t="n">
        <v>0</v>
      </c>
      <c r="L68" s="20" t="n">
        <v>0</v>
      </c>
      <c r="M68" s="18" t="n">
        <v>0.13648035</v>
      </c>
      <c r="N68" s="20" t="n">
        <v>0.09681769</v>
      </c>
      <c r="O68" s="18" t="n">
        <v>0</v>
      </c>
      <c r="P68" s="20" t="n">
        <v>0</v>
      </c>
      <c r="Q68" s="18" t="n">
        <v>0</v>
      </c>
      <c r="R68" s="20" t="n">
        <v>0</v>
      </c>
      <c r="S68" s="18" t="n">
        <v>3.4559872</v>
      </c>
      <c r="T68" s="20" t="n">
        <v>0.5260141</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(9412.0/B70*100)</f>
        <v/>
      </c>
      <c r="D70" s="19" t="n">
        <v>2671</v>
      </c>
      <c r="E70" s="18" t="n">
        <v>58.1723308</v>
      </c>
      <c r="F70" s="20" t="n">
        <v>0.94981692</v>
      </c>
      <c r="G70" s="18" t="n">
        <v>27.72182665</v>
      </c>
      <c r="H70" s="20" t="n">
        <v>0.82760718</v>
      </c>
      <c r="I70" s="18" t="n">
        <v>8.318994050000001</v>
      </c>
      <c r="J70" s="20" t="n">
        <v>0.59630571</v>
      </c>
      <c r="K70" s="18" t="n">
        <v>0</v>
      </c>
      <c r="L70" s="20" t="n">
        <v>0</v>
      </c>
      <c r="M70" s="18" t="n">
        <v>1.1718936</v>
      </c>
      <c r="N70" s="20" t="n">
        <v>0.19871979</v>
      </c>
      <c r="O70" s="18" t="n">
        <v>0</v>
      </c>
      <c r="P70" s="20" t="n">
        <v>0</v>
      </c>
      <c r="Q70" s="18" t="n">
        <v>0</v>
      </c>
      <c r="R70" s="20" t="n">
        <v>0</v>
      </c>
      <c r="S70" s="18" t="n">
        <v>4.6149549</v>
      </c>
      <c r="T70" s="20" t="n">
        <v>0.46580512</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(4742.0/B72*100)</f>
        <v/>
      </c>
      <c r="D72" s="19" t="n">
        <v>1294</v>
      </c>
      <c r="E72" s="18" t="n">
        <v>49.03107303</v>
      </c>
      <c r="F72" s="20" t="n">
        <v>1.52102888</v>
      </c>
      <c r="G72" s="18" t="n">
        <v>35.24090042</v>
      </c>
      <c r="H72" s="20" t="n">
        <v>1.35896189</v>
      </c>
      <c r="I72" s="18" t="n">
        <v>13.45615352</v>
      </c>
      <c r="J72" s="20" t="n">
        <v>1.05431813</v>
      </c>
      <c r="K72" s="18" t="n">
        <v>0</v>
      </c>
      <c r="L72" s="20" t="n">
        <v>0</v>
      </c>
      <c r="M72" s="18" t="n">
        <v>0.17217739</v>
      </c>
      <c r="N72" s="20" t="n">
        <v>0.08532526999999999</v>
      </c>
      <c r="O72" s="18" t="n">
        <v>0</v>
      </c>
      <c r="P72" s="20" t="n">
        <v>0</v>
      </c>
      <c r="Q72" s="18" t="n">
        <v>0</v>
      </c>
      <c r="R72" s="20" t="n">
        <v>0</v>
      </c>
      <c r="S72" s="18" t="n">
        <v>2.09969564</v>
      </c>
      <c r="T72" s="20" t="n">
        <v>0.37528114</v>
      </c>
    </row>
    <row r="73" spans="1:20">
      <c r="A73" s="15" t="s">
        <v>633</v>
      </c>
      <c r="B73" s="17" t="n">
        <v>6115</v>
      </c>
      <c r="C73" s="18">
        <f>(4715.0/B73*100)</f>
        <v/>
      </c>
      <c r="D73" s="19" t="n">
        <v>1400</v>
      </c>
      <c r="E73" s="18" t="n">
        <v>30.68354892</v>
      </c>
      <c r="F73" s="20" t="n">
        <v>1.41886184</v>
      </c>
      <c r="G73" s="18" t="n">
        <v>33.31075764</v>
      </c>
      <c r="H73" s="20" t="n">
        <v>1.26394448</v>
      </c>
      <c r="I73" s="18" t="n">
        <v>35.16553176</v>
      </c>
      <c r="J73" s="20" t="n">
        <v>1.45551828</v>
      </c>
      <c r="K73" s="18" t="n">
        <v>0</v>
      </c>
      <c r="L73" s="20" t="n">
        <v>0</v>
      </c>
      <c r="M73" s="18" t="n">
        <v>0.09456104</v>
      </c>
      <c r="N73" s="20" t="n">
        <v>0.06887736</v>
      </c>
      <c r="O73" s="18" t="n">
        <v>0</v>
      </c>
      <c r="P73" s="20" t="n">
        <v>0</v>
      </c>
      <c r="Q73" s="18" t="n">
        <v>0</v>
      </c>
      <c r="R73" s="20" t="n">
        <v>0</v>
      </c>
      <c r="S73" s="18" t="n">
        <v>0.74560064</v>
      </c>
      <c r="T73" s="20" t="n">
        <v>0.1809238</v>
      </c>
    </row>
    <row r="74" spans="1:20">
      <c r="A74" s="15" t="s">
        <v>634</v>
      </c>
      <c r="B74" s="17" t="n">
        <v>7708</v>
      </c>
      <c r="C74" s="18">
        <f>(5977.0/B74*100)</f>
        <v/>
      </c>
      <c r="D74" s="19" t="n">
        <v>1731</v>
      </c>
      <c r="E74" s="18" t="n">
        <v>34.44468434</v>
      </c>
      <c r="F74" s="20" t="n">
        <v>1.44781398</v>
      </c>
      <c r="G74" s="18" t="n">
        <v>36.43664189</v>
      </c>
      <c r="H74" s="20" t="n">
        <v>1.34767918</v>
      </c>
      <c r="I74" s="18" t="n">
        <v>28.30963741</v>
      </c>
      <c r="J74" s="20" t="n">
        <v>1.66359475</v>
      </c>
      <c r="K74" s="18" t="n">
        <v>0</v>
      </c>
      <c r="L74" s="20" t="n">
        <v>0</v>
      </c>
      <c r="M74" s="18" t="n">
        <v>0.10453194</v>
      </c>
      <c r="N74" s="20" t="n">
        <v>0.08203671999999999</v>
      </c>
      <c r="O74" s="18" t="n">
        <v>0</v>
      </c>
      <c r="P74" s="20" t="n">
        <v>0</v>
      </c>
      <c r="Q74" s="18" t="n">
        <v>0</v>
      </c>
      <c r="R74" s="20" t="n">
        <v>0</v>
      </c>
      <c r="S74" s="18" t="n">
        <v>0.70450441</v>
      </c>
      <c r="T74" s="20" t="n">
        <v>0.20872513</v>
      </c>
    </row>
    <row r="75" spans="1:20">
      <c r="A75" s="15" t="s">
        <v>635</v>
      </c>
      <c r="B75" s="17" t="n">
        <v>8249</v>
      </c>
      <c r="C75" s="18">
        <f>(6492.0/B75*100)</f>
        <v/>
      </c>
      <c r="D75" s="19" t="n">
        <v>1757</v>
      </c>
      <c r="E75" s="18" t="n">
        <v>63.64322612</v>
      </c>
      <c r="F75" s="20" t="n">
        <v>1.40647931</v>
      </c>
      <c r="G75" s="18" t="n">
        <v>29.72501487</v>
      </c>
      <c r="H75" s="20" t="n">
        <v>1.23537306</v>
      </c>
      <c r="I75" s="18" t="n">
        <v>5.17309528</v>
      </c>
      <c r="J75" s="20" t="n">
        <v>0.6134619100000001</v>
      </c>
      <c r="K75" s="18" t="n">
        <v>0</v>
      </c>
      <c r="L75" s="20" t="n">
        <v>0</v>
      </c>
      <c r="M75" s="18" t="n">
        <v>0</v>
      </c>
      <c r="N75" s="20" t="n">
        <v>0</v>
      </c>
      <c r="O75" s="18" t="n">
        <v>0</v>
      </c>
      <c r="P75" s="20" t="n">
        <v>0</v>
      </c>
      <c r="Q75" s="18" t="n">
        <v>0</v>
      </c>
      <c r="R75" s="20" t="n">
        <v>0</v>
      </c>
      <c r="S75" s="18" t="n">
        <v>1.45866373</v>
      </c>
      <c r="T75" s="20" t="n">
        <v>0.33613199</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(4303.0/B77*100)</f>
        <v/>
      </c>
      <c r="D77" s="19" t="n">
        <v>1072</v>
      </c>
      <c r="E77" s="18" t="n">
        <v>65.49275326</v>
      </c>
      <c r="F77" s="20" t="n">
        <v>1.58830384</v>
      </c>
      <c r="G77" s="18" t="n">
        <v>23.31281782</v>
      </c>
      <c r="H77" s="20" t="n">
        <v>1.33416894</v>
      </c>
      <c r="I77" s="18" t="n">
        <v>3.84501561</v>
      </c>
      <c r="J77" s="20" t="n">
        <v>0.58172094</v>
      </c>
      <c r="K77" s="18" t="n">
        <v>0</v>
      </c>
      <c r="L77" s="20" t="n">
        <v>0</v>
      </c>
      <c r="M77" s="18" t="n">
        <v>2.98226847</v>
      </c>
      <c r="N77" s="20" t="n">
        <v>0.6683321</v>
      </c>
      <c r="O77" s="18" t="n">
        <v>0</v>
      </c>
      <c r="P77" s="20" t="n">
        <v>0</v>
      </c>
      <c r="Q77" s="18" t="n">
        <v>0</v>
      </c>
      <c r="R77" s="20" t="n">
        <v>0</v>
      </c>
      <c r="S77" s="18" t="n">
        <v>4.36714485</v>
      </c>
      <c r="T77" s="20" t="n">
        <v>0.64579685</v>
      </c>
    </row>
    <row r="78" spans="1:20">
      <c r="A78" s="15" t="s">
        <v>638</v>
      </c>
      <c r="B78" s="17" t="n">
        <v>14167</v>
      </c>
      <c r="C78" s="18">
        <f>(11036.0/B78*100)</f>
        <v/>
      </c>
      <c r="D78" s="19" t="n">
        <v>3131</v>
      </c>
      <c r="E78" s="18" t="n">
        <v>56.24646577</v>
      </c>
      <c r="F78" s="20" t="n">
        <v>1.20785809</v>
      </c>
      <c r="G78" s="18" t="n">
        <v>30.37798394</v>
      </c>
      <c r="H78" s="20" t="n">
        <v>1.07838794</v>
      </c>
      <c r="I78" s="18" t="n">
        <v>10.51908307</v>
      </c>
      <c r="J78" s="20" t="n">
        <v>0.7207179500000001</v>
      </c>
      <c r="K78" s="18" t="n">
        <v>0</v>
      </c>
      <c r="L78" s="20" t="n">
        <v>0</v>
      </c>
      <c r="M78" s="18" t="n">
        <v>0.67766086</v>
      </c>
      <c r="N78" s="20" t="n">
        <v>0.17601616</v>
      </c>
      <c r="O78" s="18" t="n">
        <v>0</v>
      </c>
      <c r="P78" s="20" t="n">
        <v>0</v>
      </c>
      <c r="Q78" s="18" t="n">
        <v>0</v>
      </c>
      <c r="R78" s="20" t="n">
        <v>0</v>
      </c>
      <c r="S78" s="18" t="n">
        <v>2.17880636</v>
      </c>
      <c r="T78" s="20" t="n">
        <v>0.31192069</v>
      </c>
    </row>
    <row r="79" spans="1:20">
      <c r="A79" s="15" t="s">
        <v>639</v>
      </c>
      <c r="B79" s="17" t="n">
        <v>6062</v>
      </c>
      <c r="C79" s="18">
        <f>(4846.0/B79*100)</f>
        <v/>
      </c>
      <c r="D79" s="19" t="n">
        <v>1216</v>
      </c>
      <c r="E79" s="18" t="n">
        <v>57.15814589</v>
      </c>
      <c r="F79" s="20" t="n">
        <v>1.65484084</v>
      </c>
      <c r="G79" s="18" t="n">
        <v>30.43413077</v>
      </c>
      <c r="H79" s="20" t="n">
        <v>1.63133766</v>
      </c>
      <c r="I79" s="18" t="n">
        <v>6.40683614</v>
      </c>
      <c r="J79" s="20" t="n">
        <v>0.66095796</v>
      </c>
      <c r="K79" s="18" t="n">
        <v>0</v>
      </c>
      <c r="L79" s="20" t="n">
        <v>0</v>
      </c>
      <c r="M79" s="18" t="n">
        <v>0.92232545</v>
      </c>
      <c r="N79" s="20" t="n">
        <v>0.22746152</v>
      </c>
      <c r="O79" s="18" t="n">
        <v>0</v>
      </c>
      <c r="P79" s="20" t="n">
        <v>0</v>
      </c>
      <c r="Q79" s="18" t="n">
        <v>0</v>
      </c>
      <c r="R79" s="20" t="n">
        <v>0</v>
      </c>
      <c r="S79" s="18" t="n">
        <v>5.07856176</v>
      </c>
      <c r="T79" s="20" t="n">
        <v>0.77456685</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(25267.0/B82*100)</f>
        <v/>
      </c>
      <c r="D82" s="19" t="n">
        <v>7063</v>
      </c>
      <c r="E82" s="18" t="n">
        <v>44.98856738</v>
      </c>
      <c r="F82" s="20" t="n">
        <v>0.98150148</v>
      </c>
      <c r="G82" s="18" t="n">
        <v>36.85217945</v>
      </c>
      <c r="H82" s="20" t="n">
        <v>0.87692082</v>
      </c>
      <c r="I82" s="18" t="n">
        <v>15.79760747</v>
      </c>
      <c r="J82" s="20" t="n">
        <v>0.61378775</v>
      </c>
      <c r="K82" s="18" t="n">
        <v>0</v>
      </c>
      <c r="L82" s="20" t="n">
        <v>0</v>
      </c>
      <c r="M82" s="18" t="n">
        <v>0.1583497</v>
      </c>
      <c r="N82" s="20" t="n">
        <v>0.08960654</v>
      </c>
      <c r="O82" s="18" t="n">
        <v>0</v>
      </c>
      <c r="P82" s="20" t="n">
        <v>0</v>
      </c>
      <c r="Q82" s="18" t="n">
        <v>0</v>
      </c>
      <c r="R82" s="20" t="n">
        <v>0</v>
      </c>
      <c r="S82" s="18" t="n">
        <v>2.203296</v>
      </c>
      <c r="T82" s="20" t="n">
        <v>0.24805846</v>
      </c>
    </row>
    <row r="83" spans="1:20">
      <c r="A83" s="15" t="s">
        <v>643</v>
      </c>
      <c r="B83" s="17" t="n">
        <v>1652</v>
      </c>
      <c r="C83" s="18">
        <f>(1314.0/B83*100)</f>
        <v/>
      </c>
      <c r="D83" s="19" t="n">
        <v>338</v>
      </c>
      <c r="E83" s="18" t="n">
        <v>49.46972052</v>
      </c>
      <c r="F83" s="20" t="n">
        <v>3.4240379</v>
      </c>
      <c r="G83" s="18" t="n">
        <v>33.26859076</v>
      </c>
      <c r="H83" s="20" t="n">
        <v>2.5780391</v>
      </c>
      <c r="I83" s="18" t="n">
        <v>16.97940815</v>
      </c>
      <c r="J83" s="20" t="n">
        <v>2.47508571</v>
      </c>
      <c r="K83" s="18" t="n">
        <v>0</v>
      </c>
      <c r="L83" s="20" t="n">
        <v>0</v>
      </c>
      <c r="M83" s="18" t="n">
        <v>0</v>
      </c>
      <c r="N83" s="20" t="n">
        <v>0</v>
      </c>
      <c r="O83" s="18" t="n">
        <v>0</v>
      </c>
      <c r="P83" s="20" t="n">
        <v>0</v>
      </c>
      <c r="Q83" s="18" t="n">
        <v>0</v>
      </c>
      <c r="R83" s="20" t="n">
        <v>0</v>
      </c>
      <c r="S83" s="18" t="n">
        <v>0.28228057</v>
      </c>
      <c r="T83" s="20" t="n">
        <v>0.27434026</v>
      </c>
    </row>
    <row r="84" spans="1:20">
      <c r="A84" s="23" t="s">
        <v>644</v>
      </c>
      <c r="B84" s="24" t="n">
        <v>1887</v>
      </c>
      <c r="C84" s="25">
        <f>(1456.0/B84*100)</f>
        <v/>
      </c>
      <c r="D84" s="19" t="n">
        <v>431</v>
      </c>
      <c r="E84" s="18" t="n">
        <v>51.85116895</v>
      </c>
      <c r="F84" s="20" t="n">
        <v>2.81899139</v>
      </c>
      <c r="G84" s="18" t="n">
        <v>32.36889691</v>
      </c>
      <c r="H84" s="20" t="n">
        <v>2.4847431</v>
      </c>
      <c r="I84" s="18" t="n">
        <v>15.54118774</v>
      </c>
      <c r="J84" s="20" t="n">
        <v>2.14389344</v>
      </c>
      <c r="K84" s="18" t="n">
        <v>0</v>
      </c>
      <c r="L84" s="20" t="n">
        <v>0</v>
      </c>
      <c r="M84" s="18" t="n">
        <v>0</v>
      </c>
      <c r="N84" s="20" t="n">
        <v>0</v>
      </c>
      <c r="O84" s="18" t="n">
        <v>0</v>
      </c>
      <c r="P84" s="20" t="n">
        <v>0</v>
      </c>
      <c r="Q84" s="18" t="n">
        <v>0</v>
      </c>
      <c r="R84" s="20" t="n">
        <v>0</v>
      </c>
      <c r="S84" s="18" t="n">
        <v>0.23874639</v>
      </c>
      <c r="T84" s="20" t="n">
        <v>0.23779334</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2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(11340.0/B7*100)</f>
        <v/>
      </c>
      <c r="D7" s="19" t="n">
        <v>3190</v>
      </c>
      <c r="E7" s="18" t="n">
        <v>71.47406992000001</v>
      </c>
      <c r="F7" s="20" t="n">
        <v>1.09541028</v>
      </c>
      <c r="G7" s="18" t="n">
        <v>24.02546548</v>
      </c>
      <c r="H7" s="20" t="n">
        <v>1.03752657</v>
      </c>
      <c r="I7" s="18" t="n">
        <v>0</v>
      </c>
      <c r="J7" s="20" t="n">
        <v>0</v>
      </c>
      <c r="K7" s="18" t="n">
        <v>0.28005856</v>
      </c>
      <c r="L7" s="20" t="n">
        <v>0.13531799</v>
      </c>
      <c r="M7" s="18" t="n">
        <v>0.03885015</v>
      </c>
      <c r="N7" s="20" t="n">
        <v>0.02300619</v>
      </c>
      <c r="O7" s="18" t="n">
        <v>0</v>
      </c>
      <c r="P7" s="20" t="n">
        <v>0</v>
      </c>
      <c r="Q7" s="18" t="n">
        <v>4.18155589</v>
      </c>
      <c r="R7" s="20" t="n">
        <v>0.42464828</v>
      </c>
    </row>
    <row r="8" spans="1:18">
      <c r="A8" s="15" t="s">
        <v>566</v>
      </c>
      <c r="B8" s="17" t="n">
        <v>7007</v>
      </c>
      <c r="C8" s="18">
        <f>(5503.0/B8*100)</f>
        <v/>
      </c>
      <c r="D8" s="19" t="n">
        <v>1504</v>
      </c>
      <c r="E8" s="18" t="n">
        <v>74.06375164000001</v>
      </c>
      <c r="F8" s="20" t="n">
        <v>1.29953249</v>
      </c>
      <c r="G8" s="18" t="n">
        <v>21.40883941</v>
      </c>
      <c r="H8" s="20" t="n">
        <v>1.22246569</v>
      </c>
      <c r="I8" s="18" t="n">
        <v>0</v>
      </c>
      <c r="J8" s="20" t="n">
        <v>0</v>
      </c>
      <c r="K8" s="18" t="n">
        <v>0</v>
      </c>
      <c r="L8" s="20" t="n">
        <v>0</v>
      </c>
      <c r="M8" s="18" t="n">
        <v>0</v>
      </c>
      <c r="N8" s="20" t="n">
        <v>0</v>
      </c>
      <c r="O8" s="18" t="n">
        <v>0</v>
      </c>
      <c r="P8" s="20" t="n">
        <v>0</v>
      </c>
      <c r="Q8" s="18" t="n">
        <v>4.52740896</v>
      </c>
      <c r="R8" s="20" t="n">
        <v>0.59911231</v>
      </c>
    </row>
    <row r="9" spans="1:18">
      <c r="A9" s="15" t="s">
        <v>567</v>
      </c>
      <c r="B9" s="17" t="n">
        <v>9651</v>
      </c>
      <c r="C9" s="18">
        <f>(7652.0/B9*100)</f>
        <v/>
      </c>
      <c r="D9" s="19" t="n">
        <v>1999</v>
      </c>
      <c r="E9" s="18" t="n">
        <v>70.39096846</v>
      </c>
      <c r="F9" s="20" t="n">
        <v>1.06576023</v>
      </c>
      <c r="G9" s="18" t="n">
        <v>26.02940292</v>
      </c>
      <c r="H9" s="20" t="n">
        <v>1.06254135</v>
      </c>
      <c r="I9" s="18" t="n">
        <v>0</v>
      </c>
      <c r="J9" s="20" t="n">
        <v>0</v>
      </c>
      <c r="K9" s="18" t="n">
        <v>0.19782853</v>
      </c>
      <c r="L9" s="20" t="n">
        <v>0.10478067</v>
      </c>
      <c r="M9" s="18" t="n">
        <v>0.28345679</v>
      </c>
      <c r="N9" s="20" t="n">
        <v>0.11388694</v>
      </c>
      <c r="O9" s="18" t="n">
        <v>0</v>
      </c>
      <c r="P9" s="20" t="n">
        <v>0</v>
      </c>
      <c r="Q9" s="18" t="n">
        <v>3.09834331</v>
      </c>
      <c r="R9" s="20" t="n">
        <v>0.47932986</v>
      </c>
    </row>
    <row r="10" spans="1:18">
      <c r="A10" s="15" t="s">
        <v>568</v>
      </c>
      <c r="B10" s="17" t="n">
        <v>20058</v>
      </c>
      <c r="C10" s="18">
        <f>(15548.0/B10*100)</f>
        <v/>
      </c>
      <c r="D10" s="19" t="n">
        <v>4510</v>
      </c>
      <c r="E10" s="18" t="n">
        <v>69.23980182</v>
      </c>
      <c r="F10" s="20" t="n">
        <v>0.93113057</v>
      </c>
      <c r="G10" s="18" t="n">
        <v>28.62336006</v>
      </c>
      <c r="H10" s="20" t="n">
        <v>0.92874306</v>
      </c>
      <c r="I10" s="18" t="n">
        <v>0</v>
      </c>
      <c r="J10" s="20" t="n">
        <v>0</v>
      </c>
      <c r="K10" s="18" t="n">
        <v>0.16085703</v>
      </c>
      <c r="L10" s="20" t="n">
        <v>0.07338707999999999</v>
      </c>
      <c r="M10" s="18" t="n">
        <v>0.01975596</v>
      </c>
      <c r="N10" s="20" t="n">
        <v>0.01399767</v>
      </c>
      <c r="O10" s="18" t="n">
        <v>0</v>
      </c>
      <c r="P10" s="20" t="n">
        <v>0</v>
      </c>
      <c r="Q10" s="18" t="n">
        <v>1.95622513</v>
      </c>
      <c r="R10" s="20" t="n">
        <v>0.25292256</v>
      </c>
    </row>
    <row r="11" spans="1:18">
      <c r="A11" s="15" t="s">
        <v>569</v>
      </c>
      <c r="B11" s="17" t="n">
        <v>7053</v>
      </c>
      <c r="C11" s="18">
        <f>(5494.0/B11*100)</f>
        <v/>
      </c>
      <c r="D11" s="19" t="n">
        <v>1559</v>
      </c>
      <c r="E11" s="18" t="n">
        <v>82.65682692</v>
      </c>
      <c r="F11" s="20" t="n">
        <v>1.18583524</v>
      </c>
      <c r="G11" s="18" t="n">
        <v>10.83123062</v>
      </c>
      <c r="H11" s="20" t="n">
        <v>0.99100678</v>
      </c>
      <c r="I11" s="18" t="n">
        <v>0</v>
      </c>
      <c r="J11" s="20" t="n">
        <v>0</v>
      </c>
      <c r="K11" s="18" t="n">
        <v>0.26517354</v>
      </c>
      <c r="L11" s="20" t="n">
        <v>0.13229941</v>
      </c>
      <c r="M11" s="18" t="n">
        <v>0.00694976</v>
      </c>
      <c r="N11" s="20" t="n">
        <v>0.00700306</v>
      </c>
      <c r="O11" s="18" t="n">
        <v>0</v>
      </c>
      <c r="P11" s="20" t="n">
        <v>0</v>
      </c>
      <c r="Q11" s="18" t="n">
        <v>6.23981916</v>
      </c>
      <c r="R11" s="20" t="n">
        <v>0.77321926</v>
      </c>
    </row>
    <row r="12" spans="1:18">
      <c r="A12" s="15" t="s">
        <v>570</v>
      </c>
      <c r="B12" s="17" t="n">
        <v>6894</v>
      </c>
      <c r="C12" s="18">
        <f>(5413.0/B12*100)</f>
        <v/>
      </c>
      <c r="D12" s="19" t="n">
        <v>1481</v>
      </c>
      <c r="E12" s="18" t="n">
        <v>80.11317606</v>
      </c>
      <c r="F12" s="20" t="n">
        <v>1.2382896</v>
      </c>
      <c r="G12" s="18" t="n">
        <v>16.52871706</v>
      </c>
      <c r="H12" s="20" t="n">
        <v>1.21196381</v>
      </c>
      <c r="I12" s="18" t="n">
        <v>0</v>
      </c>
      <c r="J12" s="20" t="n">
        <v>0</v>
      </c>
      <c r="K12" s="18" t="n">
        <v>0.06174479</v>
      </c>
      <c r="L12" s="20" t="n">
        <v>0.06095788</v>
      </c>
      <c r="M12" s="18" t="n">
        <v>0.06161722</v>
      </c>
      <c r="N12" s="20" t="n">
        <v>0.06046515</v>
      </c>
      <c r="O12" s="18" t="n">
        <v>0</v>
      </c>
      <c r="P12" s="20" t="n">
        <v>0</v>
      </c>
      <c r="Q12" s="18" t="n">
        <v>3.23474487</v>
      </c>
      <c r="R12" s="20" t="n">
        <v>0.62303582</v>
      </c>
    </row>
    <row r="13" spans="1:18">
      <c r="A13" s="15" t="s">
        <v>571</v>
      </c>
      <c r="B13" s="17" t="n">
        <v>7161</v>
      </c>
      <c r="C13" s="18">
        <f>(5656.0/B13*100)</f>
        <v/>
      </c>
      <c r="D13" s="19" t="n">
        <v>1505</v>
      </c>
      <c r="E13" s="18" t="n">
        <v>76.20529504</v>
      </c>
      <c r="F13" s="20" t="n">
        <v>1.25187982</v>
      </c>
      <c r="G13" s="18" t="n">
        <v>20.11392759</v>
      </c>
      <c r="H13" s="20" t="n">
        <v>1.21368648</v>
      </c>
      <c r="I13" s="18" t="n">
        <v>0</v>
      </c>
      <c r="J13" s="20" t="n">
        <v>0</v>
      </c>
      <c r="K13" s="18" t="n">
        <v>0.19866889</v>
      </c>
      <c r="L13" s="20" t="n">
        <v>0.12613711</v>
      </c>
      <c r="M13" s="18" t="n">
        <v>0.23737131</v>
      </c>
      <c r="N13" s="20" t="n">
        <v>0.23846803</v>
      </c>
      <c r="O13" s="18" t="n">
        <v>0</v>
      </c>
      <c r="P13" s="20" t="n">
        <v>0</v>
      </c>
      <c r="Q13" s="18" t="n">
        <v>3.24473717</v>
      </c>
      <c r="R13" s="20" t="n">
        <v>0.68978404</v>
      </c>
    </row>
    <row r="14" spans="1:18">
      <c r="A14" s="15" t="s">
        <v>572</v>
      </c>
      <c r="B14" s="17" t="n">
        <v>5587</v>
      </c>
      <c r="C14" s="18">
        <f>(4341.0/B14*100)</f>
        <v/>
      </c>
      <c r="D14" s="19" t="n">
        <v>1246</v>
      </c>
      <c r="E14" s="18" t="n">
        <v>75.56686922</v>
      </c>
      <c r="F14" s="20" t="n">
        <v>1.36255892</v>
      </c>
      <c r="G14" s="18" t="n">
        <v>22.77549859</v>
      </c>
      <c r="H14" s="20" t="n">
        <v>1.31406512</v>
      </c>
      <c r="I14" s="18" t="n">
        <v>0</v>
      </c>
      <c r="J14" s="20" t="n">
        <v>0</v>
      </c>
      <c r="K14" s="18" t="n">
        <v>0.5439917</v>
      </c>
      <c r="L14" s="20" t="n">
        <v>0.26585498</v>
      </c>
      <c r="M14" s="18" t="n">
        <v>0</v>
      </c>
      <c r="N14" s="20" t="n">
        <v>0</v>
      </c>
      <c r="O14" s="18" t="n">
        <v>0</v>
      </c>
      <c r="P14" s="20" t="n">
        <v>0</v>
      </c>
      <c r="Q14" s="18" t="n">
        <v>1.11364048</v>
      </c>
      <c r="R14" s="20" t="n">
        <v>0.32836785</v>
      </c>
    </row>
    <row r="15" spans="1:18">
      <c r="A15" s="15" t="s">
        <v>573</v>
      </c>
      <c r="B15" s="17" t="n">
        <v>5882</v>
      </c>
      <c r="C15" s="18">
        <f>(4581.0/B15*100)</f>
        <v/>
      </c>
      <c r="D15" s="19" t="n">
        <v>1301</v>
      </c>
      <c r="E15" s="18" t="n">
        <v>77.23006216</v>
      </c>
      <c r="F15" s="20" t="n">
        <v>1.1890725</v>
      </c>
      <c r="G15" s="18" t="n">
        <v>20.85329843</v>
      </c>
      <c r="H15" s="20" t="n">
        <v>1.16354467</v>
      </c>
      <c r="I15" s="18" t="n">
        <v>0</v>
      </c>
      <c r="J15" s="20" t="n">
        <v>0</v>
      </c>
      <c r="K15" s="18" t="n">
        <v>0.07953502</v>
      </c>
      <c r="L15" s="20" t="n">
        <v>0.07979611</v>
      </c>
      <c r="M15" s="18" t="n">
        <v>0</v>
      </c>
      <c r="N15" s="20" t="n">
        <v>0</v>
      </c>
      <c r="O15" s="18" t="n">
        <v>0</v>
      </c>
      <c r="P15" s="20" t="n">
        <v>0</v>
      </c>
      <c r="Q15" s="18" t="n">
        <v>1.8371044</v>
      </c>
      <c r="R15" s="20" t="n">
        <v>0.32359094</v>
      </c>
    </row>
    <row r="16" spans="1:18">
      <c r="A16" s="15" t="s">
        <v>574</v>
      </c>
      <c r="B16" s="17" t="n">
        <v>6108</v>
      </c>
      <c r="C16" s="18">
        <f>(4755.0/B16*100)</f>
        <v/>
      </c>
      <c r="D16" s="19" t="n">
        <v>1353</v>
      </c>
      <c r="E16" s="18" t="n">
        <v>76.42282437999999</v>
      </c>
      <c r="F16" s="20" t="n">
        <v>1.18920039</v>
      </c>
      <c r="G16" s="18" t="n">
        <v>18.0202116</v>
      </c>
      <c r="H16" s="20" t="n">
        <v>1.0383037</v>
      </c>
      <c r="I16" s="18" t="n">
        <v>0</v>
      </c>
      <c r="J16" s="20" t="n">
        <v>0</v>
      </c>
      <c r="K16" s="18" t="n">
        <v>0.61502114</v>
      </c>
      <c r="L16" s="20" t="n">
        <v>0.20663163</v>
      </c>
      <c r="M16" s="18" t="n">
        <v>0.06397292</v>
      </c>
      <c r="N16" s="20" t="n">
        <v>0.0658551</v>
      </c>
      <c r="O16" s="18" t="n">
        <v>0</v>
      </c>
      <c r="P16" s="20" t="n">
        <v>0</v>
      </c>
      <c r="Q16" s="18" t="n">
        <v>4.87796996</v>
      </c>
      <c r="R16" s="20" t="n">
        <v>0.64552331</v>
      </c>
    </row>
    <row r="17" spans="1:18">
      <c r="A17" s="15" t="s">
        <v>575</v>
      </c>
      <c r="B17" s="17" t="n">
        <v>6504</v>
      </c>
      <c r="C17" s="18">
        <f>(5090.0/B17*100)</f>
        <v/>
      </c>
      <c r="D17" s="19" t="n">
        <v>1414</v>
      </c>
      <c r="E17" s="18" t="n">
        <v>78.54199801999999</v>
      </c>
      <c r="F17" s="20" t="n">
        <v>1.02996144</v>
      </c>
      <c r="G17" s="18" t="n">
        <v>17.6929034</v>
      </c>
      <c r="H17" s="20" t="n">
        <v>1.03896559</v>
      </c>
      <c r="I17" s="18" t="n">
        <v>0</v>
      </c>
      <c r="J17" s="20" t="n">
        <v>0</v>
      </c>
      <c r="K17" s="18" t="n">
        <v>0.1446905</v>
      </c>
      <c r="L17" s="20" t="n">
        <v>0.1434997</v>
      </c>
      <c r="M17" s="18" t="n">
        <v>0</v>
      </c>
      <c r="N17" s="20" t="n">
        <v>0</v>
      </c>
      <c r="O17" s="18" t="n">
        <v>0</v>
      </c>
      <c r="P17" s="20" t="n">
        <v>0</v>
      </c>
      <c r="Q17" s="18" t="n">
        <v>3.62040808</v>
      </c>
      <c r="R17" s="20" t="n">
        <v>0.5513721700000001</v>
      </c>
    </row>
    <row r="18" spans="1:18">
      <c r="A18" s="15" t="s">
        <v>576</v>
      </c>
      <c r="B18" s="17" t="n">
        <v>5532</v>
      </c>
      <c r="C18" s="18">
        <f>(4321.0/B18*100)</f>
        <v/>
      </c>
      <c r="D18" s="19" t="n">
        <v>1211</v>
      </c>
      <c r="E18" s="18" t="n">
        <v>84.6894248</v>
      </c>
      <c r="F18" s="20" t="n">
        <v>1.14617784</v>
      </c>
      <c r="G18" s="18" t="n">
        <v>10.55318848</v>
      </c>
      <c r="H18" s="20" t="n">
        <v>0.96168529</v>
      </c>
      <c r="I18" s="18" t="n">
        <v>0</v>
      </c>
      <c r="J18" s="20" t="n">
        <v>0</v>
      </c>
      <c r="K18" s="18" t="n">
        <v>0.2440208</v>
      </c>
      <c r="L18" s="20" t="n">
        <v>0.14360751</v>
      </c>
      <c r="M18" s="18" t="n">
        <v>0</v>
      </c>
      <c r="N18" s="20" t="n">
        <v>0</v>
      </c>
      <c r="O18" s="18" t="n">
        <v>0</v>
      </c>
      <c r="P18" s="20" t="n">
        <v>0</v>
      </c>
      <c r="Q18" s="18" t="n">
        <v>4.51336592</v>
      </c>
      <c r="R18" s="20" t="n">
        <v>0.7480786</v>
      </c>
    </row>
    <row r="19" spans="1:18">
      <c r="A19" s="15" t="s">
        <v>577</v>
      </c>
      <c r="B19" s="17" t="n">
        <v>5658</v>
      </c>
      <c r="C19" s="18">
        <f>(4394.0/B19*100)</f>
        <v/>
      </c>
      <c r="D19" s="19" t="n">
        <v>1264</v>
      </c>
      <c r="E19" s="18" t="n">
        <v>83.15051308</v>
      </c>
      <c r="F19" s="20" t="n">
        <v>1.26151883</v>
      </c>
      <c r="G19" s="18" t="n">
        <v>13.62685402</v>
      </c>
      <c r="H19" s="20" t="n">
        <v>1.06029782</v>
      </c>
      <c r="I19" s="18" t="n">
        <v>0</v>
      </c>
      <c r="J19" s="20" t="n">
        <v>0</v>
      </c>
      <c r="K19" s="18" t="n">
        <v>0</v>
      </c>
      <c r="L19" s="20" t="n">
        <v>0</v>
      </c>
      <c r="M19" s="18" t="n">
        <v>0</v>
      </c>
      <c r="N19" s="20" t="n">
        <v>0</v>
      </c>
      <c r="O19" s="18" t="n">
        <v>0</v>
      </c>
      <c r="P19" s="20" t="n">
        <v>0</v>
      </c>
      <c r="Q19" s="18" t="n">
        <v>3.2226329</v>
      </c>
      <c r="R19" s="20" t="n">
        <v>0.54770671</v>
      </c>
    </row>
    <row r="20" spans="1:18">
      <c r="A20" s="15" t="s">
        <v>578</v>
      </c>
      <c r="B20" s="17" t="n">
        <v>3371</v>
      </c>
      <c r="C20" s="18">
        <f>(2607.0/B20*100)</f>
        <v/>
      </c>
      <c r="D20" s="19" t="n">
        <v>764</v>
      </c>
      <c r="E20" s="18" t="n">
        <v>81.96259044999999</v>
      </c>
      <c r="F20" s="20" t="n">
        <v>1.42825423</v>
      </c>
      <c r="G20" s="18" t="n">
        <v>13.78831996</v>
      </c>
      <c r="H20" s="20" t="n">
        <v>1.22647667</v>
      </c>
      <c r="I20" s="18" t="n">
        <v>0</v>
      </c>
      <c r="J20" s="20" t="n">
        <v>0</v>
      </c>
      <c r="K20" s="18" t="n">
        <v>0.77839493</v>
      </c>
      <c r="L20" s="20" t="n">
        <v>0.30654193</v>
      </c>
      <c r="M20" s="18" t="n">
        <v>0.20172896</v>
      </c>
      <c r="N20" s="20" t="n">
        <v>0.19488793</v>
      </c>
      <c r="O20" s="18" t="n">
        <v>0</v>
      </c>
      <c r="P20" s="20" t="n">
        <v>0</v>
      </c>
      <c r="Q20" s="18" t="n">
        <v>3.2689657</v>
      </c>
      <c r="R20" s="20" t="n">
        <v>0.65090686</v>
      </c>
    </row>
    <row r="21" spans="1:18">
      <c r="A21" s="15" t="s">
        <v>579</v>
      </c>
      <c r="B21" s="17" t="n">
        <v>5741</v>
      </c>
      <c r="C21" s="18">
        <f>(4491.0/B21*100)</f>
        <v/>
      </c>
      <c r="D21" s="19" t="n">
        <v>1250</v>
      </c>
      <c r="E21" s="18" t="n">
        <v>75.18690348</v>
      </c>
      <c r="F21" s="20" t="n">
        <v>1.31822341</v>
      </c>
      <c r="G21" s="18" t="n">
        <v>21.15090716</v>
      </c>
      <c r="H21" s="20" t="n">
        <v>1.3009162</v>
      </c>
      <c r="I21" s="18" t="n">
        <v>0</v>
      </c>
      <c r="J21" s="20" t="n">
        <v>0</v>
      </c>
      <c r="K21" s="18" t="n">
        <v>0</v>
      </c>
      <c r="L21" s="20" t="n">
        <v>0</v>
      </c>
      <c r="M21" s="18" t="n">
        <v>0</v>
      </c>
      <c r="N21" s="20" t="n">
        <v>0</v>
      </c>
      <c r="O21" s="18" t="n">
        <v>0</v>
      </c>
      <c r="P21" s="20" t="n">
        <v>0</v>
      </c>
      <c r="Q21" s="18" t="n">
        <v>3.66218937</v>
      </c>
      <c r="R21" s="20" t="n">
        <v>0.61746345</v>
      </c>
    </row>
    <row r="22" spans="1:18">
      <c r="A22" s="15" t="s">
        <v>580</v>
      </c>
      <c r="B22" s="17" t="n">
        <v>6598</v>
      </c>
      <c r="C22" s="18">
        <f>(5155.0/B22*100)</f>
        <v/>
      </c>
      <c r="D22" s="19" t="n">
        <v>1443</v>
      </c>
      <c r="E22" s="18" t="n">
        <v>79.66071302</v>
      </c>
      <c r="F22" s="20" t="n">
        <v>1.05631265</v>
      </c>
      <c r="G22" s="18" t="n">
        <v>13.57393104</v>
      </c>
      <c r="H22" s="20" t="n">
        <v>1.00123622</v>
      </c>
      <c r="I22" s="18" t="n">
        <v>0</v>
      </c>
      <c r="J22" s="20" t="n">
        <v>0</v>
      </c>
      <c r="K22" s="18" t="n">
        <v>0.48385839</v>
      </c>
      <c r="L22" s="20" t="n">
        <v>0.19668737</v>
      </c>
      <c r="M22" s="18" t="n">
        <v>0.05687987</v>
      </c>
      <c r="N22" s="20" t="n">
        <v>0.05685884</v>
      </c>
      <c r="O22" s="18" t="n">
        <v>0</v>
      </c>
      <c r="P22" s="20" t="n">
        <v>0</v>
      </c>
      <c r="Q22" s="18" t="n">
        <v>6.22461769</v>
      </c>
      <c r="R22" s="20" t="n">
        <v>0.73527193</v>
      </c>
    </row>
    <row r="23" spans="1:18">
      <c r="A23" s="15" t="s">
        <v>581</v>
      </c>
      <c r="B23" s="17" t="n">
        <v>11583</v>
      </c>
      <c r="C23" s="18">
        <f>(9084.0/B23*100)</f>
        <v/>
      </c>
      <c r="D23" s="19" t="n">
        <v>2499</v>
      </c>
      <c r="E23" s="18" t="n">
        <v>77.34415459</v>
      </c>
      <c r="F23" s="20" t="n">
        <v>1.32616788</v>
      </c>
      <c r="G23" s="18" t="n">
        <v>16.72286166</v>
      </c>
      <c r="H23" s="20" t="n">
        <v>1.18132943</v>
      </c>
      <c r="I23" s="18" t="n">
        <v>0</v>
      </c>
      <c r="J23" s="20" t="n">
        <v>0</v>
      </c>
      <c r="K23" s="18" t="n">
        <v>1.1908875</v>
      </c>
      <c r="L23" s="20" t="n">
        <v>0.4026961</v>
      </c>
      <c r="M23" s="18" t="n">
        <v>0.1243114</v>
      </c>
      <c r="N23" s="20" t="n">
        <v>0.14499923</v>
      </c>
      <c r="O23" s="18" t="n">
        <v>0</v>
      </c>
      <c r="P23" s="20" t="n">
        <v>0</v>
      </c>
      <c r="Q23" s="18" t="n">
        <v>4.61778486</v>
      </c>
      <c r="R23" s="20" t="n">
        <v>0.79953525</v>
      </c>
    </row>
    <row r="24" spans="1:18">
      <c r="A24" s="15" t="s">
        <v>582</v>
      </c>
      <c r="B24" s="17" t="n">
        <v>6647</v>
      </c>
      <c r="C24" s="18">
        <f>(5168.0/B24*100)</f>
        <v/>
      </c>
      <c r="D24" s="19" t="n">
        <v>1479</v>
      </c>
      <c r="E24" s="18" t="n">
        <v>70.10137238999999</v>
      </c>
      <c r="F24" s="20" t="n">
        <v>1.340886</v>
      </c>
      <c r="G24" s="18" t="n">
        <v>26.87418858</v>
      </c>
      <c r="H24" s="20" t="n">
        <v>1.4315702</v>
      </c>
      <c r="I24" s="18" t="n">
        <v>0</v>
      </c>
      <c r="J24" s="20" t="n">
        <v>0</v>
      </c>
      <c r="K24" s="18" t="n">
        <v>0.0710399</v>
      </c>
      <c r="L24" s="20" t="n">
        <v>0.06879366000000001</v>
      </c>
      <c r="M24" s="18" t="n">
        <v>0</v>
      </c>
      <c r="N24" s="20" t="n">
        <v>0</v>
      </c>
      <c r="O24" s="18" t="n">
        <v>0</v>
      </c>
      <c r="P24" s="20" t="n">
        <v>0</v>
      </c>
      <c r="Q24" s="18" t="n">
        <v>2.95339913</v>
      </c>
      <c r="R24" s="20" t="n">
        <v>0.46016972</v>
      </c>
    </row>
    <row r="25" spans="1:18">
      <c r="A25" s="15" t="s">
        <v>583</v>
      </c>
      <c r="B25" s="17" t="n">
        <v>5581</v>
      </c>
      <c r="C25" s="18">
        <f>(4343.0/B25*100)</f>
        <v/>
      </c>
      <c r="D25" s="19" t="n">
        <v>1238</v>
      </c>
      <c r="E25" s="18" t="n">
        <v>75.4855657</v>
      </c>
      <c r="F25" s="20" t="n">
        <v>1.39447613</v>
      </c>
      <c r="G25" s="18" t="n">
        <v>22.63461484</v>
      </c>
      <c r="H25" s="20" t="n">
        <v>1.45597178</v>
      </c>
      <c r="I25" s="18" t="n">
        <v>0</v>
      </c>
      <c r="J25" s="20" t="n">
        <v>0</v>
      </c>
      <c r="K25" s="18" t="n">
        <v>0.32571788</v>
      </c>
      <c r="L25" s="20" t="n">
        <v>0.21868974</v>
      </c>
      <c r="M25" s="18" t="n">
        <v>0</v>
      </c>
      <c r="N25" s="20" t="n">
        <v>0</v>
      </c>
      <c r="O25" s="18" t="n">
        <v>0</v>
      </c>
      <c r="P25" s="20" t="n">
        <v>0</v>
      </c>
      <c r="Q25" s="18" t="n">
        <v>1.55410158</v>
      </c>
      <c r="R25" s="20" t="n">
        <v>0.39188259</v>
      </c>
    </row>
    <row r="26" spans="1:18">
      <c r="A26" s="15" t="s">
        <v>584</v>
      </c>
      <c r="B26" s="17" t="n">
        <v>4869</v>
      </c>
      <c r="C26" s="18">
        <f>(3848.0/B26*100)</f>
        <v/>
      </c>
      <c r="D26" s="19" t="n">
        <v>1021</v>
      </c>
      <c r="E26" s="18" t="n">
        <v>84.74039097000001</v>
      </c>
      <c r="F26" s="20" t="n">
        <v>1.06761656</v>
      </c>
      <c r="G26" s="18" t="n">
        <v>13.75499291</v>
      </c>
      <c r="H26" s="20" t="n">
        <v>0.98477939</v>
      </c>
      <c r="I26" s="18" t="n">
        <v>0</v>
      </c>
      <c r="J26" s="20" t="n">
        <v>0</v>
      </c>
      <c r="K26" s="18" t="n">
        <v>0</v>
      </c>
      <c r="L26" s="20" t="n">
        <v>0</v>
      </c>
      <c r="M26" s="18" t="n">
        <v>0</v>
      </c>
      <c r="N26" s="20" t="n">
        <v>0</v>
      </c>
      <c r="O26" s="18" t="n">
        <v>0</v>
      </c>
      <c r="P26" s="20" t="n">
        <v>0</v>
      </c>
      <c r="Q26" s="18" t="n">
        <v>1.50461612</v>
      </c>
      <c r="R26" s="20" t="n">
        <v>0.40043816</v>
      </c>
    </row>
    <row r="27" spans="1:18">
      <c r="A27" s="15" t="s">
        <v>585</v>
      </c>
      <c r="B27" s="17" t="n">
        <v>5299</v>
      </c>
      <c r="C27" s="18">
        <f>(4159.0/B27*100)</f>
        <v/>
      </c>
      <c r="D27" s="19" t="n">
        <v>1140</v>
      </c>
      <c r="E27" s="18" t="n">
        <v>76.45216494</v>
      </c>
      <c r="F27" s="20" t="n">
        <v>1.37701314</v>
      </c>
      <c r="G27" s="18" t="n">
        <v>18.88386651</v>
      </c>
      <c r="H27" s="20" t="n">
        <v>1.17987246</v>
      </c>
      <c r="I27" s="18" t="n">
        <v>0</v>
      </c>
      <c r="J27" s="20" t="n">
        <v>0</v>
      </c>
      <c r="K27" s="18" t="n">
        <v>0.6232962</v>
      </c>
      <c r="L27" s="20" t="n">
        <v>0.23384308</v>
      </c>
      <c r="M27" s="18" t="n">
        <v>0</v>
      </c>
      <c r="N27" s="20" t="n">
        <v>0</v>
      </c>
      <c r="O27" s="18" t="n">
        <v>0</v>
      </c>
      <c r="P27" s="20" t="n">
        <v>0</v>
      </c>
      <c r="Q27" s="18" t="n">
        <v>4.04067235</v>
      </c>
      <c r="R27" s="20" t="n">
        <v>0.58177595</v>
      </c>
    </row>
    <row r="28" spans="1:18">
      <c r="A28" s="15" t="s">
        <v>586</v>
      </c>
      <c r="B28" s="17" t="n">
        <v>7568</v>
      </c>
      <c r="C28" s="18">
        <f>(6011.0/B28*100)</f>
        <v/>
      </c>
      <c r="D28" s="19" t="n">
        <v>1557</v>
      </c>
      <c r="E28" s="18" t="n">
        <v>91.14574023999999</v>
      </c>
      <c r="F28" s="20" t="n">
        <v>0.83804083</v>
      </c>
      <c r="G28" s="18" t="n">
        <v>6.40105851</v>
      </c>
      <c r="H28" s="20" t="n">
        <v>0.6732285099999999</v>
      </c>
      <c r="I28" s="18" t="n">
        <v>0</v>
      </c>
      <c r="J28" s="20" t="n">
        <v>0</v>
      </c>
      <c r="K28" s="18" t="n">
        <v>0.34759833</v>
      </c>
      <c r="L28" s="20" t="n">
        <v>0.23955417</v>
      </c>
      <c r="M28" s="18" t="n">
        <v>0.14230619</v>
      </c>
      <c r="N28" s="20" t="n">
        <v>0.1107336</v>
      </c>
      <c r="O28" s="18" t="n">
        <v>0</v>
      </c>
      <c r="P28" s="20" t="n">
        <v>0</v>
      </c>
      <c r="Q28" s="18" t="n">
        <v>1.96329673</v>
      </c>
      <c r="R28" s="20" t="n">
        <v>0.41024226</v>
      </c>
    </row>
    <row r="29" spans="1:18">
      <c r="A29" s="15" t="s">
        <v>587</v>
      </c>
      <c r="B29" s="17" t="n">
        <v>5385</v>
      </c>
      <c r="C29" s="18">
        <f>(4197.0/B29*100)</f>
        <v/>
      </c>
      <c r="D29" s="19" t="n">
        <v>1188</v>
      </c>
      <c r="E29" s="18" t="n">
        <v>78.28777169</v>
      </c>
      <c r="F29" s="20" t="n">
        <v>1.28386497</v>
      </c>
      <c r="G29" s="18" t="n">
        <v>19.54879411</v>
      </c>
      <c r="H29" s="20" t="n">
        <v>1.2360509</v>
      </c>
      <c r="I29" s="18" t="n">
        <v>0</v>
      </c>
      <c r="J29" s="20" t="n">
        <v>0</v>
      </c>
      <c r="K29" s="18" t="n">
        <v>0.06547995</v>
      </c>
      <c r="L29" s="20" t="n">
        <v>0.06484348</v>
      </c>
      <c r="M29" s="18" t="n">
        <v>0</v>
      </c>
      <c r="N29" s="20" t="n">
        <v>0</v>
      </c>
      <c r="O29" s="18" t="n">
        <v>0</v>
      </c>
      <c r="P29" s="20" t="n">
        <v>0</v>
      </c>
      <c r="Q29" s="18" t="n">
        <v>2.09795425</v>
      </c>
      <c r="R29" s="20" t="n">
        <v>0.38288193</v>
      </c>
    </row>
    <row r="30" spans="1:18">
      <c r="A30" s="15" t="s">
        <v>588</v>
      </c>
      <c r="B30" s="17" t="n">
        <v>4520</v>
      </c>
      <c r="C30" s="18">
        <f>(3523.0/B30*100)</f>
        <v/>
      </c>
      <c r="D30" s="19" t="n">
        <v>997</v>
      </c>
      <c r="E30" s="18" t="n">
        <v>67.95719848</v>
      </c>
      <c r="F30" s="20" t="n">
        <v>1.33017345</v>
      </c>
      <c r="G30" s="18" t="n">
        <v>28.44488617</v>
      </c>
      <c r="H30" s="20" t="n">
        <v>1.31571505</v>
      </c>
      <c r="I30" s="18" t="n">
        <v>0</v>
      </c>
      <c r="J30" s="20" t="n">
        <v>0</v>
      </c>
      <c r="K30" s="18" t="n">
        <v>0.27937474</v>
      </c>
      <c r="L30" s="20" t="n">
        <v>0.16141234</v>
      </c>
      <c r="M30" s="18" t="n">
        <v>0.10731345</v>
      </c>
      <c r="N30" s="20" t="n">
        <v>0.10966835</v>
      </c>
      <c r="O30" s="18" t="n">
        <v>0</v>
      </c>
      <c r="P30" s="20" t="n">
        <v>0</v>
      </c>
      <c r="Q30" s="18" t="n">
        <v>3.21122715</v>
      </c>
      <c r="R30" s="20" t="n">
        <v>0.49956875</v>
      </c>
    </row>
    <row r="31" spans="1:18">
      <c r="A31" s="15" t="s">
        <v>589</v>
      </c>
      <c r="B31" s="17" t="n">
        <v>5456</v>
      </c>
      <c r="C31" s="18">
        <f>(4234.0/B31*100)</f>
        <v/>
      </c>
      <c r="D31" s="19" t="n">
        <v>1222</v>
      </c>
      <c r="E31" s="18" t="n">
        <v>76.5250477</v>
      </c>
      <c r="F31" s="20" t="n">
        <v>1.21557528</v>
      </c>
      <c r="G31" s="18" t="n">
        <v>19.63398032</v>
      </c>
      <c r="H31" s="20" t="n">
        <v>1.15357455</v>
      </c>
      <c r="I31" s="18" t="n">
        <v>0</v>
      </c>
      <c r="J31" s="20" t="n">
        <v>0</v>
      </c>
      <c r="K31" s="18" t="n">
        <v>0.32603628</v>
      </c>
      <c r="L31" s="20" t="n">
        <v>0.16741807</v>
      </c>
      <c r="M31" s="18" t="n">
        <v>0</v>
      </c>
      <c r="N31" s="20" t="n">
        <v>0</v>
      </c>
      <c r="O31" s="18" t="n">
        <v>0</v>
      </c>
      <c r="P31" s="20" t="n">
        <v>0</v>
      </c>
      <c r="Q31" s="18" t="n">
        <v>3.51493569</v>
      </c>
      <c r="R31" s="20" t="n">
        <v>0.45422632</v>
      </c>
    </row>
    <row r="32" spans="1:18">
      <c r="A32" s="15" t="s">
        <v>590</v>
      </c>
      <c r="B32" s="17" t="n">
        <v>4478</v>
      </c>
      <c r="C32" s="18">
        <f>(3487.0/B32*100)</f>
        <v/>
      </c>
      <c r="D32" s="19" t="n">
        <v>991</v>
      </c>
      <c r="E32" s="18" t="n">
        <v>83.69846893</v>
      </c>
      <c r="F32" s="20" t="n">
        <v>1.29875594</v>
      </c>
      <c r="G32" s="18" t="n">
        <v>14.91965494</v>
      </c>
      <c r="H32" s="20" t="n">
        <v>1.17523163</v>
      </c>
      <c r="I32" s="18" t="n">
        <v>0</v>
      </c>
      <c r="J32" s="20" t="n">
        <v>0</v>
      </c>
      <c r="K32" s="18" t="n">
        <v>0.08775102</v>
      </c>
      <c r="L32" s="20" t="n">
        <v>0.08805593</v>
      </c>
      <c r="M32" s="18" t="n">
        <v>0</v>
      </c>
      <c r="N32" s="20" t="n">
        <v>0</v>
      </c>
      <c r="O32" s="18" t="n">
        <v>0</v>
      </c>
      <c r="P32" s="20" t="n">
        <v>0</v>
      </c>
      <c r="Q32" s="18" t="n">
        <v>1.29412511</v>
      </c>
      <c r="R32" s="20" t="n">
        <v>0.37509857</v>
      </c>
    </row>
    <row r="33" spans="1:18">
      <c r="A33" s="15" t="s">
        <v>591</v>
      </c>
      <c r="B33" s="17" t="n">
        <v>7325</v>
      </c>
      <c r="C33" s="18">
        <f>(5815.0/B33*100)</f>
        <v/>
      </c>
      <c r="D33" s="19" t="n">
        <v>1510</v>
      </c>
      <c r="E33" s="18" t="n">
        <v>78.07080381</v>
      </c>
      <c r="F33" s="20" t="n">
        <v>1.35495564</v>
      </c>
      <c r="G33" s="18" t="n">
        <v>19.153416</v>
      </c>
      <c r="H33" s="20" t="n">
        <v>1.24572638</v>
      </c>
      <c r="I33" s="18" t="n">
        <v>0</v>
      </c>
      <c r="J33" s="20" t="n">
        <v>0</v>
      </c>
      <c r="K33" s="18" t="n">
        <v>0.13259291</v>
      </c>
      <c r="L33" s="20" t="n">
        <v>0.15720253</v>
      </c>
      <c r="M33" s="18" t="n">
        <v>0.18235059</v>
      </c>
      <c r="N33" s="20" t="n">
        <v>0.11126212</v>
      </c>
      <c r="O33" s="18" t="n">
        <v>0</v>
      </c>
      <c r="P33" s="20" t="n">
        <v>0</v>
      </c>
      <c r="Q33" s="18" t="n">
        <v>2.46083669</v>
      </c>
      <c r="R33" s="20" t="n">
        <v>0.54972948</v>
      </c>
    </row>
    <row r="34" spans="1:18">
      <c r="A34" s="15" t="s">
        <v>592</v>
      </c>
      <c r="B34" s="17" t="n">
        <v>6350</v>
      </c>
      <c r="C34" s="18">
        <f>(4956.0/B34*100)</f>
        <v/>
      </c>
      <c r="D34" s="19" t="n">
        <v>1394</v>
      </c>
      <c r="E34" s="18" t="n">
        <v>83.22738452</v>
      </c>
      <c r="F34" s="20" t="n">
        <v>0.9952789399999999</v>
      </c>
      <c r="G34" s="18" t="n">
        <v>12.60972654</v>
      </c>
      <c r="H34" s="20" t="n">
        <v>0.87398155</v>
      </c>
      <c r="I34" s="18" t="n">
        <v>0</v>
      </c>
      <c r="J34" s="20" t="n">
        <v>0</v>
      </c>
      <c r="K34" s="18" t="n">
        <v>0.27242965</v>
      </c>
      <c r="L34" s="20" t="n">
        <v>0.12429262</v>
      </c>
      <c r="M34" s="18" t="n">
        <v>0.66123308</v>
      </c>
      <c r="N34" s="20" t="n">
        <v>0.31580509</v>
      </c>
      <c r="O34" s="18" t="n">
        <v>0</v>
      </c>
      <c r="P34" s="20" t="n">
        <v>0</v>
      </c>
      <c r="Q34" s="18" t="n">
        <v>3.2292262</v>
      </c>
      <c r="R34" s="20" t="n">
        <v>0.51881266</v>
      </c>
    </row>
    <row r="35" spans="1:18">
      <c r="A35" s="15" t="s">
        <v>593</v>
      </c>
      <c r="B35" s="17" t="n">
        <v>6406</v>
      </c>
      <c r="C35" s="18">
        <f>(5030.0/B35*100)</f>
        <v/>
      </c>
      <c r="D35" s="19" t="n">
        <v>1376</v>
      </c>
      <c r="E35" s="18" t="n">
        <v>75.36978492</v>
      </c>
      <c r="F35" s="20" t="n">
        <v>1.45735588</v>
      </c>
      <c r="G35" s="18" t="n">
        <v>22.30343585</v>
      </c>
      <c r="H35" s="20" t="n">
        <v>1.46268576</v>
      </c>
      <c r="I35" s="18" t="n">
        <v>0</v>
      </c>
      <c r="J35" s="20" t="n">
        <v>0</v>
      </c>
      <c r="K35" s="18" t="n">
        <v>0.48296295</v>
      </c>
      <c r="L35" s="20" t="n">
        <v>0.3666361</v>
      </c>
      <c r="M35" s="18" t="n">
        <v>0.23530858</v>
      </c>
      <c r="N35" s="20" t="n">
        <v>0.16013242</v>
      </c>
      <c r="O35" s="18" t="n">
        <v>0</v>
      </c>
      <c r="P35" s="20" t="n">
        <v>0</v>
      </c>
      <c r="Q35" s="18" t="n">
        <v>1.6085077</v>
      </c>
      <c r="R35" s="20" t="n">
        <v>0.36889534</v>
      </c>
    </row>
    <row r="36" spans="1:18">
      <c r="A36" s="15" t="s">
        <v>594</v>
      </c>
      <c r="B36" s="17" t="n">
        <v>6736</v>
      </c>
      <c r="C36" s="18">
        <f>(5302.0/B36*100)</f>
        <v/>
      </c>
      <c r="D36" s="19" t="n">
        <v>1434</v>
      </c>
      <c r="E36" s="18" t="n">
        <v>75.98687828</v>
      </c>
      <c r="F36" s="20" t="n">
        <v>1.26101637</v>
      </c>
      <c r="G36" s="18" t="n">
        <v>20.27880946</v>
      </c>
      <c r="H36" s="20" t="n">
        <v>1.25251044</v>
      </c>
      <c r="I36" s="18" t="n">
        <v>0</v>
      </c>
      <c r="J36" s="20" t="n">
        <v>0</v>
      </c>
      <c r="K36" s="18" t="n">
        <v>0.11818283</v>
      </c>
      <c r="L36" s="20" t="n">
        <v>0.10698096</v>
      </c>
      <c r="M36" s="18" t="n">
        <v>0.14995837</v>
      </c>
      <c r="N36" s="20" t="n">
        <v>0.11298869</v>
      </c>
      <c r="O36" s="18" t="n">
        <v>0</v>
      </c>
      <c r="P36" s="20" t="n">
        <v>0</v>
      </c>
      <c r="Q36" s="18" t="n">
        <v>3.46617106</v>
      </c>
      <c r="R36" s="20" t="n">
        <v>0.63461038</v>
      </c>
    </row>
    <row r="37" spans="1:18">
      <c r="A37" s="15" t="s">
        <v>595</v>
      </c>
      <c r="B37" s="17" t="n">
        <v>5458</v>
      </c>
      <c r="C37" s="18">
        <f>(4299.0/B37*100)</f>
        <v/>
      </c>
      <c r="D37" s="19" t="n">
        <v>1159</v>
      </c>
      <c r="E37" s="18" t="n">
        <v>75.32426468</v>
      </c>
      <c r="F37" s="20" t="n">
        <v>1.49582646</v>
      </c>
      <c r="G37" s="18" t="n">
        <v>19.320663</v>
      </c>
      <c r="H37" s="20" t="n">
        <v>1.31514348</v>
      </c>
      <c r="I37" s="18" t="n">
        <v>0</v>
      </c>
      <c r="J37" s="20" t="n">
        <v>0</v>
      </c>
      <c r="K37" s="18" t="n">
        <v>0.51661214</v>
      </c>
      <c r="L37" s="20" t="n">
        <v>0.21253614</v>
      </c>
      <c r="M37" s="18" t="n">
        <v>0</v>
      </c>
      <c r="N37" s="20" t="n">
        <v>0</v>
      </c>
      <c r="O37" s="18" t="n">
        <v>0</v>
      </c>
      <c r="P37" s="20" t="n">
        <v>0</v>
      </c>
      <c r="Q37" s="18" t="n">
        <v>4.83846018</v>
      </c>
      <c r="R37" s="20" t="n">
        <v>0.5901171</v>
      </c>
    </row>
    <row r="38" spans="1:18">
      <c r="A38" s="15" t="s">
        <v>596</v>
      </c>
      <c r="B38" s="17" t="n">
        <v>5860</v>
      </c>
      <c r="C38" s="18">
        <f>(4630.0/B38*100)</f>
        <v/>
      </c>
      <c r="D38" s="19" t="n">
        <v>1230</v>
      </c>
      <c r="E38" s="18" t="n">
        <v>70.55141983999999</v>
      </c>
      <c r="F38" s="20" t="n">
        <v>1.56417694</v>
      </c>
      <c r="G38" s="18" t="n">
        <v>22.57636357</v>
      </c>
      <c r="H38" s="20" t="n">
        <v>1.55524614</v>
      </c>
      <c r="I38" s="18" t="n">
        <v>0</v>
      </c>
      <c r="J38" s="20" t="n">
        <v>0</v>
      </c>
      <c r="K38" s="18" t="n">
        <v>0.12329488</v>
      </c>
      <c r="L38" s="20" t="n">
        <v>0.12281634</v>
      </c>
      <c r="M38" s="18" t="n">
        <v>2.63414686</v>
      </c>
      <c r="N38" s="20" t="n">
        <v>0.59344814</v>
      </c>
      <c r="O38" s="18" t="n">
        <v>0</v>
      </c>
      <c r="P38" s="20" t="n">
        <v>0</v>
      </c>
      <c r="Q38" s="18" t="n">
        <v>4.11477484</v>
      </c>
      <c r="R38" s="20" t="n">
        <v>0.66821988</v>
      </c>
    </row>
    <row r="39" spans="1:18">
      <c r="A39" s="15" t="s">
        <v>597</v>
      </c>
      <c r="B39" s="17" t="n">
        <v>5895</v>
      </c>
      <c r="C39" s="18">
        <f>(4566.0/B39*100)</f>
        <v/>
      </c>
      <c r="D39" s="19" t="n">
        <v>1329</v>
      </c>
      <c r="E39" s="18" t="n">
        <v>89.92519685000001</v>
      </c>
      <c r="F39" s="20" t="n">
        <v>1.00544706</v>
      </c>
      <c r="G39" s="18" t="n">
        <v>5.7963027</v>
      </c>
      <c r="H39" s="20" t="n">
        <v>0.79159505</v>
      </c>
      <c r="I39" s="18" t="n">
        <v>0</v>
      </c>
      <c r="J39" s="20" t="n">
        <v>0</v>
      </c>
      <c r="K39" s="18" t="n">
        <v>0.09372795</v>
      </c>
      <c r="L39" s="20" t="n">
        <v>0.08860033</v>
      </c>
      <c r="M39" s="18" t="n">
        <v>0.15098059</v>
      </c>
      <c r="N39" s="20" t="n">
        <v>0.0881958</v>
      </c>
      <c r="O39" s="18" t="n">
        <v>0</v>
      </c>
      <c r="P39" s="20" t="n">
        <v>0</v>
      </c>
      <c r="Q39" s="18" t="n">
        <v>4.0337919</v>
      </c>
      <c r="R39" s="20" t="n">
        <v>0.70421048</v>
      </c>
    </row>
    <row r="40" spans="1:18">
      <c r="A40" s="15" t="s">
        <v>598</v>
      </c>
      <c r="B40" s="17" t="n">
        <v>14157</v>
      </c>
      <c r="C40" s="18">
        <f>(11046.0/B40*100)</f>
        <v/>
      </c>
      <c r="D40" s="19" t="n">
        <v>3111</v>
      </c>
      <c r="E40" s="18" t="n">
        <v>71.91193328999999</v>
      </c>
      <c r="F40" s="20" t="n">
        <v>1.29765258</v>
      </c>
      <c r="G40" s="18" t="n">
        <v>23.51930337</v>
      </c>
      <c r="H40" s="20" t="n">
        <v>1.25886841</v>
      </c>
      <c r="I40" s="18" t="n">
        <v>0</v>
      </c>
      <c r="J40" s="20" t="n">
        <v>0</v>
      </c>
      <c r="K40" s="18" t="n">
        <v>0.24636412</v>
      </c>
      <c r="L40" s="20" t="n">
        <v>0.15152496</v>
      </c>
      <c r="M40" s="18" t="n">
        <v>0.00546025</v>
      </c>
      <c r="N40" s="20" t="n">
        <v>0.00546302</v>
      </c>
      <c r="O40" s="18" t="n">
        <v>0</v>
      </c>
      <c r="P40" s="20" t="n">
        <v>0</v>
      </c>
      <c r="Q40" s="18" t="n">
        <v>4.31693898</v>
      </c>
      <c r="R40" s="20" t="n">
        <v>0.51353421</v>
      </c>
    </row>
    <row r="41" spans="1:18">
      <c r="A41" s="15" t="s">
        <v>599</v>
      </c>
      <c r="B41" s="17" t="n">
        <v>5712</v>
      </c>
      <c r="C41" s="18">
        <f>(4497.0/B41*100)</f>
        <v/>
      </c>
      <c r="D41" s="19" t="n">
        <v>1215</v>
      </c>
      <c r="E41" s="18" t="n">
        <v>76.32898709</v>
      </c>
      <c r="F41" s="20" t="n">
        <v>1.37716088</v>
      </c>
      <c r="G41" s="18" t="n">
        <v>22.20687178</v>
      </c>
      <c r="H41" s="20" t="n">
        <v>1.43572556</v>
      </c>
      <c r="I41" s="18" t="n">
        <v>0</v>
      </c>
      <c r="J41" s="20" t="n">
        <v>0</v>
      </c>
      <c r="K41" s="18" t="n">
        <v>0.03336078</v>
      </c>
      <c r="L41" s="20" t="n">
        <v>0.03357193</v>
      </c>
      <c r="M41" s="18" t="n">
        <v>0</v>
      </c>
      <c r="N41" s="20" t="n">
        <v>0</v>
      </c>
      <c r="O41" s="18" t="n">
        <v>0</v>
      </c>
      <c r="P41" s="20" t="n">
        <v>0</v>
      </c>
      <c r="Q41" s="18" t="n">
        <v>1.43078035</v>
      </c>
      <c r="R41" s="20" t="n">
        <v>0.35132766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(19230.0/B46*100)</f>
        <v/>
      </c>
      <c r="D46" s="19" t="n">
        <v>3911</v>
      </c>
      <c r="E46" s="18" t="n">
        <v>80.43028219</v>
      </c>
      <c r="F46" s="20" t="n">
        <v>0.7030952499999999</v>
      </c>
      <c r="G46" s="18" t="n">
        <v>10.14843204</v>
      </c>
      <c r="H46" s="20" t="n">
        <v>0.64878788</v>
      </c>
      <c r="I46" s="18" t="n">
        <v>0</v>
      </c>
      <c r="J46" s="20" t="n">
        <v>0</v>
      </c>
      <c r="K46" s="18" t="n">
        <v>1.0346276</v>
      </c>
      <c r="L46" s="20" t="n">
        <v>0.21296613</v>
      </c>
      <c r="M46" s="18" t="n">
        <v>0.46862152</v>
      </c>
      <c r="N46" s="20" t="n">
        <v>0.16826285</v>
      </c>
      <c r="O46" s="18" t="n">
        <v>0</v>
      </c>
      <c r="P46" s="20" t="n">
        <v>0</v>
      </c>
      <c r="Q46" s="18" t="n">
        <v>7.91803665</v>
      </c>
      <c r="R46" s="20" t="n">
        <v>0.59687108</v>
      </c>
    </row>
    <row r="47" spans="1:18">
      <c r="A47" s="15" t="s">
        <v>606</v>
      </c>
      <c r="B47" s="17" t="n">
        <v>5928</v>
      </c>
      <c r="C47" s="18">
        <f>(4622.0/B47*100)</f>
        <v/>
      </c>
      <c r="D47" s="19" t="n">
        <v>1306</v>
      </c>
      <c r="E47" s="18" t="n">
        <v>81.44201794</v>
      </c>
      <c r="F47" s="20" t="n">
        <v>1.2174944</v>
      </c>
      <c r="G47" s="18" t="n">
        <v>14.12627863</v>
      </c>
      <c r="H47" s="20" t="n">
        <v>1.19776899</v>
      </c>
      <c r="I47" s="18" t="n">
        <v>0</v>
      </c>
      <c r="J47" s="20" t="n">
        <v>0</v>
      </c>
      <c r="K47" s="18" t="n">
        <v>0.27936285</v>
      </c>
      <c r="L47" s="20" t="n">
        <v>0.13733856</v>
      </c>
      <c r="M47" s="18" t="n">
        <v>0.07868013</v>
      </c>
      <c r="N47" s="20" t="n">
        <v>0.07444644</v>
      </c>
      <c r="O47" s="18" t="n">
        <v>0</v>
      </c>
      <c r="P47" s="20" t="n">
        <v>0</v>
      </c>
      <c r="Q47" s="18" t="n">
        <v>4.07366046</v>
      </c>
      <c r="R47" s="20" t="n">
        <v>0.66736998</v>
      </c>
    </row>
    <row r="48" spans="1:18">
      <c r="A48" s="15" t="s">
        <v>607</v>
      </c>
      <c r="B48" s="17" t="n">
        <v>9841</v>
      </c>
      <c r="C48" s="18">
        <f>(7675.0/B48*100)</f>
        <v/>
      </c>
      <c r="D48" s="19" t="n">
        <v>2166</v>
      </c>
      <c r="E48" s="18" t="n">
        <v>73.99606208</v>
      </c>
      <c r="F48" s="20" t="n">
        <v>1.42132117</v>
      </c>
      <c r="G48" s="18" t="n">
        <v>24.24530871</v>
      </c>
      <c r="H48" s="20" t="n">
        <v>1.39579412</v>
      </c>
      <c r="I48" s="18" t="n">
        <v>0</v>
      </c>
      <c r="J48" s="20" t="n">
        <v>0</v>
      </c>
      <c r="K48" s="18" t="n">
        <v>0.30298656</v>
      </c>
      <c r="L48" s="20" t="n">
        <v>0.1615449</v>
      </c>
      <c r="M48" s="18" t="n">
        <v>0.01429782</v>
      </c>
      <c r="N48" s="20" t="n">
        <v>0.01097492</v>
      </c>
      <c r="O48" s="18" t="n">
        <v>0</v>
      </c>
      <c r="P48" s="20" t="n">
        <v>0</v>
      </c>
      <c r="Q48" s="18" t="n">
        <v>1.44134483</v>
      </c>
      <c r="R48" s="20" t="n">
        <v>0.31368291</v>
      </c>
    </row>
    <row r="49" spans="1:18">
      <c r="A49" s="15" t="s">
        <v>608</v>
      </c>
      <c r="B49" s="17" t="n">
        <v>11795</v>
      </c>
      <c r="C49" s="18">
        <f>(9324.0/B49*100)</f>
        <v/>
      </c>
      <c r="D49" s="19" t="n">
        <v>2471</v>
      </c>
      <c r="E49" s="18" t="n">
        <v>90.17257237</v>
      </c>
      <c r="F49" s="20" t="n">
        <v>0.7121821</v>
      </c>
      <c r="G49" s="18" t="n">
        <v>7.32278112</v>
      </c>
      <c r="H49" s="20" t="n">
        <v>0.64680655</v>
      </c>
      <c r="I49" s="18" t="n">
        <v>0</v>
      </c>
      <c r="J49" s="20" t="n">
        <v>0</v>
      </c>
      <c r="K49" s="18" t="n">
        <v>0.5778156</v>
      </c>
      <c r="L49" s="20" t="n">
        <v>0.17242082</v>
      </c>
      <c r="M49" s="18" t="n">
        <v>0.15337462</v>
      </c>
      <c r="N49" s="20" t="n">
        <v>0.12267284</v>
      </c>
      <c r="O49" s="18" t="n">
        <v>0</v>
      </c>
      <c r="P49" s="20" t="n">
        <v>0</v>
      </c>
      <c r="Q49" s="18" t="n">
        <v>1.7734563</v>
      </c>
      <c r="R49" s="20" t="n">
        <v>0.29354354</v>
      </c>
    </row>
    <row r="50" spans="1:18">
      <c r="A50" s="15" t="s">
        <v>609</v>
      </c>
      <c r="B50" s="17" t="n">
        <v>6866</v>
      </c>
      <c r="C50" s="18">
        <f>(5611.0/B50*100)</f>
        <v/>
      </c>
      <c r="D50" s="19" t="n">
        <v>1255</v>
      </c>
      <c r="E50" s="18" t="n">
        <v>81.62860129000001</v>
      </c>
      <c r="F50" s="20" t="n">
        <v>1.19614044</v>
      </c>
      <c r="G50" s="18" t="n">
        <v>13.68114485</v>
      </c>
      <c r="H50" s="20" t="n">
        <v>1.06241338</v>
      </c>
      <c r="I50" s="18" t="n">
        <v>0</v>
      </c>
      <c r="J50" s="20" t="n">
        <v>0</v>
      </c>
      <c r="K50" s="18" t="n">
        <v>0.11593841</v>
      </c>
      <c r="L50" s="20" t="n">
        <v>0.08676167</v>
      </c>
      <c r="M50" s="18" t="n">
        <v>0.17333766</v>
      </c>
      <c r="N50" s="20" t="n">
        <v>0.16903104</v>
      </c>
      <c r="O50" s="18" t="n">
        <v>0</v>
      </c>
      <c r="P50" s="20" t="n">
        <v>0</v>
      </c>
      <c r="Q50" s="18" t="n">
        <v>4.40097779</v>
      </c>
      <c r="R50" s="20" t="n">
        <v>0.65325096</v>
      </c>
    </row>
    <row r="51" spans="1:18">
      <c r="A51" s="15" t="s">
        <v>610</v>
      </c>
      <c r="B51" s="17" t="n">
        <v>5809</v>
      </c>
      <c r="C51" s="18">
        <f>(4580.0/B51*100)</f>
        <v/>
      </c>
      <c r="D51" s="19" t="n">
        <v>1229</v>
      </c>
      <c r="E51" s="18" t="n">
        <v>82.38999122</v>
      </c>
      <c r="F51" s="20" t="n">
        <v>1.20005025</v>
      </c>
      <c r="G51" s="18" t="n">
        <v>13.44475438</v>
      </c>
      <c r="H51" s="20" t="n">
        <v>1.10000345</v>
      </c>
      <c r="I51" s="18" t="n">
        <v>0</v>
      </c>
      <c r="J51" s="20" t="n">
        <v>0</v>
      </c>
      <c r="K51" s="18" t="n">
        <v>0.05673279</v>
      </c>
      <c r="L51" s="20" t="n">
        <v>0.05509265</v>
      </c>
      <c r="M51" s="18" t="n">
        <v>0</v>
      </c>
      <c r="N51" s="20" t="n">
        <v>0</v>
      </c>
      <c r="O51" s="18" t="n">
        <v>0</v>
      </c>
      <c r="P51" s="20" t="n">
        <v>0</v>
      </c>
      <c r="Q51" s="18" t="n">
        <v>4.10852162</v>
      </c>
      <c r="R51" s="20" t="n">
        <v>0.56972598</v>
      </c>
    </row>
    <row r="52" spans="1:18">
      <c r="A52" s="15" t="s">
        <v>611</v>
      </c>
      <c r="B52" s="17" t="n">
        <v>5571</v>
      </c>
      <c r="C52" s="18">
        <f>(4394.0/B52*100)</f>
        <v/>
      </c>
      <c r="D52" s="19" t="n">
        <v>1177</v>
      </c>
      <c r="E52" s="18" t="n">
        <v>83.38831513</v>
      </c>
      <c r="F52" s="20" t="n">
        <v>1.01855305</v>
      </c>
      <c r="G52" s="18" t="n">
        <v>10.99463356</v>
      </c>
      <c r="H52" s="20" t="n">
        <v>0.822068</v>
      </c>
      <c r="I52" s="18" t="n">
        <v>0</v>
      </c>
      <c r="J52" s="20" t="n">
        <v>0</v>
      </c>
      <c r="K52" s="18" t="n">
        <v>0.43443117</v>
      </c>
      <c r="L52" s="20" t="n">
        <v>0.18576148</v>
      </c>
      <c r="M52" s="18" t="n">
        <v>0</v>
      </c>
      <c r="N52" s="20" t="n">
        <v>0</v>
      </c>
      <c r="O52" s="18" t="n">
        <v>0</v>
      </c>
      <c r="P52" s="20" t="n">
        <v>0</v>
      </c>
      <c r="Q52" s="18" t="n">
        <v>5.18262014</v>
      </c>
      <c r="R52" s="20" t="n">
        <v>0.64792415</v>
      </c>
    </row>
    <row r="53" spans="1:18">
      <c r="A53" s="15" t="s">
        <v>612</v>
      </c>
      <c r="B53" s="17" t="n">
        <v>4740</v>
      </c>
      <c r="C53" s="18">
        <f>(3671.0/B53*100)</f>
        <v/>
      </c>
      <c r="D53" s="19" t="n">
        <v>1069</v>
      </c>
      <c r="E53" s="18" t="n">
        <v>73.86897955000001</v>
      </c>
      <c r="F53" s="20" t="n">
        <v>1.55524158</v>
      </c>
      <c r="G53" s="18" t="n">
        <v>2.08392344</v>
      </c>
      <c r="H53" s="20" t="n">
        <v>0.51867149</v>
      </c>
      <c r="I53" s="18" t="n">
        <v>0</v>
      </c>
      <c r="J53" s="20" t="n">
        <v>0</v>
      </c>
      <c r="K53" s="18" t="n">
        <v>15.68446201</v>
      </c>
      <c r="L53" s="20" t="n">
        <v>1.17314085</v>
      </c>
      <c r="M53" s="18" t="n">
        <v>0.59673188</v>
      </c>
      <c r="N53" s="20" t="n">
        <v>0.55219795</v>
      </c>
      <c r="O53" s="18" t="n">
        <v>0</v>
      </c>
      <c r="P53" s="20" t="n">
        <v>0</v>
      </c>
      <c r="Q53" s="18" t="n">
        <v>7.76590313</v>
      </c>
      <c r="R53" s="20" t="n">
        <v>1.0390464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(4174.0/B55*100)</f>
        <v/>
      </c>
      <c r="D55" s="19" t="n">
        <v>1185</v>
      </c>
      <c r="E55" s="18" t="n">
        <v>77.77451057</v>
      </c>
      <c r="F55" s="20" t="n">
        <v>1.15171417</v>
      </c>
      <c r="G55" s="18" t="n">
        <v>21.06144213</v>
      </c>
      <c r="H55" s="20" t="n">
        <v>1.12993746</v>
      </c>
      <c r="I55" s="18" t="n">
        <v>0</v>
      </c>
      <c r="J55" s="20" t="n">
        <v>0</v>
      </c>
      <c r="K55" s="18" t="n">
        <v>0.25965326</v>
      </c>
      <c r="L55" s="20" t="n">
        <v>0.16707734</v>
      </c>
      <c r="M55" s="18" t="n">
        <v>0.10492727</v>
      </c>
      <c r="N55" s="20" t="n">
        <v>0.11552642</v>
      </c>
      <c r="O55" s="18" t="n">
        <v>0</v>
      </c>
      <c r="P55" s="20" t="n">
        <v>0</v>
      </c>
      <c r="Q55" s="18" t="n">
        <v>0.79946677</v>
      </c>
      <c r="R55" s="20" t="n">
        <v>0.22942521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(5084.0/B61*100)</f>
        <v/>
      </c>
      <c r="D61" s="19" t="n">
        <v>1441</v>
      </c>
      <c r="E61" s="18" t="n">
        <v>86.90920317</v>
      </c>
      <c r="F61" s="20" t="n">
        <v>1.03827877</v>
      </c>
      <c r="G61" s="18" t="n">
        <v>10.45514023</v>
      </c>
      <c r="H61" s="20" t="n">
        <v>1.01619141</v>
      </c>
      <c r="I61" s="18" t="n">
        <v>0</v>
      </c>
      <c r="J61" s="20" t="n">
        <v>0</v>
      </c>
      <c r="K61" s="18" t="n">
        <v>0.22923804</v>
      </c>
      <c r="L61" s="20" t="n">
        <v>0.12411008</v>
      </c>
      <c r="M61" s="18" t="n">
        <v>0</v>
      </c>
      <c r="N61" s="20" t="n">
        <v>0</v>
      </c>
      <c r="O61" s="18" t="n">
        <v>0</v>
      </c>
      <c r="P61" s="20" t="n">
        <v>0</v>
      </c>
      <c r="Q61" s="18" t="n">
        <v>2.40641855</v>
      </c>
      <c r="R61" s="20" t="n">
        <v>0.42010086</v>
      </c>
    </row>
    <row r="62" spans="1:18">
      <c r="A62" s="15" t="s">
        <v>622</v>
      </c>
      <c r="B62" s="17" t="n">
        <v>4476</v>
      </c>
      <c r="C62" s="18">
        <f>(3520.0/B62*100)</f>
        <v/>
      </c>
      <c r="D62" s="19" t="n">
        <v>956</v>
      </c>
      <c r="E62" s="18" t="n">
        <v>81.49218618</v>
      </c>
      <c r="F62" s="20" t="n">
        <v>1.25825905</v>
      </c>
      <c r="G62" s="18" t="n">
        <v>17.77079426</v>
      </c>
      <c r="H62" s="20" t="n">
        <v>1.22499778</v>
      </c>
      <c r="I62" s="18" t="n">
        <v>0</v>
      </c>
      <c r="J62" s="20" t="n">
        <v>0</v>
      </c>
      <c r="K62" s="18" t="n">
        <v>0.10751881</v>
      </c>
      <c r="L62" s="20" t="n">
        <v>0.10778594</v>
      </c>
      <c r="M62" s="18" t="n">
        <v>0.20897612</v>
      </c>
      <c r="N62" s="20" t="n">
        <v>0.14676252</v>
      </c>
      <c r="O62" s="18" t="n">
        <v>0</v>
      </c>
      <c r="P62" s="20" t="n">
        <v>0</v>
      </c>
      <c r="Q62" s="18" t="n">
        <v>0.42052463</v>
      </c>
      <c r="R62" s="20" t="n">
        <v>0.20855828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(4440.0/B67*100)</f>
        <v/>
      </c>
      <c r="D67" s="19" t="n">
        <v>1225</v>
      </c>
      <c r="E67" s="18" t="n">
        <v>78.71265609</v>
      </c>
      <c r="F67" s="20" t="n">
        <v>1.07816055</v>
      </c>
      <c r="G67" s="18" t="n">
        <v>8.60579798</v>
      </c>
      <c r="H67" s="20" t="n">
        <v>0.84968319</v>
      </c>
      <c r="I67" s="18" t="n">
        <v>0</v>
      </c>
      <c r="J67" s="20" t="n">
        <v>0</v>
      </c>
      <c r="K67" s="18" t="n">
        <v>0.69384501</v>
      </c>
      <c r="L67" s="20" t="n">
        <v>0.20240978</v>
      </c>
      <c r="M67" s="18" t="n">
        <v>0.37378093</v>
      </c>
      <c r="N67" s="20" t="n">
        <v>0.16742683</v>
      </c>
      <c r="O67" s="18" t="n">
        <v>0</v>
      </c>
      <c r="P67" s="20" t="n">
        <v>0</v>
      </c>
      <c r="Q67" s="18" t="n">
        <v>11.61391998</v>
      </c>
      <c r="R67" s="20" t="n">
        <v>0.7040949</v>
      </c>
    </row>
    <row r="68" spans="1:18">
      <c r="A68" s="15" t="s">
        <v>628</v>
      </c>
      <c r="B68" s="17" t="n">
        <v>6971</v>
      </c>
      <c r="C68" s="18">
        <f>(5620.0/B68*100)</f>
        <v/>
      </c>
      <c r="D68" s="19" t="n">
        <v>1351</v>
      </c>
      <c r="E68" s="18" t="n">
        <v>90.6943302</v>
      </c>
      <c r="F68" s="20" t="n">
        <v>0.91151869</v>
      </c>
      <c r="G68" s="18" t="n">
        <v>5.34875743</v>
      </c>
      <c r="H68" s="20" t="n">
        <v>0.65836237</v>
      </c>
      <c r="I68" s="18" t="n">
        <v>0</v>
      </c>
      <c r="J68" s="20" t="n">
        <v>0</v>
      </c>
      <c r="K68" s="18" t="n">
        <v>0.14333309</v>
      </c>
      <c r="L68" s="20" t="n">
        <v>0.10166795</v>
      </c>
      <c r="M68" s="18" t="n">
        <v>0</v>
      </c>
      <c r="N68" s="20" t="n">
        <v>0</v>
      </c>
      <c r="O68" s="18" t="n">
        <v>0</v>
      </c>
      <c r="P68" s="20" t="n">
        <v>0</v>
      </c>
      <c r="Q68" s="18" t="n">
        <v>3.81357928</v>
      </c>
      <c r="R68" s="20" t="n">
        <v>0.5614244900000001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(9410.0/B70*100)</f>
        <v/>
      </c>
      <c r="D70" s="19" t="n">
        <v>2673</v>
      </c>
      <c r="E70" s="18" t="n">
        <v>85.28432113</v>
      </c>
      <c r="F70" s="20" t="n">
        <v>0.67566051</v>
      </c>
      <c r="G70" s="18" t="n">
        <v>6.97620776</v>
      </c>
      <c r="H70" s="20" t="n">
        <v>0.49597384</v>
      </c>
      <c r="I70" s="18" t="n">
        <v>0</v>
      </c>
      <c r="J70" s="20" t="n">
        <v>0</v>
      </c>
      <c r="K70" s="18" t="n">
        <v>1.51432838</v>
      </c>
      <c r="L70" s="20" t="n">
        <v>0.22967165</v>
      </c>
      <c r="M70" s="18" t="n">
        <v>0.03592608</v>
      </c>
      <c r="N70" s="20" t="n">
        <v>0.03577977</v>
      </c>
      <c r="O70" s="18" t="n">
        <v>0</v>
      </c>
      <c r="P70" s="20" t="n">
        <v>0</v>
      </c>
      <c r="Q70" s="18" t="n">
        <v>6.18921665</v>
      </c>
      <c r="R70" s="20" t="n">
        <v>0.46986471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(4772.0/B72*100)</f>
        <v/>
      </c>
      <c r="D72" s="19" t="n">
        <v>1264</v>
      </c>
      <c r="E72" s="18" t="n">
        <v>79.3078738</v>
      </c>
      <c r="F72" s="20" t="n">
        <v>0.96040156</v>
      </c>
      <c r="G72" s="18" t="n">
        <v>18.11789555</v>
      </c>
      <c r="H72" s="20" t="n">
        <v>1.02628822</v>
      </c>
      <c r="I72" s="18" t="n">
        <v>0</v>
      </c>
      <c r="J72" s="20" t="n">
        <v>0</v>
      </c>
      <c r="K72" s="18" t="n">
        <v>0.17579942</v>
      </c>
      <c r="L72" s="20" t="n">
        <v>0.08725946</v>
      </c>
      <c r="M72" s="18" t="n">
        <v>0.16280077</v>
      </c>
      <c r="N72" s="20" t="n">
        <v>0.11607175</v>
      </c>
      <c r="O72" s="18" t="n">
        <v>0</v>
      </c>
      <c r="P72" s="20" t="n">
        <v>0</v>
      </c>
      <c r="Q72" s="18" t="n">
        <v>2.23563046</v>
      </c>
      <c r="R72" s="20" t="n">
        <v>0.40348942</v>
      </c>
    </row>
    <row r="73" spans="1:18">
      <c r="A73" s="15" t="s">
        <v>633</v>
      </c>
      <c r="B73" s="17" t="n">
        <v>6115</v>
      </c>
      <c r="C73" s="18">
        <f>(4717.0/B73*100)</f>
        <v/>
      </c>
      <c r="D73" s="19" t="n">
        <v>1398</v>
      </c>
      <c r="E73" s="18" t="n">
        <v>64.93535193</v>
      </c>
      <c r="F73" s="20" t="n">
        <v>1.35618338</v>
      </c>
      <c r="G73" s="18" t="n">
        <v>34.11282944</v>
      </c>
      <c r="H73" s="20" t="n">
        <v>1.36616212</v>
      </c>
      <c r="I73" s="18" t="n">
        <v>0</v>
      </c>
      <c r="J73" s="20" t="n">
        <v>0</v>
      </c>
      <c r="K73" s="18" t="n">
        <v>0.09467351</v>
      </c>
      <c r="L73" s="20" t="n">
        <v>0.06896076</v>
      </c>
      <c r="M73" s="18" t="n">
        <v>0</v>
      </c>
      <c r="N73" s="20" t="n">
        <v>0</v>
      </c>
      <c r="O73" s="18" t="n">
        <v>0</v>
      </c>
      <c r="P73" s="20" t="n">
        <v>0</v>
      </c>
      <c r="Q73" s="18" t="n">
        <v>0.85714511</v>
      </c>
      <c r="R73" s="20" t="n">
        <v>0.26199296</v>
      </c>
    </row>
    <row r="74" spans="1:18">
      <c r="A74" s="15" t="s">
        <v>634</v>
      </c>
      <c r="B74" s="17" t="n">
        <v>7708</v>
      </c>
      <c r="C74" s="18">
        <f>(5980.0/B74*100)</f>
        <v/>
      </c>
      <c r="D74" s="19" t="n">
        <v>1728</v>
      </c>
      <c r="E74" s="18" t="n">
        <v>76.6050206</v>
      </c>
      <c r="F74" s="20" t="n">
        <v>1.31636909</v>
      </c>
      <c r="G74" s="18" t="n">
        <v>22.33597523</v>
      </c>
      <c r="H74" s="20" t="n">
        <v>1.31314752</v>
      </c>
      <c r="I74" s="18" t="n">
        <v>0</v>
      </c>
      <c r="J74" s="20" t="n">
        <v>0</v>
      </c>
      <c r="K74" s="18" t="n">
        <v>0.10472228</v>
      </c>
      <c r="L74" s="20" t="n">
        <v>0.08218586</v>
      </c>
      <c r="M74" s="18" t="n">
        <v>0</v>
      </c>
      <c r="N74" s="20" t="n">
        <v>0</v>
      </c>
      <c r="O74" s="18" t="n">
        <v>0</v>
      </c>
      <c r="P74" s="20" t="n">
        <v>0</v>
      </c>
      <c r="Q74" s="18" t="n">
        <v>0.95428189</v>
      </c>
      <c r="R74" s="20" t="n">
        <v>0.24989284</v>
      </c>
    </row>
    <row r="75" spans="1:18">
      <c r="A75" s="15" t="s">
        <v>635</v>
      </c>
      <c r="B75" s="17" t="n">
        <v>8249</v>
      </c>
      <c r="C75" s="18">
        <f>(6523.0/B75*100)</f>
        <v/>
      </c>
      <c r="D75" s="19" t="n">
        <v>1726</v>
      </c>
      <c r="E75" s="18" t="n">
        <v>96.59530561</v>
      </c>
      <c r="F75" s="20" t="n">
        <v>0.4437226</v>
      </c>
      <c r="G75" s="18" t="n">
        <v>1.57519612</v>
      </c>
      <c r="H75" s="20" t="n">
        <v>0.30715113</v>
      </c>
      <c r="I75" s="18" t="n">
        <v>0</v>
      </c>
      <c r="J75" s="20" t="n">
        <v>0</v>
      </c>
      <c r="K75" s="18" t="n">
        <v>0</v>
      </c>
      <c r="L75" s="20" t="n">
        <v>0</v>
      </c>
      <c r="M75" s="18" t="n">
        <v>0.16517554</v>
      </c>
      <c r="N75" s="20" t="n">
        <v>0.11390789</v>
      </c>
      <c r="O75" s="18" t="n">
        <v>0</v>
      </c>
      <c r="P75" s="20" t="n">
        <v>0</v>
      </c>
      <c r="Q75" s="18" t="n">
        <v>1.66432273</v>
      </c>
      <c r="R75" s="20" t="n">
        <v>0.32367329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(4311.0/B77*100)</f>
        <v/>
      </c>
      <c r="D77" s="19" t="n">
        <v>1064</v>
      </c>
      <c r="E77" s="18" t="n">
        <v>88.51484317000001</v>
      </c>
      <c r="F77" s="20" t="n">
        <v>1.18835106</v>
      </c>
      <c r="G77" s="18" t="n">
        <v>1.76061085</v>
      </c>
      <c r="H77" s="20" t="n">
        <v>0.44224133</v>
      </c>
      <c r="I77" s="18" t="n">
        <v>0</v>
      </c>
      <c r="J77" s="20" t="n">
        <v>0</v>
      </c>
      <c r="K77" s="18" t="n">
        <v>3.55833326</v>
      </c>
      <c r="L77" s="20" t="n">
        <v>0.70828448</v>
      </c>
      <c r="M77" s="18" t="n">
        <v>0.46295667</v>
      </c>
      <c r="N77" s="20" t="n">
        <v>0.20441825</v>
      </c>
      <c r="O77" s="18" t="n">
        <v>0</v>
      </c>
      <c r="P77" s="20" t="n">
        <v>0</v>
      </c>
      <c r="Q77" s="18" t="n">
        <v>5.70325604</v>
      </c>
      <c r="R77" s="20" t="n">
        <v>0.7735789199999999</v>
      </c>
    </row>
    <row r="78" spans="1:18">
      <c r="A78" s="15" t="s">
        <v>638</v>
      </c>
      <c r="B78" s="17" t="n">
        <v>14167</v>
      </c>
      <c r="C78" s="18">
        <f>(11042.0/B78*100)</f>
        <v/>
      </c>
      <c r="D78" s="19" t="n">
        <v>3125</v>
      </c>
      <c r="E78" s="18" t="n">
        <v>84.20293872000001</v>
      </c>
      <c r="F78" s="20" t="n">
        <v>0.72776783</v>
      </c>
      <c r="G78" s="18" t="n">
        <v>12.53856606</v>
      </c>
      <c r="H78" s="20" t="n">
        <v>0.67804704</v>
      </c>
      <c r="I78" s="18" t="n">
        <v>0</v>
      </c>
      <c r="J78" s="20" t="n">
        <v>0</v>
      </c>
      <c r="K78" s="18" t="n">
        <v>0.73034766</v>
      </c>
      <c r="L78" s="20" t="n">
        <v>0.18205917</v>
      </c>
      <c r="M78" s="18" t="n">
        <v>0.05117923</v>
      </c>
      <c r="N78" s="20" t="n">
        <v>0.03681736</v>
      </c>
      <c r="O78" s="18" t="n">
        <v>0</v>
      </c>
      <c r="P78" s="20" t="n">
        <v>0</v>
      </c>
      <c r="Q78" s="18" t="n">
        <v>2.47696833</v>
      </c>
      <c r="R78" s="20" t="n">
        <v>0.38166713</v>
      </c>
    </row>
    <row r="79" spans="1:18">
      <c r="A79" s="15" t="s">
        <v>639</v>
      </c>
      <c r="B79" s="17" t="n">
        <v>6062</v>
      </c>
      <c r="C79" s="18">
        <f>(4878.0/B79*100)</f>
        <v/>
      </c>
      <c r="D79" s="19" t="n">
        <v>1184</v>
      </c>
      <c r="E79" s="18" t="n">
        <v>83.86170924</v>
      </c>
      <c r="F79" s="20" t="n">
        <v>1.20025627</v>
      </c>
      <c r="G79" s="18" t="n">
        <v>7.29201625</v>
      </c>
      <c r="H79" s="20" t="n">
        <v>0.86972203</v>
      </c>
      <c r="I79" s="18" t="n">
        <v>0</v>
      </c>
      <c r="J79" s="20" t="n">
        <v>0</v>
      </c>
      <c r="K79" s="18" t="n">
        <v>1.04986396</v>
      </c>
      <c r="L79" s="20" t="n">
        <v>0.25034778</v>
      </c>
      <c r="M79" s="18" t="n">
        <v>0</v>
      </c>
      <c r="N79" s="20" t="n">
        <v>0</v>
      </c>
      <c r="O79" s="18" t="n">
        <v>0</v>
      </c>
      <c r="P79" s="20" t="n">
        <v>0</v>
      </c>
      <c r="Q79" s="18" t="n">
        <v>7.79641055</v>
      </c>
      <c r="R79" s="20" t="n">
        <v>0.87373615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(25340.0/B82*100)</f>
        <v/>
      </c>
      <c r="D82" s="19" t="n">
        <v>6990</v>
      </c>
      <c r="E82" s="18" t="n">
        <v>76.33232124</v>
      </c>
      <c r="F82" s="20" t="n">
        <v>0.65119471</v>
      </c>
      <c r="G82" s="18" t="n">
        <v>20.2301137</v>
      </c>
      <c r="H82" s="20" t="n">
        <v>0.5426315</v>
      </c>
      <c r="I82" s="18" t="n">
        <v>0</v>
      </c>
      <c r="J82" s="20" t="n">
        <v>0</v>
      </c>
      <c r="K82" s="18" t="n">
        <v>0.17176485</v>
      </c>
      <c r="L82" s="20" t="n">
        <v>0.09084006</v>
      </c>
      <c r="M82" s="18" t="n">
        <v>0.11871502</v>
      </c>
      <c r="N82" s="20" t="n">
        <v>0.08985429</v>
      </c>
      <c r="O82" s="18" t="n">
        <v>0</v>
      </c>
      <c r="P82" s="20" t="n">
        <v>0</v>
      </c>
      <c r="Q82" s="18" t="n">
        <v>3.14708518</v>
      </c>
      <c r="R82" s="20" t="n">
        <v>0.29963396</v>
      </c>
    </row>
    <row r="83" spans="1:18">
      <c r="A83" s="15" t="s">
        <v>643</v>
      </c>
      <c r="B83" s="17" t="n">
        <v>1652</v>
      </c>
      <c r="C83" s="18">
        <f>(1315.0/B83*100)</f>
        <v/>
      </c>
      <c r="D83" s="19" t="n">
        <v>337</v>
      </c>
      <c r="E83" s="18" t="n">
        <v>69.49018679</v>
      </c>
      <c r="F83" s="20" t="n">
        <v>2.76561639</v>
      </c>
      <c r="G83" s="18" t="n">
        <v>29.69361667</v>
      </c>
      <c r="H83" s="20" t="n">
        <v>2.94503268</v>
      </c>
      <c r="I83" s="18" t="n">
        <v>0</v>
      </c>
      <c r="J83" s="20" t="n">
        <v>0</v>
      </c>
      <c r="K83" s="18" t="n">
        <v>0</v>
      </c>
      <c r="L83" s="20" t="n">
        <v>0</v>
      </c>
      <c r="M83" s="18" t="n">
        <v>0</v>
      </c>
      <c r="N83" s="20" t="n">
        <v>0</v>
      </c>
      <c r="O83" s="18" t="n">
        <v>0</v>
      </c>
      <c r="P83" s="20" t="n">
        <v>0</v>
      </c>
      <c r="Q83" s="18" t="n">
        <v>0.81619655</v>
      </c>
      <c r="R83" s="20" t="n">
        <v>0.45323125</v>
      </c>
    </row>
    <row r="84" spans="1:18">
      <c r="A84" s="23" t="s">
        <v>644</v>
      </c>
      <c r="B84" s="24" t="n">
        <v>1887</v>
      </c>
      <c r="C84" s="25">
        <f>(1460.0/B84*100)</f>
        <v/>
      </c>
      <c r="D84" s="19" t="n">
        <v>427</v>
      </c>
      <c r="E84" s="18" t="n">
        <v>72.50825481</v>
      </c>
      <c r="F84" s="20" t="n">
        <v>2.15343313</v>
      </c>
      <c r="G84" s="18" t="n">
        <v>26.34687124</v>
      </c>
      <c r="H84" s="20" t="n">
        <v>2.21187516</v>
      </c>
      <c r="I84" s="18" t="n">
        <v>0</v>
      </c>
      <c r="J84" s="20" t="n">
        <v>0</v>
      </c>
      <c r="K84" s="18" t="n">
        <v>0</v>
      </c>
      <c r="L84" s="20" t="n">
        <v>0</v>
      </c>
      <c r="M84" s="18" t="n">
        <v>0</v>
      </c>
      <c r="N84" s="20" t="n">
        <v>0</v>
      </c>
      <c r="O84" s="18" t="n">
        <v>0</v>
      </c>
      <c r="P84" s="20" t="n">
        <v>0</v>
      </c>
      <c r="Q84" s="18" t="n">
        <v>1.14487396</v>
      </c>
      <c r="R84" s="20" t="n">
        <v>0.51355653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789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(11340.0/B7*100)</f>
        <v/>
      </c>
      <c r="D7" s="19" t="n">
        <v>3190</v>
      </c>
      <c r="E7" s="18" t="n">
        <v>77.19761837999999</v>
      </c>
      <c r="F7" s="20" t="n">
        <v>0.84228189</v>
      </c>
      <c r="G7" s="18" t="n">
        <v>18.75370226</v>
      </c>
      <c r="H7" s="20" t="n">
        <v>0.7448944</v>
      </c>
      <c r="I7" s="18" t="n">
        <v>0</v>
      </c>
      <c r="J7" s="20" t="n">
        <v>0</v>
      </c>
      <c r="K7" s="18" t="n">
        <v>0.28005856</v>
      </c>
      <c r="L7" s="20" t="n">
        <v>0.13531799</v>
      </c>
      <c r="M7" s="18" t="n">
        <v>0.03885015</v>
      </c>
      <c r="N7" s="20" t="n">
        <v>0.02300619</v>
      </c>
      <c r="O7" s="18" t="n">
        <v>0</v>
      </c>
      <c r="P7" s="20" t="n">
        <v>0</v>
      </c>
      <c r="Q7" s="18" t="n">
        <v>3.72977064</v>
      </c>
      <c r="R7" s="20" t="n">
        <v>0.40453281</v>
      </c>
    </row>
    <row r="8" spans="1:18">
      <c r="A8" s="15" t="s">
        <v>566</v>
      </c>
      <c r="B8" s="17" t="n">
        <v>7007</v>
      </c>
      <c r="C8" s="18">
        <f>(5502.0/B8*100)</f>
        <v/>
      </c>
      <c r="D8" s="19" t="n">
        <v>1505</v>
      </c>
      <c r="E8" s="18" t="n">
        <v>85.99028448</v>
      </c>
      <c r="F8" s="20" t="n">
        <v>1.07447871</v>
      </c>
      <c r="G8" s="18" t="n">
        <v>10.32207509</v>
      </c>
      <c r="H8" s="20" t="n">
        <v>0.77768573</v>
      </c>
      <c r="I8" s="18" t="n">
        <v>0</v>
      </c>
      <c r="J8" s="20" t="n">
        <v>0</v>
      </c>
      <c r="K8" s="18" t="n">
        <v>0</v>
      </c>
      <c r="L8" s="20" t="n">
        <v>0</v>
      </c>
      <c r="M8" s="18" t="n">
        <v>0</v>
      </c>
      <c r="N8" s="20" t="n">
        <v>0</v>
      </c>
      <c r="O8" s="18" t="n">
        <v>0</v>
      </c>
      <c r="P8" s="20" t="n">
        <v>0</v>
      </c>
      <c r="Q8" s="18" t="n">
        <v>3.68764044</v>
      </c>
      <c r="R8" s="20" t="n">
        <v>0.63289682</v>
      </c>
    </row>
    <row r="9" spans="1:18">
      <c r="A9" s="15" t="s">
        <v>567</v>
      </c>
      <c r="B9" s="17" t="n">
        <v>9651</v>
      </c>
      <c r="C9" s="18">
        <f>(7652.0/B9*100)</f>
        <v/>
      </c>
      <c r="D9" s="19" t="n">
        <v>1999</v>
      </c>
      <c r="E9" s="18" t="n">
        <v>81.84913548999999</v>
      </c>
      <c r="F9" s="20" t="n">
        <v>0.88515075</v>
      </c>
      <c r="G9" s="18" t="n">
        <v>13.90073732</v>
      </c>
      <c r="H9" s="20" t="n">
        <v>0.82009743</v>
      </c>
      <c r="I9" s="18" t="n">
        <v>0</v>
      </c>
      <c r="J9" s="20" t="n">
        <v>0</v>
      </c>
      <c r="K9" s="18" t="n">
        <v>0.27569689</v>
      </c>
      <c r="L9" s="20" t="n">
        <v>0.11604869</v>
      </c>
      <c r="M9" s="18" t="n">
        <v>0.28345679</v>
      </c>
      <c r="N9" s="20" t="n">
        <v>0.11388694</v>
      </c>
      <c r="O9" s="18" t="n">
        <v>0</v>
      </c>
      <c r="P9" s="20" t="n">
        <v>0</v>
      </c>
      <c r="Q9" s="18" t="n">
        <v>3.69097352</v>
      </c>
      <c r="R9" s="20" t="n">
        <v>0.53715637</v>
      </c>
    </row>
    <row r="10" spans="1:18">
      <c r="A10" s="15" t="s">
        <v>568</v>
      </c>
      <c r="B10" s="17" t="n">
        <v>20058</v>
      </c>
      <c r="C10" s="18">
        <f>(15549.0/B10*100)</f>
        <v/>
      </c>
      <c r="D10" s="19" t="n">
        <v>4509</v>
      </c>
      <c r="E10" s="18" t="n">
        <v>74.14871891</v>
      </c>
      <c r="F10" s="20" t="n">
        <v>1.00812424</v>
      </c>
      <c r="G10" s="18" t="n">
        <v>23.23578482</v>
      </c>
      <c r="H10" s="20" t="n">
        <v>1.02551697</v>
      </c>
      <c r="I10" s="18" t="n">
        <v>0</v>
      </c>
      <c r="J10" s="20" t="n">
        <v>0</v>
      </c>
      <c r="K10" s="18" t="n">
        <v>0.21077736</v>
      </c>
      <c r="L10" s="20" t="n">
        <v>0.08281358</v>
      </c>
      <c r="M10" s="18" t="n">
        <v>0.01975839</v>
      </c>
      <c r="N10" s="20" t="n">
        <v>0.01399938</v>
      </c>
      <c r="O10" s="18" t="n">
        <v>0</v>
      </c>
      <c r="P10" s="20" t="n">
        <v>0</v>
      </c>
      <c r="Q10" s="18" t="n">
        <v>2.38496052</v>
      </c>
      <c r="R10" s="20" t="n">
        <v>0.32174156</v>
      </c>
    </row>
    <row r="11" spans="1:18">
      <c r="A11" s="15" t="s">
        <v>569</v>
      </c>
      <c r="B11" s="17" t="n">
        <v>7053</v>
      </c>
      <c r="C11" s="18">
        <f>(5494.0/B11*100)</f>
        <v/>
      </c>
      <c r="D11" s="19" t="n">
        <v>1559</v>
      </c>
      <c r="E11" s="18" t="n">
        <v>84.45698912</v>
      </c>
      <c r="F11" s="20" t="n">
        <v>0.95173369</v>
      </c>
      <c r="G11" s="18" t="n">
        <v>8.31188195</v>
      </c>
      <c r="H11" s="20" t="n">
        <v>0.76550699</v>
      </c>
      <c r="I11" s="18" t="n">
        <v>0</v>
      </c>
      <c r="J11" s="20" t="n">
        <v>0</v>
      </c>
      <c r="K11" s="18" t="n">
        <v>0.85061656</v>
      </c>
      <c r="L11" s="20" t="n">
        <v>0.25826258</v>
      </c>
      <c r="M11" s="18" t="n">
        <v>0.00694976</v>
      </c>
      <c r="N11" s="20" t="n">
        <v>0.00700306</v>
      </c>
      <c r="O11" s="18" t="n">
        <v>0</v>
      </c>
      <c r="P11" s="20" t="n">
        <v>0</v>
      </c>
      <c r="Q11" s="18" t="n">
        <v>6.37356261</v>
      </c>
      <c r="R11" s="20" t="n">
        <v>0.74881635</v>
      </c>
    </row>
    <row r="12" spans="1:18">
      <c r="A12" s="15" t="s">
        <v>570</v>
      </c>
      <c r="B12" s="17" t="n">
        <v>6894</v>
      </c>
      <c r="C12" s="18">
        <f>(5414.0/B12*100)</f>
        <v/>
      </c>
      <c r="D12" s="19" t="n">
        <v>1480</v>
      </c>
      <c r="E12" s="18" t="n">
        <v>88.65095375</v>
      </c>
      <c r="F12" s="20" t="n">
        <v>0.82010133</v>
      </c>
      <c r="G12" s="18" t="n">
        <v>8.678132570000001</v>
      </c>
      <c r="H12" s="20" t="n">
        <v>0.73720851</v>
      </c>
      <c r="I12" s="18" t="n">
        <v>0</v>
      </c>
      <c r="J12" s="20" t="n">
        <v>0</v>
      </c>
      <c r="K12" s="18" t="n">
        <v>0.12028804</v>
      </c>
      <c r="L12" s="20" t="n">
        <v>0.08338392</v>
      </c>
      <c r="M12" s="18" t="n">
        <v>0.06165403</v>
      </c>
      <c r="N12" s="20" t="n">
        <v>0.06050175</v>
      </c>
      <c r="O12" s="18" t="n">
        <v>0</v>
      </c>
      <c r="P12" s="20" t="n">
        <v>0</v>
      </c>
      <c r="Q12" s="18" t="n">
        <v>2.4889716</v>
      </c>
      <c r="R12" s="20" t="n">
        <v>0.42490164</v>
      </c>
    </row>
    <row r="13" spans="1:18">
      <c r="A13" s="15" t="s">
        <v>571</v>
      </c>
      <c r="B13" s="17" t="n">
        <v>7161</v>
      </c>
      <c r="C13" s="18">
        <f>(5657.0/B13*100)</f>
        <v/>
      </c>
      <c r="D13" s="19" t="n">
        <v>1504</v>
      </c>
      <c r="E13" s="18" t="n">
        <v>84.24049157</v>
      </c>
      <c r="F13" s="20" t="n">
        <v>1.16917668</v>
      </c>
      <c r="G13" s="18" t="n">
        <v>12.45788043</v>
      </c>
      <c r="H13" s="20" t="n">
        <v>1.01553911</v>
      </c>
      <c r="I13" s="18" t="n">
        <v>0</v>
      </c>
      <c r="J13" s="20" t="n">
        <v>0</v>
      </c>
      <c r="K13" s="18" t="n">
        <v>0.22130198</v>
      </c>
      <c r="L13" s="20" t="n">
        <v>0.12843248</v>
      </c>
      <c r="M13" s="18" t="n">
        <v>0.23763083</v>
      </c>
      <c r="N13" s="20" t="n">
        <v>0.23873828</v>
      </c>
      <c r="O13" s="18" t="n">
        <v>0</v>
      </c>
      <c r="P13" s="20" t="n">
        <v>0</v>
      </c>
      <c r="Q13" s="18" t="n">
        <v>2.84269518</v>
      </c>
      <c r="R13" s="20" t="n">
        <v>0.66337996</v>
      </c>
    </row>
    <row r="14" spans="1:18">
      <c r="A14" s="15" t="s">
        <v>572</v>
      </c>
      <c r="B14" s="17" t="n">
        <v>5587</v>
      </c>
      <c r="C14" s="18">
        <f>(4343.0/B14*100)</f>
        <v/>
      </c>
      <c r="D14" s="19" t="n">
        <v>1244</v>
      </c>
      <c r="E14" s="18" t="n">
        <v>85.22487230999999</v>
      </c>
      <c r="F14" s="20" t="n">
        <v>0.98389163</v>
      </c>
      <c r="G14" s="18" t="n">
        <v>13.03151238</v>
      </c>
      <c r="H14" s="20" t="n">
        <v>0.92187449</v>
      </c>
      <c r="I14" s="18" t="n">
        <v>0</v>
      </c>
      <c r="J14" s="20" t="n">
        <v>0</v>
      </c>
      <c r="K14" s="18" t="n">
        <v>0.7530496800000001</v>
      </c>
      <c r="L14" s="20" t="n">
        <v>0.29438305</v>
      </c>
      <c r="M14" s="18" t="n">
        <v>0</v>
      </c>
      <c r="N14" s="20" t="n">
        <v>0</v>
      </c>
      <c r="O14" s="18" t="n">
        <v>0</v>
      </c>
      <c r="P14" s="20" t="n">
        <v>0</v>
      </c>
      <c r="Q14" s="18" t="n">
        <v>0.99056564</v>
      </c>
      <c r="R14" s="20" t="n">
        <v>0.3435648</v>
      </c>
    </row>
    <row r="15" spans="1:18">
      <c r="A15" s="15" t="s">
        <v>573</v>
      </c>
      <c r="B15" s="17" t="n">
        <v>5882</v>
      </c>
      <c r="C15" s="18">
        <f>(4580.0/B15*100)</f>
        <v/>
      </c>
      <c r="D15" s="19" t="n">
        <v>1302</v>
      </c>
      <c r="E15" s="18" t="n">
        <v>80.03065685999999</v>
      </c>
      <c r="F15" s="20" t="n">
        <v>1.03566991</v>
      </c>
      <c r="G15" s="18" t="n">
        <v>17.48964965</v>
      </c>
      <c r="H15" s="20" t="n">
        <v>1.071058</v>
      </c>
      <c r="I15" s="18" t="n">
        <v>0</v>
      </c>
      <c r="J15" s="20" t="n">
        <v>0</v>
      </c>
      <c r="K15" s="18" t="n">
        <v>0.07948069000000001</v>
      </c>
      <c r="L15" s="20" t="n">
        <v>0.07974131</v>
      </c>
      <c r="M15" s="18" t="n">
        <v>0</v>
      </c>
      <c r="N15" s="20" t="n">
        <v>0</v>
      </c>
      <c r="O15" s="18" t="n">
        <v>0</v>
      </c>
      <c r="P15" s="20" t="n">
        <v>0</v>
      </c>
      <c r="Q15" s="18" t="n">
        <v>2.4002128</v>
      </c>
      <c r="R15" s="20" t="n">
        <v>0.49110148</v>
      </c>
    </row>
    <row r="16" spans="1:18">
      <c r="A16" s="15" t="s">
        <v>574</v>
      </c>
      <c r="B16" s="17" t="n">
        <v>6108</v>
      </c>
      <c r="C16" s="18">
        <f>(4756.0/B16*100)</f>
        <v/>
      </c>
      <c r="D16" s="19" t="n">
        <v>1352</v>
      </c>
      <c r="E16" s="18" t="n">
        <v>82.42775450000001</v>
      </c>
      <c r="F16" s="20" t="n">
        <v>1.05933739</v>
      </c>
      <c r="G16" s="18" t="n">
        <v>11.606196</v>
      </c>
      <c r="H16" s="20" t="n">
        <v>0.8547609900000001</v>
      </c>
      <c r="I16" s="18" t="n">
        <v>0</v>
      </c>
      <c r="J16" s="20" t="n">
        <v>0</v>
      </c>
      <c r="K16" s="18" t="n">
        <v>0.84094159</v>
      </c>
      <c r="L16" s="20" t="n">
        <v>0.2445461</v>
      </c>
      <c r="M16" s="18" t="n">
        <v>0.06401874</v>
      </c>
      <c r="N16" s="20" t="n">
        <v>0.06590221</v>
      </c>
      <c r="O16" s="18" t="n">
        <v>0</v>
      </c>
      <c r="P16" s="20" t="n">
        <v>0</v>
      </c>
      <c r="Q16" s="18" t="n">
        <v>5.06108917</v>
      </c>
      <c r="R16" s="20" t="n">
        <v>0.72823315</v>
      </c>
    </row>
    <row r="17" spans="1:18">
      <c r="A17" s="15" t="s">
        <v>575</v>
      </c>
      <c r="B17" s="17" t="n">
        <v>6504</v>
      </c>
      <c r="C17" s="18">
        <f>(5090.0/B17*100)</f>
        <v/>
      </c>
      <c r="D17" s="19" t="n">
        <v>1414</v>
      </c>
      <c r="E17" s="18" t="n">
        <v>83.9332501</v>
      </c>
      <c r="F17" s="20" t="n">
        <v>0.89554224</v>
      </c>
      <c r="G17" s="18" t="n">
        <v>11.70140004</v>
      </c>
      <c r="H17" s="20" t="n">
        <v>0.86128243</v>
      </c>
      <c r="I17" s="18" t="n">
        <v>0</v>
      </c>
      <c r="J17" s="20" t="n">
        <v>0</v>
      </c>
      <c r="K17" s="18" t="n">
        <v>0.1446905</v>
      </c>
      <c r="L17" s="20" t="n">
        <v>0.1434997</v>
      </c>
      <c r="M17" s="18" t="n">
        <v>0</v>
      </c>
      <c r="N17" s="20" t="n">
        <v>0</v>
      </c>
      <c r="O17" s="18" t="n">
        <v>0</v>
      </c>
      <c r="P17" s="20" t="n">
        <v>0</v>
      </c>
      <c r="Q17" s="18" t="n">
        <v>4.22065937</v>
      </c>
      <c r="R17" s="20" t="n">
        <v>0.60141791</v>
      </c>
    </row>
    <row r="18" spans="1:18">
      <c r="A18" s="15" t="s">
        <v>576</v>
      </c>
      <c r="B18" s="17" t="n">
        <v>5532</v>
      </c>
      <c r="C18" s="18">
        <f>(4321.0/B18*100)</f>
        <v/>
      </c>
      <c r="D18" s="19" t="n">
        <v>1211</v>
      </c>
      <c r="E18" s="18" t="n">
        <v>89.86314432</v>
      </c>
      <c r="F18" s="20" t="n">
        <v>0.91061844</v>
      </c>
      <c r="G18" s="18" t="n">
        <v>6.17674656</v>
      </c>
      <c r="H18" s="20" t="n">
        <v>0.75139573</v>
      </c>
      <c r="I18" s="18" t="n">
        <v>0</v>
      </c>
      <c r="J18" s="20" t="n">
        <v>0</v>
      </c>
      <c r="K18" s="18" t="n">
        <v>0.32577448</v>
      </c>
      <c r="L18" s="20" t="n">
        <v>0.16285693</v>
      </c>
      <c r="M18" s="18" t="n">
        <v>0</v>
      </c>
      <c r="N18" s="20" t="n">
        <v>0</v>
      </c>
      <c r="O18" s="18" t="n">
        <v>0</v>
      </c>
      <c r="P18" s="20" t="n">
        <v>0</v>
      </c>
      <c r="Q18" s="18" t="n">
        <v>3.63433463</v>
      </c>
      <c r="R18" s="20" t="n">
        <v>0.5764913699999999</v>
      </c>
    </row>
    <row r="19" spans="1:18">
      <c r="A19" s="15" t="s">
        <v>577</v>
      </c>
      <c r="B19" s="17" t="n">
        <v>5658</v>
      </c>
      <c r="C19" s="18">
        <f>(4394.0/B19*100)</f>
        <v/>
      </c>
      <c r="D19" s="19" t="n">
        <v>1264</v>
      </c>
      <c r="E19" s="18" t="n">
        <v>88.01550786</v>
      </c>
      <c r="F19" s="20" t="n">
        <v>1.07815195</v>
      </c>
      <c r="G19" s="18" t="n">
        <v>8.602181209999999</v>
      </c>
      <c r="H19" s="20" t="n">
        <v>0.85458705</v>
      </c>
      <c r="I19" s="18" t="n">
        <v>0</v>
      </c>
      <c r="J19" s="20" t="n">
        <v>0</v>
      </c>
      <c r="K19" s="18" t="n">
        <v>0</v>
      </c>
      <c r="L19" s="20" t="n">
        <v>0</v>
      </c>
      <c r="M19" s="18" t="n">
        <v>0</v>
      </c>
      <c r="N19" s="20" t="n">
        <v>0</v>
      </c>
      <c r="O19" s="18" t="n">
        <v>0</v>
      </c>
      <c r="P19" s="20" t="n">
        <v>0</v>
      </c>
      <c r="Q19" s="18" t="n">
        <v>3.38231093</v>
      </c>
      <c r="R19" s="20" t="n">
        <v>0.6742666</v>
      </c>
    </row>
    <row r="20" spans="1:18">
      <c r="A20" s="15" t="s">
        <v>578</v>
      </c>
      <c r="B20" s="17" t="n">
        <v>3371</v>
      </c>
      <c r="C20" s="18">
        <f>(2607.0/B20*100)</f>
        <v/>
      </c>
      <c r="D20" s="19" t="n">
        <v>764</v>
      </c>
      <c r="E20" s="18" t="n">
        <v>80.39165776999999</v>
      </c>
      <c r="F20" s="20" t="n">
        <v>1.47503013</v>
      </c>
      <c r="G20" s="18" t="n">
        <v>14.01962899</v>
      </c>
      <c r="H20" s="20" t="n">
        <v>1.25820397</v>
      </c>
      <c r="I20" s="18" t="n">
        <v>0</v>
      </c>
      <c r="J20" s="20" t="n">
        <v>0</v>
      </c>
      <c r="K20" s="18" t="n">
        <v>0.89664499</v>
      </c>
      <c r="L20" s="20" t="n">
        <v>0.32782693</v>
      </c>
      <c r="M20" s="18" t="n">
        <v>0.20172896</v>
      </c>
      <c r="N20" s="20" t="n">
        <v>0.19488793</v>
      </c>
      <c r="O20" s="18" t="n">
        <v>0</v>
      </c>
      <c r="P20" s="20" t="n">
        <v>0</v>
      </c>
      <c r="Q20" s="18" t="n">
        <v>4.49033929</v>
      </c>
      <c r="R20" s="20" t="n">
        <v>0.82344763</v>
      </c>
    </row>
    <row r="21" spans="1:18">
      <c r="A21" s="15" t="s">
        <v>579</v>
      </c>
      <c r="B21" s="17" t="n">
        <v>5741</v>
      </c>
      <c r="C21" s="18">
        <f>(4491.0/B21*100)</f>
        <v/>
      </c>
      <c r="D21" s="19" t="n">
        <v>1250</v>
      </c>
      <c r="E21" s="18" t="n">
        <v>87.95243553</v>
      </c>
      <c r="F21" s="20" t="n">
        <v>1.00866637</v>
      </c>
      <c r="G21" s="18" t="n">
        <v>9.174649560000001</v>
      </c>
      <c r="H21" s="20" t="n">
        <v>0.8204605699999999</v>
      </c>
      <c r="I21" s="18" t="n">
        <v>0</v>
      </c>
      <c r="J21" s="20" t="n">
        <v>0</v>
      </c>
      <c r="K21" s="18" t="n">
        <v>0.07297392</v>
      </c>
      <c r="L21" s="20" t="n">
        <v>0.07321082</v>
      </c>
      <c r="M21" s="18" t="n">
        <v>0</v>
      </c>
      <c r="N21" s="20" t="n">
        <v>0</v>
      </c>
      <c r="O21" s="18" t="n">
        <v>0</v>
      </c>
      <c r="P21" s="20" t="n">
        <v>0</v>
      </c>
      <c r="Q21" s="18" t="n">
        <v>2.79994099</v>
      </c>
      <c r="R21" s="20" t="n">
        <v>0.53414136</v>
      </c>
    </row>
    <row r="22" spans="1:18">
      <c r="A22" s="15" t="s">
        <v>580</v>
      </c>
      <c r="B22" s="17" t="n">
        <v>6598</v>
      </c>
      <c r="C22" s="18">
        <f>(5155.0/B22*100)</f>
        <v/>
      </c>
      <c r="D22" s="19" t="n">
        <v>1443</v>
      </c>
      <c r="E22" s="18" t="n">
        <v>86.13913257999999</v>
      </c>
      <c r="F22" s="20" t="n">
        <v>1.08904618</v>
      </c>
      <c r="G22" s="18" t="n">
        <v>7.78977757</v>
      </c>
      <c r="H22" s="20" t="n">
        <v>0.8978836100000001</v>
      </c>
      <c r="I22" s="18" t="n">
        <v>0</v>
      </c>
      <c r="J22" s="20" t="n">
        <v>0</v>
      </c>
      <c r="K22" s="18" t="n">
        <v>0.48385839</v>
      </c>
      <c r="L22" s="20" t="n">
        <v>0.19668737</v>
      </c>
      <c r="M22" s="18" t="n">
        <v>0.05687987</v>
      </c>
      <c r="N22" s="20" t="n">
        <v>0.05685884</v>
      </c>
      <c r="O22" s="18" t="n">
        <v>0</v>
      </c>
      <c r="P22" s="20" t="n">
        <v>0</v>
      </c>
      <c r="Q22" s="18" t="n">
        <v>5.53035159</v>
      </c>
      <c r="R22" s="20" t="n">
        <v>0.67716443</v>
      </c>
    </row>
    <row r="23" spans="1:18">
      <c r="A23" s="15" t="s">
        <v>581</v>
      </c>
      <c r="B23" s="17" t="n">
        <v>11583</v>
      </c>
      <c r="C23" s="18">
        <f>(9084.0/B23*100)</f>
        <v/>
      </c>
      <c r="D23" s="19" t="n">
        <v>2499</v>
      </c>
      <c r="E23" s="18" t="n">
        <v>87.90322003999999</v>
      </c>
      <c r="F23" s="20" t="n">
        <v>0.86733254</v>
      </c>
      <c r="G23" s="18" t="n">
        <v>6.10830947</v>
      </c>
      <c r="H23" s="20" t="n">
        <v>0.60711202</v>
      </c>
      <c r="I23" s="18" t="n">
        <v>0</v>
      </c>
      <c r="J23" s="20" t="n">
        <v>0</v>
      </c>
      <c r="K23" s="18" t="n">
        <v>1.19082447</v>
      </c>
      <c r="L23" s="20" t="n">
        <v>0.4023208</v>
      </c>
      <c r="M23" s="18" t="n">
        <v>0.1241902</v>
      </c>
      <c r="N23" s="20" t="n">
        <v>0.14485383</v>
      </c>
      <c r="O23" s="18" t="n">
        <v>0</v>
      </c>
      <c r="P23" s="20" t="n">
        <v>0</v>
      </c>
      <c r="Q23" s="18" t="n">
        <v>4.67345582</v>
      </c>
      <c r="R23" s="20" t="n">
        <v>0.71195171</v>
      </c>
    </row>
    <row r="24" spans="1:18">
      <c r="A24" s="15" t="s">
        <v>582</v>
      </c>
      <c r="B24" s="17" t="n">
        <v>6647</v>
      </c>
      <c r="C24" s="18">
        <f>(5168.0/B24*100)</f>
        <v/>
      </c>
      <c r="D24" s="19" t="n">
        <v>1479</v>
      </c>
      <c r="E24" s="18" t="n">
        <v>82.17363271000001</v>
      </c>
      <c r="F24" s="20" t="n">
        <v>1.15188342</v>
      </c>
      <c r="G24" s="18" t="n">
        <v>14.92576449</v>
      </c>
      <c r="H24" s="20" t="n">
        <v>1.13670263</v>
      </c>
      <c r="I24" s="18" t="n">
        <v>0</v>
      </c>
      <c r="J24" s="20" t="n">
        <v>0</v>
      </c>
      <c r="K24" s="18" t="n">
        <v>0.13429535</v>
      </c>
      <c r="L24" s="20" t="n">
        <v>0.09345657</v>
      </c>
      <c r="M24" s="18" t="n">
        <v>0</v>
      </c>
      <c r="N24" s="20" t="n">
        <v>0</v>
      </c>
      <c r="O24" s="18" t="n">
        <v>0</v>
      </c>
      <c r="P24" s="20" t="n">
        <v>0</v>
      </c>
      <c r="Q24" s="18" t="n">
        <v>2.76630745</v>
      </c>
      <c r="R24" s="20" t="n">
        <v>0.44403161</v>
      </c>
    </row>
    <row r="25" spans="1:18">
      <c r="A25" s="15" t="s">
        <v>583</v>
      </c>
      <c r="B25" s="17" t="n">
        <v>5581</v>
      </c>
      <c r="C25" s="18">
        <f>(4343.0/B25*100)</f>
        <v/>
      </c>
      <c r="D25" s="19" t="n">
        <v>1238</v>
      </c>
      <c r="E25" s="18" t="n">
        <v>83.27747612</v>
      </c>
      <c r="F25" s="20" t="n">
        <v>1.00433055</v>
      </c>
      <c r="G25" s="18" t="n">
        <v>14.84056803</v>
      </c>
      <c r="H25" s="20" t="n">
        <v>1.0984518</v>
      </c>
      <c r="I25" s="18" t="n">
        <v>0</v>
      </c>
      <c r="J25" s="20" t="n">
        <v>0</v>
      </c>
      <c r="K25" s="18" t="n">
        <v>0.32571788</v>
      </c>
      <c r="L25" s="20" t="n">
        <v>0.21868974</v>
      </c>
      <c r="M25" s="18" t="n">
        <v>0</v>
      </c>
      <c r="N25" s="20" t="n">
        <v>0</v>
      </c>
      <c r="O25" s="18" t="n">
        <v>0</v>
      </c>
      <c r="P25" s="20" t="n">
        <v>0</v>
      </c>
      <c r="Q25" s="18" t="n">
        <v>1.55623797</v>
      </c>
      <c r="R25" s="20" t="n">
        <v>0.3591833</v>
      </c>
    </row>
    <row r="26" spans="1:18">
      <c r="A26" s="15" t="s">
        <v>584</v>
      </c>
      <c r="B26" s="17" t="n">
        <v>4869</v>
      </c>
      <c r="C26" s="18">
        <f>(3848.0/B26*100)</f>
        <v/>
      </c>
      <c r="D26" s="19" t="n">
        <v>1021</v>
      </c>
      <c r="E26" s="18" t="n">
        <v>90.83705031</v>
      </c>
      <c r="F26" s="20" t="n">
        <v>0.89902311</v>
      </c>
      <c r="G26" s="18" t="n">
        <v>8.016755270000001</v>
      </c>
      <c r="H26" s="20" t="n">
        <v>0.85320516</v>
      </c>
      <c r="I26" s="18" t="n">
        <v>0</v>
      </c>
      <c r="J26" s="20" t="n">
        <v>0</v>
      </c>
      <c r="K26" s="18" t="n">
        <v>0</v>
      </c>
      <c r="L26" s="20" t="n">
        <v>0</v>
      </c>
      <c r="M26" s="18" t="n">
        <v>0</v>
      </c>
      <c r="N26" s="20" t="n">
        <v>0</v>
      </c>
      <c r="O26" s="18" t="n">
        <v>0</v>
      </c>
      <c r="P26" s="20" t="n">
        <v>0</v>
      </c>
      <c r="Q26" s="18" t="n">
        <v>1.14619442</v>
      </c>
      <c r="R26" s="20" t="n">
        <v>0.31882281</v>
      </c>
    </row>
    <row r="27" spans="1:18">
      <c r="A27" s="15" t="s">
        <v>585</v>
      </c>
      <c r="B27" s="17" t="n">
        <v>5299</v>
      </c>
      <c r="C27" s="18">
        <f>(4159.0/B27*100)</f>
        <v/>
      </c>
      <c r="D27" s="19" t="n">
        <v>1140</v>
      </c>
      <c r="E27" s="18" t="n">
        <v>84.00974146</v>
      </c>
      <c r="F27" s="20" t="n">
        <v>1.11355196</v>
      </c>
      <c r="G27" s="18" t="n">
        <v>10.5344056</v>
      </c>
      <c r="H27" s="20" t="n">
        <v>1.0377673</v>
      </c>
      <c r="I27" s="18" t="n">
        <v>0</v>
      </c>
      <c r="J27" s="20" t="n">
        <v>0</v>
      </c>
      <c r="K27" s="18" t="n">
        <v>0.6232962</v>
      </c>
      <c r="L27" s="20" t="n">
        <v>0.23384308</v>
      </c>
      <c r="M27" s="18" t="n">
        <v>0</v>
      </c>
      <c r="N27" s="20" t="n">
        <v>0</v>
      </c>
      <c r="O27" s="18" t="n">
        <v>0</v>
      </c>
      <c r="P27" s="20" t="n">
        <v>0</v>
      </c>
      <c r="Q27" s="18" t="n">
        <v>4.83255675</v>
      </c>
      <c r="R27" s="20" t="n">
        <v>0.62038246</v>
      </c>
    </row>
    <row r="28" spans="1:18">
      <c r="A28" s="15" t="s">
        <v>586</v>
      </c>
      <c r="B28" s="17" t="n">
        <v>7568</v>
      </c>
      <c r="C28" s="18">
        <f>(6011.0/B28*100)</f>
        <v/>
      </c>
      <c r="D28" s="19" t="n">
        <v>1557</v>
      </c>
      <c r="E28" s="18" t="n">
        <v>91.41327456</v>
      </c>
      <c r="F28" s="20" t="n">
        <v>0.72716497</v>
      </c>
      <c r="G28" s="18" t="n">
        <v>6.63183605</v>
      </c>
      <c r="H28" s="20" t="n">
        <v>0.72244335</v>
      </c>
      <c r="I28" s="18" t="n">
        <v>0</v>
      </c>
      <c r="J28" s="20" t="n">
        <v>0</v>
      </c>
      <c r="K28" s="18" t="n">
        <v>0.48986172</v>
      </c>
      <c r="L28" s="20" t="n">
        <v>0.2746141</v>
      </c>
      <c r="M28" s="18" t="n">
        <v>0.14230619</v>
      </c>
      <c r="N28" s="20" t="n">
        <v>0.1107336</v>
      </c>
      <c r="O28" s="18" t="n">
        <v>0</v>
      </c>
      <c r="P28" s="20" t="n">
        <v>0</v>
      </c>
      <c r="Q28" s="18" t="n">
        <v>1.32272148</v>
      </c>
      <c r="R28" s="20" t="n">
        <v>0.33234732</v>
      </c>
    </row>
    <row r="29" spans="1:18">
      <c r="A29" s="15" t="s">
        <v>587</v>
      </c>
      <c r="B29" s="17" t="n">
        <v>5385</v>
      </c>
      <c r="C29" s="18">
        <f>(4197.0/B29*100)</f>
        <v/>
      </c>
      <c r="D29" s="19" t="n">
        <v>1188</v>
      </c>
      <c r="E29" s="18" t="n">
        <v>83.65113071</v>
      </c>
      <c r="F29" s="20" t="n">
        <v>0.99115927</v>
      </c>
      <c r="G29" s="18" t="n">
        <v>13.50385652</v>
      </c>
      <c r="H29" s="20" t="n">
        <v>0.95814679</v>
      </c>
      <c r="I29" s="18" t="n">
        <v>0</v>
      </c>
      <c r="J29" s="20" t="n">
        <v>0</v>
      </c>
      <c r="K29" s="18" t="n">
        <v>0.23861986</v>
      </c>
      <c r="L29" s="20" t="n">
        <v>0.13436089</v>
      </c>
      <c r="M29" s="18" t="n">
        <v>0</v>
      </c>
      <c r="N29" s="20" t="n">
        <v>0</v>
      </c>
      <c r="O29" s="18" t="n">
        <v>0</v>
      </c>
      <c r="P29" s="20" t="n">
        <v>0</v>
      </c>
      <c r="Q29" s="18" t="n">
        <v>2.6063929</v>
      </c>
      <c r="R29" s="20" t="n">
        <v>0.54664012</v>
      </c>
    </row>
    <row r="30" spans="1:18">
      <c r="A30" s="15" t="s">
        <v>588</v>
      </c>
      <c r="B30" s="17" t="n">
        <v>4520</v>
      </c>
      <c r="C30" s="18">
        <f>(3523.0/B30*100)</f>
        <v/>
      </c>
      <c r="D30" s="19" t="n">
        <v>997</v>
      </c>
      <c r="E30" s="18" t="n">
        <v>73.0471879</v>
      </c>
      <c r="F30" s="20" t="n">
        <v>1.47210642</v>
      </c>
      <c r="G30" s="18" t="n">
        <v>20.80542134</v>
      </c>
      <c r="H30" s="20" t="n">
        <v>1.32453395</v>
      </c>
      <c r="I30" s="18" t="n">
        <v>0</v>
      </c>
      <c r="J30" s="20" t="n">
        <v>0</v>
      </c>
      <c r="K30" s="18" t="n">
        <v>0.3705301</v>
      </c>
      <c r="L30" s="20" t="n">
        <v>0.18588576</v>
      </c>
      <c r="M30" s="18" t="n">
        <v>0.10731345</v>
      </c>
      <c r="N30" s="20" t="n">
        <v>0.10966835</v>
      </c>
      <c r="O30" s="18" t="n">
        <v>0</v>
      </c>
      <c r="P30" s="20" t="n">
        <v>0</v>
      </c>
      <c r="Q30" s="18" t="n">
        <v>5.6695472</v>
      </c>
      <c r="R30" s="20" t="n">
        <v>0.82678785</v>
      </c>
    </row>
    <row r="31" spans="1:18">
      <c r="A31" s="15" t="s">
        <v>589</v>
      </c>
      <c r="B31" s="17" t="n">
        <v>5456</v>
      </c>
      <c r="C31" s="18">
        <f>(4234.0/B31*100)</f>
        <v/>
      </c>
      <c r="D31" s="19" t="n">
        <v>1222</v>
      </c>
      <c r="E31" s="18" t="n">
        <v>83.44492034</v>
      </c>
      <c r="F31" s="20" t="n">
        <v>0.97406857</v>
      </c>
      <c r="G31" s="18" t="n">
        <v>12.02690035</v>
      </c>
      <c r="H31" s="20" t="n">
        <v>0.95247754</v>
      </c>
      <c r="I31" s="18" t="n">
        <v>0</v>
      </c>
      <c r="J31" s="20" t="n">
        <v>0</v>
      </c>
      <c r="K31" s="18" t="n">
        <v>0.40353581</v>
      </c>
      <c r="L31" s="20" t="n">
        <v>0.18361842</v>
      </c>
      <c r="M31" s="18" t="n">
        <v>0.07330932</v>
      </c>
      <c r="N31" s="20" t="n">
        <v>0.07344887</v>
      </c>
      <c r="O31" s="18" t="n">
        <v>0</v>
      </c>
      <c r="P31" s="20" t="n">
        <v>0</v>
      </c>
      <c r="Q31" s="18" t="n">
        <v>4.05133418</v>
      </c>
      <c r="R31" s="20" t="n">
        <v>0.62351622</v>
      </c>
    </row>
    <row r="32" spans="1:18">
      <c r="A32" s="15" t="s">
        <v>590</v>
      </c>
      <c r="B32" s="17" t="n">
        <v>4478</v>
      </c>
      <c r="C32" s="18">
        <f>(3488.0/B32*100)</f>
        <v/>
      </c>
      <c r="D32" s="19" t="n">
        <v>990</v>
      </c>
      <c r="E32" s="18" t="n">
        <v>87.96222005</v>
      </c>
      <c r="F32" s="20" t="n">
        <v>1.21076547</v>
      </c>
      <c r="G32" s="18" t="n">
        <v>10.57671684</v>
      </c>
      <c r="H32" s="20" t="n">
        <v>1.09502924</v>
      </c>
      <c r="I32" s="18" t="n">
        <v>0</v>
      </c>
      <c r="J32" s="20" t="n">
        <v>0</v>
      </c>
      <c r="K32" s="18" t="n">
        <v>0.08784259</v>
      </c>
      <c r="L32" s="20" t="n">
        <v>0.08814783</v>
      </c>
      <c r="M32" s="18" t="n">
        <v>0</v>
      </c>
      <c r="N32" s="20" t="n">
        <v>0</v>
      </c>
      <c r="O32" s="18" t="n">
        <v>0</v>
      </c>
      <c r="P32" s="20" t="n">
        <v>0</v>
      </c>
      <c r="Q32" s="18" t="n">
        <v>1.37322052</v>
      </c>
      <c r="R32" s="20" t="n">
        <v>0.41592065</v>
      </c>
    </row>
    <row r="33" spans="1:18">
      <c r="A33" s="15" t="s">
        <v>591</v>
      </c>
      <c r="B33" s="17" t="n">
        <v>7325</v>
      </c>
      <c r="C33" s="18">
        <f>(5815.0/B33*100)</f>
        <v/>
      </c>
      <c r="D33" s="19" t="n">
        <v>1510</v>
      </c>
      <c r="E33" s="18" t="n">
        <v>92.00261802999999</v>
      </c>
      <c r="F33" s="20" t="n">
        <v>0.83473687</v>
      </c>
      <c r="G33" s="18" t="n">
        <v>5.28378256</v>
      </c>
      <c r="H33" s="20" t="n">
        <v>0.59117864</v>
      </c>
      <c r="I33" s="18" t="n">
        <v>0</v>
      </c>
      <c r="J33" s="20" t="n">
        <v>0</v>
      </c>
      <c r="K33" s="18" t="n">
        <v>0.23130742</v>
      </c>
      <c r="L33" s="20" t="n">
        <v>0.18143096</v>
      </c>
      <c r="M33" s="18" t="n">
        <v>0.18235059</v>
      </c>
      <c r="N33" s="20" t="n">
        <v>0.11126212</v>
      </c>
      <c r="O33" s="18" t="n">
        <v>0</v>
      </c>
      <c r="P33" s="20" t="n">
        <v>0</v>
      </c>
      <c r="Q33" s="18" t="n">
        <v>2.29994139</v>
      </c>
      <c r="R33" s="20" t="n">
        <v>0.45642657</v>
      </c>
    </row>
    <row r="34" spans="1:18">
      <c r="A34" s="15" t="s">
        <v>592</v>
      </c>
      <c r="B34" s="17" t="n">
        <v>6350</v>
      </c>
      <c r="C34" s="18">
        <f>(4956.0/B34*100)</f>
        <v/>
      </c>
      <c r="D34" s="19" t="n">
        <v>1394</v>
      </c>
      <c r="E34" s="18" t="n">
        <v>90.22399256999999</v>
      </c>
      <c r="F34" s="20" t="n">
        <v>0.80083905</v>
      </c>
      <c r="G34" s="18" t="n">
        <v>6.39700953</v>
      </c>
      <c r="H34" s="20" t="n">
        <v>0.6973725200000001</v>
      </c>
      <c r="I34" s="18" t="n">
        <v>0</v>
      </c>
      <c r="J34" s="20" t="n">
        <v>0</v>
      </c>
      <c r="K34" s="18" t="n">
        <v>0.37771951</v>
      </c>
      <c r="L34" s="20" t="n">
        <v>0.16269825</v>
      </c>
      <c r="M34" s="18" t="n">
        <v>0.66123308</v>
      </c>
      <c r="N34" s="20" t="n">
        <v>0.31580509</v>
      </c>
      <c r="O34" s="18" t="n">
        <v>0</v>
      </c>
      <c r="P34" s="20" t="n">
        <v>0</v>
      </c>
      <c r="Q34" s="18" t="n">
        <v>2.34004531</v>
      </c>
      <c r="R34" s="20" t="n">
        <v>0.44381776</v>
      </c>
    </row>
    <row r="35" spans="1:18">
      <c r="A35" s="15" t="s">
        <v>593</v>
      </c>
      <c r="B35" s="17" t="n">
        <v>6406</v>
      </c>
      <c r="C35" s="18">
        <f>(5031.0/B35*100)</f>
        <v/>
      </c>
      <c r="D35" s="19" t="n">
        <v>1375</v>
      </c>
      <c r="E35" s="18" t="n">
        <v>82.34485251</v>
      </c>
      <c r="F35" s="20" t="n">
        <v>1.51540618</v>
      </c>
      <c r="G35" s="18" t="n">
        <v>15.33929306</v>
      </c>
      <c r="H35" s="20" t="n">
        <v>1.32971208</v>
      </c>
      <c r="I35" s="18" t="n">
        <v>0</v>
      </c>
      <c r="J35" s="20" t="n">
        <v>0</v>
      </c>
      <c r="K35" s="18" t="n">
        <v>0.48333901</v>
      </c>
      <c r="L35" s="20" t="n">
        <v>0.36691101</v>
      </c>
      <c r="M35" s="18" t="n">
        <v>0.2354918</v>
      </c>
      <c r="N35" s="20" t="n">
        <v>0.16025527</v>
      </c>
      <c r="O35" s="18" t="n">
        <v>0</v>
      </c>
      <c r="P35" s="20" t="n">
        <v>0</v>
      </c>
      <c r="Q35" s="18" t="n">
        <v>1.59702362</v>
      </c>
      <c r="R35" s="20" t="n">
        <v>0.38536053</v>
      </c>
    </row>
    <row r="36" spans="1:18">
      <c r="A36" s="15" t="s">
        <v>594</v>
      </c>
      <c r="B36" s="17" t="n">
        <v>6736</v>
      </c>
      <c r="C36" s="18">
        <f>(5302.0/B36*100)</f>
        <v/>
      </c>
      <c r="D36" s="19" t="n">
        <v>1434</v>
      </c>
      <c r="E36" s="18" t="n">
        <v>84.04171707</v>
      </c>
      <c r="F36" s="20" t="n">
        <v>1.08967577</v>
      </c>
      <c r="G36" s="18" t="n">
        <v>12.36192864</v>
      </c>
      <c r="H36" s="20" t="n">
        <v>0.95632269</v>
      </c>
      <c r="I36" s="18" t="n">
        <v>0</v>
      </c>
      <c r="J36" s="20" t="n">
        <v>0</v>
      </c>
      <c r="K36" s="18" t="n">
        <v>0.11818283</v>
      </c>
      <c r="L36" s="20" t="n">
        <v>0.10698096</v>
      </c>
      <c r="M36" s="18" t="n">
        <v>0.14995837</v>
      </c>
      <c r="N36" s="20" t="n">
        <v>0.11298869</v>
      </c>
      <c r="O36" s="18" t="n">
        <v>0</v>
      </c>
      <c r="P36" s="20" t="n">
        <v>0</v>
      </c>
      <c r="Q36" s="18" t="n">
        <v>3.32821309</v>
      </c>
      <c r="R36" s="20" t="n">
        <v>0.6026099</v>
      </c>
    </row>
    <row r="37" spans="1:18">
      <c r="A37" s="15" t="s">
        <v>595</v>
      </c>
      <c r="B37" s="17" t="n">
        <v>5458</v>
      </c>
      <c r="C37" s="18">
        <f>(4299.0/B37*100)</f>
        <v/>
      </c>
      <c r="D37" s="19" t="n">
        <v>1159</v>
      </c>
      <c r="E37" s="18" t="n">
        <v>78.99060428999999</v>
      </c>
      <c r="F37" s="20" t="n">
        <v>1.1562561</v>
      </c>
      <c r="G37" s="18" t="n">
        <v>13.60199582</v>
      </c>
      <c r="H37" s="20" t="n">
        <v>1.13307341</v>
      </c>
      <c r="I37" s="18" t="n">
        <v>0</v>
      </c>
      <c r="J37" s="20" t="n">
        <v>0</v>
      </c>
      <c r="K37" s="18" t="n">
        <v>0.85910946</v>
      </c>
      <c r="L37" s="20" t="n">
        <v>0.20922495</v>
      </c>
      <c r="M37" s="18" t="n">
        <v>0</v>
      </c>
      <c r="N37" s="20" t="n">
        <v>0</v>
      </c>
      <c r="O37" s="18" t="n">
        <v>0</v>
      </c>
      <c r="P37" s="20" t="n">
        <v>0</v>
      </c>
      <c r="Q37" s="18" t="n">
        <v>6.54829043</v>
      </c>
      <c r="R37" s="20" t="n">
        <v>0.736206</v>
      </c>
    </row>
    <row r="38" spans="1:18">
      <c r="A38" s="15" t="s">
        <v>596</v>
      </c>
      <c r="B38" s="17" t="n">
        <v>5860</v>
      </c>
      <c r="C38" s="18">
        <f>(4631.0/B38*100)</f>
        <v/>
      </c>
      <c r="D38" s="19" t="n">
        <v>1229</v>
      </c>
      <c r="E38" s="18" t="n">
        <v>80.56116707</v>
      </c>
      <c r="F38" s="20" t="n">
        <v>1.27868584</v>
      </c>
      <c r="G38" s="18" t="n">
        <v>13.87692444</v>
      </c>
      <c r="H38" s="20" t="n">
        <v>1.11222913</v>
      </c>
      <c r="I38" s="18" t="n">
        <v>0</v>
      </c>
      <c r="J38" s="20" t="n">
        <v>0</v>
      </c>
      <c r="K38" s="18" t="n">
        <v>0.12339021</v>
      </c>
      <c r="L38" s="20" t="n">
        <v>0.12291032</v>
      </c>
      <c r="M38" s="18" t="n">
        <v>1.6814812</v>
      </c>
      <c r="N38" s="20" t="n">
        <v>0.35096793</v>
      </c>
      <c r="O38" s="18" t="n">
        <v>0</v>
      </c>
      <c r="P38" s="20" t="n">
        <v>0</v>
      </c>
      <c r="Q38" s="18" t="n">
        <v>3.75703708</v>
      </c>
      <c r="R38" s="20" t="n">
        <v>0.63897529</v>
      </c>
    </row>
    <row r="39" spans="1:18">
      <c r="A39" s="15" t="s">
        <v>597</v>
      </c>
      <c r="B39" s="17" t="n">
        <v>5895</v>
      </c>
      <c r="C39" s="18">
        <f>(4567.0/B39*100)</f>
        <v/>
      </c>
      <c r="D39" s="19" t="n">
        <v>1328</v>
      </c>
      <c r="E39" s="18" t="n">
        <v>94.26227048</v>
      </c>
      <c r="F39" s="20" t="n">
        <v>0.60551169</v>
      </c>
      <c r="G39" s="18" t="n">
        <v>4.0995142</v>
      </c>
      <c r="H39" s="20" t="n">
        <v>0.52660675</v>
      </c>
      <c r="I39" s="18" t="n">
        <v>0</v>
      </c>
      <c r="J39" s="20" t="n">
        <v>0</v>
      </c>
      <c r="K39" s="18" t="n">
        <v>0.09377089</v>
      </c>
      <c r="L39" s="20" t="n">
        <v>0.08864072000000001</v>
      </c>
      <c r="M39" s="18" t="n">
        <v>0.15104976</v>
      </c>
      <c r="N39" s="20" t="n">
        <v>0.08823557999999999</v>
      </c>
      <c r="O39" s="18" t="n">
        <v>0</v>
      </c>
      <c r="P39" s="20" t="n">
        <v>0</v>
      </c>
      <c r="Q39" s="18" t="n">
        <v>1.39339467</v>
      </c>
      <c r="R39" s="20" t="n">
        <v>0.39155671</v>
      </c>
    </row>
    <row r="40" spans="1:18">
      <c r="A40" s="15" t="s">
        <v>598</v>
      </c>
      <c r="B40" s="17" t="n">
        <v>14157</v>
      </c>
      <c r="C40" s="18">
        <f>(11046.0/B40*100)</f>
        <v/>
      </c>
      <c r="D40" s="19" t="n">
        <v>3111</v>
      </c>
      <c r="E40" s="18" t="n">
        <v>78.20027046</v>
      </c>
      <c r="F40" s="20" t="n">
        <v>1.20264981</v>
      </c>
      <c r="G40" s="18" t="n">
        <v>17.30226964</v>
      </c>
      <c r="H40" s="20" t="n">
        <v>1.0160012</v>
      </c>
      <c r="I40" s="18" t="n">
        <v>0</v>
      </c>
      <c r="J40" s="20" t="n">
        <v>0</v>
      </c>
      <c r="K40" s="18" t="n">
        <v>0.25792335</v>
      </c>
      <c r="L40" s="20" t="n">
        <v>0.15198079</v>
      </c>
      <c r="M40" s="18" t="n">
        <v>0</v>
      </c>
      <c r="N40" s="20" t="n">
        <v>0</v>
      </c>
      <c r="O40" s="18" t="n">
        <v>0</v>
      </c>
      <c r="P40" s="20" t="n">
        <v>0</v>
      </c>
      <c r="Q40" s="18" t="n">
        <v>4.23953656</v>
      </c>
      <c r="R40" s="20" t="n">
        <v>0.69178087</v>
      </c>
    </row>
    <row r="41" spans="1:18">
      <c r="A41" s="15" t="s">
        <v>599</v>
      </c>
      <c r="B41" s="17" t="n">
        <v>5712</v>
      </c>
      <c r="C41" s="18">
        <f>(4497.0/B41*100)</f>
        <v/>
      </c>
      <c r="D41" s="19" t="n">
        <v>1215</v>
      </c>
      <c r="E41" s="18" t="n">
        <v>77.19733488999999</v>
      </c>
      <c r="F41" s="20" t="n">
        <v>1.54608887</v>
      </c>
      <c r="G41" s="18" t="n">
        <v>21.37557849</v>
      </c>
      <c r="H41" s="20" t="n">
        <v>1.54393591</v>
      </c>
      <c r="I41" s="18" t="n">
        <v>0</v>
      </c>
      <c r="J41" s="20" t="n">
        <v>0</v>
      </c>
      <c r="K41" s="18" t="n">
        <v>0.09752647</v>
      </c>
      <c r="L41" s="20" t="n">
        <v>0.06859147</v>
      </c>
      <c r="M41" s="18" t="n">
        <v>0</v>
      </c>
      <c r="N41" s="20" t="n">
        <v>0</v>
      </c>
      <c r="O41" s="18" t="n">
        <v>0</v>
      </c>
      <c r="P41" s="20" t="n">
        <v>0</v>
      </c>
      <c r="Q41" s="18" t="n">
        <v>1.32956015</v>
      </c>
      <c r="R41" s="20" t="n">
        <v>0.40343113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(19229.0/B46*100)</f>
        <v/>
      </c>
      <c r="D46" s="19" t="n">
        <v>3912</v>
      </c>
      <c r="E46" s="18" t="n">
        <v>86.2647015</v>
      </c>
      <c r="F46" s="20" t="n">
        <v>0.72531833</v>
      </c>
      <c r="G46" s="18" t="n">
        <v>5.10748224</v>
      </c>
      <c r="H46" s="20" t="n">
        <v>0.49845142</v>
      </c>
      <c r="I46" s="18" t="n">
        <v>0</v>
      </c>
      <c r="J46" s="20" t="n">
        <v>0</v>
      </c>
      <c r="K46" s="18" t="n">
        <v>1.36394885</v>
      </c>
      <c r="L46" s="20" t="n">
        <v>0.27824245</v>
      </c>
      <c r="M46" s="18" t="n">
        <v>0.46859291</v>
      </c>
      <c r="N46" s="20" t="n">
        <v>0.1682541</v>
      </c>
      <c r="O46" s="18" t="n">
        <v>0</v>
      </c>
      <c r="P46" s="20" t="n">
        <v>0</v>
      </c>
      <c r="Q46" s="18" t="n">
        <v>6.79527451</v>
      </c>
      <c r="R46" s="20" t="n">
        <v>0.51476395</v>
      </c>
    </row>
    <row r="47" spans="1:18">
      <c r="A47" s="15" t="s">
        <v>606</v>
      </c>
      <c r="B47" s="17" t="n">
        <v>5928</v>
      </c>
      <c r="C47" s="18">
        <f>(4623.0/B47*100)</f>
        <v/>
      </c>
      <c r="D47" s="19" t="n">
        <v>1305</v>
      </c>
      <c r="E47" s="18" t="n">
        <v>89.41943535999999</v>
      </c>
      <c r="F47" s="20" t="n">
        <v>0.91106583</v>
      </c>
      <c r="G47" s="18" t="n">
        <v>6.69556211</v>
      </c>
      <c r="H47" s="20" t="n">
        <v>0.84140332</v>
      </c>
      <c r="I47" s="18" t="n">
        <v>0</v>
      </c>
      <c r="J47" s="20" t="n">
        <v>0</v>
      </c>
      <c r="K47" s="18" t="n">
        <v>0.27958489</v>
      </c>
      <c r="L47" s="20" t="n">
        <v>0.13744672</v>
      </c>
      <c r="M47" s="18" t="n">
        <v>0.07874267</v>
      </c>
      <c r="N47" s="20" t="n">
        <v>0.07450461999999999</v>
      </c>
      <c r="O47" s="18" t="n">
        <v>0</v>
      </c>
      <c r="P47" s="20" t="n">
        <v>0</v>
      </c>
      <c r="Q47" s="18" t="n">
        <v>3.52667498</v>
      </c>
      <c r="R47" s="20" t="n">
        <v>0.55349859</v>
      </c>
    </row>
    <row r="48" spans="1:18">
      <c r="A48" s="15" t="s">
        <v>607</v>
      </c>
      <c r="B48" s="17" t="n">
        <v>9841</v>
      </c>
      <c r="C48" s="18">
        <f>(7677.0/B48*100)</f>
        <v/>
      </c>
      <c r="D48" s="19" t="n">
        <v>2164</v>
      </c>
      <c r="E48" s="18" t="n">
        <v>85.23966305</v>
      </c>
      <c r="F48" s="20" t="n">
        <v>1.02901077</v>
      </c>
      <c r="G48" s="18" t="n">
        <v>13.40656018</v>
      </c>
      <c r="H48" s="20" t="n">
        <v>1.00007319</v>
      </c>
      <c r="I48" s="18" t="n">
        <v>0</v>
      </c>
      <c r="J48" s="20" t="n">
        <v>0</v>
      </c>
      <c r="K48" s="18" t="n">
        <v>0.3552253</v>
      </c>
      <c r="L48" s="20" t="n">
        <v>0.16659306</v>
      </c>
      <c r="M48" s="18" t="n">
        <v>0.01431572</v>
      </c>
      <c r="N48" s="20" t="n">
        <v>0.01098864</v>
      </c>
      <c r="O48" s="18" t="n">
        <v>0</v>
      </c>
      <c r="P48" s="20" t="n">
        <v>0</v>
      </c>
      <c r="Q48" s="18" t="n">
        <v>0.98423574</v>
      </c>
      <c r="R48" s="20" t="n">
        <v>0.22948903</v>
      </c>
    </row>
    <row r="49" spans="1:18">
      <c r="A49" s="15" t="s">
        <v>608</v>
      </c>
      <c r="B49" s="17" t="n">
        <v>11795</v>
      </c>
      <c r="C49" s="18">
        <f>(9325.0/B49*100)</f>
        <v/>
      </c>
      <c r="D49" s="19" t="n">
        <v>2470</v>
      </c>
      <c r="E49" s="18" t="n">
        <v>91.44079529</v>
      </c>
      <c r="F49" s="20" t="n">
        <v>0.56492133</v>
      </c>
      <c r="G49" s="18" t="n">
        <v>5.91276848</v>
      </c>
      <c r="H49" s="20" t="n">
        <v>0.4620604</v>
      </c>
      <c r="I49" s="18" t="n">
        <v>0</v>
      </c>
      <c r="J49" s="20" t="n">
        <v>0</v>
      </c>
      <c r="K49" s="18" t="n">
        <v>0.616518</v>
      </c>
      <c r="L49" s="20" t="n">
        <v>0.17765726</v>
      </c>
      <c r="M49" s="18" t="n">
        <v>0.15357331</v>
      </c>
      <c r="N49" s="20" t="n">
        <v>0.12282504</v>
      </c>
      <c r="O49" s="18" t="n">
        <v>0</v>
      </c>
      <c r="P49" s="20" t="n">
        <v>0</v>
      </c>
      <c r="Q49" s="18" t="n">
        <v>1.87634493</v>
      </c>
      <c r="R49" s="20" t="n">
        <v>0.27166354</v>
      </c>
    </row>
    <row r="50" spans="1:18">
      <c r="A50" s="15" t="s">
        <v>609</v>
      </c>
      <c r="B50" s="17" t="n">
        <v>6866</v>
      </c>
      <c r="C50" s="18">
        <f>(5613.0/B50*100)</f>
        <v/>
      </c>
      <c r="D50" s="19" t="n">
        <v>1253</v>
      </c>
      <c r="E50" s="18" t="n">
        <v>92.90862595</v>
      </c>
      <c r="F50" s="20" t="n">
        <v>0.75551144</v>
      </c>
      <c r="G50" s="18" t="n">
        <v>4.0041016</v>
      </c>
      <c r="H50" s="20" t="n">
        <v>0.50663728</v>
      </c>
      <c r="I50" s="18" t="n">
        <v>0</v>
      </c>
      <c r="J50" s="20" t="n">
        <v>0</v>
      </c>
      <c r="K50" s="18" t="n">
        <v>0.11609232</v>
      </c>
      <c r="L50" s="20" t="n">
        <v>0.08687511000000001</v>
      </c>
      <c r="M50" s="18" t="n">
        <v>0.23053389</v>
      </c>
      <c r="N50" s="20" t="n">
        <v>0.1784426</v>
      </c>
      <c r="O50" s="18" t="n">
        <v>0</v>
      </c>
      <c r="P50" s="20" t="n">
        <v>0</v>
      </c>
      <c r="Q50" s="18" t="n">
        <v>2.74064624</v>
      </c>
      <c r="R50" s="20" t="n">
        <v>0.49932094</v>
      </c>
    </row>
    <row r="51" spans="1:18">
      <c r="A51" s="15" t="s">
        <v>610</v>
      </c>
      <c r="B51" s="17" t="n">
        <v>5809</v>
      </c>
      <c r="C51" s="18">
        <f>(4579.0/B51*100)</f>
        <v/>
      </c>
      <c r="D51" s="19" t="n">
        <v>1230</v>
      </c>
      <c r="E51" s="18" t="n">
        <v>89.15638073</v>
      </c>
      <c r="F51" s="20" t="n">
        <v>1.06218862</v>
      </c>
      <c r="G51" s="18" t="n">
        <v>6.39513861</v>
      </c>
      <c r="H51" s="20" t="n">
        <v>0.85765749</v>
      </c>
      <c r="I51" s="18" t="n">
        <v>0</v>
      </c>
      <c r="J51" s="20" t="n">
        <v>0</v>
      </c>
      <c r="K51" s="18" t="n">
        <v>0.05668319</v>
      </c>
      <c r="L51" s="20" t="n">
        <v>0.05504436</v>
      </c>
      <c r="M51" s="18" t="n">
        <v>0</v>
      </c>
      <c r="N51" s="20" t="n">
        <v>0</v>
      </c>
      <c r="O51" s="18" t="n">
        <v>0</v>
      </c>
      <c r="P51" s="20" t="n">
        <v>0</v>
      </c>
      <c r="Q51" s="18" t="n">
        <v>4.39179748</v>
      </c>
      <c r="R51" s="20" t="n">
        <v>0.60337282</v>
      </c>
    </row>
    <row r="52" spans="1:18">
      <c r="A52" s="15" t="s">
        <v>611</v>
      </c>
      <c r="B52" s="17" t="n">
        <v>5571</v>
      </c>
      <c r="C52" s="18">
        <f>(4394.0/B52*100)</f>
        <v/>
      </c>
      <c r="D52" s="19" t="n">
        <v>1177</v>
      </c>
      <c r="E52" s="18" t="n">
        <v>89.22561458</v>
      </c>
      <c r="F52" s="20" t="n">
        <v>0.92060267</v>
      </c>
      <c r="G52" s="18" t="n">
        <v>5.19908219</v>
      </c>
      <c r="H52" s="20" t="n">
        <v>0.68152021</v>
      </c>
      <c r="I52" s="18" t="n">
        <v>0</v>
      </c>
      <c r="J52" s="20" t="n">
        <v>0</v>
      </c>
      <c r="K52" s="18" t="n">
        <v>0.43443117</v>
      </c>
      <c r="L52" s="20" t="n">
        <v>0.18576148</v>
      </c>
      <c r="M52" s="18" t="n">
        <v>0</v>
      </c>
      <c r="N52" s="20" t="n">
        <v>0</v>
      </c>
      <c r="O52" s="18" t="n">
        <v>0</v>
      </c>
      <c r="P52" s="20" t="n">
        <v>0</v>
      </c>
      <c r="Q52" s="18" t="n">
        <v>5.14087207</v>
      </c>
      <c r="R52" s="20" t="n">
        <v>0.6928341099999999</v>
      </c>
    </row>
    <row r="53" spans="1:18">
      <c r="A53" s="15" t="s">
        <v>612</v>
      </c>
      <c r="B53" s="17" t="n">
        <v>4740</v>
      </c>
      <c r="C53" s="18">
        <f>(3671.0/B53*100)</f>
        <v/>
      </c>
      <c r="D53" s="19" t="n">
        <v>1069</v>
      </c>
      <c r="E53" s="18" t="n">
        <v>75.12110486</v>
      </c>
      <c r="F53" s="20" t="n">
        <v>1.66481913</v>
      </c>
      <c r="G53" s="18" t="n">
        <v>1.73599834</v>
      </c>
      <c r="H53" s="20" t="n">
        <v>0.40997633</v>
      </c>
      <c r="I53" s="18" t="n">
        <v>0</v>
      </c>
      <c r="J53" s="20" t="n">
        <v>0</v>
      </c>
      <c r="K53" s="18" t="n">
        <v>16.91745715</v>
      </c>
      <c r="L53" s="20" t="n">
        <v>1.26602364</v>
      </c>
      <c r="M53" s="18" t="n">
        <v>0.59673188</v>
      </c>
      <c r="N53" s="20" t="n">
        <v>0.55219795</v>
      </c>
      <c r="O53" s="18" t="n">
        <v>0</v>
      </c>
      <c r="P53" s="20" t="n">
        <v>0</v>
      </c>
      <c r="Q53" s="18" t="n">
        <v>5.62870778</v>
      </c>
      <c r="R53" s="20" t="n">
        <v>0.91804983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(4174.0/B55*100)</f>
        <v/>
      </c>
      <c r="D55" s="19" t="n">
        <v>1185</v>
      </c>
      <c r="E55" s="18" t="n">
        <v>91.36229667000001</v>
      </c>
      <c r="F55" s="20" t="n">
        <v>0.82288019</v>
      </c>
      <c r="G55" s="18" t="n">
        <v>7.61893324</v>
      </c>
      <c r="H55" s="20" t="n">
        <v>0.78235468</v>
      </c>
      <c r="I55" s="18" t="n">
        <v>0</v>
      </c>
      <c r="J55" s="20" t="n">
        <v>0</v>
      </c>
      <c r="K55" s="18" t="n">
        <v>0.25965326</v>
      </c>
      <c r="L55" s="20" t="n">
        <v>0.16707734</v>
      </c>
      <c r="M55" s="18" t="n">
        <v>0.10492727</v>
      </c>
      <c r="N55" s="20" t="n">
        <v>0.11552642</v>
      </c>
      <c r="O55" s="18" t="n">
        <v>0</v>
      </c>
      <c r="P55" s="20" t="n">
        <v>0</v>
      </c>
      <c r="Q55" s="18" t="n">
        <v>0.6541895599999999</v>
      </c>
      <c r="R55" s="20" t="n">
        <v>0.20083916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(5084.0/B61*100)</f>
        <v/>
      </c>
      <c r="D61" s="19" t="n">
        <v>1441</v>
      </c>
      <c r="E61" s="18" t="n">
        <v>83.4118596</v>
      </c>
      <c r="F61" s="20" t="n">
        <v>1.01124096</v>
      </c>
      <c r="G61" s="18" t="n">
        <v>13.84086319</v>
      </c>
      <c r="H61" s="20" t="n">
        <v>0.98882296</v>
      </c>
      <c r="I61" s="18" t="n">
        <v>0</v>
      </c>
      <c r="J61" s="20" t="n">
        <v>0</v>
      </c>
      <c r="K61" s="18" t="n">
        <v>0.22923804</v>
      </c>
      <c r="L61" s="20" t="n">
        <v>0.12411008</v>
      </c>
      <c r="M61" s="18" t="n">
        <v>0</v>
      </c>
      <c r="N61" s="20" t="n">
        <v>0</v>
      </c>
      <c r="O61" s="18" t="n">
        <v>0</v>
      </c>
      <c r="P61" s="20" t="n">
        <v>0</v>
      </c>
      <c r="Q61" s="18" t="n">
        <v>2.51803917</v>
      </c>
      <c r="R61" s="20" t="n">
        <v>0.4988459</v>
      </c>
    </row>
    <row r="62" spans="1:18">
      <c r="A62" s="15" t="s">
        <v>622</v>
      </c>
      <c r="B62" s="17" t="n">
        <v>4476</v>
      </c>
      <c r="C62" s="18">
        <f>(3520.0/B62*100)</f>
        <v/>
      </c>
      <c r="D62" s="19" t="n">
        <v>956</v>
      </c>
      <c r="E62" s="18" t="n">
        <v>89.43534386</v>
      </c>
      <c r="F62" s="20" t="n">
        <v>1.00709243</v>
      </c>
      <c r="G62" s="18" t="n">
        <v>10.03798153</v>
      </c>
      <c r="H62" s="20" t="n">
        <v>1.00690485</v>
      </c>
      <c r="I62" s="18" t="n">
        <v>0</v>
      </c>
      <c r="J62" s="20" t="n">
        <v>0</v>
      </c>
      <c r="K62" s="18" t="n">
        <v>0.10751881</v>
      </c>
      <c r="L62" s="20" t="n">
        <v>0.10778594</v>
      </c>
      <c r="M62" s="18" t="n">
        <v>0.20897612</v>
      </c>
      <c r="N62" s="20" t="n">
        <v>0.14676252</v>
      </c>
      <c r="O62" s="18" t="n">
        <v>0</v>
      </c>
      <c r="P62" s="20" t="n">
        <v>0</v>
      </c>
      <c r="Q62" s="18" t="n">
        <v>0.21017969</v>
      </c>
      <c r="R62" s="20" t="n">
        <v>0.14718006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(4440.0/B67*100)</f>
        <v/>
      </c>
      <c r="D67" s="19" t="n">
        <v>1225</v>
      </c>
      <c r="E67" s="18" t="n">
        <v>86.11201527999999</v>
      </c>
      <c r="F67" s="20" t="n">
        <v>1.01657361</v>
      </c>
      <c r="G67" s="18" t="n">
        <v>2.22084417</v>
      </c>
      <c r="H67" s="20" t="n">
        <v>0.43573132</v>
      </c>
      <c r="I67" s="18" t="n">
        <v>0</v>
      </c>
      <c r="J67" s="20" t="n">
        <v>0</v>
      </c>
      <c r="K67" s="18" t="n">
        <v>0.69384501</v>
      </c>
      <c r="L67" s="20" t="n">
        <v>0.20240978</v>
      </c>
      <c r="M67" s="18" t="n">
        <v>0.37378093</v>
      </c>
      <c r="N67" s="20" t="n">
        <v>0.16742683</v>
      </c>
      <c r="O67" s="18" t="n">
        <v>0</v>
      </c>
      <c r="P67" s="20" t="n">
        <v>0</v>
      </c>
      <c r="Q67" s="18" t="n">
        <v>10.5995146</v>
      </c>
      <c r="R67" s="20" t="n">
        <v>0.8533959800000001</v>
      </c>
    </row>
    <row r="68" spans="1:18">
      <c r="A68" s="15" t="s">
        <v>628</v>
      </c>
      <c r="B68" s="17" t="n">
        <v>6971</v>
      </c>
      <c r="C68" s="18">
        <f>(5621.0/B68*100)</f>
        <v/>
      </c>
      <c r="D68" s="19" t="n">
        <v>1350</v>
      </c>
      <c r="E68" s="18" t="n">
        <v>95.25777048</v>
      </c>
      <c r="F68" s="20" t="n">
        <v>0.5519214099999999</v>
      </c>
      <c r="G68" s="18" t="n">
        <v>1.57502093</v>
      </c>
      <c r="H68" s="20" t="n">
        <v>0.38985162</v>
      </c>
      <c r="I68" s="18" t="n">
        <v>0</v>
      </c>
      <c r="J68" s="20" t="n">
        <v>0</v>
      </c>
      <c r="K68" s="18" t="n">
        <v>0.14340964</v>
      </c>
      <c r="L68" s="20" t="n">
        <v>0.10172257</v>
      </c>
      <c r="M68" s="18" t="n">
        <v>0</v>
      </c>
      <c r="N68" s="20" t="n">
        <v>0</v>
      </c>
      <c r="O68" s="18" t="n">
        <v>0</v>
      </c>
      <c r="P68" s="20" t="n">
        <v>0</v>
      </c>
      <c r="Q68" s="18" t="n">
        <v>3.02379895</v>
      </c>
      <c r="R68" s="20" t="n">
        <v>0.4139103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(9411.0/B70*100)</f>
        <v/>
      </c>
      <c r="D70" s="19" t="n">
        <v>2672</v>
      </c>
      <c r="E70" s="18" t="n">
        <v>85.42999005999999</v>
      </c>
      <c r="F70" s="20" t="n">
        <v>0.6912929</v>
      </c>
      <c r="G70" s="18" t="n">
        <v>6.56805994</v>
      </c>
      <c r="H70" s="20" t="n">
        <v>0.44802546</v>
      </c>
      <c r="I70" s="18" t="n">
        <v>0</v>
      </c>
      <c r="J70" s="20" t="n">
        <v>0</v>
      </c>
      <c r="K70" s="18" t="n">
        <v>1.7304063</v>
      </c>
      <c r="L70" s="20" t="n">
        <v>0.26088431</v>
      </c>
      <c r="M70" s="18" t="n">
        <v>0.03594094</v>
      </c>
      <c r="N70" s="20" t="n">
        <v>0.0357945</v>
      </c>
      <c r="O70" s="18" t="n">
        <v>0</v>
      </c>
      <c r="P70" s="20" t="n">
        <v>0</v>
      </c>
      <c r="Q70" s="18" t="n">
        <v>6.23560276</v>
      </c>
      <c r="R70" s="20" t="n">
        <v>0.5271017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(4773.0/B72*100)</f>
        <v/>
      </c>
      <c r="D72" s="19" t="n">
        <v>1263</v>
      </c>
      <c r="E72" s="18" t="n">
        <v>87.37629066</v>
      </c>
      <c r="F72" s="20" t="n">
        <v>1.02457583</v>
      </c>
      <c r="G72" s="18" t="n">
        <v>9.973843990000001</v>
      </c>
      <c r="H72" s="20" t="n">
        <v>0.97672201</v>
      </c>
      <c r="I72" s="18" t="n">
        <v>0</v>
      </c>
      <c r="J72" s="20" t="n">
        <v>0</v>
      </c>
      <c r="K72" s="18" t="n">
        <v>0.17594497</v>
      </c>
      <c r="L72" s="20" t="n">
        <v>0.08732996</v>
      </c>
      <c r="M72" s="18" t="n">
        <v>0.16293556</v>
      </c>
      <c r="N72" s="20" t="n">
        <v>0.11617092</v>
      </c>
      <c r="O72" s="18" t="n">
        <v>0</v>
      </c>
      <c r="P72" s="20" t="n">
        <v>0</v>
      </c>
      <c r="Q72" s="18" t="n">
        <v>2.31098482</v>
      </c>
      <c r="R72" s="20" t="n">
        <v>0.3681316</v>
      </c>
    </row>
    <row r="73" spans="1:18">
      <c r="A73" s="15" t="s">
        <v>633</v>
      </c>
      <c r="B73" s="17" t="n">
        <v>6115</v>
      </c>
      <c r="C73" s="18">
        <f>(4717.0/B73*100)</f>
        <v/>
      </c>
      <c r="D73" s="19" t="n">
        <v>1398</v>
      </c>
      <c r="E73" s="18" t="n">
        <v>73.12656017</v>
      </c>
      <c r="F73" s="20" t="n">
        <v>1.27805131</v>
      </c>
      <c r="G73" s="18" t="n">
        <v>25.75655586</v>
      </c>
      <c r="H73" s="20" t="n">
        <v>1.28176846</v>
      </c>
      <c r="I73" s="18" t="n">
        <v>0</v>
      </c>
      <c r="J73" s="20" t="n">
        <v>0</v>
      </c>
      <c r="K73" s="18" t="n">
        <v>0.09467351</v>
      </c>
      <c r="L73" s="20" t="n">
        <v>0.06896076</v>
      </c>
      <c r="M73" s="18" t="n">
        <v>0</v>
      </c>
      <c r="N73" s="20" t="n">
        <v>0</v>
      </c>
      <c r="O73" s="18" t="n">
        <v>0</v>
      </c>
      <c r="P73" s="20" t="n">
        <v>0</v>
      </c>
      <c r="Q73" s="18" t="n">
        <v>1.02221046</v>
      </c>
      <c r="R73" s="20" t="n">
        <v>0.25807803</v>
      </c>
    </row>
    <row r="74" spans="1:18">
      <c r="A74" s="15" t="s">
        <v>634</v>
      </c>
      <c r="B74" s="17" t="n">
        <v>7708</v>
      </c>
      <c r="C74" s="18">
        <f>(5979.0/B74*100)</f>
        <v/>
      </c>
      <c r="D74" s="19" t="n">
        <v>1729</v>
      </c>
      <c r="E74" s="18" t="n">
        <v>90.24155038000001</v>
      </c>
      <c r="F74" s="20" t="n">
        <v>0.78955355</v>
      </c>
      <c r="G74" s="18" t="n">
        <v>8.84105516</v>
      </c>
      <c r="H74" s="20" t="n">
        <v>0.7916341099999999</v>
      </c>
      <c r="I74" s="18" t="n">
        <v>0</v>
      </c>
      <c r="J74" s="20" t="n">
        <v>0</v>
      </c>
      <c r="K74" s="18" t="n">
        <v>0.10468015</v>
      </c>
      <c r="L74" s="20" t="n">
        <v>0.08215281000000001</v>
      </c>
      <c r="M74" s="18" t="n">
        <v>0</v>
      </c>
      <c r="N74" s="20" t="n">
        <v>0</v>
      </c>
      <c r="O74" s="18" t="n">
        <v>0</v>
      </c>
      <c r="P74" s="20" t="n">
        <v>0</v>
      </c>
      <c r="Q74" s="18" t="n">
        <v>0.8127143100000001</v>
      </c>
      <c r="R74" s="20" t="n">
        <v>0.21791882</v>
      </c>
    </row>
    <row r="75" spans="1:18">
      <c r="A75" s="15" t="s">
        <v>635</v>
      </c>
      <c r="B75" s="17" t="n">
        <v>8249</v>
      </c>
      <c r="C75" s="18">
        <f>(6524.0/B75*100)</f>
        <v/>
      </c>
      <c r="D75" s="19" t="n">
        <v>1725</v>
      </c>
      <c r="E75" s="18" t="n">
        <v>97.89050462</v>
      </c>
      <c r="F75" s="20" t="n">
        <v>0.36453038</v>
      </c>
      <c r="G75" s="18" t="n">
        <v>0.97220882</v>
      </c>
      <c r="H75" s="20" t="n">
        <v>0.26310025</v>
      </c>
      <c r="I75" s="18" t="n">
        <v>0</v>
      </c>
      <c r="J75" s="20" t="n">
        <v>0</v>
      </c>
      <c r="K75" s="18" t="n">
        <v>0</v>
      </c>
      <c r="L75" s="20" t="n">
        <v>0</v>
      </c>
      <c r="M75" s="18" t="n">
        <v>0.16533623</v>
      </c>
      <c r="N75" s="20" t="n">
        <v>0.11400667</v>
      </c>
      <c r="O75" s="18" t="n">
        <v>0</v>
      </c>
      <c r="P75" s="20" t="n">
        <v>0</v>
      </c>
      <c r="Q75" s="18" t="n">
        <v>0.97195034</v>
      </c>
      <c r="R75" s="20" t="n">
        <v>0.27147042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(4314.0/B77*100)</f>
        <v/>
      </c>
      <c r="D77" s="19" t="n">
        <v>1061</v>
      </c>
      <c r="E77" s="18" t="n">
        <v>86.69825071</v>
      </c>
      <c r="F77" s="20" t="n">
        <v>1.20534003</v>
      </c>
      <c r="G77" s="18" t="n">
        <v>1.47266269</v>
      </c>
      <c r="H77" s="20" t="n">
        <v>0.35334837</v>
      </c>
      <c r="I77" s="18" t="n">
        <v>0</v>
      </c>
      <c r="J77" s="20" t="n">
        <v>0</v>
      </c>
      <c r="K77" s="18" t="n">
        <v>4.048929</v>
      </c>
      <c r="L77" s="20" t="n">
        <v>0.76036848</v>
      </c>
      <c r="M77" s="18" t="n">
        <v>0.37099448</v>
      </c>
      <c r="N77" s="20" t="n">
        <v>0.18793491</v>
      </c>
      <c r="O77" s="18" t="n">
        <v>0</v>
      </c>
      <c r="P77" s="20" t="n">
        <v>0</v>
      </c>
      <c r="Q77" s="18" t="n">
        <v>7.40916311</v>
      </c>
      <c r="R77" s="20" t="n">
        <v>0.91079438</v>
      </c>
    </row>
    <row r="78" spans="1:18">
      <c r="A78" s="15" t="s">
        <v>638</v>
      </c>
      <c r="B78" s="17" t="n">
        <v>14167</v>
      </c>
      <c r="C78" s="18">
        <f>(11041.0/B78*100)</f>
        <v/>
      </c>
      <c r="D78" s="19" t="n">
        <v>3126</v>
      </c>
      <c r="E78" s="18" t="n">
        <v>90.45931285</v>
      </c>
      <c r="F78" s="20" t="n">
        <v>0.63203619</v>
      </c>
      <c r="G78" s="18" t="n">
        <v>5.7773171</v>
      </c>
      <c r="H78" s="20" t="n">
        <v>0.51073733</v>
      </c>
      <c r="I78" s="18" t="n">
        <v>0</v>
      </c>
      <c r="J78" s="20" t="n">
        <v>0</v>
      </c>
      <c r="K78" s="18" t="n">
        <v>0.78991083</v>
      </c>
      <c r="L78" s="20" t="n">
        <v>0.20252188</v>
      </c>
      <c r="M78" s="18" t="n">
        <v>0.05117407</v>
      </c>
      <c r="N78" s="20" t="n">
        <v>0.03681451</v>
      </c>
      <c r="O78" s="18" t="n">
        <v>0</v>
      </c>
      <c r="P78" s="20" t="n">
        <v>0</v>
      </c>
      <c r="Q78" s="18" t="n">
        <v>2.92228515</v>
      </c>
      <c r="R78" s="20" t="n">
        <v>0.4382</v>
      </c>
    </row>
    <row r="79" spans="1:18">
      <c r="A79" s="15" t="s">
        <v>639</v>
      </c>
      <c r="B79" s="17" t="n">
        <v>6062</v>
      </c>
      <c r="C79" s="18">
        <f>(4879.0/B79*100)</f>
        <v/>
      </c>
      <c r="D79" s="19" t="n">
        <v>1183</v>
      </c>
      <c r="E79" s="18" t="n">
        <v>84.69483781</v>
      </c>
      <c r="F79" s="20" t="n">
        <v>1.27888383</v>
      </c>
      <c r="G79" s="18" t="n">
        <v>6.07964398</v>
      </c>
      <c r="H79" s="20" t="n">
        <v>0.73072613</v>
      </c>
      <c r="I79" s="18" t="n">
        <v>0</v>
      </c>
      <c r="J79" s="20" t="n">
        <v>0</v>
      </c>
      <c r="K79" s="18" t="n">
        <v>1.16572533</v>
      </c>
      <c r="L79" s="20" t="n">
        <v>0.24357347</v>
      </c>
      <c r="M79" s="18" t="n">
        <v>0</v>
      </c>
      <c r="N79" s="20" t="n">
        <v>0</v>
      </c>
      <c r="O79" s="18" t="n">
        <v>0</v>
      </c>
      <c r="P79" s="20" t="n">
        <v>0</v>
      </c>
      <c r="Q79" s="18" t="n">
        <v>8.05979288</v>
      </c>
      <c r="R79" s="20" t="n">
        <v>1.01234191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(25338.0/B82*100)</f>
        <v/>
      </c>
      <c r="D82" s="19" t="n">
        <v>6992</v>
      </c>
      <c r="E82" s="18" t="n">
        <v>81.81967727999999</v>
      </c>
      <c r="F82" s="20" t="n">
        <v>0.65540832</v>
      </c>
      <c r="G82" s="18" t="n">
        <v>14.31873572</v>
      </c>
      <c r="H82" s="20" t="n">
        <v>0.49274771</v>
      </c>
      <c r="I82" s="18" t="n">
        <v>0</v>
      </c>
      <c r="J82" s="20" t="n">
        <v>0</v>
      </c>
      <c r="K82" s="18" t="n">
        <v>0.21457591</v>
      </c>
      <c r="L82" s="20" t="n">
        <v>0.09571002000000001</v>
      </c>
      <c r="M82" s="18" t="n">
        <v>0.11877942</v>
      </c>
      <c r="N82" s="20" t="n">
        <v>0.08990418</v>
      </c>
      <c r="O82" s="18" t="n">
        <v>0</v>
      </c>
      <c r="P82" s="20" t="n">
        <v>0</v>
      </c>
      <c r="Q82" s="18" t="n">
        <v>3.52823168</v>
      </c>
      <c r="R82" s="20" t="n">
        <v>0.39664646</v>
      </c>
    </row>
    <row r="83" spans="1:18">
      <c r="A83" s="15" t="s">
        <v>643</v>
      </c>
      <c r="B83" s="17" t="n">
        <v>1652</v>
      </c>
      <c r="C83" s="18">
        <f>(1315.0/B83*100)</f>
        <v/>
      </c>
      <c r="D83" s="19" t="n">
        <v>337</v>
      </c>
      <c r="E83" s="18" t="n">
        <v>72.21264495</v>
      </c>
      <c r="F83" s="20" t="n">
        <v>2.58861118</v>
      </c>
      <c r="G83" s="18" t="n">
        <v>26.41696986</v>
      </c>
      <c r="H83" s="20" t="n">
        <v>2.68541871</v>
      </c>
      <c r="I83" s="18" t="n">
        <v>0</v>
      </c>
      <c r="J83" s="20" t="n">
        <v>0</v>
      </c>
      <c r="K83" s="18" t="n">
        <v>0</v>
      </c>
      <c r="L83" s="20" t="n">
        <v>0</v>
      </c>
      <c r="M83" s="18" t="n">
        <v>0</v>
      </c>
      <c r="N83" s="20" t="n">
        <v>0</v>
      </c>
      <c r="O83" s="18" t="n">
        <v>0</v>
      </c>
      <c r="P83" s="20" t="n">
        <v>0</v>
      </c>
      <c r="Q83" s="18" t="n">
        <v>1.37038519</v>
      </c>
      <c r="R83" s="20" t="n">
        <v>0.56815379</v>
      </c>
    </row>
    <row r="84" spans="1:18">
      <c r="A84" s="23" t="s">
        <v>644</v>
      </c>
      <c r="B84" s="24" t="n">
        <v>1887</v>
      </c>
      <c r="C84" s="25">
        <f>(1460.0/B84*100)</f>
        <v/>
      </c>
      <c r="D84" s="19" t="n">
        <v>427</v>
      </c>
      <c r="E84" s="18" t="n">
        <v>75.23619576</v>
      </c>
      <c r="F84" s="20" t="n">
        <v>1.79699645</v>
      </c>
      <c r="G84" s="18" t="n">
        <v>23.73272255</v>
      </c>
      <c r="H84" s="20" t="n">
        <v>1.65419824</v>
      </c>
      <c r="I84" s="18" t="n">
        <v>0</v>
      </c>
      <c r="J84" s="20" t="n">
        <v>0</v>
      </c>
      <c r="K84" s="18" t="n">
        <v>0</v>
      </c>
      <c r="L84" s="20" t="n">
        <v>0</v>
      </c>
      <c r="M84" s="18" t="n">
        <v>0</v>
      </c>
      <c r="N84" s="20" t="n">
        <v>0</v>
      </c>
      <c r="O84" s="18" t="n">
        <v>0</v>
      </c>
      <c r="P84" s="20" t="n">
        <v>0</v>
      </c>
      <c r="Q84" s="18" t="n">
        <v>1.03108168</v>
      </c>
      <c r="R84" s="20" t="n">
        <v>0.50960672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(11343.0/B7*100)</f>
        <v/>
      </c>
      <c r="D7" s="19" t="n">
        <v>3187</v>
      </c>
      <c r="E7" s="18" t="n">
        <v>47.74907069</v>
      </c>
      <c r="F7" s="20" t="n">
        <v>1.12684105</v>
      </c>
      <c r="G7" s="18" t="n">
        <v>47.82825466</v>
      </c>
      <c r="H7" s="20" t="n">
        <v>1.16062858</v>
      </c>
      <c r="I7" s="18" t="n">
        <v>0</v>
      </c>
      <c r="J7" s="20" t="n">
        <v>0</v>
      </c>
      <c r="K7" s="18" t="n">
        <v>0.33103484</v>
      </c>
      <c r="L7" s="20" t="n">
        <v>0.13918031</v>
      </c>
      <c r="M7" s="18" t="n">
        <v>0</v>
      </c>
      <c r="N7" s="20" t="n">
        <v>0</v>
      </c>
      <c r="O7" s="18" t="n">
        <v>0</v>
      </c>
      <c r="P7" s="20" t="n">
        <v>0</v>
      </c>
      <c r="Q7" s="18" t="n">
        <v>4.09163981</v>
      </c>
      <c r="R7" s="20" t="n">
        <v>0.36453055</v>
      </c>
    </row>
    <row r="8" spans="1:18">
      <c r="A8" s="15" t="s">
        <v>566</v>
      </c>
      <c r="B8" s="17" t="n">
        <v>7007</v>
      </c>
      <c r="C8" s="18">
        <f>(5501.0/B8*100)</f>
        <v/>
      </c>
      <c r="D8" s="19" t="n">
        <v>1506</v>
      </c>
      <c r="E8" s="18" t="n">
        <v>41.08807025</v>
      </c>
      <c r="F8" s="20" t="n">
        <v>1.59306499</v>
      </c>
      <c r="G8" s="18" t="n">
        <v>56.07092384</v>
      </c>
      <c r="H8" s="20" t="n">
        <v>1.70482873</v>
      </c>
      <c r="I8" s="18" t="n">
        <v>0</v>
      </c>
      <c r="J8" s="20" t="n">
        <v>0</v>
      </c>
      <c r="K8" s="18" t="n">
        <v>0</v>
      </c>
      <c r="L8" s="20" t="n">
        <v>0</v>
      </c>
      <c r="M8" s="18" t="n">
        <v>0</v>
      </c>
      <c r="N8" s="20" t="n">
        <v>0</v>
      </c>
      <c r="O8" s="18" t="n">
        <v>0</v>
      </c>
      <c r="P8" s="20" t="n">
        <v>0</v>
      </c>
      <c r="Q8" s="18" t="n">
        <v>2.84100591</v>
      </c>
      <c r="R8" s="20" t="n">
        <v>0.49100678</v>
      </c>
    </row>
    <row r="9" spans="1:18">
      <c r="A9" s="15" t="s">
        <v>567</v>
      </c>
      <c r="B9" s="17" t="n">
        <v>9651</v>
      </c>
      <c r="C9" s="18">
        <f>(7652.0/B9*100)</f>
        <v/>
      </c>
      <c r="D9" s="19" t="n">
        <v>1999</v>
      </c>
      <c r="E9" s="18" t="n">
        <v>43.47925934</v>
      </c>
      <c r="F9" s="20" t="n">
        <v>1.30390126</v>
      </c>
      <c r="G9" s="18" t="n">
        <v>54.30498268</v>
      </c>
      <c r="H9" s="20" t="n">
        <v>1.32484696</v>
      </c>
      <c r="I9" s="18" t="n">
        <v>0</v>
      </c>
      <c r="J9" s="20" t="n">
        <v>0</v>
      </c>
      <c r="K9" s="18" t="n">
        <v>0.3668946</v>
      </c>
      <c r="L9" s="20" t="n">
        <v>0.13309279</v>
      </c>
      <c r="M9" s="18" t="n">
        <v>0</v>
      </c>
      <c r="N9" s="20" t="n">
        <v>0</v>
      </c>
      <c r="O9" s="18" t="n">
        <v>0</v>
      </c>
      <c r="P9" s="20" t="n">
        <v>0</v>
      </c>
      <c r="Q9" s="18" t="n">
        <v>1.84886338</v>
      </c>
      <c r="R9" s="20" t="n">
        <v>0.33594484</v>
      </c>
    </row>
    <row r="10" spans="1:18">
      <c r="A10" s="15" t="s">
        <v>568</v>
      </c>
      <c r="B10" s="17" t="n">
        <v>20058</v>
      </c>
      <c r="C10" s="18">
        <f>(15548.0/B10*100)</f>
        <v/>
      </c>
      <c r="D10" s="19" t="n">
        <v>4510</v>
      </c>
      <c r="E10" s="18" t="n">
        <v>44.65848271</v>
      </c>
      <c r="F10" s="20" t="n">
        <v>1.09131866</v>
      </c>
      <c r="G10" s="18" t="n">
        <v>51.79325435</v>
      </c>
      <c r="H10" s="20" t="n">
        <v>1.09315569</v>
      </c>
      <c r="I10" s="18" t="n">
        <v>0</v>
      </c>
      <c r="J10" s="20" t="n">
        <v>0</v>
      </c>
      <c r="K10" s="18" t="n">
        <v>0.2380969</v>
      </c>
      <c r="L10" s="20" t="n">
        <v>0.08768026</v>
      </c>
      <c r="M10" s="18" t="n">
        <v>0</v>
      </c>
      <c r="N10" s="20" t="n">
        <v>0</v>
      </c>
      <c r="O10" s="18" t="n">
        <v>0</v>
      </c>
      <c r="P10" s="20" t="n">
        <v>0</v>
      </c>
      <c r="Q10" s="18" t="n">
        <v>3.31016605</v>
      </c>
      <c r="R10" s="20" t="n">
        <v>0.42059318</v>
      </c>
    </row>
    <row r="11" spans="1:18">
      <c r="A11" s="15" t="s">
        <v>569</v>
      </c>
      <c r="B11" s="17" t="n">
        <v>7053</v>
      </c>
      <c r="C11" s="18">
        <f>(5494.0/B11*100)</f>
        <v/>
      </c>
      <c r="D11" s="19" t="n">
        <v>1559</v>
      </c>
      <c r="E11" s="18" t="n">
        <v>60.32778685</v>
      </c>
      <c r="F11" s="20" t="n">
        <v>1.79305575</v>
      </c>
      <c r="G11" s="18" t="n">
        <v>34.86021016</v>
      </c>
      <c r="H11" s="20" t="n">
        <v>1.70168365</v>
      </c>
      <c r="I11" s="18" t="n">
        <v>0</v>
      </c>
      <c r="J11" s="20" t="n">
        <v>0</v>
      </c>
      <c r="K11" s="18" t="n">
        <v>1.06757024</v>
      </c>
      <c r="L11" s="20" t="n">
        <v>0.28988199</v>
      </c>
      <c r="M11" s="18" t="n">
        <v>0</v>
      </c>
      <c r="N11" s="20" t="n">
        <v>0</v>
      </c>
      <c r="O11" s="18" t="n">
        <v>0</v>
      </c>
      <c r="P11" s="20" t="n">
        <v>0</v>
      </c>
      <c r="Q11" s="18" t="n">
        <v>3.74443275</v>
      </c>
      <c r="R11" s="20" t="n">
        <v>0.54187668</v>
      </c>
    </row>
    <row r="12" spans="1:18">
      <c r="A12" s="15" t="s">
        <v>570</v>
      </c>
      <c r="B12" s="17" t="n">
        <v>6894</v>
      </c>
      <c r="C12" s="18">
        <f>(5412.0/B12*100)</f>
        <v/>
      </c>
      <c r="D12" s="19" t="n">
        <v>1482</v>
      </c>
      <c r="E12" s="18" t="n">
        <v>45.81508157</v>
      </c>
      <c r="F12" s="20" t="n">
        <v>1.50917934</v>
      </c>
      <c r="G12" s="18" t="n">
        <v>52.32200759</v>
      </c>
      <c r="H12" s="20" t="n">
        <v>1.47436222</v>
      </c>
      <c r="I12" s="18" t="n">
        <v>0</v>
      </c>
      <c r="J12" s="20" t="n">
        <v>0</v>
      </c>
      <c r="K12" s="18" t="n">
        <v>0.15043366</v>
      </c>
      <c r="L12" s="20" t="n">
        <v>0.08846445</v>
      </c>
      <c r="M12" s="18" t="n">
        <v>0</v>
      </c>
      <c r="N12" s="20" t="n">
        <v>0</v>
      </c>
      <c r="O12" s="18" t="n">
        <v>0</v>
      </c>
      <c r="P12" s="20" t="n">
        <v>0</v>
      </c>
      <c r="Q12" s="18" t="n">
        <v>1.71247718</v>
      </c>
      <c r="R12" s="20" t="n">
        <v>0.36684871</v>
      </c>
    </row>
    <row r="13" spans="1:18">
      <c r="A13" s="15" t="s">
        <v>571</v>
      </c>
      <c r="B13" s="17" t="n">
        <v>7161</v>
      </c>
      <c r="C13" s="18">
        <f>(5657.0/B13*100)</f>
        <v/>
      </c>
      <c r="D13" s="19" t="n">
        <v>1504</v>
      </c>
      <c r="E13" s="18" t="n">
        <v>51.69769165</v>
      </c>
      <c r="F13" s="20" t="n">
        <v>1.52042273</v>
      </c>
      <c r="G13" s="18" t="n">
        <v>46.57734857</v>
      </c>
      <c r="H13" s="20" t="n">
        <v>1.5459858</v>
      </c>
      <c r="I13" s="18" t="n">
        <v>0</v>
      </c>
      <c r="J13" s="20" t="n">
        <v>0</v>
      </c>
      <c r="K13" s="18" t="n">
        <v>0.22137264</v>
      </c>
      <c r="L13" s="20" t="n">
        <v>0.12845957</v>
      </c>
      <c r="M13" s="18" t="n">
        <v>0</v>
      </c>
      <c r="N13" s="20" t="n">
        <v>0</v>
      </c>
      <c r="O13" s="18" t="n">
        <v>0</v>
      </c>
      <c r="P13" s="20" t="n">
        <v>0</v>
      </c>
      <c r="Q13" s="18" t="n">
        <v>1.50358715</v>
      </c>
      <c r="R13" s="20" t="n">
        <v>0.40893202</v>
      </c>
    </row>
    <row r="14" spans="1:18">
      <c r="A14" s="15" t="s">
        <v>572</v>
      </c>
      <c r="B14" s="17" t="n">
        <v>5587</v>
      </c>
      <c r="C14" s="18">
        <f>(4341.0/B14*100)</f>
        <v/>
      </c>
      <c r="D14" s="19" t="n">
        <v>1246</v>
      </c>
      <c r="E14" s="18" t="n">
        <v>37.24537613</v>
      </c>
      <c r="F14" s="20" t="n">
        <v>1.48415246</v>
      </c>
      <c r="G14" s="18" t="n">
        <v>61.20564474</v>
      </c>
      <c r="H14" s="20" t="n">
        <v>1.4465709</v>
      </c>
      <c r="I14" s="18" t="n">
        <v>0</v>
      </c>
      <c r="J14" s="20" t="n">
        <v>0</v>
      </c>
      <c r="K14" s="18" t="n">
        <v>0.75171426</v>
      </c>
      <c r="L14" s="20" t="n">
        <v>0.29386594</v>
      </c>
      <c r="M14" s="18" t="n">
        <v>0</v>
      </c>
      <c r="N14" s="20" t="n">
        <v>0</v>
      </c>
      <c r="O14" s="18" t="n">
        <v>0</v>
      </c>
      <c r="P14" s="20" t="n">
        <v>0</v>
      </c>
      <c r="Q14" s="18" t="n">
        <v>0.79726487</v>
      </c>
      <c r="R14" s="20" t="n">
        <v>0.23547696</v>
      </c>
    </row>
    <row r="15" spans="1:18">
      <c r="A15" s="15" t="s">
        <v>573</v>
      </c>
      <c r="B15" s="17" t="n">
        <v>5882</v>
      </c>
      <c r="C15" s="18">
        <f>(4580.0/B15*100)</f>
        <v/>
      </c>
      <c r="D15" s="19" t="n">
        <v>1302</v>
      </c>
      <c r="E15" s="18" t="n">
        <v>35.55474377</v>
      </c>
      <c r="F15" s="20" t="n">
        <v>1.43089989</v>
      </c>
      <c r="G15" s="18" t="n">
        <v>63.57523205</v>
      </c>
      <c r="H15" s="20" t="n">
        <v>1.40100017</v>
      </c>
      <c r="I15" s="18" t="n">
        <v>0</v>
      </c>
      <c r="J15" s="20" t="n">
        <v>0</v>
      </c>
      <c r="K15" s="18" t="n">
        <v>0.07948069000000001</v>
      </c>
      <c r="L15" s="20" t="n">
        <v>0.07974131</v>
      </c>
      <c r="M15" s="18" t="n">
        <v>0</v>
      </c>
      <c r="N15" s="20" t="n">
        <v>0</v>
      </c>
      <c r="O15" s="18" t="n">
        <v>0</v>
      </c>
      <c r="P15" s="20" t="n">
        <v>0</v>
      </c>
      <c r="Q15" s="18" t="n">
        <v>0.79054349</v>
      </c>
      <c r="R15" s="20" t="n">
        <v>0.25531588</v>
      </c>
    </row>
    <row r="16" spans="1:18">
      <c r="A16" s="15" t="s">
        <v>574</v>
      </c>
      <c r="B16" s="17" t="n">
        <v>6108</v>
      </c>
      <c r="C16" s="18">
        <f>(4755.0/B16*100)</f>
        <v/>
      </c>
      <c r="D16" s="19" t="n">
        <v>1353</v>
      </c>
      <c r="E16" s="18" t="n">
        <v>47.74603837</v>
      </c>
      <c r="F16" s="20" t="n">
        <v>1.30888554</v>
      </c>
      <c r="G16" s="18" t="n">
        <v>49.07892872</v>
      </c>
      <c r="H16" s="20" t="n">
        <v>1.3223455</v>
      </c>
      <c r="I16" s="18" t="n">
        <v>0</v>
      </c>
      <c r="J16" s="20" t="n">
        <v>0</v>
      </c>
      <c r="K16" s="18" t="n">
        <v>0.90288784</v>
      </c>
      <c r="L16" s="20" t="n">
        <v>0.25185691</v>
      </c>
      <c r="M16" s="18" t="n">
        <v>0</v>
      </c>
      <c r="N16" s="20" t="n">
        <v>0</v>
      </c>
      <c r="O16" s="18" t="n">
        <v>0</v>
      </c>
      <c r="P16" s="20" t="n">
        <v>0</v>
      </c>
      <c r="Q16" s="18" t="n">
        <v>2.27214508</v>
      </c>
      <c r="R16" s="20" t="n">
        <v>0.42569337</v>
      </c>
    </row>
    <row r="17" spans="1:18">
      <c r="A17" s="15" t="s">
        <v>575</v>
      </c>
      <c r="B17" s="17" t="n">
        <v>6504</v>
      </c>
      <c r="C17" s="18">
        <f>(5091.0/B17*100)</f>
        <v/>
      </c>
      <c r="D17" s="19" t="n">
        <v>1413</v>
      </c>
      <c r="E17" s="18" t="n">
        <v>36.48995056</v>
      </c>
      <c r="F17" s="20" t="n">
        <v>1.50123755</v>
      </c>
      <c r="G17" s="18" t="n">
        <v>60.68060513</v>
      </c>
      <c r="H17" s="20" t="n">
        <v>1.61359973</v>
      </c>
      <c r="I17" s="18" t="n">
        <v>0</v>
      </c>
      <c r="J17" s="20" t="n">
        <v>0</v>
      </c>
      <c r="K17" s="18" t="n">
        <v>0.20924985</v>
      </c>
      <c r="L17" s="20" t="n">
        <v>0.15754609</v>
      </c>
      <c r="M17" s="18" t="n">
        <v>0</v>
      </c>
      <c r="N17" s="20" t="n">
        <v>0</v>
      </c>
      <c r="O17" s="18" t="n">
        <v>0</v>
      </c>
      <c r="P17" s="20" t="n">
        <v>0</v>
      </c>
      <c r="Q17" s="18" t="n">
        <v>2.62019446</v>
      </c>
      <c r="R17" s="20" t="n">
        <v>0.46887727</v>
      </c>
    </row>
    <row r="18" spans="1:18">
      <c r="A18" s="15" t="s">
        <v>576</v>
      </c>
      <c r="B18" s="17" t="n">
        <v>5532</v>
      </c>
      <c r="C18" s="18">
        <f>(4321.0/B18*100)</f>
        <v/>
      </c>
      <c r="D18" s="19" t="n">
        <v>1211</v>
      </c>
      <c r="E18" s="18" t="n">
        <v>63.39720278</v>
      </c>
      <c r="F18" s="20" t="n">
        <v>1.58112102</v>
      </c>
      <c r="G18" s="18" t="n">
        <v>34.63033317</v>
      </c>
      <c r="H18" s="20" t="n">
        <v>1.5924134</v>
      </c>
      <c r="I18" s="18" t="n">
        <v>0</v>
      </c>
      <c r="J18" s="20" t="n">
        <v>0</v>
      </c>
      <c r="K18" s="18" t="n">
        <v>0.32577448</v>
      </c>
      <c r="L18" s="20" t="n">
        <v>0.16285693</v>
      </c>
      <c r="M18" s="18" t="n">
        <v>0</v>
      </c>
      <c r="N18" s="20" t="n">
        <v>0</v>
      </c>
      <c r="O18" s="18" t="n">
        <v>0</v>
      </c>
      <c r="P18" s="20" t="n">
        <v>0</v>
      </c>
      <c r="Q18" s="18" t="n">
        <v>1.64668958</v>
      </c>
      <c r="R18" s="20" t="n">
        <v>0.36930558</v>
      </c>
    </row>
    <row r="19" spans="1:18">
      <c r="A19" s="15" t="s">
        <v>577</v>
      </c>
      <c r="B19" s="17" t="n">
        <v>5658</v>
      </c>
      <c r="C19" s="18">
        <f>(4395.0/B19*100)</f>
        <v/>
      </c>
      <c r="D19" s="19" t="n">
        <v>1263</v>
      </c>
      <c r="E19" s="18" t="n">
        <v>50.09274131</v>
      </c>
      <c r="F19" s="20" t="n">
        <v>1.63136901</v>
      </c>
      <c r="G19" s="18" t="n">
        <v>46.74565154</v>
      </c>
      <c r="H19" s="20" t="n">
        <v>1.54149488</v>
      </c>
      <c r="I19" s="18" t="n">
        <v>0</v>
      </c>
      <c r="J19" s="20" t="n">
        <v>0</v>
      </c>
      <c r="K19" s="18" t="n">
        <v>0.10550495</v>
      </c>
      <c r="L19" s="20" t="n">
        <v>0.10508299</v>
      </c>
      <c r="M19" s="18" t="n">
        <v>0</v>
      </c>
      <c r="N19" s="20" t="n">
        <v>0</v>
      </c>
      <c r="O19" s="18" t="n">
        <v>0</v>
      </c>
      <c r="P19" s="20" t="n">
        <v>0</v>
      </c>
      <c r="Q19" s="18" t="n">
        <v>3.05610219</v>
      </c>
      <c r="R19" s="20" t="n">
        <v>0.50604469</v>
      </c>
    </row>
    <row r="20" spans="1:18">
      <c r="A20" s="15" t="s">
        <v>578</v>
      </c>
      <c r="B20" s="17" t="n">
        <v>3371</v>
      </c>
      <c r="C20" s="18">
        <f>(2607.0/B20*100)</f>
        <v/>
      </c>
      <c r="D20" s="19" t="n">
        <v>764</v>
      </c>
      <c r="E20" s="18" t="n">
        <v>49.4134976</v>
      </c>
      <c r="F20" s="20" t="n">
        <v>1.99827946</v>
      </c>
      <c r="G20" s="18" t="n">
        <v>47.76100704</v>
      </c>
      <c r="H20" s="20" t="n">
        <v>1.99618536</v>
      </c>
      <c r="I20" s="18" t="n">
        <v>0</v>
      </c>
      <c r="J20" s="20" t="n">
        <v>0</v>
      </c>
      <c r="K20" s="18" t="n">
        <v>1.02252337</v>
      </c>
      <c r="L20" s="20" t="n">
        <v>0.34891695</v>
      </c>
      <c r="M20" s="18" t="n">
        <v>0</v>
      </c>
      <c r="N20" s="20" t="n">
        <v>0</v>
      </c>
      <c r="O20" s="18" t="n">
        <v>0</v>
      </c>
      <c r="P20" s="20" t="n">
        <v>0</v>
      </c>
      <c r="Q20" s="18" t="n">
        <v>1.80297199</v>
      </c>
      <c r="R20" s="20" t="n">
        <v>0.52018009</v>
      </c>
    </row>
    <row r="21" spans="1:18">
      <c r="A21" s="15" t="s">
        <v>579</v>
      </c>
      <c r="B21" s="17" t="n">
        <v>5741</v>
      </c>
      <c r="C21" s="18">
        <f>(4490.0/B21*100)</f>
        <v/>
      </c>
      <c r="D21" s="19" t="n">
        <v>1251</v>
      </c>
      <c r="E21" s="18" t="n">
        <v>46.20499729</v>
      </c>
      <c r="F21" s="20" t="n">
        <v>1.76651089</v>
      </c>
      <c r="G21" s="18" t="n">
        <v>52.62982241</v>
      </c>
      <c r="H21" s="20" t="n">
        <v>1.75303735</v>
      </c>
      <c r="I21" s="18" t="n">
        <v>0</v>
      </c>
      <c r="J21" s="20" t="n">
        <v>0</v>
      </c>
      <c r="K21" s="18" t="n">
        <v>0.07287974999999999</v>
      </c>
      <c r="L21" s="20" t="n">
        <v>0.07311748999999999</v>
      </c>
      <c r="M21" s="18" t="n">
        <v>0</v>
      </c>
      <c r="N21" s="20" t="n">
        <v>0</v>
      </c>
      <c r="O21" s="18" t="n">
        <v>0</v>
      </c>
      <c r="P21" s="20" t="n">
        <v>0</v>
      </c>
      <c r="Q21" s="18" t="n">
        <v>1.09230055</v>
      </c>
      <c r="R21" s="20" t="n">
        <v>0.32430735</v>
      </c>
    </row>
    <row r="22" spans="1:18">
      <c r="A22" s="15" t="s">
        <v>580</v>
      </c>
      <c r="B22" s="17" t="n">
        <v>6598</v>
      </c>
      <c r="C22" s="18">
        <f>(5156.0/B22*100)</f>
        <v/>
      </c>
      <c r="D22" s="19" t="n">
        <v>1442</v>
      </c>
      <c r="E22" s="18" t="n">
        <v>48.43845135</v>
      </c>
      <c r="F22" s="20" t="n">
        <v>1.68051283</v>
      </c>
      <c r="G22" s="18" t="n">
        <v>47.73637718</v>
      </c>
      <c r="H22" s="20" t="n">
        <v>1.63838724</v>
      </c>
      <c r="I22" s="18" t="n">
        <v>0</v>
      </c>
      <c r="J22" s="20" t="n">
        <v>0</v>
      </c>
      <c r="K22" s="18" t="n">
        <v>0.7331261</v>
      </c>
      <c r="L22" s="20" t="n">
        <v>0.23003645</v>
      </c>
      <c r="M22" s="18" t="n">
        <v>0</v>
      </c>
      <c r="N22" s="20" t="n">
        <v>0</v>
      </c>
      <c r="O22" s="18" t="n">
        <v>0</v>
      </c>
      <c r="P22" s="20" t="n">
        <v>0</v>
      </c>
      <c r="Q22" s="18" t="n">
        <v>3.09204538</v>
      </c>
      <c r="R22" s="20" t="n">
        <v>0.49840065</v>
      </c>
    </row>
    <row r="23" spans="1:18">
      <c r="A23" s="15" t="s">
        <v>581</v>
      </c>
      <c r="B23" s="17" t="n">
        <v>11583</v>
      </c>
      <c r="C23" s="18">
        <f>(9083.0/B23*100)</f>
        <v/>
      </c>
      <c r="D23" s="19" t="n">
        <v>2500</v>
      </c>
      <c r="E23" s="18" t="n">
        <v>55.17483166</v>
      </c>
      <c r="F23" s="20" t="n">
        <v>1.18205567</v>
      </c>
      <c r="G23" s="18" t="n">
        <v>38.5277414</v>
      </c>
      <c r="H23" s="20" t="n">
        <v>1.366649</v>
      </c>
      <c r="I23" s="18" t="n">
        <v>0</v>
      </c>
      <c r="J23" s="20" t="n">
        <v>0</v>
      </c>
      <c r="K23" s="18" t="n">
        <v>1.26892296</v>
      </c>
      <c r="L23" s="20" t="n">
        <v>0.42251879</v>
      </c>
      <c r="M23" s="18" t="n">
        <v>0</v>
      </c>
      <c r="N23" s="20" t="n">
        <v>0</v>
      </c>
      <c r="O23" s="18" t="n">
        <v>0</v>
      </c>
      <c r="P23" s="20" t="n">
        <v>0</v>
      </c>
      <c r="Q23" s="18" t="n">
        <v>5.02850398</v>
      </c>
      <c r="R23" s="20" t="n">
        <v>0.58146242</v>
      </c>
    </row>
    <row r="24" spans="1:18">
      <c r="A24" s="15" t="s">
        <v>582</v>
      </c>
      <c r="B24" s="17" t="n">
        <v>6647</v>
      </c>
      <c r="C24" s="18">
        <f>(5170.0/B24*100)</f>
        <v/>
      </c>
      <c r="D24" s="19" t="n">
        <v>1477</v>
      </c>
      <c r="E24" s="18" t="n">
        <v>36.27158608</v>
      </c>
      <c r="F24" s="20" t="n">
        <v>1.61922632</v>
      </c>
      <c r="G24" s="18" t="n">
        <v>62.18965164</v>
      </c>
      <c r="H24" s="20" t="n">
        <v>1.52825882</v>
      </c>
      <c r="I24" s="18" t="n">
        <v>0</v>
      </c>
      <c r="J24" s="20" t="n">
        <v>0</v>
      </c>
      <c r="K24" s="18" t="n">
        <v>0.13447057</v>
      </c>
      <c r="L24" s="20" t="n">
        <v>0.09357279</v>
      </c>
      <c r="M24" s="18" t="n">
        <v>0</v>
      </c>
      <c r="N24" s="20" t="n">
        <v>0</v>
      </c>
      <c r="O24" s="18" t="n">
        <v>0</v>
      </c>
      <c r="P24" s="20" t="n">
        <v>0</v>
      </c>
      <c r="Q24" s="18" t="n">
        <v>1.40429171</v>
      </c>
      <c r="R24" s="20" t="n">
        <v>0.32398262</v>
      </c>
    </row>
    <row r="25" spans="1:18">
      <c r="A25" s="15" t="s">
        <v>583</v>
      </c>
      <c r="B25" s="17" t="n">
        <v>5581</v>
      </c>
      <c r="C25" s="18">
        <f>(4342.0/B25*100)</f>
        <v/>
      </c>
      <c r="D25" s="19" t="n">
        <v>1239</v>
      </c>
      <c r="E25" s="18" t="n">
        <v>35.77257409</v>
      </c>
      <c r="F25" s="20" t="n">
        <v>1.52505634</v>
      </c>
      <c r="G25" s="18" t="n">
        <v>62.83103324</v>
      </c>
      <c r="H25" s="20" t="n">
        <v>1.53604145</v>
      </c>
      <c r="I25" s="18" t="n">
        <v>0</v>
      </c>
      <c r="J25" s="20" t="n">
        <v>0</v>
      </c>
      <c r="K25" s="18" t="n">
        <v>0.40588008</v>
      </c>
      <c r="L25" s="20" t="n">
        <v>0.23243389</v>
      </c>
      <c r="M25" s="18" t="n">
        <v>0</v>
      </c>
      <c r="N25" s="20" t="n">
        <v>0</v>
      </c>
      <c r="O25" s="18" t="n">
        <v>0</v>
      </c>
      <c r="P25" s="20" t="n">
        <v>0</v>
      </c>
      <c r="Q25" s="18" t="n">
        <v>0.99051258</v>
      </c>
      <c r="R25" s="20" t="n">
        <v>0.28234592</v>
      </c>
    </row>
    <row r="26" spans="1:18">
      <c r="A26" s="15" t="s">
        <v>584</v>
      </c>
      <c r="B26" s="17" t="n">
        <v>4869</v>
      </c>
      <c r="C26" s="18">
        <f>(3849.0/B26*100)</f>
        <v/>
      </c>
      <c r="D26" s="19" t="n">
        <v>1020</v>
      </c>
      <c r="E26" s="18" t="n">
        <v>47.64828488</v>
      </c>
      <c r="F26" s="20" t="n">
        <v>1.78586241</v>
      </c>
      <c r="G26" s="18" t="n">
        <v>50.72286538</v>
      </c>
      <c r="H26" s="20" t="n">
        <v>1.85157798</v>
      </c>
      <c r="I26" s="18" t="n">
        <v>0</v>
      </c>
      <c r="J26" s="20" t="n">
        <v>0</v>
      </c>
      <c r="K26" s="18" t="n">
        <v>0</v>
      </c>
      <c r="L26" s="20" t="n">
        <v>0</v>
      </c>
      <c r="M26" s="18" t="n">
        <v>0</v>
      </c>
      <c r="N26" s="20" t="n">
        <v>0</v>
      </c>
      <c r="O26" s="18" t="n">
        <v>0</v>
      </c>
      <c r="P26" s="20" t="n">
        <v>0</v>
      </c>
      <c r="Q26" s="18" t="n">
        <v>1.62884974</v>
      </c>
      <c r="R26" s="20" t="n">
        <v>0.38622383</v>
      </c>
    </row>
    <row r="27" spans="1:18">
      <c r="A27" s="15" t="s">
        <v>585</v>
      </c>
      <c r="B27" s="17" t="n">
        <v>5299</v>
      </c>
      <c r="C27" s="18">
        <f>(4160.0/B27*100)</f>
        <v/>
      </c>
      <c r="D27" s="19" t="n">
        <v>1139</v>
      </c>
      <c r="E27" s="18" t="n">
        <v>49.64878509</v>
      </c>
      <c r="F27" s="20" t="n">
        <v>1.45503073</v>
      </c>
      <c r="G27" s="18" t="n">
        <v>47.26527122</v>
      </c>
      <c r="H27" s="20" t="n">
        <v>1.41248139</v>
      </c>
      <c r="I27" s="18" t="n">
        <v>0</v>
      </c>
      <c r="J27" s="20" t="n">
        <v>0</v>
      </c>
      <c r="K27" s="18" t="n">
        <v>0.62392382</v>
      </c>
      <c r="L27" s="20" t="n">
        <v>0.2340767</v>
      </c>
      <c r="M27" s="18" t="n">
        <v>0</v>
      </c>
      <c r="N27" s="20" t="n">
        <v>0</v>
      </c>
      <c r="O27" s="18" t="n">
        <v>0</v>
      </c>
      <c r="P27" s="20" t="n">
        <v>0</v>
      </c>
      <c r="Q27" s="18" t="n">
        <v>2.46201987</v>
      </c>
      <c r="R27" s="20" t="n">
        <v>0.40347271</v>
      </c>
    </row>
    <row r="28" spans="1:18">
      <c r="A28" s="15" t="s">
        <v>586</v>
      </c>
      <c r="B28" s="17" t="n">
        <v>7568</v>
      </c>
      <c r="C28" s="18">
        <f>(6012.0/B28*100)</f>
        <v/>
      </c>
      <c r="D28" s="19" t="n">
        <v>1556</v>
      </c>
      <c r="E28" s="18" t="n">
        <v>69.1471646</v>
      </c>
      <c r="F28" s="20" t="n">
        <v>1.21943305</v>
      </c>
      <c r="G28" s="18" t="n">
        <v>26.60269103</v>
      </c>
      <c r="H28" s="20" t="n">
        <v>1.24276526</v>
      </c>
      <c r="I28" s="18" t="n">
        <v>0</v>
      </c>
      <c r="J28" s="20" t="n">
        <v>0</v>
      </c>
      <c r="K28" s="18" t="n">
        <v>0.65584259</v>
      </c>
      <c r="L28" s="20" t="n">
        <v>0.29036286</v>
      </c>
      <c r="M28" s="18" t="n">
        <v>0</v>
      </c>
      <c r="N28" s="20" t="n">
        <v>0</v>
      </c>
      <c r="O28" s="18" t="n">
        <v>0</v>
      </c>
      <c r="P28" s="20" t="n">
        <v>0</v>
      </c>
      <c r="Q28" s="18" t="n">
        <v>3.59430178</v>
      </c>
      <c r="R28" s="20" t="n">
        <v>0.56040003</v>
      </c>
    </row>
    <row r="29" spans="1:18">
      <c r="A29" s="15" t="s">
        <v>587</v>
      </c>
      <c r="B29" s="17" t="n">
        <v>5385</v>
      </c>
      <c r="C29" s="18">
        <f>(4197.0/B29*100)</f>
        <v/>
      </c>
      <c r="D29" s="19" t="n">
        <v>1188</v>
      </c>
      <c r="E29" s="18" t="n">
        <v>42.38195059</v>
      </c>
      <c r="F29" s="20" t="n">
        <v>1.68952361</v>
      </c>
      <c r="G29" s="18" t="n">
        <v>54.51067386</v>
      </c>
      <c r="H29" s="20" t="n">
        <v>1.68537319</v>
      </c>
      <c r="I29" s="18" t="n">
        <v>0</v>
      </c>
      <c r="J29" s="20" t="n">
        <v>0</v>
      </c>
      <c r="K29" s="18" t="n">
        <v>0.44054165</v>
      </c>
      <c r="L29" s="20" t="n">
        <v>0.20365207</v>
      </c>
      <c r="M29" s="18" t="n">
        <v>0</v>
      </c>
      <c r="N29" s="20" t="n">
        <v>0</v>
      </c>
      <c r="O29" s="18" t="n">
        <v>0</v>
      </c>
      <c r="P29" s="20" t="n">
        <v>0</v>
      </c>
      <c r="Q29" s="18" t="n">
        <v>2.6668339</v>
      </c>
      <c r="R29" s="20" t="n">
        <v>0.42447778</v>
      </c>
    </row>
    <row r="30" spans="1:18">
      <c r="A30" s="15" t="s">
        <v>588</v>
      </c>
      <c r="B30" s="17" t="n">
        <v>4520</v>
      </c>
      <c r="C30" s="18">
        <f>(3523.0/B30*100)</f>
        <v/>
      </c>
      <c r="D30" s="19" t="n">
        <v>997</v>
      </c>
      <c r="E30" s="18" t="n">
        <v>44.28710308</v>
      </c>
      <c r="F30" s="20" t="n">
        <v>1.64039387</v>
      </c>
      <c r="G30" s="18" t="n">
        <v>51.27200124</v>
      </c>
      <c r="H30" s="20" t="n">
        <v>1.51348829</v>
      </c>
      <c r="I30" s="18" t="n">
        <v>0</v>
      </c>
      <c r="J30" s="20" t="n">
        <v>0</v>
      </c>
      <c r="K30" s="18" t="n">
        <v>0.3705301</v>
      </c>
      <c r="L30" s="20" t="n">
        <v>0.18588576</v>
      </c>
      <c r="M30" s="18" t="n">
        <v>0</v>
      </c>
      <c r="N30" s="20" t="n">
        <v>0</v>
      </c>
      <c r="O30" s="18" t="n">
        <v>0</v>
      </c>
      <c r="P30" s="20" t="n">
        <v>0</v>
      </c>
      <c r="Q30" s="18" t="n">
        <v>4.07036558</v>
      </c>
      <c r="R30" s="20" t="n">
        <v>0.73458969</v>
      </c>
    </row>
    <row r="31" spans="1:18">
      <c r="A31" s="15" t="s">
        <v>589</v>
      </c>
      <c r="B31" s="17" t="n">
        <v>5456</v>
      </c>
      <c r="C31" s="18">
        <f>(4235.0/B31*100)</f>
        <v/>
      </c>
      <c r="D31" s="19" t="n">
        <v>1221</v>
      </c>
      <c r="E31" s="18" t="n">
        <v>39.48634746</v>
      </c>
      <c r="F31" s="20" t="n">
        <v>1.62225907</v>
      </c>
      <c r="G31" s="18" t="n">
        <v>57.60236213</v>
      </c>
      <c r="H31" s="20" t="n">
        <v>1.46091631</v>
      </c>
      <c r="I31" s="18" t="n">
        <v>0</v>
      </c>
      <c r="J31" s="20" t="n">
        <v>0</v>
      </c>
      <c r="K31" s="18" t="n">
        <v>0.40383185</v>
      </c>
      <c r="L31" s="20" t="n">
        <v>0.18376395</v>
      </c>
      <c r="M31" s="18" t="n">
        <v>0</v>
      </c>
      <c r="N31" s="20" t="n">
        <v>0</v>
      </c>
      <c r="O31" s="18" t="n">
        <v>0</v>
      </c>
      <c r="P31" s="20" t="n">
        <v>0</v>
      </c>
      <c r="Q31" s="18" t="n">
        <v>2.50745855</v>
      </c>
      <c r="R31" s="20" t="n">
        <v>0.45382849</v>
      </c>
    </row>
    <row r="32" spans="1:18">
      <c r="A32" s="15" t="s">
        <v>590</v>
      </c>
      <c r="B32" s="17" t="n">
        <v>4478</v>
      </c>
      <c r="C32" s="18">
        <f>(3487.0/B32*100)</f>
        <v/>
      </c>
      <c r="D32" s="19" t="n">
        <v>991</v>
      </c>
      <c r="E32" s="18" t="n">
        <v>40.97166427</v>
      </c>
      <c r="F32" s="20" t="n">
        <v>1.70929883</v>
      </c>
      <c r="G32" s="18" t="n">
        <v>56.34868223</v>
      </c>
      <c r="H32" s="20" t="n">
        <v>1.69025223</v>
      </c>
      <c r="I32" s="18" t="n">
        <v>0</v>
      </c>
      <c r="J32" s="20" t="n">
        <v>0</v>
      </c>
      <c r="K32" s="18" t="n">
        <v>0.08775102</v>
      </c>
      <c r="L32" s="20" t="n">
        <v>0.08805593</v>
      </c>
      <c r="M32" s="18" t="n">
        <v>0</v>
      </c>
      <c r="N32" s="20" t="n">
        <v>0</v>
      </c>
      <c r="O32" s="18" t="n">
        <v>0</v>
      </c>
      <c r="P32" s="20" t="n">
        <v>0</v>
      </c>
      <c r="Q32" s="18" t="n">
        <v>2.59190248</v>
      </c>
      <c r="R32" s="20" t="n">
        <v>0.57193852</v>
      </c>
    </row>
    <row r="33" spans="1:18">
      <c r="A33" s="15" t="s">
        <v>591</v>
      </c>
      <c r="B33" s="17" t="n">
        <v>7325</v>
      </c>
      <c r="C33" s="18">
        <f>(5815.0/B33*100)</f>
        <v/>
      </c>
      <c r="D33" s="19" t="n">
        <v>1510</v>
      </c>
      <c r="E33" s="18" t="n">
        <v>59.38288087</v>
      </c>
      <c r="F33" s="20" t="n">
        <v>1.42288243</v>
      </c>
      <c r="G33" s="18" t="n">
        <v>38.21917707</v>
      </c>
      <c r="H33" s="20" t="n">
        <v>1.4270863</v>
      </c>
      <c r="I33" s="18" t="n">
        <v>0</v>
      </c>
      <c r="J33" s="20" t="n">
        <v>0</v>
      </c>
      <c r="K33" s="18" t="n">
        <v>0.3096305</v>
      </c>
      <c r="L33" s="20" t="n">
        <v>0.19697839</v>
      </c>
      <c r="M33" s="18" t="n">
        <v>0</v>
      </c>
      <c r="N33" s="20" t="n">
        <v>0</v>
      </c>
      <c r="O33" s="18" t="n">
        <v>0</v>
      </c>
      <c r="P33" s="20" t="n">
        <v>0</v>
      </c>
      <c r="Q33" s="18" t="n">
        <v>2.08831156</v>
      </c>
      <c r="R33" s="20" t="n">
        <v>0.43977729</v>
      </c>
    </row>
    <row r="34" spans="1:18">
      <c r="A34" s="15" t="s">
        <v>592</v>
      </c>
      <c r="B34" s="17" t="n">
        <v>6350</v>
      </c>
      <c r="C34" s="18">
        <f>(4959.0/B34*100)</f>
        <v/>
      </c>
      <c r="D34" s="19" t="n">
        <v>1391</v>
      </c>
      <c r="E34" s="18" t="n">
        <v>54.97685412</v>
      </c>
      <c r="F34" s="20" t="n">
        <v>1.14892408</v>
      </c>
      <c r="G34" s="18" t="n">
        <v>42.34489207</v>
      </c>
      <c r="H34" s="20" t="n">
        <v>1.20060013</v>
      </c>
      <c r="I34" s="18" t="n">
        <v>0</v>
      </c>
      <c r="J34" s="20" t="n">
        <v>0</v>
      </c>
      <c r="K34" s="18" t="n">
        <v>0.37845636</v>
      </c>
      <c r="L34" s="20" t="n">
        <v>0.16275542</v>
      </c>
      <c r="M34" s="18" t="n">
        <v>0</v>
      </c>
      <c r="N34" s="20" t="n">
        <v>0</v>
      </c>
      <c r="O34" s="18" t="n">
        <v>0</v>
      </c>
      <c r="P34" s="20" t="n">
        <v>0</v>
      </c>
      <c r="Q34" s="18" t="n">
        <v>2.29979745</v>
      </c>
      <c r="R34" s="20" t="n">
        <v>0.42674256</v>
      </c>
    </row>
    <row r="35" spans="1:18">
      <c r="A35" s="15" t="s">
        <v>593</v>
      </c>
      <c r="B35" s="17" t="n">
        <v>6406</v>
      </c>
      <c r="C35" s="18">
        <f>(5030.0/B35*100)</f>
        <v/>
      </c>
      <c r="D35" s="19" t="n">
        <v>1376</v>
      </c>
      <c r="E35" s="18" t="n">
        <v>43.84289835</v>
      </c>
      <c r="F35" s="20" t="n">
        <v>1.74398811</v>
      </c>
      <c r="G35" s="18" t="n">
        <v>53.97822568</v>
      </c>
      <c r="H35" s="20" t="n">
        <v>1.68798368</v>
      </c>
      <c r="I35" s="18" t="n">
        <v>0</v>
      </c>
      <c r="J35" s="20" t="n">
        <v>0</v>
      </c>
      <c r="K35" s="18" t="n">
        <v>0.51773125</v>
      </c>
      <c r="L35" s="20" t="n">
        <v>0.36844804</v>
      </c>
      <c r="M35" s="18" t="n">
        <v>0</v>
      </c>
      <c r="N35" s="20" t="n">
        <v>0</v>
      </c>
      <c r="O35" s="18" t="n">
        <v>0</v>
      </c>
      <c r="P35" s="20" t="n">
        <v>0</v>
      </c>
      <c r="Q35" s="18" t="n">
        <v>1.66114472</v>
      </c>
      <c r="R35" s="20" t="n">
        <v>0.50056839</v>
      </c>
    </row>
    <row r="36" spans="1:18">
      <c r="A36" s="15" t="s">
        <v>594</v>
      </c>
      <c r="B36" s="17" t="n">
        <v>6736</v>
      </c>
      <c r="C36" s="18">
        <f>(5301.0/B36*100)</f>
        <v/>
      </c>
      <c r="D36" s="19" t="n">
        <v>1435</v>
      </c>
      <c r="E36" s="18" t="n">
        <v>51.27722845</v>
      </c>
      <c r="F36" s="20" t="n">
        <v>1.59645296</v>
      </c>
      <c r="G36" s="18" t="n">
        <v>46.64269973</v>
      </c>
      <c r="H36" s="20" t="n">
        <v>1.64321794</v>
      </c>
      <c r="I36" s="18" t="n">
        <v>0</v>
      </c>
      <c r="J36" s="20" t="n">
        <v>0</v>
      </c>
      <c r="K36" s="18" t="n">
        <v>0.11811097</v>
      </c>
      <c r="L36" s="20" t="n">
        <v>0.10691572</v>
      </c>
      <c r="M36" s="18" t="n">
        <v>0</v>
      </c>
      <c r="N36" s="20" t="n">
        <v>0</v>
      </c>
      <c r="O36" s="18" t="n">
        <v>0</v>
      </c>
      <c r="P36" s="20" t="n">
        <v>0</v>
      </c>
      <c r="Q36" s="18" t="n">
        <v>1.96196085</v>
      </c>
      <c r="R36" s="20" t="n">
        <v>0.40777276</v>
      </c>
    </row>
    <row r="37" spans="1:18">
      <c r="A37" s="15" t="s">
        <v>595</v>
      </c>
      <c r="B37" s="17" t="n">
        <v>5458</v>
      </c>
      <c r="C37" s="18">
        <f>(4300.0/B37*100)</f>
        <v/>
      </c>
      <c r="D37" s="19" t="n">
        <v>1158</v>
      </c>
      <c r="E37" s="18" t="n">
        <v>46.24028908</v>
      </c>
      <c r="F37" s="20" t="n">
        <v>1.82626003</v>
      </c>
      <c r="G37" s="18" t="n">
        <v>49.20088586</v>
      </c>
      <c r="H37" s="20" t="n">
        <v>1.89955109</v>
      </c>
      <c r="I37" s="18" t="n">
        <v>0</v>
      </c>
      <c r="J37" s="20" t="n">
        <v>0</v>
      </c>
      <c r="K37" s="18" t="n">
        <v>0.93566216</v>
      </c>
      <c r="L37" s="20" t="n">
        <v>0.22206154</v>
      </c>
      <c r="M37" s="18" t="n">
        <v>0</v>
      </c>
      <c r="N37" s="20" t="n">
        <v>0</v>
      </c>
      <c r="O37" s="18" t="n">
        <v>0</v>
      </c>
      <c r="P37" s="20" t="n">
        <v>0</v>
      </c>
      <c r="Q37" s="18" t="n">
        <v>3.62316289</v>
      </c>
      <c r="R37" s="20" t="n">
        <v>0.58325045</v>
      </c>
    </row>
    <row r="38" spans="1:18">
      <c r="A38" s="15" t="s">
        <v>596</v>
      </c>
      <c r="B38" s="17" t="n">
        <v>5860</v>
      </c>
      <c r="C38" s="18">
        <f>(4630.0/B38*100)</f>
        <v/>
      </c>
      <c r="D38" s="19" t="n">
        <v>1230</v>
      </c>
      <c r="E38" s="18" t="n">
        <v>38.88810027</v>
      </c>
      <c r="F38" s="20" t="n">
        <v>1.62243015</v>
      </c>
      <c r="G38" s="18" t="n">
        <v>56.2514062</v>
      </c>
      <c r="H38" s="20" t="n">
        <v>1.63945222</v>
      </c>
      <c r="I38" s="18" t="n">
        <v>0</v>
      </c>
      <c r="J38" s="20" t="n">
        <v>0</v>
      </c>
      <c r="K38" s="18" t="n">
        <v>0.22718224</v>
      </c>
      <c r="L38" s="20" t="n">
        <v>0.15740609</v>
      </c>
      <c r="M38" s="18" t="n">
        <v>0</v>
      </c>
      <c r="N38" s="20" t="n">
        <v>0</v>
      </c>
      <c r="O38" s="18" t="n">
        <v>0</v>
      </c>
      <c r="P38" s="20" t="n">
        <v>0</v>
      </c>
      <c r="Q38" s="18" t="n">
        <v>4.63331129</v>
      </c>
      <c r="R38" s="20" t="n">
        <v>0.70514628</v>
      </c>
    </row>
    <row r="39" spans="1:18">
      <c r="A39" s="15" t="s">
        <v>597</v>
      </c>
      <c r="B39" s="17" t="n">
        <v>5895</v>
      </c>
      <c r="C39" s="18">
        <f>(4568.0/B39*100)</f>
        <v/>
      </c>
      <c r="D39" s="19" t="n">
        <v>1327</v>
      </c>
      <c r="E39" s="18" t="n">
        <v>62.57866188</v>
      </c>
      <c r="F39" s="20" t="n">
        <v>1.50231966</v>
      </c>
      <c r="G39" s="18" t="n">
        <v>34.77793269</v>
      </c>
      <c r="H39" s="20" t="n">
        <v>1.506767</v>
      </c>
      <c r="I39" s="18" t="n">
        <v>0</v>
      </c>
      <c r="J39" s="20" t="n">
        <v>0</v>
      </c>
      <c r="K39" s="18" t="n">
        <v>0.09383343</v>
      </c>
      <c r="L39" s="20" t="n">
        <v>0.08870279</v>
      </c>
      <c r="M39" s="18" t="n">
        <v>0</v>
      </c>
      <c r="N39" s="20" t="n">
        <v>0</v>
      </c>
      <c r="O39" s="18" t="n">
        <v>0</v>
      </c>
      <c r="P39" s="20" t="n">
        <v>0</v>
      </c>
      <c r="Q39" s="18" t="n">
        <v>2.54957199</v>
      </c>
      <c r="R39" s="20" t="n">
        <v>0.43007481</v>
      </c>
    </row>
    <row r="40" spans="1:18">
      <c r="A40" s="15" t="s">
        <v>598</v>
      </c>
      <c r="B40" s="17" t="n">
        <v>14157</v>
      </c>
      <c r="C40" s="18">
        <f>(11047.0/B40*100)</f>
        <v/>
      </c>
      <c r="D40" s="19" t="n">
        <v>3110</v>
      </c>
      <c r="E40" s="18" t="n">
        <v>46.44970294</v>
      </c>
      <c r="F40" s="20" t="n">
        <v>1.37601065</v>
      </c>
      <c r="G40" s="18" t="n">
        <v>50.49502649</v>
      </c>
      <c r="H40" s="20" t="n">
        <v>1.47100597</v>
      </c>
      <c r="I40" s="18" t="n">
        <v>0</v>
      </c>
      <c r="J40" s="20" t="n">
        <v>0</v>
      </c>
      <c r="K40" s="18" t="n">
        <v>0.26951384</v>
      </c>
      <c r="L40" s="20" t="n">
        <v>0.15260723</v>
      </c>
      <c r="M40" s="18" t="n">
        <v>0</v>
      </c>
      <c r="N40" s="20" t="n">
        <v>0</v>
      </c>
      <c r="O40" s="18" t="n">
        <v>0</v>
      </c>
      <c r="P40" s="20" t="n">
        <v>0</v>
      </c>
      <c r="Q40" s="18" t="n">
        <v>2.78575673</v>
      </c>
      <c r="R40" s="20" t="n">
        <v>0.42036475</v>
      </c>
    </row>
    <row r="41" spans="1:18">
      <c r="A41" s="15" t="s">
        <v>599</v>
      </c>
      <c r="B41" s="17" t="n">
        <v>5712</v>
      </c>
      <c r="C41" s="18">
        <f>(4497.0/B41*100)</f>
        <v/>
      </c>
      <c r="D41" s="19" t="n">
        <v>1215</v>
      </c>
      <c r="E41" s="18" t="n">
        <v>45.63886153</v>
      </c>
      <c r="F41" s="20" t="n">
        <v>1.63064894</v>
      </c>
      <c r="G41" s="18" t="n">
        <v>50.92801379</v>
      </c>
      <c r="H41" s="20" t="n">
        <v>1.66883655</v>
      </c>
      <c r="I41" s="18" t="n">
        <v>0</v>
      </c>
      <c r="J41" s="20" t="n">
        <v>0</v>
      </c>
      <c r="K41" s="18" t="n">
        <v>0.09752647</v>
      </c>
      <c r="L41" s="20" t="n">
        <v>0.06859147</v>
      </c>
      <c r="M41" s="18" t="n">
        <v>0</v>
      </c>
      <c r="N41" s="20" t="n">
        <v>0</v>
      </c>
      <c r="O41" s="18" t="n">
        <v>0</v>
      </c>
      <c r="P41" s="20" t="n">
        <v>0</v>
      </c>
      <c r="Q41" s="18" t="n">
        <v>3.3355982</v>
      </c>
      <c r="R41" s="20" t="n">
        <v>0.53344758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(19232.0/B46*100)</f>
        <v/>
      </c>
      <c r="D46" s="19" t="n">
        <v>3909</v>
      </c>
      <c r="E46" s="18" t="n">
        <v>66.44490602</v>
      </c>
      <c r="F46" s="20" t="n">
        <v>1.03983454</v>
      </c>
      <c r="G46" s="18" t="n">
        <v>24.46855391</v>
      </c>
      <c r="H46" s="20" t="n">
        <v>1.00302893</v>
      </c>
      <c r="I46" s="18" t="n">
        <v>0</v>
      </c>
      <c r="J46" s="20" t="n">
        <v>0</v>
      </c>
      <c r="K46" s="18" t="n">
        <v>1.81330996</v>
      </c>
      <c r="L46" s="20" t="n">
        <v>0.37943767</v>
      </c>
      <c r="M46" s="18" t="n">
        <v>0</v>
      </c>
      <c r="N46" s="20" t="n">
        <v>0</v>
      </c>
      <c r="O46" s="18" t="n">
        <v>0</v>
      </c>
      <c r="P46" s="20" t="n">
        <v>0</v>
      </c>
      <c r="Q46" s="18" t="n">
        <v>7.27323011</v>
      </c>
      <c r="R46" s="20" t="n">
        <v>0.62207049</v>
      </c>
    </row>
    <row r="47" spans="1:18">
      <c r="A47" s="15" t="s">
        <v>606</v>
      </c>
      <c r="B47" s="17" t="n">
        <v>5928</v>
      </c>
      <c r="C47" s="18">
        <f>(4622.0/B47*100)</f>
        <v/>
      </c>
      <c r="D47" s="19" t="n">
        <v>1306</v>
      </c>
      <c r="E47" s="18" t="n">
        <v>63.59951564</v>
      </c>
      <c r="F47" s="20" t="n">
        <v>1.70471984</v>
      </c>
      <c r="G47" s="18" t="n">
        <v>32.93990849</v>
      </c>
      <c r="H47" s="20" t="n">
        <v>1.80105948</v>
      </c>
      <c r="I47" s="18" t="n">
        <v>0</v>
      </c>
      <c r="J47" s="20" t="n">
        <v>0</v>
      </c>
      <c r="K47" s="18" t="n">
        <v>0.27936285</v>
      </c>
      <c r="L47" s="20" t="n">
        <v>0.13733856</v>
      </c>
      <c r="M47" s="18" t="n">
        <v>0</v>
      </c>
      <c r="N47" s="20" t="n">
        <v>0</v>
      </c>
      <c r="O47" s="18" t="n">
        <v>0</v>
      </c>
      <c r="P47" s="20" t="n">
        <v>0</v>
      </c>
      <c r="Q47" s="18" t="n">
        <v>3.18121301</v>
      </c>
      <c r="R47" s="20" t="n">
        <v>0.49523025</v>
      </c>
    </row>
    <row r="48" spans="1:18">
      <c r="A48" s="15" t="s">
        <v>607</v>
      </c>
      <c r="B48" s="17" t="n">
        <v>9841</v>
      </c>
      <c r="C48" s="18">
        <f>(7676.0/B48*100)</f>
        <v/>
      </c>
      <c r="D48" s="19" t="n">
        <v>2165</v>
      </c>
      <c r="E48" s="18" t="n">
        <v>49.15364043</v>
      </c>
      <c r="F48" s="20" t="n">
        <v>1.93629906</v>
      </c>
      <c r="G48" s="18" t="n">
        <v>48.3342471</v>
      </c>
      <c r="H48" s="20" t="n">
        <v>1.82388726</v>
      </c>
      <c r="I48" s="18" t="n">
        <v>0</v>
      </c>
      <c r="J48" s="20" t="n">
        <v>0</v>
      </c>
      <c r="K48" s="18" t="n">
        <v>0.3549091</v>
      </c>
      <c r="L48" s="20" t="n">
        <v>0.16644842</v>
      </c>
      <c r="M48" s="18" t="n">
        <v>0</v>
      </c>
      <c r="N48" s="20" t="n">
        <v>0</v>
      </c>
      <c r="O48" s="18" t="n">
        <v>0</v>
      </c>
      <c r="P48" s="20" t="n">
        <v>0</v>
      </c>
      <c r="Q48" s="18" t="n">
        <v>2.15720337</v>
      </c>
      <c r="R48" s="20" t="n">
        <v>0.43413009</v>
      </c>
    </row>
    <row r="49" spans="1:18">
      <c r="A49" s="15" t="s">
        <v>608</v>
      </c>
      <c r="B49" s="17" t="n">
        <v>11795</v>
      </c>
      <c r="C49" s="18">
        <f>(9324.0/B49*100)</f>
        <v/>
      </c>
      <c r="D49" s="19" t="n">
        <v>2471</v>
      </c>
      <c r="E49" s="18" t="n">
        <v>69.65325634</v>
      </c>
      <c r="F49" s="20" t="n">
        <v>1.50627964</v>
      </c>
      <c r="G49" s="18" t="n">
        <v>26.98046016</v>
      </c>
      <c r="H49" s="20" t="n">
        <v>1.50047038</v>
      </c>
      <c r="I49" s="18" t="n">
        <v>0</v>
      </c>
      <c r="J49" s="20" t="n">
        <v>0</v>
      </c>
      <c r="K49" s="18" t="n">
        <v>1.08170585</v>
      </c>
      <c r="L49" s="20" t="n">
        <v>0.25134063</v>
      </c>
      <c r="M49" s="18" t="n">
        <v>0</v>
      </c>
      <c r="N49" s="20" t="n">
        <v>0</v>
      </c>
      <c r="O49" s="18" t="n">
        <v>0</v>
      </c>
      <c r="P49" s="20" t="n">
        <v>0</v>
      </c>
      <c r="Q49" s="18" t="n">
        <v>2.28457765</v>
      </c>
      <c r="R49" s="20" t="n">
        <v>0.41306349</v>
      </c>
    </row>
    <row r="50" spans="1:18">
      <c r="A50" s="15" t="s">
        <v>609</v>
      </c>
      <c r="B50" s="17" t="n">
        <v>6866</v>
      </c>
      <c r="C50" s="18">
        <f>(5611.0/B50*100)</f>
        <v/>
      </c>
      <c r="D50" s="19" t="n">
        <v>1255</v>
      </c>
      <c r="E50" s="18" t="n">
        <v>66.90671241</v>
      </c>
      <c r="F50" s="20" t="n">
        <v>1.80310515</v>
      </c>
      <c r="G50" s="18" t="n">
        <v>29.73674793</v>
      </c>
      <c r="H50" s="20" t="n">
        <v>1.70661178</v>
      </c>
      <c r="I50" s="18" t="n">
        <v>0</v>
      </c>
      <c r="J50" s="20" t="n">
        <v>0</v>
      </c>
      <c r="K50" s="18" t="n">
        <v>0.22573548</v>
      </c>
      <c r="L50" s="20" t="n">
        <v>0.13256446</v>
      </c>
      <c r="M50" s="18" t="n">
        <v>0</v>
      </c>
      <c r="N50" s="20" t="n">
        <v>0</v>
      </c>
      <c r="O50" s="18" t="n">
        <v>0</v>
      </c>
      <c r="P50" s="20" t="n">
        <v>0</v>
      </c>
      <c r="Q50" s="18" t="n">
        <v>3.13080419</v>
      </c>
      <c r="R50" s="20" t="n">
        <v>0.51472484</v>
      </c>
    </row>
    <row r="51" spans="1:18">
      <c r="A51" s="15" t="s">
        <v>610</v>
      </c>
      <c r="B51" s="17" t="n">
        <v>5809</v>
      </c>
      <c r="C51" s="18">
        <f>(4579.0/B51*100)</f>
        <v/>
      </c>
      <c r="D51" s="19" t="n">
        <v>1230</v>
      </c>
      <c r="E51" s="18" t="n">
        <v>47.74399405</v>
      </c>
      <c r="F51" s="20" t="n">
        <v>1.66777238</v>
      </c>
      <c r="G51" s="18" t="n">
        <v>49.99824681</v>
      </c>
      <c r="H51" s="20" t="n">
        <v>1.62945871</v>
      </c>
      <c r="I51" s="18" t="n">
        <v>0</v>
      </c>
      <c r="J51" s="20" t="n">
        <v>0</v>
      </c>
      <c r="K51" s="18" t="n">
        <v>0.05668319</v>
      </c>
      <c r="L51" s="20" t="n">
        <v>0.05504436</v>
      </c>
      <c r="M51" s="18" t="n">
        <v>0</v>
      </c>
      <c r="N51" s="20" t="n">
        <v>0</v>
      </c>
      <c r="O51" s="18" t="n">
        <v>0</v>
      </c>
      <c r="P51" s="20" t="n">
        <v>0</v>
      </c>
      <c r="Q51" s="18" t="n">
        <v>2.20107596</v>
      </c>
      <c r="R51" s="20" t="n">
        <v>0.45309612</v>
      </c>
    </row>
    <row r="52" spans="1:18">
      <c r="A52" s="15" t="s">
        <v>611</v>
      </c>
      <c r="B52" s="17" t="n">
        <v>5571</v>
      </c>
      <c r="C52" s="18">
        <f>(4395.0/B52*100)</f>
        <v/>
      </c>
      <c r="D52" s="19" t="n">
        <v>1176</v>
      </c>
      <c r="E52" s="18" t="n">
        <v>74.07819864</v>
      </c>
      <c r="F52" s="20" t="n">
        <v>1.44741296</v>
      </c>
      <c r="G52" s="18" t="n">
        <v>22.95407423</v>
      </c>
      <c r="H52" s="20" t="n">
        <v>1.33650322</v>
      </c>
      <c r="I52" s="18" t="n">
        <v>0</v>
      </c>
      <c r="J52" s="20" t="n">
        <v>0</v>
      </c>
      <c r="K52" s="18" t="n">
        <v>0.43485468</v>
      </c>
      <c r="L52" s="20" t="n">
        <v>0.18592812</v>
      </c>
      <c r="M52" s="18" t="n">
        <v>0</v>
      </c>
      <c r="N52" s="20" t="n">
        <v>0</v>
      </c>
      <c r="O52" s="18" t="n">
        <v>0</v>
      </c>
      <c r="P52" s="20" t="n">
        <v>0</v>
      </c>
      <c r="Q52" s="18" t="n">
        <v>2.53287245</v>
      </c>
      <c r="R52" s="20" t="n">
        <v>0.46592883</v>
      </c>
    </row>
    <row r="53" spans="1:18">
      <c r="A53" s="15" t="s">
        <v>612</v>
      </c>
      <c r="B53" s="17" t="n">
        <v>4740</v>
      </c>
      <c r="C53" s="18">
        <f>(3672.0/B53*100)</f>
        <v/>
      </c>
      <c r="D53" s="19" t="n">
        <v>1068</v>
      </c>
      <c r="E53" s="18" t="n">
        <v>68.91895837</v>
      </c>
      <c r="F53" s="20" t="n">
        <v>1.77667228</v>
      </c>
      <c r="G53" s="18" t="n">
        <v>8.93418366</v>
      </c>
      <c r="H53" s="20" t="n">
        <v>1.16691788</v>
      </c>
      <c r="I53" s="18" t="n">
        <v>0</v>
      </c>
      <c r="J53" s="20" t="n">
        <v>0</v>
      </c>
      <c r="K53" s="18" t="n">
        <v>18.58757536</v>
      </c>
      <c r="L53" s="20" t="n">
        <v>1.30896422</v>
      </c>
      <c r="M53" s="18" t="n">
        <v>0</v>
      </c>
      <c r="N53" s="20" t="n">
        <v>0</v>
      </c>
      <c r="O53" s="18" t="n">
        <v>0</v>
      </c>
      <c r="P53" s="20" t="n">
        <v>0</v>
      </c>
      <c r="Q53" s="18" t="n">
        <v>3.55928261</v>
      </c>
      <c r="R53" s="20" t="n">
        <v>0.65016803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(4175.0/B55*100)</f>
        <v/>
      </c>
      <c r="D55" s="19" t="n">
        <v>1184</v>
      </c>
      <c r="E55" s="18" t="n">
        <v>50.53742722</v>
      </c>
      <c r="F55" s="20" t="n">
        <v>1.50484456</v>
      </c>
      <c r="G55" s="18" t="n">
        <v>45.80588058</v>
      </c>
      <c r="H55" s="20" t="n">
        <v>1.42396542</v>
      </c>
      <c r="I55" s="18" t="n">
        <v>0</v>
      </c>
      <c r="J55" s="20" t="n">
        <v>0</v>
      </c>
      <c r="K55" s="18" t="n">
        <v>0.25983771</v>
      </c>
      <c r="L55" s="20" t="n">
        <v>0.16727904</v>
      </c>
      <c r="M55" s="18" t="n">
        <v>0</v>
      </c>
      <c r="N55" s="20" t="n">
        <v>0</v>
      </c>
      <c r="O55" s="18" t="n">
        <v>0</v>
      </c>
      <c r="P55" s="20" t="n">
        <v>0</v>
      </c>
      <c r="Q55" s="18" t="n">
        <v>3.3968545</v>
      </c>
      <c r="R55" s="20" t="n">
        <v>0.51630507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(5084.0/B61*100)</f>
        <v/>
      </c>
      <c r="D61" s="19" t="n">
        <v>1441</v>
      </c>
      <c r="E61" s="18" t="n">
        <v>41.37284114</v>
      </c>
      <c r="F61" s="20" t="n">
        <v>1.64870366</v>
      </c>
      <c r="G61" s="18" t="n">
        <v>56.86622524</v>
      </c>
      <c r="H61" s="20" t="n">
        <v>1.55422771</v>
      </c>
      <c r="I61" s="18" t="n">
        <v>0</v>
      </c>
      <c r="J61" s="20" t="n">
        <v>0</v>
      </c>
      <c r="K61" s="18" t="n">
        <v>0.25890052</v>
      </c>
      <c r="L61" s="20" t="n">
        <v>0.12748539</v>
      </c>
      <c r="M61" s="18" t="n">
        <v>0</v>
      </c>
      <c r="N61" s="20" t="n">
        <v>0</v>
      </c>
      <c r="O61" s="18" t="n">
        <v>0</v>
      </c>
      <c r="P61" s="20" t="n">
        <v>0</v>
      </c>
      <c r="Q61" s="18" t="n">
        <v>1.50203311</v>
      </c>
      <c r="R61" s="20" t="n">
        <v>0.36043912</v>
      </c>
    </row>
    <row r="62" spans="1:18">
      <c r="A62" s="15" t="s">
        <v>622</v>
      </c>
      <c r="B62" s="17" t="n">
        <v>4476</v>
      </c>
      <c r="C62" s="18">
        <f>(3520.0/B62*100)</f>
        <v/>
      </c>
      <c r="D62" s="19" t="n">
        <v>956</v>
      </c>
      <c r="E62" s="18" t="n">
        <v>49.18154364</v>
      </c>
      <c r="F62" s="20" t="n">
        <v>1.77346759</v>
      </c>
      <c r="G62" s="18" t="n">
        <v>49.24791245</v>
      </c>
      <c r="H62" s="20" t="n">
        <v>1.74745705</v>
      </c>
      <c r="I62" s="18" t="n">
        <v>0</v>
      </c>
      <c r="J62" s="20" t="n">
        <v>0</v>
      </c>
      <c r="K62" s="18" t="n">
        <v>0.10751881</v>
      </c>
      <c r="L62" s="20" t="n">
        <v>0.10778594</v>
      </c>
      <c r="M62" s="18" t="n">
        <v>0</v>
      </c>
      <c r="N62" s="20" t="n">
        <v>0</v>
      </c>
      <c r="O62" s="18" t="n">
        <v>0</v>
      </c>
      <c r="P62" s="20" t="n">
        <v>0</v>
      </c>
      <c r="Q62" s="18" t="n">
        <v>1.46302511</v>
      </c>
      <c r="R62" s="20" t="n">
        <v>0.32869626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(4440.0/B67*100)</f>
        <v/>
      </c>
      <c r="D67" s="19" t="n">
        <v>1225</v>
      </c>
      <c r="E67" s="18" t="n">
        <v>66.51751915</v>
      </c>
      <c r="F67" s="20" t="n">
        <v>1.40538127</v>
      </c>
      <c r="G67" s="18" t="n">
        <v>26.78556696</v>
      </c>
      <c r="H67" s="20" t="n">
        <v>1.29087468</v>
      </c>
      <c r="I67" s="18" t="n">
        <v>0</v>
      </c>
      <c r="J67" s="20" t="n">
        <v>0</v>
      </c>
      <c r="K67" s="18" t="n">
        <v>0.69384501</v>
      </c>
      <c r="L67" s="20" t="n">
        <v>0.20240978</v>
      </c>
      <c r="M67" s="18" t="n">
        <v>0</v>
      </c>
      <c r="N67" s="20" t="n">
        <v>0</v>
      </c>
      <c r="O67" s="18" t="n">
        <v>0</v>
      </c>
      <c r="P67" s="20" t="n">
        <v>0</v>
      </c>
      <c r="Q67" s="18" t="n">
        <v>6.00306888</v>
      </c>
      <c r="R67" s="20" t="n">
        <v>0.65229489</v>
      </c>
    </row>
    <row r="68" spans="1:18">
      <c r="A68" s="15" t="s">
        <v>628</v>
      </c>
      <c r="B68" s="17" t="n">
        <v>6971</v>
      </c>
      <c r="C68" s="18">
        <f>(5620.0/B68*100)</f>
        <v/>
      </c>
      <c r="D68" s="19" t="n">
        <v>1351</v>
      </c>
      <c r="E68" s="18" t="n">
        <v>71.65112186</v>
      </c>
      <c r="F68" s="20" t="n">
        <v>1.31864011</v>
      </c>
      <c r="G68" s="18" t="n">
        <v>25.22500543</v>
      </c>
      <c r="H68" s="20" t="n">
        <v>1.30815264</v>
      </c>
      <c r="I68" s="18" t="n">
        <v>0</v>
      </c>
      <c r="J68" s="20" t="n">
        <v>0</v>
      </c>
      <c r="K68" s="18" t="n">
        <v>0.14333309</v>
      </c>
      <c r="L68" s="20" t="n">
        <v>0.10166795</v>
      </c>
      <c r="M68" s="18" t="n">
        <v>0</v>
      </c>
      <c r="N68" s="20" t="n">
        <v>0</v>
      </c>
      <c r="O68" s="18" t="n">
        <v>0</v>
      </c>
      <c r="P68" s="20" t="n">
        <v>0</v>
      </c>
      <c r="Q68" s="18" t="n">
        <v>2.98053962</v>
      </c>
      <c r="R68" s="20" t="n">
        <v>0.54638407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(9413.0/B70*100)</f>
        <v/>
      </c>
      <c r="D70" s="19" t="n">
        <v>2670</v>
      </c>
      <c r="E70" s="18" t="n">
        <v>70.68612090000001</v>
      </c>
      <c r="F70" s="20" t="n">
        <v>0.85558949</v>
      </c>
      <c r="G70" s="18" t="n">
        <v>24.05695972</v>
      </c>
      <c r="H70" s="20" t="n">
        <v>0.82333857</v>
      </c>
      <c r="I70" s="18" t="n">
        <v>0</v>
      </c>
      <c r="J70" s="20" t="n">
        <v>0</v>
      </c>
      <c r="K70" s="18" t="n">
        <v>2.0985994</v>
      </c>
      <c r="L70" s="20" t="n">
        <v>0.27464807</v>
      </c>
      <c r="M70" s="18" t="n">
        <v>0</v>
      </c>
      <c r="N70" s="20" t="n">
        <v>0</v>
      </c>
      <c r="O70" s="18" t="n">
        <v>0</v>
      </c>
      <c r="P70" s="20" t="n">
        <v>0</v>
      </c>
      <c r="Q70" s="18" t="n">
        <v>3.15831998</v>
      </c>
      <c r="R70" s="20" t="n">
        <v>0.33039492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(4773.0/B72*100)</f>
        <v/>
      </c>
      <c r="D72" s="19" t="n">
        <v>1263</v>
      </c>
      <c r="E72" s="18" t="n">
        <v>47.33617475</v>
      </c>
      <c r="F72" s="20" t="n">
        <v>1.4976182</v>
      </c>
      <c r="G72" s="18" t="n">
        <v>50.07053369</v>
      </c>
      <c r="H72" s="20" t="n">
        <v>1.37255204</v>
      </c>
      <c r="I72" s="18" t="n">
        <v>0</v>
      </c>
      <c r="J72" s="20" t="n">
        <v>0</v>
      </c>
      <c r="K72" s="18" t="n">
        <v>0.17592473</v>
      </c>
      <c r="L72" s="20" t="n">
        <v>0.08731753</v>
      </c>
      <c r="M72" s="18" t="n">
        <v>0</v>
      </c>
      <c r="N72" s="20" t="n">
        <v>0</v>
      </c>
      <c r="O72" s="18" t="n">
        <v>0</v>
      </c>
      <c r="P72" s="20" t="n">
        <v>0</v>
      </c>
      <c r="Q72" s="18" t="n">
        <v>2.41736682</v>
      </c>
      <c r="R72" s="20" t="n">
        <v>0.5028406</v>
      </c>
    </row>
    <row r="73" spans="1:18">
      <c r="A73" s="15" t="s">
        <v>633</v>
      </c>
      <c r="B73" s="17" t="n">
        <v>6115</v>
      </c>
      <c r="C73" s="18">
        <f>(4717.0/B73*100)</f>
        <v/>
      </c>
      <c r="D73" s="19" t="n">
        <v>1398</v>
      </c>
      <c r="E73" s="18" t="n">
        <v>39.6595297</v>
      </c>
      <c r="F73" s="20" t="n">
        <v>1.32741928</v>
      </c>
      <c r="G73" s="18" t="n">
        <v>57.07976729</v>
      </c>
      <c r="H73" s="20" t="n">
        <v>1.37250826</v>
      </c>
      <c r="I73" s="18" t="n">
        <v>0</v>
      </c>
      <c r="J73" s="20" t="n">
        <v>0</v>
      </c>
      <c r="K73" s="18" t="n">
        <v>0.14287822</v>
      </c>
      <c r="L73" s="20" t="n">
        <v>0.08457341</v>
      </c>
      <c r="M73" s="18" t="n">
        <v>0</v>
      </c>
      <c r="N73" s="20" t="n">
        <v>0</v>
      </c>
      <c r="O73" s="18" t="n">
        <v>0</v>
      </c>
      <c r="P73" s="20" t="n">
        <v>0</v>
      </c>
      <c r="Q73" s="18" t="n">
        <v>3.11782478</v>
      </c>
      <c r="R73" s="20" t="n">
        <v>0.49686826</v>
      </c>
    </row>
    <row r="74" spans="1:18">
      <c r="A74" s="15" t="s">
        <v>634</v>
      </c>
      <c r="B74" s="17" t="n">
        <v>7708</v>
      </c>
      <c r="C74" s="18">
        <f>(5979.0/B74*100)</f>
        <v/>
      </c>
      <c r="D74" s="19" t="n">
        <v>1729</v>
      </c>
      <c r="E74" s="18" t="n">
        <v>49.76232065</v>
      </c>
      <c r="F74" s="20" t="n">
        <v>1.5960679</v>
      </c>
      <c r="G74" s="18" t="n">
        <v>47.46290495</v>
      </c>
      <c r="H74" s="20" t="n">
        <v>1.60518954</v>
      </c>
      <c r="I74" s="18" t="n">
        <v>0</v>
      </c>
      <c r="J74" s="20" t="n">
        <v>0</v>
      </c>
      <c r="K74" s="18" t="n">
        <v>0.10468015</v>
      </c>
      <c r="L74" s="20" t="n">
        <v>0.08215281000000001</v>
      </c>
      <c r="M74" s="18" t="n">
        <v>0</v>
      </c>
      <c r="N74" s="20" t="n">
        <v>0</v>
      </c>
      <c r="O74" s="18" t="n">
        <v>0</v>
      </c>
      <c r="P74" s="20" t="n">
        <v>0</v>
      </c>
      <c r="Q74" s="18" t="n">
        <v>2.67009425</v>
      </c>
      <c r="R74" s="20" t="n">
        <v>0.42676492</v>
      </c>
    </row>
    <row r="75" spans="1:18">
      <c r="A75" s="15" t="s">
        <v>635</v>
      </c>
      <c r="B75" s="17" t="n">
        <v>8249</v>
      </c>
      <c r="C75" s="18">
        <f>(6527.0/B75*100)</f>
        <v/>
      </c>
      <c r="D75" s="19" t="n">
        <v>1722</v>
      </c>
      <c r="E75" s="18" t="n">
        <v>66.40893496</v>
      </c>
      <c r="F75" s="20" t="n">
        <v>1.67339386</v>
      </c>
      <c r="G75" s="18" t="n">
        <v>29.74556053</v>
      </c>
      <c r="H75" s="20" t="n">
        <v>1.72311232</v>
      </c>
      <c r="I75" s="18" t="n">
        <v>0</v>
      </c>
      <c r="J75" s="20" t="n">
        <v>0</v>
      </c>
      <c r="K75" s="18" t="n">
        <v>0</v>
      </c>
      <c r="L75" s="20" t="n">
        <v>0</v>
      </c>
      <c r="M75" s="18" t="n">
        <v>0</v>
      </c>
      <c r="N75" s="20" t="n">
        <v>0</v>
      </c>
      <c r="O75" s="18" t="n">
        <v>0</v>
      </c>
      <c r="P75" s="20" t="n">
        <v>0</v>
      </c>
      <c r="Q75" s="18" t="n">
        <v>3.84550451</v>
      </c>
      <c r="R75" s="20" t="n">
        <v>0.54699427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(4317.0/B77*100)</f>
        <v/>
      </c>
      <c r="D77" s="19" t="n">
        <v>1058</v>
      </c>
      <c r="E77" s="18" t="n">
        <v>77.33889723</v>
      </c>
      <c r="F77" s="20" t="n">
        <v>1.49069244</v>
      </c>
      <c r="G77" s="18" t="n">
        <v>14.91983444</v>
      </c>
      <c r="H77" s="20" t="n">
        <v>1.17697989</v>
      </c>
      <c r="I77" s="18" t="n">
        <v>0</v>
      </c>
      <c r="J77" s="20" t="n">
        <v>0</v>
      </c>
      <c r="K77" s="18" t="n">
        <v>4.80683839</v>
      </c>
      <c r="L77" s="20" t="n">
        <v>0.8443573599999999</v>
      </c>
      <c r="M77" s="18" t="n">
        <v>0</v>
      </c>
      <c r="N77" s="20" t="n">
        <v>0</v>
      </c>
      <c r="O77" s="18" t="n">
        <v>0</v>
      </c>
      <c r="P77" s="20" t="n">
        <v>0</v>
      </c>
      <c r="Q77" s="18" t="n">
        <v>2.93442994</v>
      </c>
      <c r="R77" s="20" t="n">
        <v>0.57958994</v>
      </c>
    </row>
    <row r="78" spans="1:18">
      <c r="A78" s="15" t="s">
        <v>638</v>
      </c>
      <c r="B78" s="17" t="n">
        <v>14167</v>
      </c>
      <c r="C78" s="18">
        <f>(11043.0/B78*100)</f>
        <v/>
      </c>
      <c r="D78" s="19" t="n">
        <v>3124</v>
      </c>
      <c r="E78" s="18" t="n">
        <v>64.48747362</v>
      </c>
      <c r="F78" s="20" t="n">
        <v>1.0946212</v>
      </c>
      <c r="G78" s="18" t="n">
        <v>32.20660689</v>
      </c>
      <c r="H78" s="20" t="n">
        <v>1.14144116</v>
      </c>
      <c r="I78" s="18" t="n">
        <v>0</v>
      </c>
      <c r="J78" s="20" t="n">
        <v>0</v>
      </c>
      <c r="K78" s="18" t="n">
        <v>0.90290901</v>
      </c>
      <c r="L78" s="20" t="n">
        <v>0.21700391</v>
      </c>
      <c r="M78" s="18" t="n">
        <v>0</v>
      </c>
      <c r="N78" s="20" t="n">
        <v>0</v>
      </c>
      <c r="O78" s="18" t="n">
        <v>0</v>
      </c>
      <c r="P78" s="20" t="n">
        <v>0</v>
      </c>
      <c r="Q78" s="18" t="n">
        <v>2.40301048</v>
      </c>
      <c r="R78" s="20" t="n">
        <v>0.32653574</v>
      </c>
    </row>
    <row r="79" spans="1:18">
      <c r="A79" s="15" t="s">
        <v>639</v>
      </c>
      <c r="B79" s="17" t="n">
        <v>6062</v>
      </c>
      <c r="C79" s="18">
        <f>(4878.0/B79*100)</f>
        <v/>
      </c>
      <c r="D79" s="19" t="n">
        <v>1184</v>
      </c>
      <c r="E79" s="18" t="n">
        <v>69.51620326</v>
      </c>
      <c r="F79" s="20" t="n">
        <v>1.45746275</v>
      </c>
      <c r="G79" s="18" t="n">
        <v>25.86703535</v>
      </c>
      <c r="H79" s="20" t="n">
        <v>1.37590069</v>
      </c>
      <c r="I79" s="18" t="n">
        <v>0</v>
      </c>
      <c r="J79" s="20" t="n">
        <v>0</v>
      </c>
      <c r="K79" s="18" t="n">
        <v>1.38249783</v>
      </c>
      <c r="L79" s="20" t="n">
        <v>0.28571002</v>
      </c>
      <c r="M79" s="18" t="n">
        <v>0</v>
      </c>
      <c r="N79" s="20" t="n">
        <v>0</v>
      </c>
      <c r="O79" s="18" t="n">
        <v>0</v>
      </c>
      <c r="P79" s="20" t="n">
        <v>0</v>
      </c>
      <c r="Q79" s="18" t="n">
        <v>3.23426356</v>
      </c>
      <c r="R79" s="20" t="n">
        <v>0.56424416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(25334.0/B82*100)</f>
        <v/>
      </c>
      <c r="D82" s="19" t="n">
        <v>6996</v>
      </c>
      <c r="E82" s="18" t="n">
        <v>52.72404513</v>
      </c>
      <c r="F82" s="20" t="n">
        <v>1.01267046</v>
      </c>
      <c r="G82" s="18" t="n">
        <v>44.89219233</v>
      </c>
      <c r="H82" s="20" t="n">
        <v>1.00786985</v>
      </c>
      <c r="I82" s="18" t="n">
        <v>0</v>
      </c>
      <c r="J82" s="20" t="n">
        <v>0</v>
      </c>
      <c r="K82" s="18" t="n">
        <v>0.23456697</v>
      </c>
      <c r="L82" s="20" t="n">
        <v>0.10208039</v>
      </c>
      <c r="M82" s="18" t="n">
        <v>0</v>
      </c>
      <c r="N82" s="20" t="n">
        <v>0</v>
      </c>
      <c r="O82" s="18" t="n">
        <v>0</v>
      </c>
      <c r="P82" s="20" t="n">
        <v>0</v>
      </c>
      <c r="Q82" s="18" t="n">
        <v>2.14919557</v>
      </c>
      <c r="R82" s="20" t="n">
        <v>0.2506712</v>
      </c>
    </row>
    <row r="83" spans="1:18">
      <c r="A83" s="15" t="s">
        <v>643</v>
      </c>
      <c r="B83" s="17" t="n">
        <v>1652</v>
      </c>
      <c r="C83" s="18">
        <f>(1315.0/B83*100)</f>
        <v/>
      </c>
      <c r="D83" s="19" t="n">
        <v>337</v>
      </c>
      <c r="E83" s="18" t="n">
        <v>37.00817337</v>
      </c>
      <c r="F83" s="20" t="n">
        <v>3.2638739</v>
      </c>
      <c r="G83" s="18" t="n">
        <v>61.60981389</v>
      </c>
      <c r="H83" s="20" t="n">
        <v>3.18747261</v>
      </c>
      <c r="I83" s="18" t="n">
        <v>0</v>
      </c>
      <c r="J83" s="20" t="n">
        <v>0</v>
      </c>
      <c r="K83" s="18" t="n">
        <v>0</v>
      </c>
      <c r="L83" s="20" t="n">
        <v>0</v>
      </c>
      <c r="M83" s="18" t="n">
        <v>0</v>
      </c>
      <c r="N83" s="20" t="n">
        <v>0</v>
      </c>
      <c r="O83" s="18" t="n">
        <v>0</v>
      </c>
      <c r="P83" s="20" t="n">
        <v>0</v>
      </c>
      <c r="Q83" s="18" t="n">
        <v>1.38201275</v>
      </c>
      <c r="R83" s="20" t="n">
        <v>0.62699384</v>
      </c>
    </row>
    <row r="84" spans="1:18">
      <c r="A84" s="23" t="s">
        <v>644</v>
      </c>
      <c r="B84" s="24" t="n">
        <v>1887</v>
      </c>
      <c r="C84" s="25">
        <f>(1460.0/B84*100)</f>
        <v/>
      </c>
      <c r="D84" s="19" t="n">
        <v>427</v>
      </c>
      <c r="E84" s="18" t="n">
        <v>43.60162893</v>
      </c>
      <c r="F84" s="20" t="n">
        <v>3.31004577</v>
      </c>
      <c r="G84" s="18" t="n">
        <v>53.82219729</v>
      </c>
      <c r="H84" s="20" t="n">
        <v>3.38560674</v>
      </c>
      <c r="I84" s="18" t="n">
        <v>0</v>
      </c>
      <c r="J84" s="20" t="n">
        <v>0</v>
      </c>
      <c r="K84" s="18" t="n">
        <v>0</v>
      </c>
      <c r="L84" s="20" t="n">
        <v>0</v>
      </c>
      <c r="M84" s="18" t="n">
        <v>0</v>
      </c>
      <c r="N84" s="20" t="n">
        <v>0</v>
      </c>
      <c r="O84" s="18" t="n">
        <v>0</v>
      </c>
      <c r="P84" s="20" t="n">
        <v>0</v>
      </c>
      <c r="Q84" s="18" t="n">
        <v>2.57617378</v>
      </c>
      <c r="R84" s="20" t="n">
        <v>0.6962118900000001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(11370.0/B7*100)</f>
        <v/>
      </c>
      <c r="D7" s="19" t="n">
        <v>3160</v>
      </c>
      <c r="E7" s="18" t="n">
        <v>16.33655136</v>
      </c>
      <c r="F7" s="20" t="n">
        <v>0.74221618</v>
      </c>
      <c r="G7" s="18" t="n">
        <v>82.38325764</v>
      </c>
      <c r="H7" s="20" t="n">
        <v>0.78153509</v>
      </c>
      <c r="I7" s="18" t="n">
        <v>0</v>
      </c>
      <c r="J7" s="20" t="n">
        <v>0</v>
      </c>
      <c r="K7" s="18" t="n">
        <v>0.50507649</v>
      </c>
      <c r="L7" s="20" t="n">
        <v>0.15945099</v>
      </c>
      <c r="M7" s="18" t="n">
        <v>0</v>
      </c>
      <c r="N7" s="20" t="n">
        <v>0</v>
      </c>
      <c r="O7" s="18" t="n">
        <v>0</v>
      </c>
      <c r="P7" s="20" t="n">
        <v>0</v>
      </c>
      <c r="Q7" s="18" t="n">
        <v>0.77511452</v>
      </c>
      <c r="R7" s="20" t="n">
        <v>0.19861473</v>
      </c>
    </row>
    <row r="8" spans="1:18">
      <c r="A8" s="15" t="s">
        <v>566</v>
      </c>
      <c r="B8" s="17" t="n">
        <v>7007</v>
      </c>
      <c r="C8" s="18">
        <f>(5506.0/B8*100)</f>
        <v/>
      </c>
      <c r="D8" s="19" t="n">
        <v>1501</v>
      </c>
      <c r="E8" s="18" t="n">
        <v>19.81193975</v>
      </c>
      <c r="F8" s="20" t="n">
        <v>1.25409873</v>
      </c>
      <c r="G8" s="18" t="n">
        <v>79.82413113</v>
      </c>
      <c r="H8" s="20" t="n">
        <v>1.26668428</v>
      </c>
      <c r="I8" s="18" t="n">
        <v>0</v>
      </c>
      <c r="J8" s="20" t="n">
        <v>0</v>
      </c>
      <c r="K8" s="18" t="n">
        <v>0</v>
      </c>
      <c r="L8" s="20" t="n">
        <v>0</v>
      </c>
      <c r="M8" s="18" t="n">
        <v>0</v>
      </c>
      <c r="N8" s="20" t="n">
        <v>0</v>
      </c>
      <c r="O8" s="18" t="n">
        <v>0</v>
      </c>
      <c r="P8" s="20" t="n">
        <v>0</v>
      </c>
      <c r="Q8" s="18" t="n">
        <v>0.36392912</v>
      </c>
      <c r="R8" s="20" t="n">
        <v>0.11956863</v>
      </c>
    </row>
    <row r="9" spans="1:18">
      <c r="A9" s="15" t="s">
        <v>567</v>
      </c>
      <c r="B9" s="17" t="n">
        <v>9651</v>
      </c>
      <c r="C9" s="18">
        <f>(7665.0/B9*100)</f>
        <v/>
      </c>
      <c r="D9" s="19" t="n">
        <v>1986</v>
      </c>
      <c r="E9" s="18" t="n">
        <v>16.64037137</v>
      </c>
      <c r="F9" s="20" t="n">
        <v>0.78522446</v>
      </c>
      <c r="G9" s="18" t="n">
        <v>82.24416748</v>
      </c>
      <c r="H9" s="20" t="n">
        <v>0.84668309</v>
      </c>
      <c r="I9" s="18" t="n">
        <v>0</v>
      </c>
      <c r="J9" s="20" t="n">
        <v>0</v>
      </c>
      <c r="K9" s="18" t="n">
        <v>0.47772265</v>
      </c>
      <c r="L9" s="20" t="n">
        <v>0.1448923</v>
      </c>
      <c r="M9" s="18" t="n">
        <v>0</v>
      </c>
      <c r="N9" s="20" t="n">
        <v>0</v>
      </c>
      <c r="O9" s="18" t="n">
        <v>0</v>
      </c>
      <c r="P9" s="20" t="n">
        <v>0</v>
      </c>
      <c r="Q9" s="18" t="n">
        <v>0.6377385</v>
      </c>
      <c r="R9" s="20" t="n">
        <v>0.19311215</v>
      </c>
    </row>
    <row r="10" spans="1:18">
      <c r="A10" s="15" t="s">
        <v>568</v>
      </c>
      <c r="B10" s="17" t="n">
        <v>20058</v>
      </c>
      <c r="C10" s="18">
        <f>(15554.0/B10*100)</f>
        <v/>
      </c>
      <c r="D10" s="19" t="n">
        <v>4504</v>
      </c>
      <c r="E10" s="18" t="n">
        <v>10.77797152</v>
      </c>
      <c r="F10" s="20" t="n">
        <v>0.65339868</v>
      </c>
      <c r="G10" s="18" t="n">
        <v>88.55286862</v>
      </c>
      <c r="H10" s="20" t="n">
        <v>0.66780229</v>
      </c>
      <c r="I10" s="18" t="n">
        <v>0</v>
      </c>
      <c r="J10" s="20" t="n">
        <v>0</v>
      </c>
      <c r="K10" s="18" t="n">
        <v>0.34569037</v>
      </c>
      <c r="L10" s="20" t="n">
        <v>0.10455287</v>
      </c>
      <c r="M10" s="18" t="n">
        <v>0</v>
      </c>
      <c r="N10" s="20" t="n">
        <v>0</v>
      </c>
      <c r="O10" s="18" t="n">
        <v>0</v>
      </c>
      <c r="P10" s="20" t="n">
        <v>0</v>
      </c>
      <c r="Q10" s="18" t="n">
        <v>0.32346949</v>
      </c>
      <c r="R10" s="20" t="n">
        <v>0.11194878</v>
      </c>
    </row>
    <row r="11" spans="1:18">
      <c r="A11" s="15" t="s">
        <v>569</v>
      </c>
      <c r="B11" s="17" t="n">
        <v>7053</v>
      </c>
      <c r="C11" s="18">
        <f>(5500.0/B11*100)</f>
        <v/>
      </c>
      <c r="D11" s="19" t="n">
        <v>1553</v>
      </c>
      <c r="E11" s="18" t="n">
        <v>19.49020351</v>
      </c>
      <c r="F11" s="20" t="n">
        <v>1.23476226</v>
      </c>
      <c r="G11" s="18" t="n">
        <v>78.56862076</v>
      </c>
      <c r="H11" s="20" t="n">
        <v>1.26452161</v>
      </c>
      <c r="I11" s="18" t="n">
        <v>0</v>
      </c>
      <c r="J11" s="20" t="n">
        <v>0</v>
      </c>
      <c r="K11" s="18" t="n">
        <v>1.25787014</v>
      </c>
      <c r="L11" s="20" t="n">
        <v>0.34538414</v>
      </c>
      <c r="M11" s="18" t="n">
        <v>0</v>
      </c>
      <c r="N11" s="20" t="n">
        <v>0</v>
      </c>
      <c r="O11" s="18" t="n">
        <v>0</v>
      </c>
      <c r="P11" s="20" t="n">
        <v>0</v>
      </c>
      <c r="Q11" s="18" t="n">
        <v>0.68330558</v>
      </c>
      <c r="R11" s="20" t="n">
        <v>0.20507248</v>
      </c>
    </row>
    <row r="12" spans="1:18">
      <c r="A12" s="15" t="s">
        <v>570</v>
      </c>
      <c r="B12" s="17" t="n">
        <v>6894</v>
      </c>
      <c r="C12" s="18">
        <f>(5412.0/B12*100)</f>
        <v/>
      </c>
      <c r="D12" s="19" t="n">
        <v>1482</v>
      </c>
      <c r="E12" s="18" t="n">
        <v>16.48292623</v>
      </c>
      <c r="F12" s="20" t="n">
        <v>1.25506328</v>
      </c>
      <c r="G12" s="18" t="n">
        <v>82.94136047000001</v>
      </c>
      <c r="H12" s="20" t="n">
        <v>1.26553726</v>
      </c>
      <c r="I12" s="18" t="n">
        <v>0</v>
      </c>
      <c r="J12" s="20" t="n">
        <v>0</v>
      </c>
      <c r="K12" s="18" t="n">
        <v>0.15042674</v>
      </c>
      <c r="L12" s="20" t="n">
        <v>0.08846026</v>
      </c>
      <c r="M12" s="18" t="n">
        <v>0</v>
      </c>
      <c r="N12" s="20" t="n">
        <v>0</v>
      </c>
      <c r="O12" s="18" t="n">
        <v>0</v>
      </c>
      <c r="P12" s="20" t="n">
        <v>0</v>
      </c>
      <c r="Q12" s="18" t="n">
        <v>0.42528655</v>
      </c>
      <c r="R12" s="20" t="n">
        <v>0.17955379</v>
      </c>
    </row>
    <row r="13" spans="1:18">
      <c r="A13" s="15" t="s">
        <v>571</v>
      </c>
      <c r="B13" s="17" t="n">
        <v>7161</v>
      </c>
      <c r="C13" s="18">
        <f>(5660.0/B13*100)</f>
        <v/>
      </c>
      <c r="D13" s="19" t="n">
        <v>1501</v>
      </c>
      <c r="E13" s="18" t="n">
        <v>15.15918597</v>
      </c>
      <c r="F13" s="20" t="n">
        <v>1.24683648</v>
      </c>
      <c r="G13" s="18" t="n">
        <v>84.13178606</v>
      </c>
      <c r="H13" s="20" t="n">
        <v>1.25193484</v>
      </c>
      <c r="I13" s="18" t="n">
        <v>0</v>
      </c>
      <c r="J13" s="20" t="n">
        <v>0</v>
      </c>
      <c r="K13" s="18" t="n">
        <v>0.22146098</v>
      </c>
      <c r="L13" s="20" t="n">
        <v>0.1285077</v>
      </c>
      <c r="M13" s="18" t="n">
        <v>0</v>
      </c>
      <c r="N13" s="20" t="n">
        <v>0</v>
      </c>
      <c r="O13" s="18" t="n">
        <v>0</v>
      </c>
      <c r="P13" s="20" t="n">
        <v>0</v>
      </c>
      <c r="Q13" s="18" t="n">
        <v>0.487567</v>
      </c>
      <c r="R13" s="20" t="n">
        <v>0.2278393</v>
      </c>
    </row>
    <row r="14" spans="1:18">
      <c r="A14" s="15" t="s">
        <v>572</v>
      </c>
      <c r="B14" s="17" t="n">
        <v>5587</v>
      </c>
      <c r="C14" s="18">
        <f>(4345.0/B14*100)</f>
        <v/>
      </c>
      <c r="D14" s="19" t="n">
        <v>1242</v>
      </c>
      <c r="E14" s="18" t="n">
        <v>16.55643018</v>
      </c>
      <c r="F14" s="20" t="n">
        <v>1.18746058</v>
      </c>
      <c r="G14" s="18" t="n">
        <v>82.54685861999999</v>
      </c>
      <c r="H14" s="20" t="n">
        <v>1.22254967</v>
      </c>
      <c r="I14" s="18" t="n">
        <v>0</v>
      </c>
      <c r="J14" s="20" t="n">
        <v>0</v>
      </c>
      <c r="K14" s="18" t="n">
        <v>0.75421529</v>
      </c>
      <c r="L14" s="20" t="n">
        <v>0.29458968</v>
      </c>
      <c r="M14" s="18" t="n">
        <v>0</v>
      </c>
      <c r="N14" s="20" t="n">
        <v>0</v>
      </c>
      <c r="O14" s="18" t="n">
        <v>0</v>
      </c>
      <c r="P14" s="20" t="n">
        <v>0</v>
      </c>
      <c r="Q14" s="18" t="n">
        <v>0.14249591</v>
      </c>
      <c r="R14" s="20" t="n">
        <v>0.10056521</v>
      </c>
    </row>
    <row r="15" spans="1:18">
      <c r="A15" s="15" t="s">
        <v>573</v>
      </c>
      <c r="B15" s="17" t="n">
        <v>5882</v>
      </c>
      <c r="C15" s="18">
        <f>(4581.0/B15*100)</f>
        <v/>
      </c>
      <c r="D15" s="19" t="n">
        <v>1301</v>
      </c>
      <c r="E15" s="18" t="n">
        <v>15.49871378</v>
      </c>
      <c r="F15" s="20" t="n">
        <v>1.03442482</v>
      </c>
      <c r="G15" s="18" t="n">
        <v>84.35961378</v>
      </c>
      <c r="H15" s="20" t="n">
        <v>1.03605496</v>
      </c>
      <c r="I15" s="18" t="n">
        <v>0</v>
      </c>
      <c r="J15" s="20" t="n">
        <v>0</v>
      </c>
      <c r="K15" s="18" t="n">
        <v>0.0795413</v>
      </c>
      <c r="L15" s="20" t="n">
        <v>0.07980311</v>
      </c>
      <c r="M15" s="18" t="n">
        <v>0</v>
      </c>
      <c r="N15" s="20" t="n">
        <v>0</v>
      </c>
      <c r="O15" s="18" t="n">
        <v>0</v>
      </c>
      <c r="P15" s="20" t="n">
        <v>0</v>
      </c>
      <c r="Q15" s="18" t="n">
        <v>0.06213114</v>
      </c>
      <c r="R15" s="20" t="n">
        <v>0.06199334</v>
      </c>
    </row>
    <row r="16" spans="1:18">
      <c r="A16" s="15" t="s">
        <v>574</v>
      </c>
      <c r="B16" s="17" t="n">
        <v>6108</v>
      </c>
      <c r="C16" s="18">
        <f>(4759.0/B16*100)</f>
        <v/>
      </c>
      <c r="D16" s="19" t="n">
        <v>1349</v>
      </c>
      <c r="E16" s="18" t="n">
        <v>17.93880807</v>
      </c>
      <c r="F16" s="20" t="n">
        <v>1.06269253</v>
      </c>
      <c r="G16" s="18" t="n">
        <v>79.93347867</v>
      </c>
      <c r="H16" s="20" t="n">
        <v>1.08161393</v>
      </c>
      <c r="I16" s="18" t="n">
        <v>0</v>
      </c>
      <c r="J16" s="20" t="n">
        <v>0</v>
      </c>
      <c r="K16" s="18" t="n">
        <v>0.97466678</v>
      </c>
      <c r="L16" s="20" t="n">
        <v>0.24298422</v>
      </c>
      <c r="M16" s="18" t="n">
        <v>0</v>
      </c>
      <c r="N16" s="20" t="n">
        <v>0</v>
      </c>
      <c r="O16" s="18" t="n">
        <v>0</v>
      </c>
      <c r="P16" s="20" t="n">
        <v>0</v>
      </c>
      <c r="Q16" s="18" t="n">
        <v>1.15304647</v>
      </c>
      <c r="R16" s="20" t="n">
        <v>0.29842502</v>
      </c>
    </row>
    <row r="17" spans="1:18">
      <c r="A17" s="15" t="s">
        <v>575</v>
      </c>
      <c r="B17" s="17" t="n">
        <v>6504</v>
      </c>
      <c r="C17" s="18">
        <f>(5097.0/B17*100)</f>
        <v/>
      </c>
      <c r="D17" s="19" t="n">
        <v>1407</v>
      </c>
      <c r="E17" s="18" t="n">
        <v>15.25407228</v>
      </c>
      <c r="F17" s="20" t="n">
        <v>0.8815272199999999</v>
      </c>
      <c r="G17" s="18" t="n">
        <v>83.93088044</v>
      </c>
      <c r="H17" s="20" t="n">
        <v>0.89147945</v>
      </c>
      <c r="I17" s="18" t="n">
        <v>0</v>
      </c>
      <c r="J17" s="20" t="n">
        <v>0</v>
      </c>
      <c r="K17" s="18" t="n">
        <v>0.2965626</v>
      </c>
      <c r="L17" s="20" t="n">
        <v>0.18032399</v>
      </c>
      <c r="M17" s="18" t="n">
        <v>0</v>
      </c>
      <c r="N17" s="20" t="n">
        <v>0</v>
      </c>
      <c r="O17" s="18" t="n">
        <v>0</v>
      </c>
      <c r="P17" s="20" t="n">
        <v>0</v>
      </c>
      <c r="Q17" s="18" t="n">
        <v>0.51848468</v>
      </c>
      <c r="R17" s="20" t="n">
        <v>0.14861266</v>
      </c>
    </row>
    <row r="18" spans="1:18">
      <c r="A18" s="15" t="s">
        <v>576</v>
      </c>
      <c r="B18" s="17" t="n">
        <v>5532</v>
      </c>
      <c r="C18" s="18">
        <f>(4321.0/B18*100)</f>
        <v/>
      </c>
      <c r="D18" s="19" t="n">
        <v>1211</v>
      </c>
      <c r="E18" s="18" t="n">
        <v>31.37894064</v>
      </c>
      <c r="F18" s="20" t="n">
        <v>1.64919324</v>
      </c>
      <c r="G18" s="18" t="n">
        <v>67.34268259</v>
      </c>
      <c r="H18" s="20" t="n">
        <v>1.57965994</v>
      </c>
      <c r="I18" s="18" t="n">
        <v>0</v>
      </c>
      <c r="J18" s="20" t="n">
        <v>0</v>
      </c>
      <c r="K18" s="18" t="n">
        <v>0.44038741</v>
      </c>
      <c r="L18" s="20" t="n">
        <v>0.1890951</v>
      </c>
      <c r="M18" s="18" t="n">
        <v>0</v>
      </c>
      <c r="N18" s="20" t="n">
        <v>0</v>
      </c>
      <c r="O18" s="18" t="n">
        <v>0</v>
      </c>
      <c r="P18" s="20" t="n">
        <v>0</v>
      </c>
      <c r="Q18" s="18" t="n">
        <v>0.83798935</v>
      </c>
      <c r="R18" s="20" t="n">
        <v>0.22332312</v>
      </c>
    </row>
    <row r="19" spans="1:18">
      <c r="A19" s="15" t="s">
        <v>577</v>
      </c>
      <c r="B19" s="17" t="n">
        <v>5658</v>
      </c>
      <c r="C19" s="18">
        <f>(4406.0/B19*100)</f>
        <v/>
      </c>
      <c r="D19" s="19" t="n">
        <v>1252</v>
      </c>
      <c r="E19" s="18" t="n">
        <v>25.86896691</v>
      </c>
      <c r="F19" s="20" t="n">
        <v>1.38672925</v>
      </c>
      <c r="G19" s="18" t="n">
        <v>73.44284933</v>
      </c>
      <c r="H19" s="20" t="n">
        <v>1.41777225</v>
      </c>
      <c r="I19" s="18" t="n">
        <v>0</v>
      </c>
      <c r="J19" s="20" t="n">
        <v>0</v>
      </c>
      <c r="K19" s="18" t="n">
        <v>0.10644135</v>
      </c>
      <c r="L19" s="20" t="n">
        <v>0.1061642</v>
      </c>
      <c r="M19" s="18" t="n">
        <v>0</v>
      </c>
      <c r="N19" s="20" t="n">
        <v>0</v>
      </c>
      <c r="O19" s="18" t="n">
        <v>0</v>
      </c>
      <c r="P19" s="20" t="n">
        <v>0</v>
      </c>
      <c r="Q19" s="18" t="n">
        <v>0.58174242</v>
      </c>
      <c r="R19" s="20" t="n">
        <v>0.20032024</v>
      </c>
    </row>
    <row r="20" spans="1:18">
      <c r="A20" s="15" t="s">
        <v>578</v>
      </c>
      <c r="B20" s="17" t="n">
        <v>3371</v>
      </c>
      <c r="C20" s="18">
        <f>(2607.0/B20*100)</f>
        <v/>
      </c>
      <c r="D20" s="19" t="n">
        <v>764</v>
      </c>
      <c r="E20" s="18" t="n">
        <v>20.53030159</v>
      </c>
      <c r="F20" s="20" t="n">
        <v>1.56346423</v>
      </c>
      <c r="G20" s="18" t="n">
        <v>77.63756667</v>
      </c>
      <c r="H20" s="20" t="n">
        <v>1.62180809</v>
      </c>
      <c r="I20" s="18" t="n">
        <v>0</v>
      </c>
      <c r="J20" s="20" t="n">
        <v>0</v>
      </c>
      <c r="K20" s="18" t="n">
        <v>1.32116384</v>
      </c>
      <c r="L20" s="20" t="n">
        <v>0.40673523</v>
      </c>
      <c r="M20" s="18" t="n">
        <v>0</v>
      </c>
      <c r="N20" s="20" t="n">
        <v>0</v>
      </c>
      <c r="O20" s="18" t="n">
        <v>0</v>
      </c>
      <c r="P20" s="20" t="n">
        <v>0</v>
      </c>
      <c r="Q20" s="18" t="n">
        <v>0.5109679</v>
      </c>
      <c r="R20" s="20" t="n">
        <v>0.30810935</v>
      </c>
    </row>
    <row r="21" spans="1:18">
      <c r="A21" s="15" t="s">
        <v>579</v>
      </c>
      <c r="B21" s="17" t="n">
        <v>5741</v>
      </c>
      <c r="C21" s="18">
        <f>(4492.0/B21*100)</f>
        <v/>
      </c>
      <c r="D21" s="19" t="n">
        <v>1249</v>
      </c>
      <c r="E21" s="18" t="n">
        <v>12.63486707</v>
      </c>
      <c r="F21" s="20" t="n">
        <v>0.95182341</v>
      </c>
      <c r="G21" s="18" t="n">
        <v>86.68785046000001</v>
      </c>
      <c r="H21" s="20" t="n">
        <v>0.95238284</v>
      </c>
      <c r="I21" s="18" t="n">
        <v>0</v>
      </c>
      <c r="J21" s="20" t="n">
        <v>0</v>
      </c>
      <c r="K21" s="18" t="n">
        <v>0.07302572</v>
      </c>
      <c r="L21" s="20" t="n">
        <v>0.07326290000000001</v>
      </c>
      <c r="M21" s="18" t="n">
        <v>0</v>
      </c>
      <c r="N21" s="20" t="n">
        <v>0</v>
      </c>
      <c r="O21" s="18" t="n">
        <v>0</v>
      </c>
      <c r="P21" s="20" t="n">
        <v>0</v>
      </c>
      <c r="Q21" s="18" t="n">
        <v>0.60425675</v>
      </c>
      <c r="R21" s="20" t="n">
        <v>0.22466243</v>
      </c>
    </row>
    <row r="22" spans="1:18">
      <c r="A22" s="15" t="s">
        <v>580</v>
      </c>
      <c r="B22" s="17" t="n">
        <v>6598</v>
      </c>
      <c r="C22" s="18">
        <f>(5160.0/B22*100)</f>
        <v/>
      </c>
      <c r="D22" s="19" t="n">
        <v>1438</v>
      </c>
      <c r="E22" s="18" t="n">
        <v>23.76691718</v>
      </c>
      <c r="F22" s="20" t="n">
        <v>1.0643743</v>
      </c>
      <c r="G22" s="18" t="n">
        <v>74.1066726</v>
      </c>
      <c r="H22" s="20" t="n">
        <v>1.18286177</v>
      </c>
      <c r="I22" s="18" t="n">
        <v>0</v>
      </c>
      <c r="J22" s="20" t="n">
        <v>0</v>
      </c>
      <c r="K22" s="18" t="n">
        <v>0.8798930700000001</v>
      </c>
      <c r="L22" s="20" t="n">
        <v>0.24637979</v>
      </c>
      <c r="M22" s="18" t="n">
        <v>0</v>
      </c>
      <c r="N22" s="20" t="n">
        <v>0</v>
      </c>
      <c r="O22" s="18" t="n">
        <v>0</v>
      </c>
      <c r="P22" s="20" t="n">
        <v>0</v>
      </c>
      <c r="Q22" s="18" t="n">
        <v>1.24651715</v>
      </c>
      <c r="R22" s="20" t="n">
        <v>0.37601587</v>
      </c>
    </row>
    <row r="23" spans="1:18">
      <c r="A23" s="15" t="s">
        <v>581</v>
      </c>
      <c r="B23" s="17" t="n">
        <v>11583</v>
      </c>
      <c r="C23" s="18">
        <f>(9097.0/B23*100)</f>
        <v/>
      </c>
      <c r="D23" s="19" t="n">
        <v>2486</v>
      </c>
      <c r="E23" s="18" t="n">
        <v>15.69328519</v>
      </c>
      <c r="F23" s="20" t="n">
        <v>1.08809371</v>
      </c>
      <c r="G23" s="18" t="n">
        <v>82.10292899</v>
      </c>
      <c r="H23" s="20" t="n">
        <v>1.14170387</v>
      </c>
      <c r="I23" s="18" t="n">
        <v>0</v>
      </c>
      <c r="J23" s="20" t="n">
        <v>0</v>
      </c>
      <c r="K23" s="18" t="n">
        <v>1.62512417</v>
      </c>
      <c r="L23" s="20" t="n">
        <v>0.6839033</v>
      </c>
      <c r="M23" s="18" t="n">
        <v>0</v>
      </c>
      <c r="N23" s="20" t="n">
        <v>0</v>
      </c>
      <c r="O23" s="18" t="n">
        <v>0</v>
      </c>
      <c r="P23" s="20" t="n">
        <v>0</v>
      </c>
      <c r="Q23" s="18" t="n">
        <v>0.57866165</v>
      </c>
      <c r="R23" s="20" t="n">
        <v>0.22454837</v>
      </c>
    </row>
    <row r="24" spans="1:18">
      <c r="A24" s="15" t="s">
        <v>582</v>
      </c>
      <c r="B24" s="17" t="n">
        <v>6647</v>
      </c>
      <c r="C24" s="18">
        <f>(5173.0/B24*100)</f>
        <v/>
      </c>
      <c r="D24" s="19" t="n">
        <v>1474</v>
      </c>
      <c r="E24" s="18" t="n">
        <v>10.41707943</v>
      </c>
      <c r="F24" s="20" t="n">
        <v>0.71687026</v>
      </c>
      <c r="G24" s="18" t="n">
        <v>88.85647736999999</v>
      </c>
      <c r="H24" s="20" t="n">
        <v>0.74273419</v>
      </c>
      <c r="I24" s="18" t="n">
        <v>0</v>
      </c>
      <c r="J24" s="20" t="n">
        <v>0</v>
      </c>
      <c r="K24" s="18" t="n">
        <v>0.1347274</v>
      </c>
      <c r="L24" s="20" t="n">
        <v>0.09370636</v>
      </c>
      <c r="M24" s="18" t="n">
        <v>0</v>
      </c>
      <c r="N24" s="20" t="n">
        <v>0</v>
      </c>
      <c r="O24" s="18" t="n">
        <v>0</v>
      </c>
      <c r="P24" s="20" t="n">
        <v>0</v>
      </c>
      <c r="Q24" s="18" t="n">
        <v>0.5917158</v>
      </c>
      <c r="R24" s="20" t="n">
        <v>0.18998085</v>
      </c>
    </row>
    <row r="25" spans="1:18">
      <c r="A25" s="15" t="s">
        <v>583</v>
      </c>
      <c r="B25" s="17" t="n">
        <v>5581</v>
      </c>
      <c r="C25" s="18">
        <f>(4343.0/B25*100)</f>
        <v/>
      </c>
      <c r="D25" s="19" t="n">
        <v>1238</v>
      </c>
      <c r="E25" s="18" t="n">
        <v>12.0164469</v>
      </c>
      <c r="F25" s="20" t="n">
        <v>0.96328451</v>
      </c>
      <c r="G25" s="18" t="n">
        <v>87.57735543</v>
      </c>
      <c r="H25" s="20" t="n">
        <v>0.9779278</v>
      </c>
      <c r="I25" s="18" t="n">
        <v>0</v>
      </c>
      <c r="J25" s="20" t="n">
        <v>0</v>
      </c>
      <c r="K25" s="18" t="n">
        <v>0.40619766</v>
      </c>
      <c r="L25" s="20" t="n">
        <v>0.23258046</v>
      </c>
      <c r="M25" s="18" t="n">
        <v>0</v>
      </c>
      <c r="N25" s="20" t="n">
        <v>0</v>
      </c>
      <c r="O25" s="18" t="n">
        <v>0</v>
      </c>
      <c r="P25" s="20" t="n">
        <v>0</v>
      </c>
      <c r="Q25" s="18" t="n">
        <v>0</v>
      </c>
      <c r="R25" s="20" t="n">
        <v>0</v>
      </c>
    </row>
    <row r="26" spans="1:18">
      <c r="A26" s="15" t="s">
        <v>584</v>
      </c>
      <c r="B26" s="17" t="n">
        <v>4869</v>
      </c>
      <c r="C26" s="18">
        <f>(3809.0/B26*100)</f>
        <v/>
      </c>
      <c r="D26" s="19" t="n">
        <v>1060</v>
      </c>
      <c r="E26" s="18" t="n">
        <v>18.28889553</v>
      </c>
      <c r="F26" s="20" t="n">
        <v>1.2924245</v>
      </c>
      <c r="G26" s="18" t="n">
        <v>81.23402996</v>
      </c>
      <c r="H26" s="20" t="n">
        <v>1.30026393</v>
      </c>
      <c r="I26" s="18" t="n">
        <v>0</v>
      </c>
      <c r="J26" s="20" t="n">
        <v>0</v>
      </c>
      <c r="K26" s="18" t="n">
        <v>0</v>
      </c>
      <c r="L26" s="20" t="n">
        <v>0</v>
      </c>
      <c r="M26" s="18" t="n">
        <v>0</v>
      </c>
      <c r="N26" s="20" t="n">
        <v>0</v>
      </c>
      <c r="O26" s="18" t="n">
        <v>0</v>
      </c>
      <c r="P26" s="20" t="n">
        <v>0</v>
      </c>
      <c r="Q26" s="18" t="n">
        <v>0.47707451</v>
      </c>
      <c r="R26" s="20" t="n">
        <v>0.198847</v>
      </c>
    </row>
    <row r="27" spans="1:18">
      <c r="A27" s="15" t="s">
        <v>585</v>
      </c>
      <c r="B27" s="17" t="n">
        <v>5299</v>
      </c>
      <c r="C27" s="18">
        <f>(4163.0/B27*100)</f>
        <v/>
      </c>
      <c r="D27" s="19" t="n">
        <v>1136</v>
      </c>
      <c r="E27" s="18" t="n">
        <v>19.47071413</v>
      </c>
      <c r="F27" s="20" t="n">
        <v>1.21685991</v>
      </c>
      <c r="G27" s="18" t="n">
        <v>79.11356926000001</v>
      </c>
      <c r="H27" s="20" t="n">
        <v>1.2260084</v>
      </c>
      <c r="I27" s="18" t="n">
        <v>0</v>
      </c>
      <c r="J27" s="20" t="n">
        <v>0</v>
      </c>
      <c r="K27" s="18" t="n">
        <v>0.62557737</v>
      </c>
      <c r="L27" s="20" t="n">
        <v>0.23474459</v>
      </c>
      <c r="M27" s="18" t="n">
        <v>0</v>
      </c>
      <c r="N27" s="20" t="n">
        <v>0</v>
      </c>
      <c r="O27" s="18" t="n">
        <v>0</v>
      </c>
      <c r="P27" s="20" t="n">
        <v>0</v>
      </c>
      <c r="Q27" s="18" t="n">
        <v>0.79013923</v>
      </c>
      <c r="R27" s="20" t="n">
        <v>0.26087069</v>
      </c>
    </row>
    <row r="28" spans="1:18">
      <c r="A28" s="15" t="s">
        <v>586</v>
      </c>
      <c r="B28" s="17" t="n">
        <v>7568</v>
      </c>
      <c r="C28" s="18">
        <f>(6030.0/B28*100)</f>
        <v/>
      </c>
      <c r="D28" s="19" t="n">
        <v>1538</v>
      </c>
      <c r="E28" s="18" t="n">
        <v>28.52777238</v>
      </c>
      <c r="F28" s="20" t="n">
        <v>1.24889739</v>
      </c>
      <c r="G28" s="18" t="n">
        <v>69.75155961</v>
      </c>
      <c r="H28" s="20" t="n">
        <v>1.24731783</v>
      </c>
      <c r="I28" s="18" t="n">
        <v>0</v>
      </c>
      <c r="J28" s="20" t="n">
        <v>0</v>
      </c>
      <c r="K28" s="18" t="n">
        <v>0.82275827</v>
      </c>
      <c r="L28" s="20" t="n">
        <v>0.31412068</v>
      </c>
      <c r="M28" s="18" t="n">
        <v>0</v>
      </c>
      <c r="N28" s="20" t="n">
        <v>0</v>
      </c>
      <c r="O28" s="18" t="n">
        <v>0</v>
      </c>
      <c r="P28" s="20" t="n">
        <v>0</v>
      </c>
      <c r="Q28" s="18" t="n">
        <v>0.89790974</v>
      </c>
      <c r="R28" s="20" t="n">
        <v>0.22143917</v>
      </c>
    </row>
    <row r="29" spans="1:18">
      <c r="A29" s="15" t="s">
        <v>587</v>
      </c>
      <c r="B29" s="17" t="n">
        <v>5385</v>
      </c>
      <c r="C29" s="18">
        <f>(4198.0/B29*100)</f>
        <v/>
      </c>
      <c r="D29" s="19" t="n">
        <v>1187</v>
      </c>
      <c r="E29" s="18" t="n">
        <v>13.00181641</v>
      </c>
      <c r="F29" s="20" t="n">
        <v>1.0985329</v>
      </c>
      <c r="G29" s="18" t="n">
        <v>86.22290876</v>
      </c>
      <c r="H29" s="20" t="n">
        <v>1.10018931</v>
      </c>
      <c r="I29" s="18" t="n">
        <v>0</v>
      </c>
      <c r="J29" s="20" t="n">
        <v>0</v>
      </c>
      <c r="K29" s="18" t="n">
        <v>0.44087706</v>
      </c>
      <c r="L29" s="20" t="n">
        <v>0.20381233</v>
      </c>
      <c r="M29" s="18" t="n">
        <v>0</v>
      </c>
      <c r="N29" s="20" t="n">
        <v>0</v>
      </c>
      <c r="O29" s="18" t="n">
        <v>0</v>
      </c>
      <c r="P29" s="20" t="n">
        <v>0</v>
      </c>
      <c r="Q29" s="18" t="n">
        <v>0.33439777</v>
      </c>
      <c r="R29" s="20" t="n">
        <v>0.15431306</v>
      </c>
    </row>
    <row r="30" spans="1:18">
      <c r="A30" s="15" t="s">
        <v>588</v>
      </c>
      <c r="B30" s="17" t="n">
        <v>4520</v>
      </c>
      <c r="C30" s="18">
        <f>(3537.0/B30*100)</f>
        <v/>
      </c>
      <c r="D30" s="19" t="n">
        <v>983</v>
      </c>
      <c r="E30" s="18" t="n">
        <v>14.03809686</v>
      </c>
      <c r="F30" s="20" t="n">
        <v>1.0627665</v>
      </c>
      <c r="G30" s="18" t="n">
        <v>84.86088678</v>
      </c>
      <c r="H30" s="20" t="n">
        <v>1.12579979</v>
      </c>
      <c r="I30" s="18" t="n">
        <v>0</v>
      </c>
      <c r="J30" s="20" t="n">
        <v>0</v>
      </c>
      <c r="K30" s="18" t="n">
        <v>0.37636451</v>
      </c>
      <c r="L30" s="20" t="n">
        <v>0.18880959</v>
      </c>
      <c r="M30" s="18" t="n">
        <v>0</v>
      </c>
      <c r="N30" s="20" t="n">
        <v>0</v>
      </c>
      <c r="O30" s="18" t="n">
        <v>0</v>
      </c>
      <c r="P30" s="20" t="n">
        <v>0</v>
      </c>
      <c r="Q30" s="18" t="n">
        <v>0.72465185</v>
      </c>
      <c r="R30" s="20" t="n">
        <v>0.27587198</v>
      </c>
    </row>
    <row r="31" spans="1:18">
      <c r="A31" s="15" t="s">
        <v>589</v>
      </c>
      <c r="B31" s="17" t="n">
        <v>5456</v>
      </c>
      <c r="C31" s="18">
        <f>(4237.0/B31*100)</f>
        <v/>
      </c>
      <c r="D31" s="19" t="n">
        <v>1219</v>
      </c>
      <c r="E31" s="18" t="n">
        <v>17.16809744</v>
      </c>
      <c r="F31" s="20" t="n">
        <v>0.97043332</v>
      </c>
      <c r="G31" s="18" t="n">
        <v>81.55937019</v>
      </c>
      <c r="H31" s="20" t="n">
        <v>1.03023639</v>
      </c>
      <c r="I31" s="18" t="n">
        <v>0</v>
      </c>
      <c r="J31" s="20" t="n">
        <v>0</v>
      </c>
      <c r="K31" s="18" t="n">
        <v>0.54887717</v>
      </c>
      <c r="L31" s="20" t="n">
        <v>0.20887491</v>
      </c>
      <c r="M31" s="18" t="n">
        <v>0</v>
      </c>
      <c r="N31" s="20" t="n">
        <v>0</v>
      </c>
      <c r="O31" s="18" t="n">
        <v>0</v>
      </c>
      <c r="P31" s="20" t="n">
        <v>0</v>
      </c>
      <c r="Q31" s="18" t="n">
        <v>0.72365521</v>
      </c>
      <c r="R31" s="20" t="n">
        <v>0.23217946</v>
      </c>
    </row>
    <row r="32" spans="1:18">
      <c r="A32" s="15" t="s">
        <v>590</v>
      </c>
      <c r="B32" s="17" t="n">
        <v>4478</v>
      </c>
      <c r="C32" s="18">
        <f>(3490.0/B32*100)</f>
        <v/>
      </c>
      <c r="D32" s="19" t="n">
        <v>988</v>
      </c>
      <c r="E32" s="18" t="n">
        <v>15.48262462</v>
      </c>
      <c r="F32" s="20" t="n">
        <v>1.16129077</v>
      </c>
      <c r="G32" s="18" t="n">
        <v>84.04651214</v>
      </c>
      <c r="H32" s="20" t="n">
        <v>1.16665552</v>
      </c>
      <c r="I32" s="18" t="n">
        <v>0</v>
      </c>
      <c r="J32" s="20" t="n">
        <v>0</v>
      </c>
      <c r="K32" s="18" t="n">
        <v>0.08798971999999999</v>
      </c>
      <c r="L32" s="20" t="n">
        <v>0.08829674</v>
      </c>
      <c r="M32" s="18" t="n">
        <v>0</v>
      </c>
      <c r="N32" s="20" t="n">
        <v>0</v>
      </c>
      <c r="O32" s="18" t="n">
        <v>0</v>
      </c>
      <c r="P32" s="20" t="n">
        <v>0</v>
      </c>
      <c r="Q32" s="18" t="n">
        <v>0.38287352</v>
      </c>
      <c r="R32" s="20" t="n">
        <v>0.19513164</v>
      </c>
    </row>
    <row r="33" spans="1:18">
      <c r="A33" s="15" t="s">
        <v>591</v>
      </c>
      <c r="B33" s="17" t="n">
        <v>7325</v>
      </c>
      <c r="C33" s="18">
        <f>(5832.0/B33*100)</f>
        <v/>
      </c>
      <c r="D33" s="19" t="n">
        <v>1493</v>
      </c>
      <c r="E33" s="18" t="n">
        <v>18.70672096</v>
      </c>
      <c r="F33" s="20" t="n">
        <v>1.20091959</v>
      </c>
      <c r="G33" s="18" t="n">
        <v>80.01652195</v>
      </c>
      <c r="H33" s="20" t="n">
        <v>1.22409001</v>
      </c>
      <c r="I33" s="18" t="n">
        <v>0</v>
      </c>
      <c r="J33" s="20" t="n">
        <v>0</v>
      </c>
      <c r="K33" s="18" t="n">
        <v>0.49710339</v>
      </c>
      <c r="L33" s="20" t="n">
        <v>0.22463824</v>
      </c>
      <c r="M33" s="18" t="n">
        <v>0</v>
      </c>
      <c r="N33" s="20" t="n">
        <v>0</v>
      </c>
      <c r="O33" s="18" t="n">
        <v>0</v>
      </c>
      <c r="P33" s="20" t="n">
        <v>0</v>
      </c>
      <c r="Q33" s="18" t="n">
        <v>0.77965369</v>
      </c>
      <c r="R33" s="20" t="n">
        <v>0.20479161</v>
      </c>
    </row>
    <row r="34" spans="1:18">
      <c r="A34" s="15" t="s">
        <v>592</v>
      </c>
      <c r="B34" s="17" t="n">
        <v>6350</v>
      </c>
      <c r="C34" s="18">
        <f>(4971.0/B34*100)</f>
        <v/>
      </c>
      <c r="D34" s="19" t="n">
        <v>1379</v>
      </c>
      <c r="E34" s="18" t="n">
        <v>22.78132659</v>
      </c>
      <c r="F34" s="20" t="n">
        <v>1.08556343</v>
      </c>
      <c r="G34" s="18" t="n">
        <v>76.11675150000001</v>
      </c>
      <c r="H34" s="20" t="n">
        <v>1.141911</v>
      </c>
      <c r="I34" s="18" t="n">
        <v>0</v>
      </c>
      <c r="J34" s="20" t="n">
        <v>0</v>
      </c>
      <c r="K34" s="18" t="n">
        <v>0.51853291</v>
      </c>
      <c r="L34" s="20" t="n">
        <v>0.21364381</v>
      </c>
      <c r="M34" s="18" t="n">
        <v>0</v>
      </c>
      <c r="N34" s="20" t="n">
        <v>0</v>
      </c>
      <c r="O34" s="18" t="n">
        <v>0</v>
      </c>
      <c r="P34" s="20" t="n">
        <v>0</v>
      </c>
      <c r="Q34" s="18" t="n">
        <v>0.583389</v>
      </c>
      <c r="R34" s="20" t="n">
        <v>0.1860178</v>
      </c>
    </row>
    <row r="35" spans="1:18">
      <c r="A35" s="15" t="s">
        <v>593</v>
      </c>
      <c r="B35" s="17" t="n">
        <v>6406</v>
      </c>
      <c r="C35" s="18">
        <f>(5031.0/B35*100)</f>
        <v/>
      </c>
      <c r="D35" s="19" t="n">
        <v>1375</v>
      </c>
      <c r="E35" s="18" t="n">
        <v>15.07956918</v>
      </c>
      <c r="F35" s="20" t="n">
        <v>1.13097249</v>
      </c>
      <c r="G35" s="18" t="n">
        <v>83.8026333</v>
      </c>
      <c r="H35" s="20" t="n">
        <v>1.16425757</v>
      </c>
      <c r="I35" s="18" t="n">
        <v>0</v>
      </c>
      <c r="J35" s="20" t="n">
        <v>0</v>
      </c>
      <c r="K35" s="18" t="n">
        <v>0.72414532</v>
      </c>
      <c r="L35" s="20" t="n">
        <v>0.40948964</v>
      </c>
      <c r="M35" s="18" t="n">
        <v>0</v>
      </c>
      <c r="N35" s="20" t="n">
        <v>0</v>
      </c>
      <c r="O35" s="18" t="n">
        <v>0</v>
      </c>
      <c r="P35" s="20" t="n">
        <v>0</v>
      </c>
      <c r="Q35" s="18" t="n">
        <v>0.3936522</v>
      </c>
      <c r="R35" s="20" t="n">
        <v>0.15518302</v>
      </c>
    </row>
    <row r="36" spans="1:18">
      <c r="A36" s="15" t="s">
        <v>594</v>
      </c>
      <c r="B36" s="17" t="n">
        <v>6736</v>
      </c>
      <c r="C36" s="18">
        <f>(5304.0/B36*100)</f>
        <v/>
      </c>
      <c r="D36" s="19" t="n">
        <v>1432</v>
      </c>
      <c r="E36" s="18" t="n">
        <v>15.23867239</v>
      </c>
      <c r="F36" s="20" t="n">
        <v>1.14734903</v>
      </c>
      <c r="G36" s="18" t="n">
        <v>84.04770925</v>
      </c>
      <c r="H36" s="20" t="n">
        <v>1.18002273</v>
      </c>
      <c r="I36" s="18" t="n">
        <v>0</v>
      </c>
      <c r="J36" s="20" t="n">
        <v>0</v>
      </c>
      <c r="K36" s="18" t="n">
        <v>0.18410853</v>
      </c>
      <c r="L36" s="20" t="n">
        <v>0.12619187</v>
      </c>
      <c r="M36" s="18" t="n">
        <v>0</v>
      </c>
      <c r="N36" s="20" t="n">
        <v>0</v>
      </c>
      <c r="O36" s="18" t="n">
        <v>0</v>
      </c>
      <c r="P36" s="20" t="n">
        <v>0</v>
      </c>
      <c r="Q36" s="18" t="n">
        <v>0.52950982</v>
      </c>
      <c r="R36" s="20" t="n">
        <v>0.15285114</v>
      </c>
    </row>
    <row r="37" spans="1:18">
      <c r="A37" s="15" t="s">
        <v>595</v>
      </c>
      <c r="B37" s="17" t="n">
        <v>5458</v>
      </c>
      <c r="C37" s="18">
        <f>(4308.0/B37*100)</f>
        <v/>
      </c>
      <c r="D37" s="19" t="n">
        <v>1150</v>
      </c>
      <c r="E37" s="18" t="n">
        <v>20.22154284</v>
      </c>
      <c r="F37" s="20" t="n">
        <v>1.5602343</v>
      </c>
      <c r="G37" s="18" t="n">
        <v>77.92044647</v>
      </c>
      <c r="H37" s="20" t="n">
        <v>1.54740263</v>
      </c>
      <c r="I37" s="18" t="n">
        <v>0</v>
      </c>
      <c r="J37" s="20" t="n">
        <v>0</v>
      </c>
      <c r="K37" s="18" t="n">
        <v>1.10414869</v>
      </c>
      <c r="L37" s="20" t="n">
        <v>0.26696441</v>
      </c>
      <c r="M37" s="18" t="n">
        <v>0</v>
      </c>
      <c r="N37" s="20" t="n">
        <v>0</v>
      </c>
      <c r="O37" s="18" t="n">
        <v>0</v>
      </c>
      <c r="P37" s="20" t="n">
        <v>0</v>
      </c>
      <c r="Q37" s="18" t="n">
        <v>0.753862</v>
      </c>
      <c r="R37" s="20" t="n">
        <v>0.22728385</v>
      </c>
    </row>
    <row r="38" spans="1:18">
      <c r="A38" s="15" t="s">
        <v>596</v>
      </c>
      <c r="B38" s="17" t="n">
        <v>5860</v>
      </c>
      <c r="C38" s="18">
        <f>(4637.0/B38*100)</f>
        <v/>
      </c>
      <c r="D38" s="19" t="n">
        <v>1223</v>
      </c>
      <c r="E38" s="18" t="n">
        <v>16.47852682</v>
      </c>
      <c r="F38" s="20" t="n">
        <v>1.13766565</v>
      </c>
      <c r="G38" s="18" t="n">
        <v>82.93033771</v>
      </c>
      <c r="H38" s="20" t="n">
        <v>1.18100141</v>
      </c>
      <c r="I38" s="18" t="n">
        <v>0</v>
      </c>
      <c r="J38" s="20" t="n">
        <v>0</v>
      </c>
      <c r="K38" s="18" t="n">
        <v>0.28754024</v>
      </c>
      <c r="L38" s="20" t="n">
        <v>0.17103234</v>
      </c>
      <c r="M38" s="18" t="n">
        <v>0</v>
      </c>
      <c r="N38" s="20" t="n">
        <v>0</v>
      </c>
      <c r="O38" s="18" t="n">
        <v>0</v>
      </c>
      <c r="P38" s="20" t="n">
        <v>0</v>
      </c>
      <c r="Q38" s="18" t="n">
        <v>0.30359524</v>
      </c>
      <c r="R38" s="20" t="n">
        <v>0.17530533</v>
      </c>
    </row>
    <row r="39" spans="1:18">
      <c r="A39" s="15" t="s">
        <v>597</v>
      </c>
      <c r="B39" s="17" t="n">
        <v>5895</v>
      </c>
      <c r="C39" s="18">
        <f>(4568.0/B39*100)</f>
        <v/>
      </c>
      <c r="D39" s="19" t="n">
        <v>1327</v>
      </c>
      <c r="E39" s="18" t="n">
        <v>29.6584224</v>
      </c>
      <c r="F39" s="20" t="n">
        <v>1.67981039</v>
      </c>
      <c r="G39" s="18" t="n">
        <v>69.61566895999999</v>
      </c>
      <c r="H39" s="20" t="n">
        <v>1.683942</v>
      </c>
      <c r="I39" s="18" t="n">
        <v>0</v>
      </c>
      <c r="J39" s="20" t="n">
        <v>0</v>
      </c>
      <c r="K39" s="18" t="n">
        <v>0.09383343</v>
      </c>
      <c r="L39" s="20" t="n">
        <v>0.08870279</v>
      </c>
      <c r="M39" s="18" t="n">
        <v>0</v>
      </c>
      <c r="N39" s="20" t="n">
        <v>0</v>
      </c>
      <c r="O39" s="18" t="n">
        <v>0</v>
      </c>
      <c r="P39" s="20" t="n">
        <v>0</v>
      </c>
      <c r="Q39" s="18" t="n">
        <v>0.63207521</v>
      </c>
      <c r="R39" s="20" t="n">
        <v>0.18298456</v>
      </c>
    </row>
    <row r="40" spans="1:18">
      <c r="A40" s="15" t="s">
        <v>598</v>
      </c>
      <c r="B40" s="17" t="n">
        <v>14157</v>
      </c>
      <c r="C40" s="18">
        <f>(11054.0/B40*100)</f>
        <v/>
      </c>
      <c r="D40" s="19" t="n">
        <v>3103</v>
      </c>
      <c r="E40" s="18" t="n">
        <v>16.75398288</v>
      </c>
      <c r="F40" s="20" t="n">
        <v>1.20626647</v>
      </c>
      <c r="G40" s="18" t="n">
        <v>82.29506662</v>
      </c>
      <c r="H40" s="20" t="n">
        <v>1.24896421</v>
      </c>
      <c r="I40" s="18" t="n">
        <v>0</v>
      </c>
      <c r="J40" s="20" t="n">
        <v>0</v>
      </c>
      <c r="K40" s="18" t="n">
        <v>0.46632229</v>
      </c>
      <c r="L40" s="20" t="n">
        <v>0.2063389</v>
      </c>
      <c r="M40" s="18" t="n">
        <v>0</v>
      </c>
      <c r="N40" s="20" t="n">
        <v>0</v>
      </c>
      <c r="O40" s="18" t="n">
        <v>0</v>
      </c>
      <c r="P40" s="20" t="n">
        <v>0</v>
      </c>
      <c r="Q40" s="18" t="n">
        <v>0.48462821</v>
      </c>
      <c r="R40" s="20" t="n">
        <v>0.180159</v>
      </c>
    </row>
    <row r="41" spans="1:18">
      <c r="A41" s="15" t="s">
        <v>599</v>
      </c>
      <c r="B41" s="17" t="n">
        <v>5712</v>
      </c>
      <c r="C41" s="18">
        <f>(4499.0/B41*100)</f>
        <v/>
      </c>
      <c r="D41" s="19" t="n">
        <v>1213</v>
      </c>
      <c r="E41" s="18" t="n">
        <v>12.91556283</v>
      </c>
      <c r="F41" s="20" t="n">
        <v>1.23604138</v>
      </c>
      <c r="G41" s="18" t="n">
        <v>86.84494604</v>
      </c>
      <c r="H41" s="20" t="n">
        <v>1.25714222</v>
      </c>
      <c r="I41" s="18" t="n">
        <v>0</v>
      </c>
      <c r="J41" s="20" t="n">
        <v>0</v>
      </c>
      <c r="K41" s="18" t="n">
        <v>0.09766405</v>
      </c>
      <c r="L41" s="20" t="n">
        <v>0.06869009</v>
      </c>
      <c r="M41" s="18" t="n">
        <v>0</v>
      </c>
      <c r="N41" s="20" t="n">
        <v>0</v>
      </c>
      <c r="O41" s="18" t="n">
        <v>0</v>
      </c>
      <c r="P41" s="20" t="n">
        <v>0</v>
      </c>
      <c r="Q41" s="18" t="n">
        <v>0.14182708</v>
      </c>
      <c r="R41" s="20" t="n">
        <v>0.10120765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(19358.0/B46*100)</f>
        <v/>
      </c>
      <c r="D46" s="19" t="n">
        <v>3783</v>
      </c>
      <c r="E46" s="18" t="n">
        <v>36.21288046</v>
      </c>
      <c r="F46" s="20" t="n">
        <v>1.1681488</v>
      </c>
      <c r="G46" s="18" t="n">
        <v>60.32024234</v>
      </c>
      <c r="H46" s="20" t="n">
        <v>1.21307523</v>
      </c>
      <c r="I46" s="18" t="n">
        <v>0</v>
      </c>
      <c r="J46" s="20" t="n">
        <v>0</v>
      </c>
      <c r="K46" s="18" t="n">
        <v>2.20860892</v>
      </c>
      <c r="L46" s="20" t="n">
        <v>0.43451748</v>
      </c>
      <c r="M46" s="18" t="n">
        <v>0</v>
      </c>
      <c r="N46" s="20" t="n">
        <v>0</v>
      </c>
      <c r="O46" s="18" t="n">
        <v>0</v>
      </c>
      <c r="P46" s="20" t="n">
        <v>0</v>
      </c>
      <c r="Q46" s="18" t="n">
        <v>1.25826829</v>
      </c>
      <c r="R46" s="20" t="n">
        <v>0.2310336</v>
      </c>
    </row>
    <row r="47" spans="1:18">
      <c r="A47" s="15" t="s">
        <v>606</v>
      </c>
      <c r="B47" s="17" t="n">
        <v>5928</v>
      </c>
      <c r="C47" s="18">
        <f>(4631.0/B47*100)</f>
        <v/>
      </c>
      <c r="D47" s="19" t="n">
        <v>1297</v>
      </c>
      <c r="E47" s="18" t="n">
        <v>22.57900267</v>
      </c>
      <c r="F47" s="20" t="n">
        <v>1.45666926</v>
      </c>
      <c r="G47" s="18" t="n">
        <v>76.06268826</v>
      </c>
      <c r="H47" s="20" t="n">
        <v>1.58661964</v>
      </c>
      <c r="I47" s="18" t="n">
        <v>0</v>
      </c>
      <c r="J47" s="20" t="n">
        <v>0</v>
      </c>
      <c r="K47" s="18" t="n">
        <v>0.42572713</v>
      </c>
      <c r="L47" s="20" t="n">
        <v>0.19955124</v>
      </c>
      <c r="M47" s="18" t="n">
        <v>0</v>
      </c>
      <c r="N47" s="20" t="n">
        <v>0</v>
      </c>
      <c r="O47" s="18" t="n">
        <v>0</v>
      </c>
      <c r="P47" s="20" t="n">
        <v>0</v>
      </c>
      <c r="Q47" s="18" t="n">
        <v>0.93258195</v>
      </c>
      <c r="R47" s="20" t="n">
        <v>0.28994377</v>
      </c>
    </row>
    <row r="48" spans="1:18">
      <c r="A48" s="15" t="s">
        <v>607</v>
      </c>
      <c r="B48" s="17" t="n">
        <v>9841</v>
      </c>
      <c r="C48" s="18">
        <f>(7679.0/B48*100)</f>
        <v/>
      </c>
      <c r="D48" s="19" t="n">
        <v>2162</v>
      </c>
      <c r="E48" s="18" t="n">
        <v>15.14318249</v>
      </c>
      <c r="F48" s="20" t="n">
        <v>0.99343411</v>
      </c>
      <c r="G48" s="18" t="n">
        <v>84.07309632</v>
      </c>
      <c r="H48" s="20" t="n">
        <v>0.98019636</v>
      </c>
      <c r="I48" s="18" t="n">
        <v>0</v>
      </c>
      <c r="J48" s="20" t="n">
        <v>0</v>
      </c>
      <c r="K48" s="18" t="n">
        <v>0.4337652</v>
      </c>
      <c r="L48" s="20" t="n">
        <v>0.21481985</v>
      </c>
      <c r="M48" s="18" t="n">
        <v>0</v>
      </c>
      <c r="N48" s="20" t="n">
        <v>0</v>
      </c>
      <c r="O48" s="18" t="n">
        <v>0</v>
      </c>
      <c r="P48" s="20" t="n">
        <v>0</v>
      </c>
      <c r="Q48" s="18" t="n">
        <v>0.34995598</v>
      </c>
      <c r="R48" s="20" t="n">
        <v>0.15720978</v>
      </c>
    </row>
    <row r="49" spans="1:18">
      <c r="A49" s="15" t="s">
        <v>608</v>
      </c>
      <c r="B49" s="17" t="n">
        <v>11795</v>
      </c>
      <c r="C49" s="18">
        <f>(9338.0/B49*100)</f>
        <v/>
      </c>
      <c r="D49" s="19" t="n">
        <v>2457</v>
      </c>
      <c r="E49" s="18" t="n">
        <v>27.44284004</v>
      </c>
      <c r="F49" s="20" t="n">
        <v>1.18866001</v>
      </c>
      <c r="G49" s="18" t="n">
        <v>70.78250691</v>
      </c>
      <c r="H49" s="20" t="n">
        <v>1.22749064</v>
      </c>
      <c r="I49" s="18" t="n">
        <v>0</v>
      </c>
      <c r="J49" s="20" t="n">
        <v>0</v>
      </c>
      <c r="K49" s="18" t="n">
        <v>1.21286726</v>
      </c>
      <c r="L49" s="20" t="n">
        <v>0.30259699</v>
      </c>
      <c r="M49" s="18" t="n">
        <v>0</v>
      </c>
      <c r="N49" s="20" t="n">
        <v>0</v>
      </c>
      <c r="O49" s="18" t="n">
        <v>0</v>
      </c>
      <c r="P49" s="20" t="n">
        <v>0</v>
      </c>
      <c r="Q49" s="18" t="n">
        <v>0.56178579</v>
      </c>
      <c r="R49" s="20" t="n">
        <v>0.21787836</v>
      </c>
    </row>
    <row r="50" spans="1:18">
      <c r="A50" s="15" t="s">
        <v>609</v>
      </c>
      <c r="B50" s="17" t="n">
        <v>6866</v>
      </c>
      <c r="C50" s="18">
        <f>(5624.0/B50*100)</f>
        <v/>
      </c>
      <c r="D50" s="19" t="n">
        <v>1242</v>
      </c>
      <c r="E50" s="18" t="n">
        <v>23.73891418</v>
      </c>
      <c r="F50" s="20" t="n">
        <v>1.35309115</v>
      </c>
      <c r="G50" s="18" t="n">
        <v>74.87502116</v>
      </c>
      <c r="H50" s="20" t="n">
        <v>1.40324793</v>
      </c>
      <c r="I50" s="18" t="n">
        <v>0</v>
      </c>
      <c r="J50" s="20" t="n">
        <v>0</v>
      </c>
      <c r="K50" s="18" t="n">
        <v>0.5562942400000001</v>
      </c>
      <c r="L50" s="20" t="n">
        <v>0.26475925</v>
      </c>
      <c r="M50" s="18" t="n">
        <v>0</v>
      </c>
      <c r="N50" s="20" t="n">
        <v>0</v>
      </c>
      <c r="O50" s="18" t="n">
        <v>0</v>
      </c>
      <c r="P50" s="20" t="n">
        <v>0</v>
      </c>
      <c r="Q50" s="18" t="n">
        <v>0.82977042</v>
      </c>
      <c r="R50" s="20" t="n">
        <v>0.28984421</v>
      </c>
    </row>
    <row r="51" spans="1:18">
      <c r="A51" s="15" t="s">
        <v>610</v>
      </c>
      <c r="B51" s="17" t="n">
        <v>5809</v>
      </c>
      <c r="C51" s="18">
        <f>(4581.0/B51*100)</f>
        <v/>
      </c>
      <c r="D51" s="19" t="n">
        <v>1228</v>
      </c>
      <c r="E51" s="18" t="n">
        <v>25.0556941</v>
      </c>
      <c r="F51" s="20" t="n">
        <v>1.51753802</v>
      </c>
      <c r="G51" s="18" t="n">
        <v>74.24195913</v>
      </c>
      <c r="H51" s="20" t="n">
        <v>1.49046943</v>
      </c>
      <c r="I51" s="18" t="n">
        <v>0</v>
      </c>
      <c r="J51" s="20" t="n">
        <v>0</v>
      </c>
      <c r="K51" s="18" t="n">
        <v>0.13180996</v>
      </c>
      <c r="L51" s="20" t="n">
        <v>0.09284125999999999</v>
      </c>
      <c r="M51" s="18" t="n">
        <v>0</v>
      </c>
      <c r="N51" s="20" t="n">
        <v>0</v>
      </c>
      <c r="O51" s="18" t="n">
        <v>0</v>
      </c>
      <c r="P51" s="20" t="n">
        <v>0</v>
      </c>
      <c r="Q51" s="18" t="n">
        <v>0.5705368</v>
      </c>
      <c r="R51" s="20" t="n">
        <v>0.22967546</v>
      </c>
    </row>
    <row r="52" spans="1:18">
      <c r="A52" s="15" t="s">
        <v>611</v>
      </c>
      <c r="B52" s="17" t="n">
        <v>5571</v>
      </c>
      <c r="C52" s="18">
        <f>(4402.0/B52*100)</f>
        <v/>
      </c>
      <c r="D52" s="19" t="n">
        <v>1169</v>
      </c>
      <c r="E52" s="18" t="n">
        <v>34.12514315</v>
      </c>
      <c r="F52" s="20" t="n">
        <v>1.4077556</v>
      </c>
      <c r="G52" s="18" t="n">
        <v>64.0952214</v>
      </c>
      <c r="H52" s="20" t="n">
        <v>1.39124591</v>
      </c>
      <c r="I52" s="18" t="n">
        <v>0</v>
      </c>
      <c r="J52" s="20" t="n">
        <v>0</v>
      </c>
      <c r="K52" s="18" t="n">
        <v>0.53425744</v>
      </c>
      <c r="L52" s="20" t="n">
        <v>0.21246742</v>
      </c>
      <c r="M52" s="18" t="n">
        <v>0</v>
      </c>
      <c r="N52" s="20" t="n">
        <v>0</v>
      </c>
      <c r="O52" s="18" t="n">
        <v>0</v>
      </c>
      <c r="P52" s="20" t="n">
        <v>0</v>
      </c>
      <c r="Q52" s="18" t="n">
        <v>1.24537802</v>
      </c>
      <c r="R52" s="20" t="n">
        <v>0.35635123</v>
      </c>
    </row>
    <row r="53" spans="1:18">
      <c r="A53" s="15" t="s">
        <v>612</v>
      </c>
      <c r="B53" s="17" t="n">
        <v>4740</v>
      </c>
      <c r="C53" s="18">
        <f>(3671.0/B53*100)</f>
        <v/>
      </c>
      <c r="D53" s="19" t="n">
        <v>1069</v>
      </c>
      <c r="E53" s="18" t="n">
        <v>35.95683588</v>
      </c>
      <c r="F53" s="20" t="n">
        <v>1.65345669</v>
      </c>
      <c r="G53" s="18" t="n">
        <v>42.09625786</v>
      </c>
      <c r="H53" s="20" t="n">
        <v>1.73038209</v>
      </c>
      <c r="I53" s="18" t="n">
        <v>0</v>
      </c>
      <c r="J53" s="20" t="n">
        <v>0</v>
      </c>
      <c r="K53" s="18" t="n">
        <v>20.52252964</v>
      </c>
      <c r="L53" s="20" t="n">
        <v>1.40357322</v>
      </c>
      <c r="M53" s="18" t="n">
        <v>0</v>
      </c>
      <c r="N53" s="20" t="n">
        <v>0</v>
      </c>
      <c r="O53" s="18" t="n">
        <v>0</v>
      </c>
      <c r="P53" s="20" t="n">
        <v>0</v>
      </c>
      <c r="Q53" s="18" t="n">
        <v>1.42437663</v>
      </c>
      <c r="R53" s="20" t="n">
        <v>0.38376899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(4182.0/B55*100)</f>
        <v/>
      </c>
      <c r="D55" s="19" t="n">
        <v>1177</v>
      </c>
      <c r="E55" s="18" t="n">
        <v>23.93778302</v>
      </c>
      <c r="F55" s="20" t="n">
        <v>1.26714412</v>
      </c>
      <c r="G55" s="18" t="n">
        <v>75.74075338</v>
      </c>
      <c r="H55" s="20" t="n">
        <v>1.25864557</v>
      </c>
      <c r="I55" s="18" t="n">
        <v>0</v>
      </c>
      <c r="J55" s="20" t="n">
        <v>0</v>
      </c>
      <c r="K55" s="18" t="n">
        <v>0.2613653</v>
      </c>
      <c r="L55" s="20" t="n">
        <v>0.16828718</v>
      </c>
      <c r="M55" s="18" t="n">
        <v>0</v>
      </c>
      <c r="N55" s="20" t="n">
        <v>0</v>
      </c>
      <c r="O55" s="18" t="n">
        <v>0</v>
      </c>
      <c r="P55" s="20" t="n">
        <v>0</v>
      </c>
      <c r="Q55" s="18" t="n">
        <v>0.0600983</v>
      </c>
      <c r="R55" s="20" t="n">
        <v>0.06037419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(5088.0/B61*100)</f>
        <v/>
      </c>
      <c r="D61" s="19" t="n">
        <v>1437</v>
      </c>
      <c r="E61" s="18" t="n">
        <v>19.47001344</v>
      </c>
      <c r="F61" s="20" t="n">
        <v>1.34925362</v>
      </c>
      <c r="G61" s="18" t="n">
        <v>79.88491094</v>
      </c>
      <c r="H61" s="20" t="n">
        <v>1.34932695</v>
      </c>
      <c r="I61" s="18" t="n">
        <v>0</v>
      </c>
      <c r="J61" s="20" t="n">
        <v>0</v>
      </c>
      <c r="K61" s="18" t="n">
        <v>0.45468705</v>
      </c>
      <c r="L61" s="20" t="n">
        <v>0.18101655</v>
      </c>
      <c r="M61" s="18" t="n">
        <v>0</v>
      </c>
      <c r="N61" s="20" t="n">
        <v>0</v>
      </c>
      <c r="O61" s="18" t="n">
        <v>0</v>
      </c>
      <c r="P61" s="20" t="n">
        <v>0</v>
      </c>
      <c r="Q61" s="18" t="n">
        <v>0.19038857</v>
      </c>
      <c r="R61" s="20" t="n">
        <v>0.1060106</v>
      </c>
    </row>
    <row r="62" spans="1:18">
      <c r="A62" s="15" t="s">
        <v>622</v>
      </c>
      <c r="B62" s="17" t="n">
        <v>4476</v>
      </c>
      <c r="C62" s="18">
        <f>(3521.0/B62*100)</f>
        <v/>
      </c>
      <c r="D62" s="19" t="n">
        <v>955</v>
      </c>
      <c r="E62" s="18" t="n">
        <v>14.67256363</v>
      </c>
      <c r="F62" s="20" t="n">
        <v>1.06029364</v>
      </c>
      <c r="G62" s="18" t="n">
        <v>84.90767590999999</v>
      </c>
      <c r="H62" s="20" t="n">
        <v>1.06042086</v>
      </c>
      <c r="I62" s="18" t="n">
        <v>0</v>
      </c>
      <c r="J62" s="20" t="n">
        <v>0</v>
      </c>
      <c r="K62" s="18" t="n">
        <v>0.10763067</v>
      </c>
      <c r="L62" s="20" t="n">
        <v>0.10789782</v>
      </c>
      <c r="M62" s="18" t="n">
        <v>0</v>
      </c>
      <c r="N62" s="20" t="n">
        <v>0</v>
      </c>
      <c r="O62" s="18" t="n">
        <v>0</v>
      </c>
      <c r="P62" s="20" t="n">
        <v>0</v>
      </c>
      <c r="Q62" s="18" t="n">
        <v>0.31212978</v>
      </c>
      <c r="R62" s="20" t="n">
        <v>0.17870725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(4451.0/B67*100)</f>
        <v/>
      </c>
      <c r="D67" s="19" t="n">
        <v>1214</v>
      </c>
      <c r="E67" s="18" t="n">
        <v>32.00631911</v>
      </c>
      <c r="F67" s="20" t="n">
        <v>1.49119652</v>
      </c>
      <c r="G67" s="18" t="n">
        <v>65.11107584</v>
      </c>
      <c r="H67" s="20" t="n">
        <v>1.43812741</v>
      </c>
      <c r="I67" s="18" t="n">
        <v>0</v>
      </c>
      <c r="J67" s="20" t="n">
        <v>0</v>
      </c>
      <c r="K67" s="18" t="n">
        <v>0.77115215</v>
      </c>
      <c r="L67" s="20" t="n">
        <v>0.21542389</v>
      </c>
      <c r="M67" s="18" t="n">
        <v>0</v>
      </c>
      <c r="N67" s="20" t="n">
        <v>0</v>
      </c>
      <c r="O67" s="18" t="n">
        <v>0</v>
      </c>
      <c r="P67" s="20" t="n">
        <v>0</v>
      </c>
      <c r="Q67" s="18" t="n">
        <v>2.1114529</v>
      </c>
      <c r="R67" s="20" t="n">
        <v>0.4146295</v>
      </c>
    </row>
    <row r="68" spans="1:18">
      <c r="A68" s="15" t="s">
        <v>628</v>
      </c>
      <c r="B68" s="17" t="n">
        <v>6971</v>
      </c>
      <c r="C68" s="18">
        <f>(5640.0/B68*100)</f>
        <v/>
      </c>
      <c r="D68" s="19" t="n">
        <v>1331</v>
      </c>
      <c r="E68" s="18" t="n">
        <v>27.71387116</v>
      </c>
      <c r="F68" s="20" t="n">
        <v>1.44620428</v>
      </c>
      <c r="G68" s="18" t="n">
        <v>71.48514369999999</v>
      </c>
      <c r="H68" s="20" t="n">
        <v>1.42885405</v>
      </c>
      <c r="I68" s="18" t="n">
        <v>0</v>
      </c>
      <c r="J68" s="20" t="n">
        <v>0</v>
      </c>
      <c r="K68" s="18" t="n">
        <v>0.20428742</v>
      </c>
      <c r="L68" s="20" t="n">
        <v>0.11917226</v>
      </c>
      <c r="M68" s="18" t="n">
        <v>0</v>
      </c>
      <c r="N68" s="20" t="n">
        <v>0</v>
      </c>
      <c r="O68" s="18" t="n">
        <v>0</v>
      </c>
      <c r="P68" s="20" t="n">
        <v>0</v>
      </c>
      <c r="Q68" s="18" t="n">
        <v>0.59669771</v>
      </c>
      <c r="R68" s="20" t="n">
        <v>0.20528866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(9414.0/B70*100)</f>
        <v/>
      </c>
      <c r="D70" s="19" t="n">
        <v>2669</v>
      </c>
      <c r="E70" s="18" t="n">
        <v>33.55814296</v>
      </c>
      <c r="F70" s="20" t="n">
        <v>0.92431347</v>
      </c>
      <c r="G70" s="18" t="n">
        <v>62.51581115</v>
      </c>
      <c r="H70" s="20" t="n">
        <v>0.94038667</v>
      </c>
      <c r="I70" s="18" t="n">
        <v>0</v>
      </c>
      <c r="J70" s="20" t="n">
        <v>0</v>
      </c>
      <c r="K70" s="18" t="n">
        <v>2.69985942</v>
      </c>
      <c r="L70" s="20" t="n">
        <v>0.30420218</v>
      </c>
      <c r="M70" s="18" t="n">
        <v>0</v>
      </c>
      <c r="N70" s="20" t="n">
        <v>0</v>
      </c>
      <c r="O70" s="18" t="n">
        <v>0</v>
      </c>
      <c r="P70" s="20" t="n">
        <v>0</v>
      </c>
      <c r="Q70" s="18" t="n">
        <v>1.22618648</v>
      </c>
      <c r="R70" s="20" t="n">
        <v>0.21496742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(4790.0/B72*100)</f>
        <v/>
      </c>
      <c r="D72" s="19" t="n">
        <v>1246</v>
      </c>
      <c r="E72" s="18" t="n">
        <v>25.52545147</v>
      </c>
      <c r="F72" s="20" t="n">
        <v>1.37467125</v>
      </c>
      <c r="G72" s="18" t="n">
        <v>73.6411432</v>
      </c>
      <c r="H72" s="20" t="n">
        <v>1.31368394</v>
      </c>
      <c r="I72" s="18" t="n">
        <v>0</v>
      </c>
      <c r="J72" s="20" t="n">
        <v>0</v>
      </c>
      <c r="K72" s="18" t="n">
        <v>0.31379742</v>
      </c>
      <c r="L72" s="20" t="n">
        <v>0.14144417</v>
      </c>
      <c r="M72" s="18" t="n">
        <v>0</v>
      </c>
      <c r="N72" s="20" t="n">
        <v>0</v>
      </c>
      <c r="O72" s="18" t="n">
        <v>0</v>
      </c>
      <c r="P72" s="20" t="n">
        <v>0</v>
      </c>
      <c r="Q72" s="18" t="n">
        <v>0.51960791</v>
      </c>
      <c r="R72" s="20" t="n">
        <v>0.16106256</v>
      </c>
    </row>
    <row r="73" spans="1:18">
      <c r="A73" s="15" t="s">
        <v>633</v>
      </c>
      <c r="B73" s="17" t="n">
        <v>6115</v>
      </c>
      <c r="C73" s="18">
        <f>(4718.0/B73*100)</f>
        <v/>
      </c>
      <c r="D73" s="19" t="n">
        <v>1397</v>
      </c>
      <c r="E73" s="18" t="n">
        <v>13.74957421</v>
      </c>
      <c r="F73" s="20" t="n">
        <v>0.83989521</v>
      </c>
      <c r="G73" s="18" t="n">
        <v>85.88206522999999</v>
      </c>
      <c r="H73" s="20" t="n">
        <v>0.8267239</v>
      </c>
      <c r="I73" s="18" t="n">
        <v>0</v>
      </c>
      <c r="J73" s="20" t="n">
        <v>0</v>
      </c>
      <c r="K73" s="18" t="n">
        <v>0.14299353</v>
      </c>
      <c r="L73" s="20" t="n">
        <v>0.08464627</v>
      </c>
      <c r="M73" s="18" t="n">
        <v>0</v>
      </c>
      <c r="N73" s="20" t="n">
        <v>0</v>
      </c>
      <c r="O73" s="18" t="n">
        <v>0</v>
      </c>
      <c r="P73" s="20" t="n">
        <v>0</v>
      </c>
      <c r="Q73" s="18" t="n">
        <v>0.22536704</v>
      </c>
      <c r="R73" s="20" t="n">
        <v>0.11895837</v>
      </c>
    </row>
    <row r="74" spans="1:18">
      <c r="A74" s="15" t="s">
        <v>634</v>
      </c>
      <c r="B74" s="17" t="n">
        <v>7708</v>
      </c>
      <c r="C74" s="18">
        <f>(5981.0/B74*100)</f>
        <v/>
      </c>
      <c r="D74" s="19" t="n">
        <v>1727</v>
      </c>
      <c r="E74" s="18" t="n">
        <v>19.26641542</v>
      </c>
      <c r="F74" s="20" t="n">
        <v>1.00500088</v>
      </c>
      <c r="G74" s="18" t="n">
        <v>80.42508522</v>
      </c>
      <c r="H74" s="20" t="n">
        <v>0.98800283</v>
      </c>
      <c r="I74" s="18" t="n">
        <v>0</v>
      </c>
      <c r="J74" s="20" t="n">
        <v>0</v>
      </c>
      <c r="K74" s="18" t="n">
        <v>0.10477063</v>
      </c>
      <c r="L74" s="20" t="n">
        <v>0.08222421000000001</v>
      </c>
      <c r="M74" s="18" t="n">
        <v>0</v>
      </c>
      <c r="N74" s="20" t="n">
        <v>0</v>
      </c>
      <c r="O74" s="18" t="n">
        <v>0</v>
      </c>
      <c r="P74" s="20" t="n">
        <v>0</v>
      </c>
      <c r="Q74" s="18" t="n">
        <v>0.20372873</v>
      </c>
      <c r="R74" s="20" t="n">
        <v>0.11701343</v>
      </c>
    </row>
    <row r="75" spans="1:18">
      <c r="A75" s="15" t="s">
        <v>635</v>
      </c>
      <c r="B75" s="17" t="n">
        <v>8249</v>
      </c>
      <c r="C75" s="18">
        <f>(6540.0/B75*100)</f>
        <v/>
      </c>
      <c r="D75" s="19" t="n">
        <v>1709</v>
      </c>
      <c r="E75" s="18" t="n">
        <v>33.07411207</v>
      </c>
      <c r="F75" s="20" t="n">
        <v>1.41412359</v>
      </c>
      <c r="G75" s="18" t="n">
        <v>66.32576838</v>
      </c>
      <c r="H75" s="20" t="n">
        <v>1.51522362</v>
      </c>
      <c r="I75" s="18" t="n">
        <v>0</v>
      </c>
      <c r="J75" s="20" t="n">
        <v>0</v>
      </c>
      <c r="K75" s="18" t="n">
        <v>0</v>
      </c>
      <c r="L75" s="20" t="n">
        <v>0</v>
      </c>
      <c r="M75" s="18" t="n">
        <v>0</v>
      </c>
      <c r="N75" s="20" t="n">
        <v>0</v>
      </c>
      <c r="O75" s="18" t="n">
        <v>0</v>
      </c>
      <c r="P75" s="20" t="n">
        <v>0</v>
      </c>
      <c r="Q75" s="18" t="n">
        <v>0.60011956</v>
      </c>
      <c r="R75" s="20" t="n">
        <v>0.26638739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(4325.0/B77*100)</f>
        <v/>
      </c>
      <c r="D77" s="19" t="n">
        <v>1050</v>
      </c>
      <c r="E77" s="18" t="n">
        <v>25.51213217</v>
      </c>
      <c r="F77" s="20" t="n">
        <v>1.34105295</v>
      </c>
      <c r="G77" s="18" t="n">
        <v>67.36112549000001</v>
      </c>
      <c r="H77" s="20" t="n">
        <v>1.50133813</v>
      </c>
      <c r="I77" s="18" t="n">
        <v>0</v>
      </c>
      <c r="J77" s="20" t="n">
        <v>0</v>
      </c>
      <c r="K77" s="18" t="n">
        <v>5.22424414</v>
      </c>
      <c r="L77" s="20" t="n">
        <v>0.84850327</v>
      </c>
      <c r="M77" s="18" t="n">
        <v>0</v>
      </c>
      <c r="N77" s="20" t="n">
        <v>0</v>
      </c>
      <c r="O77" s="18" t="n">
        <v>0</v>
      </c>
      <c r="P77" s="20" t="n">
        <v>0</v>
      </c>
      <c r="Q77" s="18" t="n">
        <v>1.90249821</v>
      </c>
      <c r="R77" s="20" t="n">
        <v>0.46816854</v>
      </c>
    </row>
    <row r="78" spans="1:18">
      <c r="A78" s="15" t="s">
        <v>638</v>
      </c>
      <c r="B78" s="17" t="n">
        <v>14167</v>
      </c>
      <c r="C78" s="18">
        <f>(11044.0/B78*100)</f>
        <v/>
      </c>
      <c r="D78" s="19" t="n">
        <v>3123</v>
      </c>
      <c r="E78" s="18" t="n">
        <v>29.98003754</v>
      </c>
      <c r="F78" s="20" t="n">
        <v>1.07306377</v>
      </c>
      <c r="G78" s="18" t="n">
        <v>67.85051261</v>
      </c>
      <c r="H78" s="20" t="n">
        <v>1.06507217</v>
      </c>
      <c r="I78" s="18" t="n">
        <v>0</v>
      </c>
      <c r="J78" s="20" t="n">
        <v>0</v>
      </c>
      <c r="K78" s="18" t="n">
        <v>1.0867068</v>
      </c>
      <c r="L78" s="20" t="n">
        <v>0.25107056</v>
      </c>
      <c r="M78" s="18" t="n">
        <v>0</v>
      </c>
      <c r="N78" s="20" t="n">
        <v>0</v>
      </c>
      <c r="O78" s="18" t="n">
        <v>0</v>
      </c>
      <c r="P78" s="20" t="n">
        <v>0</v>
      </c>
      <c r="Q78" s="18" t="n">
        <v>1.08274306</v>
      </c>
      <c r="R78" s="20" t="n">
        <v>0.26571911</v>
      </c>
    </row>
    <row r="79" spans="1:18">
      <c r="A79" s="15" t="s">
        <v>639</v>
      </c>
      <c r="B79" s="17" t="n">
        <v>6062</v>
      </c>
      <c r="C79" s="18">
        <f>(4892.0/B79*100)</f>
        <v/>
      </c>
      <c r="D79" s="19" t="n">
        <v>1170</v>
      </c>
      <c r="E79" s="18" t="n">
        <v>27.66060249</v>
      </c>
      <c r="F79" s="20" t="n">
        <v>1.53459825</v>
      </c>
      <c r="G79" s="18" t="n">
        <v>69.85645913</v>
      </c>
      <c r="H79" s="20" t="n">
        <v>1.62841982</v>
      </c>
      <c r="I79" s="18" t="n">
        <v>0</v>
      </c>
      <c r="J79" s="20" t="n">
        <v>0</v>
      </c>
      <c r="K79" s="18" t="n">
        <v>1.70940138</v>
      </c>
      <c r="L79" s="20" t="n">
        <v>0.32602782</v>
      </c>
      <c r="M79" s="18" t="n">
        <v>0</v>
      </c>
      <c r="N79" s="20" t="n">
        <v>0</v>
      </c>
      <c r="O79" s="18" t="n">
        <v>0</v>
      </c>
      <c r="P79" s="20" t="n">
        <v>0</v>
      </c>
      <c r="Q79" s="18" t="n">
        <v>0.773537</v>
      </c>
      <c r="R79" s="20" t="n">
        <v>0.33241548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(25365.0/B82*100)</f>
        <v/>
      </c>
      <c r="D82" s="19" t="n">
        <v>6965</v>
      </c>
      <c r="E82" s="18" t="n">
        <v>15.70618316</v>
      </c>
      <c r="F82" s="20" t="n">
        <v>0.69832429</v>
      </c>
      <c r="G82" s="18" t="n">
        <v>83.59845064</v>
      </c>
      <c r="H82" s="20" t="n">
        <v>0.70528488</v>
      </c>
      <c r="I82" s="18" t="n">
        <v>0</v>
      </c>
      <c r="J82" s="20" t="n">
        <v>0</v>
      </c>
      <c r="K82" s="18" t="n">
        <v>0.30731038</v>
      </c>
      <c r="L82" s="20" t="n">
        <v>0.11222314</v>
      </c>
      <c r="M82" s="18" t="n">
        <v>0</v>
      </c>
      <c r="N82" s="20" t="n">
        <v>0</v>
      </c>
      <c r="O82" s="18" t="n">
        <v>0</v>
      </c>
      <c r="P82" s="20" t="n">
        <v>0</v>
      </c>
      <c r="Q82" s="18" t="n">
        <v>0.38805582</v>
      </c>
      <c r="R82" s="20" t="n">
        <v>0.1023641</v>
      </c>
    </row>
    <row r="83" spans="1:18">
      <c r="A83" s="15" t="s">
        <v>643</v>
      </c>
      <c r="B83" s="17" t="n">
        <v>1652</v>
      </c>
      <c r="C83" s="18">
        <f>(1319.0/B83*100)</f>
        <v/>
      </c>
      <c r="D83" s="19" t="n">
        <v>333</v>
      </c>
      <c r="E83" s="18" t="n">
        <v>10.6199567</v>
      </c>
      <c r="F83" s="20" t="n">
        <v>1.82713569</v>
      </c>
      <c r="G83" s="18" t="n">
        <v>88.47901084</v>
      </c>
      <c r="H83" s="20" t="n">
        <v>1.80366821</v>
      </c>
      <c r="I83" s="18" t="n">
        <v>0</v>
      </c>
      <c r="J83" s="20" t="n">
        <v>0</v>
      </c>
      <c r="K83" s="18" t="n">
        <v>0</v>
      </c>
      <c r="L83" s="20" t="n">
        <v>0</v>
      </c>
      <c r="M83" s="18" t="n">
        <v>0</v>
      </c>
      <c r="N83" s="20" t="n">
        <v>0</v>
      </c>
      <c r="O83" s="18" t="n">
        <v>0</v>
      </c>
      <c r="P83" s="20" t="n">
        <v>0</v>
      </c>
      <c r="Q83" s="18" t="n">
        <v>0.90103246</v>
      </c>
      <c r="R83" s="20" t="n">
        <v>0.52125853</v>
      </c>
    </row>
    <row r="84" spans="1:18">
      <c r="A84" s="23" t="s">
        <v>644</v>
      </c>
      <c r="B84" s="24" t="n">
        <v>1887</v>
      </c>
      <c r="C84" s="25">
        <f>(1462.0/B84*100)</f>
        <v/>
      </c>
      <c r="D84" s="19" t="n">
        <v>425</v>
      </c>
      <c r="E84" s="18" t="n">
        <v>10.75392082</v>
      </c>
      <c r="F84" s="20" t="n">
        <v>1.87109381</v>
      </c>
      <c r="G84" s="18" t="n">
        <v>88.97155585</v>
      </c>
      <c r="H84" s="20" t="n">
        <v>1.93295758</v>
      </c>
      <c r="I84" s="18" t="n">
        <v>0</v>
      </c>
      <c r="J84" s="20" t="n">
        <v>0</v>
      </c>
      <c r="K84" s="18" t="n">
        <v>0</v>
      </c>
      <c r="L84" s="20" t="n">
        <v>0</v>
      </c>
      <c r="M84" s="18" t="n">
        <v>0</v>
      </c>
      <c r="N84" s="20" t="n">
        <v>0</v>
      </c>
      <c r="O84" s="18" t="n">
        <v>0</v>
      </c>
      <c r="P84" s="20" t="n">
        <v>0</v>
      </c>
      <c r="Q84" s="18" t="n">
        <v>0.27452333</v>
      </c>
      <c r="R84" s="20" t="n">
        <v>0.26497726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(11375.0/B7*100)</f>
        <v/>
      </c>
      <c r="D7" s="19" t="n">
        <v>3155</v>
      </c>
      <c r="E7" s="18" t="n">
        <v>64.27797027</v>
      </c>
      <c r="F7" s="20" t="n">
        <v>1.16475849</v>
      </c>
      <c r="G7" s="18" t="n">
        <v>33.54823283</v>
      </c>
      <c r="H7" s="20" t="n">
        <v>1.10441003</v>
      </c>
      <c r="I7" s="18" t="n">
        <v>0</v>
      </c>
      <c r="J7" s="20" t="n">
        <v>0</v>
      </c>
      <c r="K7" s="18" t="n">
        <v>0.70053776</v>
      </c>
      <c r="L7" s="20" t="n">
        <v>0.17099967</v>
      </c>
      <c r="M7" s="18" t="n">
        <v>0</v>
      </c>
      <c r="N7" s="20" t="n">
        <v>0</v>
      </c>
      <c r="O7" s="18" t="n">
        <v>0</v>
      </c>
      <c r="P7" s="20" t="n">
        <v>0</v>
      </c>
      <c r="Q7" s="18" t="n">
        <v>1.47325913</v>
      </c>
      <c r="R7" s="20" t="n">
        <v>0.25310839</v>
      </c>
    </row>
    <row r="8" spans="1:18">
      <c r="A8" s="15" t="s">
        <v>566</v>
      </c>
      <c r="B8" s="17" t="n">
        <v>7007</v>
      </c>
      <c r="C8" s="18">
        <f>(5508.0/B8*100)</f>
        <v/>
      </c>
      <c r="D8" s="19" t="n">
        <v>1499</v>
      </c>
      <c r="E8" s="18" t="n">
        <v>60.20071386</v>
      </c>
      <c r="F8" s="20" t="n">
        <v>1.33094859</v>
      </c>
      <c r="G8" s="18" t="n">
        <v>38.5017705</v>
      </c>
      <c r="H8" s="20" t="n">
        <v>1.40084412</v>
      </c>
      <c r="I8" s="18" t="n">
        <v>0</v>
      </c>
      <c r="J8" s="20" t="n">
        <v>0</v>
      </c>
      <c r="K8" s="18" t="n">
        <v>0.18125358</v>
      </c>
      <c r="L8" s="20" t="n">
        <v>0.13008328</v>
      </c>
      <c r="M8" s="18" t="n">
        <v>0</v>
      </c>
      <c r="N8" s="20" t="n">
        <v>0</v>
      </c>
      <c r="O8" s="18" t="n">
        <v>0</v>
      </c>
      <c r="P8" s="20" t="n">
        <v>0</v>
      </c>
      <c r="Q8" s="18" t="n">
        <v>1.11626205</v>
      </c>
      <c r="R8" s="20" t="n">
        <v>0.29397782</v>
      </c>
    </row>
    <row r="9" spans="1:18">
      <c r="A9" s="15" t="s">
        <v>567</v>
      </c>
      <c r="B9" s="17" t="n">
        <v>9651</v>
      </c>
      <c r="C9" s="18">
        <f>(7677.0/B9*100)</f>
        <v/>
      </c>
      <c r="D9" s="19" t="n">
        <v>1974</v>
      </c>
      <c r="E9" s="18" t="n">
        <v>59.85365136</v>
      </c>
      <c r="F9" s="20" t="n">
        <v>1.26177597</v>
      </c>
      <c r="G9" s="18" t="n">
        <v>38.52986594</v>
      </c>
      <c r="H9" s="20" t="n">
        <v>1.22305915</v>
      </c>
      <c r="I9" s="18" t="n">
        <v>0</v>
      </c>
      <c r="J9" s="20" t="n">
        <v>0</v>
      </c>
      <c r="K9" s="18" t="n">
        <v>0.78809069</v>
      </c>
      <c r="L9" s="20" t="n">
        <v>0.19001657</v>
      </c>
      <c r="M9" s="18" t="n">
        <v>0</v>
      </c>
      <c r="N9" s="20" t="n">
        <v>0</v>
      </c>
      <c r="O9" s="18" t="n">
        <v>0</v>
      </c>
      <c r="P9" s="20" t="n">
        <v>0</v>
      </c>
      <c r="Q9" s="18" t="n">
        <v>0.82839202</v>
      </c>
      <c r="R9" s="20" t="n">
        <v>0.20832714</v>
      </c>
    </row>
    <row r="10" spans="1:18">
      <c r="A10" s="15" t="s">
        <v>568</v>
      </c>
      <c r="B10" s="17" t="n">
        <v>20058</v>
      </c>
      <c r="C10" s="18">
        <f>(15558.0/B10*100)</f>
        <v/>
      </c>
      <c r="D10" s="19" t="n">
        <v>4500</v>
      </c>
      <c r="E10" s="18" t="n">
        <v>62.20365725</v>
      </c>
      <c r="F10" s="20" t="n">
        <v>1.06276413</v>
      </c>
      <c r="G10" s="18" t="n">
        <v>36.4589521</v>
      </c>
      <c r="H10" s="20" t="n">
        <v>1.05703015</v>
      </c>
      <c r="I10" s="18" t="n">
        <v>0</v>
      </c>
      <c r="J10" s="20" t="n">
        <v>0</v>
      </c>
      <c r="K10" s="18" t="n">
        <v>0.59063537</v>
      </c>
      <c r="L10" s="20" t="n">
        <v>0.15792987</v>
      </c>
      <c r="M10" s="18" t="n">
        <v>0</v>
      </c>
      <c r="N10" s="20" t="n">
        <v>0</v>
      </c>
      <c r="O10" s="18" t="n">
        <v>0</v>
      </c>
      <c r="P10" s="20" t="n">
        <v>0</v>
      </c>
      <c r="Q10" s="18" t="n">
        <v>0.74675528</v>
      </c>
      <c r="R10" s="20" t="n">
        <v>0.18621304</v>
      </c>
    </row>
    <row r="11" spans="1:18">
      <c r="A11" s="15" t="s">
        <v>569</v>
      </c>
      <c r="B11" s="17" t="n">
        <v>7053</v>
      </c>
      <c r="C11" s="18">
        <f>(5504.0/B11*100)</f>
        <v/>
      </c>
      <c r="D11" s="19" t="n">
        <v>1549</v>
      </c>
      <c r="E11" s="18" t="n">
        <v>71.63979646</v>
      </c>
      <c r="F11" s="20" t="n">
        <v>1.41359005</v>
      </c>
      <c r="G11" s="18" t="n">
        <v>24.73146815</v>
      </c>
      <c r="H11" s="20" t="n">
        <v>1.3061989</v>
      </c>
      <c r="I11" s="18" t="n">
        <v>0</v>
      </c>
      <c r="J11" s="20" t="n">
        <v>0</v>
      </c>
      <c r="K11" s="18" t="n">
        <v>1.75103828</v>
      </c>
      <c r="L11" s="20" t="n">
        <v>0.48673019</v>
      </c>
      <c r="M11" s="18" t="n">
        <v>0</v>
      </c>
      <c r="N11" s="20" t="n">
        <v>0</v>
      </c>
      <c r="O11" s="18" t="n">
        <v>0</v>
      </c>
      <c r="P11" s="20" t="n">
        <v>0</v>
      </c>
      <c r="Q11" s="18" t="n">
        <v>1.8776971</v>
      </c>
      <c r="R11" s="20" t="n">
        <v>0.37654148</v>
      </c>
    </row>
    <row r="12" spans="1:18">
      <c r="A12" s="15" t="s">
        <v>570</v>
      </c>
      <c r="B12" s="17" t="n">
        <v>6894</v>
      </c>
      <c r="C12" s="18">
        <f>(5421.0/B12*100)</f>
        <v/>
      </c>
      <c r="D12" s="19" t="n">
        <v>1473</v>
      </c>
      <c r="E12" s="18" t="n">
        <v>63.07598475</v>
      </c>
      <c r="F12" s="20" t="n">
        <v>1.67051202</v>
      </c>
      <c r="G12" s="18" t="n">
        <v>35.92505184</v>
      </c>
      <c r="H12" s="20" t="n">
        <v>1.62693096</v>
      </c>
      <c r="I12" s="18" t="n">
        <v>0</v>
      </c>
      <c r="J12" s="20" t="n">
        <v>0</v>
      </c>
      <c r="K12" s="18" t="n">
        <v>0.21502481</v>
      </c>
      <c r="L12" s="20" t="n">
        <v>0.11132396</v>
      </c>
      <c r="M12" s="18" t="n">
        <v>0</v>
      </c>
      <c r="N12" s="20" t="n">
        <v>0</v>
      </c>
      <c r="O12" s="18" t="n">
        <v>0</v>
      </c>
      <c r="P12" s="20" t="n">
        <v>0</v>
      </c>
      <c r="Q12" s="18" t="n">
        <v>0.7839386</v>
      </c>
      <c r="R12" s="20" t="n">
        <v>0.257546</v>
      </c>
    </row>
    <row r="13" spans="1:18">
      <c r="A13" s="15" t="s">
        <v>571</v>
      </c>
      <c r="B13" s="17" t="n">
        <v>7161</v>
      </c>
      <c r="C13" s="18">
        <f>(5666.0/B13*100)</f>
        <v/>
      </c>
      <c r="D13" s="19" t="n">
        <v>1495</v>
      </c>
      <c r="E13" s="18" t="n">
        <v>60.71357944</v>
      </c>
      <c r="F13" s="20" t="n">
        <v>1.7329195</v>
      </c>
      <c r="G13" s="18" t="n">
        <v>38.02887326</v>
      </c>
      <c r="H13" s="20" t="n">
        <v>1.71560429</v>
      </c>
      <c r="I13" s="18" t="n">
        <v>0</v>
      </c>
      <c r="J13" s="20" t="n">
        <v>0</v>
      </c>
      <c r="K13" s="18" t="n">
        <v>0.30080942</v>
      </c>
      <c r="L13" s="20" t="n">
        <v>0.14423521</v>
      </c>
      <c r="M13" s="18" t="n">
        <v>0</v>
      </c>
      <c r="N13" s="20" t="n">
        <v>0</v>
      </c>
      <c r="O13" s="18" t="n">
        <v>0</v>
      </c>
      <c r="P13" s="20" t="n">
        <v>0</v>
      </c>
      <c r="Q13" s="18" t="n">
        <v>0.95673787</v>
      </c>
      <c r="R13" s="20" t="n">
        <v>0.52187675</v>
      </c>
    </row>
    <row r="14" spans="1:18">
      <c r="A14" s="15" t="s">
        <v>572</v>
      </c>
      <c r="B14" s="17" t="n">
        <v>5587</v>
      </c>
      <c r="C14" s="18">
        <f>(4346.0/B14*100)</f>
        <v/>
      </c>
      <c r="D14" s="19" t="n">
        <v>1241</v>
      </c>
      <c r="E14" s="18" t="n">
        <v>57.90510168</v>
      </c>
      <c r="F14" s="20" t="n">
        <v>1.65312499</v>
      </c>
      <c r="G14" s="18" t="n">
        <v>41.11162606</v>
      </c>
      <c r="H14" s="20" t="n">
        <v>1.56870203</v>
      </c>
      <c r="I14" s="18" t="n">
        <v>0</v>
      </c>
      <c r="J14" s="20" t="n">
        <v>0</v>
      </c>
      <c r="K14" s="18" t="n">
        <v>0.8314805199999999</v>
      </c>
      <c r="L14" s="20" t="n">
        <v>0.30788575</v>
      </c>
      <c r="M14" s="18" t="n">
        <v>0</v>
      </c>
      <c r="N14" s="20" t="n">
        <v>0</v>
      </c>
      <c r="O14" s="18" t="n">
        <v>0</v>
      </c>
      <c r="P14" s="20" t="n">
        <v>0</v>
      </c>
      <c r="Q14" s="18" t="n">
        <v>0.15179174</v>
      </c>
      <c r="R14" s="20" t="n">
        <v>0.1088099</v>
      </c>
    </row>
    <row r="15" spans="1:18">
      <c r="A15" s="15" t="s">
        <v>573</v>
      </c>
      <c r="B15" s="17" t="n">
        <v>5882</v>
      </c>
      <c r="C15" s="18">
        <f>(4585.0/B15*100)</f>
        <v/>
      </c>
      <c r="D15" s="19" t="n">
        <v>1297</v>
      </c>
      <c r="E15" s="18" t="n">
        <v>54.70556186</v>
      </c>
      <c r="F15" s="20" t="n">
        <v>1.3549237</v>
      </c>
      <c r="G15" s="18" t="n">
        <v>44.45600488</v>
      </c>
      <c r="H15" s="20" t="n">
        <v>1.35823643</v>
      </c>
      <c r="I15" s="18" t="n">
        <v>0</v>
      </c>
      <c r="J15" s="20" t="n">
        <v>0</v>
      </c>
      <c r="K15" s="18" t="n">
        <v>0.22560784</v>
      </c>
      <c r="L15" s="20" t="n">
        <v>0.13197121</v>
      </c>
      <c r="M15" s="18" t="n">
        <v>0</v>
      </c>
      <c r="N15" s="20" t="n">
        <v>0</v>
      </c>
      <c r="O15" s="18" t="n">
        <v>0</v>
      </c>
      <c r="P15" s="20" t="n">
        <v>0</v>
      </c>
      <c r="Q15" s="18" t="n">
        <v>0.61282542</v>
      </c>
      <c r="R15" s="20" t="n">
        <v>0.22108943</v>
      </c>
    </row>
    <row r="16" spans="1:18">
      <c r="A16" s="15" t="s">
        <v>574</v>
      </c>
      <c r="B16" s="17" t="n">
        <v>6108</v>
      </c>
      <c r="C16" s="18">
        <f>(4763.0/B16*100)</f>
        <v/>
      </c>
      <c r="D16" s="19" t="n">
        <v>1345</v>
      </c>
      <c r="E16" s="18" t="n">
        <v>56.91736133</v>
      </c>
      <c r="F16" s="20" t="n">
        <v>1.53084811</v>
      </c>
      <c r="G16" s="18" t="n">
        <v>39.49130856</v>
      </c>
      <c r="H16" s="20" t="n">
        <v>1.38902103</v>
      </c>
      <c r="I16" s="18" t="n">
        <v>0</v>
      </c>
      <c r="J16" s="20" t="n">
        <v>0</v>
      </c>
      <c r="K16" s="18" t="n">
        <v>1.19177353</v>
      </c>
      <c r="L16" s="20" t="n">
        <v>0.30821539</v>
      </c>
      <c r="M16" s="18" t="n">
        <v>0</v>
      </c>
      <c r="N16" s="20" t="n">
        <v>0</v>
      </c>
      <c r="O16" s="18" t="n">
        <v>0</v>
      </c>
      <c r="P16" s="20" t="n">
        <v>0</v>
      </c>
      <c r="Q16" s="18" t="n">
        <v>2.39955658</v>
      </c>
      <c r="R16" s="20" t="n">
        <v>0.44347336</v>
      </c>
    </row>
    <row r="17" spans="1:18">
      <c r="A17" s="15" t="s">
        <v>575</v>
      </c>
      <c r="B17" s="17" t="n">
        <v>6504</v>
      </c>
      <c r="C17" s="18">
        <f>(5103.0/B17*100)</f>
        <v/>
      </c>
      <c r="D17" s="19" t="n">
        <v>1401</v>
      </c>
      <c r="E17" s="18" t="n">
        <v>57.45641724</v>
      </c>
      <c r="F17" s="20" t="n">
        <v>1.38314944</v>
      </c>
      <c r="G17" s="18" t="n">
        <v>41.49309424</v>
      </c>
      <c r="H17" s="20" t="n">
        <v>1.40068913</v>
      </c>
      <c r="I17" s="18" t="n">
        <v>0</v>
      </c>
      <c r="J17" s="20" t="n">
        <v>0</v>
      </c>
      <c r="K17" s="18" t="n">
        <v>0.34677196</v>
      </c>
      <c r="L17" s="20" t="n">
        <v>0.18807427</v>
      </c>
      <c r="M17" s="18" t="n">
        <v>0</v>
      </c>
      <c r="N17" s="20" t="n">
        <v>0</v>
      </c>
      <c r="O17" s="18" t="n">
        <v>0</v>
      </c>
      <c r="P17" s="20" t="n">
        <v>0</v>
      </c>
      <c r="Q17" s="18" t="n">
        <v>0.70371656</v>
      </c>
      <c r="R17" s="20" t="n">
        <v>0.18586659</v>
      </c>
    </row>
    <row r="18" spans="1:18">
      <c r="A18" s="15" t="s">
        <v>576</v>
      </c>
      <c r="B18" s="17" t="n">
        <v>5532</v>
      </c>
      <c r="C18" s="18">
        <f>(4321.0/B18*100)</f>
        <v/>
      </c>
      <c r="D18" s="19" t="n">
        <v>1211</v>
      </c>
      <c r="E18" s="18" t="n">
        <v>70.26966675</v>
      </c>
      <c r="F18" s="20" t="n">
        <v>1.53696336</v>
      </c>
      <c r="G18" s="18" t="n">
        <v>27.24607873</v>
      </c>
      <c r="H18" s="20" t="n">
        <v>1.36401665</v>
      </c>
      <c r="I18" s="18" t="n">
        <v>0</v>
      </c>
      <c r="J18" s="20" t="n">
        <v>0</v>
      </c>
      <c r="K18" s="18" t="n">
        <v>0.85209708</v>
      </c>
      <c r="L18" s="20" t="n">
        <v>0.29054087</v>
      </c>
      <c r="M18" s="18" t="n">
        <v>0</v>
      </c>
      <c r="N18" s="20" t="n">
        <v>0</v>
      </c>
      <c r="O18" s="18" t="n">
        <v>0</v>
      </c>
      <c r="P18" s="20" t="n">
        <v>0</v>
      </c>
      <c r="Q18" s="18" t="n">
        <v>1.63215744</v>
      </c>
      <c r="R18" s="20" t="n">
        <v>0.4523965</v>
      </c>
    </row>
    <row r="19" spans="1:18">
      <c r="A19" s="15" t="s">
        <v>577</v>
      </c>
      <c r="B19" s="17" t="n">
        <v>5658</v>
      </c>
      <c r="C19" s="18">
        <f>(4407.0/B19*100)</f>
        <v/>
      </c>
      <c r="D19" s="19" t="n">
        <v>1251</v>
      </c>
      <c r="E19" s="18" t="n">
        <v>61.25305721</v>
      </c>
      <c r="F19" s="20" t="n">
        <v>1.47434904</v>
      </c>
      <c r="G19" s="18" t="n">
        <v>37.56858368</v>
      </c>
      <c r="H19" s="20" t="n">
        <v>1.37362203</v>
      </c>
      <c r="I19" s="18" t="n">
        <v>0</v>
      </c>
      <c r="J19" s="20" t="n">
        <v>0</v>
      </c>
      <c r="K19" s="18" t="n">
        <v>0.10651263</v>
      </c>
      <c r="L19" s="20" t="n">
        <v>0.10623479</v>
      </c>
      <c r="M19" s="18" t="n">
        <v>0</v>
      </c>
      <c r="N19" s="20" t="n">
        <v>0</v>
      </c>
      <c r="O19" s="18" t="n">
        <v>0</v>
      </c>
      <c r="P19" s="20" t="n">
        <v>0</v>
      </c>
      <c r="Q19" s="18" t="n">
        <v>1.07184648</v>
      </c>
      <c r="R19" s="20" t="n">
        <v>0.27316616</v>
      </c>
    </row>
    <row r="20" spans="1:18">
      <c r="A20" s="15" t="s">
        <v>578</v>
      </c>
      <c r="B20" s="17" t="n">
        <v>3371</v>
      </c>
      <c r="C20" s="18">
        <f>(2611.0/B20*100)</f>
        <v/>
      </c>
      <c r="D20" s="19" t="n">
        <v>760</v>
      </c>
      <c r="E20" s="18" t="n">
        <v>65.02357649</v>
      </c>
      <c r="F20" s="20" t="n">
        <v>1.76205953</v>
      </c>
      <c r="G20" s="18" t="n">
        <v>32.7871039</v>
      </c>
      <c r="H20" s="20" t="n">
        <v>1.68590056</v>
      </c>
      <c r="I20" s="18" t="n">
        <v>0</v>
      </c>
      <c r="J20" s="20" t="n">
        <v>0</v>
      </c>
      <c r="K20" s="18" t="n">
        <v>1.32805039</v>
      </c>
      <c r="L20" s="20" t="n">
        <v>0.4086593</v>
      </c>
      <c r="M20" s="18" t="n">
        <v>0</v>
      </c>
      <c r="N20" s="20" t="n">
        <v>0</v>
      </c>
      <c r="O20" s="18" t="n">
        <v>0</v>
      </c>
      <c r="P20" s="20" t="n">
        <v>0</v>
      </c>
      <c r="Q20" s="18" t="n">
        <v>0.8612692199999999</v>
      </c>
      <c r="R20" s="20" t="n">
        <v>0.39602436</v>
      </c>
    </row>
    <row r="21" spans="1:18">
      <c r="A21" s="15" t="s">
        <v>579</v>
      </c>
      <c r="B21" s="17" t="n">
        <v>5741</v>
      </c>
      <c r="C21" s="18">
        <f>(4494.0/B21*100)</f>
        <v/>
      </c>
      <c r="D21" s="19" t="n">
        <v>1247</v>
      </c>
      <c r="E21" s="18" t="n">
        <v>52.77141331</v>
      </c>
      <c r="F21" s="20" t="n">
        <v>1.61655327</v>
      </c>
      <c r="G21" s="18" t="n">
        <v>46.61354021</v>
      </c>
      <c r="H21" s="20" t="n">
        <v>1.61691335</v>
      </c>
      <c r="I21" s="18" t="n">
        <v>0</v>
      </c>
      <c r="J21" s="20" t="n">
        <v>0</v>
      </c>
      <c r="K21" s="18" t="n">
        <v>0.13260839</v>
      </c>
      <c r="L21" s="20" t="n">
        <v>0.09454583</v>
      </c>
      <c r="M21" s="18" t="n">
        <v>0</v>
      </c>
      <c r="N21" s="20" t="n">
        <v>0</v>
      </c>
      <c r="O21" s="18" t="n">
        <v>0</v>
      </c>
      <c r="P21" s="20" t="n">
        <v>0</v>
      </c>
      <c r="Q21" s="18" t="n">
        <v>0.48243808</v>
      </c>
      <c r="R21" s="20" t="n">
        <v>0.19890408</v>
      </c>
    </row>
    <row r="22" spans="1:18">
      <c r="A22" s="15" t="s">
        <v>580</v>
      </c>
      <c r="B22" s="17" t="n">
        <v>6598</v>
      </c>
      <c r="C22" s="18">
        <f>(5166.0/B22*100)</f>
        <v/>
      </c>
      <c r="D22" s="19" t="n">
        <v>1432</v>
      </c>
      <c r="E22" s="18" t="n">
        <v>65.02424182</v>
      </c>
      <c r="F22" s="20" t="n">
        <v>1.62668069</v>
      </c>
      <c r="G22" s="18" t="n">
        <v>32.40377828</v>
      </c>
      <c r="H22" s="20" t="n">
        <v>1.55741069</v>
      </c>
      <c r="I22" s="18" t="n">
        <v>0</v>
      </c>
      <c r="J22" s="20" t="n">
        <v>0</v>
      </c>
      <c r="K22" s="18" t="n">
        <v>1.1403732</v>
      </c>
      <c r="L22" s="20" t="n">
        <v>0.28931682</v>
      </c>
      <c r="M22" s="18" t="n">
        <v>0</v>
      </c>
      <c r="N22" s="20" t="n">
        <v>0</v>
      </c>
      <c r="O22" s="18" t="n">
        <v>0</v>
      </c>
      <c r="P22" s="20" t="n">
        <v>0</v>
      </c>
      <c r="Q22" s="18" t="n">
        <v>1.43160671</v>
      </c>
      <c r="R22" s="20" t="n">
        <v>0.30369562</v>
      </c>
    </row>
    <row r="23" spans="1:18">
      <c r="A23" s="15" t="s">
        <v>581</v>
      </c>
      <c r="B23" s="17" t="n">
        <v>11583</v>
      </c>
      <c r="C23" s="18">
        <f>(9102.0/B23*100)</f>
        <v/>
      </c>
      <c r="D23" s="19" t="n">
        <v>2481</v>
      </c>
      <c r="E23" s="18" t="n">
        <v>64.44501884</v>
      </c>
      <c r="F23" s="20" t="n">
        <v>1.37188388</v>
      </c>
      <c r="G23" s="18" t="n">
        <v>31.29079717</v>
      </c>
      <c r="H23" s="20" t="n">
        <v>1.40989969</v>
      </c>
      <c r="I23" s="18" t="n">
        <v>0</v>
      </c>
      <c r="J23" s="20" t="n">
        <v>0</v>
      </c>
      <c r="K23" s="18" t="n">
        <v>1.85057185</v>
      </c>
      <c r="L23" s="20" t="n">
        <v>0.69442461</v>
      </c>
      <c r="M23" s="18" t="n">
        <v>0</v>
      </c>
      <c r="N23" s="20" t="n">
        <v>0</v>
      </c>
      <c r="O23" s="18" t="n">
        <v>0</v>
      </c>
      <c r="P23" s="20" t="n">
        <v>0</v>
      </c>
      <c r="Q23" s="18" t="n">
        <v>2.41361214</v>
      </c>
      <c r="R23" s="20" t="n">
        <v>0.47707935</v>
      </c>
    </row>
    <row r="24" spans="1:18">
      <c r="A24" s="15" t="s">
        <v>582</v>
      </c>
      <c r="B24" s="17" t="n">
        <v>6647</v>
      </c>
      <c r="C24" s="18">
        <f>(5179.0/B24*100)</f>
        <v/>
      </c>
      <c r="D24" s="19" t="n">
        <v>1468</v>
      </c>
      <c r="E24" s="18" t="n">
        <v>45.79595011</v>
      </c>
      <c r="F24" s="20" t="n">
        <v>1.51985084</v>
      </c>
      <c r="G24" s="18" t="n">
        <v>53.01971723</v>
      </c>
      <c r="H24" s="20" t="n">
        <v>1.45708987</v>
      </c>
      <c r="I24" s="18" t="n">
        <v>0</v>
      </c>
      <c r="J24" s="20" t="n">
        <v>0</v>
      </c>
      <c r="K24" s="18" t="n">
        <v>0.26882188</v>
      </c>
      <c r="L24" s="20" t="n">
        <v>0.16475079</v>
      </c>
      <c r="M24" s="18" t="n">
        <v>0</v>
      </c>
      <c r="N24" s="20" t="n">
        <v>0</v>
      </c>
      <c r="O24" s="18" t="n">
        <v>0</v>
      </c>
      <c r="P24" s="20" t="n">
        <v>0</v>
      </c>
      <c r="Q24" s="18" t="n">
        <v>0.91551078</v>
      </c>
      <c r="R24" s="20" t="n">
        <v>0.24649144</v>
      </c>
    </row>
    <row r="25" spans="1:18">
      <c r="A25" s="15" t="s">
        <v>583</v>
      </c>
      <c r="B25" s="17" t="n">
        <v>5581</v>
      </c>
      <c r="C25" s="18">
        <f>(4343.0/B25*100)</f>
        <v/>
      </c>
      <c r="D25" s="19" t="n">
        <v>1238</v>
      </c>
      <c r="E25" s="18" t="n">
        <v>61.71448825</v>
      </c>
      <c r="F25" s="20" t="n">
        <v>1.38952909</v>
      </c>
      <c r="G25" s="18" t="n">
        <v>37.1734012</v>
      </c>
      <c r="H25" s="20" t="n">
        <v>1.45387921</v>
      </c>
      <c r="I25" s="18" t="n">
        <v>0</v>
      </c>
      <c r="J25" s="20" t="n">
        <v>0</v>
      </c>
      <c r="K25" s="18" t="n">
        <v>0.40619766</v>
      </c>
      <c r="L25" s="20" t="n">
        <v>0.23258046</v>
      </c>
      <c r="M25" s="18" t="n">
        <v>0</v>
      </c>
      <c r="N25" s="20" t="n">
        <v>0</v>
      </c>
      <c r="O25" s="18" t="n">
        <v>0</v>
      </c>
      <c r="P25" s="20" t="n">
        <v>0</v>
      </c>
      <c r="Q25" s="18" t="n">
        <v>0.70591288</v>
      </c>
      <c r="R25" s="20" t="n">
        <v>0.23780808</v>
      </c>
    </row>
    <row r="26" spans="1:18">
      <c r="A26" s="15" t="s">
        <v>584</v>
      </c>
      <c r="B26" s="17" t="n">
        <v>4869</v>
      </c>
      <c r="C26" s="18">
        <f>(3811.0/B26*100)</f>
        <v/>
      </c>
      <c r="D26" s="19" t="n">
        <v>1058</v>
      </c>
      <c r="E26" s="18" t="n">
        <v>68.46152488</v>
      </c>
      <c r="F26" s="20" t="n">
        <v>1.74843876</v>
      </c>
      <c r="G26" s="18" t="n">
        <v>30.76107987</v>
      </c>
      <c r="H26" s="20" t="n">
        <v>1.70904172</v>
      </c>
      <c r="I26" s="18" t="n">
        <v>0</v>
      </c>
      <c r="J26" s="20" t="n">
        <v>0</v>
      </c>
      <c r="K26" s="18" t="n">
        <v>0.0918519</v>
      </c>
      <c r="L26" s="20" t="n">
        <v>0.08700323</v>
      </c>
      <c r="M26" s="18" t="n">
        <v>0</v>
      </c>
      <c r="N26" s="20" t="n">
        <v>0</v>
      </c>
      <c r="O26" s="18" t="n">
        <v>0</v>
      </c>
      <c r="P26" s="20" t="n">
        <v>0</v>
      </c>
      <c r="Q26" s="18" t="n">
        <v>0.68554335</v>
      </c>
      <c r="R26" s="20" t="n">
        <v>0.26849149</v>
      </c>
    </row>
    <row r="27" spans="1:18">
      <c r="A27" s="15" t="s">
        <v>585</v>
      </c>
      <c r="B27" s="17" t="n">
        <v>5299</v>
      </c>
      <c r="C27" s="18">
        <f>(4166.0/B27*100)</f>
        <v/>
      </c>
      <c r="D27" s="19" t="n">
        <v>1133</v>
      </c>
      <c r="E27" s="18" t="n">
        <v>64.78906904999999</v>
      </c>
      <c r="F27" s="20" t="n">
        <v>1.29782811</v>
      </c>
      <c r="G27" s="18" t="n">
        <v>32.88947031</v>
      </c>
      <c r="H27" s="20" t="n">
        <v>1.36164395</v>
      </c>
      <c r="I27" s="18" t="n">
        <v>0</v>
      </c>
      <c r="J27" s="20" t="n">
        <v>0</v>
      </c>
      <c r="K27" s="18" t="n">
        <v>0.80210967</v>
      </c>
      <c r="L27" s="20" t="n">
        <v>0.26698612</v>
      </c>
      <c r="M27" s="18" t="n">
        <v>0</v>
      </c>
      <c r="N27" s="20" t="n">
        <v>0</v>
      </c>
      <c r="O27" s="18" t="n">
        <v>0</v>
      </c>
      <c r="P27" s="20" t="n">
        <v>0</v>
      </c>
      <c r="Q27" s="18" t="n">
        <v>1.51935097</v>
      </c>
      <c r="R27" s="20" t="n">
        <v>0.3247727</v>
      </c>
    </row>
    <row r="28" spans="1:18">
      <c r="A28" s="15" t="s">
        <v>586</v>
      </c>
      <c r="B28" s="17" t="n">
        <v>7568</v>
      </c>
      <c r="C28" s="18">
        <f>(6046.0/B28*100)</f>
        <v/>
      </c>
      <c r="D28" s="19" t="n">
        <v>1522</v>
      </c>
      <c r="E28" s="18" t="n">
        <v>82.4897653</v>
      </c>
      <c r="F28" s="20" t="n">
        <v>1.16749782</v>
      </c>
      <c r="G28" s="18" t="n">
        <v>15.6374378</v>
      </c>
      <c r="H28" s="20" t="n">
        <v>1.14905278</v>
      </c>
      <c r="I28" s="18" t="n">
        <v>0</v>
      </c>
      <c r="J28" s="20" t="n">
        <v>0</v>
      </c>
      <c r="K28" s="18" t="n">
        <v>1.00801841</v>
      </c>
      <c r="L28" s="20" t="n">
        <v>0.24026722</v>
      </c>
      <c r="M28" s="18" t="n">
        <v>0</v>
      </c>
      <c r="N28" s="20" t="n">
        <v>0</v>
      </c>
      <c r="O28" s="18" t="n">
        <v>0</v>
      </c>
      <c r="P28" s="20" t="n">
        <v>0</v>
      </c>
      <c r="Q28" s="18" t="n">
        <v>0.8647785</v>
      </c>
      <c r="R28" s="20" t="n">
        <v>0.277729</v>
      </c>
    </row>
    <row r="29" spans="1:18">
      <c r="A29" s="15" t="s">
        <v>587</v>
      </c>
      <c r="B29" s="17" t="n">
        <v>5385</v>
      </c>
      <c r="C29" s="18">
        <f>(4197.0/B29*100)</f>
        <v/>
      </c>
      <c r="D29" s="19" t="n">
        <v>1188</v>
      </c>
      <c r="E29" s="18" t="n">
        <v>50.39040628</v>
      </c>
      <c r="F29" s="20" t="n">
        <v>1.54407869</v>
      </c>
      <c r="G29" s="18" t="n">
        <v>48.30775829</v>
      </c>
      <c r="H29" s="20" t="n">
        <v>1.57168733</v>
      </c>
      <c r="I29" s="18" t="n">
        <v>0</v>
      </c>
      <c r="J29" s="20" t="n">
        <v>0</v>
      </c>
      <c r="K29" s="18" t="n">
        <v>0.44054165</v>
      </c>
      <c r="L29" s="20" t="n">
        <v>0.20365207</v>
      </c>
      <c r="M29" s="18" t="n">
        <v>0</v>
      </c>
      <c r="N29" s="20" t="n">
        <v>0</v>
      </c>
      <c r="O29" s="18" t="n">
        <v>0</v>
      </c>
      <c r="P29" s="20" t="n">
        <v>0</v>
      </c>
      <c r="Q29" s="18" t="n">
        <v>0.86129378</v>
      </c>
      <c r="R29" s="20" t="n">
        <v>0.28479634</v>
      </c>
    </row>
    <row r="30" spans="1:18">
      <c r="A30" s="15" t="s">
        <v>588</v>
      </c>
      <c r="B30" s="17" t="n">
        <v>4520</v>
      </c>
      <c r="C30" s="18">
        <f>(3540.0/B30*100)</f>
        <v/>
      </c>
      <c r="D30" s="19" t="n">
        <v>980</v>
      </c>
      <c r="E30" s="18" t="n">
        <v>62.95381094</v>
      </c>
      <c r="F30" s="20" t="n">
        <v>1.52322741</v>
      </c>
      <c r="G30" s="18" t="n">
        <v>35.2316491</v>
      </c>
      <c r="H30" s="20" t="n">
        <v>1.44455266</v>
      </c>
      <c r="I30" s="18" t="n">
        <v>0</v>
      </c>
      <c r="J30" s="20" t="n">
        <v>0</v>
      </c>
      <c r="K30" s="18" t="n">
        <v>0.64310428</v>
      </c>
      <c r="L30" s="20" t="n">
        <v>0.26342243</v>
      </c>
      <c r="M30" s="18" t="n">
        <v>0</v>
      </c>
      <c r="N30" s="20" t="n">
        <v>0</v>
      </c>
      <c r="O30" s="18" t="n">
        <v>0</v>
      </c>
      <c r="P30" s="20" t="n">
        <v>0</v>
      </c>
      <c r="Q30" s="18" t="n">
        <v>1.17143568</v>
      </c>
      <c r="R30" s="20" t="n">
        <v>0.31938615</v>
      </c>
    </row>
    <row r="31" spans="1:18">
      <c r="A31" s="15" t="s">
        <v>589</v>
      </c>
      <c r="B31" s="17" t="n">
        <v>5456</v>
      </c>
      <c r="C31" s="18">
        <f>(4239.0/B31*100)</f>
        <v/>
      </c>
      <c r="D31" s="19" t="n">
        <v>1217</v>
      </c>
      <c r="E31" s="18" t="n">
        <v>55.62196704</v>
      </c>
      <c r="F31" s="20" t="n">
        <v>1.49459319</v>
      </c>
      <c r="G31" s="18" t="n">
        <v>41.98047279</v>
      </c>
      <c r="H31" s="20" t="n">
        <v>1.45783708</v>
      </c>
      <c r="I31" s="18" t="n">
        <v>0</v>
      </c>
      <c r="J31" s="20" t="n">
        <v>0</v>
      </c>
      <c r="K31" s="18" t="n">
        <v>0.95542194</v>
      </c>
      <c r="L31" s="20" t="n">
        <v>0.2789385</v>
      </c>
      <c r="M31" s="18" t="n">
        <v>0</v>
      </c>
      <c r="N31" s="20" t="n">
        <v>0</v>
      </c>
      <c r="O31" s="18" t="n">
        <v>0</v>
      </c>
      <c r="P31" s="20" t="n">
        <v>0</v>
      </c>
      <c r="Q31" s="18" t="n">
        <v>1.44213823</v>
      </c>
      <c r="R31" s="20" t="n">
        <v>0.34664284</v>
      </c>
    </row>
    <row r="32" spans="1:18">
      <c r="A32" s="15" t="s">
        <v>590</v>
      </c>
      <c r="B32" s="17" t="n">
        <v>4478</v>
      </c>
      <c r="C32" s="18">
        <f>(3491.0/B32*100)</f>
        <v/>
      </c>
      <c r="D32" s="19" t="n">
        <v>987</v>
      </c>
      <c r="E32" s="18" t="n">
        <v>65.91519104</v>
      </c>
      <c r="F32" s="20" t="n">
        <v>1.48840505</v>
      </c>
      <c r="G32" s="18" t="n">
        <v>33.59801837</v>
      </c>
      <c r="H32" s="20" t="n">
        <v>1.48556313</v>
      </c>
      <c r="I32" s="18" t="n">
        <v>0</v>
      </c>
      <c r="J32" s="20" t="n">
        <v>0</v>
      </c>
      <c r="K32" s="18" t="n">
        <v>0.08807199</v>
      </c>
      <c r="L32" s="20" t="n">
        <v>0.08837811</v>
      </c>
      <c r="M32" s="18" t="n">
        <v>0</v>
      </c>
      <c r="N32" s="20" t="n">
        <v>0</v>
      </c>
      <c r="O32" s="18" t="n">
        <v>0</v>
      </c>
      <c r="P32" s="20" t="n">
        <v>0</v>
      </c>
      <c r="Q32" s="18" t="n">
        <v>0.3987186</v>
      </c>
      <c r="R32" s="20" t="n">
        <v>0.18976833</v>
      </c>
    </row>
    <row r="33" spans="1:18">
      <c r="A33" s="15" t="s">
        <v>591</v>
      </c>
      <c r="B33" s="17" t="n">
        <v>7325</v>
      </c>
      <c r="C33" s="18">
        <f>(5849.0/B33*100)</f>
        <v/>
      </c>
      <c r="D33" s="19" t="n">
        <v>1476</v>
      </c>
      <c r="E33" s="18" t="n">
        <v>62.58759965</v>
      </c>
      <c r="F33" s="20" t="n">
        <v>1.58571054</v>
      </c>
      <c r="G33" s="18" t="n">
        <v>35.45287867</v>
      </c>
      <c r="H33" s="20" t="n">
        <v>1.53981452</v>
      </c>
      <c r="I33" s="18" t="n">
        <v>0</v>
      </c>
      <c r="J33" s="20" t="n">
        <v>0</v>
      </c>
      <c r="K33" s="18" t="n">
        <v>0.70319977</v>
      </c>
      <c r="L33" s="20" t="n">
        <v>0.3075247</v>
      </c>
      <c r="M33" s="18" t="n">
        <v>0</v>
      </c>
      <c r="N33" s="20" t="n">
        <v>0</v>
      </c>
      <c r="O33" s="18" t="n">
        <v>0</v>
      </c>
      <c r="P33" s="20" t="n">
        <v>0</v>
      </c>
      <c r="Q33" s="18" t="n">
        <v>1.25632191</v>
      </c>
      <c r="R33" s="20" t="n">
        <v>0.31910427</v>
      </c>
    </row>
    <row r="34" spans="1:18">
      <c r="A34" s="15" t="s">
        <v>592</v>
      </c>
      <c r="B34" s="17" t="n">
        <v>6350</v>
      </c>
      <c r="C34" s="18">
        <f>(4974.0/B34*100)</f>
        <v/>
      </c>
      <c r="D34" s="19" t="n">
        <v>1376</v>
      </c>
      <c r="E34" s="18" t="n">
        <v>64.94237630000001</v>
      </c>
      <c r="F34" s="20" t="n">
        <v>1.26014424</v>
      </c>
      <c r="G34" s="18" t="n">
        <v>33.41159484</v>
      </c>
      <c r="H34" s="20" t="n">
        <v>1.29027211</v>
      </c>
      <c r="I34" s="18" t="n">
        <v>0</v>
      </c>
      <c r="J34" s="20" t="n">
        <v>0</v>
      </c>
      <c r="K34" s="18" t="n">
        <v>0.64103502</v>
      </c>
      <c r="L34" s="20" t="n">
        <v>0.23287807</v>
      </c>
      <c r="M34" s="18" t="n">
        <v>0</v>
      </c>
      <c r="N34" s="20" t="n">
        <v>0</v>
      </c>
      <c r="O34" s="18" t="n">
        <v>0</v>
      </c>
      <c r="P34" s="20" t="n">
        <v>0</v>
      </c>
      <c r="Q34" s="18" t="n">
        <v>1.00499384</v>
      </c>
      <c r="R34" s="20" t="n">
        <v>0.31394431</v>
      </c>
    </row>
    <row r="35" spans="1:18">
      <c r="A35" s="15" t="s">
        <v>593</v>
      </c>
      <c r="B35" s="17" t="n">
        <v>6406</v>
      </c>
      <c r="C35" s="18">
        <f>(5030.0/B35*100)</f>
        <v/>
      </c>
      <c r="D35" s="19" t="n">
        <v>1376</v>
      </c>
      <c r="E35" s="18" t="n">
        <v>53.31636974</v>
      </c>
      <c r="F35" s="20" t="n">
        <v>1.76517697</v>
      </c>
      <c r="G35" s="18" t="n">
        <v>45.26248344</v>
      </c>
      <c r="H35" s="20" t="n">
        <v>1.74231226</v>
      </c>
      <c r="I35" s="18" t="n">
        <v>0</v>
      </c>
      <c r="J35" s="20" t="n">
        <v>0</v>
      </c>
      <c r="K35" s="18" t="n">
        <v>0.80590728</v>
      </c>
      <c r="L35" s="20" t="n">
        <v>0.41613875</v>
      </c>
      <c r="M35" s="18" t="n">
        <v>0</v>
      </c>
      <c r="N35" s="20" t="n">
        <v>0</v>
      </c>
      <c r="O35" s="18" t="n">
        <v>0</v>
      </c>
      <c r="P35" s="20" t="n">
        <v>0</v>
      </c>
      <c r="Q35" s="18" t="n">
        <v>0.61523954</v>
      </c>
      <c r="R35" s="20" t="n">
        <v>0.20621316</v>
      </c>
    </row>
    <row r="36" spans="1:18">
      <c r="A36" s="15" t="s">
        <v>594</v>
      </c>
      <c r="B36" s="17" t="n">
        <v>6736</v>
      </c>
      <c r="C36" s="18">
        <f>(5309.0/B36*100)</f>
        <v/>
      </c>
      <c r="D36" s="19" t="n">
        <v>1427</v>
      </c>
      <c r="E36" s="18" t="n">
        <v>64.34604464</v>
      </c>
      <c r="F36" s="20" t="n">
        <v>1.64656247</v>
      </c>
      <c r="G36" s="18" t="n">
        <v>34.53706954</v>
      </c>
      <c r="H36" s="20" t="n">
        <v>1.64956591</v>
      </c>
      <c r="I36" s="18" t="n">
        <v>0</v>
      </c>
      <c r="J36" s="20" t="n">
        <v>0</v>
      </c>
      <c r="K36" s="18" t="n">
        <v>0.33428048</v>
      </c>
      <c r="L36" s="20" t="n">
        <v>0.16348521</v>
      </c>
      <c r="M36" s="18" t="n">
        <v>0</v>
      </c>
      <c r="N36" s="20" t="n">
        <v>0</v>
      </c>
      <c r="O36" s="18" t="n">
        <v>0</v>
      </c>
      <c r="P36" s="20" t="n">
        <v>0</v>
      </c>
      <c r="Q36" s="18" t="n">
        <v>0.78260533</v>
      </c>
      <c r="R36" s="20" t="n">
        <v>0.27679366</v>
      </c>
    </row>
    <row r="37" spans="1:18">
      <c r="A37" s="15" t="s">
        <v>595</v>
      </c>
      <c r="B37" s="17" t="n">
        <v>5458</v>
      </c>
      <c r="C37" s="18">
        <f>(4312.0/B37*100)</f>
        <v/>
      </c>
      <c r="D37" s="19" t="n">
        <v>1146</v>
      </c>
      <c r="E37" s="18" t="n">
        <v>62.8848759</v>
      </c>
      <c r="F37" s="20" t="n">
        <v>1.48133019</v>
      </c>
      <c r="G37" s="18" t="n">
        <v>33.63062007</v>
      </c>
      <c r="H37" s="20" t="n">
        <v>1.51612261</v>
      </c>
      <c r="I37" s="18" t="n">
        <v>0</v>
      </c>
      <c r="J37" s="20" t="n">
        <v>0</v>
      </c>
      <c r="K37" s="18" t="n">
        <v>1.43838836</v>
      </c>
      <c r="L37" s="20" t="n">
        <v>0.30928955</v>
      </c>
      <c r="M37" s="18" t="n">
        <v>0</v>
      </c>
      <c r="N37" s="20" t="n">
        <v>0</v>
      </c>
      <c r="O37" s="18" t="n">
        <v>0</v>
      </c>
      <c r="P37" s="20" t="n">
        <v>0</v>
      </c>
      <c r="Q37" s="18" t="n">
        <v>2.04611568</v>
      </c>
      <c r="R37" s="20" t="n">
        <v>0.42757252</v>
      </c>
    </row>
    <row r="38" spans="1:18">
      <c r="A38" s="15" t="s">
        <v>596</v>
      </c>
      <c r="B38" s="17" t="n">
        <v>5860</v>
      </c>
      <c r="C38" s="18">
        <f>(4643.0/B38*100)</f>
        <v/>
      </c>
      <c r="D38" s="19" t="n">
        <v>1217</v>
      </c>
      <c r="E38" s="18" t="n">
        <v>55.54141645</v>
      </c>
      <c r="F38" s="20" t="n">
        <v>1.84617171</v>
      </c>
      <c r="G38" s="18" t="n">
        <v>42.4572032</v>
      </c>
      <c r="H38" s="20" t="n">
        <v>1.86842642</v>
      </c>
      <c r="I38" s="18" t="n">
        <v>0</v>
      </c>
      <c r="J38" s="20" t="n">
        <v>0</v>
      </c>
      <c r="K38" s="18" t="n">
        <v>0.48893757</v>
      </c>
      <c r="L38" s="20" t="n">
        <v>0.2066461</v>
      </c>
      <c r="M38" s="18" t="n">
        <v>0</v>
      </c>
      <c r="N38" s="20" t="n">
        <v>0</v>
      </c>
      <c r="O38" s="18" t="n">
        <v>0</v>
      </c>
      <c r="P38" s="20" t="n">
        <v>0</v>
      </c>
      <c r="Q38" s="18" t="n">
        <v>1.51244277</v>
      </c>
      <c r="R38" s="20" t="n">
        <v>0.37314556</v>
      </c>
    </row>
    <row r="39" spans="1:18">
      <c r="A39" s="15" t="s">
        <v>597</v>
      </c>
      <c r="B39" s="17" t="n">
        <v>5895</v>
      </c>
      <c r="C39" s="18">
        <f>(4568.0/B39*100)</f>
        <v/>
      </c>
      <c r="D39" s="19" t="n">
        <v>1327</v>
      </c>
      <c r="E39" s="18" t="n">
        <v>65.67640879</v>
      </c>
      <c r="F39" s="20" t="n">
        <v>1.42768043</v>
      </c>
      <c r="G39" s="18" t="n">
        <v>32.82777269</v>
      </c>
      <c r="H39" s="20" t="n">
        <v>1.41583679</v>
      </c>
      <c r="I39" s="18" t="n">
        <v>0</v>
      </c>
      <c r="J39" s="20" t="n">
        <v>0</v>
      </c>
      <c r="K39" s="18" t="n">
        <v>0.27749091</v>
      </c>
      <c r="L39" s="20" t="n">
        <v>0.13397507</v>
      </c>
      <c r="M39" s="18" t="n">
        <v>0</v>
      </c>
      <c r="N39" s="20" t="n">
        <v>0</v>
      </c>
      <c r="O39" s="18" t="n">
        <v>0</v>
      </c>
      <c r="P39" s="20" t="n">
        <v>0</v>
      </c>
      <c r="Q39" s="18" t="n">
        <v>1.2183276</v>
      </c>
      <c r="R39" s="20" t="n">
        <v>0.33338618</v>
      </c>
    </row>
    <row r="40" spans="1:18">
      <c r="A40" s="15" t="s">
        <v>598</v>
      </c>
      <c r="B40" s="17" t="n">
        <v>14157</v>
      </c>
      <c r="C40" s="18">
        <f>(11053.0/B40*100)</f>
        <v/>
      </c>
      <c r="D40" s="19" t="n">
        <v>3104</v>
      </c>
      <c r="E40" s="18" t="n">
        <v>58.87039735</v>
      </c>
      <c r="F40" s="20" t="n">
        <v>1.53503683</v>
      </c>
      <c r="G40" s="18" t="n">
        <v>39.54915793</v>
      </c>
      <c r="H40" s="20" t="n">
        <v>1.63310654</v>
      </c>
      <c r="I40" s="18" t="n">
        <v>0</v>
      </c>
      <c r="J40" s="20" t="n">
        <v>0</v>
      </c>
      <c r="K40" s="18" t="n">
        <v>0.5165934599999999</v>
      </c>
      <c r="L40" s="20" t="n">
        <v>0.2032693</v>
      </c>
      <c r="M40" s="18" t="n">
        <v>0</v>
      </c>
      <c r="N40" s="20" t="n">
        <v>0</v>
      </c>
      <c r="O40" s="18" t="n">
        <v>0</v>
      </c>
      <c r="P40" s="20" t="n">
        <v>0</v>
      </c>
      <c r="Q40" s="18" t="n">
        <v>1.06385126</v>
      </c>
      <c r="R40" s="20" t="n">
        <v>0.28981849</v>
      </c>
    </row>
    <row r="41" spans="1:18">
      <c r="A41" s="15" t="s">
        <v>599</v>
      </c>
      <c r="B41" s="17" t="n">
        <v>5712</v>
      </c>
      <c r="C41" s="18">
        <f>(4503.0/B41*100)</f>
        <v/>
      </c>
      <c r="D41" s="19" t="n">
        <v>1209</v>
      </c>
      <c r="E41" s="18" t="n">
        <v>67.58671692</v>
      </c>
      <c r="F41" s="20" t="n">
        <v>1.49783392</v>
      </c>
      <c r="G41" s="18" t="n">
        <v>31.63228817</v>
      </c>
      <c r="H41" s="20" t="n">
        <v>1.54351121</v>
      </c>
      <c r="I41" s="18" t="n">
        <v>0</v>
      </c>
      <c r="J41" s="20" t="n">
        <v>0</v>
      </c>
      <c r="K41" s="18" t="n">
        <v>0.09797448</v>
      </c>
      <c r="L41" s="20" t="n">
        <v>0.06890799</v>
      </c>
      <c r="M41" s="18" t="n">
        <v>0</v>
      </c>
      <c r="N41" s="20" t="n">
        <v>0</v>
      </c>
      <c r="O41" s="18" t="n">
        <v>0</v>
      </c>
      <c r="P41" s="20" t="n">
        <v>0</v>
      </c>
      <c r="Q41" s="18" t="n">
        <v>0.68302043</v>
      </c>
      <c r="R41" s="20" t="n">
        <v>0.21883521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(19431.0/B46*100)</f>
        <v/>
      </c>
      <c r="D46" s="19" t="n">
        <v>3710</v>
      </c>
      <c r="E46" s="18" t="n">
        <v>77.17300102</v>
      </c>
      <c r="F46" s="20" t="n">
        <v>0.9993665900000001</v>
      </c>
      <c r="G46" s="18" t="n">
        <v>16.90419521</v>
      </c>
      <c r="H46" s="20" t="n">
        <v>0.92202991</v>
      </c>
      <c r="I46" s="18" t="n">
        <v>0</v>
      </c>
      <c r="J46" s="20" t="n">
        <v>0</v>
      </c>
      <c r="K46" s="18" t="n">
        <v>2.76305522</v>
      </c>
      <c r="L46" s="20" t="n">
        <v>0.46529297</v>
      </c>
      <c r="M46" s="18" t="n">
        <v>0</v>
      </c>
      <c r="N46" s="20" t="n">
        <v>0</v>
      </c>
      <c r="O46" s="18" t="n">
        <v>0</v>
      </c>
      <c r="P46" s="20" t="n">
        <v>0</v>
      </c>
      <c r="Q46" s="18" t="n">
        <v>3.15974856</v>
      </c>
      <c r="R46" s="20" t="n">
        <v>0.35027345</v>
      </c>
    </row>
    <row r="47" spans="1:18">
      <c r="A47" s="15" t="s">
        <v>606</v>
      </c>
      <c r="B47" s="17" t="n">
        <v>5928</v>
      </c>
      <c r="C47" s="18">
        <f>(4641.0/B47*100)</f>
        <v/>
      </c>
      <c r="D47" s="19" t="n">
        <v>1287</v>
      </c>
      <c r="E47" s="18" t="n">
        <v>75.45555040000001</v>
      </c>
      <c r="F47" s="20" t="n">
        <v>1.41360667</v>
      </c>
      <c r="G47" s="18" t="n">
        <v>22.46021619</v>
      </c>
      <c r="H47" s="20" t="n">
        <v>1.43356609</v>
      </c>
      <c r="I47" s="18" t="n">
        <v>0</v>
      </c>
      <c r="J47" s="20" t="n">
        <v>0</v>
      </c>
      <c r="K47" s="18" t="n">
        <v>0.57934751</v>
      </c>
      <c r="L47" s="20" t="n">
        <v>0.25143581</v>
      </c>
      <c r="M47" s="18" t="n">
        <v>0</v>
      </c>
      <c r="N47" s="20" t="n">
        <v>0</v>
      </c>
      <c r="O47" s="18" t="n">
        <v>0</v>
      </c>
      <c r="P47" s="20" t="n">
        <v>0</v>
      </c>
      <c r="Q47" s="18" t="n">
        <v>1.5048859</v>
      </c>
      <c r="R47" s="20" t="n">
        <v>0.38080599</v>
      </c>
    </row>
    <row r="48" spans="1:18">
      <c r="A48" s="15" t="s">
        <v>607</v>
      </c>
      <c r="B48" s="17" t="n">
        <v>9841</v>
      </c>
      <c r="C48" s="18">
        <f>(7680.0/B48*100)</f>
        <v/>
      </c>
      <c r="D48" s="19" t="n">
        <v>2161</v>
      </c>
      <c r="E48" s="18" t="n">
        <v>64.15902583</v>
      </c>
      <c r="F48" s="20" t="n">
        <v>1.48077302</v>
      </c>
      <c r="G48" s="18" t="n">
        <v>35.11880916</v>
      </c>
      <c r="H48" s="20" t="n">
        <v>1.46713051</v>
      </c>
      <c r="I48" s="18" t="n">
        <v>0</v>
      </c>
      <c r="J48" s="20" t="n">
        <v>0</v>
      </c>
      <c r="K48" s="18" t="n">
        <v>0.62878126</v>
      </c>
      <c r="L48" s="20" t="n">
        <v>0.2726612</v>
      </c>
      <c r="M48" s="18" t="n">
        <v>0</v>
      </c>
      <c r="N48" s="20" t="n">
        <v>0</v>
      </c>
      <c r="O48" s="18" t="n">
        <v>0</v>
      </c>
      <c r="P48" s="20" t="n">
        <v>0</v>
      </c>
      <c r="Q48" s="18" t="n">
        <v>0.09338375</v>
      </c>
      <c r="R48" s="20" t="n">
        <v>0.08614932</v>
      </c>
    </row>
    <row r="49" spans="1:18">
      <c r="A49" s="15" t="s">
        <v>608</v>
      </c>
      <c r="B49" s="17" t="n">
        <v>11795</v>
      </c>
      <c r="C49" s="18">
        <f>(9347.0/B49*100)</f>
        <v/>
      </c>
      <c r="D49" s="19" t="n">
        <v>2448</v>
      </c>
      <c r="E49" s="18" t="n">
        <v>78.46137442</v>
      </c>
      <c r="F49" s="20" t="n">
        <v>1.01969478</v>
      </c>
      <c r="G49" s="18" t="n">
        <v>18.85855596</v>
      </c>
      <c r="H49" s="20" t="n">
        <v>1.06614901</v>
      </c>
      <c r="I49" s="18" t="n">
        <v>0</v>
      </c>
      <c r="J49" s="20" t="n">
        <v>0</v>
      </c>
      <c r="K49" s="18" t="n">
        <v>1.79561853</v>
      </c>
      <c r="L49" s="20" t="n">
        <v>0.40133365</v>
      </c>
      <c r="M49" s="18" t="n">
        <v>0</v>
      </c>
      <c r="N49" s="20" t="n">
        <v>0</v>
      </c>
      <c r="O49" s="18" t="n">
        <v>0</v>
      </c>
      <c r="P49" s="20" t="n">
        <v>0</v>
      </c>
      <c r="Q49" s="18" t="n">
        <v>0.88445109</v>
      </c>
      <c r="R49" s="20" t="n">
        <v>0.19345565</v>
      </c>
    </row>
    <row r="50" spans="1:18">
      <c r="A50" s="15" t="s">
        <v>609</v>
      </c>
      <c r="B50" s="17" t="n">
        <v>6866</v>
      </c>
      <c r="C50" s="18">
        <f>(5629.0/B50*100)</f>
        <v/>
      </c>
      <c r="D50" s="19" t="n">
        <v>1237</v>
      </c>
      <c r="E50" s="18" t="n">
        <v>79.00295314</v>
      </c>
      <c r="F50" s="20" t="n">
        <v>1.27038294</v>
      </c>
      <c r="G50" s="18" t="n">
        <v>17.79913763</v>
      </c>
      <c r="H50" s="20" t="n">
        <v>1.20230699</v>
      </c>
      <c r="I50" s="18" t="n">
        <v>0</v>
      </c>
      <c r="J50" s="20" t="n">
        <v>0</v>
      </c>
      <c r="K50" s="18" t="n">
        <v>0.68255761</v>
      </c>
      <c r="L50" s="20" t="n">
        <v>0.29697258</v>
      </c>
      <c r="M50" s="18" t="n">
        <v>0</v>
      </c>
      <c r="N50" s="20" t="n">
        <v>0</v>
      </c>
      <c r="O50" s="18" t="n">
        <v>0</v>
      </c>
      <c r="P50" s="20" t="n">
        <v>0</v>
      </c>
      <c r="Q50" s="18" t="n">
        <v>2.51535162</v>
      </c>
      <c r="R50" s="20" t="n">
        <v>0.46903647</v>
      </c>
    </row>
    <row r="51" spans="1:18">
      <c r="A51" s="15" t="s">
        <v>610</v>
      </c>
      <c r="B51" s="17" t="n">
        <v>5809</v>
      </c>
      <c r="C51" s="18">
        <f>(4581.0/B51*100)</f>
        <v/>
      </c>
      <c r="D51" s="19" t="n">
        <v>1228</v>
      </c>
      <c r="E51" s="18" t="n">
        <v>67.92619401</v>
      </c>
      <c r="F51" s="20" t="n">
        <v>1.40991086</v>
      </c>
      <c r="G51" s="18" t="n">
        <v>30.96264686</v>
      </c>
      <c r="H51" s="20" t="n">
        <v>1.40294299</v>
      </c>
      <c r="I51" s="18" t="n">
        <v>0</v>
      </c>
      <c r="J51" s="20" t="n">
        <v>0</v>
      </c>
      <c r="K51" s="18" t="n">
        <v>0.13181976</v>
      </c>
      <c r="L51" s="20" t="n">
        <v>0.09283690999999999</v>
      </c>
      <c r="M51" s="18" t="n">
        <v>0</v>
      </c>
      <c r="N51" s="20" t="n">
        <v>0</v>
      </c>
      <c r="O51" s="18" t="n">
        <v>0</v>
      </c>
      <c r="P51" s="20" t="n">
        <v>0</v>
      </c>
      <c r="Q51" s="18" t="n">
        <v>0.97933937</v>
      </c>
      <c r="R51" s="20" t="n">
        <v>0.31171858</v>
      </c>
    </row>
    <row r="52" spans="1:18">
      <c r="A52" s="15" t="s">
        <v>611</v>
      </c>
      <c r="B52" s="17" t="n">
        <v>5571</v>
      </c>
      <c r="C52" s="18">
        <f>(4403.0/B52*100)</f>
        <v/>
      </c>
      <c r="D52" s="19" t="n">
        <v>1168</v>
      </c>
      <c r="E52" s="18" t="n">
        <v>73.92680648</v>
      </c>
      <c r="F52" s="20" t="n">
        <v>1.4820571</v>
      </c>
      <c r="G52" s="18" t="n">
        <v>22.75409461</v>
      </c>
      <c r="H52" s="20" t="n">
        <v>1.39377604</v>
      </c>
      <c r="I52" s="18" t="n">
        <v>0</v>
      </c>
      <c r="J52" s="20" t="n">
        <v>0</v>
      </c>
      <c r="K52" s="18" t="n">
        <v>0.5950609</v>
      </c>
      <c r="L52" s="20" t="n">
        <v>0.22157853</v>
      </c>
      <c r="M52" s="18" t="n">
        <v>0</v>
      </c>
      <c r="N52" s="20" t="n">
        <v>0</v>
      </c>
      <c r="O52" s="18" t="n">
        <v>0</v>
      </c>
      <c r="P52" s="20" t="n">
        <v>0</v>
      </c>
      <c r="Q52" s="18" t="n">
        <v>2.72403801</v>
      </c>
      <c r="R52" s="20" t="n">
        <v>0.5176255</v>
      </c>
    </row>
    <row r="53" spans="1:18">
      <c r="A53" s="15" t="s">
        <v>612</v>
      </c>
      <c r="B53" s="17" t="n">
        <v>4740</v>
      </c>
      <c r="C53" s="18">
        <f>(3671.0/B53*100)</f>
        <v/>
      </c>
      <c r="D53" s="19" t="n">
        <v>1069</v>
      </c>
      <c r="E53" s="18" t="n">
        <v>70.13231795999999</v>
      </c>
      <c r="F53" s="20" t="n">
        <v>1.63941665</v>
      </c>
      <c r="G53" s="18" t="n">
        <v>6.48289196</v>
      </c>
      <c r="H53" s="20" t="n">
        <v>0.86306197</v>
      </c>
      <c r="I53" s="18" t="n">
        <v>0</v>
      </c>
      <c r="J53" s="20" t="n">
        <v>0</v>
      </c>
      <c r="K53" s="18" t="n">
        <v>21.7143006</v>
      </c>
      <c r="L53" s="20" t="n">
        <v>1.48209459</v>
      </c>
      <c r="M53" s="18" t="n">
        <v>0</v>
      </c>
      <c r="N53" s="20" t="n">
        <v>0</v>
      </c>
      <c r="O53" s="18" t="n">
        <v>0</v>
      </c>
      <c r="P53" s="20" t="n">
        <v>0</v>
      </c>
      <c r="Q53" s="18" t="n">
        <v>1.67048947</v>
      </c>
      <c r="R53" s="20" t="n">
        <v>0.47110067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(4182.0/B55*100)</f>
        <v/>
      </c>
      <c r="D55" s="19" t="n">
        <v>1177</v>
      </c>
      <c r="E55" s="18" t="n">
        <v>62.60597027</v>
      </c>
      <c r="F55" s="20" t="n">
        <v>1.67492981</v>
      </c>
      <c r="G55" s="18" t="n">
        <v>37.00229513</v>
      </c>
      <c r="H55" s="20" t="n">
        <v>1.64956579</v>
      </c>
      <c r="I55" s="18" t="n">
        <v>0</v>
      </c>
      <c r="J55" s="20" t="n">
        <v>0</v>
      </c>
      <c r="K55" s="18" t="n">
        <v>0.26131961</v>
      </c>
      <c r="L55" s="20" t="n">
        <v>0.16826019</v>
      </c>
      <c r="M55" s="18" t="n">
        <v>0</v>
      </c>
      <c r="N55" s="20" t="n">
        <v>0</v>
      </c>
      <c r="O55" s="18" t="n">
        <v>0</v>
      </c>
      <c r="P55" s="20" t="n">
        <v>0</v>
      </c>
      <c r="Q55" s="18" t="n">
        <v>0.13041499</v>
      </c>
      <c r="R55" s="20" t="n">
        <v>0.09062537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(5090.0/B61*100)</f>
        <v/>
      </c>
      <c r="D61" s="19" t="n">
        <v>1435</v>
      </c>
      <c r="E61" s="18" t="n">
        <v>64.76265701</v>
      </c>
      <c r="F61" s="20" t="n">
        <v>1.45505217</v>
      </c>
      <c r="G61" s="18" t="n">
        <v>34.05937867</v>
      </c>
      <c r="H61" s="20" t="n">
        <v>1.45372749</v>
      </c>
      <c r="I61" s="18" t="n">
        <v>0</v>
      </c>
      <c r="J61" s="20" t="n">
        <v>0</v>
      </c>
      <c r="K61" s="18" t="n">
        <v>0.4552234</v>
      </c>
      <c r="L61" s="20" t="n">
        <v>0.1809888</v>
      </c>
      <c r="M61" s="18" t="n">
        <v>0</v>
      </c>
      <c r="N61" s="20" t="n">
        <v>0</v>
      </c>
      <c r="O61" s="18" t="n">
        <v>0</v>
      </c>
      <c r="P61" s="20" t="n">
        <v>0</v>
      </c>
      <c r="Q61" s="18" t="n">
        <v>0.72274092</v>
      </c>
      <c r="R61" s="20" t="n">
        <v>0.25140186</v>
      </c>
    </row>
    <row r="62" spans="1:18">
      <c r="A62" s="15" t="s">
        <v>622</v>
      </c>
      <c r="B62" s="17" t="n">
        <v>4476</v>
      </c>
      <c r="C62" s="18">
        <f>(3526.0/B62*100)</f>
        <v/>
      </c>
      <c r="D62" s="19" t="n">
        <v>950</v>
      </c>
      <c r="E62" s="18" t="n">
        <v>55.5862667</v>
      </c>
      <c r="F62" s="20" t="n">
        <v>1.8995065</v>
      </c>
      <c r="G62" s="18" t="n">
        <v>44.0963651</v>
      </c>
      <c r="H62" s="20" t="n">
        <v>1.88167865</v>
      </c>
      <c r="I62" s="18" t="n">
        <v>0</v>
      </c>
      <c r="J62" s="20" t="n">
        <v>0</v>
      </c>
      <c r="K62" s="18" t="n">
        <v>0.10819351</v>
      </c>
      <c r="L62" s="20" t="n">
        <v>0.10846129</v>
      </c>
      <c r="M62" s="18" t="n">
        <v>0</v>
      </c>
      <c r="N62" s="20" t="n">
        <v>0</v>
      </c>
      <c r="O62" s="18" t="n">
        <v>0</v>
      </c>
      <c r="P62" s="20" t="n">
        <v>0</v>
      </c>
      <c r="Q62" s="18" t="n">
        <v>0.20917468</v>
      </c>
      <c r="R62" s="20" t="n">
        <v>0.14694322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(4451.0/B67*100)</f>
        <v/>
      </c>
      <c r="D67" s="19" t="n">
        <v>1214</v>
      </c>
      <c r="E67" s="18" t="n">
        <v>77.59696889999999</v>
      </c>
      <c r="F67" s="20" t="n">
        <v>1.0882368</v>
      </c>
      <c r="G67" s="18" t="n">
        <v>16.12105155</v>
      </c>
      <c r="H67" s="20" t="n">
        <v>1.03355112</v>
      </c>
      <c r="I67" s="18" t="n">
        <v>0</v>
      </c>
      <c r="J67" s="20" t="n">
        <v>0</v>
      </c>
      <c r="K67" s="18" t="n">
        <v>0.92173049</v>
      </c>
      <c r="L67" s="20" t="n">
        <v>0.24263766</v>
      </c>
      <c r="M67" s="18" t="n">
        <v>0</v>
      </c>
      <c r="N67" s="20" t="n">
        <v>0</v>
      </c>
      <c r="O67" s="18" t="n">
        <v>0</v>
      </c>
      <c r="P67" s="20" t="n">
        <v>0</v>
      </c>
      <c r="Q67" s="18" t="n">
        <v>5.36024906</v>
      </c>
      <c r="R67" s="20" t="n">
        <v>0.71307393</v>
      </c>
    </row>
    <row r="68" spans="1:18">
      <c r="A68" s="15" t="s">
        <v>628</v>
      </c>
      <c r="B68" s="17" t="n">
        <v>6971</v>
      </c>
      <c r="C68" s="18">
        <f>(5662.0/B68*100)</f>
        <v/>
      </c>
      <c r="D68" s="19" t="n">
        <v>1309</v>
      </c>
      <c r="E68" s="18" t="n">
        <v>79.34991628</v>
      </c>
      <c r="F68" s="20" t="n">
        <v>1.20304814</v>
      </c>
      <c r="G68" s="18" t="n">
        <v>19.08567763</v>
      </c>
      <c r="H68" s="20" t="n">
        <v>1.16949219</v>
      </c>
      <c r="I68" s="18" t="n">
        <v>0</v>
      </c>
      <c r="J68" s="20" t="n">
        <v>0</v>
      </c>
      <c r="K68" s="18" t="n">
        <v>0.20798706</v>
      </c>
      <c r="L68" s="20" t="n">
        <v>0.12131641</v>
      </c>
      <c r="M68" s="18" t="n">
        <v>0</v>
      </c>
      <c r="N68" s="20" t="n">
        <v>0</v>
      </c>
      <c r="O68" s="18" t="n">
        <v>0</v>
      </c>
      <c r="P68" s="20" t="n">
        <v>0</v>
      </c>
      <c r="Q68" s="18" t="n">
        <v>1.35641903</v>
      </c>
      <c r="R68" s="20" t="n">
        <v>0.27800787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(9415.0/B70*100)</f>
        <v/>
      </c>
      <c r="D70" s="19" t="n">
        <v>2668</v>
      </c>
      <c r="E70" s="18" t="n">
        <v>75.71811205</v>
      </c>
      <c r="F70" s="20" t="n">
        <v>0.85945817</v>
      </c>
      <c r="G70" s="18" t="n">
        <v>18.75299555</v>
      </c>
      <c r="H70" s="20" t="n">
        <v>0.78021084</v>
      </c>
      <c r="I70" s="18" t="n">
        <v>0</v>
      </c>
      <c r="J70" s="20" t="n">
        <v>0</v>
      </c>
      <c r="K70" s="18" t="n">
        <v>3.45585958</v>
      </c>
      <c r="L70" s="20" t="n">
        <v>0.34526329</v>
      </c>
      <c r="M70" s="18" t="n">
        <v>0</v>
      </c>
      <c r="N70" s="20" t="n">
        <v>0</v>
      </c>
      <c r="O70" s="18" t="n">
        <v>0</v>
      </c>
      <c r="P70" s="20" t="n">
        <v>0</v>
      </c>
      <c r="Q70" s="18" t="n">
        <v>2.07303283</v>
      </c>
      <c r="R70" s="20" t="n">
        <v>0.28319713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(4796.0/B72*100)</f>
        <v/>
      </c>
      <c r="D72" s="19" t="n">
        <v>1240</v>
      </c>
      <c r="E72" s="18" t="n">
        <v>64.82426085</v>
      </c>
      <c r="F72" s="20" t="n">
        <v>2.08992311</v>
      </c>
      <c r="G72" s="18" t="n">
        <v>33.09487392</v>
      </c>
      <c r="H72" s="20" t="n">
        <v>1.98079585</v>
      </c>
      <c r="I72" s="18" t="n">
        <v>0</v>
      </c>
      <c r="J72" s="20" t="n">
        <v>0</v>
      </c>
      <c r="K72" s="18" t="n">
        <v>0.39022109</v>
      </c>
      <c r="L72" s="20" t="n">
        <v>0.15066754</v>
      </c>
      <c r="M72" s="18" t="n">
        <v>0</v>
      </c>
      <c r="N72" s="20" t="n">
        <v>0</v>
      </c>
      <c r="O72" s="18" t="n">
        <v>0</v>
      </c>
      <c r="P72" s="20" t="n">
        <v>0</v>
      </c>
      <c r="Q72" s="18" t="n">
        <v>1.69064414</v>
      </c>
      <c r="R72" s="20" t="n">
        <v>0.41526044</v>
      </c>
    </row>
    <row r="73" spans="1:18">
      <c r="A73" s="15" t="s">
        <v>633</v>
      </c>
      <c r="B73" s="17" t="n">
        <v>6115</v>
      </c>
      <c r="C73" s="18">
        <f>(4719.0/B73*100)</f>
        <v/>
      </c>
      <c r="D73" s="19" t="n">
        <v>1396</v>
      </c>
      <c r="E73" s="18" t="n">
        <v>49.14843871</v>
      </c>
      <c r="F73" s="20" t="n">
        <v>1.62656195</v>
      </c>
      <c r="G73" s="18" t="n">
        <v>50.44969486</v>
      </c>
      <c r="H73" s="20" t="n">
        <v>1.63875266</v>
      </c>
      <c r="I73" s="18" t="n">
        <v>0</v>
      </c>
      <c r="J73" s="20" t="n">
        <v>0</v>
      </c>
      <c r="K73" s="18" t="n">
        <v>0.14312138</v>
      </c>
      <c r="L73" s="20" t="n">
        <v>0.08472663</v>
      </c>
      <c r="M73" s="18" t="n">
        <v>0</v>
      </c>
      <c r="N73" s="20" t="n">
        <v>0</v>
      </c>
      <c r="O73" s="18" t="n">
        <v>0</v>
      </c>
      <c r="P73" s="20" t="n">
        <v>0</v>
      </c>
      <c r="Q73" s="18" t="n">
        <v>0.25874504</v>
      </c>
      <c r="R73" s="20" t="n">
        <v>0.13141415</v>
      </c>
    </row>
    <row r="74" spans="1:18">
      <c r="A74" s="15" t="s">
        <v>634</v>
      </c>
      <c r="B74" s="17" t="n">
        <v>7708</v>
      </c>
      <c r="C74" s="18">
        <f>(5981.0/B74*100)</f>
        <v/>
      </c>
      <c r="D74" s="19" t="n">
        <v>1727</v>
      </c>
      <c r="E74" s="18" t="n">
        <v>52.70345004</v>
      </c>
      <c r="F74" s="20" t="n">
        <v>1.45049567</v>
      </c>
      <c r="G74" s="18" t="n">
        <v>47.06792263</v>
      </c>
      <c r="H74" s="20" t="n">
        <v>1.44635896</v>
      </c>
      <c r="I74" s="18" t="n">
        <v>0</v>
      </c>
      <c r="J74" s="20" t="n">
        <v>0</v>
      </c>
      <c r="K74" s="18" t="n">
        <v>0.10476309</v>
      </c>
      <c r="L74" s="20" t="n">
        <v>0.08221767000000001</v>
      </c>
      <c r="M74" s="18" t="n">
        <v>0</v>
      </c>
      <c r="N74" s="20" t="n">
        <v>0</v>
      </c>
      <c r="O74" s="18" t="n">
        <v>0</v>
      </c>
      <c r="P74" s="20" t="n">
        <v>0</v>
      </c>
      <c r="Q74" s="18" t="n">
        <v>0.12386424</v>
      </c>
      <c r="R74" s="20" t="n">
        <v>0.09095511000000001</v>
      </c>
    </row>
    <row r="75" spans="1:18">
      <c r="A75" s="15" t="s">
        <v>635</v>
      </c>
      <c r="B75" s="17" t="n">
        <v>8249</v>
      </c>
      <c r="C75" s="18">
        <f>(6549.0/B75*100)</f>
        <v/>
      </c>
      <c r="D75" s="19" t="n">
        <v>1700</v>
      </c>
      <c r="E75" s="18" t="n">
        <v>84.17042972</v>
      </c>
      <c r="F75" s="20" t="n">
        <v>1.32151882</v>
      </c>
      <c r="G75" s="18" t="n">
        <v>15.28445177</v>
      </c>
      <c r="H75" s="20" t="n">
        <v>1.32323437</v>
      </c>
      <c r="I75" s="18" t="n">
        <v>0</v>
      </c>
      <c r="J75" s="20" t="n">
        <v>0</v>
      </c>
      <c r="K75" s="18" t="n">
        <v>0</v>
      </c>
      <c r="L75" s="20" t="n">
        <v>0</v>
      </c>
      <c r="M75" s="18" t="n">
        <v>0</v>
      </c>
      <c r="N75" s="20" t="n">
        <v>0</v>
      </c>
      <c r="O75" s="18" t="n">
        <v>0</v>
      </c>
      <c r="P75" s="20" t="n">
        <v>0</v>
      </c>
      <c r="Q75" s="18" t="n">
        <v>0.54511851</v>
      </c>
      <c r="R75" s="20" t="n">
        <v>0.21668371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(4325.0/B77*100)</f>
        <v/>
      </c>
      <c r="D77" s="19" t="n">
        <v>1050</v>
      </c>
      <c r="E77" s="18" t="n">
        <v>72.44669656000001</v>
      </c>
      <c r="F77" s="20" t="n">
        <v>1.64577482</v>
      </c>
      <c r="G77" s="18" t="n">
        <v>19.52532697</v>
      </c>
      <c r="H77" s="20" t="n">
        <v>1.29535749</v>
      </c>
      <c r="I77" s="18" t="n">
        <v>0</v>
      </c>
      <c r="J77" s="20" t="n">
        <v>0</v>
      </c>
      <c r="K77" s="18" t="n">
        <v>6.27797402</v>
      </c>
      <c r="L77" s="20" t="n">
        <v>1.00104789</v>
      </c>
      <c r="M77" s="18" t="n">
        <v>0</v>
      </c>
      <c r="N77" s="20" t="n">
        <v>0</v>
      </c>
      <c r="O77" s="18" t="n">
        <v>0</v>
      </c>
      <c r="P77" s="20" t="n">
        <v>0</v>
      </c>
      <c r="Q77" s="18" t="n">
        <v>1.75000245</v>
      </c>
      <c r="R77" s="20" t="n">
        <v>0.43038104</v>
      </c>
    </row>
    <row r="78" spans="1:18">
      <c r="A78" s="15" t="s">
        <v>638</v>
      </c>
      <c r="B78" s="17" t="n">
        <v>14167</v>
      </c>
      <c r="C78" s="18">
        <f>(11044.0/B78*100)</f>
        <v/>
      </c>
      <c r="D78" s="19" t="n">
        <v>3123</v>
      </c>
      <c r="E78" s="18" t="n">
        <v>72.42346367</v>
      </c>
      <c r="F78" s="20" t="n">
        <v>0.94643872</v>
      </c>
      <c r="G78" s="18" t="n">
        <v>24.70256081</v>
      </c>
      <c r="H78" s="20" t="n">
        <v>0.96308016</v>
      </c>
      <c r="I78" s="18" t="n">
        <v>0</v>
      </c>
      <c r="J78" s="20" t="n">
        <v>0</v>
      </c>
      <c r="K78" s="18" t="n">
        <v>1.19472482</v>
      </c>
      <c r="L78" s="20" t="n">
        <v>0.26411103</v>
      </c>
      <c r="M78" s="18" t="n">
        <v>0</v>
      </c>
      <c r="N78" s="20" t="n">
        <v>0</v>
      </c>
      <c r="O78" s="18" t="n">
        <v>0</v>
      </c>
      <c r="P78" s="20" t="n">
        <v>0</v>
      </c>
      <c r="Q78" s="18" t="n">
        <v>1.67925071</v>
      </c>
      <c r="R78" s="20" t="n">
        <v>0.25729419</v>
      </c>
    </row>
    <row r="79" spans="1:18">
      <c r="A79" s="15" t="s">
        <v>639</v>
      </c>
      <c r="B79" s="17" t="n">
        <v>6062</v>
      </c>
      <c r="C79" s="18">
        <f>(4903.0/B79*100)</f>
        <v/>
      </c>
      <c r="D79" s="19" t="n">
        <v>1159</v>
      </c>
      <c r="E79" s="18" t="n">
        <v>77.48113049</v>
      </c>
      <c r="F79" s="20" t="n">
        <v>1.14665494</v>
      </c>
      <c r="G79" s="18" t="n">
        <v>17.6369497</v>
      </c>
      <c r="H79" s="20" t="n">
        <v>1.12196023</v>
      </c>
      <c r="I79" s="18" t="n">
        <v>0</v>
      </c>
      <c r="J79" s="20" t="n">
        <v>0</v>
      </c>
      <c r="K79" s="18" t="n">
        <v>2.11256655</v>
      </c>
      <c r="L79" s="20" t="n">
        <v>0.42499074</v>
      </c>
      <c r="M79" s="18" t="n">
        <v>0</v>
      </c>
      <c r="N79" s="20" t="n">
        <v>0</v>
      </c>
      <c r="O79" s="18" t="n">
        <v>0</v>
      </c>
      <c r="P79" s="20" t="n">
        <v>0</v>
      </c>
      <c r="Q79" s="18" t="n">
        <v>2.76935326</v>
      </c>
      <c r="R79" s="20" t="n">
        <v>0.55674088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(25387.0/B82*100)</f>
        <v/>
      </c>
      <c r="D82" s="19" t="n">
        <v>6943</v>
      </c>
      <c r="E82" s="18" t="n">
        <v>63.51103405</v>
      </c>
      <c r="F82" s="20" t="n">
        <v>0.86349773</v>
      </c>
      <c r="G82" s="18" t="n">
        <v>35.00439862</v>
      </c>
      <c r="H82" s="20" t="n">
        <v>0.86775327</v>
      </c>
      <c r="I82" s="18" t="n">
        <v>0</v>
      </c>
      <c r="J82" s="20" t="n">
        <v>0</v>
      </c>
      <c r="K82" s="18" t="n">
        <v>0.51672043</v>
      </c>
      <c r="L82" s="20" t="n">
        <v>0.15671313</v>
      </c>
      <c r="M82" s="18" t="n">
        <v>0</v>
      </c>
      <c r="N82" s="20" t="n">
        <v>0</v>
      </c>
      <c r="O82" s="18" t="n">
        <v>0</v>
      </c>
      <c r="P82" s="20" t="n">
        <v>0</v>
      </c>
      <c r="Q82" s="18" t="n">
        <v>0.9678469</v>
      </c>
      <c r="R82" s="20" t="n">
        <v>0.16964383</v>
      </c>
    </row>
    <row r="83" spans="1:18">
      <c r="A83" s="15" t="s">
        <v>643</v>
      </c>
      <c r="B83" s="17" t="n">
        <v>1652</v>
      </c>
      <c r="C83" s="18">
        <f>(1319.0/B83*100)</f>
        <v/>
      </c>
      <c r="D83" s="19" t="n">
        <v>333</v>
      </c>
      <c r="E83" s="18" t="n">
        <v>61.59846618</v>
      </c>
      <c r="F83" s="20" t="n">
        <v>3.30067941</v>
      </c>
      <c r="G83" s="18" t="n">
        <v>37.61699636</v>
      </c>
      <c r="H83" s="20" t="n">
        <v>3.20427151</v>
      </c>
      <c r="I83" s="18" t="n">
        <v>0</v>
      </c>
      <c r="J83" s="20" t="n">
        <v>0</v>
      </c>
      <c r="K83" s="18" t="n">
        <v>0</v>
      </c>
      <c r="L83" s="20" t="n">
        <v>0</v>
      </c>
      <c r="M83" s="18" t="n">
        <v>0</v>
      </c>
      <c r="N83" s="20" t="n">
        <v>0</v>
      </c>
      <c r="O83" s="18" t="n">
        <v>0</v>
      </c>
      <c r="P83" s="20" t="n">
        <v>0</v>
      </c>
      <c r="Q83" s="18" t="n">
        <v>0.78453746</v>
      </c>
      <c r="R83" s="20" t="n">
        <v>0.42864597</v>
      </c>
    </row>
    <row r="84" spans="1:18">
      <c r="A84" s="23" t="s">
        <v>644</v>
      </c>
      <c r="B84" s="24" t="n">
        <v>1887</v>
      </c>
      <c r="C84" s="25">
        <f>(1463.0/B84*100)</f>
        <v/>
      </c>
      <c r="D84" s="19" t="n">
        <v>424</v>
      </c>
      <c r="E84" s="18" t="n">
        <v>64.62554971</v>
      </c>
      <c r="F84" s="20" t="n">
        <v>3.07523007</v>
      </c>
      <c r="G84" s="18" t="n">
        <v>35.37445029</v>
      </c>
      <c r="H84" s="20" t="n">
        <v>3.07523007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(11396.0/B7*100)</f>
        <v/>
      </c>
      <c r="D7" s="19" t="n">
        <v>3134</v>
      </c>
      <c r="E7" s="18" t="n">
        <v>42.12504265</v>
      </c>
      <c r="F7" s="20" t="n">
        <v>1.07711327</v>
      </c>
      <c r="G7" s="18" t="n">
        <v>42.25695274</v>
      </c>
      <c r="H7" s="20" t="n">
        <v>1.2161102</v>
      </c>
      <c r="I7" s="18" t="n">
        <v>0</v>
      </c>
      <c r="J7" s="20" t="n">
        <v>0</v>
      </c>
      <c r="K7" s="18" t="n">
        <v>0.88860224</v>
      </c>
      <c r="L7" s="20" t="n">
        <v>0.1905028</v>
      </c>
      <c r="M7" s="18" t="n">
        <v>0.03947804</v>
      </c>
      <c r="N7" s="20" t="n">
        <v>0.02340219</v>
      </c>
      <c r="O7" s="18" t="n">
        <v>0</v>
      </c>
      <c r="P7" s="20" t="n">
        <v>0</v>
      </c>
      <c r="Q7" s="18" t="n">
        <v>14.68992433</v>
      </c>
      <c r="R7" s="20" t="n">
        <v>0.8598126</v>
      </c>
    </row>
    <row r="8" spans="1:18">
      <c r="A8" s="15" t="s">
        <v>566</v>
      </c>
      <c r="B8" s="17" t="n">
        <v>7007</v>
      </c>
      <c r="C8" s="18">
        <f>(5509.0/B8*100)</f>
        <v/>
      </c>
      <c r="D8" s="19" t="n">
        <v>1498</v>
      </c>
      <c r="E8" s="18" t="n">
        <v>33.65037126</v>
      </c>
      <c r="F8" s="20" t="n">
        <v>1.38312047</v>
      </c>
      <c r="G8" s="18" t="n">
        <v>43.13257421</v>
      </c>
      <c r="H8" s="20" t="n">
        <v>1.50490093</v>
      </c>
      <c r="I8" s="18" t="n">
        <v>0</v>
      </c>
      <c r="J8" s="20" t="n">
        <v>0</v>
      </c>
      <c r="K8" s="18" t="n">
        <v>0.34297703</v>
      </c>
      <c r="L8" s="20" t="n">
        <v>0.15365602</v>
      </c>
      <c r="M8" s="18" t="n">
        <v>0</v>
      </c>
      <c r="N8" s="20" t="n">
        <v>0</v>
      </c>
      <c r="O8" s="18" t="n">
        <v>0</v>
      </c>
      <c r="P8" s="20" t="n">
        <v>0</v>
      </c>
      <c r="Q8" s="18" t="n">
        <v>22.8740775</v>
      </c>
      <c r="R8" s="20" t="n">
        <v>1.10950708</v>
      </c>
    </row>
    <row r="9" spans="1:18">
      <c r="A9" s="15" t="s">
        <v>567</v>
      </c>
      <c r="B9" s="17" t="n">
        <v>9651</v>
      </c>
      <c r="C9" s="18">
        <f>(7692.0/B9*100)</f>
        <v/>
      </c>
      <c r="D9" s="19" t="n">
        <v>1959</v>
      </c>
      <c r="E9" s="18" t="n">
        <v>36.30934143</v>
      </c>
      <c r="F9" s="20" t="n">
        <v>1.22584936</v>
      </c>
      <c r="G9" s="18" t="n">
        <v>43.61686073</v>
      </c>
      <c r="H9" s="20" t="n">
        <v>1.44411644</v>
      </c>
      <c r="I9" s="18" t="n">
        <v>0</v>
      </c>
      <c r="J9" s="20" t="n">
        <v>0</v>
      </c>
      <c r="K9" s="18" t="n">
        <v>1.57634165</v>
      </c>
      <c r="L9" s="20" t="n">
        <v>0.31707984</v>
      </c>
      <c r="M9" s="18" t="n">
        <v>0.28949827</v>
      </c>
      <c r="N9" s="20" t="n">
        <v>0.11635048</v>
      </c>
      <c r="O9" s="18" t="n">
        <v>0</v>
      </c>
      <c r="P9" s="20" t="n">
        <v>0</v>
      </c>
      <c r="Q9" s="18" t="n">
        <v>18.20795793</v>
      </c>
      <c r="R9" s="20" t="n">
        <v>0.9446620100000001</v>
      </c>
    </row>
    <row r="10" spans="1:18">
      <c r="A10" s="15" t="s">
        <v>568</v>
      </c>
      <c r="B10" s="17" t="n">
        <v>20058</v>
      </c>
      <c r="C10" s="18">
        <f>(15581.0/B10*100)</f>
        <v/>
      </c>
      <c r="D10" s="19" t="n">
        <v>4477</v>
      </c>
      <c r="E10" s="18" t="n">
        <v>32.47004381</v>
      </c>
      <c r="F10" s="20" t="n">
        <v>0.93627668</v>
      </c>
      <c r="G10" s="18" t="n">
        <v>56.99009725</v>
      </c>
      <c r="H10" s="20" t="n">
        <v>1.18671355</v>
      </c>
      <c r="I10" s="18" t="n">
        <v>0</v>
      </c>
      <c r="J10" s="20" t="n">
        <v>0</v>
      </c>
      <c r="K10" s="18" t="n">
        <v>1.07587761</v>
      </c>
      <c r="L10" s="20" t="n">
        <v>0.22120164</v>
      </c>
      <c r="M10" s="18" t="n">
        <v>0.01983366</v>
      </c>
      <c r="N10" s="20" t="n">
        <v>0.01405297</v>
      </c>
      <c r="O10" s="18" t="n">
        <v>0</v>
      </c>
      <c r="P10" s="20" t="n">
        <v>0</v>
      </c>
      <c r="Q10" s="18" t="n">
        <v>9.44414767</v>
      </c>
      <c r="R10" s="20" t="n">
        <v>0.64960323</v>
      </c>
    </row>
    <row r="11" spans="1:18">
      <c r="A11" s="15" t="s">
        <v>569</v>
      </c>
      <c r="B11" s="17" t="n">
        <v>7053</v>
      </c>
      <c r="C11" s="18">
        <f>(5524.0/B11*100)</f>
        <v/>
      </c>
      <c r="D11" s="19" t="n">
        <v>1529</v>
      </c>
      <c r="E11" s="18" t="n">
        <v>50.63836777</v>
      </c>
      <c r="F11" s="20" t="n">
        <v>1.72387929</v>
      </c>
      <c r="G11" s="18" t="n">
        <v>21.23558749</v>
      </c>
      <c r="H11" s="20" t="n">
        <v>1.28431897</v>
      </c>
      <c r="I11" s="18" t="n">
        <v>0</v>
      </c>
      <c r="J11" s="20" t="n">
        <v>0</v>
      </c>
      <c r="K11" s="18" t="n">
        <v>2.21939821</v>
      </c>
      <c r="L11" s="20" t="n">
        <v>0.53036689</v>
      </c>
      <c r="M11" s="18" t="n">
        <v>0.00711279</v>
      </c>
      <c r="N11" s="20" t="n">
        <v>0.00716616</v>
      </c>
      <c r="O11" s="18" t="n">
        <v>0</v>
      </c>
      <c r="P11" s="20" t="n">
        <v>0</v>
      </c>
      <c r="Q11" s="18" t="n">
        <v>25.89953374</v>
      </c>
      <c r="R11" s="20" t="n">
        <v>1.35566824</v>
      </c>
    </row>
    <row r="12" spans="1:18">
      <c r="A12" s="15" t="s">
        <v>570</v>
      </c>
      <c r="B12" s="17" t="n">
        <v>6894</v>
      </c>
      <c r="C12" s="18">
        <f>(5426.0/B12*100)</f>
        <v/>
      </c>
      <c r="D12" s="19" t="n">
        <v>1468</v>
      </c>
      <c r="E12" s="18" t="n">
        <v>48.27240697</v>
      </c>
      <c r="F12" s="20" t="n">
        <v>1.66056628</v>
      </c>
      <c r="G12" s="18" t="n">
        <v>26.22496404</v>
      </c>
      <c r="H12" s="20" t="n">
        <v>1.29834639</v>
      </c>
      <c r="I12" s="18" t="n">
        <v>0</v>
      </c>
      <c r="J12" s="20" t="n">
        <v>0</v>
      </c>
      <c r="K12" s="18" t="n">
        <v>0.46799628</v>
      </c>
      <c r="L12" s="20" t="n">
        <v>0.16243352</v>
      </c>
      <c r="M12" s="18" t="n">
        <v>0.06220931</v>
      </c>
      <c r="N12" s="20" t="n">
        <v>0.06104331</v>
      </c>
      <c r="O12" s="18" t="n">
        <v>0</v>
      </c>
      <c r="P12" s="20" t="n">
        <v>0</v>
      </c>
      <c r="Q12" s="18" t="n">
        <v>24.97242341</v>
      </c>
      <c r="R12" s="20" t="n">
        <v>1.41718088</v>
      </c>
    </row>
    <row r="13" spans="1:18">
      <c r="A13" s="15" t="s">
        <v>571</v>
      </c>
      <c r="B13" s="17" t="n">
        <v>7161</v>
      </c>
      <c r="C13" s="18">
        <f>(5681.0/B13*100)</f>
        <v/>
      </c>
      <c r="D13" s="19" t="n">
        <v>1480</v>
      </c>
      <c r="E13" s="18" t="n">
        <v>44.30606889</v>
      </c>
      <c r="F13" s="20" t="n">
        <v>1.55248785</v>
      </c>
      <c r="G13" s="18" t="n">
        <v>41.36606824</v>
      </c>
      <c r="H13" s="20" t="n">
        <v>1.65659633</v>
      </c>
      <c r="I13" s="18" t="n">
        <v>0</v>
      </c>
      <c r="J13" s="20" t="n">
        <v>0</v>
      </c>
      <c r="K13" s="18" t="n">
        <v>0.47800178</v>
      </c>
      <c r="L13" s="20" t="n">
        <v>0.18097905</v>
      </c>
      <c r="M13" s="18" t="n">
        <v>0.24150541</v>
      </c>
      <c r="N13" s="20" t="n">
        <v>0.24257554</v>
      </c>
      <c r="O13" s="18" t="n">
        <v>0</v>
      </c>
      <c r="P13" s="20" t="n">
        <v>0</v>
      </c>
      <c r="Q13" s="18" t="n">
        <v>13.60835568</v>
      </c>
      <c r="R13" s="20" t="n">
        <v>1.10143287</v>
      </c>
    </row>
    <row r="14" spans="1:18">
      <c r="A14" s="15" t="s">
        <v>572</v>
      </c>
      <c r="B14" s="17" t="n">
        <v>5587</v>
      </c>
      <c r="C14" s="18">
        <f>(4351.0/B14*100)</f>
        <v/>
      </c>
      <c r="D14" s="19" t="n">
        <v>1236</v>
      </c>
      <c r="E14" s="18" t="n">
        <v>41.7027382</v>
      </c>
      <c r="F14" s="20" t="n">
        <v>1.55558794</v>
      </c>
      <c r="G14" s="18" t="n">
        <v>43.84265696</v>
      </c>
      <c r="H14" s="20" t="n">
        <v>1.59070647</v>
      </c>
      <c r="I14" s="18" t="n">
        <v>0</v>
      </c>
      <c r="J14" s="20" t="n">
        <v>0</v>
      </c>
      <c r="K14" s="18" t="n">
        <v>1.3582486</v>
      </c>
      <c r="L14" s="20" t="n">
        <v>0.39417613</v>
      </c>
      <c r="M14" s="18" t="n">
        <v>0</v>
      </c>
      <c r="N14" s="20" t="n">
        <v>0</v>
      </c>
      <c r="O14" s="18" t="n">
        <v>0</v>
      </c>
      <c r="P14" s="20" t="n">
        <v>0</v>
      </c>
      <c r="Q14" s="18" t="n">
        <v>13.09635624</v>
      </c>
      <c r="R14" s="20" t="n">
        <v>1.02653047</v>
      </c>
    </row>
    <row r="15" spans="1:18">
      <c r="A15" s="15" t="s">
        <v>573</v>
      </c>
      <c r="B15" s="17" t="n">
        <v>5882</v>
      </c>
      <c r="C15" s="18">
        <f>(4592.0/B15*100)</f>
        <v/>
      </c>
      <c r="D15" s="19" t="n">
        <v>1290</v>
      </c>
      <c r="E15" s="18" t="n">
        <v>50.37872635</v>
      </c>
      <c r="F15" s="20" t="n">
        <v>1.37609888</v>
      </c>
      <c r="G15" s="18" t="n">
        <v>37.30545944</v>
      </c>
      <c r="H15" s="20" t="n">
        <v>1.33036318</v>
      </c>
      <c r="I15" s="18" t="n">
        <v>0</v>
      </c>
      <c r="J15" s="20" t="n">
        <v>0</v>
      </c>
      <c r="K15" s="18" t="n">
        <v>0.22698715</v>
      </c>
      <c r="L15" s="20" t="n">
        <v>0.13279734</v>
      </c>
      <c r="M15" s="18" t="n">
        <v>0</v>
      </c>
      <c r="N15" s="20" t="n">
        <v>0</v>
      </c>
      <c r="O15" s="18" t="n">
        <v>0</v>
      </c>
      <c r="P15" s="20" t="n">
        <v>0</v>
      </c>
      <c r="Q15" s="18" t="n">
        <v>12.08882706</v>
      </c>
      <c r="R15" s="20" t="n">
        <v>0.93037519</v>
      </c>
    </row>
    <row r="16" spans="1:18">
      <c r="A16" s="15" t="s">
        <v>574</v>
      </c>
      <c r="B16" s="17" t="n">
        <v>6108</v>
      </c>
      <c r="C16" s="18">
        <f>(4769.0/B16*100)</f>
        <v/>
      </c>
      <c r="D16" s="19" t="n">
        <v>1339</v>
      </c>
      <c r="E16" s="18" t="n">
        <v>32.12636757</v>
      </c>
      <c r="F16" s="20" t="n">
        <v>1.3534233</v>
      </c>
      <c r="G16" s="18" t="n">
        <v>41.05935947</v>
      </c>
      <c r="H16" s="20" t="n">
        <v>1.31022737</v>
      </c>
      <c r="I16" s="18" t="n">
        <v>0</v>
      </c>
      <c r="J16" s="20" t="n">
        <v>0</v>
      </c>
      <c r="K16" s="18" t="n">
        <v>1.69881124</v>
      </c>
      <c r="L16" s="20" t="n">
        <v>0.38382457</v>
      </c>
      <c r="M16" s="18" t="n">
        <v>0.06463773</v>
      </c>
      <c r="N16" s="20" t="n">
        <v>0.06652476</v>
      </c>
      <c r="O16" s="18" t="n">
        <v>0</v>
      </c>
      <c r="P16" s="20" t="n">
        <v>0</v>
      </c>
      <c r="Q16" s="18" t="n">
        <v>25.05082398</v>
      </c>
      <c r="R16" s="20" t="n">
        <v>1.27224164</v>
      </c>
    </row>
    <row r="17" spans="1:18">
      <c r="A17" s="15" t="s">
        <v>575</v>
      </c>
      <c r="B17" s="17" t="n">
        <v>6504</v>
      </c>
      <c r="C17" s="18">
        <f>(5110.0/B17*100)</f>
        <v/>
      </c>
      <c r="D17" s="19" t="n">
        <v>1394</v>
      </c>
      <c r="E17" s="18" t="n">
        <v>44.64983407</v>
      </c>
      <c r="F17" s="20" t="n">
        <v>1.54712252</v>
      </c>
      <c r="G17" s="18" t="n">
        <v>32.56361484</v>
      </c>
      <c r="H17" s="20" t="n">
        <v>1.51410835</v>
      </c>
      <c r="I17" s="18" t="n">
        <v>0</v>
      </c>
      <c r="J17" s="20" t="n">
        <v>0</v>
      </c>
      <c r="K17" s="18" t="n">
        <v>0.6674760199999999</v>
      </c>
      <c r="L17" s="20" t="n">
        <v>0.23734373</v>
      </c>
      <c r="M17" s="18" t="n">
        <v>0</v>
      </c>
      <c r="N17" s="20" t="n">
        <v>0</v>
      </c>
      <c r="O17" s="18" t="n">
        <v>0</v>
      </c>
      <c r="P17" s="20" t="n">
        <v>0</v>
      </c>
      <c r="Q17" s="18" t="n">
        <v>22.11907507</v>
      </c>
      <c r="R17" s="20" t="n">
        <v>1.23926861</v>
      </c>
    </row>
    <row r="18" spans="1:18">
      <c r="A18" s="15" t="s">
        <v>576</v>
      </c>
      <c r="B18" s="17" t="n">
        <v>5532</v>
      </c>
      <c r="C18" s="18">
        <f>(4325.0/B18*100)</f>
        <v/>
      </c>
      <c r="D18" s="19" t="n">
        <v>1207</v>
      </c>
      <c r="E18" s="18" t="n">
        <v>52.26421395</v>
      </c>
      <c r="F18" s="20" t="n">
        <v>1.84157224</v>
      </c>
      <c r="G18" s="18" t="n">
        <v>23.24210672</v>
      </c>
      <c r="H18" s="20" t="n">
        <v>1.2183278</v>
      </c>
      <c r="I18" s="18" t="n">
        <v>0</v>
      </c>
      <c r="J18" s="20" t="n">
        <v>0</v>
      </c>
      <c r="K18" s="18" t="n">
        <v>1.56506951</v>
      </c>
      <c r="L18" s="20" t="n">
        <v>0.37116068</v>
      </c>
      <c r="M18" s="18" t="n">
        <v>0</v>
      </c>
      <c r="N18" s="20" t="n">
        <v>0</v>
      </c>
      <c r="O18" s="18" t="n">
        <v>0</v>
      </c>
      <c r="P18" s="20" t="n">
        <v>0</v>
      </c>
      <c r="Q18" s="18" t="n">
        <v>22.92860982</v>
      </c>
      <c r="R18" s="20" t="n">
        <v>1.75665617</v>
      </c>
    </row>
    <row r="19" spans="1:18">
      <c r="A19" s="15" t="s">
        <v>577</v>
      </c>
      <c r="B19" s="17" t="n">
        <v>5658</v>
      </c>
      <c r="C19" s="18">
        <f>(4417.0/B19*100)</f>
        <v/>
      </c>
      <c r="D19" s="19" t="n">
        <v>1241</v>
      </c>
      <c r="E19" s="18" t="n">
        <v>39.12309673</v>
      </c>
      <c r="F19" s="20" t="n">
        <v>1.68406344</v>
      </c>
      <c r="G19" s="18" t="n">
        <v>33.37588481</v>
      </c>
      <c r="H19" s="20" t="n">
        <v>1.37833979</v>
      </c>
      <c r="I19" s="18" t="n">
        <v>0</v>
      </c>
      <c r="J19" s="20" t="n">
        <v>0</v>
      </c>
      <c r="K19" s="18" t="n">
        <v>0.35685186</v>
      </c>
      <c r="L19" s="20" t="n">
        <v>0.22016458</v>
      </c>
      <c r="M19" s="18" t="n">
        <v>0</v>
      </c>
      <c r="N19" s="20" t="n">
        <v>0</v>
      </c>
      <c r="O19" s="18" t="n">
        <v>0</v>
      </c>
      <c r="P19" s="20" t="n">
        <v>0</v>
      </c>
      <c r="Q19" s="18" t="n">
        <v>27.1441666</v>
      </c>
      <c r="R19" s="20" t="n">
        <v>1.48035088</v>
      </c>
    </row>
    <row r="20" spans="1:18">
      <c r="A20" s="15" t="s">
        <v>578</v>
      </c>
      <c r="B20" s="17" t="n">
        <v>3371</v>
      </c>
      <c r="C20" s="18">
        <f>(2618.0/B20*100)</f>
        <v/>
      </c>
      <c r="D20" s="19" t="n">
        <v>753</v>
      </c>
      <c r="E20" s="18" t="n">
        <v>54.75390037</v>
      </c>
      <c r="F20" s="20" t="n">
        <v>1.91930121</v>
      </c>
      <c r="G20" s="18" t="n">
        <v>29.69527408</v>
      </c>
      <c r="H20" s="20" t="n">
        <v>1.54708663</v>
      </c>
      <c r="I20" s="18" t="n">
        <v>0</v>
      </c>
      <c r="J20" s="20" t="n">
        <v>0</v>
      </c>
      <c r="K20" s="18" t="n">
        <v>1.59461196</v>
      </c>
      <c r="L20" s="20" t="n">
        <v>0.45074015</v>
      </c>
      <c r="M20" s="18" t="n">
        <v>0.40939382</v>
      </c>
      <c r="N20" s="20" t="n">
        <v>0.2701762</v>
      </c>
      <c r="O20" s="18" t="n">
        <v>0</v>
      </c>
      <c r="P20" s="20" t="n">
        <v>0</v>
      </c>
      <c r="Q20" s="18" t="n">
        <v>13.54681976</v>
      </c>
      <c r="R20" s="20" t="n">
        <v>1.41209575</v>
      </c>
    </row>
    <row r="21" spans="1:18">
      <c r="A21" s="15" t="s">
        <v>579</v>
      </c>
      <c r="B21" s="17" t="n">
        <v>5741</v>
      </c>
      <c r="C21" s="18">
        <f>(4495.0/B21*100)</f>
        <v/>
      </c>
      <c r="D21" s="19" t="n">
        <v>1246</v>
      </c>
      <c r="E21" s="18" t="n">
        <v>40.80892306</v>
      </c>
      <c r="F21" s="20" t="n">
        <v>1.56040908</v>
      </c>
      <c r="G21" s="18" t="n">
        <v>43.54639453</v>
      </c>
      <c r="H21" s="20" t="n">
        <v>1.52825769</v>
      </c>
      <c r="I21" s="18" t="n">
        <v>0</v>
      </c>
      <c r="J21" s="20" t="n">
        <v>0</v>
      </c>
      <c r="K21" s="18" t="n">
        <v>0.58307438</v>
      </c>
      <c r="L21" s="20" t="n">
        <v>0.21026751</v>
      </c>
      <c r="M21" s="18" t="n">
        <v>0</v>
      </c>
      <c r="N21" s="20" t="n">
        <v>0</v>
      </c>
      <c r="O21" s="18" t="n">
        <v>0</v>
      </c>
      <c r="P21" s="20" t="n">
        <v>0</v>
      </c>
      <c r="Q21" s="18" t="n">
        <v>15.06160803</v>
      </c>
      <c r="R21" s="20" t="n">
        <v>1.15327288</v>
      </c>
    </row>
    <row r="22" spans="1:18">
      <c r="A22" s="15" t="s">
        <v>580</v>
      </c>
      <c r="B22" s="17" t="n">
        <v>6598</v>
      </c>
      <c r="C22" s="18">
        <f>(5180.0/B22*100)</f>
        <v/>
      </c>
      <c r="D22" s="19" t="n">
        <v>1418</v>
      </c>
      <c r="E22" s="18" t="n">
        <v>42.72784142</v>
      </c>
      <c r="F22" s="20" t="n">
        <v>1.3022951</v>
      </c>
      <c r="G22" s="18" t="n">
        <v>27.46024265</v>
      </c>
      <c r="H22" s="20" t="n">
        <v>1.23439517</v>
      </c>
      <c r="I22" s="18" t="n">
        <v>0</v>
      </c>
      <c r="J22" s="20" t="n">
        <v>0</v>
      </c>
      <c r="K22" s="18" t="n">
        <v>1.94313759</v>
      </c>
      <c r="L22" s="20" t="n">
        <v>0.41461306</v>
      </c>
      <c r="M22" s="18" t="n">
        <v>0.05786583</v>
      </c>
      <c r="N22" s="20" t="n">
        <v>0.05787497</v>
      </c>
      <c r="O22" s="18" t="n">
        <v>0</v>
      </c>
      <c r="P22" s="20" t="n">
        <v>0</v>
      </c>
      <c r="Q22" s="18" t="n">
        <v>27.81091251</v>
      </c>
      <c r="R22" s="20" t="n">
        <v>1.38025692</v>
      </c>
    </row>
    <row r="23" spans="1:18">
      <c r="A23" s="15" t="s">
        <v>581</v>
      </c>
      <c r="B23" s="17" t="n">
        <v>11583</v>
      </c>
      <c r="C23" s="18">
        <f>(9112.0/B23*100)</f>
        <v/>
      </c>
      <c r="D23" s="19" t="n">
        <v>2471</v>
      </c>
      <c r="E23" s="18" t="n">
        <v>40.1362716</v>
      </c>
      <c r="F23" s="20" t="n">
        <v>1.488335</v>
      </c>
      <c r="G23" s="18" t="n">
        <v>27.66231497</v>
      </c>
      <c r="H23" s="20" t="n">
        <v>1.21098534</v>
      </c>
      <c r="I23" s="18" t="n">
        <v>0</v>
      </c>
      <c r="J23" s="20" t="n">
        <v>0</v>
      </c>
      <c r="K23" s="18" t="n">
        <v>2.94580342</v>
      </c>
      <c r="L23" s="20" t="n">
        <v>0.99485687</v>
      </c>
      <c r="M23" s="18" t="n">
        <v>0.12572331</v>
      </c>
      <c r="N23" s="20" t="n">
        <v>0.14655881</v>
      </c>
      <c r="O23" s="18" t="n">
        <v>0</v>
      </c>
      <c r="P23" s="20" t="n">
        <v>0</v>
      </c>
      <c r="Q23" s="18" t="n">
        <v>29.12988671</v>
      </c>
      <c r="R23" s="20" t="n">
        <v>1.48201536</v>
      </c>
    </row>
    <row r="24" spans="1:18">
      <c r="A24" s="15" t="s">
        <v>582</v>
      </c>
      <c r="B24" s="17" t="n">
        <v>6647</v>
      </c>
      <c r="C24" s="18">
        <f>(5191.0/B24*100)</f>
        <v/>
      </c>
      <c r="D24" s="19" t="n">
        <v>1456</v>
      </c>
      <c r="E24" s="18" t="n">
        <v>44.08319125</v>
      </c>
      <c r="F24" s="20" t="n">
        <v>1.48193949</v>
      </c>
      <c r="G24" s="18" t="n">
        <v>37.69543485</v>
      </c>
      <c r="H24" s="20" t="n">
        <v>1.37570986</v>
      </c>
      <c r="I24" s="18" t="n">
        <v>0</v>
      </c>
      <c r="J24" s="20" t="n">
        <v>0</v>
      </c>
      <c r="K24" s="18" t="n">
        <v>0.34171787</v>
      </c>
      <c r="L24" s="20" t="n">
        <v>0.18082977</v>
      </c>
      <c r="M24" s="18" t="n">
        <v>0</v>
      </c>
      <c r="N24" s="20" t="n">
        <v>0</v>
      </c>
      <c r="O24" s="18" t="n">
        <v>0</v>
      </c>
      <c r="P24" s="20" t="n">
        <v>0</v>
      </c>
      <c r="Q24" s="18" t="n">
        <v>17.87965603</v>
      </c>
      <c r="R24" s="20" t="n">
        <v>1.06017184</v>
      </c>
    </row>
    <row r="25" spans="1:18">
      <c r="A25" s="15" t="s">
        <v>583</v>
      </c>
      <c r="B25" s="17" t="n">
        <v>5581</v>
      </c>
      <c r="C25" s="18">
        <f>(4343.0/B25*100)</f>
        <v/>
      </c>
      <c r="D25" s="19" t="n">
        <v>1238</v>
      </c>
      <c r="E25" s="18" t="n">
        <v>57.66913425</v>
      </c>
      <c r="F25" s="20" t="n">
        <v>1.44581775</v>
      </c>
      <c r="G25" s="18" t="n">
        <v>29.23960818</v>
      </c>
      <c r="H25" s="20" t="n">
        <v>1.42013549</v>
      </c>
      <c r="I25" s="18" t="n">
        <v>0</v>
      </c>
      <c r="J25" s="20" t="n">
        <v>0</v>
      </c>
      <c r="K25" s="18" t="n">
        <v>0.50123799</v>
      </c>
      <c r="L25" s="20" t="n">
        <v>0.25102579</v>
      </c>
      <c r="M25" s="18" t="n">
        <v>0</v>
      </c>
      <c r="N25" s="20" t="n">
        <v>0</v>
      </c>
      <c r="O25" s="18" t="n">
        <v>0</v>
      </c>
      <c r="P25" s="20" t="n">
        <v>0</v>
      </c>
      <c r="Q25" s="18" t="n">
        <v>12.59001958</v>
      </c>
      <c r="R25" s="20" t="n">
        <v>1.21401427</v>
      </c>
    </row>
    <row r="26" spans="1:18">
      <c r="A26" s="15" t="s">
        <v>584</v>
      </c>
      <c r="B26" s="17" t="n">
        <v>4869</v>
      </c>
      <c r="C26" s="18">
        <f>(3814.0/B26*100)</f>
        <v/>
      </c>
      <c r="D26" s="19" t="n">
        <v>1055</v>
      </c>
      <c r="E26" s="18" t="n">
        <v>57.47358338</v>
      </c>
      <c r="F26" s="20" t="n">
        <v>1.63946381</v>
      </c>
      <c r="G26" s="18" t="n">
        <v>28.04551315</v>
      </c>
      <c r="H26" s="20" t="n">
        <v>1.46208573</v>
      </c>
      <c r="I26" s="18" t="n">
        <v>0</v>
      </c>
      <c r="J26" s="20" t="n">
        <v>0</v>
      </c>
      <c r="K26" s="18" t="n">
        <v>0.34734027</v>
      </c>
      <c r="L26" s="20" t="n">
        <v>0.16202209</v>
      </c>
      <c r="M26" s="18" t="n">
        <v>0</v>
      </c>
      <c r="N26" s="20" t="n">
        <v>0</v>
      </c>
      <c r="O26" s="18" t="n">
        <v>0</v>
      </c>
      <c r="P26" s="20" t="n">
        <v>0</v>
      </c>
      <c r="Q26" s="18" t="n">
        <v>14.13356321</v>
      </c>
      <c r="R26" s="20" t="n">
        <v>1.24789146</v>
      </c>
    </row>
    <row r="27" spans="1:18">
      <c r="A27" s="15" t="s">
        <v>585</v>
      </c>
      <c r="B27" s="17" t="n">
        <v>5299</v>
      </c>
      <c r="C27" s="18">
        <f>(4181.0/B27*100)</f>
        <v/>
      </c>
      <c r="D27" s="19" t="n">
        <v>1118</v>
      </c>
      <c r="E27" s="18" t="n">
        <v>41.29943156</v>
      </c>
      <c r="F27" s="20" t="n">
        <v>1.28259876</v>
      </c>
      <c r="G27" s="18" t="n">
        <v>30.48036203</v>
      </c>
      <c r="H27" s="20" t="n">
        <v>1.37428718</v>
      </c>
      <c r="I27" s="18" t="n">
        <v>0</v>
      </c>
      <c r="J27" s="20" t="n">
        <v>0</v>
      </c>
      <c r="K27" s="18" t="n">
        <v>1.075626</v>
      </c>
      <c r="L27" s="20" t="n">
        <v>0.3106579</v>
      </c>
      <c r="M27" s="18" t="n">
        <v>0</v>
      </c>
      <c r="N27" s="20" t="n">
        <v>0</v>
      </c>
      <c r="O27" s="18" t="n">
        <v>0</v>
      </c>
      <c r="P27" s="20" t="n">
        <v>0</v>
      </c>
      <c r="Q27" s="18" t="n">
        <v>27.14458041</v>
      </c>
      <c r="R27" s="20" t="n">
        <v>1.39568053</v>
      </c>
    </row>
    <row r="28" spans="1:18">
      <c r="A28" s="15" t="s">
        <v>586</v>
      </c>
      <c r="B28" s="17" t="n">
        <v>7568</v>
      </c>
      <c r="C28" s="18">
        <f>(6075.0/B28*100)</f>
        <v/>
      </c>
      <c r="D28" s="19" t="n">
        <v>1493</v>
      </c>
      <c r="E28" s="18" t="n">
        <v>76.02289059</v>
      </c>
      <c r="F28" s="20" t="n">
        <v>1.12512879</v>
      </c>
      <c r="G28" s="18" t="n">
        <v>15.88238625</v>
      </c>
      <c r="H28" s="20" t="n">
        <v>1.10260409</v>
      </c>
      <c r="I28" s="18" t="n">
        <v>0</v>
      </c>
      <c r="J28" s="20" t="n">
        <v>0</v>
      </c>
      <c r="K28" s="18" t="n">
        <v>1.2772267</v>
      </c>
      <c r="L28" s="20" t="n">
        <v>0.3348557</v>
      </c>
      <c r="M28" s="18" t="n">
        <v>0.10732784</v>
      </c>
      <c r="N28" s="20" t="n">
        <v>0.10788946</v>
      </c>
      <c r="O28" s="18" t="n">
        <v>0</v>
      </c>
      <c r="P28" s="20" t="n">
        <v>0</v>
      </c>
      <c r="Q28" s="18" t="n">
        <v>6.71016862</v>
      </c>
      <c r="R28" s="20" t="n">
        <v>0.71190156</v>
      </c>
    </row>
    <row r="29" spans="1:18">
      <c r="A29" s="15" t="s">
        <v>587</v>
      </c>
      <c r="B29" s="17" t="n">
        <v>5385</v>
      </c>
      <c r="C29" s="18">
        <f>(4197.0/B29*100)</f>
        <v/>
      </c>
      <c r="D29" s="19" t="n">
        <v>1188</v>
      </c>
      <c r="E29" s="18" t="n">
        <v>45.02991924</v>
      </c>
      <c r="F29" s="20" t="n">
        <v>1.54327044</v>
      </c>
      <c r="G29" s="18" t="n">
        <v>46.36018186</v>
      </c>
      <c r="H29" s="20" t="n">
        <v>1.52573118</v>
      </c>
      <c r="I29" s="18" t="n">
        <v>0</v>
      </c>
      <c r="J29" s="20" t="n">
        <v>0</v>
      </c>
      <c r="K29" s="18" t="n">
        <v>0.44054165</v>
      </c>
      <c r="L29" s="20" t="n">
        <v>0.20365207</v>
      </c>
      <c r="M29" s="18" t="n">
        <v>0</v>
      </c>
      <c r="N29" s="20" t="n">
        <v>0</v>
      </c>
      <c r="O29" s="18" t="n">
        <v>0</v>
      </c>
      <c r="P29" s="20" t="n">
        <v>0</v>
      </c>
      <c r="Q29" s="18" t="n">
        <v>8.169357249999999</v>
      </c>
      <c r="R29" s="20" t="n">
        <v>0.78002488</v>
      </c>
    </row>
    <row r="30" spans="1:18">
      <c r="A30" s="15" t="s">
        <v>588</v>
      </c>
      <c r="B30" s="17" t="n">
        <v>4520</v>
      </c>
      <c r="C30" s="18">
        <f>(3545.0/B30*100)</f>
        <v/>
      </c>
      <c r="D30" s="19" t="n">
        <v>975</v>
      </c>
      <c r="E30" s="18" t="n">
        <v>39.17480265</v>
      </c>
      <c r="F30" s="20" t="n">
        <v>1.66655964</v>
      </c>
      <c r="G30" s="18" t="n">
        <v>41.24072725</v>
      </c>
      <c r="H30" s="20" t="n">
        <v>1.71256184</v>
      </c>
      <c r="I30" s="18" t="n">
        <v>0</v>
      </c>
      <c r="J30" s="20" t="n">
        <v>0</v>
      </c>
      <c r="K30" s="18" t="n">
        <v>0.8224964</v>
      </c>
      <c r="L30" s="20" t="n">
        <v>0.31725709</v>
      </c>
      <c r="M30" s="18" t="n">
        <v>0.07685556</v>
      </c>
      <c r="N30" s="20" t="n">
        <v>0.07817565999999999</v>
      </c>
      <c r="O30" s="18" t="n">
        <v>0</v>
      </c>
      <c r="P30" s="20" t="n">
        <v>0</v>
      </c>
      <c r="Q30" s="18" t="n">
        <v>18.68511814</v>
      </c>
      <c r="R30" s="20" t="n">
        <v>1.41083694</v>
      </c>
    </row>
    <row r="31" spans="1:18">
      <c r="A31" s="15" t="s">
        <v>589</v>
      </c>
      <c r="B31" s="17" t="n">
        <v>5456</v>
      </c>
      <c r="C31" s="18">
        <f>(4243.0/B31*100)</f>
        <v/>
      </c>
      <c r="D31" s="19" t="n">
        <v>1213</v>
      </c>
      <c r="E31" s="18" t="n">
        <v>34.31996965</v>
      </c>
      <c r="F31" s="20" t="n">
        <v>1.37518469</v>
      </c>
      <c r="G31" s="18" t="n">
        <v>45.61378173</v>
      </c>
      <c r="H31" s="20" t="n">
        <v>1.52088559</v>
      </c>
      <c r="I31" s="18" t="n">
        <v>0</v>
      </c>
      <c r="J31" s="20" t="n">
        <v>0</v>
      </c>
      <c r="K31" s="18" t="n">
        <v>1.60124185</v>
      </c>
      <c r="L31" s="20" t="n">
        <v>0.39293528</v>
      </c>
      <c r="M31" s="18" t="n">
        <v>0</v>
      </c>
      <c r="N31" s="20" t="n">
        <v>0</v>
      </c>
      <c r="O31" s="18" t="n">
        <v>0</v>
      </c>
      <c r="P31" s="20" t="n">
        <v>0</v>
      </c>
      <c r="Q31" s="18" t="n">
        <v>18.46500676</v>
      </c>
      <c r="R31" s="20" t="n">
        <v>1.17824435</v>
      </c>
    </row>
    <row r="32" spans="1:18">
      <c r="A32" s="15" t="s">
        <v>590</v>
      </c>
      <c r="B32" s="17" t="n">
        <v>4478</v>
      </c>
      <c r="C32" s="18">
        <f>(3494.0/B32*100)</f>
        <v/>
      </c>
      <c r="D32" s="19" t="n">
        <v>984</v>
      </c>
      <c r="E32" s="18" t="n">
        <v>40.60610551</v>
      </c>
      <c r="F32" s="20" t="n">
        <v>1.70961183</v>
      </c>
      <c r="G32" s="18" t="n">
        <v>39.05310135</v>
      </c>
      <c r="H32" s="20" t="n">
        <v>1.53411662</v>
      </c>
      <c r="I32" s="18" t="n">
        <v>0</v>
      </c>
      <c r="J32" s="20" t="n">
        <v>0</v>
      </c>
      <c r="K32" s="18" t="n">
        <v>0.26397579</v>
      </c>
      <c r="L32" s="20" t="n">
        <v>0.1538519</v>
      </c>
      <c r="M32" s="18" t="n">
        <v>0</v>
      </c>
      <c r="N32" s="20" t="n">
        <v>0</v>
      </c>
      <c r="O32" s="18" t="n">
        <v>0</v>
      </c>
      <c r="P32" s="20" t="n">
        <v>0</v>
      </c>
      <c r="Q32" s="18" t="n">
        <v>20.07681735</v>
      </c>
      <c r="R32" s="20" t="n">
        <v>1.20989267</v>
      </c>
    </row>
    <row r="33" spans="1:18">
      <c r="A33" s="15" t="s">
        <v>591</v>
      </c>
      <c r="B33" s="17" t="n">
        <v>7325</v>
      </c>
      <c r="C33" s="18">
        <f>(5879.0/B33*100)</f>
        <v/>
      </c>
      <c r="D33" s="19" t="n">
        <v>1446</v>
      </c>
      <c r="E33" s="18" t="n">
        <v>41.79503799</v>
      </c>
      <c r="F33" s="20" t="n">
        <v>1.3780435</v>
      </c>
      <c r="G33" s="18" t="n">
        <v>36.89056921</v>
      </c>
      <c r="H33" s="20" t="n">
        <v>1.51256749</v>
      </c>
      <c r="I33" s="18" t="n">
        <v>0</v>
      </c>
      <c r="J33" s="20" t="n">
        <v>0</v>
      </c>
      <c r="K33" s="18" t="n">
        <v>0.8939073400000001</v>
      </c>
      <c r="L33" s="20" t="n">
        <v>0.33759324</v>
      </c>
      <c r="M33" s="18" t="n">
        <v>0.19213404</v>
      </c>
      <c r="N33" s="20" t="n">
        <v>0.11719733</v>
      </c>
      <c r="O33" s="18" t="n">
        <v>0</v>
      </c>
      <c r="P33" s="20" t="n">
        <v>0</v>
      </c>
      <c r="Q33" s="18" t="n">
        <v>20.22835143</v>
      </c>
      <c r="R33" s="20" t="n">
        <v>1.4011788</v>
      </c>
    </row>
    <row r="34" spans="1:18">
      <c r="A34" s="15" t="s">
        <v>592</v>
      </c>
      <c r="B34" s="17" t="n">
        <v>6350</v>
      </c>
      <c r="C34" s="18">
        <f>(4985.0/B34*100)</f>
        <v/>
      </c>
      <c r="D34" s="19" t="n">
        <v>1365</v>
      </c>
      <c r="E34" s="18" t="n">
        <v>49.71688289</v>
      </c>
      <c r="F34" s="20" t="n">
        <v>1.40070428</v>
      </c>
      <c r="G34" s="18" t="n">
        <v>21.8443501</v>
      </c>
      <c r="H34" s="20" t="n">
        <v>1.11863506</v>
      </c>
      <c r="I34" s="18" t="n">
        <v>0</v>
      </c>
      <c r="J34" s="20" t="n">
        <v>0</v>
      </c>
      <c r="K34" s="18" t="n">
        <v>0.80353853</v>
      </c>
      <c r="L34" s="20" t="n">
        <v>0.25881161</v>
      </c>
      <c r="M34" s="18" t="n">
        <v>0.52445493</v>
      </c>
      <c r="N34" s="20" t="n">
        <v>0.23722456</v>
      </c>
      <c r="O34" s="18" t="n">
        <v>0</v>
      </c>
      <c r="P34" s="20" t="n">
        <v>0</v>
      </c>
      <c r="Q34" s="18" t="n">
        <v>27.11077355</v>
      </c>
      <c r="R34" s="20" t="n">
        <v>1.297869</v>
      </c>
    </row>
    <row r="35" spans="1:18">
      <c r="A35" s="15" t="s">
        <v>593</v>
      </c>
      <c r="B35" s="17" t="n">
        <v>6406</v>
      </c>
      <c r="C35" s="18">
        <f>(5037.0/B35*100)</f>
        <v/>
      </c>
      <c r="D35" s="19" t="n">
        <v>1369</v>
      </c>
      <c r="E35" s="18" t="n">
        <v>43.02115495</v>
      </c>
      <c r="F35" s="20" t="n">
        <v>1.85736423</v>
      </c>
      <c r="G35" s="18" t="n">
        <v>40.18876882</v>
      </c>
      <c r="H35" s="20" t="n">
        <v>1.93374224</v>
      </c>
      <c r="I35" s="18" t="n">
        <v>0</v>
      </c>
      <c r="J35" s="20" t="n">
        <v>0</v>
      </c>
      <c r="K35" s="18" t="n">
        <v>0.86934513</v>
      </c>
      <c r="L35" s="20" t="n">
        <v>0.41989558</v>
      </c>
      <c r="M35" s="18" t="n">
        <v>0.23669939</v>
      </c>
      <c r="N35" s="20" t="n">
        <v>0.16107644</v>
      </c>
      <c r="O35" s="18" t="n">
        <v>0</v>
      </c>
      <c r="P35" s="20" t="n">
        <v>0</v>
      </c>
      <c r="Q35" s="18" t="n">
        <v>15.68403172</v>
      </c>
      <c r="R35" s="20" t="n">
        <v>1.338468</v>
      </c>
    </row>
    <row r="36" spans="1:18">
      <c r="A36" s="15" t="s">
        <v>594</v>
      </c>
      <c r="B36" s="17" t="n">
        <v>6736</v>
      </c>
      <c r="C36" s="18">
        <f>(5319.0/B36*100)</f>
        <v/>
      </c>
      <c r="D36" s="19" t="n">
        <v>1417</v>
      </c>
      <c r="E36" s="18" t="n">
        <v>42.5565059</v>
      </c>
      <c r="F36" s="20" t="n">
        <v>1.24982781</v>
      </c>
      <c r="G36" s="18" t="n">
        <v>37.91214309</v>
      </c>
      <c r="H36" s="20" t="n">
        <v>1.27668587</v>
      </c>
      <c r="I36" s="18" t="n">
        <v>0</v>
      </c>
      <c r="J36" s="20" t="n">
        <v>0</v>
      </c>
      <c r="K36" s="18" t="n">
        <v>0.73967119</v>
      </c>
      <c r="L36" s="20" t="n">
        <v>0.23121576</v>
      </c>
      <c r="M36" s="18" t="n">
        <v>0.15183609</v>
      </c>
      <c r="N36" s="20" t="n">
        <v>0.11447963</v>
      </c>
      <c r="O36" s="18" t="n">
        <v>0</v>
      </c>
      <c r="P36" s="20" t="n">
        <v>0</v>
      </c>
      <c r="Q36" s="18" t="n">
        <v>18.63984373</v>
      </c>
      <c r="R36" s="20" t="n">
        <v>1.21204587</v>
      </c>
    </row>
    <row r="37" spans="1:18">
      <c r="A37" s="15" t="s">
        <v>595</v>
      </c>
      <c r="B37" s="17" t="n">
        <v>5458</v>
      </c>
      <c r="C37" s="18">
        <f>(4321.0/B37*100)</f>
        <v/>
      </c>
      <c r="D37" s="19" t="n">
        <v>1137</v>
      </c>
      <c r="E37" s="18" t="n">
        <v>38.20331888</v>
      </c>
      <c r="F37" s="20" t="n">
        <v>1.58331619</v>
      </c>
      <c r="G37" s="18" t="n">
        <v>30.0152351</v>
      </c>
      <c r="H37" s="20" t="n">
        <v>1.71105294</v>
      </c>
      <c r="I37" s="18" t="n">
        <v>0</v>
      </c>
      <c r="J37" s="20" t="n">
        <v>0</v>
      </c>
      <c r="K37" s="18" t="n">
        <v>2.55524515</v>
      </c>
      <c r="L37" s="20" t="n">
        <v>0.42859116</v>
      </c>
      <c r="M37" s="18" t="n">
        <v>0</v>
      </c>
      <c r="N37" s="20" t="n">
        <v>0</v>
      </c>
      <c r="O37" s="18" t="n">
        <v>0</v>
      </c>
      <c r="P37" s="20" t="n">
        <v>0</v>
      </c>
      <c r="Q37" s="18" t="n">
        <v>29.22620087</v>
      </c>
      <c r="R37" s="20" t="n">
        <v>1.55631832</v>
      </c>
    </row>
    <row r="38" spans="1:18">
      <c r="A38" s="15" t="s">
        <v>596</v>
      </c>
      <c r="B38" s="17" t="n">
        <v>5860</v>
      </c>
      <c r="C38" s="18">
        <f>(4646.0/B38*100)</f>
        <v/>
      </c>
      <c r="D38" s="19" t="n">
        <v>1214</v>
      </c>
      <c r="E38" s="18" t="n">
        <v>39.19536338</v>
      </c>
      <c r="F38" s="20" t="n">
        <v>1.75673881</v>
      </c>
      <c r="G38" s="18" t="n">
        <v>37.66214263</v>
      </c>
      <c r="H38" s="20" t="n">
        <v>1.94912812</v>
      </c>
      <c r="I38" s="18" t="n">
        <v>0</v>
      </c>
      <c r="J38" s="20" t="n">
        <v>0</v>
      </c>
      <c r="K38" s="18" t="n">
        <v>0.78446463</v>
      </c>
      <c r="L38" s="20" t="n">
        <v>0.26998881</v>
      </c>
      <c r="M38" s="18" t="n">
        <v>2.5041936</v>
      </c>
      <c r="N38" s="20" t="n">
        <v>0.59442825</v>
      </c>
      <c r="O38" s="18" t="n">
        <v>0</v>
      </c>
      <c r="P38" s="20" t="n">
        <v>0</v>
      </c>
      <c r="Q38" s="18" t="n">
        <v>19.85383574</v>
      </c>
      <c r="R38" s="20" t="n">
        <v>1.44508975</v>
      </c>
    </row>
    <row r="39" spans="1:18">
      <c r="A39" s="15" t="s">
        <v>597</v>
      </c>
      <c r="B39" s="17" t="n">
        <v>5895</v>
      </c>
      <c r="C39" s="18">
        <f>(4566.0/B39*100)</f>
        <v/>
      </c>
      <c r="D39" s="19" t="n">
        <v>1329</v>
      </c>
      <c r="E39" s="18" t="n">
        <v>64.87239974000001</v>
      </c>
      <c r="F39" s="20" t="n">
        <v>1.3092615</v>
      </c>
      <c r="G39" s="18" t="n">
        <v>12.2226294</v>
      </c>
      <c r="H39" s="20" t="n">
        <v>1.06981332</v>
      </c>
      <c r="I39" s="18" t="n">
        <v>0</v>
      </c>
      <c r="J39" s="20" t="n">
        <v>0</v>
      </c>
      <c r="K39" s="18" t="n">
        <v>0.43650266</v>
      </c>
      <c r="L39" s="20" t="n">
        <v>0.17744193</v>
      </c>
      <c r="M39" s="18" t="n">
        <v>0.15098059</v>
      </c>
      <c r="N39" s="20" t="n">
        <v>0.0881958</v>
      </c>
      <c r="O39" s="18" t="n">
        <v>0</v>
      </c>
      <c r="P39" s="20" t="n">
        <v>0</v>
      </c>
      <c r="Q39" s="18" t="n">
        <v>22.31748761</v>
      </c>
      <c r="R39" s="20" t="n">
        <v>1.12595917</v>
      </c>
    </row>
    <row r="40" spans="1:18">
      <c r="A40" s="15" t="s">
        <v>598</v>
      </c>
      <c r="B40" s="17" t="n">
        <v>14157</v>
      </c>
      <c r="C40" s="18">
        <f>(11054.0/B40*100)</f>
        <v/>
      </c>
      <c r="D40" s="19" t="n">
        <v>3103</v>
      </c>
      <c r="E40" s="18" t="n">
        <v>41.88258595</v>
      </c>
      <c r="F40" s="20" t="n">
        <v>1.24790601</v>
      </c>
      <c r="G40" s="18" t="n">
        <v>34.48410453</v>
      </c>
      <c r="H40" s="20" t="n">
        <v>1.46265885</v>
      </c>
      <c r="I40" s="18" t="n">
        <v>0</v>
      </c>
      <c r="J40" s="20" t="n">
        <v>0</v>
      </c>
      <c r="K40" s="18" t="n">
        <v>0.94762354</v>
      </c>
      <c r="L40" s="20" t="n">
        <v>0.25104195</v>
      </c>
      <c r="M40" s="18" t="n">
        <v>0</v>
      </c>
      <c r="N40" s="20" t="n">
        <v>0</v>
      </c>
      <c r="O40" s="18" t="n">
        <v>0</v>
      </c>
      <c r="P40" s="20" t="n">
        <v>0</v>
      </c>
      <c r="Q40" s="18" t="n">
        <v>22.68568598</v>
      </c>
      <c r="R40" s="20" t="n">
        <v>1.26345511</v>
      </c>
    </row>
    <row r="41" spans="1:18">
      <c r="A41" s="15" t="s">
        <v>599</v>
      </c>
      <c r="B41" s="17" t="n">
        <v>5712</v>
      </c>
      <c r="C41" s="18">
        <f>(4513.0/B41*100)</f>
        <v/>
      </c>
      <c r="D41" s="19" t="n">
        <v>1199</v>
      </c>
      <c r="E41" s="18" t="n">
        <v>56.81595296</v>
      </c>
      <c r="F41" s="20" t="n">
        <v>1.64048658</v>
      </c>
      <c r="G41" s="18" t="n">
        <v>35.68773297</v>
      </c>
      <c r="H41" s="20" t="n">
        <v>1.65312097</v>
      </c>
      <c r="I41" s="18" t="n">
        <v>0</v>
      </c>
      <c r="J41" s="20" t="n">
        <v>0</v>
      </c>
      <c r="K41" s="18" t="n">
        <v>0.25514178</v>
      </c>
      <c r="L41" s="20" t="n">
        <v>0.12678979</v>
      </c>
      <c r="M41" s="18" t="n">
        <v>0</v>
      </c>
      <c r="N41" s="20" t="n">
        <v>0</v>
      </c>
      <c r="O41" s="18" t="n">
        <v>0</v>
      </c>
      <c r="P41" s="20" t="n">
        <v>0</v>
      </c>
      <c r="Q41" s="18" t="n">
        <v>7.24117229</v>
      </c>
      <c r="R41" s="20" t="n">
        <v>0.94503206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(19528.0/B46*100)</f>
        <v/>
      </c>
      <c r="D46" s="19" t="n">
        <v>3613</v>
      </c>
      <c r="E46" s="18" t="n">
        <v>45.32118147</v>
      </c>
      <c r="F46" s="20" t="n">
        <v>1.19851144</v>
      </c>
      <c r="G46" s="18" t="n">
        <v>24.21720239</v>
      </c>
      <c r="H46" s="20" t="n">
        <v>0.93985255</v>
      </c>
      <c r="I46" s="18" t="n">
        <v>0</v>
      </c>
      <c r="J46" s="20" t="n">
        <v>0</v>
      </c>
      <c r="K46" s="18" t="n">
        <v>3.34864259</v>
      </c>
      <c r="L46" s="20" t="n">
        <v>0.52849312</v>
      </c>
      <c r="M46" s="18" t="n">
        <v>0.3472362</v>
      </c>
      <c r="N46" s="20" t="n">
        <v>0.15531139</v>
      </c>
      <c r="O46" s="18" t="n">
        <v>0</v>
      </c>
      <c r="P46" s="20" t="n">
        <v>0</v>
      </c>
      <c r="Q46" s="18" t="n">
        <v>26.76573735</v>
      </c>
      <c r="R46" s="20" t="n">
        <v>1.18530993</v>
      </c>
    </row>
    <row r="47" spans="1:18">
      <c r="A47" s="15" t="s">
        <v>606</v>
      </c>
      <c r="B47" s="17" t="n">
        <v>5928</v>
      </c>
      <c r="C47" s="18">
        <f>(4652.0/B47*100)</f>
        <v/>
      </c>
      <c r="D47" s="19" t="n">
        <v>1276</v>
      </c>
      <c r="E47" s="18" t="n">
        <v>36.30856433</v>
      </c>
      <c r="F47" s="20" t="n">
        <v>1.46609618</v>
      </c>
      <c r="G47" s="18" t="n">
        <v>24.82370651</v>
      </c>
      <c r="H47" s="20" t="n">
        <v>1.77407085</v>
      </c>
      <c r="I47" s="18" t="n">
        <v>0</v>
      </c>
      <c r="J47" s="20" t="n">
        <v>0</v>
      </c>
      <c r="K47" s="18" t="n">
        <v>1.59711654</v>
      </c>
      <c r="L47" s="20" t="n">
        <v>0.43102659</v>
      </c>
      <c r="M47" s="18" t="n">
        <v>0.080577</v>
      </c>
      <c r="N47" s="20" t="n">
        <v>0.07624096</v>
      </c>
      <c r="O47" s="18" t="n">
        <v>0</v>
      </c>
      <c r="P47" s="20" t="n">
        <v>0</v>
      </c>
      <c r="Q47" s="18" t="n">
        <v>37.19003562</v>
      </c>
      <c r="R47" s="20" t="n">
        <v>1.76540245</v>
      </c>
    </row>
    <row r="48" spans="1:18">
      <c r="A48" s="15" t="s">
        <v>607</v>
      </c>
      <c r="B48" s="17" t="n">
        <v>9841</v>
      </c>
      <c r="C48" s="18">
        <f>(7686.0/B48*100)</f>
        <v/>
      </c>
      <c r="D48" s="19" t="n">
        <v>2155</v>
      </c>
      <c r="E48" s="18" t="n">
        <v>51.32215913</v>
      </c>
      <c r="F48" s="20" t="n">
        <v>1.57837592</v>
      </c>
      <c r="G48" s="18" t="n">
        <v>33.70696599</v>
      </c>
      <c r="H48" s="20" t="n">
        <v>1.55188845</v>
      </c>
      <c r="I48" s="18" t="n">
        <v>0</v>
      </c>
      <c r="J48" s="20" t="n">
        <v>0</v>
      </c>
      <c r="K48" s="18" t="n">
        <v>0.71879296</v>
      </c>
      <c r="L48" s="20" t="n">
        <v>0.33307243</v>
      </c>
      <c r="M48" s="18" t="n">
        <v>0.0143784</v>
      </c>
      <c r="N48" s="20" t="n">
        <v>0.01103649</v>
      </c>
      <c r="O48" s="18" t="n">
        <v>0</v>
      </c>
      <c r="P48" s="20" t="n">
        <v>0</v>
      </c>
      <c r="Q48" s="18" t="n">
        <v>14.23770353</v>
      </c>
      <c r="R48" s="20" t="n">
        <v>1.29157028</v>
      </c>
    </row>
    <row r="49" spans="1:18">
      <c r="A49" s="15" t="s">
        <v>608</v>
      </c>
      <c r="B49" s="17" t="n">
        <v>11795</v>
      </c>
      <c r="C49" s="18">
        <f>(9381.0/B49*100)</f>
        <v/>
      </c>
      <c r="D49" s="19" t="n">
        <v>2414</v>
      </c>
      <c r="E49" s="18" t="n">
        <v>63.90624761</v>
      </c>
      <c r="F49" s="20" t="n">
        <v>1.43804655</v>
      </c>
      <c r="G49" s="18" t="n">
        <v>19.7484293</v>
      </c>
      <c r="H49" s="20" t="n">
        <v>1.18398136</v>
      </c>
      <c r="I49" s="18" t="n">
        <v>0</v>
      </c>
      <c r="J49" s="20" t="n">
        <v>0</v>
      </c>
      <c r="K49" s="18" t="n">
        <v>2.38645911</v>
      </c>
      <c r="L49" s="20" t="n">
        <v>0.41295104</v>
      </c>
      <c r="M49" s="18" t="n">
        <v>0.15509933</v>
      </c>
      <c r="N49" s="20" t="n">
        <v>0.12584087</v>
      </c>
      <c r="O49" s="18" t="n">
        <v>0</v>
      </c>
      <c r="P49" s="20" t="n">
        <v>0</v>
      </c>
      <c r="Q49" s="18" t="n">
        <v>13.80376465</v>
      </c>
      <c r="R49" s="20" t="n">
        <v>1.07010623</v>
      </c>
    </row>
    <row r="50" spans="1:18">
      <c r="A50" s="15" t="s">
        <v>609</v>
      </c>
      <c r="B50" s="17" t="n">
        <v>6866</v>
      </c>
      <c r="C50" s="18">
        <f>(5647.0/B50*100)</f>
        <v/>
      </c>
      <c r="D50" s="19" t="n">
        <v>1219</v>
      </c>
      <c r="E50" s="18" t="n">
        <v>65.17442469</v>
      </c>
      <c r="F50" s="20" t="n">
        <v>1.65740623</v>
      </c>
      <c r="G50" s="18" t="n">
        <v>18.74438855</v>
      </c>
      <c r="H50" s="20" t="n">
        <v>1.1689975</v>
      </c>
      <c r="I50" s="18" t="n">
        <v>0</v>
      </c>
      <c r="J50" s="20" t="n">
        <v>0</v>
      </c>
      <c r="K50" s="18" t="n">
        <v>0.88890906</v>
      </c>
      <c r="L50" s="20" t="n">
        <v>0.33813614</v>
      </c>
      <c r="M50" s="18" t="n">
        <v>0</v>
      </c>
      <c r="N50" s="20" t="n">
        <v>0</v>
      </c>
      <c r="O50" s="18" t="n">
        <v>0</v>
      </c>
      <c r="P50" s="20" t="n">
        <v>0</v>
      </c>
      <c r="Q50" s="18" t="n">
        <v>15.19227771</v>
      </c>
      <c r="R50" s="20" t="n">
        <v>1.3268976</v>
      </c>
    </row>
    <row r="51" spans="1:18">
      <c r="A51" s="15" t="s">
        <v>610</v>
      </c>
      <c r="B51" s="17" t="n">
        <v>5809</v>
      </c>
      <c r="C51" s="18">
        <f>(4587.0/B51*100)</f>
        <v/>
      </c>
      <c r="D51" s="19" t="n">
        <v>1222</v>
      </c>
      <c r="E51" s="18" t="n">
        <v>44.02658414</v>
      </c>
      <c r="F51" s="20" t="n">
        <v>1.40123468</v>
      </c>
      <c r="G51" s="18" t="n">
        <v>26.43898905</v>
      </c>
      <c r="H51" s="20" t="n">
        <v>1.31137122</v>
      </c>
      <c r="I51" s="18" t="n">
        <v>0</v>
      </c>
      <c r="J51" s="20" t="n">
        <v>0</v>
      </c>
      <c r="K51" s="18" t="n">
        <v>0.56038811</v>
      </c>
      <c r="L51" s="20" t="n">
        <v>0.23674785</v>
      </c>
      <c r="M51" s="18" t="n">
        <v>0</v>
      </c>
      <c r="N51" s="20" t="n">
        <v>0</v>
      </c>
      <c r="O51" s="18" t="n">
        <v>0</v>
      </c>
      <c r="P51" s="20" t="n">
        <v>0</v>
      </c>
      <c r="Q51" s="18" t="n">
        <v>28.97403871</v>
      </c>
      <c r="R51" s="20" t="n">
        <v>1.30120828</v>
      </c>
    </row>
    <row r="52" spans="1:18">
      <c r="A52" s="15" t="s">
        <v>611</v>
      </c>
      <c r="B52" s="17" t="n">
        <v>5571</v>
      </c>
      <c r="C52" s="18">
        <f>(4409.0/B52*100)</f>
        <v/>
      </c>
      <c r="D52" s="19" t="n">
        <v>1162</v>
      </c>
      <c r="E52" s="18" t="n">
        <v>44.91882125</v>
      </c>
      <c r="F52" s="20" t="n">
        <v>1.48724358</v>
      </c>
      <c r="G52" s="18" t="n">
        <v>21.67904387</v>
      </c>
      <c r="H52" s="20" t="n">
        <v>1.42956692</v>
      </c>
      <c r="I52" s="18" t="n">
        <v>0</v>
      </c>
      <c r="J52" s="20" t="n">
        <v>0</v>
      </c>
      <c r="K52" s="18" t="n">
        <v>0.85048536</v>
      </c>
      <c r="L52" s="20" t="n">
        <v>0.24118337</v>
      </c>
      <c r="M52" s="18" t="n">
        <v>0</v>
      </c>
      <c r="N52" s="20" t="n">
        <v>0</v>
      </c>
      <c r="O52" s="18" t="n">
        <v>0</v>
      </c>
      <c r="P52" s="20" t="n">
        <v>0</v>
      </c>
      <c r="Q52" s="18" t="n">
        <v>32.55164952</v>
      </c>
      <c r="R52" s="20" t="n">
        <v>1.43748895</v>
      </c>
    </row>
    <row r="53" spans="1:18">
      <c r="A53" s="15" t="s">
        <v>612</v>
      </c>
      <c r="B53" s="17" t="n">
        <v>4740</v>
      </c>
      <c r="C53" s="18">
        <f>(3677.0/B53*100)</f>
        <v/>
      </c>
      <c r="D53" s="19" t="n">
        <v>1063</v>
      </c>
      <c r="E53" s="18" t="n">
        <v>47.23666517</v>
      </c>
      <c r="F53" s="20" t="n">
        <v>1.69796949</v>
      </c>
      <c r="G53" s="18" t="n">
        <v>2.99500672</v>
      </c>
      <c r="H53" s="20" t="n">
        <v>0.57708162</v>
      </c>
      <c r="I53" s="18" t="n">
        <v>0</v>
      </c>
      <c r="J53" s="20" t="n">
        <v>0</v>
      </c>
      <c r="K53" s="18" t="n">
        <v>25.06154747</v>
      </c>
      <c r="L53" s="20" t="n">
        <v>1.62890941</v>
      </c>
      <c r="M53" s="18" t="n">
        <v>0.59928332</v>
      </c>
      <c r="N53" s="20" t="n">
        <v>0.55460277</v>
      </c>
      <c r="O53" s="18" t="n">
        <v>0</v>
      </c>
      <c r="P53" s="20" t="n">
        <v>0</v>
      </c>
      <c r="Q53" s="18" t="n">
        <v>24.10749732</v>
      </c>
      <c r="R53" s="20" t="n">
        <v>1.79559383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(4186.0/B55*100)</f>
        <v/>
      </c>
      <c r="D55" s="19" t="n">
        <v>1173</v>
      </c>
      <c r="E55" s="18" t="n">
        <v>47.79197501</v>
      </c>
      <c r="F55" s="20" t="n">
        <v>1.64414845</v>
      </c>
      <c r="G55" s="18" t="n">
        <v>42.87468839</v>
      </c>
      <c r="H55" s="20" t="n">
        <v>1.63416742</v>
      </c>
      <c r="I55" s="18" t="n">
        <v>0</v>
      </c>
      <c r="J55" s="20" t="n">
        <v>0</v>
      </c>
      <c r="K55" s="18" t="n">
        <v>0.26227587</v>
      </c>
      <c r="L55" s="20" t="n">
        <v>0.16878615</v>
      </c>
      <c r="M55" s="18" t="n">
        <v>0.18036582</v>
      </c>
      <c r="N55" s="20" t="n">
        <v>0.18065784</v>
      </c>
      <c r="O55" s="18" t="n">
        <v>0</v>
      </c>
      <c r="P55" s="20" t="n">
        <v>0</v>
      </c>
      <c r="Q55" s="18" t="n">
        <v>8.890694910000001</v>
      </c>
      <c r="R55" s="20" t="n">
        <v>0.86978715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(5093.0/B61*100)</f>
        <v/>
      </c>
      <c r="D61" s="19" t="n">
        <v>1432</v>
      </c>
      <c r="E61" s="18" t="n">
        <v>44.81346257</v>
      </c>
      <c r="F61" s="20" t="n">
        <v>1.44026168</v>
      </c>
      <c r="G61" s="18" t="n">
        <v>33.32167196</v>
      </c>
      <c r="H61" s="20" t="n">
        <v>1.39969357</v>
      </c>
      <c r="I61" s="18" t="n">
        <v>0</v>
      </c>
      <c r="J61" s="20" t="n">
        <v>0</v>
      </c>
      <c r="K61" s="18" t="n">
        <v>0.81417251</v>
      </c>
      <c r="L61" s="20" t="n">
        <v>0.29899478</v>
      </c>
      <c r="M61" s="18" t="n">
        <v>0</v>
      </c>
      <c r="N61" s="20" t="n">
        <v>0</v>
      </c>
      <c r="O61" s="18" t="n">
        <v>0</v>
      </c>
      <c r="P61" s="20" t="n">
        <v>0</v>
      </c>
      <c r="Q61" s="18" t="n">
        <v>21.05069296</v>
      </c>
      <c r="R61" s="20" t="n">
        <v>1.04568676</v>
      </c>
    </row>
    <row r="62" spans="1:18">
      <c r="A62" s="15" t="s">
        <v>622</v>
      </c>
      <c r="B62" s="17" t="n">
        <v>4476</v>
      </c>
      <c r="C62" s="18">
        <f>(3543.0/B62*100)</f>
        <v/>
      </c>
      <c r="D62" s="19" t="n">
        <v>933</v>
      </c>
      <c r="E62" s="18" t="n">
        <v>66.87530452999999</v>
      </c>
      <c r="F62" s="20" t="n">
        <v>1.55017922</v>
      </c>
      <c r="G62" s="18" t="n">
        <v>23.68413942</v>
      </c>
      <c r="H62" s="20" t="n">
        <v>1.39073074</v>
      </c>
      <c r="I62" s="18" t="n">
        <v>0</v>
      </c>
      <c r="J62" s="20" t="n">
        <v>0</v>
      </c>
      <c r="K62" s="18" t="n">
        <v>0.11018042</v>
      </c>
      <c r="L62" s="20" t="n">
        <v>0.11051177</v>
      </c>
      <c r="M62" s="18" t="n">
        <v>0.2141493</v>
      </c>
      <c r="N62" s="20" t="n">
        <v>0.15042404</v>
      </c>
      <c r="O62" s="18" t="n">
        <v>0</v>
      </c>
      <c r="P62" s="20" t="n">
        <v>0</v>
      </c>
      <c r="Q62" s="18" t="n">
        <v>9.116226340000001</v>
      </c>
      <c r="R62" s="20" t="n">
        <v>1.0158053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(4460.0/B67*100)</f>
        <v/>
      </c>
      <c r="D67" s="19" t="n">
        <v>1205</v>
      </c>
      <c r="E67" s="18" t="n">
        <v>18.75553043</v>
      </c>
      <c r="F67" s="20" t="n">
        <v>1.12114433</v>
      </c>
      <c r="G67" s="18" t="n">
        <v>14.19030948</v>
      </c>
      <c r="H67" s="20" t="n">
        <v>0.95558641</v>
      </c>
      <c r="I67" s="18" t="n">
        <v>0</v>
      </c>
      <c r="J67" s="20" t="n">
        <v>0</v>
      </c>
      <c r="K67" s="18" t="n">
        <v>1.21044341</v>
      </c>
      <c r="L67" s="20" t="n">
        <v>0.29648038</v>
      </c>
      <c r="M67" s="18" t="n">
        <v>30.79601594</v>
      </c>
      <c r="N67" s="20" t="n">
        <v>1.26790625</v>
      </c>
      <c r="O67" s="18" t="n">
        <v>0</v>
      </c>
      <c r="P67" s="20" t="n">
        <v>0</v>
      </c>
      <c r="Q67" s="18" t="n">
        <v>35.04770074</v>
      </c>
      <c r="R67" s="20" t="n">
        <v>1.34484575</v>
      </c>
    </row>
    <row r="68" spans="1:18">
      <c r="A68" s="15" t="s">
        <v>628</v>
      </c>
      <c r="B68" s="17" t="n">
        <v>6971</v>
      </c>
      <c r="C68" s="18">
        <f>(5698.0/B68*100)</f>
        <v/>
      </c>
      <c r="D68" s="19" t="n">
        <v>1273</v>
      </c>
      <c r="E68" s="18" t="n">
        <v>71.84799497</v>
      </c>
      <c r="F68" s="20" t="n">
        <v>1.30149463</v>
      </c>
      <c r="G68" s="18" t="n">
        <v>8.43032183</v>
      </c>
      <c r="H68" s="20" t="n">
        <v>0.91835234</v>
      </c>
      <c r="I68" s="18" t="n">
        <v>0</v>
      </c>
      <c r="J68" s="20" t="n">
        <v>0</v>
      </c>
      <c r="K68" s="18" t="n">
        <v>0.43632274</v>
      </c>
      <c r="L68" s="20" t="n">
        <v>0.18117857</v>
      </c>
      <c r="M68" s="18" t="n">
        <v>0</v>
      </c>
      <c r="N68" s="20" t="n">
        <v>0</v>
      </c>
      <c r="O68" s="18" t="n">
        <v>0</v>
      </c>
      <c r="P68" s="20" t="n">
        <v>0</v>
      </c>
      <c r="Q68" s="18" t="n">
        <v>19.28536046</v>
      </c>
      <c r="R68" s="20" t="n">
        <v>1.21148463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(9414.0/B70*100)</f>
        <v/>
      </c>
      <c r="D70" s="19" t="n">
        <v>2669</v>
      </c>
      <c r="E70" s="18" t="n">
        <v>51.17541998</v>
      </c>
      <c r="F70" s="20" t="n">
        <v>1.02990759</v>
      </c>
      <c r="G70" s="18" t="n">
        <v>22.32002547</v>
      </c>
      <c r="H70" s="20" t="n">
        <v>0.80878744</v>
      </c>
      <c r="I70" s="18" t="n">
        <v>0</v>
      </c>
      <c r="J70" s="20" t="n">
        <v>0</v>
      </c>
      <c r="K70" s="18" t="n">
        <v>5.29949078</v>
      </c>
      <c r="L70" s="20" t="n">
        <v>0.40393799</v>
      </c>
      <c r="M70" s="18" t="n">
        <v>0.03597867</v>
      </c>
      <c r="N70" s="20" t="n">
        <v>0.03583189</v>
      </c>
      <c r="O70" s="18" t="n">
        <v>0</v>
      </c>
      <c r="P70" s="20" t="n">
        <v>0</v>
      </c>
      <c r="Q70" s="18" t="n">
        <v>21.1690851</v>
      </c>
      <c r="R70" s="20" t="n">
        <v>0.93937357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(4809.0/B72*100)</f>
        <v/>
      </c>
      <c r="D72" s="19" t="n">
        <v>1227</v>
      </c>
      <c r="E72" s="18" t="n">
        <v>58.57044432</v>
      </c>
      <c r="F72" s="20" t="n">
        <v>1.5562477</v>
      </c>
      <c r="G72" s="18" t="n">
        <v>21.1766007</v>
      </c>
      <c r="H72" s="20" t="n">
        <v>1.05284242</v>
      </c>
      <c r="I72" s="18" t="n">
        <v>0</v>
      </c>
      <c r="J72" s="20" t="n">
        <v>0</v>
      </c>
      <c r="K72" s="18" t="n">
        <v>0.61285619</v>
      </c>
      <c r="L72" s="20" t="n">
        <v>0.23384458</v>
      </c>
      <c r="M72" s="18" t="n">
        <v>0</v>
      </c>
      <c r="N72" s="20" t="n">
        <v>0</v>
      </c>
      <c r="O72" s="18" t="n">
        <v>0</v>
      </c>
      <c r="P72" s="20" t="n">
        <v>0</v>
      </c>
      <c r="Q72" s="18" t="n">
        <v>19.64009879</v>
      </c>
      <c r="R72" s="20" t="n">
        <v>1.47561284</v>
      </c>
    </row>
    <row r="73" spans="1:18">
      <c r="A73" s="15" t="s">
        <v>633</v>
      </c>
      <c r="B73" s="17" t="n">
        <v>6115</v>
      </c>
      <c r="C73" s="18">
        <f>(4721.0/B73*100)</f>
        <v/>
      </c>
      <c r="D73" s="19" t="n">
        <v>1394</v>
      </c>
      <c r="E73" s="18" t="n">
        <v>35.79682456</v>
      </c>
      <c r="F73" s="20" t="n">
        <v>1.23870198</v>
      </c>
      <c r="G73" s="18" t="n">
        <v>56.42486056</v>
      </c>
      <c r="H73" s="20" t="n">
        <v>1.32604192</v>
      </c>
      <c r="I73" s="18" t="n">
        <v>0</v>
      </c>
      <c r="J73" s="20" t="n">
        <v>0</v>
      </c>
      <c r="K73" s="18" t="n">
        <v>0.18362327</v>
      </c>
      <c r="L73" s="20" t="n">
        <v>0.09383089</v>
      </c>
      <c r="M73" s="18" t="n">
        <v>0</v>
      </c>
      <c r="N73" s="20" t="n">
        <v>0</v>
      </c>
      <c r="O73" s="18" t="n">
        <v>0</v>
      </c>
      <c r="P73" s="20" t="n">
        <v>0</v>
      </c>
      <c r="Q73" s="18" t="n">
        <v>7.59469161</v>
      </c>
      <c r="R73" s="20" t="n">
        <v>0.89948883</v>
      </c>
    </row>
    <row r="74" spans="1:18">
      <c r="A74" s="15" t="s">
        <v>634</v>
      </c>
      <c r="B74" s="17" t="n">
        <v>7708</v>
      </c>
      <c r="C74" s="18">
        <f>(5986.0/B74*100)</f>
        <v/>
      </c>
      <c r="D74" s="19" t="n">
        <v>1722</v>
      </c>
      <c r="E74" s="18" t="n">
        <v>46.23556281</v>
      </c>
      <c r="F74" s="20" t="n">
        <v>1.31891192</v>
      </c>
      <c r="G74" s="18" t="n">
        <v>42.28302101</v>
      </c>
      <c r="H74" s="20" t="n">
        <v>1.46212053</v>
      </c>
      <c r="I74" s="18" t="n">
        <v>0</v>
      </c>
      <c r="J74" s="20" t="n">
        <v>0</v>
      </c>
      <c r="K74" s="18" t="n">
        <v>0.26014043</v>
      </c>
      <c r="L74" s="20" t="n">
        <v>0.13390778</v>
      </c>
      <c r="M74" s="18" t="n">
        <v>0</v>
      </c>
      <c r="N74" s="20" t="n">
        <v>0</v>
      </c>
      <c r="O74" s="18" t="n">
        <v>0</v>
      </c>
      <c r="P74" s="20" t="n">
        <v>0</v>
      </c>
      <c r="Q74" s="18" t="n">
        <v>11.22127574</v>
      </c>
      <c r="R74" s="20" t="n">
        <v>0.85038037</v>
      </c>
    </row>
    <row r="75" spans="1:18">
      <c r="A75" s="15" t="s">
        <v>635</v>
      </c>
      <c r="B75" s="17" t="n">
        <v>8249</v>
      </c>
      <c r="C75" s="18">
        <f>(6567.0/B75*100)</f>
        <v/>
      </c>
      <c r="D75" s="19" t="n">
        <v>1682</v>
      </c>
      <c r="E75" s="18" t="n">
        <v>86.07313071999999</v>
      </c>
      <c r="F75" s="20" t="n">
        <v>1.10933701</v>
      </c>
      <c r="G75" s="18" t="n">
        <v>8.52626935</v>
      </c>
      <c r="H75" s="20" t="n">
        <v>0.84699619</v>
      </c>
      <c r="I75" s="18" t="n">
        <v>0</v>
      </c>
      <c r="J75" s="20" t="n">
        <v>0</v>
      </c>
      <c r="K75" s="18" t="n">
        <v>0</v>
      </c>
      <c r="L75" s="20" t="n">
        <v>0</v>
      </c>
      <c r="M75" s="18" t="n">
        <v>0.25128263</v>
      </c>
      <c r="N75" s="20" t="n">
        <v>0.14308161</v>
      </c>
      <c r="O75" s="18" t="n">
        <v>0</v>
      </c>
      <c r="P75" s="20" t="n">
        <v>0</v>
      </c>
      <c r="Q75" s="18" t="n">
        <v>5.14931729</v>
      </c>
      <c r="R75" s="20" t="n">
        <v>0.75781747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(4335.0/B77*100)</f>
        <v/>
      </c>
      <c r="D77" s="19" t="n">
        <v>1040</v>
      </c>
      <c r="E77" s="18" t="n">
        <v>39.64263819</v>
      </c>
      <c r="F77" s="20" t="n">
        <v>1.39029541</v>
      </c>
      <c r="G77" s="18" t="n">
        <v>8.377116300000001</v>
      </c>
      <c r="H77" s="20" t="n">
        <v>1.05808783</v>
      </c>
      <c r="I77" s="18" t="n">
        <v>0</v>
      </c>
      <c r="J77" s="20" t="n">
        <v>0</v>
      </c>
      <c r="K77" s="18" t="n">
        <v>7.25230548</v>
      </c>
      <c r="L77" s="20" t="n">
        <v>1.15854681</v>
      </c>
      <c r="M77" s="18" t="n">
        <v>0.16348657</v>
      </c>
      <c r="N77" s="20" t="n">
        <v>0.11608792</v>
      </c>
      <c r="O77" s="18" t="n">
        <v>0</v>
      </c>
      <c r="P77" s="20" t="n">
        <v>0</v>
      </c>
      <c r="Q77" s="18" t="n">
        <v>44.56445346</v>
      </c>
      <c r="R77" s="20" t="n">
        <v>1.72225251</v>
      </c>
    </row>
    <row r="78" spans="1:18">
      <c r="A78" s="15" t="s">
        <v>638</v>
      </c>
      <c r="B78" s="17" t="n">
        <v>14167</v>
      </c>
      <c r="C78" s="18">
        <f>(11044.0/B78*100)</f>
        <v/>
      </c>
      <c r="D78" s="19" t="n">
        <v>3123</v>
      </c>
      <c r="E78" s="18" t="n">
        <v>68.72607295</v>
      </c>
      <c r="F78" s="20" t="n">
        <v>1.18731316</v>
      </c>
      <c r="G78" s="18" t="n">
        <v>19.34353908</v>
      </c>
      <c r="H78" s="20" t="n">
        <v>1.0094644</v>
      </c>
      <c r="I78" s="18" t="n">
        <v>0</v>
      </c>
      <c r="J78" s="20" t="n">
        <v>0</v>
      </c>
      <c r="K78" s="18" t="n">
        <v>1.60102912</v>
      </c>
      <c r="L78" s="20" t="n">
        <v>0.31086368</v>
      </c>
      <c r="M78" s="18" t="n">
        <v>0.05119917</v>
      </c>
      <c r="N78" s="20" t="n">
        <v>0.03683643</v>
      </c>
      <c r="O78" s="18" t="n">
        <v>0</v>
      </c>
      <c r="P78" s="20" t="n">
        <v>0</v>
      </c>
      <c r="Q78" s="18" t="n">
        <v>10.27815968</v>
      </c>
      <c r="R78" s="20" t="n">
        <v>0.71660639</v>
      </c>
    </row>
    <row r="79" spans="1:18">
      <c r="A79" s="15" t="s">
        <v>639</v>
      </c>
      <c r="B79" s="17" t="n">
        <v>6062</v>
      </c>
      <c r="C79" s="18">
        <f>(4919.0/B79*100)</f>
        <v/>
      </c>
      <c r="D79" s="19" t="n">
        <v>1143</v>
      </c>
      <c r="E79" s="18" t="n">
        <v>39.44490833</v>
      </c>
      <c r="F79" s="20" t="n">
        <v>1.58008406</v>
      </c>
      <c r="G79" s="18" t="n">
        <v>24.71747295</v>
      </c>
      <c r="H79" s="20" t="n">
        <v>1.46506321</v>
      </c>
      <c r="I79" s="18" t="n">
        <v>0</v>
      </c>
      <c r="J79" s="20" t="n">
        <v>0</v>
      </c>
      <c r="K79" s="18" t="n">
        <v>2.93941014</v>
      </c>
      <c r="L79" s="20" t="n">
        <v>0.56779068</v>
      </c>
      <c r="M79" s="18" t="n">
        <v>0</v>
      </c>
      <c r="N79" s="20" t="n">
        <v>0</v>
      </c>
      <c r="O79" s="18" t="n">
        <v>0</v>
      </c>
      <c r="P79" s="20" t="n">
        <v>0</v>
      </c>
      <c r="Q79" s="18" t="n">
        <v>32.89820858</v>
      </c>
      <c r="R79" s="20" t="n">
        <v>1.61603633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(25441.0/B82*100)</f>
        <v/>
      </c>
      <c r="D82" s="19" t="n">
        <v>6889</v>
      </c>
      <c r="E82" s="18" t="n">
        <v>42.17262523</v>
      </c>
      <c r="F82" s="20" t="n">
        <v>0.74545006</v>
      </c>
      <c r="G82" s="18" t="n">
        <v>37.97749288</v>
      </c>
      <c r="H82" s="20" t="n">
        <v>0.92992476</v>
      </c>
      <c r="I82" s="18" t="n">
        <v>0</v>
      </c>
      <c r="J82" s="20" t="n">
        <v>0</v>
      </c>
      <c r="K82" s="18" t="n">
        <v>0.7934643300000001</v>
      </c>
      <c r="L82" s="20" t="n">
        <v>0.15880995</v>
      </c>
      <c r="M82" s="18" t="n">
        <v>0.12069241</v>
      </c>
      <c r="N82" s="20" t="n">
        <v>0.09140751</v>
      </c>
      <c r="O82" s="18" t="n">
        <v>0</v>
      </c>
      <c r="P82" s="20" t="n">
        <v>0</v>
      </c>
      <c r="Q82" s="18" t="n">
        <v>18.93572516</v>
      </c>
      <c r="R82" s="20" t="n">
        <v>0.80917596</v>
      </c>
    </row>
    <row r="83" spans="1:18">
      <c r="A83" s="15" t="s">
        <v>643</v>
      </c>
      <c r="B83" s="17" t="n">
        <v>1652</v>
      </c>
      <c r="C83" s="18">
        <f>(1322.0/B83*100)</f>
        <v/>
      </c>
      <c r="D83" s="19" t="n">
        <v>330</v>
      </c>
      <c r="E83" s="18" t="n">
        <v>51.11765987</v>
      </c>
      <c r="F83" s="20" t="n">
        <v>2.42656815</v>
      </c>
      <c r="G83" s="18" t="n">
        <v>43.63591292</v>
      </c>
      <c r="H83" s="20" t="n">
        <v>2.18026841</v>
      </c>
      <c r="I83" s="18" t="n">
        <v>0</v>
      </c>
      <c r="J83" s="20" t="n">
        <v>0</v>
      </c>
      <c r="K83" s="18" t="n">
        <v>0</v>
      </c>
      <c r="L83" s="20" t="n">
        <v>0</v>
      </c>
      <c r="M83" s="18" t="n">
        <v>0</v>
      </c>
      <c r="N83" s="20" t="n">
        <v>0</v>
      </c>
      <c r="O83" s="18" t="n">
        <v>0</v>
      </c>
      <c r="P83" s="20" t="n">
        <v>0</v>
      </c>
      <c r="Q83" s="18" t="n">
        <v>5.2464272</v>
      </c>
      <c r="R83" s="20" t="n">
        <v>1.09331461</v>
      </c>
    </row>
    <row r="84" spans="1:18">
      <c r="A84" s="23" t="s">
        <v>644</v>
      </c>
      <c r="B84" s="24" t="n">
        <v>1887</v>
      </c>
      <c r="C84" s="25">
        <f>(1464.0/B84*100)</f>
        <v/>
      </c>
      <c r="D84" s="19" t="n">
        <v>423</v>
      </c>
      <c r="E84" s="18" t="n">
        <v>52.28380437</v>
      </c>
      <c r="F84" s="20" t="n">
        <v>2.91651597</v>
      </c>
      <c r="G84" s="18" t="n">
        <v>44.21509227</v>
      </c>
      <c r="H84" s="20" t="n">
        <v>3.00746172</v>
      </c>
      <c r="I84" s="18" t="n">
        <v>0</v>
      </c>
      <c r="J84" s="20" t="n">
        <v>0</v>
      </c>
      <c r="K84" s="18" t="n">
        <v>0</v>
      </c>
      <c r="L84" s="20" t="n">
        <v>0</v>
      </c>
      <c r="M84" s="18" t="n">
        <v>0</v>
      </c>
      <c r="N84" s="20" t="n">
        <v>0</v>
      </c>
      <c r="O84" s="18" t="n">
        <v>0</v>
      </c>
      <c r="P84" s="20" t="n">
        <v>0</v>
      </c>
      <c r="Q84" s="18" t="n">
        <v>3.50110336</v>
      </c>
      <c r="R84" s="20" t="n">
        <v>0.88483355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(11447.0/B7*100)</f>
        <v/>
      </c>
      <c r="D7" s="19" t="n">
        <v>3083</v>
      </c>
      <c r="E7" s="18" t="n">
        <v>42.73673499</v>
      </c>
      <c r="F7" s="20" t="n">
        <v>1.120304</v>
      </c>
      <c r="G7" s="18" t="n">
        <v>54.51668657</v>
      </c>
      <c r="H7" s="20" t="n">
        <v>1.16212014</v>
      </c>
      <c r="I7" s="18" t="n">
        <v>0</v>
      </c>
      <c r="J7" s="20" t="n">
        <v>0</v>
      </c>
      <c r="K7" s="18" t="n">
        <v>1.04953336</v>
      </c>
      <c r="L7" s="20" t="n">
        <v>0.20900711</v>
      </c>
      <c r="M7" s="18" t="n">
        <v>0</v>
      </c>
      <c r="N7" s="20" t="n">
        <v>0</v>
      </c>
      <c r="O7" s="18" t="n">
        <v>0</v>
      </c>
      <c r="P7" s="20" t="n">
        <v>0</v>
      </c>
      <c r="Q7" s="18" t="n">
        <v>1.69704509</v>
      </c>
      <c r="R7" s="20" t="n">
        <v>0.24692277</v>
      </c>
    </row>
    <row r="8" spans="1:18">
      <c r="A8" s="15" t="s">
        <v>566</v>
      </c>
      <c r="B8" s="17" t="n">
        <v>7007</v>
      </c>
      <c r="C8" s="18">
        <f>(5516.0/B8*100)</f>
        <v/>
      </c>
      <c r="D8" s="19" t="n">
        <v>1491</v>
      </c>
      <c r="E8" s="18" t="n">
        <v>37.87766384</v>
      </c>
      <c r="F8" s="20" t="n">
        <v>1.6144304</v>
      </c>
      <c r="G8" s="18" t="n">
        <v>60.95943499</v>
      </c>
      <c r="H8" s="20" t="n">
        <v>1.68384457</v>
      </c>
      <c r="I8" s="18" t="n">
        <v>0</v>
      </c>
      <c r="J8" s="20" t="n">
        <v>0</v>
      </c>
      <c r="K8" s="18" t="n">
        <v>0.34434886</v>
      </c>
      <c r="L8" s="20" t="n">
        <v>0.15429619</v>
      </c>
      <c r="M8" s="18" t="n">
        <v>0</v>
      </c>
      <c r="N8" s="20" t="n">
        <v>0</v>
      </c>
      <c r="O8" s="18" t="n">
        <v>0</v>
      </c>
      <c r="P8" s="20" t="n">
        <v>0</v>
      </c>
      <c r="Q8" s="18" t="n">
        <v>0.81855232</v>
      </c>
      <c r="R8" s="20" t="n">
        <v>0.29810067</v>
      </c>
    </row>
    <row r="9" spans="1:18">
      <c r="A9" s="15" t="s">
        <v>567</v>
      </c>
      <c r="B9" s="17" t="n">
        <v>9651</v>
      </c>
      <c r="C9" s="18">
        <f>(7720.0/B9*100)</f>
        <v/>
      </c>
      <c r="D9" s="19" t="n">
        <v>1931</v>
      </c>
      <c r="E9" s="18" t="n">
        <v>42.19598368</v>
      </c>
      <c r="F9" s="20" t="n">
        <v>1.19753422</v>
      </c>
      <c r="G9" s="18" t="n">
        <v>54.51528085</v>
      </c>
      <c r="H9" s="20" t="n">
        <v>1.20818534</v>
      </c>
      <c r="I9" s="18" t="n">
        <v>0</v>
      </c>
      <c r="J9" s="20" t="n">
        <v>0</v>
      </c>
      <c r="K9" s="18" t="n">
        <v>2.08159606</v>
      </c>
      <c r="L9" s="20" t="n">
        <v>0.37687607</v>
      </c>
      <c r="M9" s="18" t="n">
        <v>0</v>
      </c>
      <c r="N9" s="20" t="n">
        <v>0</v>
      </c>
      <c r="O9" s="18" t="n">
        <v>0</v>
      </c>
      <c r="P9" s="20" t="n">
        <v>0</v>
      </c>
      <c r="Q9" s="18" t="n">
        <v>1.20713941</v>
      </c>
      <c r="R9" s="20" t="n">
        <v>0.25678971</v>
      </c>
    </row>
    <row r="10" spans="1:18">
      <c r="A10" s="15" t="s">
        <v>568</v>
      </c>
      <c r="B10" s="17" t="n">
        <v>20058</v>
      </c>
      <c r="C10" s="18">
        <f>(15589.0/B10*100)</f>
        <v/>
      </c>
      <c r="D10" s="19" t="n">
        <v>4469</v>
      </c>
      <c r="E10" s="18" t="n">
        <v>37.87515324</v>
      </c>
      <c r="F10" s="20" t="n">
        <v>1.15313303</v>
      </c>
      <c r="G10" s="18" t="n">
        <v>59.60049229</v>
      </c>
      <c r="H10" s="20" t="n">
        <v>1.23175971</v>
      </c>
      <c r="I10" s="18" t="n">
        <v>0</v>
      </c>
      <c r="J10" s="20" t="n">
        <v>0</v>
      </c>
      <c r="K10" s="18" t="n">
        <v>1.46448023</v>
      </c>
      <c r="L10" s="20" t="n">
        <v>0.28429863</v>
      </c>
      <c r="M10" s="18" t="n">
        <v>0</v>
      </c>
      <c r="N10" s="20" t="n">
        <v>0</v>
      </c>
      <c r="O10" s="18" t="n">
        <v>0</v>
      </c>
      <c r="P10" s="20" t="n">
        <v>0</v>
      </c>
      <c r="Q10" s="18" t="n">
        <v>1.05987424</v>
      </c>
      <c r="R10" s="20" t="n">
        <v>0.21779883</v>
      </c>
    </row>
    <row r="11" spans="1:18">
      <c r="A11" s="15" t="s">
        <v>569</v>
      </c>
      <c r="B11" s="17" t="n">
        <v>7053</v>
      </c>
      <c r="C11" s="18">
        <f>(5544.0/B11*100)</f>
        <v/>
      </c>
      <c r="D11" s="19" t="n">
        <v>1509</v>
      </c>
      <c r="E11" s="18" t="n">
        <v>59.96887795</v>
      </c>
      <c r="F11" s="20" t="n">
        <v>1.46841116</v>
      </c>
      <c r="G11" s="18" t="n">
        <v>33.89024606</v>
      </c>
      <c r="H11" s="20" t="n">
        <v>1.43896855</v>
      </c>
      <c r="I11" s="18" t="n">
        <v>0</v>
      </c>
      <c r="J11" s="20" t="n">
        <v>0</v>
      </c>
      <c r="K11" s="18" t="n">
        <v>2.81117626</v>
      </c>
      <c r="L11" s="20" t="n">
        <v>0.57932021</v>
      </c>
      <c r="M11" s="18" t="n">
        <v>0</v>
      </c>
      <c r="N11" s="20" t="n">
        <v>0</v>
      </c>
      <c r="O11" s="18" t="n">
        <v>0</v>
      </c>
      <c r="P11" s="20" t="n">
        <v>0</v>
      </c>
      <c r="Q11" s="18" t="n">
        <v>3.32969973</v>
      </c>
      <c r="R11" s="20" t="n">
        <v>0.5021961700000001</v>
      </c>
    </row>
    <row r="12" spans="1:18">
      <c r="A12" s="15" t="s">
        <v>570</v>
      </c>
      <c r="B12" s="17" t="n">
        <v>6894</v>
      </c>
      <c r="C12" s="18">
        <f>(5439.0/B12*100)</f>
        <v/>
      </c>
      <c r="D12" s="19" t="n">
        <v>1455</v>
      </c>
      <c r="E12" s="18" t="n">
        <v>44.72440997</v>
      </c>
      <c r="F12" s="20" t="n">
        <v>1.67969335</v>
      </c>
      <c r="G12" s="18" t="n">
        <v>52.90059037</v>
      </c>
      <c r="H12" s="20" t="n">
        <v>1.63788092</v>
      </c>
      <c r="I12" s="18" t="n">
        <v>0</v>
      </c>
      <c r="J12" s="20" t="n">
        <v>0</v>
      </c>
      <c r="K12" s="18" t="n">
        <v>0.72727331</v>
      </c>
      <c r="L12" s="20" t="n">
        <v>0.2087747</v>
      </c>
      <c r="M12" s="18" t="n">
        <v>0</v>
      </c>
      <c r="N12" s="20" t="n">
        <v>0</v>
      </c>
      <c r="O12" s="18" t="n">
        <v>0</v>
      </c>
      <c r="P12" s="20" t="n">
        <v>0</v>
      </c>
      <c r="Q12" s="18" t="n">
        <v>1.64772634</v>
      </c>
      <c r="R12" s="20" t="n">
        <v>0.32482086</v>
      </c>
    </row>
    <row r="13" spans="1:18">
      <c r="A13" s="15" t="s">
        <v>571</v>
      </c>
      <c r="B13" s="17" t="n">
        <v>7161</v>
      </c>
      <c r="C13" s="18">
        <f>(5687.0/B13*100)</f>
        <v/>
      </c>
      <c r="D13" s="19" t="n">
        <v>1474</v>
      </c>
      <c r="E13" s="18" t="n">
        <v>41.02550242</v>
      </c>
      <c r="F13" s="20" t="n">
        <v>1.40280155</v>
      </c>
      <c r="G13" s="18" t="n">
        <v>57.41122663</v>
      </c>
      <c r="H13" s="20" t="n">
        <v>1.44606862</v>
      </c>
      <c r="I13" s="18" t="n">
        <v>0</v>
      </c>
      <c r="J13" s="20" t="n">
        <v>0</v>
      </c>
      <c r="K13" s="18" t="n">
        <v>0.75873057</v>
      </c>
      <c r="L13" s="20" t="n">
        <v>0.27515398</v>
      </c>
      <c r="M13" s="18" t="n">
        <v>0</v>
      </c>
      <c r="N13" s="20" t="n">
        <v>0</v>
      </c>
      <c r="O13" s="18" t="n">
        <v>0</v>
      </c>
      <c r="P13" s="20" t="n">
        <v>0</v>
      </c>
      <c r="Q13" s="18" t="n">
        <v>0.8045403800000001</v>
      </c>
      <c r="R13" s="20" t="n">
        <v>0.47866301</v>
      </c>
    </row>
    <row r="14" spans="1:18">
      <c r="A14" s="15" t="s">
        <v>572</v>
      </c>
      <c r="B14" s="17" t="n">
        <v>5587</v>
      </c>
      <c r="C14" s="18">
        <f>(4356.0/B14*100)</f>
        <v/>
      </c>
      <c r="D14" s="19" t="n">
        <v>1231</v>
      </c>
      <c r="E14" s="18" t="n">
        <v>34.23564569</v>
      </c>
      <c r="F14" s="20" t="n">
        <v>1.60031469</v>
      </c>
      <c r="G14" s="18" t="n">
        <v>63.43432446</v>
      </c>
      <c r="H14" s="20" t="n">
        <v>1.59271509</v>
      </c>
      <c r="I14" s="18" t="n">
        <v>0</v>
      </c>
      <c r="J14" s="20" t="n">
        <v>0</v>
      </c>
      <c r="K14" s="18" t="n">
        <v>1.8212205</v>
      </c>
      <c r="L14" s="20" t="n">
        <v>0.49481152</v>
      </c>
      <c r="M14" s="18" t="n">
        <v>0</v>
      </c>
      <c r="N14" s="20" t="n">
        <v>0</v>
      </c>
      <c r="O14" s="18" t="n">
        <v>0</v>
      </c>
      <c r="P14" s="20" t="n">
        <v>0</v>
      </c>
      <c r="Q14" s="18" t="n">
        <v>0.50880934</v>
      </c>
      <c r="R14" s="20" t="n">
        <v>0.25394293</v>
      </c>
    </row>
    <row r="15" spans="1:18">
      <c r="A15" s="15" t="s">
        <v>573</v>
      </c>
      <c r="B15" s="17" t="n">
        <v>5882</v>
      </c>
      <c r="C15" s="18">
        <f>(4597.0/B15*100)</f>
        <v/>
      </c>
      <c r="D15" s="19" t="n">
        <v>1285</v>
      </c>
      <c r="E15" s="18" t="n">
        <v>26.69054182</v>
      </c>
      <c r="F15" s="20" t="n">
        <v>1.40776357</v>
      </c>
      <c r="G15" s="18" t="n">
        <v>72.40378457</v>
      </c>
      <c r="H15" s="20" t="n">
        <v>1.39451016</v>
      </c>
      <c r="I15" s="18" t="n">
        <v>0</v>
      </c>
      <c r="J15" s="20" t="n">
        <v>0</v>
      </c>
      <c r="K15" s="18" t="n">
        <v>0.22784957</v>
      </c>
      <c r="L15" s="20" t="n">
        <v>0.13327121</v>
      </c>
      <c r="M15" s="18" t="n">
        <v>0</v>
      </c>
      <c r="N15" s="20" t="n">
        <v>0</v>
      </c>
      <c r="O15" s="18" t="n">
        <v>0</v>
      </c>
      <c r="P15" s="20" t="n">
        <v>0</v>
      </c>
      <c r="Q15" s="18" t="n">
        <v>0.67782404</v>
      </c>
      <c r="R15" s="20" t="n">
        <v>0.22756414</v>
      </c>
    </row>
    <row r="16" spans="1:18">
      <c r="A16" s="15" t="s">
        <v>574</v>
      </c>
      <c r="B16" s="17" t="n">
        <v>6108</v>
      </c>
      <c r="C16" s="18">
        <f>(4778.0/B16*100)</f>
        <v/>
      </c>
      <c r="D16" s="19" t="n">
        <v>1330</v>
      </c>
      <c r="E16" s="18" t="n">
        <v>45.14359146</v>
      </c>
      <c r="F16" s="20" t="n">
        <v>1.58352786</v>
      </c>
      <c r="G16" s="18" t="n">
        <v>49.97887497</v>
      </c>
      <c r="H16" s="20" t="n">
        <v>1.57146512</v>
      </c>
      <c r="I16" s="18" t="n">
        <v>0</v>
      </c>
      <c r="J16" s="20" t="n">
        <v>0</v>
      </c>
      <c r="K16" s="18" t="n">
        <v>2.30537664</v>
      </c>
      <c r="L16" s="20" t="n">
        <v>0.4346676</v>
      </c>
      <c r="M16" s="18" t="n">
        <v>0</v>
      </c>
      <c r="N16" s="20" t="n">
        <v>0</v>
      </c>
      <c r="O16" s="18" t="n">
        <v>0</v>
      </c>
      <c r="P16" s="20" t="n">
        <v>0</v>
      </c>
      <c r="Q16" s="18" t="n">
        <v>2.57215693</v>
      </c>
      <c r="R16" s="20" t="n">
        <v>0.53237903</v>
      </c>
    </row>
    <row r="17" spans="1:18">
      <c r="A17" s="15" t="s">
        <v>575</v>
      </c>
      <c r="B17" s="17" t="n">
        <v>6504</v>
      </c>
      <c r="C17" s="18">
        <f>(5123.0/B17*100)</f>
        <v/>
      </c>
      <c r="D17" s="19" t="n">
        <v>1381</v>
      </c>
      <c r="E17" s="18" t="n">
        <v>37.14212351</v>
      </c>
      <c r="F17" s="20" t="n">
        <v>1.53177168</v>
      </c>
      <c r="G17" s="18" t="n">
        <v>60.91322784</v>
      </c>
      <c r="H17" s="20" t="n">
        <v>1.5682802</v>
      </c>
      <c r="I17" s="18" t="n">
        <v>0</v>
      </c>
      <c r="J17" s="20" t="n">
        <v>0</v>
      </c>
      <c r="K17" s="18" t="n">
        <v>0.86477404</v>
      </c>
      <c r="L17" s="20" t="n">
        <v>0.26049922</v>
      </c>
      <c r="M17" s="18" t="n">
        <v>0</v>
      </c>
      <c r="N17" s="20" t="n">
        <v>0</v>
      </c>
      <c r="O17" s="18" t="n">
        <v>0</v>
      </c>
      <c r="P17" s="20" t="n">
        <v>0</v>
      </c>
      <c r="Q17" s="18" t="n">
        <v>1.07987462</v>
      </c>
      <c r="R17" s="20" t="n">
        <v>0.3663401</v>
      </c>
    </row>
    <row r="18" spans="1:18">
      <c r="A18" s="15" t="s">
        <v>576</v>
      </c>
      <c r="B18" s="17" t="n">
        <v>5532</v>
      </c>
      <c r="C18" s="18">
        <f>(4329.0/B18*100)</f>
        <v/>
      </c>
      <c r="D18" s="19" t="n">
        <v>1203</v>
      </c>
      <c r="E18" s="18" t="n">
        <v>57.13887311</v>
      </c>
      <c r="F18" s="20" t="n">
        <v>1.50889002</v>
      </c>
      <c r="G18" s="18" t="n">
        <v>38.68241046</v>
      </c>
      <c r="H18" s="20" t="n">
        <v>1.43372675</v>
      </c>
      <c r="I18" s="18" t="n">
        <v>0</v>
      </c>
      <c r="J18" s="20" t="n">
        <v>0</v>
      </c>
      <c r="K18" s="18" t="n">
        <v>1.78579488</v>
      </c>
      <c r="L18" s="20" t="n">
        <v>0.38942866</v>
      </c>
      <c r="M18" s="18" t="n">
        <v>0</v>
      </c>
      <c r="N18" s="20" t="n">
        <v>0</v>
      </c>
      <c r="O18" s="18" t="n">
        <v>0</v>
      </c>
      <c r="P18" s="20" t="n">
        <v>0</v>
      </c>
      <c r="Q18" s="18" t="n">
        <v>2.39292155</v>
      </c>
      <c r="R18" s="20" t="n">
        <v>0.49525557</v>
      </c>
    </row>
    <row r="19" spans="1:18">
      <c r="A19" s="15" t="s">
        <v>577</v>
      </c>
      <c r="B19" s="17" t="n">
        <v>5658</v>
      </c>
      <c r="C19" s="18">
        <f>(4436.0/B19*100)</f>
        <v/>
      </c>
      <c r="D19" s="19" t="n">
        <v>1222</v>
      </c>
      <c r="E19" s="18" t="n">
        <v>45.20016659</v>
      </c>
      <c r="F19" s="20" t="n">
        <v>1.57489916</v>
      </c>
      <c r="G19" s="18" t="n">
        <v>52.32831592</v>
      </c>
      <c r="H19" s="20" t="n">
        <v>1.5683921</v>
      </c>
      <c r="I19" s="18" t="n">
        <v>0</v>
      </c>
      <c r="J19" s="20" t="n">
        <v>0</v>
      </c>
      <c r="K19" s="18" t="n">
        <v>0.77798733</v>
      </c>
      <c r="L19" s="20" t="n">
        <v>0.33513173</v>
      </c>
      <c r="M19" s="18" t="n">
        <v>0</v>
      </c>
      <c r="N19" s="20" t="n">
        <v>0</v>
      </c>
      <c r="O19" s="18" t="n">
        <v>0</v>
      </c>
      <c r="P19" s="20" t="n">
        <v>0</v>
      </c>
      <c r="Q19" s="18" t="n">
        <v>1.69353016</v>
      </c>
      <c r="R19" s="20" t="n">
        <v>0.5107720100000001</v>
      </c>
    </row>
    <row r="20" spans="1:18">
      <c r="A20" s="15" t="s">
        <v>578</v>
      </c>
      <c r="B20" s="17" t="n">
        <v>3371</v>
      </c>
      <c r="C20" s="18">
        <f>(2625.0/B20*100)</f>
        <v/>
      </c>
      <c r="D20" s="19" t="n">
        <v>746</v>
      </c>
      <c r="E20" s="18" t="n">
        <v>57.67554721</v>
      </c>
      <c r="F20" s="20" t="n">
        <v>1.67686909</v>
      </c>
      <c r="G20" s="18" t="n">
        <v>38.4084544</v>
      </c>
      <c r="H20" s="20" t="n">
        <v>1.71882346</v>
      </c>
      <c r="I20" s="18" t="n">
        <v>0</v>
      </c>
      <c r="J20" s="20" t="n">
        <v>0</v>
      </c>
      <c r="K20" s="18" t="n">
        <v>1.74145231</v>
      </c>
      <c r="L20" s="20" t="n">
        <v>0.4743502</v>
      </c>
      <c r="M20" s="18" t="n">
        <v>0</v>
      </c>
      <c r="N20" s="20" t="n">
        <v>0</v>
      </c>
      <c r="O20" s="18" t="n">
        <v>0</v>
      </c>
      <c r="P20" s="20" t="n">
        <v>0</v>
      </c>
      <c r="Q20" s="18" t="n">
        <v>2.17454607</v>
      </c>
      <c r="R20" s="20" t="n">
        <v>0.56779046</v>
      </c>
    </row>
    <row r="21" spans="1:18">
      <c r="A21" s="15" t="s">
        <v>579</v>
      </c>
      <c r="B21" s="17" t="n">
        <v>5741</v>
      </c>
      <c r="C21" s="18">
        <f>(4501.0/B21*100)</f>
        <v/>
      </c>
      <c r="D21" s="19" t="n">
        <v>1240</v>
      </c>
      <c r="E21" s="18" t="n">
        <v>46.03117872</v>
      </c>
      <c r="F21" s="20" t="n">
        <v>1.61742306</v>
      </c>
      <c r="G21" s="18" t="n">
        <v>52.62203157</v>
      </c>
      <c r="H21" s="20" t="n">
        <v>1.64525455</v>
      </c>
      <c r="I21" s="18" t="n">
        <v>0</v>
      </c>
      <c r="J21" s="20" t="n">
        <v>0</v>
      </c>
      <c r="K21" s="18" t="n">
        <v>0.75797245</v>
      </c>
      <c r="L21" s="20" t="n">
        <v>0.23941908</v>
      </c>
      <c r="M21" s="18" t="n">
        <v>0</v>
      </c>
      <c r="N21" s="20" t="n">
        <v>0</v>
      </c>
      <c r="O21" s="18" t="n">
        <v>0</v>
      </c>
      <c r="P21" s="20" t="n">
        <v>0</v>
      </c>
      <c r="Q21" s="18" t="n">
        <v>0.5888172699999999</v>
      </c>
      <c r="R21" s="20" t="n">
        <v>0.31215438</v>
      </c>
    </row>
    <row r="22" spans="1:18">
      <c r="A22" s="15" t="s">
        <v>580</v>
      </c>
      <c r="B22" s="17" t="n">
        <v>6598</v>
      </c>
      <c r="C22" s="18">
        <f>(5195.0/B22*100)</f>
        <v/>
      </c>
      <c r="D22" s="19" t="n">
        <v>1403</v>
      </c>
      <c r="E22" s="18" t="n">
        <v>55.8082884</v>
      </c>
      <c r="F22" s="20" t="n">
        <v>1.52243322</v>
      </c>
      <c r="G22" s="18" t="n">
        <v>39.03814323</v>
      </c>
      <c r="H22" s="20" t="n">
        <v>1.47018749</v>
      </c>
      <c r="I22" s="18" t="n">
        <v>0</v>
      </c>
      <c r="J22" s="20" t="n">
        <v>0</v>
      </c>
      <c r="K22" s="18" t="n">
        <v>2.15805269</v>
      </c>
      <c r="L22" s="20" t="n">
        <v>0.4853502</v>
      </c>
      <c r="M22" s="18" t="n">
        <v>0</v>
      </c>
      <c r="N22" s="20" t="n">
        <v>0</v>
      </c>
      <c r="O22" s="18" t="n">
        <v>0</v>
      </c>
      <c r="P22" s="20" t="n">
        <v>0</v>
      </c>
      <c r="Q22" s="18" t="n">
        <v>2.99551568</v>
      </c>
      <c r="R22" s="20" t="n">
        <v>0.61239546</v>
      </c>
    </row>
    <row r="23" spans="1:18">
      <c r="A23" s="15" t="s">
        <v>581</v>
      </c>
      <c r="B23" s="17" t="n">
        <v>11583</v>
      </c>
      <c r="C23" s="18">
        <f>(9127.0/B23*100)</f>
        <v/>
      </c>
      <c r="D23" s="19" t="n">
        <v>2456</v>
      </c>
      <c r="E23" s="18" t="n">
        <v>43.5943875</v>
      </c>
      <c r="F23" s="20" t="n">
        <v>1.34451813</v>
      </c>
      <c r="G23" s="18" t="n">
        <v>49.93495653</v>
      </c>
      <c r="H23" s="20" t="n">
        <v>1.24988212</v>
      </c>
      <c r="I23" s="18" t="n">
        <v>0</v>
      </c>
      <c r="J23" s="20" t="n">
        <v>0</v>
      </c>
      <c r="K23" s="18" t="n">
        <v>3.25695286</v>
      </c>
      <c r="L23" s="20" t="n">
        <v>1.01210201</v>
      </c>
      <c r="M23" s="18" t="n">
        <v>0</v>
      </c>
      <c r="N23" s="20" t="n">
        <v>0</v>
      </c>
      <c r="O23" s="18" t="n">
        <v>0</v>
      </c>
      <c r="P23" s="20" t="n">
        <v>0</v>
      </c>
      <c r="Q23" s="18" t="n">
        <v>3.21370311</v>
      </c>
      <c r="R23" s="20" t="n">
        <v>0.58271195</v>
      </c>
    </row>
    <row r="24" spans="1:18">
      <c r="A24" s="15" t="s">
        <v>582</v>
      </c>
      <c r="B24" s="17" t="n">
        <v>6647</v>
      </c>
      <c r="C24" s="18">
        <f>(5199.0/B24*100)</f>
        <v/>
      </c>
      <c r="D24" s="19" t="n">
        <v>1448</v>
      </c>
      <c r="E24" s="18" t="n">
        <v>33.35876184</v>
      </c>
      <c r="F24" s="20" t="n">
        <v>1.43165651</v>
      </c>
      <c r="G24" s="18" t="n">
        <v>63.89145801</v>
      </c>
      <c r="H24" s="20" t="n">
        <v>1.45712637</v>
      </c>
      <c r="I24" s="18" t="n">
        <v>0</v>
      </c>
      <c r="J24" s="20" t="n">
        <v>0</v>
      </c>
      <c r="K24" s="18" t="n">
        <v>0.55720671</v>
      </c>
      <c r="L24" s="20" t="n">
        <v>0.23993615</v>
      </c>
      <c r="M24" s="18" t="n">
        <v>0</v>
      </c>
      <c r="N24" s="20" t="n">
        <v>0</v>
      </c>
      <c r="O24" s="18" t="n">
        <v>0</v>
      </c>
      <c r="P24" s="20" t="n">
        <v>0</v>
      </c>
      <c r="Q24" s="18" t="n">
        <v>2.19257344</v>
      </c>
      <c r="R24" s="20" t="n">
        <v>0.49185017</v>
      </c>
    </row>
    <row r="25" spans="1:18">
      <c r="A25" s="15" t="s">
        <v>583</v>
      </c>
      <c r="B25" s="17" t="n">
        <v>5581</v>
      </c>
      <c r="C25" s="18">
        <f>(4345.0/B25*100)</f>
        <v/>
      </c>
      <c r="D25" s="19" t="n">
        <v>1236</v>
      </c>
      <c r="E25" s="18" t="n">
        <v>28.15522508</v>
      </c>
      <c r="F25" s="20" t="n">
        <v>1.40727169</v>
      </c>
      <c r="G25" s="18" t="n">
        <v>69.72427075</v>
      </c>
      <c r="H25" s="20" t="n">
        <v>1.45782458</v>
      </c>
      <c r="I25" s="18" t="n">
        <v>0</v>
      </c>
      <c r="J25" s="20" t="n">
        <v>0</v>
      </c>
      <c r="K25" s="18" t="n">
        <v>0.5857034800000001</v>
      </c>
      <c r="L25" s="20" t="n">
        <v>0.26701586</v>
      </c>
      <c r="M25" s="18" t="n">
        <v>0</v>
      </c>
      <c r="N25" s="20" t="n">
        <v>0</v>
      </c>
      <c r="O25" s="18" t="n">
        <v>0</v>
      </c>
      <c r="P25" s="20" t="n">
        <v>0</v>
      </c>
      <c r="Q25" s="18" t="n">
        <v>1.53480068</v>
      </c>
      <c r="R25" s="20" t="n">
        <v>0.38604266</v>
      </c>
    </row>
    <row r="26" spans="1:18">
      <c r="A26" s="15" t="s">
        <v>584</v>
      </c>
      <c r="B26" s="17" t="n">
        <v>4869</v>
      </c>
      <c r="C26" s="18">
        <f>(3820.0/B26*100)</f>
        <v/>
      </c>
      <c r="D26" s="19" t="n">
        <v>1049</v>
      </c>
      <c r="E26" s="18" t="n">
        <v>42.97230035</v>
      </c>
      <c r="F26" s="20" t="n">
        <v>1.76429552</v>
      </c>
      <c r="G26" s="18" t="n">
        <v>56.05653788</v>
      </c>
      <c r="H26" s="20" t="n">
        <v>1.71088266</v>
      </c>
      <c r="I26" s="18" t="n">
        <v>0</v>
      </c>
      <c r="J26" s="20" t="n">
        <v>0</v>
      </c>
      <c r="K26" s="18" t="n">
        <v>0.42640639</v>
      </c>
      <c r="L26" s="20" t="n">
        <v>0.18176654</v>
      </c>
      <c r="M26" s="18" t="n">
        <v>0</v>
      </c>
      <c r="N26" s="20" t="n">
        <v>0</v>
      </c>
      <c r="O26" s="18" t="n">
        <v>0</v>
      </c>
      <c r="P26" s="20" t="n">
        <v>0</v>
      </c>
      <c r="Q26" s="18" t="n">
        <v>0.54475539</v>
      </c>
      <c r="R26" s="20" t="n">
        <v>0.35451141</v>
      </c>
    </row>
    <row r="27" spans="1:18">
      <c r="A27" s="15" t="s">
        <v>585</v>
      </c>
      <c r="B27" s="17" t="n">
        <v>5299</v>
      </c>
      <c r="C27" s="18">
        <f>(4198.0/B27*100)</f>
        <v/>
      </c>
      <c r="D27" s="19" t="n">
        <v>1101</v>
      </c>
      <c r="E27" s="18" t="n">
        <v>48.64842169</v>
      </c>
      <c r="F27" s="20" t="n">
        <v>1.3081597</v>
      </c>
      <c r="G27" s="18" t="n">
        <v>48.54176137</v>
      </c>
      <c r="H27" s="20" t="n">
        <v>1.32576381</v>
      </c>
      <c r="I27" s="18" t="n">
        <v>0</v>
      </c>
      <c r="J27" s="20" t="n">
        <v>0</v>
      </c>
      <c r="K27" s="18" t="n">
        <v>1.54988465</v>
      </c>
      <c r="L27" s="20" t="n">
        <v>0.39228572</v>
      </c>
      <c r="M27" s="18" t="n">
        <v>0</v>
      </c>
      <c r="N27" s="20" t="n">
        <v>0</v>
      </c>
      <c r="O27" s="18" t="n">
        <v>0</v>
      </c>
      <c r="P27" s="20" t="n">
        <v>0</v>
      </c>
      <c r="Q27" s="18" t="n">
        <v>1.2599323</v>
      </c>
      <c r="R27" s="20" t="n">
        <v>0.28452672</v>
      </c>
    </row>
    <row r="28" spans="1:18">
      <c r="A28" s="15" t="s">
        <v>586</v>
      </c>
      <c r="B28" s="17" t="n">
        <v>7568</v>
      </c>
      <c r="C28" s="18">
        <f>(6112.0/B28*100)</f>
        <v/>
      </c>
      <c r="D28" s="19" t="n">
        <v>1456</v>
      </c>
      <c r="E28" s="18" t="n">
        <v>69.50492045999999</v>
      </c>
      <c r="F28" s="20" t="n">
        <v>1.49810026</v>
      </c>
      <c r="G28" s="18" t="n">
        <v>26.70354324</v>
      </c>
      <c r="H28" s="20" t="n">
        <v>1.60255729</v>
      </c>
      <c r="I28" s="18" t="n">
        <v>0</v>
      </c>
      <c r="J28" s="20" t="n">
        <v>0</v>
      </c>
      <c r="K28" s="18" t="n">
        <v>1.59374649</v>
      </c>
      <c r="L28" s="20" t="n">
        <v>0.37020223</v>
      </c>
      <c r="M28" s="18" t="n">
        <v>0</v>
      </c>
      <c r="N28" s="20" t="n">
        <v>0</v>
      </c>
      <c r="O28" s="18" t="n">
        <v>0</v>
      </c>
      <c r="P28" s="20" t="n">
        <v>0</v>
      </c>
      <c r="Q28" s="18" t="n">
        <v>2.19778981</v>
      </c>
      <c r="R28" s="20" t="n">
        <v>0.5054812400000001</v>
      </c>
    </row>
    <row r="29" spans="1:18">
      <c r="A29" s="15" t="s">
        <v>587</v>
      </c>
      <c r="B29" s="17" t="n">
        <v>5385</v>
      </c>
      <c r="C29" s="18">
        <f>(4198.0/B29*100)</f>
        <v/>
      </c>
      <c r="D29" s="19" t="n">
        <v>1187</v>
      </c>
      <c r="E29" s="18" t="n">
        <v>36.46972512</v>
      </c>
      <c r="F29" s="20" t="n">
        <v>1.50144385</v>
      </c>
      <c r="G29" s="18" t="n">
        <v>62.83789892</v>
      </c>
      <c r="H29" s="20" t="n">
        <v>1.50555839</v>
      </c>
      <c r="I29" s="18" t="n">
        <v>0</v>
      </c>
      <c r="J29" s="20" t="n">
        <v>0</v>
      </c>
      <c r="K29" s="18" t="n">
        <v>0.44100331</v>
      </c>
      <c r="L29" s="20" t="n">
        <v>0.20385826</v>
      </c>
      <c r="M29" s="18" t="n">
        <v>0</v>
      </c>
      <c r="N29" s="20" t="n">
        <v>0</v>
      </c>
      <c r="O29" s="18" t="n">
        <v>0</v>
      </c>
      <c r="P29" s="20" t="n">
        <v>0</v>
      </c>
      <c r="Q29" s="18" t="n">
        <v>0.25137265</v>
      </c>
      <c r="R29" s="20" t="n">
        <v>0.15931702</v>
      </c>
    </row>
    <row r="30" spans="1:18">
      <c r="A30" s="15" t="s">
        <v>588</v>
      </c>
      <c r="B30" s="17" t="n">
        <v>4520</v>
      </c>
      <c r="C30" s="18">
        <f>(3561.0/B30*100)</f>
        <v/>
      </c>
      <c r="D30" s="19" t="n">
        <v>959</v>
      </c>
      <c r="E30" s="18" t="n">
        <v>40.98682911</v>
      </c>
      <c r="F30" s="20" t="n">
        <v>1.43625657</v>
      </c>
      <c r="G30" s="18" t="n">
        <v>56.00485636</v>
      </c>
      <c r="H30" s="20" t="n">
        <v>1.48757044</v>
      </c>
      <c r="I30" s="18" t="n">
        <v>0</v>
      </c>
      <c r="J30" s="20" t="n">
        <v>0</v>
      </c>
      <c r="K30" s="18" t="n">
        <v>1.22181721</v>
      </c>
      <c r="L30" s="20" t="n">
        <v>0.38419513</v>
      </c>
      <c r="M30" s="18" t="n">
        <v>0</v>
      </c>
      <c r="N30" s="20" t="n">
        <v>0</v>
      </c>
      <c r="O30" s="18" t="n">
        <v>0</v>
      </c>
      <c r="P30" s="20" t="n">
        <v>0</v>
      </c>
      <c r="Q30" s="18" t="n">
        <v>1.78649732</v>
      </c>
      <c r="R30" s="20" t="n">
        <v>0.45249442</v>
      </c>
    </row>
    <row r="31" spans="1:18">
      <c r="A31" s="15" t="s">
        <v>589</v>
      </c>
      <c r="B31" s="17" t="n">
        <v>5456</v>
      </c>
      <c r="C31" s="18">
        <f>(4252.0/B31*100)</f>
        <v/>
      </c>
      <c r="D31" s="19" t="n">
        <v>1204</v>
      </c>
      <c r="E31" s="18" t="n">
        <v>46.73846208</v>
      </c>
      <c r="F31" s="20" t="n">
        <v>1.50082892</v>
      </c>
      <c r="G31" s="18" t="n">
        <v>49.26236481</v>
      </c>
      <c r="H31" s="20" t="n">
        <v>1.48724172</v>
      </c>
      <c r="I31" s="18" t="n">
        <v>0</v>
      </c>
      <c r="J31" s="20" t="n">
        <v>0</v>
      </c>
      <c r="K31" s="18" t="n">
        <v>2.12865065</v>
      </c>
      <c r="L31" s="20" t="n">
        <v>0.4325569</v>
      </c>
      <c r="M31" s="18" t="n">
        <v>0</v>
      </c>
      <c r="N31" s="20" t="n">
        <v>0</v>
      </c>
      <c r="O31" s="18" t="n">
        <v>0</v>
      </c>
      <c r="P31" s="20" t="n">
        <v>0</v>
      </c>
      <c r="Q31" s="18" t="n">
        <v>1.87052246</v>
      </c>
      <c r="R31" s="20" t="n">
        <v>0.40574361</v>
      </c>
    </row>
    <row r="32" spans="1:18">
      <c r="A32" s="15" t="s">
        <v>590</v>
      </c>
      <c r="B32" s="17" t="n">
        <v>4478</v>
      </c>
      <c r="C32" s="18">
        <f>(3500.0/B32*100)</f>
        <v/>
      </c>
      <c r="D32" s="19" t="n">
        <v>978</v>
      </c>
      <c r="E32" s="18" t="n">
        <v>50.59428051</v>
      </c>
      <c r="F32" s="20" t="n">
        <v>1.46486102</v>
      </c>
      <c r="G32" s="18" t="n">
        <v>47.58641406</v>
      </c>
      <c r="H32" s="20" t="n">
        <v>1.50932849</v>
      </c>
      <c r="I32" s="18" t="n">
        <v>0</v>
      </c>
      <c r="J32" s="20" t="n">
        <v>0</v>
      </c>
      <c r="K32" s="18" t="n">
        <v>0.63577784</v>
      </c>
      <c r="L32" s="20" t="n">
        <v>0.24273282</v>
      </c>
      <c r="M32" s="18" t="n">
        <v>0</v>
      </c>
      <c r="N32" s="20" t="n">
        <v>0</v>
      </c>
      <c r="O32" s="18" t="n">
        <v>0</v>
      </c>
      <c r="P32" s="20" t="n">
        <v>0</v>
      </c>
      <c r="Q32" s="18" t="n">
        <v>1.18352759</v>
      </c>
      <c r="R32" s="20" t="n">
        <v>0.3641823</v>
      </c>
    </row>
    <row r="33" spans="1:18">
      <c r="A33" s="15" t="s">
        <v>591</v>
      </c>
      <c r="B33" s="17" t="n">
        <v>7325</v>
      </c>
      <c r="C33" s="18">
        <f>(5914.0/B33*100)</f>
        <v/>
      </c>
      <c r="D33" s="19" t="n">
        <v>1411</v>
      </c>
      <c r="E33" s="18" t="n">
        <v>45.6756382</v>
      </c>
      <c r="F33" s="20" t="n">
        <v>1.79807992</v>
      </c>
      <c r="G33" s="18" t="n">
        <v>52.12506745</v>
      </c>
      <c r="H33" s="20" t="n">
        <v>1.74493514</v>
      </c>
      <c r="I33" s="18" t="n">
        <v>0</v>
      </c>
      <c r="J33" s="20" t="n">
        <v>0</v>
      </c>
      <c r="K33" s="18" t="n">
        <v>0.92598729</v>
      </c>
      <c r="L33" s="20" t="n">
        <v>0.34792011</v>
      </c>
      <c r="M33" s="18" t="n">
        <v>0</v>
      </c>
      <c r="N33" s="20" t="n">
        <v>0</v>
      </c>
      <c r="O33" s="18" t="n">
        <v>0</v>
      </c>
      <c r="P33" s="20" t="n">
        <v>0</v>
      </c>
      <c r="Q33" s="18" t="n">
        <v>1.27330706</v>
      </c>
      <c r="R33" s="20" t="n">
        <v>0.33542348</v>
      </c>
    </row>
    <row r="34" spans="1:18">
      <c r="A34" s="15" t="s">
        <v>592</v>
      </c>
      <c r="B34" s="17" t="n">
        <v>6350</v>
      </c>
      <c r="C34" s="18">
        <f>(4990.0/B34*100)</f>
        <v/>
      </c>
      <c r="D34" s="19" t="n">
        <v>1360</v>
      </c>
      <c r="E34" s="18" t="n">
        <v>53.80228589</v>
      </c>
      <c r="F34" s="20" t="n">
        <v>1.60059449</v>
      </c>
      <c r="G34" s="18" t="n">
        <v>41.5014439</v>
      </c>
      <c r="H34" s="20" t="n">
        <v>1.58545106</v>
      </c>
      <c r="I34" s="18" t="n">
        <v>0</v>
      </c>
      <c r="J34" s="20" t="n">
        <v>0</v>
      </c>
      <c r="K34" s="18" t="n">
        <v>0.91966778</v>
      </c>
      <c r="L34" s="20" t="n">
        <v>0.2720975</v>
      </c>
      <c r="M34" s="18" t="n">
        <v>0</v>
      </c>
      <c r="N34" s="20" t="n">
        <v>0</v>
      </c>
      <c r="O34" s="18" t="n">
        <v>0</v>
      </c>
      <c r="P34" s="20" t="n">
        <v>0</v>
      </c>
      <c r="Q34" s="18" t="n">
        <v>3.77660243</v>
      </c>
      <c r="R34" s="20" t="n">
        <v>0.5676996600000001</v>
      </c>
    </row>
    <row r="35" spans="1:18">
      <c r="A35" s="15" t="s">
        <v>593</v>
      </c>
      <c r="B35" s="17" t="n">
        <v>6406</v>
      </c>
      <c r="C35" s="18">
        <f>(5041.0/B35*100)</f>
        <v/>
      </c>
      <c r="D35" s="19" t="n">
        <v>1365</v>
      </c>
      <c r="E35" s="18" t="n">
        <v>40.70705764</v>
      </c>
      <c r="F35" s="20" t="n">
        <v>1.79453635</v>
      </c>
      <c r="G35" s="18" t="n">
        <v>57.8744655</v>
      </c>
      <c r="H35" s="20" t="n">
        <v>1.7580945</v>
      </c>
      <c r="I35" s="18" t="n">
        <v>0</v>
      </c>
      <c r="J35" s="20" t="n">
        <v>0</v>
      </c>
      <c r="K35" s="18" t="n">
        <v>0.8753093</v>
      </c>
      <c r="L35" s="20" t="n">
        <v>0.42259559</v>
      </c>
      <c r="M35" s="18" t="n">
        <v>0</v>
      </c>
      <c r="N35" s="20" t="n">
        <v>0</v>
      </c>
      <c r="O35" s="18" t="n">
        <v>0</v>
      </c>
      <c r="P35" s="20" t="n">
        <v>0</v>
      </c>
      <c r="Q35" s="18" t="n">
        <v>0.54316756</v>
      </c>
      <c r="R35" s="20" t="n">
        <v>0.16947421</v>
      </c>
    </row>
    <row r="36" spans="1:18">
      <c r="A36" s="15" t="s">
        <v>594</v>
      </c>
      <c r="B36" s="17" t="n">
        <v>6736</v>
      </c>
      <c r="C36" s="18">
        <f>(5338.0/B36*100)</f>
        <v/>
      </c>
      <c r="D36" s="19" t="n">
        <v>1398</v>
      </c>
      <c r="E36" s="18" t="n">
        <v>47.83074426</v>
      </c>
      <c r="F36" s="20" t="n">
        <v>1.67523629</v>
      </c>
      <c r="G36" s="18" t="n">
        <v>49.14025925</v>
      </c>
      <c r="H36" s="20" t="n">
        <v>1.69510945</v>
      </c>
      <c r="I36" s="18" t="n">
        <v>0</v>
      </c>
      <c r="J36" s="20" t="n">
        <v>0</v>
      </c>
      <c r="K36" s="18" t="n">
        <v>1.15467063</v>
      </c>
      <c r="L36" s="20" t="n">
        <v>0.27201241</v>
      </c>
      <c r="M36" s="18" t="n">
        <v>0</v>
      </c>
      <c r="N36" s="20" t="n">
        <v>0</v>
      </c>
      <c r="O36" s="18" t="n">
        <v>0</v>
      </c>
      <c r="P36" s="20" t="n">
        <v>0</v>
      </c>
      <c r="Q36" s="18" t="n">
        <v>1.87432585</v>
      </c>
      <c r="R36" s="20" t="n">
        <v>0.34012418</v>
      </c>
    </row>
    <row r="37" spans="1:18">
      <c r="A37" s="15" t="s">
        <v>595</v>
      </c>
      <c r="B37" s="17" t="n">
        <v>5458</v>
      </c>
      <c r="C37" s="18">
        <f>(4331.0/B37*100)</f>
        <v/>
      </c>
      <c r="D37" s="19" t="n">
        <v>1127</v>
      </c>
      <c r="E37" s="18" t="n">
        <v>41.1504156</v>
      </c>
      <c r="F37" s="20" t="n">
        <v>1.48393254</v>
      </c>
      <c r="G37" s="18" t="n">
        <v>52.68370118</v>
      </c>
      <c r="H37" s="20" t="n">
        <v>1.66033875</v>
      </c>
      <c r="I37" s="18" t="n">
        <v>0</v>
      </c>
      <c r="J37" s="20" t="n">
        <v>0</v>
      </c>
      <c r="K37" s="18" t="n">
        <v>3.23899966</v>
      </c>
      <c r="L37" s="20" t="n">
        <v>0.52223288</v>
      </c>
      <c r="M37" s="18" t="n">
        <v>0</v>
      </c>
      <c r="N37" s="20" t="n">
        <v>0</v>
      </c>
      <c r="O37" s="18" t="n">
        <v>0</v>
      </c>
      <c r="P37" s="20" t="n">
        <v>0</v>
      </c>
      <c r="Q37" s="18" t="n">
        <v>2.92688356</v>
      </c>
      <c r="R37" s="20" t="n">
        <v>0.42738958</v>
      </c>
    </row>
    <row r="38" spans="1:18">
      <c r="A38" s="15" t="s">
        <v>596</v>
      </c>
      <c r="B38" s="17" t="n">
        <v>5860</v>
      </c>
      <c r="C38" s="18">
        <f>(4663.0/B38*100)</f>
        <v/>
      </c>
      <c r="D38" s="19" t="n">
        <v>1197</v>
      </c>
      <c r="E38" s="18" t="n">
        <v>38.30544265</v>
      </c>
      <c r="F38" s="20" t="n">
        <v>2.06929629</v>
      </c>
      <c r="G38" s="18" t="n">
        <v>59.7900645</v>
      </c>
      <c r="H38" s="20" t="n">
        <v>2.04941425</v>
      </c>
      <c r="I38" s="18" t="n">
        <v>0</v>
      </c>
      <c r="J38" s="20" t="n">
        <v>0</v>
      </c>
      <c r="K38" s="18" t="n">
        <v>0.9845311</v>
      </c>
      <c r="L38" s="20" t="n">
        <v>0.30334932</v>
      </c>
      <c r="M38" s="18" t="n">
        <v>0</v>
      </c>
      <c r="N38" s="20" t="n">
        <v>0</v>
      </c>
      <c r="O38" s="18" t="n">
        <v>0</v>
      </c>
      <c r="P38" s="20" t="n">
        <v>0</v>
      </c>
      <c r="Q38" s="18" t="n">
        <v>0.91996174</v>
      </c>
      <c r="R38" s="20" t="n">
        <v>0.30769398</v>
      </c>
    </row>
    <row r="39" spans="1:18">
      <c r="A39" s="15" t="s">
        <v>597</v>
      </c>
      <c r="B39" s="17" t="n">
        <v>5895</v>
      </c>
      <c r="C39" s="18">
        <f>(4570.0/B39*100)</f>
        <v/>
      </c>
      <c r="D39" s="19" t="n">
        <v>1325</v>
      </c>
      <c r="E39" s="18" t="n">
        <v>69.71290811999999</v>
      </c>
      <c r="F39" s="20" t="n">
        <v>1.41883874</v>
      </c>
      <c r="G39" s="18" t="n">
        <v>26.38959872</v>
      </c>
      <c r="H39" s="20" t="n">
        <v>1.4384706</v>
      </c>
      <c r="I39" s="18" t="n">
        <v>0</v>
      </c>
      <c r="J39" s="20" t="n">
        <v>0</v>
      </c>
      <c r="K39" s="18" t="n">
        <v>0.4380225</v>
      </c>
      <c r="L39" s="20" t="n">
        <v>0.1779883</v>
      </c>
      <c r="M39" s="18" t="n">
        <v>0</v>
      </c>
      <c r="N39" s="20" t="n">
        <v>0</v>
      </c>
      <c r="O39" s="18" t="n">
        <v>0</v>
      </c>
      <c r="P39" s="20" t="n">
        <v>0</v>
      </c>
      <c r="Q39" s="18" t="n">
        <v>3.45947066</v>
      </c>
      <c r="R39" s="20" t="n">
        <v>0.55463862</v>
      </c>
    </row>
    <row r="40" spans="1:18">
      <c r="A40" s="15" t="s">
        <v>598</v>
      </c>
      <c r="B40" s="17" t="n">
        <v>14157</v>
      </c>
      <c r="C40" s="18">
        <f>(11066.0/B40*100)</f>
        <v/>
      </c>
      <c r="D40" s="19" t="n">
        <v>3091</v>
      </c>
      <c r="E40" s="18" t="n">
        <v>47.48680522</v>
      </c>
      <c r="F40" s="20" t="n">
        <v>1.72019315</v>
      </c>
      <c r="G40" s="18" t="n">
        <v>50.80761743</v>
      </c>
      <c r="H40" s="20" t="n">
        <v>1.65249577</v>
      </c>
      <c r="I40" s="18" t="n">
        <v>0</v>
      </c>
      <c r="J40" s="20" t="n">
        <v>0</v>
      </c>
      <c r="K40" s="18" t="n">
        <v>0.9811838000000001</v>
      </c>
      <c r="L40" s="20" t="n">
        <v>0.25376096</v>
      </c>
      <c r="M40" s="18" t="n">
        <v>0</v>
      </c>
      <c r="N40" s="20" t="n">
        <v>0</v>
      </c>
      <c r="O40" s="18" t="n">
        <v>0</v>
      </c>
      <c r="P40" s="20" t="n">
        <v>0</v>
      </c>
      <c r="Q40" s="18" t="n">
        <v>0.7243935500000001</v>
      </c>
      <c r="R40" s="20" t="n">
        <v>0.21059038</v>
      </c>
    </row>
    <row r="41" spans="1:18">
      <c r="A41" s="15" t="s">
        <v>599</v>
      </c>
      <c r="B41" s="17" t="n">
        <v>5712</v>
      </c>
      <c r="C41" s="18">
        <f>(4530.0/B41*100)</f>
        <v/>
      </c>
      <c r="D41" s="19" t="n">
        <v>1182</v>
      </c>
      <c r="E41" s="18" t="n">
        <v>48.24388678</v>
      </c>
      <c r="F41" s="20" t="n">
        <v>1.67331894</v>
      </c>
      <c r="G41" s="18" t="n">
        <v>50.47465472</v>
      </c>
      <c r="H41" s="20" t="n">
        <v>1.66036657</v>
      </c>
      <c r="I41" s="18" t="n">
        <v>0</v>
      </c>
      <c r="J41" s="20" t="n">
        <v>0</v>
      </c>
      <c r="K41" s="18" t="n">
        <v>0.48184399</v>
      </c>
      <c r="L41" s="20" t="n">
        <v>0.18517183</v>
      </c>
      <c r="M41" s="18" t="n">
        <v>0</v>
      </c>
      <c r="N41" s="20" t="n">
        <v>0</v>
      </c>
      <c r="O41" s="18" t="n">
        <v>0</v>
      </c>
      <c r="P41" s="20" t="n">
        <v>0</v>
      </c>
      <c r="Q41" s="18" t="n">
        <v>0.79961452</v>
      </c>
      <c r="R41" s="20" t="n">
        <v>0.23083734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(19686.0/B46*100)</f>
        <v/>
      </c>
      <c r="D46" s="19" t="n">
        <v>3455</v>
      </c>
      <c r="E46" s="18" t="n">
        <v>60.53053781</v>
      </c>
      <c r="F46" s="20" t="n">
        <v>1.20742528</v>
      </c>
      <c r="G46" s="18" t="n">
        <v>26.56575794</v>
      </c>
      <c r="H46" s="20" t="n">
        <v>1.1998609</v>
      </c>
      <c r="I46" s="18" t="n">
        <v>0</v>
      </c>
      <c r="J46" s="20" t="n">
        <v>0</v>
      </c>
      <c r="K46" s="18" t="n">
        <v>3.90328358</v>
      </c>
      <c r="L46" s="20" t="n">
        <v>0.56805915</v>
      </c>
      <c r="M46" s="18" t="n">
        <v>0</v>
      </c>
      <c r="N46" s="20" t="n">
        <v>0</v>
      </c>
      <c r="O46" s="18" t="n">
        <v>0</v>
      </c>
      <c r="P46" s="20" t="n">
        <v>0</v>
      </c>
      <c r="Q46" s="18" t="n">
        <v>9.00042067</v>
      </c>
      <c r="R46" s="20" t="n">
        <v>0.5606977</v>
      </c>
    </row>
    <row r="47" spans="1:18">
      <c r="A47" s="15" t="s">
        <v>606</v>
      </c>
      <c r="B47" s="17" t="n">
        <v>5928</v>
      </c>
      <c r="C47" s="18">
        <f>(4675.0/B47*100)</f>
        <v/>
      </c>
      <c r="D47" s="19" t="n">
        <v>1253</v>
      </c>
      <c r="E47" s="18" t="n">
        <v>57.6520874</v>
      </c>
      <c r="F47" s="20" t="n">
        <v>1.74660397</v>
      </c>
      <c r="G47" s="18" t="n">
        <v>34.96944979</v>
      </c>
      <c r="H47" s="20" t="n">
        <v>1.8813448</v>
      </c>
      <c r="I47" s="18" t="n">
        <v>0</v>
      </c>
      <c r="J47" s="20" t="n">
        <v>0</v>
      </c>
      <c r="K47" s="18" t="n">
        <v>1.77398306</v>
      </c>
      <c r="L47" s="20" t="n">
        <v>0.43490278</v>
      </c>
      <c r="M47" s="18" t="n">
        <v>0</v>
      </c>
      <c r="N47" s="20" t="n">
        <v>0</v>
      </c>
      <c r="O47" s="18" t="n">
        <v>0</v>
      </c>
      <c r="P47" s="20" t="n">
        <v>0</v>
      </c>
      <c r="Q47" s="18" t="n">
        <v>5.60447975</v>
      </c>
      <c r="R47" s="20" t="n">
        <v>0.78532138</v>
      </c>
    </row>
    <row r="48" spans="1:18">
      <c r="A48" s="15" t="s">
        <v>607</v>
      </c>
      <c r="B48" s="17" t="n">
        <v>9841</v>
      </c>
      <c r="C48" s="18">
        <f>(7690.0/B48*100)</f>
        <v/>
      </c>
      <c r="D48" s="19" t="n">
        <v>2151</v>
      </c>
      <c r="E48" s="18" t="n">
        <v>34.2690402</v>
      </c>
      <c r="F48" s="20" t="n">
        <v>1.45456451</v>
      </c>
      <c r="G48" s="18" t="n">
        <v>63.55807634</v>
      </c>
      <c r="H48" s="20" t="n">
        <v>1.48104759</v>
      </c>
      <c r="I48" s="18" t="n">
        <v>0</v>
      </c>
      <c r="J48" s="20" t="n">
        <v>0</v>
      </c>
      <c r="K48" s="18" t="n">
        <v>0.83810792</v>
      </c>
      <c r="L48" s="20" t="n">
        <v>0.34254691</v>
      </c>
      <c r="M48" s="18" t="n">
        <v>0</v>
      </c>
      <c r="N48" s="20" t="n">
        <v>0</v>
      </c>
      <c r="O48" s="18" t="n">
        <v>0</v>
      </c>
      <c r="P48" s="20" t="n">
        <v>0</v>
      </c>
      <c r="Q48" s="18" t="n">
        <v>1.33477554</v>
      </c>
      <c r="R48" s="20" t="n">
        <v>0.28995562</v>
      </c>
    </row>
    <row r="49" spans="1:18">
      <c r="A49" s="15" t="s">
        <v>608</v>
      </c>
      <c r="B49" s="17" t="n">
        <v>11795</v>
      </c>
      <c r="C49" s="18">
        <f>(9415.0/B49*100)</f>
        <v/>
      </c>
      <c r="D49" s="19" t="n">
        <v>2380</v>
      </c>
      <c r="E49" s="18" t="n">
        <v>69.22236226</v>
      </c>
      <c r="F49" s="20" t="n">
        <v>1.19372831</v>
      </c>
      <c r="G49" s="18" t="n">
        <v>21.5946515</v>
      </c>
      <c r="H49" s="20" t="n">
        <v>1.33203354</v>
      </c>
      <c r="I49" s="18" t="n">
        <v>0</v>
      </c>
      <c r="J49" s="20" t="n">
        <v>0</v>
      </c>
      <c r="K49" s="18" t="n">
        <v>2.98069146</v>
      </c>
      <c r="L49" s="20" t="n">
        <v>0.4676502</v>
      </c>
      <c r="M49" s="18" t="n">
        <v>0</v>
      </c>
      <c r="N49" s="20" t="n">
        <v>0</v>
      </c>
      <c r="O49" s="18" t="n">
        <v>0</v>
      </c>
      <c r="P49" s="20" t="n">
        <v>0</v>
      </c>
      <c r="Q49" s="18" t="n">
        <v>6.20229478</v>
      </c>
      <c r="R49" s="20" t="n">
        <v>0.78022024</v>
      </c>
    </row>
    <row r="50" spans="1:18">
      <c r="A50" s="15" t="s">
        <v>609</v>
      </c>
      <c r="B50" s="17" t="n">
        <v>6866</v>
      </c>
      <c r="C50" s="18">
        <f>(5673.0/B50*100)</f>
        <v/>
      </c>
      <c r="D50" s="19" t="n">
        <v>1193</v>
      </c>
      <c r="E50" s="18" t="n">
        <v>64.56878284</v>
      </c>
      <c r="F50" s="20" t="n">
        <v>1.63564937</v>
      </c>
      <c r="G50" s="18" t="n">
        <v>30.77387665</v>
      </c>
      <c r="H50" s="20" t="n">
        <v>1.57471561</v>
      </c>
      <c r="I50" s="18" t="n">
        <v>0</v>
      </c>
      <c r="J50" s="20" t="n">
        <v>0</v>
      </c>
      <c r="K50" s="18" t="n">
        <v>1.14028798</v>
      </c>
      <c r="L50" s="20" t="n">
        <v>0.39074524</v>
      </c>
      <c r="M50" s="18" t="n">
        <v>0</v>
      </c>
      <c r="N50" s="20" t="n">
        <v>0</v>
      </c>
      <c r="O50" s="18" t="n">
        <v>0</v>
      </c>
      <c r="P50" s="20" t="n">
        <v>0</v>
      </c>
      <c r="Q50" s="18" t="n">
        <v>3.51705253</v>
      </c>
      <c r="R50" s="20" t="n">
        <v>0.59070552</v>
      </c>
    </row>
    <row r="51" spans="1:18">
      <c r="A51" s="15" t="s">
        <v>610</v>
      </c>
      <c r="B51" s="17" t="n">
        <v>5809</v>
      </c>
      <c r="C51" s="18">
        <f>(4598.0/B51*100)</f>
        <v/>
      </c>
      <c r="D51" s="19" t="n">
        <v>1211</v>
      </c>
      <c r="E51" s="18" t="n">
        <v>52.26314141</v>
      </c>
      <c r="F51" s="20" t="n">
        <v>1.67871105</v>
      </c>
      <c r="G51" s="18" t="n">
        <v>45.35289307</v>
      </c>
      <c r="H51" s="20" t="n">
        <v>1.62565583</v>
      </c>
      <c r="I51" s="18" t="n">
        <v>0</v>
      </c>
      <c r="J51" s="20" t="n">
        <v>0</v>
      </c>
      <c r="K51" s="18" t="n">
        <v>0.6478126400000001</v>
      </c>
      <c r="L51" s="20" t="n">
        <v>0.25167642</v>
      </c>
      <c r="M51" s="18" t="n">
        <v>0</v>
      </c>
      <c r="N51" s="20" t="n">
        <v>0</v>
      </c>
      <c r="O51" s="18" t="n">
        <v>0</v>
      </c>
      <c r="P51" s="20" t="n">
        <v>0</v>
      </c>
      <c r="Q51" s="18" t="n">
        <v>1.73615288</v>
      </c>
      <c r="R51" s="20" t="n">
        <v>0.38599421</v>
      </c>
    </row>
    <row r="52" spans="1:18">
      <c r="A52" s="15" t="s">
        <v>611</v>
      </c>
      <c r="B52" s="17" t="n">
        <v>5571</v>
      </c>
      <c r="C52" s="18">
        <f>(4423.0/B52*100)</f>
        <v/>
      </c>
      <c r="D52" s="19" t="n">
        <v>1148</v>
      </c>
      <c r="E52" s="18" t="n">
        <v>65.13040257</v>
      </c>
      <c r="F52" s="20" t="n">
        <v>1.53042636</v>
      </c>
      <c r="G52" s="18" t="n">
        <v>31.64611966</v>
      </c>
      <c r="H52" s="20" t="n">
        <v>1.46295888</v>
      </c>
      <c r="I52" s="18" t="n">
        <v>0</v>
      </c>
      <c r="J52" s="20" t="n">
        <v>0</v>
      </c>
      <c r="K52" s="18" t="n">
        <v>1.05093911</v>
      </c>
      <c r="L52" s="20" t="n">
        <v>0.27066118</v>
      </c>
      <c r="M52" s="18" t="n">
        <v>0</v>
      </c>
      <c r="N52" s="20" t="n">
        <v>0</v>
      </c>
      <c r="O52" s="18" t="n">
        <v>0</v>
      </c>
      <c r="P52" s="20" t="n">
        <v>0</v>
      </c>
      <c r="Q52" s="18" t="n">
        <v>2.17253866</v>
      </c>
      <c r="R52" s="20" t="n">
        <v>0.45692329</v>
      </c>
    </row>
    <row r="53" spans="1:18">
      <c r="A53" s="15" t="s">
        <v>612</v>
      </c>
      <c r="B53" s="17" t="n">
        <v>4740</v>
      </c>
      <c r="C53" s="18">
        <f>(3678.0/B53*100)</f>
        <v/>
      </c>
      <c r="D53" s="19" t="n">
        <v>1062</v>
      </c>
      <c r="E53" s="18" t="n">
        <v>49.90105283</v>
      </c>
      <c r="F53" s="20" t="n">
        <v>1.78455658</v>
      </c>
      <c r="G53" s="18" t="n">
        <v>8.68056043</v>
      </c>
      <c r="H53" s="20" t="n">
        <v>0.97616596</v>
      </c>
      <c r="I53" s="18" t="n">
        <v>0</v>
      </c>
      <c r="J53" s="20" t="n">
        <v>0</v>
      </c>
      <c r="K53" s="18" t="n">
        <v>27.54014144</v>
      </c>
      <c r="L53" s="20" t="n">
        <v>1.71249101</v>
      </c>
      <c r="M53" s="18" t="n">
        <v>0</v>
      </c>
      <c r="N53" s="20" t="n">
        <v>0</v>
      </c>
      <c r="O53" s="18" t="n">
        <v>0</v>
      </c>
      <c r="P53" s="20" t="n">
        <v>0</v>
      </c>
      <c r="Q53" s="18" t="n">
        <v>13.8782453</v>
      </c>
      <c r="R53" s="20" t="n">
        <v>1.27030769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(4188.0/B55*100)</f>
        <v/>
      </c>
      <c r="D55" s="19" t="n">
        <v>1171</v>
      </c>
      <c r="E55" s="18" t="n">
        <v>29.38468706</v>
      </c>
      <c r="F55" s="20" t="n">
        <v>1.38521435</v>
      </c>
      <c r="G55" s="18" t="n">
        <v>69.24453138</v>
      </c>
      <c r="H55" s="20" t="n">
        <v>1.46003032</v>
      </c>
      <c r="I55" s="18" t="n">
        <v>0</v>
      </c>
      <c r="J55" s="20" t="n">
        <v>0</v>
      </c>
      <c r="K55" s="18" t="n">
        <v>0.33273547</v>
      </c>
      <c r="L55" s="20" t="n">
        <v>0.1802404</v>
      </c>
      <c r="M55" s="18" t="n">
        <v>0</v>
      </c>
      <c r="N55" s="20" t="n">
        <v>0</v>
      </c>
      <c r="O55" s="18" t="n">
        <v>0</v>
      </c>
      <c r="P55" s="20" t="n">
        <v>0</v>
      </c>
      <c r="Q55" s="18" t="n">
        <v>1.03804608</v>
      </c>
      <c r="R55" s="20" t="n">
        <v>0.32668185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(5099.0/B61*100)</f>
        <v/>
      </c>
      <c r="D61" s="19" t="n">
        <v>1426</v>
      </c>
      <c r="E61" s="18" t="n">
        <v>48.21288711</v>
      </c>
      <c r="F61" s="20" t="n">
        <v>1.32045703</v>
      </c>
      <c r="G61" s="18" t="n">
        <v>49.6111162</v>
      </c>
      <c r="H61" s="20" t="n">
        <v>1.3526176</v>
      </c>
      <c r="I61" s="18" t="n">
        <v>0</v>
      </c>
      <c r="J61" s="20" t="n">
        <v>0</v>
      </c>
      <c r="K61" s="18" t="n">
        <v>0.81655478</v>
      </c>
      <c r="L61" s="20" t="n">
        <v>0.29998975</v>
      </c>
      <c r="M61" s="18" t="n">
        <v>0</v>
      </c>
      <c r="N61" s="20" t="n">
        <v>0</v>
      </c>
      <c r="O61" s="18" t="n">
        <v>0</v>
      </c>
      <c r="P61" s="20" t="n">
        <v>0</v>
      </c>
      <c r="Q61" s="18" t="n">
        <v>1.35944191</v>
      </c>
      <c r="R61" s="20" t="n">
        <v>0.38040591</v>
      </c>
    </row>
    <row r="62" spans="1:18">
      <c r="A62" s="15" t="s">
        <v>622</v>
      </c>
      <c r="B62" s="17" t="n">
        <v>4476</v>
      </c>
      <c r="C62" s="18">
        <f>(3557.0/B62*100)</f>
        <v/>
      </c>
      <c r="D62" s="19" t="n">
        <v>919</v>
      </c>
      <c r="E62" s="18" t="n">
        <v>35.35253459</v>
      </c>
      <c r="F62" s="20" t="n">
        <v>1.68909444</v>
      </c>
      <c r="G62" s="18" t="n">
        <v>64.21115797</v>
      </c>
      <c r="H62" s="20" t="n">
        <v>1.61271784</v>
      </c>
      <c r="I62" s="18" t="n">
        <v>0</v>
      </c>
      <c r="J62" s="20" t="n">
        <v>0</v>
      </c>
      <c r="K62" s="18" t="n">
        <v>0.11187348</v>
      </c>
      <c r="L62" s="20" t="n">
        <v>0.11208952</v>
      </c>
      <c r="M62" s="18" t="n">
        <v>0</v>
      </c>
      <c r="N62" s="20" t="n">
        <v>0</v>
      </c>
      <c r="O62" s="18" t="n">
        <v>0</v>
      </c>
      <c r="P62" s="20" t="n">
        <v>0</v>
      </c>
      <c r="Q62" s="18" t="n">
        <v>0.32443396</v>
      </c>
      <c r="R62" s="20" t="n">
        <v>0.18670581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(4473.0/B67*100)</f>
        <v/>
      </c>
      <c r="D67" s="19" t="n">
        <v>1192</v>
      </c>
      <c r="E67" s="18" t="n">
        <v>56.5031965</v>
      </c>
      <c r="F67" s="20" t="n">
        <v>1.51591688</v>
      </c>
      <c r="G67" s="18" t="n">
        <v>29.27558054</v>
      </c>
      <c r="H67" s="20" t="n">
        <v>1.40528012</v>
      </c>
      <c r="I67" s="18" t="n">
        <v>0</v>
      </c>
      <c r="J67" s="20" t="n">
        <v>0</v>
      </c>
      <c r="K67" s="18" t="n">
        <v>1.95236292</v>
      </c>
      <c r="L67" s="20" t="n">
        <v>0.38084818</v>
      </c>
      <c r="M67" s="18" t="n">
        <v>0</v>
      </c>
      <c r="N67" s="20" t="n">
        <v>0</v>
      </c>
      <c r="O67" s="18" t="n">
        <v>0</v>
      </c>
      <c r="P67" s="20" t="n">
        <v>0</v>
      </c>
      <c r="Q67" s="18" t="n">
        <v>12.26886004</v>
      </c>
      <c r="R67" s="20" t="n">
        <v>0.88151884</v>
      </c>
    </row>
    <row r="68" spans="1:18">
      <c r="A68" s="15" t="s">
        <v>628</v>
      </c>
      <c r="B68" s="17" t="n">
        <v>6971</v>
      </c>
      <c r="C68" s="18">
        <f>(5737.0/B68*100)</f>
        <v/>
      </c>
      <c r="D68" s="19" t="n">
        <v>1234</v>
      </c>
      <c r="E68" s="18" t="n">
        <v>72.69380653</v>
      </c>
      <c r="F68" s="20" t="n">
        <v>1.61147399</v>
      </c>
      <c r="G68" s="18" t="n">
        <v>22.28511142</v>
      </c>
      <c r="H68" s="20" t="n">
        <v>1.55921201</v>
      </c>
      <c r="I68" s="18" t="n">
        <v>0</v>
      </c>
      <c r="J68" s="20" t="n">
        <v>0</v>
      </c>
      <c r="K68" s="18" t="n">
        <v>0.45104256</v>
      </c>
      <c r="L68" s="20" t="n">
        <v>0.1873912</v>
      </c>
      <c r="M68" s="18" t="n">
        <v>0</v>
      </c>
      <c r="N68" s="20" t="n">
        <v>0</v>
      </c>
      <c r="O68" s="18" t="n">
        <v>0</v>
      </c>
      <c r="P68" s="20" t="n">
        <v>0</v>
      </c>
      <c r="Q68" s="18" t="n">
        <v>4.57003949</v>
      </c>
      <c r="R68" s="20" t="n">
        <v>0.84359202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(9418.0/B70*100)</f>
        <v/>
      </c>
      <c r="D70" s="19" t="n">
        <v>2665</v>
      </c>
      <c r="E70" s="18" t="n">
        <v>63.62969385</v>
      </c>
      <c r="F70" s="20" t="n">
        <v>0.90002616</v>
      </c>
      <c r="G70" s="18" t="n">
        <v>25.1725102</v>
      </c>
      <c r="H70" s="20" t="n">
        <v>0.88139439</v>
      </c>
      <c r="I70" s="18" t="n">
        <v>0</v>
      </c>
      <c r="J70" s="20" t="n">
        <v>0</v>
      </c>
      <c r="K70" s="18" t="n">
        <v>6.4364173</v>
      </c>
      <c r="L70" s="20" t="n">
        <v>0.41042989</v>
      </c>
      <c r="M70" s="18" t="n">
        <v>0</v>
      </c>
      <c r="N70" s="20" t="n">
        <v>0</v>
      </c>
      <c r="O70" s="18" t="n">
        <v>0</v>
      </c>
      <c r="P70" s="20" t="n">
        <v>0</v>
      </c>
      <c r="Q70" s="18" t="n">
        <v>4.76137865</v>
      </c>
      <c r="R70" s="20" t="n">
        <v>0.46887677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(4829.0/B72*100)</f>
        <v/>
      </c>
      <c r="D72" s="19" t="n">
        <v>1207</v>
      </c>
      <c r="E72" s="18" t="n">
        <v>40.2750865</v>
      </c>
      <c r="F72" s="20" t="n">
        <v>1.8568494</v>
      </c>
      <c r="G72" s="18" t="n">
        <v>57.83397122</v>
      </c>
      <c r="H72" s="20" t="n">
        <v>1.77382473</v>
      </c>
      <c r="I72" s="18" t="n">
        <v>0</v>
      </c>
      <c r="J72" s="20" t="n">
        <v>0</v>
      </c>
      <c r="K72" s="18" t="n">
        <v>0.8908234</v>
      </c>
      <c r="L72" s="20" t="n">
        <v>0.32305591</v>
      </c>
      <c r="M72" s="18" t="n">
        <v>0</v>
      </c>
      <c r="N72" s="20" t="n">
        <v>0</v>
      </c>
      <c r="O72" s="18" t="n">
        <v>0</v>
      </c>
      <c r="P72" s="20" t="n">
        <v>0</v>
      </c>
      <c r="Q72" s="18" t="n">
        <v>1.00011889</v>
      </c>
      <c r="R72" s="20" t="n">
        <v>0.26412515</v>
      </c>
    </row>
    <row r="73" spans="1:18">
      <c r="A73" s="15" t="s">
        <v>633</v>
      </c>
      <c r="B73" s="17" t="n">
        <v>6115</v>
      </c>
      <c r="C73" s="18">
        <f>(4728.0/B73*100)</f>
        <v/>
      </c>
      <c r="D73" s="19" t="n">
        <v>1387</v>
      </c>
      <c r="E73" s="18" t="n">
        <v>28.1227222</v>
      </c>
      <c r="F73" s="20" t="n">
        <v>1.27604222</v>
      </c>
      <c r="G73" s="18" t="n">
        <v>71.32879693</v>
      </c>
      <c r="H73" s="20" t="n">
        <v>1.29704038</v>
      </c>
      <c r="I73" s="18" t="n">
        <v>0</v>
      </c>
      <c r="J73" s="20" t="n">
        <v>0</v>
      </c>
      <c r="K73" s="18" t="n">
        <v>0.26227965</v>
      </c>
      <c r="L73" s="20" t="n">
        <v>0.12226477</v>
      </c>
      <c r="M73" s="18" t="n">
        <v>0</v>
      </c>
      <c r="N73" s="20" t="n">
        <v>0</v>
      </c>
      <c r="O73" s="18" t="n">
        <v>0</v>
      </c>
      <c r="P73" s="20" t="n">
        <v>0</v>
      </c>
      <c r="Q73" s="18" t="n">
        <v>0.28620123</v>
      </c>
      <c r="R73" s="20" t="n">
        <v>0.13444748</v>
      </c>
    </row>
    <row r="74" spans="1:18">
      <c r="A74" s="15" t="s">
        <v>634</v>
      </c>
      <c r="B74" s="17" t="n">
        <v>7708</v>
      </c>
      <c r="C74" s="18">
        <f>(5988.0/B74*100)</f>
        <v/>
      </c>
      <c r="D74" s="19" t="n">
        <v>1720</v>
      </c>
      <c r="E74" s="18" t="n">
        <v>33.61032059</v>
      </c>
      <c r="F74" s="20" t="n">
        <v>1.36399713</v>
      </c>
      <c r="G74" s="18" t="n">
        <v>65.54840201</v>
      </c>
      <c r="H74" s="20" t="n">
        <v>1.35889494</v>
      </c>
      <c r="I74" s="18" t="n">
        <v>0</v>
      </c>
      <c r="J74" s="20" t="n">
        <v>0</v>
      </c>
      <c r="K74" s="18" t="n">
        <v>0.26042786</v>
      </c>
      <c r="L74" s="20" t="n">
        <v>0.13404648</v>
      </c>
      <c r="M74" s="18" t="n">
        <v>0</v>
      </c>
      <c r="N74" s="20" t="n">
        <v>0</v>
      </c>
      <c r="O74" s="18" t="n">
        <v>0</v>
      </c>
      <c r="P74" s="20" t="n">
        <v>0</v>
      </c>
      <c r="Q74" s="18" t="n">
        <v>0.5808495299999999</v>
      </c>
      <c r="R74" s="20" t="n">
        <v>0.18348605</v>
      </c>
    </row>
    <row r="75" spans="1:18">
      <c r="A75" s="15" t="s">
        <v>635</v>
      </c>
      <c r="B75" s="17" t="n">
        <v>8249</v>
      </c>
      <c r="C75" s="18">
        <f>(6595.0/B75*100)</f>
        <v/>
      </c>
      <c r="D75" s="19" t="n">
        <v>1654</v>
      </c>
      <c r="E75" s="18" t="n">
        <v>71.93296615</v>
      </c>
      <c r="F75" s="20" t="n">
        <v>1.30954842</v>
      </c>
      <c r="G75" s="18" t="n">
        <v>22.92991837</v>
      </c>
      <c r="H75" s="20" t="n">
        <v>1.21456555</v>
      </c>
      <c r="I75" s="18" t="n">
        <v>0</v>
      </c>
      <c r="J75" s="20" t="n">
        <v>0</v>
      </c>
      <c r="K75" s="18" t="n">
        <v>0.18326516</v>
      </c>
      <c r="L75" s="20" t="n">
        <v>0.12909133</v>
      </c>
      <c r="M75" s="18" t="n">
        <v>0</v>
      </c>
      <c r="N75" s="20" t="n">
        <v>0</v>
      </c>
      <c r="O75" s="18" t="n">
        <v>0</v>
      </c>
      <c r="P75" s="20" t="n">
        <v>0</v>
      </c>
      <c r="Q75" s="18" t="n">
        <v>4.95385032</v>
      </c>
      <c r="R75" s="20" t="n">
        <v>0.73227925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(4344.0/B77*100)</f>
        <v/>
      </c>
      <c r="D77" s="19" t="n">
        <v>1031</v>
      </c>
      <c r="E77" s="18" t="n">
        <v>66.40546571</v>
      </c>
      <c r="F77" s="20" t="n">
        <v>1.76566259</v>
      </c>
      <c r="G77" s="18" t="n">
        <v>19.7336307</v>
      </c>
      <c r="H77" s="20" t="n">
        <v>1.402256</v>
      </c>
      <c r="I77" s="18" t="n">
        <v>0</v>
      </c>
      <c r="J77" s="20" t="n">
        <v>0</v>
      </c>
      <c r="K77" s="18" t="n">
        <v>7.61243067</v>
      </c>
      <c r="L77" s="20" t="n">
        <v>1.20243557</v>
      </c>
      <c r="M77" s="18" t="n">
        <v>0</v>
      </c>
      <c r="N77" s="20" t="n">
        <v>0</v>
      </c>
      <c r="O77" s="18" t="n">
        <v>0</v>
      </c>
      <c r="P77" s="20" t="n">
        <v>0</v>
      </c>
      <c r="Q77" s="18" t="n">
        <v>6.24847293</v>
      </c>
      <c r="R77" s="20" t="n">
        <v>0.94143805</v>
      </c>
    </row>
    <row r="78" spans="1:18">
      <c r="A78" s="15" t="s">
        <v>638</v>
      </c>
      <c r="B78" s="17" t="n">
        <v>14167</v>
      </c>
      <c r="C78" s="18">
        <f>(11050.0/B78*100)</f>
        <v/>
      </c>
      <c r="D78" s="19" t="n">
        <v>3117</v>
      </c>
      <c r="E78" s="18" t="n">
        <v>62.45020306</v>
      </c>
      <c r="F78" s="20" t="n">
        <v>1.06054131</v>
      </c>
      <c r="G78" s="18" t="n">
        <v>33.3310434</v>
      </c>
      <c r="H78" s="20" t="n">
        <v>1.10560682</v>
      </c>
      <c r="I78" s="18" t="n">
        <v>0</v>
      </c>
      <c r="J78" s="20" t="n">
        <v>0</v>
      </c>
      <c r="K78" s="18" t="n">
        <v>1.85005571</v>
      </c>
      <c r="L78" s="20" t="n">
        <v>0.32531692</v>
      </c>
      <c r="M78" s="18" t="n">
        <v>0</v>
      </c>
      <c r="N78" s="20" t="n">
        <v>0</v>
      </c>
      <c r="O78" s="18" t="n">
        <v>0</v>
      </c>
      <c r="P78" s="20" t="n">
        <v>0</v>
      </c>
      <c r="Q78" s="18" t="n">
        <v>2.36869782</v>
      </c>
      <c r="R78" s="20" t="n">
        <v>0.28864799</v>
      </c>
    </row>
    <row r="79" spans="1:18">
      <c r="A79" s="15" t="s">
        <v>639</v>
      </c>
      <c r="B79" s="17" t="n">
        <v>6062</v>
      </c>
      <c r="C79" s="18">
        <f>(4939.0/B79*100)</f>
        <v/>
      </c>
      <c r="D79" s="19" t="n">
        <v>1123</v>
      </c>
      <c r="E79" s="18" t="n">
        <v>61.5027897</v>
      </c>
      <c r="F79" s="20" t="n">
        <v>1.7709232</v>
      </c>
      <c r="G79" s="18" t="n">
        <v>30.65627918</v>
      </c>
      <c r="H79" s="20" t="n">
        <v>1.71602745</v>
      </c>
      <c r="I79" s="18" t="n">
        <v>0</v>
      </c>
      <c r="J79" s="20" t="n">
        <v>0</v>
      </c>
      <c r="K79" s="18" t="n">
        <v>3.40441434</v>
      </c>
      <c r="L79" s="20" t="n">
        <v>0.62446181</v>
      </c>
      <c r="M79" s="18" t="n">
        <v>0</v>
      </c>
      <c r="N79" s="20" t="n">
        <v>0</v>
      </c>
      <c r="O79" s="18" t="n">
        <v>0</v>
      </c>
      <c r="P79" s="20" t="n">
        <v>0</v>
      </c>
      <c r="Q79" s="18" t="n">
        <v>4.43651678</v>
      </c>
      <c r="R79" s="20" t="n">
        <v>0.69050437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(25504.0/B82*100)</f>
        <v/>
      </c>
      <c r="D82" s="19" t="n">
        <v>6826</v>
      </c>
      <c r="E82" s="18" t="n">
        <v>48.38865308</v>
      </c>
      <c r="F82" s="20" t="n">
        <v>0.986359</v>
      </c>
      <c r="G82" s="18" t="n">
        <v>48.95337823</v>
      </c>
      <c r="H82" s="20" t="n">
        <v>0.92283562</v>
      </c>
      <c r="I82" s="18" t="n">
        <v>0</v>
      </c>
      <c r="J82" s="20" t="n">
        <v>0</v>
      </c>
      <c r="K82" s="18" t="n">
        <v>1.11356024</v>
      </c>
      <c r="L82" s="20" t="n">
        <v>0.21043162</v>
      </c>
      <c r="M82" s="18" t="n">
        <v>0</v>
      </c>
      <c r="N82" s="20" t="n">
        <v>0</v>
      </c>
      <c r="O82" s="18" t="n">
        <v>0</v>
      </c>
      <c r="P82" s="20" t="n">
        <v>0</v>
      </c>
      <c r="Q82" s="18" t="n">
        <v>1.54440845</v>
      </c>
      <c r="R82" s="20" t="n">
        <v>0.21701894</v>
      </c>
    </row>
    <row r="83" spans="1:18">
      <c r="A83" s="15" t="s">
        <v>643</v>
      </c>
      <c r="B83" s="17" t="n">
        <v>1652</v>
      </c>
      <c r="C83" s="18">
        <f>(1327.0/B83*100)</f>
        <v/>
      </c>
      <c r="D83" s="19" t="n">
        <v>325</v>
      </c>
      <c r="E83" s="18" t="n">
        <v>44.18339181</v>
      </c>
      <c r="F83" s="20" t="n">
        <v>3.37535799</v>
      </c>
      <c r="G83" s="18" t="n">
        <v>55.20276198</v>
      </c>
      <c r="H83" s="20" t="n">
        <v>3.29205287</v>
      </c>
      <c r="I83" s="18" t="n">
        <v>0</v>
      </c>
      <c r="J83" s="20" t="n">
        <v>0</v>
      </c>
      <c r="K83" s="18" t="n">
        <v>0</v>
      </c>
      <c r="L83" s="20" t="n">
        <v>0</v>
      </c>
      <c r="M83" s="18" t="n">
        <v>0</v>
      </c>
      <c r="N83" s="20" t="n">
        <v>0</v>
      </c>
      <c r="O83" s="18" t="n">
        <v>0</v>
      </c>
      <c r="P83" s="20" t="n">
        <v>0</v>
      </c>
      <c r="Q83" s="18" t="n">
        <v>0.6138462099999999</v>
      </c>
      <c r="R83" s="20" t="n">
        <v>0.43852988</v>
      </c>
    </row>
    <row r="84" spans="1:18">
      <c r="A84" s="23" t="s">
        <v>644</v>
      </c>
      <c r="B84" s="24" t="n">
        <v>1887</v>
      </c>
      <c r="C84" s="25">
        <f>(1466.0/B84*100)</f>
        <v/>
      </c>
      <c r="D84" s="19" t="n">
        <v>421</v>
      </c>
      <c r="E84" s="18" t="n">
        <v>41.80698063</v>
      </c>
      <c r="F84" s="20" t="n">
        <v>2.27870063</v>
      </c>
      <c r="G84" s="18" t="n">
        <v>57.20647563</v>
      </c>
      <c r="H84" s="20" t="n">
        <v>2.25996568</v>
      </c>
      <c r="I84" s="18" t="n">
        <v>0</v>
      </c>
      <c r="J84" s="20" t="n">
        <v>0</v>
      </c>
      <c r="K84" s="18" t="n">
        <v>0.51500543</v>
      </c>
      <c r="L84" s="20" t="n">
        <v>0.36498736</v>
      </c>
      <c r="M84" s="18" t="n">
        <v>0</v>
      </c>
      <c r="N84" s="20" t="n">
        <v>0</v>
      </c>
      <c r="O84" s="18" t="n">
        <v>0</v>
      </c>
      <c r="P84" s="20" t="n">
        <v>0</v>
      </c>
      <c r="Q84" s="18" t="n">
        <v>0.47153832</v>
      </c>
      <c r="R84" s="20" t="n">
        <v>0.33400178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(11466.0/B7*100)</f>
        <v/>
      </c>
      <c r="D7" s="19" t="n">
        <v>3064</v>
      </c>
      <c r="E7" s="18" t="n">
        <v>17.04345052</v>
      </c>
      <c r="F7" s="20" t="n">
        <v>0.71049364</v>
      </c>
      <c r="G7" s="18" t="n">
        <v>81.10586934</v>
      </c>
      <c r="H7" s="20" t="n">
        <v>0.71449403</v>
      </c>
      <c r="I7" s="18" t="n">
        <v>0</v>
      </c>
      <c r="J7" s="20" t="n">
        <v>0</v>
      </c>
      <c r="K7" s="18" t="n">
        <v>1.17535711</v>
      </c>
      <c r="L7" s="20" t="n">
        <v>0.23382221</v>
      </c>
      <c r="M7" s="18" t="n">
        <v>0</v>
      </c>
      <c r="N7" s="20" t="n">
        <v>0</v>
      </c>
      <c r="O7" s="18" t="n">
        <v>0</v>
      </c>
      <c r="P7" s="20" t="n">
        <v>0</v>
      </c>
      <c r="Q7" s="18" t="n">
        <v>0.67532304</v>
      </c>
      <c r="R7" s="20" t="n">
        <v>0.18243259</v>
      </c>
    </row>
    <row r="8" spans="1:18">
      <c r="A8" s="15" t="s">
        <v>566</v>
      </c>
      <c r="B8" s="17" t="n">
        <v>7007</v>
      </c>
      <c r="C8" s="18">
        <f>(5519.0/B8*100)</f>
        <v/>
      </c>
      <c r="D8" s="19" t="n">
        <v>1488</v>
      </c>
      <c r="E8" s="18" t="n">
        <v>17.50957037</v>
      </c>
      <c r="F8" s="20" t="n">
        <v>1.36915433</v>
      </c>
      <c r="G8" s="18" t="n">
        <v>81.68273164</v>
      </c>
      <c r="H8" s="20" t="n">
        <v>1.40613966</v>
      </c>
      <c r="I8" s="18" t="n">
        <v>0</v>
      </c>
      <c r="J8" s="20" t="n">
        <v>0</v>
      </c>
      <c r="K8" s="18" t="n">
        <v>0.56619995</v>
      </c>
      <c r="L8" s="20" t="n">
        <v>0.20250226</v>
      </c>
      <c r="M8" s="18" t="n">
        <v>0</v>
      </c>
      <c r="N8" s="20" t="n">
        <v>0</v>
      </c>
      <c r="O8" s="18" t="n">
        <v>0</v>
      </c>
      <c r="P8" s="20" t="n">
        <v>0</v>
      </c>
      <c r="Q8" s="18" t="n">
        <v>0.24149804</v>
      </c>
      <c r="R8" s="20" t="n">
        <v>0.16058216</v>
      </c>
    </row>
    <row r="9" spans="1:18">
      <c r="A9" s="15" t="s">
        <v>567</v>
      </c>
      <c r="B9" s="17" t="n">
        <v>9651</v>
      </c>
      <c r="C9" s="18">
        <f>(7732.0/B9*100)</f>
        <v/>
      </c>
      <c r="D9" s="19" t="n">
        <v>1919</v>
      </c>
      <c r="E9" s="18" t="n">
        <v>20.95275764</v>
      </c>
      <c r="F9" s="20" t="n">
        <v>1.13229013</v>
      </c>
      <c r="G9" s="18" t="n">
        <v>75.89945152999999</v>
      </c>
      <c r="H9" s="20" t="n">
        <v>1.12219703</v>
      </c>
      <c r="I9" s="18" t="n">
        <v>0</v>
      </c>
      <c r="J9" s="20" t="n">
        <v>0</v>
      </c>
      <c r="K9" s="18" t="n">
        <v>2.41563243</v>
      </c>
      <c r="L9" s="20" t="n">
        <v>0.41388197</v>
      </c>
      <c r="M9" s="18" t="n">
        <v>0</v>
      </c>
      <c r="N9" s="20" t="n">
        <v>0</v>
      </c>
      <c r="O9" s="18" t="n">
        <v>0</v>
      </c>
      <c r="P9" s="20" t="n">
        <v>0</v>
      </c>
      <c r="Q9" s="18" t="n">
        <v>0.73215841</v>
      </c>
      <c r="R9" s="20" t="n">
        <v>0.20802871</v>
      </c>
    </row>
    <row r="10" spans="1:18">
      <c r="A10" s="15" t="s">
        <v>568</v>
      </c>
      <c r="B10" s="17" t="n">
        <v>20058</v>
      </c>
      <c r="C10" s="18">
        <f>(15596.0/B10*100)</f>
        <v/>
      </c>
      <c r="D10" s="19" t="n">
        <v>4462</v>
      </c>
      <c r="E10" s="18" t="n">
        <v>13.65590198</v>
      </c>
      <c r="F10" s="20" t="n">
        <v>0.82762123</v>
      </c>
      <c r="G10" s="18" t="n">
        <v>84.36904045999999</v>
      </c>
      <c r="H10" s="20" t="n">
        <v>0.85134539</v>
      </c>
      <c r="I10" s="18" t="n">
        <v>0</v>
      </c>
      <c r="J10" s="20" t="n">
        <v>0</v>
      </c>
      <c r="K10" s="18" t="n">
        <v>1.59201918</v>
      </c>
      <c r="L10" s="20" t="n">
        <v>0.28658469</v>
      </c>
      <c r="M10" s="18" t="n">
        <v>0</v>
      </c>
      <c r="N10" s="20" t="n">
        <v>0</v>
      </c>
      <c r="O10" s="18" t="n">
        <v>0</v>
      </c>
      <c r="P10" s="20" t="n">
        <v>0</v>
      </c>
      <c r="Q10" s="18" t="n">
        <v>0.38303838</v>
      </c>
      <c r="R10" s="20" t="n">
        <v>0.08762874</v>
      </c>
    </row>
    <row r="11" spans="1:18">
      <c r="A11" s="15" t="s">
        <v>569</v>
      </c>
      <c r="B11" s="17" t="n">
        <v>7053</v>
      </c>
      <c r="C11" s="18">
        <f>(5556.0/B11*100)</f>
        <v/>
      </c>
      <c r="D11" s="19" t="n">
        <v>1497</v>
      </c>
      <c r="E11" s="18" t="n">
        <v>25.14330304</v>
      </c>
      <c r="F11" s="20" t="n">
        <v>1.41557184</v>
      </c>
      <c r="G11" s="18" t="n">
        <v>69.24247320000001</v>
      </c>
      <c r="H11" s="20" t="n">
        <v>1.28076416</v>
      </c>
      <c r="I11" s="18" t="n">
        <v>0</v>
      </c>
      <c r="J11" s="20" t="n">
        <v>0</v>
      </c>
      <c r="K11" s="18" t="n">
        <v>3.45329699</v>
      </c>
      <c r="L11" s="20" t="n">
        <v>0.63745586</v>
      </c>
      <c r="M11" s="18" t="n">
        <v>0</v>
      </c>
      <c r="N11" s="20" t="n">
        <v>0</v>
      </c>
      <c r="O11" s="18" t="n">
        <v>0</v>
      </c>
      <c r="P11" s="20" t="n">
        <v>0</v>
      </c>
      <c r="Q11" s="18" t="n">
        <v>2.16092677</v>
      </c>
      <c r="R11" s="20" t="n">
        <v>0.48052719</v>
      </c>
    </row>
    <row r="12" spans="1:18">
      <c r="A12" s="15" t="s">
        <v>570</v>
      </c>
      <c r="B12" s="17" t="n">
        <v>6894</v>
      </c>
      <c r="C12" s="18">
        <f>(5448.0/B12*100)</f>
        <v/>
      </c>
      <c r="D12" s="19" t="n">
        <v>1446</v>
      </c>
      <c r="E12" s="18" t="n">
        <v>17.30332614</v>
      </c>
      <c r="F12" s="20" t="n">
        <v>1.23552478</v>
      </c>
      <c r="G12" s="18" t="n">
        <v>81.28103735000001</v>
      </c>
      <c r="H12" s="20" t="n">
        <v>1.31482168</v>
      </c>
      <c r="I12" s="18" t="n">
        <v>0</v>
      </c>
      <c r="J12" s="20" t="n">
        <v>0</v>
      </c>
      <c r="K12" s="18" t="n">
        <v>0.76031498</v>
      </c>
      <c r="L12" s="20" t="n">
        <v>0.20378501</v>
      </c>
      <c r="M12" s="18" t="n">
        <v>0</v>
      </c>
      <c r="N12" s="20" t="n">
        <v>0</v>
      </c>
      <c r="O12" s="18" t="n">
        <v>0</v>
      </c>
      <c r="P12" s="20" t="n">
        <v>0</v>
      </c>
      <c r="Q12" s="18" t="n">
        <v>0.65532153</v>
      </c>
      <c r="R12" s="20" t="n">
        <v>0.32240575</v>
      </c>
    </row>
    <row r="13" spans="1:18">
      <c r="A13" s="15" t="s">
        <v>571</v>
      </c>
      <c r="B13" s="17" t="n">
        <v>7161</v>
      </c>
      <c r="C13" s="18">
        <f>(5692.0/B13*100)</f>
        <v/>
      </c>
      <c r="D13" s="19" t="n">
        <v>1469</v>
      </c>
      <c r="E13" s="18" t="n">
        <v>18.1889832</v>
      </c>
      <c r="F13" s="20" t="n">
        <v>1.06254086</v>
      </c>
      <c r="G13" s="18" t="n">
        <v>80.49927003000001</v>
      </c>
      <c r="H13" s="20" t="n">
        <v>1.11152384</v>
      </c>
      <c r="I13" s="18" t="n">
        <v>0</v>
      </c>
      <c r="J13" s="20" t="n">
        <v>0</v>
      </c>
      <c r="K13" s="18" t="n">
        <v>0.79003868</v>
      </c>
      <c r="L13" s="20" t="n">
        <v>0.27701315</v>
      </c>
      <c r="M13" s="18" t="n">
        <v>0</v>
      </c>
      <c r="N13" s="20" t="n">
        <v>0</v>
      </c>
      <c r="O13" s="18" t="n">
        <v>0</v>
      </c>
      <c r="P13" s="20" t="n">
        <v>0</v>
      </c>
      <c r="Q13" s="18" t="n">
        <v>0.5217081</v>
      </c>
      <c r="R13" s="20" t="n">
        <v>0.47436454</v>
      </c>
    </row>
    <row r="14" spans="1:18">
      <c r="A14" s="15" t="s">
        <v>572</v>
      </c>
      <c r="B14" s="17" t="n">
        <v>5587</v>
      </c>
      <c r="C14" s="18">
        <f>(4356.0/B14*100)</f>
        <v/>
      </c>
      <c r="D14" s="19" t="n">
        <v>1231</v>
      </c>
      <c r="E14" s="18" t="n">
        <v>24.37769388</v>
      </c>
      <c r="F14" s="20" t="n">
        <v>1.37606045</v>
      </c>
      <c r="G14" s="18" t="n">
        <v>73.63975726</v>
      </c>
      <c r="H14" s="20" t="n">
        <v>1.33356025</v>
      </c>
      <c r="I14" s="18" t="n">
        <v>0</v>
      </c>
      <c r="J14" s="20" t="n">
        <v>0</v>
      </c>
      <c r="K14" s="18" t="n">
        <v>1.90277987</v>
      </c>
      <c r="L14" s="20" t="n">
        <v>0.49622556</v>
      </c>
      <c r="M14" s="18" t="n">
        <v>0</v>
      </c>
      <c r="N14" s="20" t="n">
        <v>0</v>
      </c>
      <c r="O14" s="18" t="n">
        <v>0</v>
      </c>
      <c r="P14" s="20" t="n">
        <v>0</v>
      </c>
      <c r="Q14" s="18" t="n">
        <v>0.07976900000000001</v>
      </c>
      <c r="R14" s="20" t="n">
        <v>0.07966217</v>
      </c>
    </row>
    <row r="15" spans="1:18">
      <c r="A15" s="15" t="s">
        <v>573</v>
      </c>
      <c r="B15" s="17" t="n">
        <v>5882</v>
      </c>
      <c r="C15" s="18">
        <f>(4599.0/B15*100)</f>
        <v/>
      </c>
      <c r="D15" s="19" t="n">
        <v>1283</v>
      </c>
      <c r="E15" s="18" t="n">
        <v>18.64003405</v>
      </c>
      <c r="F15" s="20" t="n">
        <v>1.08349316</v>
      </c>
      <c r="G15" s="18" t="n">
        <v>81.05365722000001</v>
      </c>
      <c r="H15" s="20" t="n">
        <v>1.09515336</v>
      </c>
      <c r="I15" s="18" t="n">
        <v>0</v>
      </c>
      <c r="J15" s="20" t="n">
        <v>0</v>
      </c>
      <c r="K15" s="18" t="n">
        <v>0.22819187</v>
      </c>
      <c r="L15" s="20" t="n">
        <v>0.13337656</v>
      </c>
      <c r="M15" s="18" t="n">
        <v>0</v>
      </c>
      <c r="N15" s="20" t="n">
        <v>0</v>
      </c>
      <c r="O15" s="18" t="n">
        <v>0</v>
      </c>
      <c r="P15" s="20" t="n">
        <v>0</v>
      </c>
      <c r="Q15" s="18" t="n">
        <v>0.07811686</v>
      </c>
      <c r="R15" s="20" t="n">
        <v>0.08219774000000001</v>
      </c>
    </row>
    <row r="16" spans="1:18">
      <c r="A16" s="15" t="s">
        <v>574</v>
      </c>
      <c r="B16" s="17" t="n">
        <v>6108</v>
      </c>
      <c r="C16" s="18">
        <f>(4782.0/B16*100)</f>
        <v/>
      </c>
      <c r="D16" s="19" t="n">
        <v>1326</v>
      </c>
      <c r="E16" s="18" t="n">
        <v>30.15258439</v>
      </c>
      <c r="F16" s="20" t="n">
        <v>1.50824176</v>
      </c>
      <c r="G16" s="18" t="n">
        <v>66.24447816</v>
      </c>
      <c r="H16" s="20" t="n">
        <v>1.54757316</v>
      </c>
      <c r="I16" s="18" t="n">
        <v>0</v>
      </c>
      <c r="J16" s="20" t="n">
        <v>0</v>
      </c>
      <c r="K16" s="18" t="n">
        <v>2.59378602</v>
      </c>
      <c r="L16" s="20" t="n">
        <v>0.48764153</v>
      </c>
      <c r="M16" s="18" t="n">
        <v>0</v>
      </c>
      <c r="N16" s="20" t="n">
        <v>0</v>
      </c>
      <c r="O16" s="18" t="n">
        <v>0</v>
      </c>
      <c r="P16" s="20" t="n">
        <v>0</v>
      </c>
      <c r="Q16" s="18" t="n">
        <v>1.00915143</v>
      </c>
      <c r="R16" s="20" t="n">
        <v>0.29228512</v>
      </c>
    </row>
    <row r="17" spans="1:18">
      <c r="A17" s="15" t="s">
        <v>575</v>
      </c>
      <c r="B17" s="17" t="n">
        <v>6504</v>
      </c>
      <c r="C17" s="18">
        <f>(5133.0/B17*100)</f>
        <v/>
      </c>
      <c r="D17" s="19" t="n">
        <v>1371</v>
      </c>
      <c r="E17" s="18" t="n">
        <v>15.41605296</v>
      </c>
      <c r="F17" s="20" t="n">
        <v>1.25273527</v>
      </c>
      <c r="G17" s="18" t="n">
        <v>82.68124038000001</v>
      </c>
      <c r="H17" s="20" t="n">
        <v>1.29382762</v>
      </c>
      <c r="I17" s="18" t="n">
        <v>0</v>
      </c>
      <c r="J17" s="20" t="n">
        <v>0</v>
      </c>
      <c r="K17" s="18" t="n">
        <v>1.22469608</v>
      </c>
      <c r="L17" s="20" t="n">
        <v>0.29589201</v>
      </c>
      <c r="M17" s="18" t="n">
        <v>0</v>
      </c>
      <c r="N17" s="20" t="n">
        <v>0</v>
      </c>
      <c r="O17" s="18" t="n">
        <v>0</v>
      </c>
      <c r="P17" s="20" t="n">
        <v>0</v>
      </c>
      <c r="Q17" s="18" t="n">
        <v>0.67801058</v>
      </c>
      <c r="R17" s="20" t="n">
        <v>0.31503668</v>
      </c>
    </row>
    <row r="18" spans="1:18">
      <c r="A18" s="15" t="s">
        <v>576</v>
      </c>
      <c r="B18" s="17" t="n">
        <v>5532</v>
      </c>
      <c r="C18" s="18">
        <f>(4329.0/B18*100)</f>
        <v/>
      </c>
      <c r="D18" s="19" t="n">
        <v>1203</v>
      </c>
      <c r="E18" s="18" t="n">
        <v>34.50095177</v>
      </c>
      <c r="F18" s="20" t="n">
        <v>1.59621498</v>
      </c>
      <c r="G18" s="18" t="n">
        <v>62.7444157</v>
      </c>
      <c r="H18" s="20" t="n">
        <v>1.60613487</v>
      </c>
      <c r="I18" s="18" t="n">
        <v>0</v>
      </c>
      <c r="J18" s="20" t="n">
        <v>0</v>
      </c>
      <c r="K18" s="18" t="n">
        <v>1.84303352</v>
      </c>
      <c r="L18" s="20" t="n">
        <v>0.3940983</v>
      </c>
      <c r="M18" s="18" t="n">
        <v>0</v>
      </c>
      <c r="N18" s="20" t="n">
        <v>0</v>
      </c>
      <c r="O18" s="18" t="n">
        <v>0</v>
      </c>
      <c r="P18" s="20" t="n">
        <v>0</v>
      </c>
      <c r="Q18" s="18" t="n">
        <v>0.911599</v>
      </c>
      <c r="R18" s="20" t="n">
        <v>0.30579306</v>
      </c>
    </row>
    <row r="19" spans="1:18">
      <c r="A19" s="15" t="s">
        <v>577</v>
      </c>
      <c r="B19" s="17" t="n">
        <v>5658</v>
      </c>
      <c r="C19" s="18">
        <f>(4445.0/B19*100)</f>
        <v/>
      </c>
      <c r="D19" s="19" t="n">
        <v>1213</v>
      </c>
      <c r="E19" s="18" t="n">
        <v>33.25622159</v>
      </c>
      <c r="F19" s="20" t="n">
        <v>1.38743908</v>
      </c>
      <c r="G19" s="18" t="n">
        <v>65.09062657</v>
      </c>
      <c r="H19" s="20" t="n">
        <v>1.38230196</v>
      </c>
      <c r="I19" s="18" t="n">
        <v>0</v>
      </c>
      <c r="J19" s="20" t="n">
        <v>0</v>
      </c>
      <c r="K19" s="18" t="n">
        <v>0.8386699399999999</v>
      </c>
      <c r="L19" s="20" t="n">
        <v>0.34222782</v>
      </c>
      <c r="M19" s="18" t="n">
        <v>0</v>
      </c>
      <c r="N19" s="20" t="n">
        <v>0</v>
      </c>
      <c r="O19" s="18" t="n">
        <v>0</v>
      </c>
      <c r="P19" s="20" t="n">
        <v>0</v>
      </c>
      <c r="Q19" s="18" t="n">
        <v>0.8144819</v>
      </c>
      <c r="R19" s="20" t="n">
        <v>0.33891338</v>
      </c>
    </row>
    <row r="20" spans="1:18">
      <c r="A20" s="15" t="s">
        <v>578</v>
      </c>
      <c r="B20" s="17" t="n">
        <v>3371</v>
      </c>
      <c r="C20" s="18">
        <f>(2628.0/B20*100)</f>
        <v/>
      </c>
      <c r="D20" s="19" t="n">
        <v>743</v>
      </c>
      <c r="E20" s="18" t="n">
        <v>21.04433815</v>
      </c>
      <c r="F20" s="20" t="n">
        <v>1.34353422</v>
      </c>
      <c r="G20" s="18" t="n">
        <v>76.67315392</v>
      </c>
      <c r="H20" s="20" t="n">
        <v>1.45038738</v>
      </c>
      <c r="I20" s="18" t="n">
        <v>0</v>
      </c>
      <c r="J20" s="20" t="n">
        <v>0</v>
      </c>
      <c r="K20" s="18" t="n">
        <v>1.74955693</v>
      </c>
      <c r="L20" s="20" t="n">
        <v>0.47640259</v>
      </c>
      <c r="M20" s="18" t="n">
        <v>0</v>
      </c>
      <c r="N20" s="20" t="n">
        <v>0</v>
      </c>
      <c r="O20" s="18" t="n">
        <v>0</v>
      </c>
      <c r="P20" s="20" t="n">
        <v>0</v>
      </c>
      <c r="Q20" s="18" t="n">
        <v>0.532951</v>
      </c>
      <c r="R20" s="20" t="n">
        <v>0.26891898</v>
      </c>
    </row>
    <row r="21" spans="1:18">
      <c r="A21" s="15" t="s">
        <v>579</v>
      </c>
      <c r="B21" s="17" t="n">
        <v>5741</v>
      </c>
      <c r="C21" s="18">
        <f>(4504.0/B21*100)</f>
        <v/>
      </c>
      <c r="D21" s="19" t="n">
        <v>1237</v>
      </c>
      <c r="E21" s="18" t="n">
        <v>13.10323484</v>
      </c>
      <c r="F21" s="20" t="n">
        <v>1.09106343</v>
      </c>
      <c r="G21" s="18" t="n">
        <v>85.80667334</v>
      </c>
      <c r="H21" s="20" t="n">
        <v>1.10883528</v>
      </c>
      <c r="I21" s="18" t="n">
        <v>0</v>
      </c>
      <c r="J21" s="20" t="n">
        <v>0</v>
      </c>
      <c r="K21" s="18" t="n">
        <v>0.8390829400000001</v>
      </c>
      <c r="L21" s="20" t="n">
        <v>0.25485639</v>
      </c>
      <c r="M21" s="18" t="n">
        <v>0</v>
      </c>
      <c r="N21" s="20" t="n">
        <v>0</v>
      </c>
      <c r="O21" s="18" t="n">
        <v>0</v>
      </c>
      <c r="P21" s="20" t="n">
        <v>0</v>
      </c>
      <c r="Q21" s="18" t="n">
        <v>0.25100887</v>
      </c>
      <c r="R21" s="20" t="n">
        <v>0.19307521</v>
      </c>
    </row>
    <row r="22" spans="1:18">
      <c r="A22" s="15" t="s">
        <v>580</v>
      </c>
      <c r="B22" s="17" t="n">
        <v>6598</v>
      </c>
      <c r="C22" s="18">
        <f>(5201.0/B22*100)</f>
        <v/>
      </c>
      <c r="D22" s="19" t="n">
        <v>1397</v>
      </c>
      <c r="E22" s="18" t="n">
        <v>26.46762537</v>
      </c>
      <c r="F22" s="20" t="n">
        <v>1.56451203</v>
      </c>
      <c r="G22" s="18" t="n">
        <v>69.20659458999999</v>
      </c>
      <c r="H22" s="20" t="n">
        <v>1.5978425</v>
      </c>
      <c r="I22" s="18" t="n">
        <v>0</v>
      </c>
      <c r="J22" s="20" t="n">
        <v>0</v>
      </c>
      <c r="K22" s="18" t="n">
        <v>2.37125011</v>
      </c>
      <c r="L22" s="20" t="n">
        <v>0.50446159</v>
      </c>
      <c r="M22" s="18" t="n">
        <v>0</v>
      </c>
      <c r="N22" s="20" t="n">
        <v>0</v>
      </c>
      <c r="O22" s="18" t="n">
        <v>0</v>
      </c>
      <c r="P22" s="20" t="n">
        <v>0</v>
      </c>
      <c r="Q22" s="18" t="n">
        <v>1.95452993</v>
      </c>
      <c r="R22" s="20" t="n">
        <v>0.46470342</v>
      </c>
    </row>
    <row r="23" spans="1:18">
      <c r="A23" s="15" t="s">
        <v>581</v>
      </c>
      <c r="B23" s="17" t="n">
        <v>11583</v>
      </c>
      <c r="C23" s="18">
        <f>(9138.0/B23*100)</f>
        <v/>
      </c>
      <c r="D23" s="19" t="n">
        <v>2445</v>
      </c>
      <c r="E23" s="18" t="n">
        <v>32.99893477</v>
      </c>
      <c r="F23" s="20" t="n">
        <v>1.60032491</v>
      </c>
      <c r="G23" s="18" t="n">
        <v>61.30745852</v>
      </c>
      <c r="H23" s="20" t="n">
        <v>1.40103788</v>
      </c>
      <c r="I23" s="18" t="n">
        <v>0</v>
      </c>
      <c r="J23" s="20" t="n">
        <v>0</v>
      </c>
      <c r="K23" s="18" t="n">
        <v>3.77413634</v>
      </c>
      <c r="L23" s="20" t="n">
        <v>1.05308734</v>
      </c>
      <c r="M23" s="18" t="n">
        <v>0</v>
      </c>
      <c r="N23" s="20" t="n">
        <v>0</v>
      </c>
      <c r="O23" s="18" t="n">
        <v>0</v>
      </c>
      <c r="P23" s="20" t="n">
        <v>0</v>
      </c>
      <c r="Q23" s="18" t="n">
        <v>1.91947037</v>
      </c>
      <c r="R23" s="20" t="n">
        <v>0.44004795</v>
      </c>
    </row>
    <row r="24" spans="1:18">
      <c r="A24" s="15" t="s">
        <v>582</v>
      </c>
      <c r="B24" s="17" t="n">
        <v>6647</v>
      </c>
      <c r="C24" s="18">
        <f>(5205.0/B24*100)</f>
        <v/>
      </c>
      <c r="D24" s="19" t="n">
        <v>1442</v>
      </c>
      <c r="E24" s="18" t="n">
        <v>13.89191442</v>
      </c>
      <c r="F24" s="20" t="n">
        <v>0.78348443</v>
      </c>
      <c r="G24" s="18" t="n">
        <v>84.61888200999999</v>
      </c>
      <c r="H24" s="20" t="n">
        <v>0.77890237</v>
      </c>
      <c r="I24" s="18" t="n">
        <v>0</v>
      </c>
      <c r="J24" s="20" t="n">
        <v>0</v>
      </c>
      <c r="K24" s="18" t="n">
        <v>0.67960061</v>
      </c>
      <c r="L24" s="20" t="n">
        <v>0.26846633</v>
      </c>
      <c r="M24" s="18" t="n">
        <v>0</v>
      </c>
      <c r="N24" s="20" t="n">
        <v>0</v>
      </c>
      <c r="O24" s="18" t="n">
        <v>0</v>
      </c>
      <c r="P24" s="20" t="n">
        <v>0</v>
      </c>
      <c r="Q24" s="18" t="n">
        <v>0.80960297</v>
      </c>
      <c r="R24" s="20" t="n">
        <v>0.27940027</v>
      </c>
    </row>
    <row r="25" spans="1:18">
      <c r="A25" s="15" t="s">
        <v>583</v>
      </c>
      <c r="B25" s="17" t="n">
        <v>5581</v>
      </c>
      <c r="C25" s="18">
        <f>(4345.0/B25*100)</f>
        <v/>
      </c>
      <c r="D25" s="19" t="n">
        <v>1236</v>
      </c>
      <c r="E25" s="18" t="n">
        <v>14.78601222</v>
      </c>
      <c r="F25" s="20" t="n">
        <v>1.08974627</v>
      </c>
      <c r="G25" s="18" t="n">
        <v>83.80018244999999</v>
      </c>
      <c r="H25" s="20" t="n">
        <v>1.16021765</v>
      </c>
      <c r="I25" s="18" t="n">
        <v>0</v>
      </c>
      <c r="J25" s="20" t="n">
        <v>0</v>
      </c>
      <c r="K25" s="18" t="n">
        <v>0.5857034800000001</v>
      </c>
      <c r="L25" s="20" t="n">
        <v>0.26701586</v>
      </c>
      <c r="M25" s="18" t="n">
        <v>0</v>
      </c>
      <c r="N25" s="20" t="n">
        <v>0</v>
      </c>
      <c r="O25" s="18" t="n">
        <v>0</v>
      </c>
      <c r="P25" s="20" t="n">
        <v>0</v>
      </c>
      <c r="Q25" s="18" t="n">
        <v>0.82810184</v>
      </c>
      <c r="R25" s="20" t="n">
        <v>0.28799272</v>
      </c>
    </row>
    <row r="26" spans="1:18">
      <c r="A26" s="15" t="s">
        <v>584</v>
      </c>
      <c r="B26" s="17" t="n">
        <v>4869</v>
      </c>
      <c r="C26" s="18">
        <f>(3823.0/B26*100)</f>
        <v/>
      </c>
      <c r="D26" s="19" t="n">
        <v>1046</v>
      </c>
      <c r="E26" s="18" t="n">
        <v>28.68096281</v>
      </c>
      <c r="F26" s="20" t="n">
        <v>1.70602064</v>
      </c>
      <c r="G26" s="18" t="n">
        <v>70.61385608000001</v>
      </c>
      <c r="H26" s="20" t="n">
        <v>1.66202355</v>
      </c>
      <c r="I26" s="18" t="n">
        <v>0</v>
      </c>
      <c r="J26" s="20" t="n">
        <v>0</v>
      </c>
      <c r="K26" s="18" t="n">
        <v>0.51771361</v>
      </c>
      <c r="L26" s="20" t="n">
        <v>0.20160226</v>
      </c>
      <c r="M26" s="18" t="n">
        <v>0</v>
      </c>
      <c r="N26" s="20" t="n">
        <v>0</v>
      </c>
      <c r="O26" s="18" t="n">
        <v>0</v>
      </c>
      <c r="P26" s="20" t="n">
        <v>0</v>
      </c>
      <c r="Q26" s="18" t="n">
        <v>0.1874675</v>
      </c>
      <c r="R26" s="20" t="n">
        <v>0.19466426</v>
      </c>
    </row>
    <row r="27" spans="1:18">
      <c r="A27" s="15" t="s">
        <v>585</v>
      </c>
      <c r="B27" s="17" t="n">
        <v>5299</v>
      </c>
      <c r="C27" s="18">
        <f>(4211.0/B27*100)</f>
        <v/>
      </c>
      <c r="D27" s="19" t="n">
        <v>1088</v>
      </c>
      <c r="E27" s="18" t="n">
        <v>34.06481936</v>
      </c>
      <c r="F27" s="20" t="n">
        <v>1.39215902</v>
      </c>
      <c r="G27" s="18" t="n">
        <v>63.72405921</v>
      </c>
      <c r="H27" s="20" t="n">
        <v>1.3435676</v>
      </c>
      <c r="I27" s="18" t="n">
        <v>0</v>
      </c>
      <c r="J27" s="20" t="n">
        <v>0</v>
      </c>
      <c r="K27" s="18" t="n">
        <v>1.65878525</v>
      </c>
      <c r="L27" s="20" t="n">
        <v>0.38610424</v>
      </c>
      <c r="M27" s="18" t="n">
        <v>0</v>
      </c>
      <c r="N27" s="20" t="n">
        <v>0</v>
      </c>
      <c r="O27" s="18" t="n">
        <v>0</v>
      </c>
      <c r="P27" s="20" t="n">
        <v>0</v>
      </c>
      <c r="Q27" s="18" t="n">
        <v>0.55233617</v>
      </c>
      <c r="R27" s="20" t="n">
        <v>0.22664249</v>
      </c>
    </row>
    <row r="28" spans="1:18">
      <c r="A28" s="15" t="s">
        <v>586</v>
      </c>
      <c r="B28" s="17" t="n">
        <v>7568</v>
      </c>
      <c r="C28" s="18">
        <f>(6135.0/B28*100)</f>
        <v/>
      </c>
      <c r="D28" s="19" t="n">
        <v>1433</v>
      </c>
      <c r="E28" s="18" t="n">
        <v>30.2167876</v>
      </c>
      <c r="F28" s="20" t="n">
        <v>1.4023814</v>
      </c>
      <c r="G28" s="18" t="n">
        <v>66.84763201</v>
      </c>
      <c r="H28" s="20" t="n">
        <v>1.45715</v>
      </c>
      <c r="I28" s="18" t="n">
        <v>0</v>
      </c>
      <c r="J28" s="20" t="n">
        <v>0</v>
      </c>
      <c r="K28" s="18" t="n">
        <v>1.83080251</v>
      </c>
      <c r="L28" s="20" t="n">
        <v>0.42142955</v>
      </c>
      <c r="M28" s="18" t="n">
        <v>0</v>
      </c>
      <c r="N28" s="20" t="n">
        <v>0</v>
      </c>
      <c r="O28" s="18" t="n">
        <v>0</v>
      </c>
      <c r="P28" s="20" t="n">
        <v>0</v>
      </c>
      <c r="Q28" s="18" t="n">
        <v>1.10477787</v>
      </c>
      <c r="R28" s="20" t="n">
        <v>0.29417572</v>
      </c>
    </row>
    <row r="29" spans="1:18">
      <c r="A29" s="15" t="s">
        <v>587</v>
      </c>
      <c r="B29" s="17" t="n">
        <v>5385</v>
      </c>
      <c r="C29" s="18">
        <f>(4197.0/B29*100)</f>
        <v/>
      </c>
      <c r="D29" s="19" t="n">
        <v>1188</v>
      </c>
      <c r="E29" s="18" t="n">
        <v>15.33971989</v>
      </c>
      <c r="F29" s="20" t="n">
        <v>1.00120784</v>
      </c>
      <c r="G29" s="18" t="n">
        <v>83.67293309999999</v>
      </c>
      <c r="H29" s="20" t="n">
        <v>1.05162011</v>
      </c>
      <c r="I29" s="18" t="n">
        <v>0</v>
      </c>
      <c r="J29" s="20" t="n">
        <v>0</v>
      </c>
      <c r="K29" s="18" t="n">
        <v>0.63196155</v>
      </c>
      <c r="L29" s="20" t="n">
        <v>0.25624958</v>
      </c>
      <c r="M29" s="18" t="n">
        <v>0</v>
      </c>
      <c r="N29" s="20" t="n">
        <v>0</v>
      </c>
      <c r="O29" s="18" t="n">
        <v>0</v>
      </c>
      <c r="P29" s="20" t="n">
        <v>0</v>
      </c>
      <c r="Q29" s="18" t="n">
        <v>0.35538546</v>
      </c>
      <c r="R29" s="20" t="n">
        <v>0.10937707</v>
      </c>
    </row>
    <row r="30" spans="1:18">
      <c r="A30" s="15" t="s">
        <v>588</v>
      </c>
      <c r="B30" s="17" t="n">
        <v>4520</v>
      </c>
      <c r="C30" s="18">
        <f>(3565.0/B30*100)</f>
        <v/>
      </c>
      <c r="D30" s="19" t="n">
        <v>955</v>
      </c>
      <c r="E30" s="18" t="n">
        <v>14.37679783</v>
      </c>
      <c r="F30" s="20" t="n">
        <v>1.01115141</v>
      </c>
      <c r="G30" s="18" t="n">
        <v>83.25982239</v>
      </c>
      <c r="H30" s="20" t="n">
        <v>1.09051358</v>
      </c>
      <c r="I30" s="18" t="n">
        <v>0</v>
      </c>
      <c r="J30" s="20" t="n">
        <v>0</v>
      </c>
      <c r="K30" s="18" t="n">
        <v>1.46772094</v>
      </c>
      <c r="L30" s="20" t="n">
        <v>0.41440627</v>
      </c>
      <c r="M30" s="18" t="n">
        <v>0</v>
      </c>
      <c r="N30" s="20" t="n">
        <v>0</v>
      </c>
      <c r="O30" s="18" t="n">
        <v>0</v>
      </c>
      <c r="P30" s="20" t="n">
        <v>0</v>
      </c>
      <c r="Q30" s="18" t="n">
        <v>0.89565884</v>
      </c>
      <c r="R30" s="20" t="n">
        <v>0.3241286</v>
      </c>
    </row>
    <row r="31" spans="1:18">
      <c r="A31" s="15" t="s">
        <v>589</v>
      </c>
      <c r="B31" s="17" t="n">
        <v>5456</v>
      </c>
      <c r="C31" s="18">
        <f>(4257.0/B31*100)</f>
        <v/>
      </c>
      <c r="D31" s="19" t="n">
        <v>1199</v>
      </c>
      <c r="E31" s="18" t="n">
        <v>20.31836982</v>
      </c>
      <c r="F31" s="20" t="n">
        <v>1.13095932</v>
      </c>
      <c r="G31" s="18" t="n">
        <v>76.26025054</v>
      </c>
      <c r="H31" s="20" t="n">
        <v>1.23764968</v>
      </c>
      <c r="I31" s="18" t="n">
        <v>0</v>
      </c>
      <c r="J31" s="20" t="n">
        <v>0</v>
      </c>
      <c r="K31" s="18" t="n">
        <v>2.62218833</v>
      </c>
      <c r="L31" s="20" t="n">
        <v>0.48300456</v>
      </c>
      <c r="M31" s="18" t="n">
        <v>0</v>
      </c>
      <c r="N31" s="20" t="n">
        <v>0</v>
      </c>
      <c r="O31" s="18" t="n">
        <v>0</v>
      </c>
      <c r="P31" s="20" t="n">
        <v>0</v>
      </c>
      <c r="Q31" s="18" t="n">
        <v>0.79919131</v>
      </c>
      <c r="R31" s="20" t="n">
        <v>0.23127796</v>
      </c>
    </row>
    <row r="32" spans="1:18">
      <c r="A32" s="15" t="s">
        <v>590</v>
      </c>
      <c r="B32" s="17" t="n">
        <v>4478</v>
      </c>
      <c r="C32" s="18">
        <f>(3501.0/B32*100)</f>
        <v/>
      </c>
      <c r="D32" s="19" t="n">
        <v>977</v>
      </c>
      <c r="E32" s="18" t="n">
        <v>23.07139612</v>
      </c>
      <c r="F32" s="20" t="n">
        <v>1.28590829</v>
      </c>
      <c r="G32" s="18" t="n">
        <v>76.00093227000001</v>
      </c>
      <c r="H32" s="20" t="n">
        <v>1.25873956</v>
      </c>
      <c r="I32" s="18" t="n">
        <v>0</v>
      </c>
      <c r="J32" s="20" t="n">
        <v>0</v>
      </c>
      <c r="K32" s="18" t="n">
        <v>0.6363383</v>
      </c>
      <c r="L32" s="20" t="n">
        <v>0.24295906</v>
      </c>
      <c r="M32" s="18" t="n">
        <v>0</v>
      </c>
      <c r="N32" s="20" t="n">
        <v>0</v>
      </c>
      <c r="O32" s="18" t="n">
        <v>0</v>
      </c>
      <c r="P32" s="20" t="n">
        <v>0</v>
      </c>
      <c r="Q32" s="18" t="n">
        <v>0.29133331</v>
      </c>
      <c r="R32" s="20" t="n">
        <v>0.16924864</v>
      </c>
    </row>
    <row r="33" spans="1:18">
      <c r="A33" s="15" t="s">
        <v>591</v>
      </c>
      <c r="B33" s="17" t="n">
        <v>7325</v>
      </c>
      <c r="C33" s="18">
        <f>(5925.0/B33*100)</f>
        <v/>
      </c>
      <c r="D33" s="19" t="n">
        <v>1400</v>
      </c>
      <c r="E33" s="18" t="n">
        <v>28.40038603</v>
      </c>
      <c r="F33" s="20" t="n">
        <v>1.72214573</v>
      </c>
      <c r="G33" s="18" t="n">
        <v>69.80220605</v>
      </c>
      <c r="H33" s="20" t="n">
        <v>1.63730195</v>
      </c>
      <c r="I33" s="18" t="n">
        <v>0</v>
      </c>
      <c r="J33" s="20" t="n">
        <v>0</v>
      </c>
      <c r="K33" s="18" t="n">
        <v>1.16722067</v>
      </c>
      <c r="L33" s="20" t="n">
        <v>0.39002985</v>
      </c>
      <c r="M33" s="18" t="n">
        <v>0</v>
      </c>
      <c r="N33" s="20" t="n">
        <v>0</v>
      </c>
      <c r="O33" s="18" t="n">
        <v>0</v>
      </c>
      <c r="P33" s="20" t="n">
        <v>0</v>
      </c>
      <c r="Q33" s="18" t="n">
        <v>0.63018725</v>
      </c>
      <c r="R33" s="20" t="n">
        <v>0.21804387</v>
      </c>
    </row>
    <row r="34" spans="1:18">
      <c r="A34" s="15" t="s">
        <v>592</v>
      </c>
      <c r="B34" s="17" t="n">
        <v>6350</v>
      </c>
      <c r="C34" s="18">
        <f>(4996.0/B34*100)</f>
        <v/>
      </c>
      <c r="D34" s="19" t="n">
        <v>1354</v>
      </c>
      <c r="E34" s="18" t="n">
        <v>29.78041099</v>
      </c>
      <c r="F34" s="20" t="n">
        <v>1.49322968</v>
      </c>
      <c r="G34" s="18" t="n">
        <v>66.52477956</v>
      </c>
      <c r="H34" s="20" t="n">
        <v>1.56471772</v>
      </c>
      <c r="I34" s="18" t="n">
        <v>0</v>
      </c>
      <c r="J34" s="20" t="n">
        <v>0</v>
      </c>
      <c r="K34" s="18" t="n">
        <v>1.2170542</v>
      </c>
      <c r="L34" s="20" t="n">
        <v>0.29353397</v>
      </c>
      <c r="M34" s="18" t="n">
        <v>0</v>
      </c>
      <c r="N34" s="20" t="n">
        <v>0</v>
      </c>
      <c r="O34" s="18" t="n">
        <v>0</v>
      </c>
      <c r="P34" s="20" t="n">
        <v>0</v>
      </c>
      <c r="Q34" s="18" t="n">
        <v>2.47775525</v>
      </c>
      <c r="R34" s="20" t="n">
        <v>0.49755358</v>
      </c>
    </row>
    <row r="35" spans="1:18">
      <c r="A35" s="15" t="s">
        <v>593</v>
      </c>
      <c r="B35" s="17" t="n">
        <v>6406</v>
      </c>
      <c r="C35" s="18">
        <f>(5043.0/B35*100)</f>
        <v/>
      </c>
      <c r="D35" s="19" t="n">
        <v>1363</v>
      </c>
      <c r="E35" s="18" t="n">
        <v>26.48082357</v>
      </c>
      <c r="F35" s="20" t="n">
        <v>1.3186764</v>
      </c>
      <c r="G35" s="18" t="n">
        <v>72.0222775</v>
      </c>
      <c r="H35" s="20" t="n">
        <v>1.34467305</v>
      </c>
      <c r="I35" s="18" t="n">
        <v>0</v>
      </c>
      <c r="J35" s="20" t="n">
        <v>0</v>
      </c>
      <c r="K35" s="18" t="n">
        <v>1.13797236</v>
      </c>
      <c r="L35" s="20" t="n">
        <v>0.44922522</v>
      </c>
      <c r="M35" s="18" t="n">
        <v>0</v>
      </c>
      <c r="N35" s="20" t="n">
        <v>0</v>
      </c>
      <c r="O35" s="18" t="n">
        <v>0</v>
      </c>
      <c r="P35" s="20" t="n">
        <v>0</v>
      </c>
      <c r="Q35" s="18" t="n">
        <v>0.35892657</v>
      </c>
      <c r="R35" s="20" t="n">
        <v>0.14549424</v>
      </c>
    </row>
    <row r="36" spans="1:18">
      <c r="A36" s="15" t="s">
        <v>594</v>
      </c>
      <c r="B36" s="17" t="n">
        <v>6736</v>
      </c>
      <c r="C36" s="18">
        <f>(5345.0/B36*100)</f>
        <v/>
      </c>
      <c r="D36" s="19" t="n">
        <v>1391</v>
      </c>
      <c r="E36" s="18" t="n">
        <v>26.09710836</v>
      </c>
      <c r="F36" s="20" t="n">
        <v>1.16458677</v>
      </c>
      <c r="G36" s="18" t="n">
        <v>71.52686407</v>
      </c>
      <c r="H36" s="20" t="n">
        <v>1.17653301</v>
      </c>
      <c r="I36" s="18" t="n">
        <v>0</v>
      </c>
      <c r="J36" s="20" t="n">
        <v>0</v>
      </c>
      <c r="K36" s="18" t="n">
        <v>1.30424909</v>
      </c>
      <c r="L36" s="20" t="n">
        <v>0.28850863</v>
      </c>
      <c r="M36" s="18" t="n">
        <v>0</v>
      </c>
      <c r="N36" s="20" t="n">
        <v>0</v>
      </c>
      <c r="O36" s="18" t="n">
        <v>0</v>
      </c>
      <c r="P36" s="20" t="n">
        <v>0</v>
      </c>
      <c r="Q36" s="18" t="n">
        <v>1.07177847</v>
      </c>
      <c r="R36" s="20" t="n">
        <v>0.27653918</v>
      </c>
    </row>
    <row r="37" spans="1:18">
      <c r="A37" s="15" t="s">
        <v>595</v>
      </c>
      <c r="B37" s="17" t="n">
        <v>5458</v>
      </c>
      <c r="C37" s="18">
        <f>(4338.0/B37*100)</f>
        <v/>
      </c>
      <c r="D37" s="19" t="n">
        <v>1120</v>
      </c>
      <c r="E37" s="18" t="n">
        <v>21.09692904</v>
      </c>
      <c r="F37" s="20" t="n">
        <v>1.30368329</v>
      </c>
      <c r="G37" s="18" t="n">
        <v>73.60225285</v>
      </c>
      <c r="H37" s="20" t="n">
        <v>1.5427763</v>
      </c>
      <c r="I37" s="18" t="n">
        <v>0</v>
      </c>
      <c r="J37" s="20" t="n">
        <v>0</v>
      </c>
      <c r="K37" s="18" t="n">
        <v>3.85985045</v>
      </c>
      <c r="L37" s="20" t="n">
        <v>0.60463732</v>
      </c>
      <c r="M37" s="18" t="n">
        <v>0</v>
      </c>
      <c r="N37" s="20" t="n">
        <v>0</v>
      </c>
      <c r="O37" s="18" t="n">
        <v>0</v>
      </c>
      <c r="P37" s="20" t="n">
        <v>0</v>
      </c>
      <c r="Q37" s="18" t="n">
        <v>1.44096766</v>
      </c>
      <c r="R37" s="20" t="n">
        <v>0.28629479</v>
      </c>
    </row>
    <row r="38" spans="1:18">
      <c r="A38" s="15" t="s">
        <v>596</v>
      </c>
      <c r="B38" s="17" t="n">
        <v>5860</v>
      </c>
      <c r="C38" s="18">
        <f>(4672.0/B38*100)</f>
        <v/>
      </c>
      <c r="D38" s="19" t="n">
        <v>1188</v>
      </c>
      <c r="E38" s="18" t="n">
        <v>21.01695081</v>
      </c>
      <c r="F38" s="20" t="n">
        <v>1.40159273</v>
      </c>
      <c r="G38" s="18" t="n">
        <v>77.04839271</v>
      </c>
      <c r="H38" s="20" t="n">
        <v>1.35472123</v>
      </c>
      <c r="I38" s="18" t="n">
        <v>0</v>
      </c>
      <c r="J38" s="20" t="n">
        <v>0</v>
      </c>
      <c r="K38" s="18" t="n">
        <v>1.35947267</v>
      </c>
      <c r="L38" s="20" t="n">
        <v>0.38153866</v>
      </c>
      <c r="M38" s="18" t="n">
        <v>0</v>
      </c>
      <c r="N38" s="20" t="n">
        <v>0</v>
      </c>
      <c r="O38" s="18" t="n">
        <v>0</v>
      </c>
      <c r="P38" s="20" t="n">
        <v>0</v>
      </c>
      <c r="Q38" s="18" t="n">
        <v>0.57518381</v>
      </c>
      <c r="R38" s="20" t="n">
        <v>0.2326278</v>
      </c>
    </row>
    <row r="39" spans="1:18">
      <c r="A39" s="15" t="s">
        <v>597</v>
      </c>
      <c r="B39" s="17" t="n">
        <v>5895</v>
      </c>
      <c r="C39" s="18">
        <f>(4570.0/B39*100)</f>
        <v/>
      </c>
      <c r="D39" s="19" t="n">
        <v>1325</v>
      </c>
      <c r="E39" s="18" t="n">
        <v>44.36985073</v>
      </c>
      <c r="F39" s="20" t="n">
        <v>1.56198997</v>
      </c>
      <c r="G39" s="18" t="n">
        <v>53.00230164</v>
      </c>
      <c r="H39" s="20" t="n">
        <v>1.58635848</v>
      </c>
      <c r="I39" s="18" t="n">
        <v>0</v>
      </c>
      <c r="J39" s="20" t="n">
        <v>0</v>
      </c>
      <c r="K39" s="18" t="n">
        <v>0.64955485</v>
      </c>
      <c r="L39" s="20" t="n">
        <v>0.19635782</v>
      </c>
      <c r="M39" s="18" t="n">
        <v>0</v>
      </c>
      <c r="N39" s="20" t="n">
        <v>0</v>
      </c>
      <c r="O39" s="18" t="n">
        <v>0</v>
      </c>
      <c r="P39" s="20" t="n">
        <v>0</v>
      </c>
      <c r="Q39" s="18" t="n">
        <v>1.97829278</v>
      </c>
      <c r="R39" s="20" t="n">
        <v>0.40216023</v>
      </c>
    </row>
    <row r="40" spans="1:18">
      <c r="A40" s="15" t="s">
        <v>598</v>
      </c>
      <c r="B40" s="17" t="n">
        <v>14157</v>
      </c>
      <c r="C40" s="18">
        <f>(11068.0/B40*100)</f>
        <v/>
      </c>
      <c r="D40" s="19" t="n">
        <v>3089</v>
      </c>
      <c r="E40" s="18" t="n">
        <v>21.07250597</v>
      </c>
      <c r="F40" s="20" t="n">
        <v>1.34335453</v>
      </c>
      <c r="G40" s="18" t="n">
        <v>77.56043649</v>
      </c>
      <c r="H40" s="20" t="n">
        <v>1.34446059</v>
      </c>
      <c r="I40" s="18" t="n">
        <v>0</v>
      </c>
      <c r="J40" s="20" t="n">
        <v>0</v>
      </c>
      <c r="K40" s="18" t="n">
        <v>1.0995133</v>
      </c>
      <c r="L40" s="20" t="n">
        <v>0.27171311</v>
      </c>
      <c r="M40" s="18" t="n">
        <v>0</v>
      </c>
      <c r="N40" s="20" t="n">
        <v>0</v>
      </c>
      <c r="O40" s="18" t="n">
        <v>0</v>
      </c>
      <c r="P40" s="20" t="n">
        <v>0</v>
      </c>
      <c r="Q40" s="18" t="n">
        <v>0.26754424</v>
      </c>
      <c r="R40" s="20" t="n">
        <v>0.13093461</v>
      </c>
    </row>
    <row r="41" spans="1:18">
      <c r="A41" s="15" t="s">
        <v>599</v>
      </c>
      <c r="B41" s="17" t="n">
        <v>5712</v>
      </c>
      <c r="C41" s="18">
        <f>(4535.0/B41*100)</f>
        <v/>
      </c>
      <c r="D41" s="19" t="n">
        <v>1177</v>
      </c>
      <c r="E41" s="18" t="n">
        <v>19.52852179</v>
      </c>
      <c r="F41" s="20" t="n">
        <v>1.22549972</v>
      </c>
      <c r="G41" s="18" t="n">
        <v>79.45495658999999</v>
      </c>
      <c r="H41" s="20" t="n">
        <v>1.30632685</v>
      </c>
      <c r="I41" s="18" t="n">
        <v>0</v>
      </c>
      <c r="J41" s="20" t="n">
        <v>0</v>
      </c>
      <c r="K41" s="18" t="n">
        <v>0.48380186</v>
      </c>
      <c r="L41" s="20" t="n">
        <v>0.18624454</v>
      </c>
      <c r="M41" s="18" t="n">
        <v>0</v>
      </c>
      <c r="N41" s="20" t="n">
        <v>0</v>
      </c>
      <c r="O41" s="18" t="n">
        <v>0</v>
      </c>
      <c r="P41" s="20" t="n">
        <v>0</v>
      </c>
      <c r="Q41" s="18" t="n">
        <v>0.53271976</v>
      </c>
      <c r="R41" s="20" t="n">
        <v>0.21316099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(19763.0/B46*100)</f>
        <v/>
      </c>
      <c r="D46" s="19" t="n">
        <v>3378</v>
      </c>
      <c r="E46" s="18" t="n">
        <v>37.62067856</v>
      </c>
      <c r="F46" s="20" t="n">
        <v>1.06352892</v>
      </c>
      <c r="G46" s="18" t="n">
        <v>51.75018611</v>
      </c>
      <c r="H46" s="20" t="n">
        <v>1.18552683</v>
      </c>
      <c r="I46" s="18" t="n">
        <v>0</v>
      </c>
      <c r="J46" s="20" t="n">
        <v>0</v>
      </c>
      <c r="K46" s="18" t="n">
        <v>4.43038918</v>
      </c>
      <c r="L46" s="20" t="n">
        <v>0.58541121</v>
      </c>
      <c r="M46" s="18" t="n">
        <v>0</v>
      </c>
      <c r="N46" s="20" t="n">
        <v>0</v>
      </c>
      <c r="O46" s="18" t="n">
        <v>0</v>
      </c>
      <c r="P46" s="20" t="n">
        <v>0</v>
      </c>
      <c r="Q46" s="18" t="n">
        <v>6.19874615</v>
      </c>
      <c r="R46" s="20" t="n">
        <v>0.45349299</v>
      </c>
    </row>
    <row r="47" spans="1:18">
      <c r="A47" s="15" t="s">
        <v>606</v>
      </c>
      <c r="B47" s="17" t="n">
        <v>5928</v>
      </c>
      <c r="C47" s="18">
        <f>(4681.0/B47*100)</f>
        <v/>
      </c>
      <c r="D47" s="19" t="n">
        <v>1247</v>
      </c>
      <c r="E47" s="18" t="n">
        <v>35.05440353</v>
      </c>
      <c r="F47" s="20" t="n">
        <v>1.67694464</v>
      </c>
      <c r="G47" s="18" t="n">
        <v>59.28735597</v>
      </c>
      <c r="H47" s="20" t="n">
        <v>1.94597534</v>
      </c>
      <c r="I47" s="18" t="n">
        <v>0</v>
      </c>
      <c r="J47" s="20" t="n">
        <v>0</v>
      </c>
      <c r="K47" s="18" t="n">
        <v>1.94627921</v>
      </c>
      <c r="L47" s="20" t="n">
        <v>0.44535564</v>
      </c>
      <c r="M47" s="18" t="n">
        <v>0</v>
      </c>
      <c r="N47" s="20" t="n">
        <v>0</v>
      </c>
      <c r="O47" s="18" t="n">
        <v>0</v>
      </c>
      <c r="P47" s="20" t="n">
        <v>0</v>
      </c>
      <c r="Q47" s="18" t="n">
        <v>3.7119613</v>
      </c>
      <c r="R47" s="20" t="n">
        <v>0.56750533</v>
      </c>
    </row>
    <row r="48" spans="1:18">
      <c r="A48" s="15" t="s">
        <v>607</v>
      </c>
      <c r="B48" s="17" t="n">
        <v>9841</v>
      </c>
      <c r="C48" s="18">
        <f>(7693.0/B48*100)</f>
        <v/>
      </c>
      <c r="D48" s="19" t="n">
        <v>2148</v>
      </c>
      <c r="E48" s="18" t="n">
        <v>18.76055737</v>
      </c>
      <c r="F48" s="20" t="n">
        <v>1.15432236</v>
      </c>
      <c r="G48" s="18" t="n">
        <v>79.37119033</v>
      </c>
      <c r="H48" s="20" t="n">
        <v>1.17039221</v>
      </c>
      <c r="I48" s="18" t="n">
        <v>0</v>
      </c>
      <c r="J48" s="20" t="n">
        <v>0</v>
      </c>
      <c r="K48" s="18" t="n">
        <v>0.97842375</v>
      </c>
      <c r="L48" s="20" t="n">
        <v>0.3905173</v>
      </c>
      <c r="M48" s="18" t="n">
        <v>0</v>
      </c>
      <c r="N48" s="20" t="n">
        <v>0</v>
      </c>
      <c r="O48" s="18" t="n">
        <v>0</v>
      </c>
      <c r="P48" s="20" t="n">
        <v>0</v>
      </c>
      <c r="Q48" s="18" t="n">
        <v>0.8898285500000001</v>
      </c>
      <c r="R48" s="20" t="n">
        <v>0.21309957</v>
      </c>
    </row>
    <row r="49" spans="1:18">
      <c r="A49" s="15" t="s">
        <v>608</v>
      </c>
      <c r="B49" s="17" t="n">
        <v>11795</v>
      </c>
      <c r="C49" s="18">
        <f>(9429.0/B49*100)</f>
        <v/>
      </c>
      <c r="D49" s="19" t="n">
        <v>2366</v>
      </c>
      <c r="E49" s="18" t="n">
        <v>31.11667321</v>
      </c>
      <c r="F49" s="20" t="n">
        <v>1.32904409</v>
      </c>
      <c r="G49" s="18" t="n">
        <v>60.00224745</v>
      </c>
      <c r="H49" s="20" t="n">
        <v>1.61014005</v>
      </c>
      <c r="I49" s="18" t="n">
        <v>0</v>
      </c>
      <c r="J49" s="20" t="n">
        <v>0</v>
      </c>
      <c r="K49" s="18" t="n">
        <v>3.2672712</v>
      </c>
      <c r="L49" s="20" t="n">
        <v>0.4873576</v>
      </c>
      <c r="M49" s="18" t="n">
        <v>0</v>
      </c>
      <c r="N49" s="20" t="n">
        <v>0</v>
      </c>
      <c r="O49" s="18" t="n">
        <v>0</v>
      </c>
      <c r="P49" s="20" t="n">
        <v>0</v>
      </c>
      <c r="Q49" s="18" t="n">
        <v>5.61380813</v>
      </c>
      <c r="R49" s="20" t="n">
        <v>0.70953086</v>
      </c>
    </row>
    <row r="50" spans="1:18">
      <c r="A50" s="15" t="s">
        <v>609</v>
      </c>
      <c r="B50" s="17" t="n">
        <v>6866</v>
      </c>
      <c r="C50" s="18">
        <f>(5687.0/B50*100)</f>
        <v/>
      </c>
      <c r="D50" s="19" t="n">
        <v>1179</v>
      </c>
      <c r="E50" s="18" t="n">
        <v>24.70043244</v>
      </c>
      <c r="F50" s="20" t="n">
        <v>1.45746389</v>
      </c>
      <c r="G50" s="18" t="n">
        <v>71.89794587999999</v>
      </c>
      <c r="H50" s="20" t="n">
        <v>1.51931382</v>
      </c>
      <c r="I50" s="18" t="n">
        <v>0</v>
      </c>
      <c r="J50" s="20" t="n">
        <v>0</v>
      </c>
      <c r="K50" s="18" t="n">
        <v>1.76730918</v>
      </c>
      <c r="L50" s="20" t="n">
        <v>0.54238549</v>
      </c>
      <c r="M50" s="18" t="n">
        <v>0</v>
      </c>
      <c r="N50" s="20" t="n">
        <v>0</v>
      </c>
      <c r="O50" s="18" t="n">
        <v>0</v>
      </c>
      <c r="P50" s="20" t="n">
        <v>0</v>
      </c>
      <c r="Q50" s="18" t="n">
        <v>1.6343125</v>
      </c>
      <c r="R50" s="20" t="n">
        <v>0.39529655</v>
      </c>
    </row>
    <row r="51" spans="1:18">
      <c r="A51" s="15" t="s">
        <v>610</v>
      </c>
      <c r="B51" s="17" t="n">
        <v>5809</v>
      </c>
      <c r="C51" s="18">
        <f>(4600.0/B51*100)</f>
        <v/>
      </c>
      <c r="D51" s="19" t="n">
        <v>1209</v>
      </c>
      <c r="E51" s="18" t="n">
        <v>17.30609544</v>
      </c>
      <c r="F51" s="20" t="n">
        <v>1.31128265</v>
      </c>
      <c r="G51" s="18" t="n">
        <v>81.14270165000001</v>
      </c>
      <c r="H51" s="20" t="n">
        <v>1.24454845</v>
      </c>
      <c r="I51" s="18" t="n">
        <v>0</v>
      </c>
      <c r="J51" s="20" t="n">
        <v>0</v>
      </c>
      <c r="K51" s="18" t="n">
        <v>0.64859128</v>
      </c>
      <c r="L51" s="20" t="n">
        <v>0.25198922</v>
      </c>
      <c r="M51" s="18" t="n">
        <v>0</v>
      </c>
      <c r="N51" s="20" t="n">
        <v>0</v>
      </c>
      <c r="O51" s="18" t="n">
        <v>0</v>
      </c>
      <c r="P51" s="20" t="n">
        <v>0</v>
      </c>
      <c r="Q51" s="18" t="n">
        <v>0.90261164</v>
      </c>
      <c r="R51" s="20" t="n">
        <v>0.27653996</v>
      </c>
    </row>
    <row r="52" spans="1:18">
      <c r="A52" s="15" t="s">
        <v>611</v>
      </c>
      <c r="B52" s="17" t="n">
        <v>5571</v>
      </c>
      <c r="C52" s="18">
        <f>(4425.0/B52*100)</f>
        <v/>
      </c>
      <c r="D52" s="19" t="n">
        <v>1146</v>
      </c>
      <c r="E52" s="18" t="n">
        <v>41.84918677</v>
      </c>
      <c r="F52" s="20" t="n">
        <v>1.65714288</v>
      </c>
      <c r="G52" s="18" t="n">
        <v>55.21065586</v>
      </c>
      <c r="H52" s="20" t="n">
        <v>1.61767958</v>
      </c>
      <c r="I52" s="18" t="n">
        <v>0</v>
      </c>
      <c r="J52" s="20" t="n">
        <v>0</v>
      </c>
      <c r="K52" s="18" t="n">
        <v>1.53207699</v>
      </c>
      <c r="L52" s="20" t="n">
        <v>0.34399956</v>
      </c>
      <c r="M52" s="18" t="n">
        <v>0</v>
      </c>
      <c r="N52" s="20" t="n">
        <v>0</v>
      </c>
      <c r="O52" s="18" t="n">
        <v>0</v>
      </c>
      <c r="P52" s="20" t="n">
        <v>0</v>
      </c>
      <c r="Q52" s="18" t="n">
        <v>1.40808038</v>
      </c>
      <c r="R52" s="20" t="n">
        <v>0.33853876</v>
      </c>
    </row>
    <row r="53" spans="1:18">
      <c r="A53" s="15" t="s">
        <v>612</v>
      </c>
      <c r="B53" s="17" t="n">
        <v>4740</v>
      </c>
      <c r="C53" s="18">
        <f>(3678.0/B53*100)</f>
        <v/>
      </c>
      <c r="D53" s="19" t="n">
        <v>1062</v>
      </c>
      <c r="E53" s="18" t="n">
        <v>29.28966289</v>
      </c>
      <c r="F53" s="20" t="n">
        <v>1.47885383</v>
      </c>
      <c r="G53" s="18" t="n">
        <v>30.87662569</v>
      </c>
      <c r="H53" s="20" t="n">
        <v>1.35123329</v>
      </c>
      <c r="I53" s="18" t="n">
        <v>0</v>
      </c>
      <c r="J53" s="20" t="n">
        <v>0</v>
      </c>
      <c r="K53" s="18" t="n">
        <v>28.6799729</v>
      </c>
      <c r="L53" s="20" t="n">
        <v>1.65435248</v>
      </c>
      <c r="M53" s="18" t="n">
        <v>0</v>
      </c>
      <c r="N53" s="20" t="n">
        <v>0</v>
      </c>
      <c r="O53" s="18" t="n">
        <v>0</v>
      </c>
      <c r="P53" s="20" t="n">
        <v>0</v>
      </c>
      <c r="Q53" s="18" t="n">
        <v>11.15373852</v>
      </c>
      <c r="R53" s="20" t="n">
        <v>1.18313245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(4191.0/B55*100)</f>
        <v/>
      </c>
      <c r="D55" s="19" t="n">
        <v>1168</v>
      </c>
      <c r="E55" s="18" t="n">
        <v>11.20087579</v>
      </c>
      <c r="F55" s="20" t="n">
        <v>1.0631046</v>
      </c>
      <c r="G55" s="18" t="n">
        <v>87.98316865</v>
      </c>
      <c r="H55" s="20" t="n">
        <v>1.1263456</v>
      </c>
      <c r="I55" s="18" t="n">
        <v>0</v>
      </c>
      <c r="J55" s="20" t="n">
        <v>0</v>
      </c>
      <c r="K55" s="18" t="n">
        <v>0.51377255</v>
      </c>
      <c r="L55" s="20" t="n">
        <v>0.24188855</v>
      </c>
      <c r="M55" s="18" t="n">
        <v>0</v>
      </c>
      <c r="N55" s="20" t="n">
        <v>0</v>
      </c>
      <c r="O55" s="18" t="n">
        <v>0</v>
      </c>
      <c r="P55" s="20" t="n">
        <v>0</v>
      </c>
      <c r="Q55" s="18" t="n">
        <v>0.30218301</v>
      </c>
      <c r="R55" s="20" t="n">
        <v>0.14949114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(5101.0/B61*100)</f>
        <v/>
      </c>
      <c r="D61" s="19" t="n">
        <v>1424</v>
      </c>
      <c r="E61" s="18" t="n">
        <v>30.40594713</v>
      </c>
      <c r="F61" s="20" t="n">
        <v>1.32039969</v>
      </c>
      <c r="G61" s="18" t="n">
        <v>68.06742772</v>
      </c>
      <c r="H61" s="20" t="n">
        <v>1.30773711</v>
      </c>
      <c r="I61" s="18" t="n">
        <v>0</v>
      </c>
      <c r="J61" s="20" t="n">
        <v>0</v>
      </c>
      <c r="K61" s="18" t="n">
        <v>0.81697376</v>
      </c>
      <c r="L61" s="20" t="n">
        <v>0.30013301</v>
      </c>
      <c r="M61" s="18" t="n">
        <v>0</v>
      </c>
      <c r="N61" s="20" t="n">
        <v>0</v>
      </c>
      <c r="O61" s="18" t="n">
        <v>0</v>
      </c>
      <c r="P61" s="20" t="n">
        <v>0</v>
      </c>
      <c r="Q61" s="18" t="n">
        <v>0.7096513800000001</v>
      </c>
      <c r="R61" s="20" t="n">
        <v>0.22036607</v>
      </c>
    </row>
    <row r="62" spans="1:18">
      <c r="A62" s="15" t="s">
        <v>622</v>
      </c>
      <c r="B62" s="17" t="n">
        <v>4476</v>
      </c>
      <c r="C62" s="18">
        <f>(3562.0/B62*100)</f>
        <v/>
      </c>
      <c r="D62" s="19" t="n">
        <v>914</v>
      </c>
      <c r="E62" s="18" t="n">
        <v>15.41728823</v>
      </c>
      <c r="F62" s="20" t="n">
        <v>1.46548878</v>
      </c>
      <c r="G62" s="18" t="n">
        <v>84.47022877000001</v>
      </c>
      <c r="H62" s="20" t="n">
        <v>1.455981</v>
      </c>
      <c r="I62" s="18" t="n">
        <v>0</v>
      </c>
      <c r="J62" s="20" t="n">
        <v>0</v>
      </c>
      <c r="K62" s="18" t="n">
        <v>0.112483</v>
      </c>
      <c r="L62" s="20" t="n">
        <v>0.11270142</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(4475.0/B67*100)</f>
        <v/>
      </c>
      <c r="D67" s="19" t="n">
        <v>1190</v>
      </c>
      <c r="E67" s="18" t="n">
        <v>30.29128815</v>
      </c>
      <c r="F67" s="20" t="n">
        <v>1.39876071</v>
      </c>
      <c r="G67" s="18" t="n">
        <v>59.34946807</v>
      </c>
      <c r="H67" s="20" t="n">
        <v>1.42220138</v>
      </c>
      <c r="I67" s="18" t="n">
        <v>0</v>
      </c>
      <c r="J67" s="20" t="n">
        <v>0</v>
      </c>
      <c r="K67" s="18" t="n">
        <v>2.28299484</v>
      </c>
      <c r="L67" s="20" t="n">
        <v>0.42930511</v>
      </c>
      <c r="M67" s="18" t="n">
        <v>0</v>
      </c>
      <c r="N67" s="20" t="n">
        <v>0</v>
      </c>
      <c r="O67" s="18" t="n">
        <v>0</v>
      </c>
      <c r="P67" s="20" t="n">
        <v>0</v>
      </c>
      <c r="Q67" s="18" t="n">
        <v>8.07624895</v>
      </c>
      <c r="R67" s="20" t="n">
        <v>0.74260097</v>
      </c>
    </row>
    <row r="68" spans="1:18">
      <c r="A68" s="15" t="s">
        <v>628</v>
      </c>
      <c r="B68" s="17" t="n">
        <v>6971</v>
      </c>
      <c r="C68" s="18">
        <f>(5757.0/B68*100)</f>
        <v/>
      </c>
      <c r="D68" s="19" t="n">
        <v>1214</v>
      </c>
      <c r="E68" s="18" t="n">
        <v>31.27094593</v>
      </c>
      <c r="F68" s="20" t="n">
        <v>1.53917837</v>
      </c>
      <c r="G68" s="18" t="n">
        <v>64.81428627</v>
      </c>
      <c r="H68" s="20" t="n">
        <v>1.59522577</v>
      </c>
      <c r="I68" s="18" t="n">
        <v>0</v>
      </c>
      <c r="J68" s="20" t="n">
        <v>0</v>
      </c>
      <c r="K68" s="18" t="n">
        <v>0.70411967</v>
      </c>
      <c r="L68" s="20" t="n">
        <v>0.23538234</v>
      </c>
      <c r="M68" s="18" t="n">
        <v>0</v>
      </c>
      <c r="N68" s="20" t="n">
        <v>0</v>
      </c>
      <c r="O68" s="18" t="n">
        <v>0</v>
      </c>
      <c r="P68" s="20" t="n">
        <v>0</v>
      </c>
      <c r="Q68" s="18" t="n">
        <v>3.21064813</v>
      </c>
      <c r="R68" s="20" t="n">
        <v>0.65550578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(9417.0/B70*100)</f>
        <v/>
      </c>
      <c r="D70" s="19" t="n">
        <v>2666</v>
      </c>
      <c r="E70" s="18" t="n">
        <v>38.86917249</v>
      </c>
      <c r="F70" s="20" t="n">
        <v>0.9424849199999999</v>
      </c>
      <c r="G70" s="18" t="n">
        <v>51.04894817</v>
      </c>
      <c r="H70" s="20" t="n">
        <v>1.078125</v>
      </c>
      <c r="I70" s="18" t="n">
        <v>0</v>
      </c>
      <c r="J70" s="20" t="n">
        <v>0</v>
      </c>
      <c r="K70" s="18" t="n">
        <v>6.97671171</v>
      </c>
      <c r="L70" s="20" t="n">
        <v>0.42536968</v>
      </c>
      <c r="M70" s="18" t="n">
        <v>0</v>
      </c>
      <c r="N70" s="20" t="n">
        <v>0</v>
      </c>
      <c r="O70" s="18" t="n">
        <v>0</v>
      </c>
      <c r="P70" s="20" t="n">
        <v>0</v>
      </c>
      <c r="Q70" s="18" t="n">
        <v>3.10516763</v>
      </c>
      <c r="R70" s="20" t="n">
        <v>0.34700674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(4841.0/B72*100)</f>
        <v/>
      </c>
      <c r="D72" s="19" t="n">
        <v>1195</v>
      </c>
      <c r="E72" s="18" t="n">
        <v>29.18805289</v>
      </c>
      <c r="F72" s="20" t="n">
        <v>2.03854666</v>
      </c>
      <c r="G72" s="18" t="n">
        <v>68.98992944</v>
      </c>
      <c r="H72" s="20" t="n">
        <v>2.02525869</v>
      </c>
      <c r="I72" s="18" t="n">
        <v>0</v>
      </c>
      <c r="J72" s="20" t="n">
        <v>0</v>
      </c>
      <c r="K72" s="18" t="n">
        <v>1.00887995</v>
      </c>
      <c r="L72" s="20" t="n">
        <v>0.33678079</v>
      </c>
      <c r="M72" s="18" t="n">
        <v>0</v>
      </c>
      <c r="N72" s="20" t="n">
        <v>0</v>
      </c>
      <c r="O72" s="18" t="n">
        <v>0</v>
      </c>
      <c r="P72" s="20" t="n">
        <v>0</v>
      </c>
      <c r="Q72" s="18" t="n">
        <v>0.81313773</v>
      </c>
      <c r="R72" s="20" t="n">
        <v>0.24827545</v>
      </c>
    </row>
    <row r="73" spans="1:18">
      <c r="A73" s="15" t="s">
        <v>633</v>
      </c>
      <c r="B73" s="17" t="n">
        <v>6115</v>
      </c>
      <c r="C73" s="18">
        <f>(4734.0/B73*100)</f>
        <v/>
      </c>
      <c r="D73" s="19" t="n">
        <v>1381</v>
      </c>
      <c r="E73" s="18" t="n">
        <v>13.44577216</v>
      </c>
      <c r="F73" s="20" t="n">
        <v>0.9076236600000001</v>
      </c>
      <c r="G73" s="18" t="n">
        <v>86.21542051</v>
      </c>
      <c r="H73" s="20" t="n">
        <v>0.90478357</v>
      </c>
      <c r="I73" s="18" t="n">
        <v>0</v>
      </c>
      <c r="J73" s="20" t="n">
        <v>0</v>
      </c>
      <c r="K73" s="18" t="n">
        <v>0.26363663</v>
      </c>
      <c r="L73" s="20" t="n">
        <v>0.12292942</v>
      </c>
      <c r="M73" s="18" t="n">
        <v>0</v>
      </c>
      <c r="N73" s="20" t="n">
        <v>0</v>
      </c>
      <c r="O73" s="18" t="n">
        <v>0</v>
      </c>
      <c r="P73" s="20" t="n">
        <v>0</v>
      </c>
      <c r="Q73" s="18" t="n">
        <v>0.07517069999999999</v>
      </c>
      <c r="R73" s="20" t="n">
        <v>0.05632996</v>
      </c>
    </row>
    <row r="74" spans="1:18">
      <c r="A74" s="15" t="s">
        <v>634</v>
      </c>
      <c r="B74" s="17" t="n">
        <v>7708</v>
      </c>
      <c r="C74" s="18">
        <f>(5989.0/B74*100)</f>
        <v/>
      </c>
      <c r="D74" s="19" t="n">
        <v>1719</v>
      </c>
      <c r="E74" s="18" t="n">
        <v>11.4711687</v>
      </c>
      <c r="F74" s="20" t="n">
        <v>0.94197979</v>
      </c>
      <c r="G74" s="18" t="n">
        <v>87.59633771</v>
      </c>
      <c r="H74" s="20" t="n">
        <v>0.96422667</v>
      </c>
      <c r="I74" s="18" t="n">
        <v>0</v>
      </c>
      <c r="J74" s="20" t="n">
        <v>0</v>
      </c>
      <c r="K74" s="18" t="n">
        <v>0.43525544</v>
      </c>
      <c r="L74" s="20" t="n">
        <v>0.17120811</v>
      </c>
      <c r="M74" s="18" t="n">
        <v>0</v>
      </c>
      <c r="N74" s="20" t="n">
        <v>0</v>
      </c>
      <c r="O74" s="18" t="n">
        <v>0</v>
      </c>
      <c r="P74" s="20" t="n">
        <v>0</v>
      </c>
      <c r="Q74" s="18" t="n">
        <v>0.49723816</v>
      </c>
      <c r="R74" s="20" t="n">
        <v>0.16153504</v>
      </c>
    </row>
    <row r="75" spans="1:18">
      <c r="A75" s="15" t="s">
        <v>635</v>
      </c>
      <c r="B75" s="17" t="n">
        <v>8249</v>
      </c>
      <c r="C75" s="18">
        <f>(6602.0/B75*100)</f>
        <v/>
      </c>
      <c r="D75" s="19" t="n">
        <v>1647</v>
      </c>
      <c r="E75" s="18" t="n">
        <v>41.20279692</v>
      </c>
      <c r="F75" s="20" t="n">
        <v>1.61025134</v>
      </c>
      <c r="G75" s="18" t="n">
        <v>55.97628515</v>
      </c>
      <c r="H75" s="20" t="n">
        <v>1.57869082</v>
      </c>
      <c r="I75" s="18" t="n">
        <v>0</v>
      </c>
      <c r="J75" s="20" t="n">
        <v>0</v>
      </c>
      <c r="K75" s="18" t="n">
        <v>0.35798683</v>
      </c>
      <c r="L75" s="20" t="n">
        <v>0.16682824</v>
      </c>
      <c r="M75" s="18" t="n">
        <v>0</v>
      </c>
      <c r="N75" s="20" t="n">
        <v>0</v>
      </c>
      <c r="O75" s="18" t="n">
        <v>0</v>
      </c>
      <c r="P75" s="20" t="n">
        <v>0</v>
      </c>
      <c r="Q75" s="18" t="n">
        <v>2.4629311</v>
      </c>
      <c r="R75" s="20" t="n">
        <v>0.49314424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(4352.0/B77*100)</f>
        <v/>
      </c>
      <c r="D77" s="19" t="n">
        <v>1023</v>
      </c>
      <c r="E77" s="18" t="n">
        <v>43.95611412</v>
      </c>
      <c r="F77" s="20" t="n">
        <v>1.69842846</v>
      </c>
      <c r="G77" s="18" t="n">
        <v>45.15863077</v>
      </c>
      <c r="H77" s="20" t="n">
        <v>1.62092497</v>
      </c>
      <c r="I77" s="18" t="n">
        <v>0</v>
      </c>
      <c r="J77" s="20" t="n">
        <v>0</v>
      </c>
      <c r="K77" s="18" t="n">
        <v>8.25376735</v>
      </c>
      <c r="L77" s="20" t="n">
        <v>1.22142501</v>
      </c>
      <c r="M77" s="18" t="n">
        <v>0</v>
      </c>
      <c r="N77" s="20" t="n">
        <v>0</v>
      </c>
      <c r="O77" s="18" t="n">
        <v>0</v>
      </c>
      <c r="P77" s="20" t="n">
        <v>0</v>
      </c>
      <c r="Q77" s="18" t="n">
        <v>2.63148776</v>
      </c>
      <c r="R77" s="20" t="n">
        <v>0.57729989</v>
      </c>
    </row>
    <row r="78" spans="1:18">
      <c r="A78" s="15" t="s">
        <v>638</v>
      </c>
      <c r="B78" s="17" t="n">
        <v>14167</v>
      </c>
      <c r="C78" s="18">
        <f>(11055.0/B78*100)</f>
        <v/>
      </c>
      <c r="D78" s="19" t="n">
        <v>3112</v>
      </c>
      <c r="E78" s="18" t="n">
        <v>35.24293955</v>
      </c>
      <c r="F78" s="20" t="n">
        <v>1.12417857</v>
      </c>
      <c r="G78" s="18" t="n">
        <v>61.39672655</v>
      </c>
      <c r="H78" s="20" t="n">
        <v>1.19809412</v>
      </c>
      <c r="I78" s="18" t="n">
        <v>0</v>
      </c>
      <c r="J78" s="20" t="n">
        <v>0</v>
      </c>
      <c r="K78" s="18" t="n">
        <v>1.92819888</v>
      </c>
      <c r="L78" s="20" t="n">
        <v>0.36387706</v>
      </c>
      <c r="M78" s="18" t="n">
        <v>0</v>
      </c>
      <c r="N78" s="20" t="n">
        <v>0</v>
      </c>
      <c r="O78" s="18" t="n">
        <v>0</v>
      </c>
      <c r="P78" s="20" t="n">
        <v>0</v>
      </c>
      <c r="Q78" s="18" t="n">
        <v>1.43213502</v>
      </c>
      <c r="R78" s="20" t="n">
        <v>0.21568857</v>
      </c>
    </row>
    <row r="79" spans="1:18">
      <c r="A79" s="15" t="s">
        <v>639</v>
      </c>
      <c r="B79" s="17" t="n">
        <v>6062</v>
      </c>
      <c r="C79" s="18">
        <f>(4944.0/B79*100)</f>
        <v/>
      </c>
      <c r="D79" s="19" t="n">
        <v>1118</v>
      </c>
      <c r="E79" s="18" t="n">
        <v>30.02319124</v>
      </c>
      <c r="F79" s="20" t="n">
        <v>1.46320422</v>
      </c>
      <c r="G79" s="18" t="n">
        <v>62.67717976</v>
      </c>
      <c r="H79" s="20" t="n">
        <v>1.46534115</v>
      </c>
      <c r="I79" s="18" t="n">
        <v>0</v>
      </c>
      <c r="J79" s="20" t="n">
        <v>0</v>
      </c>
      <c r="K79" s="18" t="n">
        <v>4.34431633</v>
      </c>
      <c r="L79" s="20" t="n">
        <v>0.67823725</v>
      </c>
      <c r="M79" s="18" t="n">
        <v>0</v>
      </c>
      <c r="N79" s="20" t="n">
        <v>0</v>
      </c>
      <c r="O79" s="18" t="n">
        <v>0</v>
      </c>
      <c r="P79" s="20" t="n">
        <v>0</v>
      </c>
      <c r="Q79" s="18" t="n">
        <v>2.95531267</v>
      </c>
      <c r="R79" s="20" t="n">
        <v>0.62728051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(25542.0/B82*100)</f>
        <v/>
      </c>
      <c r="D82" s="19" t="n">
        <v>6788</v>
      </c>
      <c r="E82" s="18" t="n">
        <v>26.14959179</v>
      </c>
      <c r="F82" s="20" t="n">
        <v>0.77852056</v>
      </c>
      <c r="G82" s="18" t="n">
        <v>71.91375062</v>
      </c>
      <c r="H82" s="20" t="n">
        <v>0.8323836</v>
      </c>
      <c r="I82" s="18" t="n">
        <v>0</v>
      </c>
      <c r="J82" s="20" t="n">
        <v>0</v>
      </c>
      <c r="K82" s="18" t="n">
        <v>1.17938767</v>
      </c>
      <c r="L82" s="20" t="n">
        <v>0.2130429</v>
      </c>
      <c r="M82" s="18" t="n">
        <v>0</v>
      </c>
      <c r="N82" s="20" t="n">
        <v>0</v>
      </c>
      <c r="O82" s="18" t="n">
        <v>0</v>
      </c>
      <c r="P82" s="20" t="n">
        <v>0</v>
      </c>
      <c r="Q82" s="18" t="n">
        <v>0.75726992</v>
      </c>
      <c r="R82" s="20" t="n">
        <v>0.17566294</v>
      </c>
    </row>
    <row r="83" spans="1:18">
      <c r="A83" s="15" t="s">
        <v>643</v>
      </c>
      <c r="B83" s="17" t="n">
        <v>1652</v>
      </c>
      <c r="C83" s="18">
        <f>(1327.0/B83*100)</f>
        <v/>
      </c>
      <c r="D83" s="19" t="n">
        <v>325</v>
      </c>
      <c r="E83" s="18" t="n">
        <v>13.79497614</v>
      </c>
      <c r="F83" s="20" t="n">
        <v>1.85482845</v>
      </c>
      <c r="G83" s="18" t="n">
        <v>85.91106277</v>
      </c>
      <c r="H83" s="20" t="n">
        <v>1.89199531</v>
      </c>
      <c r="I83" s="18" t="n">
        <v>0</v>
      </c>
      <c r="J83" s="20" t="n">
        <v>0</v>
      </c>
      <c r="K83" s="18" t="n">
        <v>0</v>
      </c>
      <c r="L83" s="20" t="n">
        <v>0</v>
      </c>
      <c r="M83" s="18" t="n">
        <v>0</v>
      </c>
      <c r="N83" s="20" t="n">
        <v>0</v>
      </c>
      <c r="O83" s="18" t="n">
        <v>0</v>
      </c>
      <c r="P83" s="20" t="n">
        <v>0</v>
      </c>
      <c r="Q83" s="18" t="n">
        <v>0.29396109</v>
      </c>
      <c r="R83" s="20" t="n">
        <v>0.28551652</v>
      </c>
    </row>
    <row r="84" spans="1:18">
      <c r="A84" s="23" t="s">
        <v>644</v>
      </c>
      <c r="B84" s="24" t="n">
        <v>1887</v>
      </c>
      <c r="C84" s="25">
        <f>(1469.0/B84*100)</f>
        <v/>
      </c>
      <c r="D84" s="19" t="n">
        <v>418</v>
      </c>
      <c r="E84" s="18" t="n">
        <v>18.50728545</v>
      </c>
      <c r="F84" s="20" t="n">
        <v>1.87203432</v>
      </c>
      <c r="G84" s="18" t="n">
        <v>80.49920286</v>
      </c>
      <c r="H84" s="20" t="n">
        <v>1.85014458</v>
      </c>
      <c r="I84" s="18" t="n">
        <v>0</v>
      </c>
      <c r="J84" s="20" t="n">
        <v>0</v>
      </c>
      <c r="K84" s="18" t="n">
        <v>0.5186429</v>
      </c>
      <c r="L84" s="20" t="n">
        <v>0.36757668</v>
      </c>
      <c r="M84" s="18" t="n">
        <v>0</v>
      </c>
      <c r="N84" s="20" t="n">
        <v>0</v>
      </c>
      <c r="O84" s="18" t="n">
        <v>0</v>
      </c>
      <c r="P84" s="20" t="n">
        <v>0</v>
      </c>
      <c r="Q84" s="18" t="n">
        <v>0.47486878</v>
      </c>
      <c r="R84" s="20" t="n">
        <v>0.33615007</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(11479.0/B7*100)</f>
        <v/>
      </c>
      <c r="D7" s="19" t="n">
        <v>3051</v>
      </c>
      <c r="E7" s="18" t="n">
        <v>58.65076423</v>
      </c>
      <c r="F7" s="20" t="n">
        <v>1.16915968</v>
      </c>
      <c r="G7" s="18" t="n">
        <v>39.76915107</v>
      </c>
      <c r="H7" s="20" t="n">
        <v>1.15766461</v>
      </c>
      <c r="I7" s="18" t="n">
        <v>0</v>
      </c>
      <c r="J7" s="20" t="n">
        <v>0</v>
      </c>
      <c r="K7" s="18" t="n">
        <v>1.51292876</v>
      </c>
      <c r="L7" s="20" t="n">
        <v>0.25087684</v>
      </c>
      <c r="M7" s="18" t="n">
        <v>0</v>
      </c>
      <c r="N7" s="20" t="n">
        <v>0</v>
      </c>
      <c r="O7" s="18" t="n">
        <v>0</v>
      </c>
      <c r="P7" s="20" t="n">
        <v>0</v>
      </c>
      <c r="Q7" s="18" t="n">
        <v>0.06715593</v>
      </c>
      <c r="R7" s="20" t="n">
        <v>0.06178277</v>
      </c>
    </row>
    <row r="8" spans="1:18">
      <c r="A8" s="15" t="s">
        <v>566</v>
      </c>
      <c r="B8" s="17" t="n">
        <v>7007</v>
      </c>
      <c r="C8" s="18">
        <f>(5525.0/B8*100)</f>
        <v/>
      </c>
      <c r="D8" s="19" t="n">
        <v>1482</v>
      </c>
      <c r="E8" s="18" t="n">
        <v>62.92280091</v>
      </c>
      <c r="F8" s="20" t="n">
        <v>1.49987769</v>
      </c>
      <c r="G8" s="18" t="n">
        <v>36.16537677</v>
      </c>
      <c r="H8" s="20" t="n">
        <v>1.56289779</v>
      </c>
      <c r="I8" s="18" t="n">
        <v>0</v>
      </c>
      <c r="J8" s="20" t="n">
        <v>0</v>
      </c>
      <c r="K8" s="18" t="n">
        <v>0.8176780299999999</v>
      </c>
      <c r="L8" s="20" t="n">
        <v>0.259749</v>
      </c>
      <c r="M8" s="18" t="n">
        <v>0</v>
      </c>
      <c r="N8" s="20" t="n">
        <v>0</v>
      </c>
      <c r="O8" s="18" t="n">
        <v>0</v>
      </c>
      <c r="P8" s="20" t="n">
        <v>0</v>
      </c>
      <c r="Q8" s="18" t="n">
        <v>0.09414429000000001</v>
      </c>
      <c r="R8" s="20" t="n">
        <v>0.10104372</v>
      </c>
    </row>
    <row r="9" spans="1:18">
      <c r="A9" s="15" t="s">
        <v>567</v>
      </c>
      <c r="B9" s="17" t="n">
        <v>9651</v>
      </c>
      <c r="C9" s="18">
        <f>(7755.0/B9*100)</f>
        <v/>
      </c>
      <c r="D9" s="19" t="n">
        <v>1896</v>
      </c>
      <c r="E9" s="18" t="n">
        <v>66.24955355</v>
      </c>
      <c r="F9" s="20" t="n">
        <v>1.06637311</v>
      </c>
      <c r="G9" s="18" t="n">
        <v>30.83255801</v>
      </c>
      <c r="H9" s="20" t="n">
        <v>1.06752634</v>
      </c>
      <c r="I9" s="18" t="n">
        <v>0</v>
      </c>
      <c r="J9" s="20" t="n">
        <v>0</v>
      </c>
      <c r="K9" s="18" t="n">
        <v>2.80551271</v>
      </c>
      <c r="L9" s="20" t="n">
        <v>0.43898689</v>
      </c>
      <c r="M9" s="18" t="n">
        <v>0</v>
      </c>
      <c r="N9" s="20" t="n">
        <v>0</v>
      </c>
      <c r="O9" s="18" t="n">
        <v>0</v>
      </c>
      <c r="P9" s="20" t="n">
        <v>0</v>
      </c>
      <c r="Q9" s="18" t="n">
        <v>0.11237572</v>
      </c>
      <c r="R9" s="20" t="n">
        <v>0.07993343</v>
      </c>
    </row>
    <row r="10" spans="1:18">
      <c r="A10" s="15" t="s">
        <v>568</v>
      </c>
      <c r="B10" s="17" t="n">
        <v>20058</v>
      </c>
      <c r="C10" s="18">
        <f>(15600.0/B10*100)</f>
        <v/>
      </c>
      <c r="D10" s="19" t="n">
        <v>4458</v>
      </c>
      <c r="E10" s="18" t="n">
        <v>63.56064145</v>
      </c>
      <c r="F10" s="20" t="n">
        <v>1.18769475</v>
      </c>
      <c r="G10" s="18" t="n">
        <v>34.73900855</v>
      </c>
      <c r="H10" s="20" t="n">
        <v>1.1784074</v>
      </c>
      <c r="I10" s="18" t="n">
        <v>0</v>
      </c>
      <c r="J10" s="20" t="n">
        <v>0</v>
      </c>
      <c r="K10" s="18" t="n">
        <v>1.6347535</v>
      </c>
      <c r="L10" s="20" t="n">
        <v>0.30664183</v>
      </c>
      <c r="M10" s="18" t="n">
        <v>0</v>
      </c>
      <c r="N10" s="20" t="n">
        <v>0</v>
      </c>
      <c r="O10" s="18" t="n">
        <v>0</v>
      </c>
      <c r="P10" s="20" t="n">
        <v>0</v>
      </c>
      <c r="Q10" s="18" t="n">
        <v>0.0655965</v>
      </c>
      <c r="R10" s="20" t="n">
        <v>0.06094569</v>
      </c>
    </row>
    <row r="11" spans="1:18">
      <c r="A11" s="15" t="s">
        <v>569</v>
      </c>
      <c r="B11" s="17" t="n">
        <v>7053</v>
      </c>
      <c r="C11" s="18">
        <f>(5570.0/B11*100)</f>
        <v/>
      </c>
      <c r="D11" s="19" t="n">
        <v>1483</v>
      </c>
      <c r="E11" s="18" t="n">
        <v>85.27312766999999</v>
      </c>
      <c r="F11" s="20" t="n">
        <v>1.07003046</v>
      </c>
      <c r="G11" s="18" t="n">
        <v>10.69737246</v>
      </c>
      <c r="H11" s="20" t="n">
        <v>0.89375233</v>
      </c>
      <c r="I11" s="18" t="n">
        <v>0</v>
      </c>
      <c r="J11" s="20" t="n">
        <v>0</v>
      </c>
      <c r="K11" s="18" t="n">
        <v>3.79713743</v>
      </c>
      <c r="L11" s="20" t="n">
        <v>0.65156907</v>
      </c>
      <c r="M11" s="18" t="n">
        <v>0</v>
      </c>
      <c r="N11" s="20" t="n">
        <v>0</v>
      </c>
      <c r="O11" s="18" t="n">
        <v>0</v>
      </c>
      <c r="P11" s="20" t="n">
        <v>0</v>
      </c>
      <c r="Q11" s="18" t="n">
        <v>0.23236244</v>
      </c>
      <c r="R11" s="20" t="n">
        <v>0.12626018</v>
      </c>
    </row>
    <row r="12" spans="1:18">
      <c r="A12" s="15" t="s">
        <v>570</v>
      </c>
      <c r="B12" s="17" t="n">
        <v>6894</v>
      </c>
      <c r="C12" s="18">
        <f>(5459.0/B12*100)</f>
        <v/>
      </c>
      <c r="D12" s="19" t="n">
        <v>1435</v>
      </c>
      <c r="E12" s="18" t="n">
        <v>85.60129667</v>
      </c>
      <c r="F12" s="20" t="n">
        <v>1.1721561</v>
      </c>
      <c r="G12" s="18" t="n">
        <v>13.1837618</v>
      </c>
      <c r="H12" s="20" t="n">
        <v>1.09854049</v>
      </c>
      <c r="I12" s="18" t="n">
        <v>0</v>
      </c>
      <c r="J12" s="20" t="n">
        <v>0</v>
      </c>
      <c r="K12" s="18" t="n">
        <v>1.02174237</v>
      </c>
      <c r="L12" s="20" t="n">
        <v>0.24809243</v>
      </c>
      <c r="M12" s="18" t="n">
        <v>0</v>
      </c>
      <c r="N12" s="20" t="n">
        <v>0</v>
      </c>
      <c r="O12" s="18" t="n">
        <v>0</v>
      </c>
      <c r="P12" s="20" t="n">
        <v>0</v>
      </c>
      <c r="Q12" s="18" t="n">
        <v>0.19319916</v>
      </c>
      <c r="R12" s="20" t="n">
        <v>0.15246062</v>
      </c>
    </row>
    <row r="13" spans="1:18">
      <c r="A13" s="15" t="s">
        <v>571</v>
      </c>
      <c r="B13" s="17" t="n">
        <v>7161</v>
      </c>
      <c r="C13" s="18">
        <f>(5698.0/B13*100)</f>
        <v/>
      </c>
      <c r="D13" s="19" t="n">
        <v>1463</v>
      </c>
      <c r="E13" s="18" t="n">
        <v>62.68725857</v>
      </c>
      <c r="F13" s="20" t="n">
        <v>1.58088735</v>
      </c>
      <c r="G13" s="18" t="n">
        <v>36.3205924</v>
      </c>
      <c r="H13" s="20" t="n">
        <v>1.63770054</v>
      </c>
      <c r="I13" s="18" t="n">
        <v>0</v>
      </c>
      <c r="J13" s="20" t="n">
        <v>0</v>
      </c>
      <c r="K13" s="18" t="n">
        <v>0.91986881</v>
      </c>
      <c r="L13" s="20" t="n">
        <v>0.28698618</v>
      </c>
      <c r="M13" s="18" t="n">
        <v>0</v>
      </c>
      <c r="N13" s="20" t="n">
        <v>0</v>
      </c>
      <c r="O13" s="18" t="n">
        <v>0</v>
      </c>
      <c r="P13" s="20" t="n">
        <v>0</v>
      </c>
      <c r="Q13" s="18" t="n">
        <v>0.07228022000000001</v>
      </c>
      <c r="R13" s="20" t="n">
        <v>0.07145388</v>
      </c>
    </row>
    <row r="14" spans="1:18">
      <c r="A14" s="15" t="s">
        <v>572</v>
      </c>
      <c r="B14" s="17" t="n">
        <v>5587</v>
      </c>
      <c r="C14" s="18">
        <f>(4360.0/B14*100)</f>
        <v/>
      </c>
      <c r="D14" s="19" t="n">
        <v>1227</v>
      </c>
      <c r="E14" s="18" t="n">
        <v>59.85895552</v>
      </c>
      <c r="F14" s="20" t="n">
        <v>1.4016798</v>
      </c>
      <c r="G14" s="18" t="n">
        <v>38.15382915</v>
      </c>
      <c r="H14" s="20" t="n">
        <v>1.37169818</v>
      </c>
      <c r="I14" s="18" t="n">
        <v>0</v>
      </c>
      <c r="J14" s="20" t="n">
        <v>0</v>
      </c>
      <c r="K14" s="18" t="n">
        <v>1.98721533</v>
      </c>
      <c r="L14" s="20" t="n">
        <v>0.50275433</v>
      </c>
      <c r="M14" s="18" t="n">
        <v>0</v>
      </c>
      <c r="N14" s="20" t="n">
        <v>0</v>
      </c>
      <c r="O14" s="18" t="n">
        <v>0</v>
      </c>
      <c r="P14" s="20" t="n">
        <v>0</v>
      </c>
      <c r="Q14" s="18" t="n">
        <v>0</v>
      </c>
      <c r="R14" s="20" t="n">
        <v>0</v>
      </c>
    </row>
    <row r="15" spans="1:18">
      <c r="A15" s="15" t="s">
        <v>573</v>
      </c>
      <c r="B15" s="17" t="n">
        <v>5882</v>
      </c>
      <c r="C15" s="18">
        <f>(4604.0/B15*100)</f>
        <v/>
      </c>
      <c r="D15" s="19" t="n">
        <v>1278</v>
      </c>
      <c r="E15" s="18" t="n">
        <v>61.95164099</v>
      </c>
      <c r="F15" s="20" t="n">
        <v>1.3259797</v>
      </c>
      <c r="G15" s="18" t="n">
        <v>37.81932853</v>
      </c>
      <c r="H15" s="20" t="n">
        <v>1.30035978</v>
      </c>
      <c r="I15" s="18" t="n">
        <v>0</v>
      </c>
      <c r="J15" s="20" t="n">
        <v>0</v>
      </c>
      <c r="K15" s="18" t="n">
        <v>0.22903048</v>
      </c>
      <c r="L15" s="20" t="n">
        <v>0.13385711</v>
      </c>
      <c r="M15" s="18" t="n">
        <v>0</v>
      </c>
      <c r="N15" s="20" t="n">
        <v>0</v>
      </c>
      <c r="O15" s="18" t="n">
        <v>0</v>
      </c>
      <c r="P15" s="20" t="n">
        <v>0</v>
      </c>
      <c r="Q15" s="18" t="n">
        <v>0</v>
      </c>
      <c r="R15" s="20" t="n">
        <v>0</v>
      </c>
    </row>
    <row r="16" spans="1:18">
      <c r="A16" s="15" t="s">
        <v>574</v>
      </c>
      <c r="B16" s="17" t="n">
        <v>6108</v>
      </c>
      <c r="C16" s="18">
        <f>(4785.0/B16*100)</f>
        <v/>
      </c>
      <c r="D16" s="19" t="n">
        <v>1323</v>
      </c>
      <c r="E16" s="18" t="n">
        <v>73.87510143999999</v>
      </c>
      <c r="F16" s="20" t="n">
        <v>1.45984282</v>
      </c>
      <c r="G16" s="18" t="n">
        <v>23.05965199</v>
      </c>
      <c r="H16" s="20" t="n">
        <v>1.44424321</v>
      </c>
      <c r="I16" s="18" t="n">
        <v>0</v>
      </c>
      <c r="J16" s="20" t="n">
        <v>0</v>
      </c>
      <c r="K16" s="18" t="n">
        <v>2.87852423</v>
      </c>
      <c r="L16" s="20" t="n">
        <v>0.51012007</v>
      </c>
      <c r="M16" s="18" t="n">
        <v>0</v>
      </c>
      <c r="N16" s="20" t="n">
        <v>0</v>
      </c>
      <c r="O16" s="18" t="n">
        <v>0</v>
      </c>
      <c r="P16" s="20" t="n">
        <v>0</v>
      </c>
      <c r="Q16" s="18" t="n">
        <v>0.18672235</v>
      </c>
      <c r="R16" s="20" t="n">
        <v>0.13766473</v>
      </c>
    </row>
    <row r="17" spans="1:18">
      <c r="A17" s="15" t="s">
        <v>575</v>
      </c>
      <c r="B17" s="17" t="n">
        <v>6504</v>
      </c>
      <c r="C17" s="18">
        <f>(5138.0/B17*100)</f>
        <v/>
      </c>
      <c r="D17" s="19" t="n">
        <v>1366</v>
      </c>
      <c r="E17" s="18" t="n">
        <v>55.67427399</v>
      </c>
      <c r="F17" s="20" t="n">
        <v>1.4850174</v>
      </c>
      <c r="G17" s="18" t="n">
        <v>42.90840054</v>
      </c>
      <c r="H17" s="20" t="n">
        <v>1.49973101</v>
      </c>
      <c r="I17" s="18" t="n">
        <v>0</v>
      </c>
      <c r="J17" s="20" t="n">
        <v>0</v>
      </c>
      <c r="K17" s="18" t="n">
        <v>1.35667116</v>
      </c>
      <c r="L17" s="20" t="n">
        <v>0.30513746</v>
      </c>
      <c r="M17" s="18" t="n">
        <v>0</v>
      </c>
      <c r="N17" s="20" t="n">
        <v>0</v>
      </c>
      <c r="O17" s="18" t="n">
        <v>0</v>
      </c>
      <c r="P17" s="20" t="n">
        <v>0</v>
      </c>
      <c r="Q17" s="18" t="n">
        <v>0.06065432</v>
      </c>
      <c r="R17" s="20" t="n">
        <v>0.06052206</v>
      </c>
    </row>
    <row r="18" spans="1:18">
      <c r="A18" s="15" t="s">
        <v>576</v>
      </c>
      <c r="B18" s="17" t="n">
        <v>5532</v>
      </c>
      <c r="C18" s="18">
        <f>(4331.0/B18*100)</f>
        <v/>
      </c>
      <c r="D18" s="19" t="n">
        <v>1201</v>
      </c>
      <c r="E18" s="18" t="n">
        <v>75.64974149</v>
      </c>
      <c r="F18" s="20" t="n">
        <v>1.39358469</v>
      </c>
      <c r="G18" s="18" t="n">
        <v>22.22443611</v>
      </c>
      <c r="H18" s="20" t="n">
        <v>1.27349572</v>
      </c>
      <c r="I18" s="18" t="n">
        <v>0</v>
      </c>
      <c r="J18" s="20" t="n">
        <v>0</v>
      </c>
      <c r="K18" s="18" t="n">
        <v>2.1258224</v>
      </c>
      <c r="L18" s="20" t="n">
        <v>0.44397281</v>
      </c>
      <c r="M18" s="18" t="n">
        <v>0</v>
      </c>
      <c r="N18" s="20" t="n">
        <v>0</v>
      </c>
      <c r="O18" s="18" t="n">
        <v>0</v>
      </c>
      <c r="P18" s="20" t="n">
        <v>0</v>
      </c>
      <c r="Q18" s="18" t="n">
        <v>0</v>
      </c>
      <c r="R18" s="20" t="n">
        <v>0</v>
      </c>
    </row>
    <row r="19" spans="1:18">
      <c r="A19" s="15" t="s">
        <v>577</v>
      </c>
      <c r="B19" s="17" t="n">
        <v>5658</v>
      </c>
      <c r="C19" s="18">
        <f>(4451.0/B19*100)</f>
        <v/>
      </c>
      <c r="D19" s="19" t="n">
        <v>1207</v>
      </c>
      <c r="E19" s="18" t="n">
        <v>76.21092374</v>
      </c>
      <c r="F19" s="20" t="n">
        <v>1.27542308</v>
      </c>
      <c r="G19" s="18" t="n">
        <v>22.77612368</v>
      </c>
      <c r="H19" s="20" t="n">
        <v>1.3139789</v>
      </c>
      <c r="I19" s="18" t="n">
        <v>0</v>
      </c>
      <c r="J19" s="20" t="n">
        <v>0</v>
      </c>
      <c r="K19" s="18" t="n">
        <v>0.91951766</v>
      </c>
      <c r="L19" s="20" t="n">
        <v>0.35253527</v>
      </c>
      <c r="M19" s="18" t="n">
        <v>0</v>
      </c>
      <c r="N19" s="20" t="n">
        <v>0</v>
      </c>
      <c r="O19" s="18" t="n">
        <v>0</v>
      </c>
      <c r="P19" s="20" t="n">
        <v>0</v>
      </c>
      <c r="Q19" s="18" t="n">
        <v>0.09343492</v>
      </c>
      <c r="R19" s="20" t="n">
        <v>0.09349957</v>
      </c>
    </row>
    <row r="20" spans="1:18">
      <c r="A20" s="15" t="s">
        <v>578</v>
      </c>
      <c r="B20" s="17" t="n">
        <v>3371</v>
      </c>
      <c r="C20" s="18">
        <f>(2632.0/B20*100)</f>
        <v/>
      </c>
      <c r="D20" s="19" t="n">
        <v>739</v>
      </c>
      <c r="E20" s="18" t="n">
        <v>78.14658806</v>
      </c>
      <c r="F20" s="20" t="n">
        <v>1.55619479</v>
      </c>
      <c r="G20" s="18" t="n">
        <v>19.81562256</v>
      </c>
      <c r="H20" s="20" t="n">
        <v>1.56484496</v>
      </c>
      <c r="I20" s="18" t="n">
        <v>0</v>
      </c>
      <c r="J20" s="20" t="n">
        <v>0</v>
      </c>
      <c r="K20" s="18" t="n">
        <v>1.87722149</v>
      </c>
      <c r="L20" s="20" t="n">
        <v>0.4922059</v>
      </c>
      <c r="M20" s="18" t="n">
        <v>0</v>
      </c>
      <c r="N20" s="20" t="n">
        <v>0</v>
      </c>
      <c r="O20" s="18" t="n">
        <v>0</v>
      </c>
      <c r="P20" s="20" t="n">
        <v>0</v>
      </c>
      <c r="Q20" s="18" t="n">
        <v>0.16056789</v>
      </c>
      <c r="R20" s="20" t="n">
        <v>0.16041896</v>
      </c>
    </row>
    <row r="21" spans="1:18">
      <c r="A21" s="15" t="s">
        <v>579</v>
      </c>
      <c r="B21" s="17" t="n">
        <v>5741</v>
      </c>
      <c r="C21" s="18">
        <f>(4507.0/B21*100)</f>
        <v/>
      </c>
      <c r="D21" s="19" t="n">
        <v>1234</v>
      </c>
      <c r="E21" s="18" t="n">
        <v>55.37307098</v>
      </c>
      <c r="F21" s="20" t="n">
        <v>1.32481347</v>
      </c>
      <c r="G21" s="18" t="n">
        <v>43.51675932</v>
      </c>
      <c r="H21" s="20" t="n">
        <v>1.31999703</v>
      </c>
      <c r="I21" s="18" t="n">
        <v>0</v>
      </c>
      <c r="J21" s="20" t="n">
        <v>0</v>
      </c>
      <c r="K21" s="18" t="n">
        <v>1.1101697</v>
      </c>
      <c r="L21" s="20" t="n">
        <v>0.29840663</v>
      </c>
      <c r="M21" s="18" t="n">
        <v>0</v>
      </c>
      <c r="N21" s="20" t="n">
        <v>0</v>
      </c>
      <c r="O21" s="18" t="n">
        <v>0</v>
      </c>
      <c r="P21" s="20" t="n">
        <v>0</v>
      </c>
      <c r="Q21" s="18" t="n">
        <v>0</v>
      </c>
      <c r="R21" s="20" t="n">
        <v>0</v>
      </c>
    </row>
    <row r="22" spans="1:18">
      <c r="A22" s="15" t="s">
        <v>580</v>
      </c>
      <c r="B22" s="17" t="n">
        <v>6598</v>
      </c>
      <c r="C22" s="18">
        <f>(5210.0/B22*100)</f>
        <v/>
      </c>
      <c r="D22" s="19" t="n">
        <v>1388</v>
      </c>
      <c r="E22" s="18" t="n">
        <v>57.78643284</v>
      </c>
      <c r="F22" s="20" t="n">
        <v>1.6032717</v>
      </c>
      <c r="G22" s="18" t="n">
        <v>39.49530832</v>
      </c>
      <c r="H22" s="20" t="n">
        <v>1.63891926</v>
      </c>
      <c r="I22" s="18" t="n">
        <v>0</v>
      </c>
      <c r="J22" s="20" t="n">
        <v>0</v>
      </c>
      <c r="K22" s="18" t="n">
        <v>2.71825884</v>
      </c>
      <c r="L22" s="20" t="n">
        <v>0.54137306</v>
      </c>
      <c r="M22" s="18" t="n">
        <v>0</v>
      </c>
      <c r="N22" s="20" t="n">
        <v>0</v>
      </c>
      <c r="O22" s="18" t="n">
        <v>0</v>
      </c>
      <c r="P22" s="20" t="n">
        <v>0</v>
      </c>
      <c r="Q22" s="18" t="n">
        <v>0</v>
      </c>
      <c r="R22" s="20" t="n">
        <v>0</v>
      </c>
    </row>
    <row r="23" spans="1:18">
      <c r="A23" s="15" t="s">
        <v>581</v>
      </c>
      <c r="B23" s="17" t="n">
        <v>11583</v>
      </c>
      <c r="C23" s="18">
        <f>(9144.0/B23*100)</f>
        <v/>
      </c>
      <c r="D23" s="19" t="n">
        <v>2439</v>
      </c>
      <c r="E23" s="18" t="n">
        <v>66.15743489</v>
      </c>
      <c r="F23" s="20" t="n">
        <v>1.64124134</v>
      </c>
      <c r="G23" s="18" t="n">
        <v>29.05904343</v>
      </c>
      <c r="H23" s="20" t="n">
        <v>1.48243639</v>
      </c>
      <c r="I23" s="18" t="n">
        <v>0</v>
      </c>
      <c r="J23" s="20" t="n">
        <v>0</v>
      </c>
      <c r="K23" s="18" t="n">
        <v>4.32813303</v>
      </c>
      <c r="L23" s="20" t="n">
        <v>1.07349769</v>
      </c>
      <c r="M23" s="18" t="n">
        <v>0</v>
      </c>
      <c r="N23" s="20" t="n">
        <v>0</v>
      </c>
      <c r="O23" s="18" t="n">
        <v>0</v>
      </c>
      <c r="P23" s="20" t="n">
        <v>0</v>
      </c>
      <c r="Q23" s="18" t="n">
        <v>0.45538865</v>
      </c>
      <c r="R23" s="20" t="n">
        <v>0.23773881</v>
      </c>
    </row>
    <row r="24" spans="1:18">
      <c r="A24" s="15" t="s">
        <v>582</v>
      </c>
      <c r="B24" s="17" t="n">
        <v>6647</v>
      </c>
      <c r="C24" s="18">
        <f>(5213.0/B24*100)</f>
        <v/>
      </c>
      <c r="D24" s="19" t="n">
        <v>1434</v>
      </c>
      <c r="E24" s="18" t="n">
        <v>59.73433478</v>
      </c>
      <c r="F24" s="20" t="n">
        <v>1.44158094</v>
      </c>
      <c r="G24" s="18" t="n">
        <v>39.37135523</v>
      </c>
      <c r="H24" s="20" t="n">
        <v>1.45163444</v>
      </c>
      <c r="I24" s="18" t="n">
        <v>0</v>
      </c>
      <c r="J24" s="20" t="n">
        <v>0</v>
      </c>
      <c r="K24" s="18" t="n">
        <v>0.75163178</v>
      </c>
      <c r="L24" s="20" t="n">
        <v>0.27901243</v>
      </c>
      <c r="M24" s="18" t="n">
        <v>0</v>
      </c>
      <c r="N24" s="20" t="n">
        <v>0</v>
      </c>
      <c r="O24" s="18" t="n">
        <v>0</v>
      </c>
      <c r="P24" s="20" t="n">
        <v>0</v>
      </c>
      <c r="Q24" s="18" t="n">
        <v>0.14267821</v>
      </c>
      <c r="R24" s="20" t="n">
        <v>0.10336167</v>
      </c>
    </row>
    <row r="25" spans="1:18">
      <c r="A25" s="15" t="s">
        <v>583</v>
      </c>
      <c r="B25" s="17" t="n">
        <v>5581</v>
      </c>
      <c r="C25" s="18">
        <f>(4345.0/B25*100)</f>
        <v/>
      </c>
      <c r="D25" s="19" t="n">
        <v>1236</v>
      </c>
      <c r="E25" s="18" t="n">
        <v>68.00119045</v>
      </c>
      <c r="F25" s="20" t="n">
        <v>1.31684482</v>
      </c>
      <c r="G25" s="18" t="n">
        <v>31.32321501</v>
      </c>
      <c r="H25" s="20" t="n">
        <v>1.33848601</v>
      </c>
      <c r="I25" s="18" t="n">
        <v>0</v>
      </c>
      <c r="J25" s="20" t="n">
        <v>0</v>
      </c>
      <c r="K25" s="18" t="n">
        <v>0.5857034800000001</v>
      </c>
      <c r="L25" s="20" t="n">
        <v>0.26701586</v>
      </c>
      <c r="M25" s="18" t="n">
        <v>0</v>
      </c>
      <c r="N25" s="20" t="n">
        <v>0</v>
      </c>
      <c r="O25" s="18" t="n">
        <v>0</v>
      </c>
      <c r="P25" s="20" t="n">
        <v>0</v>
      </c>
      <c r="Q25" s="18" t="n">
        <v>0.08989105999999999</v>
      </c>
      <c r="R25" s="20" t="n">
        <v>0.08942106</v>
      </c>
    </row>
    <row r="26" spans="1:18">
      <c r="A26" s="15" t="s">
        <v>584</v>
      </c>
      <c r="B26" s="17" t="n">
        <v>4869</v>
      </c>
      <c r="C26" s="18">
        <f>(3827.0/B26*100)</f>
        <v/>
      </c>
      <c r="D26" s="19" t="n">
        <v>1042</v>
      </c>
      <c r="E26" s="18" t="n">
        <v>79.11620486</v>
      </c>
      <c r="F26" s="20" t="n">
        <v>1.49510819</v>
      </c>
      <c r="G26" s="18" t="n">
        <v>20.27739522</v>
      </c>
      <c r="H26" s="20" t="n">
        <v>1.48755308</v>
      </c>
      <c r="I26" s="18" t="n">
        <v>0</v>
      </c>
      <c r="J26" s="20" t="n">
        <v>0</v>
      </c>
      <c r="K26" s="18" t="n">
        <v>0.60639992</v>
      </c>
      <c r="L26" s="20" t="n">
        <v>0.18379074</v>
      </c>
      <c r="M26" s="18" t="n">
        <v>0</v>
      </c>
      <c r="N26" s="20" t="n">
        <v>0</v>
      </c>
      <c r="O26" s="18" t="n">
        <v>0</v>
      </c>
      <c r="P26" s="20" t="n">
        <v>0</v>
      </c>
      <c r="Q26" s="18" t="n">
        <v>0</v>
      </c>
      <c r="R26" s="20" t="n">
        <v>0</v>
      </c>
    </row>
    <row r="27" spans="1:18">
      <c r="A27" s="15" t="s">
        <v>585</v>
      </c>
      <c r="B27" s="17" t="n">
        <v>5299</v>
      </c>
      <c r="C27" s="18">
        <f>(4218.0/B27*100)</f>
        <v/>
      </c>
      <c r="D27" s="19" t="n">
        <v>1081</v>
      </c>
      <c r="E27" s="18" t="n">
        <v>66.14768137</v>
      </c>
      <c r="F27" s="20" t="n">
        <v>1.39541469</v>
      </c>
      <c r="G27" s="18" t="n">
        <v>32.09082723</v>
      </c>
      <c r="H27" s="20" t="n">
        <v>1.36425085</v>
      </c>
      <c r="I27" s="18" t="n">
        <v>0</v>
      </c>
      <c r="J27" s="20" t="n">
        <v>0</v>
      </c>
      <c r="K27" s="18" t="n">
        <v>1.7614914</v>
      </c>
      <c r="L27" s="20" t="n">
        <v>0.39521102</v>
      </c>
      <c r="M27" s="18" t="n">
        <v>0</v>
      </c>
      <c r="N27" s="20" t="n">
        <v>0</v>
      </c>
      <c r="O27" s="18" t="n">
        <v>0</v>
      </c>
      <c r="P27" s="20" t="n">
        <v>0</v>
      </c>
      <c r="Q27" s="18" t="n">
        <v>0</v>
      </c>
      <c r="R27" s="20" t="n">
        <v>0</v>
      </c>
    </row>
    <row r="28" spans="1:18">
      <c r="A28" s="15" t="s">
        <v>586</v>
      </c>
      <c r="B28" s="17" t="n">
        <v>7568</v>
      </c>
      <c r="C28" s="18">
        <f>(6140.0/B28*100)</f>
        <v/>
      </c>
      <c r="D28" s="19" t="n">
        <v>1428</v>
      </c>
      <c r="E28" s="18" t="n">
        <v>85.59621549000001</v>
      </c>
      <c r="F28" s="20" t="n">
        <v>1.02606202</v>
      </c>
      <c r="G28" s="18" t="n">
        <v>12.12324278</v>
      </c>
      <c r="H28" s="20" t="n">
        <v>0.91491482</v>
      </c>
      <c r="I28" s="18" t="n">
        <v>0</v>
      </c>
      <c r="J28" s="20" t="n">
        <v>0</v>
      </c>
      <c r="K28" s="18" t="n">
        <v>2.28054173</v>
      </c>
      <c r="L28" s="20" t="n">
        <v>0.52462209</v>
      </c>
      <c r="M28" s="18" t="n">
        <v>0</v>
      </c>
      <c r="N28" s="20" t="n">
        <v>0</v>
      </c>
      <c r="O28" s="18" t="n">
        <v>0</v>
      </c>
      <c r="P28" s="20" t="n">
        <v>0</v>
      </c>
      <c r="Q28" s="18" t="n">
        <v>0</v>
      </c>
      <c r="R28" s="20" t="n">
        <v>0</v>
      </c>
    </row>
    <row r="29" spans="1:18">
      <c r="A29" s="15" t="s">
        <v>587</v>
      </c>
      <c r="B29" s="17" t="n">
        <v>5385</v>
      </c>
      <c r="C29" s="18">
        <f>(4197.0/B29*100)</f>
        <v/>
      </c>
      <c r="D29" s="19" t="n">
        <v>1188</v>
      </c>
      <c r="E29" s="18" t="n">
        <v>61.87865266</v>
      </c>
      <c r="F29" s="20" t="n">
        <v>1.45406146</v>
      </c>
      <c r="G29" s="18" t="n">
        <v>37.42549405</v>
      </c>
      <c r="H29" s="20" t="n">
        <v>1.4830945</v>
      </c>
      <c r="I29" s="18" t="n">
        <v>0</v>
      </c>
      <c r="J29" s="20" t="n">
        <v>0</v>
      </c>
      <c r="K29" s="18" t="n">
        <v>0.69585329</v>
      </c>
      <c r="L29" s="20" t="n">
        <v>0.26273325</v>
      </c>
      <c r="M29" s="18" t="n">
        <v>0</v>
      </c>
      <c r="N29" s="20" t="n">
        <v>0</v>
      </c>
      <c r="O29" s="18" t="n">
        <v>0</v>
      </c>
      <c r="P29" s="20" t="n">
        <v>0</v>
      </c>
      <c r="Q29" s="18" t="n">
        <v>0</v>
      </c>
      <c r="R29" s="20" t="n">
        <v>0</v>
      </c>
    </row>
    <row r="30" spans="1:18">
      <c r="A30" s="15" t="s">
        <v>588</v>
      </c>
      <c r="B30" s="17" t="n">
        <v>4520</v>
      </c>
      <c r="C30" s="18">
        <f>(3569.0/B30*100)</f>
        <v/>
      </c>
      <c r="D30" s="19" t="n">
        <v>951</v>
      </c>
      <c r="E30" s="18" t="n">
        <v>57.90556207</v>
      </c>
      <c r="F30" s="20" t="n">
        <v>1.53919182</v>
      </c>
      <c r="G30" s="18" t="n">
        <v>40.2277146</v>
      </c>
      <c r="H30" s="20" t="n">
        <v>1.49763374</v>
      </c>
      <c r="I30" s="18" t="n">
        <v>0</v>
      </c>
      <c r="J30" s="20" t="n">
        <v>0</v>
      </c>
      <c r="K30" s="18" t="n">
        <v>1.86672332</v>
      </c>
      <c r="L30" s="20" t="n">
        <v>0.48529904</v>
      </c>
      <c r="M30" s="18" t="n">
        <v>0</v>
      </c>
      <c r="N30" s="20" t="n">
        <v>0</v>
      </c>
      <c r="O30" s="18" t="n">
        <v>0</v>
      </c>
      <c r="P30" s="20" t="n">
        <v>0</v>
      </c>
      <c r="Q30" s="18" t="n">
        <v>0</v>
      </c>
      <c r="R30" s="20" t="n">
        <v>0</v>
      </c>
    </row>
    <row r="31" spans="1:18">
      <c r="A31" s="15" t="s">
        <v>589</v>
      </c>
      <c r="B31" s="17" t="n">
        <v>5456</v>
      </c>
      <c r="C31" s="18">
        <f>(4260.0/B31*100)</f>
        <v/>
      </c>
      <c r="D31" s="19" t="n">
        <v>1196</v>
      </c>
      <c r="E31" s="18" t="n">
        <v>73.86255319</v>
      </c>
      <c r="F31" s="20" t="n">
        <v>1.36892713</v>
      </c>
      <c r="G31" s="18" t="n">
        <v>23.43094435</v>
      </c>
      <c r="H31" s="20" t="n">
        <v>1.36485367</v>
      </c>
      <c r="I31" s="18" t="n">
        <v>0</v>
      </c>
      <c r="J31" s="20" t="n">
        <v>0</v>
      </c>
      <c r="K31" s="18" t="n">
        <v>2.70650246</v>
      </c>
      <c r="L31" s="20" t="n">
        <v>0.49021898</v>
      </c>
      <c r="M31" s="18" t="n">
        <v>0</v>
      </c>
      <c r="N31" s="20" t="n">
        <v>0</v>
      </c>
      <c r="O31" s="18" t="n">
        <v>0</v>
      </c>
      <c r="P31" s="20" t="n">
        <v>0</v>
      </c>
      <c r="Q31" s="18" t="n">
        <v>0</v>
      </c>
      <c r="R31" s="20" t="n">
        <v>0</v>
      </c>
    </row>
    <row r="32" spans="1:18">
      <c r="A32" s="15" t="s">
        <v>590</v>
      </c>
      <c r="B32" s="17" t="n">
        <v>4478</v>
      </c>
      <c r="C32" s="18">
        <f>(3505.0/B32*100)</f>
        <v/>
      </c>
      <c r="D32" s="19" t="n">
        <v>973</v>
      </c>
      <c r="E32" s="18" t="n">
        <v>69.16435308</v>
      </c>
      <c r="F32" s="20" t="n">
        <v>1.62345226</v>
      </c>
      <c r="G32" s="18" t="n">
        <v>29.7344422</v>
      </c>
      <c r="H32" s="20" t="n">
        <v>1.59416095</v>
      </c>
      <c r="I32" s="18" t="n">
        <v>0</v>
      </c>
      <c r="J32" s="20" t="n">
        <v>0</v>
      </c>
      <c r="K32" s="18" t="n">
        <v>1.10120473</v>
      </c>
      <c r="L32" s="20" t="n">
        <v>0.34225515</v>
      </c>
      <c r="M32" s="18" t="n">
        <v>0</v>
      </c>
      <c r="N32" s="20" t="n">
        <v>0</v>
      </c>
      <c r="O32" s="18" t="n">
        <v>0</v>
      </c>
      <c r="P32" s="20" t="n">
        <v>0</v>
      </c>
      <c r="Q32" s="18" t="n">
        <v>0</v>
      </c>
      <c r="R32" s="20" t="n">
        <v>0</v>
      </c>
    </row>
    <row r="33" spans="1:18">
      <c r="A33" s="15" t="s">
        <v>591</v>
      </c>
      <c r="B33" s="17" t="n">
        <v>7325</v>
      </c>
      <c r="C33" s="18">
        <f>(5928.0/B33*100)</f>
        <v/>
      </c>
      <c r="D33" s="19" t="n">
        <v>1397</v>
      </c>
      <c r="E33" s="18" t="n">
        <v>73.82863544999999</v>
      </c>
      <c r="F33" s="20" t="n">
        <v>1.35066001</v>
      </c>
      <c r="G33" s="18" t="n">
        <v>24.29356745</v>
      </c>
      <c r="H33" s="20" t="n">
        <v>1.24436825</v>
      </c>
      <c r="I33" s="18" t="n">
        <v>0</v>
      </c>
      <c r="J33" s="20" t="n">
        <v>0</v>
      </c>
      <c r="K33" s="18" t="n">
        <v>1.76249192</v>
      </c>
      <c r="L33" s="20" t="n">
        <v>0.49684119</v>
      </c>
      <c r="M33" s="18" t="n">
        <v>0</v>
      </c>
      <c r="N33" s="20" t="n">
        <v>0</v>
      </c>
      <c r="O33" s="18" t="n">
        <v>0</v>
      </c>
      <c r="P33" s="20" t="n">
        <v>0</v>
      </c>
      <c r="Q33" s="18" t="n">
        <v>0.11530518</v>
      </c>
      <c r="R33" s="20" t="n">
        <v>0.12429306</v>
      </c>
    </row>
    <row r="34" spans="1:18">
      <c r="A34" s="15" t="s">
        <v>592</v>
      </c>
      <c r="B34" s="17" t="n">
        <v>6350</v>
      </c>
      <c r="C34" s="18">
        <f>(4998.0/B34*100)</f>
        <v/>
      </c>
      <c r="D34" s="19" t="n">
        <v>1352</v>
      </c>
      <c r="E34" s="18" t="n">
        <v>80.55013941999999</v>
      </c>
      <c r="F34" s="20" t="n">
        <v>1.19246184</v>
      </c>
      <c r="G34" s="18" t="n">
        <v>17.57983678</v>
      </c>
      <c r="H34" s="20" t="n">
        <v>1.09374526</v>
      </c>
      <c r="I34" s="18" t="n">
        <v>0</v>
      </c>
      <c r="J34" s="20" t="n">
        <v>0</v>
      </c>
      <c r="K34" s="18" t="n">
        <v>1.41898442</v>
      </c>
      <c r="L34" s="20" t="n">
        <v>0.33213907</v>
      </c>
      <c r="M34" s="18" t="n">
        <v>0</v>
      </c>
      <c r="N34" s="20" t="n">
        <v>0</v>
      </c>
      <c r="O34" s="18" t="n">
        <v>0</v>
      </c>
      <c r="P34" s="20" t="n">
        <v>0</v>
      </c>
      <c r="Q34" s="18" t="n">
        <v>0.45103937</v>
      </c>
      <c r="R34" s="20" t="n">
        <v>0.18834098</v>
      </c>
    </row>
    <row r="35" spans="1:18">
      <c r="A35" s="15" t="s">
        <v>593</v>
      </c>
      <c r="B35" s="17" t="n">
        <v>6406</v>
      </c>
      <c r="C35" s="18">
        <f>(5044.0/B35*100)</f>
        <v/>
      </c>
      <c r="D35" s="19" t="n">
        <v>1362</v>
      </c>
      <c r="E35" s="18" t="n">
        <v>67.55191883000001</v>
      </c>
      <c r="F35" s="20" t="n">
        <v>1.86809069</v>
      </c>
      <c r="G35" s="18" t="n">
        <v>30.9297663</v>
      </c>
      <c r="H35" s="20" t="n">
        <v>1.84459326</v>
      </c>
      <c r="I35" s="18" t="n">
        <v>0</v>
      </c>
      <c r="J35" s="20" t="n">
        <v>0</v>
      </c>
      <c r="K35" s="18" t="n">
        <v>1.29529663</v>
      </c>
      <c r="L35" s="20" t="n">
        <v>0.45483571</v>
      </c>
      <c r="M35" s="18" t="n">
        <v>0</v>
      </c>
      <c r="N35" s="20" t="n">
        <v>0</v>
      </c>
      <c r="O35" s="18" t="n">
        <v>0</v>
      </c>
      <c r="P35" s="20" t="n">
        <v>0</v>
      </c>
      <c r="Q35" s="18" t="n">
        <v>0.22301824</v>
      </c>
      <c r="R35" s="20" t="n">
        <v>0.22269637</v>
      </c>
    </row>
    <row r="36" spans="1:18">
      <c r="A36" s="15" t="s">
        <v>594</v>
      </c>
      <c r="B36" s="17" t="n">
        <v>6736</v>
      </c>
      <c r="C36" s="18">
        <f>(5357.0/B36*100)</f>
        <v/>
      </c>
      <c r="D36" s="19" t="n">
        <v>1379</v>
      </c>
      <c r="E36" s="18" t="n">
        <v>75.20012146000001</v>
      </c>
      <c r="F36" s="20" t="n">
        <v>1.23553199</v>
      </c>
      <c r="G36" s="18" t="n">
        <v>23.13808721</v>
      </c>
      <c r="H36" s="20" t="n">
        <v>1.1952174</v>
      </c>
      <c r="I36" s="18" t="n">
        <v>0</v>
      </c>
      <c r="J36" s="20" t="n">
        <v>0</v>
      </c>
      <c r="K36" s="18" t="n">
        <v>1.66179133</v>
      </c>
      <c r="L36" s="20" t="n">
        <v>0.34382837</v>
      </c>
      <c r="M36" s="18" t="n">
        <v>0</v>
      </c>
      <c r="N36" s="20" t="n">
        <v>0</v>
      </c>
      <c r="O36" s="18" t="n">
        <v>0</v>
      </c>
      <c r="P36" s="20" t="n">
        <v>0</v>
      </c>
      <c r="Q36" s="18" t="n">
        <v>0</v>
      </c>
      <c r="R36" s="20" t="n">
        <v>0</v>
      </c>
    </row>
    <row r="37" spans="1:18">
      <c r="A37" s="15" t="s">
        <v>595</v>
      </c>
      <c r="B37" s="17" t="n">
        <v>5458</v>
      </c>
      <c r="C37" s="18">
        <f>(4347.0/B37*100)</f>
        <v/>
      </c>
      <c r="D37" s="19" t="n">
        <v>1111</v>
      </c>
      <c r="E37" s="18" t="n">
        <v>69.60520433000001</v>
      </c>
      <c r="F37" s="20" t="n">
        <v>1.33629913</v>
      </c>
      <c r="G37" s="18" t="n">
        <v>25.82691464</v>
      </c>
      <c r="H37" s="20" t="n">
        <v>1.40329805</v>
      </c>
      <c r="I37" s="18" t="n">
        <v>0</v>
      </c>
      <c r="J37" s="20" t="n">
        <v>0</v>
      </c>
      <c r="K37" s="18" t="n">
        <v>4.30049275</v>
      </c>
      <c r="L37" s="20" t="n">
        <v>0.6260886</v>
      </c>
      <c r="M37" s="18" t="n">
        <v>0</v>
      </c>
      <c r="N37" s="20" t="n">
        <v>0</v>
      </c>
      <c r="O37" s="18" t="n">
        <v>0</v>
      </c>
      <c r="P37" s="20" t="n">
        <v>0</v>
      </c>
      <c r="Q37" s="18" t="n">
        <v>0.26738828</v>
      </c>
      <c r="R37" s="20" t="n">
        <v>0.1589807</v>
      </c>
    </row>
    <row r="38" spans="1:18">
      <c r="A38" s="15" t="s">
        <v>596</v>
      </c>
      <c r="B38" s="17" t="n">
        <v>5860</v>
      </c>
      <c r="C38" s="18">
        <f>(4675.0/B38*100)</f>
        <v/>
      </c>
      <c r="D38" s="19" t="n">
        <v>1185</v>
      </c>
      <c r="E38" s="18" t="n">
        <v>64.02396898000001</v>
      </c>
      <c r="F38" s="20" t="n">
        <v>1.64634145</v>
      </c>
      <c r="G38" s="18" t="n">
        <v>34.32995807</v>
      </c>
      <c r="H38" s="20" t="n">
        <v>1.60472747</v>
      </c>
      <c r="I38" s="18" t="n">
        <v>0</v>
      </c>
      <c r="J38" s="20" t="n">
        <v>0</v>
      </c>
      <c r="K38" s="18" t="n">
        <v>1.64607295</v>
      </c>
      <c r="L38" s="20" t="n">
        <v>0.39567129</v>
      </c>
      <c r="M38" s="18" t="n">
        <v>0</v>
      </c>
      <c r="N38" s="20" t="n">
        <v>0</v>
      </c>
      <c r="O38" s="18" t="n">
        <v>0</v>
      </c>
      <c r="P38" s="20" t="n">
        <v>0</v>
      </c>
      <c r="Q38" s="18" t="n">
        <v>0</v>
      </c>
      <c r="R38" s="20" t="n">
        <v>0</v>
      </c>
    </row>
    <row r="39" spans="1:18">
      <c r="A39" s="15" t="s">
        <v>597</v>
      </c>
      <c r="B39" s="17" t="n">
        <v>5895</v>
      </c>
      <c r="C39" s="18">
        <f>(4570.0/B39*100)</f>
        <v/>
      </c>
      <c r="D39" s="19" t="n">
        <v>1325</v>
      </c>
      <c r="E39" s="18" t="n">
        <v>83.85856324</v>
      </c>
      <c r="F39" s="20" t="n">
        <v>1.11837894</v>
      </c>
      <c r="G39" s="18" t="n">
        <v>15.25677872</v>
      </c>
      <c r="H39" s="20" t="n">
        <v>1.07826739</v>
      </c>
      <c r="I39" s="18" t="n">
        <v>0</v>
      </c>
      <c r="J39" s="20" t="n">
        <v>0</v>
      </c>
      <c r="K39" s="18" t="n">
        <v>0.76162566</v>
      </c>
      <c r="L39" s="20" t="n">
        <v>0.21474309</v>
      </c>
      <c r="M39" s="18" t="n">
        <v>0</v>
      </c>
      <c r="N39" s="20" t="n">
        <v>0</v>
      </c>
      <c r="O39" s="18" t="n">
        <v>0</v>
      </c>
      <c r="P39" s="20" t="n">
        <v>0</v>
      </c>
      <c r="Q39" s="18" t="n">
        <v>0.12303238</v>
      </c>
      <c r="R39" s="20" t="n">
        <v>0.08114154</v>
      </c>
    </row>
    <row r="40" spans="1:18">
      <c r="A40" s="15" t="s">
        <v>598</v>
      </c>
      <c r="B40" s="17" t="n">
        <v>14157</v>
      </c>
      <c r="C40" s="18">
        <f>(11072.0/B40*100)</f>
        <v/>
      </c>
      <c r="D40" s="19" t="n">
        <v>3085</v>
      </c>
      <c r="E40" s="18" t="n">
        <v>50.80854216</v>
      </c>
      <c r="F40" s="20" t="n">
        <v>1.4945556</v>
      </c>
      <c r="G40" s="18" t="n">
        <v>47.94075824</v>
      </c>
      <c r="H40" s="20" t="n">
        <v>1.46242224</v>
      </c>
      <c r="I40" s="18" t="n">
        <v>0</v>
      </c>
      <c r="J40" s="20" t="n">
        <v>0</v>
      </c>
      <c r="K40" s="18" t="n">
        <v>1.22593512</v>
      </c>
      <c r="L40" s="20" t="n">
        <v>0.34048202</v>
      </c>
      <c r="M40" s="18" t="n">
        <v>0</v>
      </c>
      <c r="N40" s="20" t="n">
        <v>0</v>
      </c>
      <c r="O40" s="18" t="n">
        <v>0</v>
      </c>
      <c r="P40" s="20" t="n">
        <v>0</v>
      </c>
      <c r="Q40" s="18" t="n">
        <v>0.02476448</v>
      </c>
      <c r="R40" s="20" t="n">
        <v>0.01882967</v>
      </c>
    </row>
    <row r="41" spans="1:18">
      <c r="A41" s="15" t="s">
        <v>599</v>
      </c>
      <c r="B41" s="17" t="n">
        <v>5712</v>
      </c>
      <c r="C41" s="18">
        <f>(4539.0/B41*100)</f>
        <v/>
      </c>
      <c r="D41" s="19" t="n">
        <v>1173</v>
      </c>
      <c r="E41" s="18" t="n">
        <v>63.24439705</v>
      </c>
      <c r="F41" s="20" t="n">
        <v>1.47223981</v>
      </c>
      <c r="G41" s="18" t="n">
        <v>35.79288865</v>
      </c>
      <c r="H41" s="20" t="n">
        <v>1.48610344</v>
      </c>
      <c r="I41" s="18" t="n">
        <v>0</v>
      </c>
      <c r="J41" s="20" t="n">
        <v>0</v>
      </c>
      <c r="K41" s="18" t="n">
        <v>0.69330201</v>
      </c>
      <c r="L41" s="20" t="n">
        <v>0.22735798</v>
      </c>
      <c r="M41" s="18" t="n">
        <v>0</v>
      </c>
      <c r="N41" s="20" t="n">
        <v>0</v>
      </c>
      <c r="O41" s="18" t="n">
        <v>0</v>
      </c>
      <c r="P41" s="20" t="n">
        <v>0</v>
      </c>
      <c r="Q41" s="18" t="n">
        <v>0.26941229</v>
      </c>
      <c r="R41" s="20" t="n">
        <v>0.20085341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(19834.0/B46*100)</f>
        <v/>
      </c>
      <c r="D46" s="19" t="n">
        <v>3307</v>
      </c>
      <c r="E46" s="18" t="n">
        <v>82.1744143</v>
      </c>
      <c r="F46" s="20" t="n">
        <v>0.97302674</v>
      </c>
      <c r="G46" s="18" t="n">
        <v>12.48528683</v>
      </c>
      <c r="H46" s="20" t="n">
        <v>0.88220527</v>
      </c>
      <c r="I46" s="18" t="n">
        <v>0</v>
      </c>
      <c r="J46" s="20" t="n">
        <v>0</v>
      </c>
      <c r="K46" s="18" t="n">
        <v>5.01471126</v>
      </c>
      <c r="L46" s="20" t="n">
        <v>0.62484895</v>
      </c>
      <c r="M46" s="18" t="n">
        <v>0</v>
      </c>
      <c r="N46" s="20" t="n">
        <v>0</v>
      </c>
      <c r="O46" s="18" t="n">
        <v>0</v>
      </c>
      <c r="P46" s="20" t="n">
        <v>0</v>
      </c>
      <c r="Q46" s="18" t="n">
        <v>0.32558761</v>
      </c>
      <c r="R46" s="20" t="n">
        <v>0.1336084</v>
      </c>
    </row>
    <row r="47" spans="1:18">
      <c r="A47" s="15" t="s">
        <v>606</v>
      </c>
      <c r="B47" s="17" t="n">
        <v>5928</v>
      </c>
      <c r="C47" s="18">
        <f>(4687.0/B47*100)</f>
        <v/>
      </c>
      <c r="D47" s="19" t="n">
        <v>1241</v>
      </c>
      <c r="E47" s="18" t="n">
        <v>80.65374213</v>
      </c>
      <c r="F47" s="20" t="n">
        <v>1.30204884</v>
      </c>
      <c r="G47" s="18" t="n">
        <v>16.89080328</v>
      </c>
      <c r="H47" s="20" t="n">
        <v>1.22670146</v>
      </c>
      <c r="I47" s="18" t="n">
        <v>0</v>
      </c>
      <c r="J47" s="20" t="n">
        <v>0</v>
      </c>
      <c r="K47" s="18" t="n">
        <v>2.19418893</v>
      </c>
      <c r="L47" s="20" t="n">
        <v>0.47562199</v>
      </c>
      <c r="M47" s="18" t="n">
        <v>0</v>
      </c>
      <c r="N47" s="20" t="n">
        <v>0</v>
      </c>
      <c r="O47" s="18" t="n">
        <v>0</v>
      </c>
      <c r="P47" s="20" t="n">
        <v>0</v>
      </c>
      <c r="Q47" s="18" t="n">
        <v>0.26126567</v>
      </c>
      <c r="R47" s="20" t="n">
        <v>0.17661057</v>
      </c>
    </row>
    <row r="48" spans="1:18">
      <c r="A48" s="15" t="s">
        <v>607</v>
      </c>
      <c r="B48" s="17" t="n">
        <v>9841</v>
      </c>
      <c r="C48" s="18">
        <f>(7702.0/B48*100)</f>
        <v/>
      </c>
      <c r="D48" s="19" t="n">
        <v>2139</v>
      </c>
      <c r="E48" s="18" t="n">
        <v>81.69096455</v>
      </c>
      <c r="F48" s="20" t="n">
        <v>1.04306956</v>
      </c>
      <c r="G48" s="18" t="n">
        <v>17.17354164</v>
      </c>
      <c r="H48" s="20" t="n">
        <v>0.96812478</v>
      </c>
      <c r="I48" s="18" t="n">
        <v>0</v>
      </c>
      <c r="J48" s="20" t="n">
        <v>0</v>
      </c>
      <c r="K48" s="18" t="n">
        <v>1.13549381</v>
      </c>
      <c r="L48" s="20" t="n">
        <v>0.41223471</v>
      </c>
      <c r="M48" s="18" t="n">
        <v>0</v>
      </c>
      <c r="N48" s="20" t="n">
        <v>0</v>
      </c>
      <c r="O48" s="18" t="n">
        <v>0</v>
      </c>
      <c r="P48" s="20" t="n">
        <v>0</v>
      </c>
      <c r="Q48" s="18" t="n">
        <v>0</v>
      </c>
      <c r="R48" s="20" t="n">
        <v>0</v>
      </c>
    </row>
    <row r="49" spans="1:18">
      <c r="A49" s="15" t="s">
        <v>608</v>
      </c>
      <c r="B49" s="17" t="n">
        <v>11795</v>
      </c>
      <c r="C49" s="18">
        <f>(9444.0/B49*100)</f>
        <v/>
      </c>
      <c r="D49" s="19" t="n">
        <v>2351</v>
      </c>
      <c r="E49" s="18" t="n">
        <v>80.70126702</v>
      </c>
      <c r="F49" s="20" t="n">
        <v>1.04300926</v>
      </c>
      <c r="G49" s="18" t="n">
        <v>15.26924892</v>
      </c>
      <c r="H49" s="20" t="n">
        <v>1.01201673</v>
      </c>
      <c r="I49" s="18" t="n">
        <v>0</v>
      </c>
      <c r="J49" s="20" t="n">
        <v>0</v>
      </c>
      <c r="K49" s="18" t="n">
        <v>3.83038628</v>
      </c>
      <c r="L49" s="20" t="n">
        <v>0.52079273</v>
      </c>
      <c r="M49" s="18" t="n">
        <v>0</v>
      </c>
      <c r="N49" s="20" t="n">
        <v>0</v>
      </c>
      <c r="O49" s="18" t="n">
        <v>0</v>
      </c>
      <c r="P49" s="20" t="n">
        <v>0</v>
      </c>
      <c r="Q49" s="18" t="n">
        <v>0.19909778</v>
      </c>
      <c r="R49" s="20" t="n">
        <v>0.13216735</v>
      </c>
    </row>
    <row r="50" spans="1:18">
      <c r="A50" s="15" t="s">
        <v>609</v>
      </c>
      <c r="B50" s="17" t="n">
        <v>6866</v>
      </c>
      <c r="C50" s="18">
        <f>(5697.0/B50*100)</f>
        <v/>
      </c>
      <c r="D50" s="19" t="n">
        <v>1169</v>
      </c>
      <c r="E50" s="18" t="n">
        <v>92.47146016000001</v>
      </c>
      <c r="F50" s="20" t="n">
        <v>0.84769938</v>
      </c>
      <c r="G50" s="18" t="n">
        <v>5.55937405</v>
      </c>
      <c r="H50" s="20" t="n">
        <v>0.74261909</v>
      </c>
      <c r="I50" s="18" t="n">
        <v>0</v>
      </c>
      <c r="J50" s="20" t="n">
        <v>0</v>
      </c>
      <c r="K50" s="18" t="n">
        <v>1.96916578</v>
      </c>
      <c r="L50" s="20" t="n">
        <v>0.55277858</v>
      </c>
      <c r="M50" s="18" t="n">
        <v>0</v>
      </c>
      <c r="N50" s="20" t="n">
        <v>0</v>
      </c>
      <c r="O50" s="18" t="n">
        <v>0</v>
      </c>
      <c r="P50" s="20" t="n">
        <v>0</v>
      </c>
      <c r="Q50" s="18" t="n">
        <v>0</v>
      </c>
      <c r="R50" s="20" t="n">
        <v>0</v>
      </c>
    </row>
    <row r="51" spans="1:18">
      <c r="A51" s="15" t="s">
        <v>610</v>
      </c>
      <c r="B51" s="17" t="n">
        <v>5809</v>
      </c>
      <c r="C51" s="18">
        <f>(4609.0/B51*100)</f>
        <v/>
      </c>
      <c r="D51" s="19" t="n">
        <v>1200</v>
      </c>
      <c r="E51" s="18" t="n">
        <v>74.46741142</v>
      </c>
      <c r="F51" s="20" t="n">
        <v>1.2539317</v>
      </c>
      <c r="G51" s="18" t="n">
        <v>24.78928507</v>
      </c>
      <c r="H51" s="20" t="n">
        <v>1.26062838</v>
      </c>
      <c r="I51" s="18" t="n">
        <v>0</v>
      </c>
      <c r="J51" s="20" t="n">
        <v>0</v>
      </c>
      <c r="K51" s="18" t="n">
        <v>0.7433035099999999</v>
      </c>
      <c r="L51" s="20" t="n">
        <v>0.26872676</v>
      </c>
      <c r="M51" s="18" t="n">
        <v>0</v>
      </c>
      <c r="N51" s="20" t="n">
        <v>0</v>
      </c>
      <c r="O51" s="18" t="n">
        <v>0</v>
      </c>
      <c r="P51" s="20" t="n">
        <v>0</v>
      </c>
      <c r="Q51" s="18" t="n">
        <v>0</v>
      </c>
      <c r="R51" s="20" t="n">
        <v>0</v>
      </c>
    </row>
    <row r="52" spans="1:18">
      <c r="A52" s="15" t="s">
        <v>611</v>
      </c>
      <c r="B52" s="17" t="n">
        <v>5571</v>
      </c>
      <c r="C52" s="18">
        <f>(4429.0/B52*100)</f>
        <v/>
      </c>
      <c r="D52" s="19" t="n">
        <v>1142</v>
      </c>
      <c r="E52" s="18" t="n">
        <v>76.48426173</v>
      </c>
      <c r="F52" s="20" t="n">
        <v>1.36106418</v>
      </c>
      <c r="G52" s="18" t="n">
        <v>21.90107126</v>
      </c>
      <c r="H52" s="20" t="n">
        <v>1.39450407</v>
      </c>
      <c r="I52" s="18" t="n">
        <v>0</v>
      </c>
      <c r="J52" s="20" t="n">
        <v>0</v>
      </c>
      <c r="K52" s="18" t="n">
        <v>1.61466701</v>
      </c>
      <c r="L52" s="20" t="n">
        <v>0.35394475</v>
      </c>
      <c r="M52" s="18" t="n">
        <v>0</v>
      </c>
      <c r="N52" s="20" t="n">
        <v>0</v>
      </c>
      <c r="O52" s="18" t="n">
        <v>0</v>
      </c>
      <c r="P52" s="20" t="n">
        <v>0</v>
      </c>
      <c r="Q52" s="18" t="n">
        <v>0</v>
      </c>
      <c r="R52" s="20" t="n">
        <v>0</v>
      </c>
    </row>
    <row r="53" spans="1:18">
      <c r="A53" s="15" t="s">
        <v>612</v>
      </c>
      <c r="B53" s="17" t="n">
        <v>4740</v>
      </c>
      <c r="C53" s="18">
        <f>(3680.0/B53*100)</f>
        <v/>
      </c>
      <c r="D53" s="19" t="n">
        <v>1060</v>
      </c>
      <c r="E53" s="18" t="n">
        <v>66.4874674</v>
      </c>
      <c r="F53" s="20" t="n">
        <v>1.75928686</v>
      </c>
      <c r="G53" s="18" t="n">
        <v>3.43689718</v>
      </c>
      <c r="H53" s="20" t="n">
        <v>0.7604727100000001</v>
      </c>
      <c r="I53" s="18" t="n">
        <v>0</v>
      </c>
      <c r="J53" s="20" t="n">
        <v>0</v>
      </c>
      <c r="K53" s="18" t="n">
        <v>29.79640257</v>
      </c>
      <c r="L53" s="20" t="n">
        <v>1.7742837</v>
      </c>
      <c r="M53" s="18" t="n">
        <v>0</v>
      </c>
      <c r="N53" s="20" t="n">
        <v>0</v>
      </c>
      <c r="O53" s="18" t="n">
        <v>0</v>
      </c>
      <c r="P53" s="20" t="n">
        <v>0</v>
      </c>
      <c r="Q53" s="18" t="n">
        <v>0.27923285</v>
      </c>
      <c r="R53" s="20" t="n">
        <v>0.24122789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(4194.0/B55*100)</f>
        <v/>
      </c>
      <c r="D55" s="19" t="n">
        <v>1165</v>
      </c>
      <c r="E55" s="18" t="n">
        <v>40.57848515</v>
      </c>
      <c r="F55" s="20" t="n">
        <v>1.8098649</v>
      </c>
      <c r="G55" s="18" t="n">
        <v>58.66521415</v>
      </c>
      <c r="H55" s="20" t="n">
        <v>1.82370004</v>
      </c>
      <c r="I55" s="18" t="n">
        <v>0</v>
      </c>
      <c r="J55" s="20" t="n">
        <v>0</v>
      </c>
      <c r="K55" s="18" t="n">
        <v>0.6871976400000001</v>
      </c>
      <c r="L55" s="20" t="n">
        <v>0.27621906</v>
      </c>
      <c r="M55" s="18" t="n">
        <v>0</v>
      </c>
      <c r="N55" s="20" t="n">
        <v>0</v>
      </c>
      <c r="O55" s="18" t="n">
        <v>0</v>
      </c>
      <c r="P55" s="20" t="n">
        <v>0</v>
      </c>
      <c r="Q55" s="18" t="n">
        <v>0.06910305999999999</v>
      </c>
      <c r="R55" s="20" t="n">
        <v>0.06918046999999999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(5105.0/B61*100)</f>
        <v/>
      </c>
      <c r="D61" s="19" t="n">
        <v>1420</v>
      </c>
      <c r="E61" s="18" t="n">
        <v>80.30615881999999</v>
      </c>
      <c r="F61" s="20" t="n">
        <v>1.22461954</v>
      </c>
      <c r="G61" s="18" t="n">
        <v>18.69149052</v>
      </c>
      <c r="H61" s="20" t="n">
        <v>1.19888642</v>
      </c>
      <c r="I61" s="18" t="n">
        <v>0</v>
      </c>
      <c r="J61" s="20" t="n">
        <v>0</v>
      </c>
      <c r="K61" s="18" t="n">
        <v>1.00235065</v>
      </c>
      <c r="L61" s="20" t="n">
        <v>0.3210458</v>
      </c>
      <c r="M61" s="18" t="n">
        <v>0</v>
      </c>
      <c r="N61" s="20" t="n">
        <v>0</v>
      </c>
      <c r="O61" s="18" t="n">
        <v>0</v>
      </c>
      <c r="P61" s="20" t="n">
        <v>0</v>
      </c>
      <c r="Q61" s="18" t="n">
        <v>0</v>
      </c>
      <c r="R61" s="20" t="n">
        <v>0</v>
      </c>
    </row>
    <row r="62" spans="1:18">
      <c r="A62" s="15" t="s">
        <v>622</v>
      </c>
      <c r="B62" s="17" t="n">
        <v>4476</v>
      </c>
      <c r="C62" s="18">
        <f>(3564.0/B62*100)</f>
        <v/>
      </c>
      <c r="D62" s="19" t="n">
        <v>912</v>
      </c>
      <c r="E62" s="18" t="n">
        <v>69.10974834</v>
      </c>
      <c r="F62" s="20" t="n">
        <v>1.72336866</v>
      </c>
      <c r="G62" s="18" t="n">
        <v>30.7775222</v>
      </c>
      <c r="H62" s="20" t="n">
        <v>1.73051757</v>
      </c>
      <c r="I62" s="18" t="n">
        <v>0</v>
      </c>
      <c r="J62" s="20" t="n">
        <v>0</v>
      </c>
      <c r="K62" s="18" t="n">
        <v>0.11272945</v>
      </c>
      <c r="L62" s="20" t="n">
        <v>0.11294734</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(4480.0/B67*100)</f>
        <v/>
      </c>
      <c r="D67" s="19" t="n">
        <v>1185</v>
      </c>
      <c r="E67" s="18" t="n">
        <v>77.15118336</v>
      </c>
      <c r="F67" s="20" t="n">
        <v>1.25524777</v>
      </c>
      <c r="G67" s="18" t="n">
        <v>19.59181097</v>
      </c>
      <c r="H67" s="20" t="n">
        <v>1.16664018</v>
      </c>
      <c r="I67" s="18" t="n">
        <v>0</v>
      </c>
      <c r="J67" s="20" t="n">
        <v>0</v>
      </c>
      <c r="K67" s="18" t="n">
        <v>2.36337587</v>
      </c>
      <c r="L67" s="20" t="n">
        <v>0.43644908</v>
      </c>
      <c r="M67" s="18" t="n">
        <v>0</v>
      </c>
      <c r="N67" s="20" t="n">
        <v>0</v>
      </c>
      <c r="O67" s="18" t="n">
        <v>0</v>
      </c>
      <c r="P67" s="20" t="n">
        <v>0</v>
      </c>
      <c r="Q67" s="18" t="n">
        <v>0.8936298</v>
      </c>
      <c r="R67" s="20" t="n">
        <v>0.34408365</v>
      </c>
    </row>
    <row r="68" spans="1:18">
      <c r="A68" s="15" t="s">
        <v>628</v>
      </c>
      <c r="B68" s="17" t="n">
        <v>6971</v>
      </c>
      <c r="C68" s="18">
        <f>(5774.0/B68*100)</f>
        <v/>
      </c>
      <c r="D68" s="19" t="n">
        <v>1197</v>
      </c>
      <c r="E68" s="18" t="n">
        <v>88.80238518</v>
      </c>
      <c r="F68" s="20" t="n">
        <v>1.01842393</v>
      </c>
      <c r="G68" s="18" t="n">
        <v>10.48303856</v>
      </c>
      <c r="H68" s="20" t="n">
        <v>1.01416547</v>
      </c>
      <c r="I68" s="18" t="n">
        <v>0</v>
      </c>
      <c r="J68" s="20" t="n">
        <v>0</v>
      </c>
      <c r="K68" s="18" t="n">
        <v>0.71457626</v>
      </c>
      <c r="L68" s="20" t="n">
        <v>0.23886324</v>
      </c>
      <c r="M68" s="18" t="n">
        <v>0</v>
      </c>
      <c r="N68" s="20" t="n">
        <v>0</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(9417.0/B70*100)</f>
        <v/>
      </c>
      <c r="D70" s="19" t="n">
        <v>2666</v>
      </c>
      <c r="E70" s="18" t="n">
        <v>74.42624841999999</v>
      </c>
      <c r="F70" s="20" t="n">
        <v>0.8147068</v>
      </c>
      <c r="G70" s="18" t="n">
        <v>18.12507021</v>
      </c>
      <c r="H70" s="20" t="n">
        <v>0.7568909</v>
      </c>
      <c r="I70" s="18" t="n">
        <v>0</v>
      </c>
      <c r="J70" s="20" t="n">
        <v>0</v>
      </c>
      <c r="K70" s="18" t="n">
        <v>7.3045451</v>
      </c>
      <c r="L70" s="20" t="n">
        <v>0.42329011</v>
      </c>
      <c r="M70" s="18" t="n">
        <v>0</v>
      </c>
      <c r="N70" s="20" t="n">
        <v>0</v>
      </c>
      <c r="O70" s="18" t="n">
        <v>0</v>
      </c>
      <c r="P70" s="20" t="n">
        <v>0</v>
      </c>
      <c r="Q70" s="18" t="n">
        <v>0.14413626</v>
      </c>
      <c r="R70" s="20" t="n">
        <v>0.05149614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(4845.0/B72*100)</f>
        <v/>
      </c>
      <c r="D72" s="19" t="n">
        <v>1191</v>
      </c>
      <c r="E72" s="18" t="n">
        <v>79.69000234000001</v>
      </c>
      <c r="F72" s="20" t="n">
        <v>1.61589</v>
      </c>
      <c r="G72" s="18" t="n">
        <v>19.01220558</v>
      </c>
      <c r="H72" s="20" t="n">
        <v>1.50970298</v>
      </c>
      <c r="I72" s="18" t="n">
        <v>0</v>
      </c>
      <c r="J72" s="20" t="n">
        <v>0</v>
      </c>
      <c r="K72" s="18" t="n">
        <v>1.25354031</v>
      </c>
      <c r="L72" s="20" t="n">
        <v>0.38094365</v>
      </c>
      <c r="M72" s="18" t="n">
        <v>0</v>
      </c>
      <c r="N72" s="20" t="n">
        <v>0</v>
      </c>
      <c r="O72" s="18" t="n">
        <v>0</v>
      </c>
      <c r="P72" s="20" t="n">
        <v>0</v>
      </c>
      <c r="Q72" s="18" t="n">
        <v>0.04425177</v>
      </c>
      <c r="R72" s="20" t="n">
        <v>0.031385</v>
      </c>
    </row>
    <row r="73" spans="1:18">
      <c r="A73" s="15" t="s">
        <v>633</v>
      </c>
      <c r="B73" s="17" t="n">
        <v>6115</v>
      </c>
      <c r="C73" s="18">
        <f>(4738.0/B73*100)</f>
        <v/>
      </c>
      <c r="D73" s="19" t="n">
        <v>1377</v>
      </c>
      <c r="E73" s="18" t="n">
        <v>52.33386136</v>
      </c>
      <c r="F73" s="20" t="n">
        <v>1.54753717</v>
      </c>
      <c r="G73" s="18" t="n">
        <v>47.3531492</v>
      </c>
      <c r="H73" s="20" t="n">
        <v>1.56484392</v>
      </c>
      <c r="I73" s="18" t="n">
        <v>0</v>
      </c>
      <c r="J73" s="20" t="n">
        <v>0</v>
      </c>
      <c r="K73" s="18" t="n">
        <v>0.26429333</v>
      </c>
      <c r="L73" s="20" t="n">
        <v>0.12325149</v>
      </c>
      <c r="M73" s="18" t="n">
        <v>0</v>
      </c>
      <c r="N73" s="20" t="n">
        <v>0</v>
      </c>
      <c r="O73" s="18" t="n">
        <v>0</v>
      </c>
      <c r="P73" s="20" t="n">
        <v>0</v>
      </c>
      <c r="Q73" s="18" t="n">
        <v>0.04869611</v>
      </c>
      <c r="R73" s="20" t="n">
        <v>0.04874746</v>
      </c>
    </row>
    <row r="74" spans="1:18">
      <c r="A74" s="15" t="s">
        <v>634</v>
      </c>
      <c r="B74" s="17" t="n">
        <v>7708</v>
      </c>
      <c r="C74" s="18">
        <f>(5989.0/B74*100)</f>
        <v/>
      </c>
      <c r="D74" s="19" t="n">
        <v>1719</v>
      </c>
      <c r="E74" s="18" t="n">
        <v>67.86950315</v>
      </c>
      <c r="F74" s="20" t="n">
        <v>1.51915593</v>
      </c>
      <c r="G74" s="18" t="n">
        <v>31.69524141</v>
      </c>
      <c r="H74" s="20" t="n">
        <v>1.48576176</v>
      </c>
      <c r="I74" s="18" t="n">
        <v>0</v>
      </c>
      <c r="J74" s="20" t="n">
        <v>0</v>
      </c>
      <c r="K74" s="18" t="n">
        <v>0.43525544</v>
      </c>
      <c r="L74" s="20" t="n">
        <v>0.17120811</v>
      </c>
      <c r="M74" s="18" t="n">
        <v>0</v>
      </c>
      <c r="N74" s="20" t="n">
        <v>0</v>
      </c>
      <c r="O74" s="18" t="n">
        <v>0</v>
      </c>
      <c r="P74" s="20" t="n">
        <v>0</v>
      </c>
      <c r="Q74" s="18" t="n">
        <v>0</v>
      </c>
      <c r="R74" s="20" t="n">
        <v>0</v>
      </c>
    </row>
    <row r="75" spans="1:18">
      <c r="A75" s="15" t="s">
        <v>635</v>
      </c>
      <c r="B75" s="17" t="n">
        <v>8249</v>
      </c>
      <c r="C75" s="18">
        <f>(6610.0/B75*100)</f>
        <v/>
      </c>
      <c r="D75" s="19" t="n">
        <v>1639</v>
      </c>
      <c r="E75" s="18" t="n">
        <v>76.40359789999999</v>
      </c>
      <c r="F75" s="20" t="n">
        <v>1.39301596</v>
      </c>
      <c r="G75" s="18" t="n">
        <v>23.15146001</v>
      </c>
      <c r="H75" s="20" t="n">
        <v>1.43834306</v>
      </c>
      <c r="I75" s="18" t="n">
        <v>0</v>
      </c>
      <c r="J75" s="20" t="n">
        <v>0</v>
      </c>
      <c r="K75" s="18" t="n">
        <v>0.35983861</v>
      </c>
      <c r="L75" s="20" t="n">
        <v>0.16825718</v>
      </c>
      <c r="M75" s="18" t="n">
        <v>0</v>
      </c>
      <c r="N75" s="20" t="n">
        <v>0</v>
      </c>
      <c r="O75" s="18" t="n">
        <v>0</v>
      </c>
      <c r="P75" s="20" t="n">
        <v>0</v>
      </c>
      <c r="Q75" s="18" t="n">
        <v>0.08510348</v>
      </c>
      <c r="R75" s="20" t="n">
        <v>0.08462996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(4359.0/B77*100)</f>
        <v/>
      </c>
      <c r="D77" s="19" t="n">
        <v>1016</v>
      </c>
      <c r="E77" s="18" t="n">
        <v>82.82563574</v>
      </c>
      <c r="F77" s="20" t="n">
        <v>1.5723536</v>
      </c>
      <c r="G77" s="18" t="n">
        <v>8.15938463</v>
      </c>
      <c r="H77" s="20" t="n">
        <v>0.8517944</v>
      </c>
      <c r="I77" s="18" t="n">
        <v>0</v>
      </c>
      <c r="J77" s="20" t="n">
        <v>0</v>
      </c>
      <c r="K77" s="18" t="n">
        <v>9.01497962</v>
      </c>
      <c r="L77" s="20" t="n">
        <v>1.31353127</v>
      </c>
      <c r="M77" s="18" t="n">
        <v>0</v>
      </c>
      <c r="N77" s="20" t="n">
        <v>0</v>
      </c>
      <c r="O77" s="18" t="n">
        <v>0</v>
      </c>
      <c r="P77" s="20" t="n">
        <v>0</v>
      </c>
      <c r="Q77" s="18" t="n">
        <v>0</v>
      </c>
      <c r="R77" s="20" t="n">
        <v>0</v>
      </c>
    </row>
    <row r="78" spans="1:18">
      <c r="A78" s="15" t="s">
        <v>638</v>
      </c>
      <c r="B78" s="17" t="n">
        <v>14167</v>
      </c>
      <c r="C78" s="18">
        <f>(11059.0/B78*100)</f>
        <v/>
      </c>
      <c r="D78" s="19" t="n">
        <v>3108</v>
      </c>
      <c r="E78" s="18" t="n">
        <v>74.23827205000001</v>
      </c>
      <c r="F78" s="20" t="n">
        <v>0.94523017</v>
      </c>
      <c r="G78" s="18" t="n">
        <v>23.49981563</v>
      </c>
      <c r="H78" s="20" t="n">
        <v>0.83753351</v>
      </c>
      <c r="I78" s="18" t="n">
        <v>0</v>
      </c>
      <c r="J78" s="20" t="n">
        <v>0</v>
      </c>
      <c r="K78" s="18" t="n">
        <v>2.02160943</v>
      </c>
      <c r="L78" s="20" t="n">
        <v>0.36993383</v>
      </c>
      <c r="M78" s="18" t="n">
        <v>0</v>
      </c>
      <c r="N78" s="20" t="n">
        <v>0</v>
      </c>
      <c r="O78" s="18" t="n">
        <v>0</v>
      </c>
      <c r="P78" s="20" t="n">
        <v>0</v>
      </c>
      <c r="Q78" s="18" t="n">
        <v>0.24030288</v>
      </c>
      <c r="R78" s="20" t="n">
        <v>0.13494015</v>
      </c>
    </row>
    <row r="79" spans="1:18">
      <c r="A79" s="15" t="s">
        <v>639</v>
      </c>
      <c r="B79" s="17" t="n">
        <v>6062</v>
      </c>
      <c r="C79" s="18">
        <f>(4953.0/B79*100)</f>
        <v/>
      </c>
      <c r="D79" s="19" t="n">
        <v>1109</v>
      </c>
      <c r="E79" s="18" t="n">
        <v>78.82960466999999</v>
      </c>
      <c r="F79" s="20" t="n">
        <v>1.32999947</v>
      </c>
      <c r="G79" s="18" t="n">
        <v>15.95671504</v>
      </c>
      <c r="H79" s="20" t="n">
        <v>1.17336555</v>
      </c>
      <c r="I79" s="18" t="n">
        <v>0</v>
      </c>
      <c r="J79" s="20" t="n">
        <v>0</v>
      </c>
      <c r="K79" s="18" t="n">
        <v>5.10906671</v>
      </c>
      <c r="L79" s="20" t="n">
        <v>0.73418658</v>
      </c>
      <c r="M79" s="18" t="n">
        <v>0</v>
      </c>
      <c r="N79" s="20" t="n">
        <v>0</v>
      </c>
      <c r="O79" s="18" t="n">
        <v>0</v>
      </c>
      <c r="P79" s="20" t="n">
        <v>0</v>
      </c>
      <c r="Q79" s="18" t="n">
        <v>0.10461358</v>
      </c>
      <c r="R79" s="20" t="n">
        <v>0.10674089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(25574.0/B82*100)</f>
        <v/>
      </c>
      <c r="D82" s="19" t="n">
        <v>6756</v>
      </c>
      <c r="E82" s="18" t="n">
        <v>77.45223691</v>
      </c>
      <c r="F82" s="20" t="n">
        <v>0.88808649</v>
      </c>
      <c r="G82" s="18" t="n">
        <v>21.04818307</v>
      </c>
      <c r="H82" s="20" t="n">
        <v>0.89972433</v>
      </c>
      <c r="I82" s="18" t="n">
        <v>0</v>
      </c>
      <c r="J82" s="20" t="n">
        <v>0</v>
      </c>
      <c r="K82" s="18" t="n">
        <v>1.44975631</v>
      </c>
      <c r="L82" s="20" t="n">
        <v>0.22329648</v>
      </c>
      <c r="M82" s="18" t="n">
        <v>0</v>
      </c>
      <c r="N82" s="20" t="n">
        <v>0</v>
      </c>
      <c r="O82" s="18" t="n">
        <v>0</v>
      </c>
      <c r="P82" s="20" t="n">
        <v>0</v>
      </c>
      <c r="Q82" s="18" t="n">
        <v>0.04982371</v>
      </c>
      <c r="R82" s="20" t="n">
        <v>0.02377486</v>
      </c>
    </row>
    <row r="83" spans="1:18">
      <c r="A83" s="15" t="s">
        <v>643</v>
      </c>
      <c r="B83" s="17" t="n">
        <v>1652</v>
      </c>
      <c r="C83" s="18">
        <f>(1327.0/B83*100)</f>
        <v/>
      </c>
      <c r="D83" s="19" t="n">
        <v>325</v>
      </c>
      <c r="E83" s="18" t="n">
        <v>51.77069286</v>
      </c>
      <c r="F83" s="20" t="n">
        <v>3.76698671</v>
      </c>
      <c r="G83" s="18" t="n">
        <v>48.22930714</v>
      </c>
      <c r="H83" s="20" t="n">
        <v>3.76698671</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(1471.0/B84*100)</f>
        <v/>
      </c>
      <c r="D84" s="19" t="n">
        <v>416</v>
      </c>
      <c r="E84" s="18" t="n">
        <v>61.74826704</v>
      </c>
      <c r="F84" s="20" t="n">
        <v>2.58213253</v>
      </c>
      <c r="G84" s="18" t="n">
        <v>37.50122924</v>
      </c>
      <c r="H84" s="20" t="n">
        <v>2.5844748</v>
      </c>
      <c r="I84" s="18" t="n">
        <v>0</v>
      </c>
      <c r="J84" s="20" t="n">
        <v>0</v>
      </c>
      <c r="K84" s="18" t="n">
        <v>0.75050372</v>
      </c>
      <c r="L84" s="20" t="n">
        <v>0.43553383</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(11496.0/B7*100)</f>
        <v/>
      </c>
      <c r="D7" s="19" t="n">
        <v>3034</v>
      </c>
      <c r="E7" s="18" t="n">
        <v>40.65665693</v>
      </c>
      <c r="F7" s="20" t="n">
        <v>1.20546462</v>
      </c>
      <c r="G7" s="18" t="n">
        <v>26.85696371</v>
      </c>
      <c r="H7" s="20" t="n">
        <v>1.05390495</v>
      </c>
      <c r="I7" s="18" t="n">
        <v>0</v>
      </c>
      <c r="J7" s="20" t="n">
        <v>0</v>
      </c>
      <c r="K7" s="18" t="n">
        <v>32.46806605</v>
      </c>
      <c r="L7" s="20" t="n">
        <v>1.20701269</v>
      </c>
      <c r="M7" s="18" t="n">
        <v>0.01831331</v>
      </c>
      <c r="N7" s="20" t="n">
        <v>0.008305180000000001</v>
      </c>
      <c r="O7" s="18" t="n">
        <v>0</v>
      </c>
      <c r="P7" s="20" t="n">
        <v>0</v>
      </c>
      <c r="Q7" s="18" t="n">
        <v>0</v>
      </c>
      <c r="R7" s="20" t="n">
        <v>0</v>
      </c>
    </row>
    <row r="8" spans="1:18">
      <c r="A8" s="15" t="s">
        <v>566</v>
      </c>
      <c r="B8" s="17" t="n">
        <v>7007</v>
      </c>
      <c r="C8" s="18">
        <f>(5529.0/B8*100)</f>
        <v/>
      </c>
      <c r="D8" s="19" t="n">
        <v>1478</v>
      </c>
      <c r="E8" s="18" t="n">
        <v>22.12328536</v>
      </c>
      <c r="F8" s="20" t="n">
        <v>1.42623785</v>
      </c>
      <c r="G8" s="18" t="n">
        <v>36.54110336</v>
      </c>
      <c r="H8" s="20" t="n">
        <v>1.56656429</v>
      </c>
      <c r="I8" s="18" t="n">
        <v>0</v>
      </c>
      <c r="J8" s="20" t="n">
        <v>0</v>
      </c>
      <c r="K8" s="18" t="n">
        <v>41.33561128</v>
      </c>
      <c r="L8" s="20" t="n">
        <v>1.62797713</v>
      </c>
      <c r="M8" s="18" t="n">
        <v>0</v>
      </c>
      <c r="N8" s="20" t="n">
        <v>0</v>
      </c>
      <c r="O8" s="18" t="n">
        <v>0</v>
      </c>
      <c r="P8" s="20" t="n">
        <v>0</v>
      </c>
      <c r="Q8" s="18" t="n">
        <v>0</v>
      </c>
      <c r="R8" s="20" t="n">
        <v>0</v>
      </c>
    </row>
    <row r="9" spans="1:18">
      <c r="A9" s="15" t="s">
        <v>567</v>
      </c>
      <c r="B9" s="17" t="n">
        <v>9651</v>
      </c>
      <c r="C9" s="18">
        <f>(7758.0/B9*100)</f>
        <v/>
      </c>
      <c r="D9" s="19" t="n">
        <v>1893</v>
      </c>
      <c r="E9" s="18" t="n">
        <v>28.84001758</v>
      </c>
      <c r="F9" s="20" t="n">
        <v>1.11738302</v>
      </c>
      <c r="G9" s="18" t="n">
        <v>33.83036273</v>
      </c>
      <c r="H9" s="20" t="n">
        <v>1.30323497</v>
      </c>
      <c r="I9" s="18" t="n">
        <v>0</v>
      </c>
      <c r="J9" s="20" t="n">
        <v>0</v>
      </c>
      <c r="K9" s="18" t="n">
        <v>37.15410946</v>
      </c>
      <c r="L9" s="20" t="n">
        <v>1.43513903</v>
      </c>
      <c r="M9" s="18" t="n">
        <v>0.17551023</v>
      </c>
      <c r="N9" s="20" t="n">
        <v>0.08776402</v>
      </c>
      <c r="O9" s="18" t="n">
        <v>0</v>
      </c>
      <c r="P9" s="20" t="n">
        <v>0</v>
      </c>
      <c r="Q9" s="18" t="n">
        <v>0</v>
      </c>
      <c r="R9" s="20" t="n">
        <v>0</v>
      </c>
    </row>
    <row r="10" spans="1:18">
      <c r="A10" s="15" t="s">
        <v>568</v>
      </c>
      <c r="B10" s="17" t="n">
        <v>20058</v>
      </c>
      <c r="C10" s="18">
        <f>(15616.0/B10*100)</f>
        <v/>
      </c>
      <c r="D10" s="19" t="n">
        <v>4442</v>
      </c>
      <c r="E10" s="18" t="n">
        <v>37.70463395</v>
      </c>
      <c r="F10" s="20" t="n">
        <v>1.14651838</v>
      </c>
      <c r="G10" s="18" t="n">
        <v>37.71065597</v>
      </c>
      <c r="H10" s="20" t="n">
        <v>1.1359159</v>
      </c>
      <c r="I10" s="18" t="n">
        <v>0</v>
      </c>
      <c r="J10" s="20" t="n">
        <v>0</v>
      </c>
      <c r="K10" s="18" t="n">
        <v>24.55712241</v>
      </c>
      <c r="L10" s="20" t="n">
        <v>1.05271944</v>
      </c>
      <c r="M10" s="18" t="n">
        <v>0.02758767</v>
      </c>
      <c r="N10" s="20" t="n">
        <v>0.01515474</v>
      </c>
      <c r="O10" s="18" t="n">
        <v>0</v>
      </c>
      <c r="P10" s="20" t="n">
        <v>0</v>
      </c>
      <c r="Q10" s="18" t="n">
        <v>0</v>
      </c>
      <c r="R10" s="20" t="n">
        <v>0</v>
      </c>
    </row>
    <row r="11" spans="1:18">
      <c r="A11" s="15" t="s">
        <v>569</v>
      </c>
      <c r="B11" s="17" t="n">
        <v>7053</v>
      </c>
      <c r="C11" s="18">
        <f>(5580.0/B11*100)</f>
        <v/>
      </c>
      <c r="D11" s="19" t="n">
        <v>1473</v>
      </c>
      <c r="E11" s="18" t="n">
        <v>24.78261334</v>
      </c>
      <c r="F11" s="20" t="n">
        <v>1.40775528</v>
      </c>
      <c r="G11" s="18" t="n">
        <v>23.57397372</v>
      </c>
      <c r="H11" s="20" t="n">
        <v>1.31953365</v>
      </c>
      <c r="I11" s="18" t="n">
        <v>0</v>
      </c>
      <c r="J11" s="20" t="n">
        <v>0</v>
      </c>
      <c r="K11" s="18" t="n">
        <v>51.63603101</v>
      </c>
      <c r="L11" s="20" t="n">
        <v>1.35640546</v>
      </c>
      <c r="M11" s="18" t="n">
        <v>0.00738193</v>
      </c>
      <c r="N11" s="20" t="n">
        <v>0.00743787</v>
      </c>
      <c r="O11" s="18" t="n">
        <v>0</v>
      </c>
      <c r="P11" s="20" t="n">
        <v>0</v>
      </c>
      <c r="Q11" s="18" t="n">
        <v>0</v>
      </c>
      <c r="R11" s="20" t="n">
        <v>0</v>
      </c>
    </row>
    <row r="12" spans="1:18">
      <c r="A12" s="15" t="s">
        <v>570</v>
      </c>
      <c r="B12" s="17" t="n">
        <v>6894</v>
      </c>
      <c r="C12" s="18">
        <f>(5464.0/B12*100)</f>
        <v/>
      </c>
      <c r="D12" s="19" t="n">
        <v>1430</v>
      </c>
      <c r="E12" s="18" t="n">
        <v>24.57467272</v>
      </c>
      <c r="F12" s="20" t="n">
        <v>1.33068661</v>
      </c>
      <c r="G12" s="18" t="n">
        <v>34.58576327</v>
      </c>
      <c r="H12" s="20" t="n">
        <v>1.46898697</v>
      </c>
      <c r="I12" s="18" t="n">
        <v>0</v>
      </c>
      <c r="J12" s="20" t="n">
        <v>0</v>
      </c>
      <c r="K12" s="18" t="n">
        <v>40.83956402</v>
      </c>
      <c r="L12" s="20" t="n">
        <v>1.55662897</v>
      </c>
      <c r="M12" s="18" t="n">
        <v>0</v>
      </c>
      <c r="N12" s="20" t="n">
        <v>0</v>
      </c>
      <c r="O12" s="18" t="n">
        <v>0</v>
      </c>
      <c r="P12" s="20" t="n">
        <v>0</v>
      </c>
      <c r="Q12" s="18" t="n">
        <v>0</v>
      </c>
      <c r="R12" s="20" t="n">
        <v>0</v>
      </c>
    </row>
    <row r="13" spans="1:18">
      <c r="A13" s="15" t="s">
        <v>571</v>
      </c>
      <c r="B13" s="17" t="n">
        <v>7161</v>
      </c>
      <c r="C13" s="18">
        <f>(5705.0/B13*100)</f>
        <v/>
      </c>
      <c r="D13" s="19" t="n">
        <v>1456</v>
      </c>
      <c r="E13" s="18" t="n">
        <v>33.78970117</v>
      </c>
      <c r="F13" s="20" t="n">
        <v>1.5697657</v>
      </c>
      <c r="G13" s="18" t="n">
        <v>29.56023314</v>
      </c>
      <c r="H13" s="20" t="n">
        <v>1.54952549</v>
      </c>
      <c r="I13" s="18" t="n">
        <v>0</v>
      </c>
      <c r="J13" s="20" t="n">
        <v>0</v>
      </c>
      <c r="K13" s="18" t="n">
        <v>36.40475347</v>
      </c>
      <c r="L13" s="20" t="n">
        <v>1.54648991</v>
      </c>
      <c r="M13" s="18" t="n">
        <v>0.24531222</v>
      </c>
      <c r="N13" s="20" t="n">
        <v>0.24651253</v>
      </c>
      <c r="O13" s="18" t="n">
        <v>0</v>
      </c>
      <c r="P13" s="20" t="n">
        <v>0</v>
      </c>
      <c r="Q13" s="18" t="n">
        <v>0</v>
      </c>
      <c r="R13" s="20" t="n">
        <v>0</v>
      </c>
    </row>
    <row r="14" spans="1:18">
      <c r="A14" s="15" t="s">
        <v>572</v>
      </c>
      <c r="B14" s="17" t="n">
        <v>5587</v>
      </c>
      <c r="C14" s="18">
        <f>(4364.0/B14*100)</f>
        <v/>
      </c>
      <c r="D14" s="19" t="n">
        <v>1223</v>
      </c>
      <c r="E14" s="18" t="n">
        <v>26.78952069</v>
      </c>
      <c r="F14" s="20" t="n">
        <v>1.42904831</v>
      </c>
      <c r="G14" s="18" t="n">
        <v>46.91924328</v>
      </c>
      <c r="H14" s="20" t="n">
        <v>1.71754754</v>
      </c>
      <c r="I14" s="18" t="n">
        <v>0</v>
      </c>
      <c r="J14" s="20" t="n">
        <v>0</v>
      </c>
      <c r="K14" s="18" t="n">
        <v>26.29123603</v>
      </c>
      <c r="L14" s="20" t="n">
        <v>1.39038362</v>
      </c>
      <c r="M14" s="18" t="n">
        <v>0</v>
      </c>
      <c r="N14" s="20" t="n">
        <v>0</v>
      </c>
      <c r="O14" s="18" t="n">
        <v>0</v>
      </c>
      <c r="P14" s="20" t="n">
        <v>0</v>
      </c>
      <c r="Q14" s="18" t="n">
        <v>0</v>
      </c>
      <c r="R14" s="20" t="n">
        <v>0</v>
      </c>
    </row>
    <row r="15" spans="1:18">
      <c r="A15" s="15" t="s">
        <v>573</v>
      </c>
      <c r="B15" s="17" t="n">
        <v>5882</v>
      </c>
      <c r="C15" s="18">
        <f>(4609.0/B15*100)</f>
        <v/>
      </c>
      <c r="D15" s="19" t="n">
        <v>1273</v>
      </c>
      <c r="E15" s="18" t="n">
        <v>27.3023679</v>
      </c>
      <c r="F15" s="20" t="n">
        <v>1.44703385</v>
      </c>
      <c r="G15" s="18" t="n">
        <v>49.30300225</v>
      </c>
      <c r="H15" s="20" t="n">
        <v>1.47983731</v>
      </c>
      <c r="I15" s="18" t="n">
        <v>0</v>
      </c>
      <c r="J15" s="20" t="n">
        <v>0</v>
      </c>
      <c r="K15" s="18" t="n">
        <v>23.39462984</v>
      </c>
      <c r="L15" s="20" t="n">
        <v>1.29782898</v>
      </c>
      <c r="M15" s="18" t="n">
        <v>0</v>
      </c>
      <c r="N15" s="20" t="n">
        <v>0</v>
      </c>
      <c r="O15" s="18" t="n">
        <v>0</v>
      </c>
      <c r="P15" s="20" t="n">
        <v>0</v>
      </c>
      <c r="Q15" s="18" t="n">
        <v>0</v>
      </c>
      <c r="R15" s="20" t="n">
        <v>0</v>
      </c>
    </row>
    <row r="16" spans="1:18">
      <c r="A16" s="15" t="s">
        <v>574</v>
      </c>
      <c r="B16" s="17" t="n">
        <v>6108</v>
      </c>
      <c r="C16" s="18">
        <f>(4791.0/B16*100)</f>
        <v/>
      </c>
      <c r="D16" s="19" t="n">
        <v>1317</v>
      </c>
      <c r="E16" s="18" t="n">
        <v>19.01912088</v>
      </c>
      <c r="F16" s="20" t="n">
        <v>1.06258917</v>
      </c>
      <c r="G16" s="18" t="n">
        <v>38.81460126</v>
      </c>
      <c r="H16" s="20" t="n">
        <v>1.65662527</v>
      </c>
      <c r="I16" s="18" t="n">
        <v>0</v>
      </c>
      <c r="J16" s="20" t="n">
        <v>0</v>
      </c>
      <c r="K16" s="18" t="n">
        <v>42.16627786</v>
      </c>
      <c r="L16" s="20" t="n">
        <v>1.60858565</v>
      </c>
      <c r="M16" s="18" t="n">
        <v>0</v>
      </c>
      <c r="N16" s="20" t="n">
        <v>0</v>
      </c>
      <c r="O16" s="18" t="n">
        <v>0</v>
      </c>
      <c r="P16" s="20" t="n">
        <v>0</v>
      </c>
      <c r="Q16" s="18" t="n">
        <v>0</v>
      </c>
      <c r="R16" s="20" t="n">
        <v>0</v>
      </c>
    </row>
    <row r="17" spans="1:18">
      <c r="A17" s="15" t="s">
        <v>575</v>
      </c>
      <c r="B17" s="17" t="n">
        <v>6504</v>
      </c>
      <c r="C17" s="18">
        <f>(5144.0/B17*100)</f>
        <v/>
      </c>
      <c r="D17" s="19" t="n">
        <v>1360</v>
      </c>
      <c r="E17" s="18" t="n">
        <v>19.87017764</v>
      </c>
      <c r="F17" s="20" t="n">
        <v>1.00043952</v>
      </c>
      <c r="G17" s="18" t="n">
        <v>39.24401178</v>
      </c>
      <c r="H17" s="20" t="n">
        <v>1.56217737</v>
      </c>
      <c r="I17" s="18" t="n">
        <v>0</v>
      </c>
      <c r="J17" s="20" t="n">
        <v>0</v>
      </c>
      <c r="K17" s="18" t="n">
        <v>40.88581058</v>
      </c>
      <c r="L17" s="20" t="n">
        <v>1.51496712</v>
      </c>
      <c r="M17" s="18" t="n">
        <v>0</v>
      </c>
      <c r="N17" s="20" t="n">
        <v>0</v>
      </c>
      <c r="O17" s="18" t="n">
        <v>0</v>
      </c>
      <c r="P17" s="20" t="n">
        <v>0</v>
      </c>
      <c r="Q17" s="18" t="n">
        <v>0</v>
      </c>
      <c r="R17" s="20" t="n">
        <v>0</v>
      </c>
    </row>
    <row r="18" spans="1:18">
      <c r="A18" s="15" t="s">
        <v>576</v>
      </c>
      <c r="B18" s="17" t="n">
        <v>5532</v>
      </c>
      <c r="C18" s="18">
        <f>(4336.0/B18*100)</f>
        <v/>
      </c>
      <c r="D18" s="19" t="n">
        <v>1196</v>
      </c>
      <c r="E18" s="18" t="n">
        <v>30.66355018</v>
      </c>
      <c r="F18" s="20" t="n">
        <v>1.63355669</v>
      </c>
      <c r="G18" s="18" t="n">
        <v>30.86855427</v>
      </c>
      <c r="H18" s="20" t="n">
        <v>1.70679207</v>
      </c>
      <c r="I18" s="18" t="n">
        <v>0</v>
      </c>
      <c r="J18" s="20" t="n">
        <v>0</v>
      </c>
      <c r="K18" s="18" t="n">
        <v>38.31554732</v>
      </c>
      <c r="L18" s="20" t="n">
        <v>1.72124894</v>
      </c>
      <c r="M18" s="18" t="n">
        <v>0.15234824</v>
      </c>
      <c r="N18" s="20" t="n">
        <v>0.15261063</v>
      </c>
      <c r="O18" s="18" t="n">
        <v>0</v>
      </c>
      <c r="P18" s="20" t="n">
        <v>0</v>
      </c>
      <c r="Q18" s="18" t="n">
        <v>0</v>
      </c>
      <c r="R18" s="20" t="n">
        <v>0</v>
      </c>
    </row>
    <row r="19" spans="1:18">
      <c r="A19" s="15" t="s">
        <v>577</v>
      </c>
      <c r="B19" s="17" t="n">
        <v>5658</v>
      </c>
      <c r="C19" s="18">
        <f>(4456.0/B19*100)</f>
        <v/>
      </c>
      <c r="D19" s="19" t="n">
        <v>1202</v>
      </c>
      <c r="E19" s="18" t="n">
        <v>27.12961656</v>
      </c>
      <c r="F19" s="20" t="n">
        <v>1.39692584</v>
      </c>
      <c r="G19" s="18" t="n">
        <v>22.98449178</v>
      </c>
      <c r="H19" s="20" t="n">
        <v>1.29468889</v>
      </c>
      <c r="I19" s="18" t="n">
        <v>0</v>
      </c>
      <c r="J19" s="20" t="n">
        <v>0</v>
      </c>
      <c r="K19" s="18" t="n">
        <v>49.88589167</v>
      </c>
      <c r="L19" s="20" t="n">
        <v>1.68583665</v>
      </c>
      <c r="M19" s="18" t="n">
        <v>0</v>
      </c>
      <c r="N19" s="20" t="n">
        <v>0</v>
      </c>
      <c r="O19" s="18" t="n">
        <v>0</v>
      </c>
      <c r="P19" s="20" t="n">
        <v>0</v>
      </c>
      <c r="Q19" s="18" t="n">
        <v>0</v>
      </c>
      <c r="R19" s="20" t="n">
        <v>0</v>
      </c>
    </row>
    <row r="20" spans="1:18">
      <c r="A20" s="15" t="s">
        <v>578</v>
      </c>
      <c r="B20" s="17" t="n">
        <v>3371</v>
      </c>
      <c r="C20" s="18">
        <f>(2638.0/B20*100)</f>
        <v/>
      </c>
      <c r="D20" s="19" t="n">
        <v>733</v>
      </c>
      <c r="E20" s="18" t="n">
        <v>42.21570248</v>
      </c>
      <c r="F20" s="20" t="n">
        <v>1.6390643</v>
      </c>
      <c r="G20" s="18" t="n">
        <v>23.8558849</v>
      </c>
      <c r="H20" s="20" t="n">
        <v>1.33220959</v>
      </c>
      <c r="I20" s="18" t="n">
        <v>0</v>
      </c>
      <c r="J20" s="20" t="n">
        <v>0</v>
      </c>
      <c r="K20" s="18" t="n">
        <v>33.71816215</v>
      </c>
      <c r="L20" s="20" t="n">
        <v>1.68883067</v>
      </c>
      <c r="M20" s="18" t="n">
        <v>0.21025048</v>
      </c>
      <c r="N20" s="20" t="n">
        <v>0.20324261</v>
      </c>
      <c r="O20" s="18" t="n">
        <v>0</v>
      </c>
      <c r="P20" s="20" t="n">
        <v>0</v>
      </c>
      <c r="Q20" s="18" t="n">
        <v>0</v>
      </c>
      <c r="R20" s="20" t="n">
        <v>0</v>
      </c>
    </row>
    <row r="21" spans="1:18">
      <c r="A21" s="15" t="s">
        <v>579</v>
      </c>
      <c r="B21" s="17" t="n">
        <v>5741</v>
      </c>
      <c r="C21" s="18">
        <f>(4510.0/B21*100)</f>
        <v/>
      </c>
      <c r="D21" s="19" t="n">
        <v>1231</v>
      </c>
      <c r="E21" s="18" t="n">
        <v>32.42239055</v>
      </c>
      <c r="F21" s="20" t="n">
        <v>1.46253736</v>
      </c>
      <c r="G21" s="18" t="n">
        <v>28.89429458</v>
      </c>
      <c r="H21" s="20" t="n">
        <v>1.28159509</v>
      </c>
      <c r="I21" s="18" t="n">
        <v>0</v>
      </c>
      <c r="J21" s="20" t="n">
        <v>0</v>
      </c>
      <c r="K21" s="18" t="n">
        <v>38.68331487</v>
      </c>
      <c r="L21" s="20" t="n">
        <v>1.36951888</v>
      </c>
      <c r="M21" s="18" t="n">
        <v>0</v>
      </c>
      <c r="N21" s="20" t="n">
        <v>0</v>
      </c>
      <c r="O21" s="18" t="n">
        <v>0</v>
      </c>
      <c r="P21" s="20" t="n">
        <v>0</v>
      </c>
      <c r="Q21" s="18" t="n">
        <v>0</v>
      </c>
      <c r="R21" s="20" t="n">
        <v>0</v>
      </c>
    </row>
    <row r="22" spans="1:18">
      <c r="A22" s="15" t="s">
        <v>580</v>
      </c>
      <c r="B22" s="17" t="n">
        <v>6598</v>
      </c>
      <c r="C22" s="18">
        <f>(5218.0/B22*100)</f>
        <v/>
      </c>
      <c r="D22" s="19" t="n">
        <v>1380</v>
      </c>
      <c r="E22" s="18" t="n">
        <v>30.63887605</v>
      </c>
      <c r="F22" s="20" t="n">
        <v>1.35315865</v>
      </c>
      <c r="G22" s="18" t="n">
        <v>29.86361165</v>
      </c>
      <c r="H22" s="20" t="n">
        <v>1.35165831</v>
      </c>
      <c r="I22" s="18" t="n">
        <v>0</v>
      </c>
      <c r="J22" s="20" t="n">
        <v>0</v>
      </c>
      <c r="K22" s="18" t="n">
        <v>39.43811367</v>
      </c>
      <c r="L22" s="20" t="n">
        <v>1.51162371</v>
      </c>
      <c r="M22" s="18" t="n">
        <v>0.05939864</v>
      </c>
      <c r="N22" s="20" t="n">
        <v>0.05945238</v>
      </c>
      <c r="O22" s="18" t="n">
        <v>0</v>
      </c>
      <c r="P22" s="20" t="n">
        <v>0</v>
      </c>
      <c r="Q22" s="18" t="n">
        <v>0</v>
      </c>
      <c r="R22" s="20" t="n">
        <v>0</v>
      </c>
    </row>
    <row r="23" spans="1:18">
      <c r="A23" s="15" t="s">
        <v>581</v>
      </c>
      <c r="B23" s="17" t="n">
        <v>11583</v>
      </c>
      <c r="C23" s="18">
        <f>(9156.0/B23*100)</f>
        <v/>
      </c>
      <c r="D23" s="19" t="n">
        <v>2427</v>
      </c>
      <c r="E23" s="18" t="n">
        <v>19.17694965</v>
      </c>
      <c r="F23" s="20" t="n">
        <v>1.12172397</v>
      </c>
      <c r="G23" s="18" t="n">
        <v>38.21418154</v>
      </c>
      <c r="H23" s="20" t="n">
        <v>1.5387102</v>
      </c>
      <c r="I23" s="18" t="n">
        <v>0</v>
      </c>
      <c r="J23" s="20" t="n">
        <v>0</v>
      </c>
      <c r="K23" s="18" t="n">
        <v>42.48106672</v>
      </c>
      <c r="L23" s="20" t="n">
        <v>1.38781156</v>
      </c>
      <c r="M23" s="18" t="n">
        <v>0.12780209</v>
      </c>
      <c r="N23" s="20" t="n">
        <v>0.14892554</v>
      </c>
      <c r="O23" s="18" t="n">
        <v>0</v>
      </c>
      <c r="P23" s="20" t="n">
        <v>0</v>
      </c>
      <c r="Q23" s="18" t="n">
        <v>0</v>
      </c>
      <c r="R23" s="20" t="n">
        <v>0</v>
      </c>
    </row>
    <row r="24" spans="1:18">
      <c r="A24" s="15" t="s">
        <v>582</v>
      </c>
      <c r="B24" s="17" t="n">
        <v>6647</v>
      </c>
      <c r="C24" s="18">
        <f>(5223.0/B24*100)</f>
        <v/>
      </c>
      <c r="D24" s="19" t="n">
        <v>1424</v>
      </c>
      <c r="E24" s="18" t="n">
        <v>43.65389876</v>
      </c>
      <c r="F24" s="20" t="n">
        <v>1.3453044</v>
      </c>
      <c r="G24" s="18" t="n">
        <v>30.24200652</v>
      </c>
      <c r="H24" s="20" t="n">
        <v>1.39366708</v>
      </c>
      <c r="I24" s="18" t="n">
        <v>0</v>
      </c>
      <c r="J24" s="20" t="n">
        <v>0</v>
      </c>
      <c r="K24" s="18" t="n">
        <v>26.10409472</v>
      </c>
      <c r="L24" s="20" t="n">
        <v>1.16555178</v>
      </c>
      <c r="M24" s="18" t="n">
        <v>0</v>
      </c>
      <c r="N24" s="20" t="n">
        <v>0</v>
      </c>
      <c r="O24" s="18" t="n">
        <v>0</v>
      </c>
      <c r="P24" s="20" t="n">
        <v>0</v>
      </c>
      <c r="Q24" s="18" t="n">
        <v>0</v>
      </c>
      <c r="R24" s="20" t="n">
        <v>0</v>
      </c>
    </row>
    <row r="25" spans="1:18">
      <c r="A25" s="15" t="s">
        <v>583</v>
      </c>
      <c r="B25" s="17" t="n">
        <v>5581</v>
      </c>
      <c r="C25" s="18">
        <f>(4346.0/B25*100)</f>
        <v/>
      </c>
      <c r="D25" s="19" t="n">
        <v>1235</v>
      </c>
      <c r="E25" s="18" t="n">
        <v>46.68620007</v>
      </c>
      <c r="F25" s="20" t="n">
        <v>1.67776424</v>
      </c>
      <c r="G25" s="18" t="n">
        <v>18.84577875</v>
      </c>
      <c r="H25" s="20" t="n">
        <v>1.3577324</v>
      </c>
      <c r="I25" s="18" t="n">
        <v>0</v>
      </c>
      <c r="J25" s="20" t="n">
        <v>0</v>
      </c>
      <c r="K25" s="18" t="n">
        <v>34.46802118</v>
      </c>
      <c r="L25" s="20" t="n">
        <v>1.6747091</v>
      </c>
      <c r="M25" s="18" t="n">
        <v>0</v>
      </c>
      <c r="N25" s="20" t="n">
        <v>0</v>
      </c>
      <c r="O25" s="18" t="n">
        <v>0</v>
      </c>
      <c r="P25" s="20" t="n">
        <v>0</v>
      </c>
      <c r="Q25" s="18" t="n">
        <v>0</v>
      </c>
      <c r="R25" s="20" t="n">
        <v>0</v>
      </c>
    </row>
    <row r="26" spans="1:18">
      <c r="A26" s="15" t="s">
        <v>584</v>
      </c>
      <c r="B26" s="17" t="n">
        <v>4869</v>
      </c>
      <c r="C26" s="18">
        <f>(3831.0/B26*100)</f>
        <v/>
      </c>
      <c r="D26" s="19" t="n">
        <v>1038</v>
      </c>
      <c r="E26" s="18" t="n">
        <v>40.14968417</v>
      </c>
      <c r="F26" s="20" t="n">
        <v>1.74427831</v>
      </c>
      <c r="G26" s="18" t="n">
        <v>25.72912673</v>
      </c>
      <c r="H26" s="20" t="n">
        <v>1.83783671</v>
      </c>
      <c r="I26" s="18" t="n">
        <v>0</v>
      </c>
      <c r="J26" s="20" t="n">
        <v>0</v>
      </c>
      <c r="K26" s="18" t="n">
        <v>34.12118909</v>
      </c>
      <c r="L26" s="20" t="n">
        <v>1.66548099</v>
      </c>
      <c r="M26" s="18" t="n">
        <v>0</v>
      </c>
      <c r="N26" s="20" t="n">
        <v>0</v>
      </c>
      <c r="O26" s="18" t="n">
        <v>0</v>
      </c>
      <c r="P26" s="20" t="n">
        <v>0</v>
      </c>
      <c r="Q26" s="18" t="n">
        <v>0</v>
      </c>
      <c r="R26" s="20" t="n">
        <v>0</v>
      </c>
    </row>
    <row r="27" spans="1:18">
      <c r="A27" s="15" t="s">
        <v>585</v>
      </c>
      <c r="B27" s="17" t="n">
        <v>5299</v>
      </c>
      <c r="C27" s="18">
        <f>(4223.0/B27*100)</f>
        <v/>
      </c>
      <c r="D27" s="19" t="n">
        <v>1076</v>
      </c>
      <c r="E27" s="18" t="n">
        <v>25.07838802</v>
      </c>
      <c r="F27" s="20" t="n">
        <v>1.25525667</v>
      </c>
      <c r="G27" s="18" t="n">
        <v>31.69472972</v>
      </c>
      <c r="H27" s="20" t="n">
        <v>1.28886536</v>
      </c>
      <c r="I27" s="18" t="n">
        <v>0</v>
      </c>
      <c r="J27" s="20" t="n">
        <v>0</v>
      </c>
      <c r="K27" s="18" t="n">
        <v>43.22688226</v>
      </c>
      <c r="L27" s="20" t="n">
        <v>1.62518629</v>
      </c>
      <c r="M27" s="18" t="n">
        <v>0</v>
      </c>
      <c r="N27" s="20" t="n">
        <v>0</v>
      </c>
      <c r="O27" s="18" t="n">
        <v>0</v>
      </c>
      <c r="P27" s="20" t="n">
        <v>0</v>
      </c>
      <c r="Q27" s="18" t="n">
        <v>0</v>
      </c>
      <c r="R27" s="20" t="n">
        <v>0</v>
      </c>
    </row>
    <row r="28" spans="1:18">
      <c r="A28" s="15" t="s">
        <v>586</v>
      </c>
      <c r="B28" s="17" t="n">
        <v>7568</v>
      </c>
      <c r="C28" s="18">
        <f>(6166.0/B28*100)</f>
        <v/>
      </c>
      <c r="D28" s="19" t="n">
        <v>1402</v>
      </c>
      <c r="E28" s="18" t="n">
        <v>68.5838167</v>
      </c>
      <c r="F28" s="20" t="n">
        <v>1.45903127</v>
      </c>
      <c r="G28" s="18" t="n">
        <v>9.30464196</v>
      </c>
      <c r="H28" s="20" t="n">
        <v>0.8737148</v>
      </c>
      <c r="I28" s="18" t="n">
        <v>0</v>
      </c>
      <c r="J28" s="20" t="n">
        <v>0</v>
      </c>
      <c r="K28" s="18" t="n">
        <v>22.11154134</v>
      </c>
      <c r="L28" s="20" t="n">
        <v>1.37275053</v>
      </c>
      <c r="M28" s="18" t="n">
        <v>0</v>
      </c>
      <c r="N28" s="20" t="n">
        <v>0</v>
      </c>
      <c r="O28" s="18" t="n">
        <v>0</v>
      </c>
      <c r="P28" s="20" t="n">
        <v>0</v>
      </c>
      <c r="Q28" s="18" t="n">
        <v>0</v>
      </c>
      <c r="R28" s="20" t="n">
        <v>0</v>
      </c>
    </row>
    <row r="29" spans="1:18">
      <c r="A29" s="15" t="s">
        <v>587</v>
      </c>
      <c r="B29" s="17" t="n">
        <v>5385</v>
      </c>
      <c r="C29" s="18">
        <f>(4197.0/B29*100)</f>
        <v/>
      </c>
      <c r="D29" s="19" t="n">
        <v>1188</v>
      </c>
      <c r="E29" s="18" t="n">
        <v>33.76657987</v>
      </c>
      <c r="F29" s="20" t="n">
        <v>1.61256273</v>
      </c>
      <c r="G29" s="18" t="n">
        <v>49.78680022</v>
      </c>
      <c r="H29" s="20" t="n">
        <v>1.6753706</v>
      </c>
      <c r="I29" s="18" t="n">
        <v>0</v>
      </c>
      <c r="J29" s="20" t="n">
        <v>0</v>
      </c>
      <c r="K29" s="18" t="n">
        <v>16.4466199</v>
      </c>
      <c r="L29" s="20" t="n">
        <v>1.1458594</v>
      </c>
      <c r="M29" s="18" t="n">
        <v>0</v>
      </c>
      <c r="N29" s="20" t="n">
        <v>0</v>
      </c>
      <c r="O29" s="18" t="n">
        <v>0</v>
      </c>
      <c r="P29" s="20" t="n">
        <v>0</v>
      </c>
      <c r="Q29" s="18" t="n">
        <v>0</v>
      </c>
      <c r="R29" s="20" t="n">
        <v>0</v>
      </c>
    </row>
    <row r="30" spans="1:18">
      <c r="A30" s="15" t="s">
        <v>588</v>
      </c>
      <c r="B30" s="17" t="n">
        <v>4520</v>
      </c>
      <c r="C30" s="18">
        <f>(3575.0/B30*100)</f>
        <v/>
      </c>
      <c r="D30" s="19" t="n">
        <v>945</v>
      </c>
      <c r="E30" s="18" t="n">
        <v>29.49612698</v>
      </c>
      <c r="F30" s="20" t="n">
        <v>1.54772555</v>
      </c>
      <c r="G30" s="18" t="n">
        <v>30.26324091</v>
      </c>
      <c r="H30" s="20" t="n">
        <v>1.75515538</v>
      </c>
      <c r="I30" s="18" t="n">
        <v>0</v>
      </c>
      <c r="J30" s="20" t="n">
        <v>0</v>
      </c>
      <c r="K30" s="18" t="n">
        <v>40.24063211</v>
      </c>
      <c r="L30" s="20" t="n">
        <v>1.73637289</v>
      </c>
      <c r="M30" s="18" t="n">
        <v>0</v>
      </c>
      <c r="N30" s="20" t="n">
        <v>0</v>
      </c>
      <c r="O30" s="18" t="n">
        <v>0</v>
      </c>
      <c r="P30" s="20" t="n">
        <v>0</v>
      </c>
      <c r="Q30" s="18" t="n">
        <v>0</v>
      </c>
      <c r="R30" s="20" t="n">
        <v>0</v>
      </c>
    </row>
    <row r="31" spans="1:18">
      <c r="A31" s="15" t="s">
        <v>589</v>
      </c>
      <c r="B31" s="17" t="n">
        <v>5456</v>
      </c>
      <c r="C31" s="18">
        <f>(4264.0/B31*100)</f>
        <v/>
      </c>
      <c r="D31" s="19" t="n">
        <v>1192</v>
      </c>
      <c r="E31" s="18" t="n">
        <v>32.76210572</v>
      </c>
      <c r="F31" s="20" t="n">
        <v>1.43798102</v>
      </c>
      <c r="G31" s="18" t="n">
        <v>30.31234049</v>
      </c>
      <c r="H31" s="20" t="n">
        <v>1.61014419</v>
      </c>
      <c r="I31" s="18" t="n">
        <v>0</v>
      </c>
      <c r="J31" s="20" t="n">
        <v>0</v>
      </c>
      <c r="K31" s="18" t="n">
        <v>36.92555379</v>
      </c>
      <c r="L31" s="20" t="n">
        <v>1.68659361</v>
      </c>
      <c r="M31" s="18" t="n">
        <v>0</v>
      </c>
      <c r="N31" s="20" t="n">
        <v>0</v>
      </c>
      <c r="O31" s="18" t="n">
        <v>0</v>
      </c>
      <c r="P31" s="20" t="n">
        <v>0</v>
      </c>
      <c r="Q31" s="18" t="n">
        <v>0</v>
      </c>
      <c r="R31" s="20" t="n">
        <v>0</v>
      </c>
    </row>
    <row r="32" spans="1:18">
      <c r="A32" s="15" t="s">
        <v>590</v>
      </c>
      <c r="B32" s="17" t="n">
        <v>4478</v>
      </c>
      <c r="C32" s="18">
        <f>(3510.0/B32*100)</f>
        <v/>
      </c>
      <c r="D32" s="19" t="n">
        <v>968</v>
      </c>
      <c r="E32" s="18" t="n">
        <v>21.63588954</v>
      </c>
      <c r="F32" s="20" t="n">
        <v>1.19075667</v>
      </c>
      <c r="G32" s="18" t="n">
        <v>34.1967017</v>
      </c>
      <c r="H32" s="20" t="n">
        <v>1.66257709</v>
      </c>
      <c r="I32" s="18" t="n">
        <v>0</v>
      </c>
      <c r="J32" s="20" t="n">
        <v>0</v>
      </c>
      <c r="K32" s="18" t="n">
        <v>44.04531173</v>
      </c>
      <c r="L32" s="20" t="n">
        <v>1.49846</v>
      </c>
      <c r="M32" s="18" t="n">
        <v>0.12209703</v>
      </c>
      <c r="N32" s="20" t="n">
        <v>0.11533773</v>
      </c>
      <c r="O32" s="18" t="n">
        <v>0</v>
      </c>
      <c r="P32" s="20" t="n">
        <v>0</v>
      </c>
      <c r="Q32" s="18" t="n">
        <v>0</v>
      </c>
      <c r="R32" s="20" t="n">
        <v>0</v>
      </c>
    </row>
    <row r="33" spans="1:18">
      <c r="A33" s="15" t="s">
        <v>591</v>
      </c>
      <c r="B33" s="17" t="n">
        <v>7325</v>
      </c>
      <c r="C33" s="18">
        <f>(5944.0/B33*100)</f>
        <v/>
      </c>
      <c r="D33" s="19" t="n">
        <v>1381</v>
      </c>
      <c r="E33" s="18" t="n">
        <v>22.12346589</v>
      </c>
      <c r="F33" s="20" t="n">
        <v>1.28715421</v>
      </c>
      <c r="G33" s="18" t="n">
        <v>29.5892637</v>
      </c>
      <c r="H33" s="20" t="n">
        <v>1.8099436</v>
      </c>
      <c r="I33" s="18" t="n">
        <v>0</v>
      </c>
      <c r="J33" s="20" t="n">
        <v>0</v>
      </c>
      <c r="K33" s="18" t="n">
        <v>48.17929682</v>
      </c>
      <c r="L33" s="20" t="n">
        <v>1.68810165</v>
      </c>
      <c r="M33" s="18" t="n">
        <v>0.10797359</v>
      </c>
      <c r="N33" s="20" t="n">
        <v>0.08065074</v>
      </c>
      <c r="O33" s="18" t="n">
        <v>0</v>
      </c>
      <c r="P33" s="20" t="n">
        <v>0</v>
      </c>
      <c r="Q33" s="18" t="n">
        <v>0</v>
      </c>
      <c r="R33" s="20" t="n">
        <v>0</v>
      </c>
    </row>
    <row r="34" spans="1:18">
      <c r="A34" s="15" t="s">
        <v>592</v>
      </c>
      <c r="B34" s="17" t="n">
        <v>6350</v>
      </c>
      <c r="C34" s="18">
        <f>(5007.0/B34*100)</f>
        <v/>
      </c>
      <c r="D34" s="19" t="n">
        <v>1343</v>
      </c>
      <c r="E34" s="18" t="n">
        <v>32.93179886</v>
      </c>
      <c r="F34" s="20" t="n">
        <v>1.62286162</v>
      </c>
      <c r="G34" s="18" t="n">
        <v>29.8138808</v>
      </c>
      <c r="H34" s="20" t="n">
        <v>1.74378431</v>
      </c>
      <c r="I34" s="18" t="n">
        <v>0</v>
      </c>
      <c r="J34" s="20" t="n">
        <v>0</v>
      </c>
      <c r="K34" s="18" t="n">
        <v>36.72074842</v>
      </c>
      <c r="L34" s="20" t="n">
        <v>1.51260755</v>
      </c>
      <c r="M34" s="18" t="n">
        <v>0.53357192</v>
      </c>
      <c r="N34" s="20" t="n">
        <v>0.24142697</v>
      </c>
      <c r="O34" s="18" t="n">
        <v>0</v>
      </c>
      <c r="P34" s="20" t="n">
        <v>0</v>
      </c>
      <c r="Q34" s="18" t="n">
        <v>0</v>
      </c>
      <c r="R34" s="20" t="n">
        <v>0</v>
      </c>
    </row>
    <row r="35" spans="1:18">
      <c r="A35" s="15" t="s">
        <v>593</v>
      </c>
      <c r="B35" s="17" t="n">
        <v>6406</v>
      </c>
      <c r="C35" s="18">
        <f>(5044.0/B35*100)</f>
        <v/>
      </c>
      <c r="D35" s="19" t="n">
        <v>1362</v>
      </c>
      <c r="E35" s="18" t="n">
        <v>19.15465462</v>
      </c>
      <c r="F35" s="20" t="n">
        <v>1.27825605</v>
      </c>
      <c r="G35" s="18" t="n">
        <v>52.34046396</v>
      </c>
      <c r="H35" s="20" t="n">
        <v>1.56998604</v>
      </c>
      <c r="I35" s="18" t="n">
        <v>0</v>
      </c>
      <c r="J35" s="20" t="n">
        <v>0</v>
      </c>
      <c r="K35" s="18" t="n">
        <v>28.2660876</v>
      </c>
      <c r="L35" s="20" t="n">
        <v>1.53259336</v>
      </c>
      <c r="M35" s="18" t="n">
        <v>0.23879382</v>
      </c>
      <c r="N35" s="20" t="n">
        <v>0.1624988</v>
      </c>
      <c r="O35" s="18" t="n">
        <v>0</v>
      </c>
      <c r="P35" s="20" t="n">
        <v>0</v>
      </c>
      <c r="Q35" s="18" t="n">
        <v>0</v>
      </c>
      <c r="R35" s="20" t="n">
        <v>0</v>
      </c>
    </row>
    <row r="36" spans="1:18">
      <c r="A36" s="15" t="s">
        <v>594</v>
      </c>
      <c r="B36" s="17" t="n">
        <v>6736</v>
      </c>
      <c r="C36" s="18">
        <f>(5372.0/B36*100)</f>
        <v/>
      </c>
      <c r="D36" s="19" t="n">
        <v>1364</v>
      </c>
      <c r="E36" s="18" t="n">
        <v>20.0326661</v>
      </c>
      <c r="F36" s="20" t="n">
        <v>1.0882548</v>
      </c>
      <c r="G36" s="18" t="n">
        <v>44.28792598</v>
      </c>
      <c r="H36" s="20" t="n">
        <v>1.51429155</v>
      </c>
      <c r="I36" s="18" t="n">
        <v>0</v>
      </c>
      <c r="J36" s="20" t="n">
        <v>0</v>
      </c>
      <c r="K36" s="18" t="n">
        <v>35.67940792</v>
      </c>
      <c r="L36" s="20" t="n">
        <v>1.3929696</v>
      </c>
      <c r="M36" s="18" t="n">
        <v>0</v>
      </c>
      <c r="N36" s="20" t="n">
        <v>0</v>
      </c>
      <c r="O36" s="18" t="n">
        <v>0</v>
      </c>
      <c r="P36" s="20" t="n">
        <v>0</v>
      </c>
      <c r="Q36" s="18" t="n">
        <v>0</v>
      </c>
      <c r="R36" s="20" t="n">
        <v>0</v>
      </c>
    </row>
    <row r="37" spans="1:18">
      <c r="A37" s="15" t="s">
        <v>595</v>
      </c>
      <c r="B37" s="17" t="n">
        <v>5458</v>
      </c>
      <c r="C37" s="18">
        <f>(4350.0/B37*100)</f>
        <v/>
      </c>
      <c r="D37" s="19" t="n">
        <v>1108</v>
      </c>
      <c r="E37" s="18" t="n">
        <v>27.99443865</v>
      </c>
      <c r="F37" s="20" t="n">
        <v>1.51567641</v>
      </c>
      <c r="G37" s="18" t="n">
        <v>21.05680722</v>
      </c>
      <c r="H37" s="20" t="n">
        <v>1.46856801</v>
      </c>
      <c r="I37" s="18" t="n">
        <v>0</v>
      </c>
      <c r="J37" s="20" t="n">
        <v>0</v>
      </c>
      <c r="K37" s="18" t="n">
        <v>50.85438078</v>
      </c>
      <c r="L37" s="20" t="n">
        <v>1.87309618</v>
      </c>
      <c r="M37" s="18" t="n">
        <v>0.09437334999999999</v>
      </c>
      <c r="N37" s="20" t="n">
        <v>0.09393661</v>
      </c>
      <c r="O37" s="18" t="n">
        <v>0</v>
      </c>
      <c r="P37" s="20" t="n">
        <v>0</v>
      </c>
      <c r="Q37" s="18" t="n">
        <v>0</v>
      </c>
      <c r="R37" s="20" t="n">
        <v>0</v>
      </c>
    </row>
    <row r="38" spans="1:18">
      <c r="A38" s="15" t="s">
        <v>596</v>
      </c>
      <c r="B38" s="17" t="n">
        <v>5860</v>
      </c>
      <c r="C38" s="18">
        <f>(4678.0/B38*100)</f>
        <v/>
      </c>
      <c r="D38" s="19" t="n">
        <v>1182</v>
      </c>
      <c r="E38" s="18" t="n">
        <v>28.94091209</v>
      </c>
      <c r="F38" s="20" t="n">
        <v>1.3332637</v>
      </c>
      <c r="G38" s="18" t="n">
        <v>33.88419511</v>
      </c>
      <c r="H38" s="20" t="n">
        <v>1.5699596</v>
      </c>
      <c r="I38" s="18" t="n">
        <v>0</v>
      </c>
      <c r="J38" s="20" t="n">
        <v>0</v>
      </c>
      <c r="K38" s="18" t="n">
        <v>35.15728519</v>
      </c>
      <c r="L38" s="20" t="n">
        <v>1.59671302</v>
      </c>
      <c r="M38" s="18" t="n">
        <v>2.01760761</v>
      </c>
      <c r="N38" s="20" t="n">
        <v>0.52844325</v>
      </c>
      <c r="O38" s="18" t="n">
        <v>0</v>
      </c>
      <c r="P38" s="20" t="n">
        <v>0</v>
      </c>
      <c r="Q38" s="18" t="n">
        <v>0</v>
      </c>
      <c r="R38" s="20" t="n">
        <v>0</v>
      </c>
    </row>
    <row r="39" spans="1:18">
      <c r="A39" s="15" t="s">
        <v>597</v>
      </c>
      <c r="B39" s="17" t="n">
        <v>5895</v>
      </c>
      <c r="C39" s="18">
        <f>(4569.0/B39*100)</f>
        <v/>
      </c>
      <c r="D39" s="19" t="n">
        <v>1326</v>
      </c>
      <c r="E39" s="18" t="n">
        <v>47.2419293</v>
      </c>
      <c r="F39" s="20" t="n">
        <v>1.56110227</v>
      </c>
      <c r="G39" s="18" t="n">
        <v>18.23623607</v>
      </c>
      <c r="H39" s="20" t="n">
        <v>1.28923002</v>
      </c>
      <c r="I39" s="18" t="n">
        <v>0</v>
      </c>
      <c r="J39" s="20" t="n">
        <v>0</v>
      </c>
      <c r="K39" s="18" t="n">
        <v>34.48781623</v>
      </c>
      <c r="L39" s="20" t="n">
        <v>1.57564499</v>
      </c>
      <c r="M39" s="18" t="n">
        <v>0.03401839</v>
      </c>
      <c r="N39" s="20" t="n">
        <v>0.03451374</v>
      </c>
      <c r="O39" s="18" t="n">
        <v>0</v>
      </c>
      <c r="P39" s="20" t="n">
        <v>0</v>
      </c>
      <c r="Q39" s="18" t="n">
        <v>0</v>
      </c>
      <c r="R39" s="20" t="n">
        <v>0</v>
      </c>
    </row>
    <row r="40" spans="1:18">
      <c r="A40" s="15" t="s">
        <v>598</v>
      </c>
      <c r="B40" s="17" t="n">
        <v>14157</v>
      </c>
      <c r="C40" s="18">
        <f>(11073.0/B40*100)</f>
        <v/>
      </c>
      <c r="D40" s="19" t="n">
        <v>3084</v>
      </c>
      <c r="E40" s="18" t="n">
        <v>21.43557619</v>
      </c>
      <c r="F40" s="20" t="n">
        <v>1.36538996</v>
      </c>
      <c r="G40" s="18" t="n">
        <v>42.51317174</v>
      </c>
      <c r="H40" s="20" t="n">
        <v>2.06413747</v>
      </c>
      <c r="I40" s="18" t="n">
        <v>0</v>
      </c>
      <c r="J40" s="20" t="n">
        <v>0</v>
      </c>
      <c r="K40" s="18" t="n">
        <v>36.04572187</v>
      </c>
      <c r="L40" s="20" t="n">
        <v>1.58233</v>
      </c>
      <c r="M40" s="18" t="n">
        <v>0.0055302</v>
      </c>
      <c r="N40" s="20" t="n">
        <v>0.00553308</v>
      </c>
      <c r="O40" s="18" t="n">
        <v>0</v>
      </c>
      <c r="P40" s="20" t="n">
        <v>0</v>
      </c>
      <c r="Q40" s="18" t="n">
        <v>0</v>
      </c>
      <c r="R40" s="20" t="n">
        <v>0</v>
      </c>
    </row>
    <row r="41" spans="1:18">
      <c r="A41" s="15" t="s">
        <v>599</v>
      </c>
      <c r="B41" s="17" t="n">
        <v>5712</v>
      </c>
      <c r="C41" s="18">
        <f>(4550.0/B41*100)</f>
        <v/>
      </c>
      <c r="D41" s="19" t="n">
        <v>1162</v>
      </c>
      <c r="E41" s="18" t="n">
        <v>48.66452722</v>
      </c>
      <c r="F41" s="20" t="n">
        <v>1.63160085</v>
      </c>
      <c r="G41" s="18" t="n">
        <v>33.52747026</v>
      </c>
      <c r="H41" s="20" t="n">
        <v>1.68765418</v>
      </c>
      <c r="I41" s="18" t="n">
        <v>0</v>
      </c>
      <c r="J41" s="20" t="n">
        <v>0</v>
      </c>
      <c r="K41" s="18" t="n">
        <v>17.80800252</v>
      </c>
      <c r="L41" s="20" t="n">
        <v>1.40969069</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(19915.0/B46*100)</f>
        <v/>
      </c>
      <c r="D46" s="19" t="n">
        <v>3226</v>
      </c>
      <c r="E46" s="18" t="n">
        <v>34.11734932</v>
      </c>
      <c r="F46" s="20" t="n">
        <v>1.17499032</v>
      </c>
      <c r="G46" s="18" t="n">
        <v>21.47947541</v>
      </c>
      <c r="H46" s="20" t="n">
        <v>1.2264111</v>
      </c>
      <c r="I46" s="18" t="n">
        <v>0</v>
      </c>
      <c r="J46" s="20" t="n">
        <v>0</v>
      </c>
      <c r="K46" s="18" t="n">
        <v>44.0660309</v>
      </c>
      <c r="L46" s="20" t="n">
        <v>1.4046893</v>
      </c>
      <c r="M46" s="18" t="n">
        <v>0.33714437</v>
      </c>
      <c r="N46" s="20" t="n">
        <v>0.16023159</v>
      </c>
      <c r="O46" s="18" t="n">
        <v>0</v>
      </c>
      <c r="P46" s="20" t="n">
        <v>0</v>
      </c>
      <c r="Q46" s="18" t="n">
        <v>0</v>
      </c>
      <c r="R46" s="20" t="n">
        <v>0</v>
      </c>
    </row>
    <row r="47" spans="1:18">
      <c r="A47" s="15" t="s">
        <v>606</v>
      </c>
      <c r="B47" s="17" t="n">
        <v>5928</v>
      </c>
      <c r="C47" s="18">
        <f>(4690.0/B47*100)</f>
        <v/>
      </c>
      <c r="D47" s="19" t="n">
        <v>1238</v>
      </c>
      <c r="E47" s="18" t="n">
        <v>20.84110355</v>
      </c>
      <c r="F47" s="20" t="n">
        <v>1.33381728</v>
      </c>
      <c r="G47" s="18" t="n">
        <v>31.60451465</v>
      </c>
      <c r="H47" s="20" t="n">
        <v>1.73124526</v>
      </c>
      <c r="I47" s="18" t="n">
        <v>0</v>
      </c>
      <c r="J47" s="20" t="n">
        <v>0</v>
      </c>
      <c r="K47" s="18" t="n">
        <v>47.4713533</v>
      </c>
      <c r="L47" s="20" t="n">
        <v>1.98639585</v>
      </c>
      <c r="M47" s="18" t="n">
        <v>0.08302849</v>
      </c>
      <c r="N47" s="20" t="n">
        <v>0.0785587</v>
      </c>
      <c r="O47" s="18" t="n">
        <v>0</v>
      </c>
      <c r="P47" s="20" t="n">
        <v>0</v>
      </c>
      <c r="Q47" s="18" t="n">
        <v>0</v>
      </c>
      <c r="R47" s="20" t="n">
        <v>0</v>
      </c>
    </row>
    <row r="48" spans="1:18">
      <c r="A48" s="15" t="s">
        <v>607</v>
      </c>
      <c r="B48" s="17" t="n">
        <v>9841</v>
      </c>
      <c r="C48" s="18">
        <f>(7705.0/B48*100)</f>
        <v/>
      </c>
      <c r="D48" s="19" t="n">
        <v>2136</v>
      </c>
      <c r="E48" s="18" t="n">
        <v>23.31609992</v>
      </c>
      <c r="F48" s="20" t="n">
        <v>1.42553825</v>
      </c>
      <c r="G48" s="18" t="n">
        <v>64.18360527</v>
      </c>
      <c r="H48" s="20" t="n">
        <v>1.87950318</v>
      </c>
      <c r="I48" s="18" t="n">
        <v>0</v>
      </c>
      <c r="J48" s="20" t="n">
        <v>0</v>
      </c>
      <c r="K48" s="18" t="n">
        <v>12.48993623</v>
      </c>
      <c r="L48" s="20" t="n">
        <v>1.23836497</v>
      </c>
      <c r="M48" s="18" t="n">
        <v>0.01035857</v>
      </c>
      <c r="N48" s="20" t="n">
        <v>0.01038338</v>
      </c>
      <c r="O48" s="18" t="n">
        <v>0</v>
      </c>
      <c r="P48" s="20" t="n">
        <v>0</v>
      </c>
      <c r="Q48" s="18" t="n">
        <v>0</v>
      </c>
      <c r="R48" s="20" t="n">
        <v>0</v>
      </c>
    </row>
    <row r="49" spans="1:18">
      <c r="A49" s="15" t="s">
        <v>608</v>
      </c>
      <c r="B49" s="17" t="n">
        <v>11795</v>
      </c>
      <c r="C49" s="18">
        <f>(9457.0/B49*100)</f>
        <v/>
      </c>
      <c r="D49" s="19" t="n">
        <v>2338</v>
      </c>
      <c r="E49" s="18" t="n">
        <v>53.70363617</v>
      </c>
      <c r="F49" s="20" t="n">
        <v>1.71042538</v>
      </c>
      <c r="G49" s="18" t="n">
        <v>19.03910891</v>
      </c>
      <c r="H49" s="20" t="n">
        <v>1.31969136</v>
      </c>
      <c r="I49" s="18" t="n">
        <v>0</v>
      </c>
      <c r="J49" s="20" t="n">
        <v>0</v>
      </c>
      <c r="K49" s="18" t="n">
        <v>27.10986802</v>
      </c>
      <c r="L49" s="20" t="n">
        <v>1.36933596</v>
      </c>
      <c r="M49" s="18" t="n">
        <v>0.1473869</v>
      </c>
      <c r="N49" s="20" t="n">
        <v>0.12951158</v>
      </c>
      <c r="O49" s="18" t="n">
        <v>0</v>
      </c>
      <c r="P49" s="20" t="n">
        <v>0</v>
      </c>
      <c r="Q49" s="18" t="n">
        <v>0</v>
      </c>
      <c r="R49" s="20" t="n">
        <v>0</v>
      </c>
    </row>
    <row r="50" spans="1:18">
      <c r="A50" s="15" t="s">
        <v>609</v>
      </c>
      <c r="B50" s="17" t="n">
        <v>6866</v>
      </c>
      <c r="C50" s="18">
        <f>(5708.0/B50*100)</f>
        <v/>
      </c>
      <c r="D50" s="19" t="n">
        <v>1158</v>
      </c>
      <c r="E50" s="18" t="n">
        <v>46.83175461</v>
      </c>
      <c r="F50" s="20" t="n">
        <v>1.70755424</v>
      </c>
      <c r="G50" s="18" t="n">
        <v>20.52906098</v>
      </c>
      <c r="H50" s="20" t="n">
        <v>1.27597107</v>
      </c>
      <c r="I50" s="18" t="n">
        <v>0</v>
      </c>
      <c r="J50" s="20" t="n">
        <v>0</v>
      </c>
      <c r="K50" s="18" t="n">
        <v>32.63918441</v>
      </c>
      <c r="L50" s="20" t="n">
        <v>1.43419293</v>
      </c>
      <c r="M50" s="18" t="n">
        <v>0</v>
      </c>
      <c r="N50" s="20" t="n">
        <v>0</v>
      </c>
      <c r="O50" s="18" t="n">
        <v>0</v>
      </c>
      <c r="P50" s="20" t="n">
        <v>0</v>
      </c>
      <c r="Q50" s="18" t="n">
        <v>0</v>
      </c>
      <c r="R50" s="20" t="n">
        <v>0</v>
      </c>
    </row>
    <row r="51" spans="1:18">
      <c r="A51" s="15" t="s">
        <v>610</v>
      </c>
      <c r="B51" s="17" t="n">
        <v>5809</v>
      </c>
      <c r="C51" s="18">
        <f>(4618.0/B51*100)</f>
        <v/>
      </c>
      <c r="D51" s="19" t="n">
        <v>1191</v>
      </c>
      <c r="E51" s="18" t="n">
        <v>17.54862314</v>
      </c>
      <c r="F51" s="20" t="n">
        <v>1.29136971</v>
      </c>
      <c r="G51" s="18" t="n">
        <v>44.14735532</v>
      </c>
      <c r="H51" s="20" t="n">
        <v>1.43677327</v>
      </c>
      <c r="I51" s="18" t="n">
        <v>0</v>
      </c>
      <c r="J51" s="20" t="n">
        <v>0</v>
      </c>
      <c r="K51" s="18" t="n">
        <v>38.30402154</v>
      </c>
      <c r="L51" s="20" t="n">
        <v>1.48066839</v>
      </c>
      <c r="M51" s="18" t="n">
        <v>0</v>
      </c>
      <c r="N51" s="20" t="n">
        <v>0</v>
      </c>
      <c r="O51" s="18" t="n">
        <v>0</v>
      </c>
      <c r="P51" s="20" t="n">
        <v>0</v>
      </c>
      <c r="Q51" s="18" t="n">
        <v>0</v>
      </c>
      <c r="R51" s="20" t="n">
        <v>0</v>
      </c>
    </row>
    <row r="52" spans="1:18">
      <c r="A52" s="15" t="s">
        <v>611</v>
      </c>
      <c r="B52" s="17" t="n">
        <v>5571</v>
      </c>
      <c r="C52" s="18">
        <f>(4432.0/B52*100)</f>
        <v/>
      </c>
      <c r="D52" s="19" t="n">
        <v>1139</v>
      </c>
      <c r="E52" s="18" t="n">
        <v>28.32834255</v>
      </c>
      <c r="F52" s="20" t="n">
        <v>1.49436189</v>
      </c>
      <c r="G52" s="18" t="n">
        <v>28.01632058</v>
      </c>
      <c r="H52" s="20" t="n">
        <v>1.53630626</v>
      </c>
      <c r="I52" s="18" t="n">
        <v>0</v>
      </c>
      <c r="J52" s="20" t="n">
        <v>0</v>
      </c>
      <c r="K52" s="18" t="n">
        <v>43.65533687</v>
      </c>
      <c r="L52" s="20" t="n">
        <v>1.52156621</v>
      </c>
      <c r="M52" s="18" t="n">
        <v>0</v>
      </c>
      <c r="N52" s="20" t="n">
        <v>0</v>
      </c>
      <c r="O52" s="18" t="n">
        <v>0</v>
      </c>
      <c r="P52" s="20" t="n">
        <v>0</v>
      </c>
      <c r="Q52" s="18" t="n">
        <v>0</v>
      </c>
      <c r="R52" s="20" t="n">
        <v>0</v>
      </c>
    </row>
    <row r="53" spans="1:18">
      <c r="A53" s="15" t="s">
        <v>612</v>
      </c>
      <c r="B53" s="17" t="n">
        <v>4740</v>
      </c>
      <c r="C53" s="18">
        <f>(3682.0/B53*100)</f>
        <v/>
      </c>
      <c r="D53" s="19" t="n">
        <v>1058</v>
      </c>
      <c r="E53" s="18" t="n">
        <v>30.42674477</v>
      </c>
      <c r="F53" s="20" t="n">
        <v>1.65896114</v>
      </c>
      <c r="G53" s="18" t="n">
        <v>2.18171865</v>
      </c>
      <c r="H53" s="20" t="n">
        <v>0.48310606</v>
      </c>
      <c r="I53" s="18" t="n">
        <v>0</v>
      </c>
      <c r="J53" s="20" t="n">
        <v>0</v>
      </c>
      <c r="K53" s="18" t="n">
        <v>66.78953075</v>
      </c>
      <c r="L53" s="20" t="n">
        <v>1.60496509</v>
      </c>
      <c r="M53" s="18" t="n">
        <v>0.60200584</v>
      </c>
      <c r="N53" s="20" t="n">
        <v>0.55657342</v>
      </c>
      <c r="O53" s="18" t="n">
        <v>0</v>
      </c>
      <c r="P53" s="20" t="n">
        <v>0</v>
      </c>
      <c r="Q53" s="18" t="n">
        <v>0</v>
      </c>
      <c r="R53" s="20" t="n">
        <v>0</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(4197.0/B55*100)</f>
        <v/>
      </c>
      <c r="D55" s="19" t="n">
        <v>1162</v>
      </c>
      <c r="E55" s="18" t="n">
        <v>28.91610386</v>
      </c>
      <c r="F55" s="20" t="n">
        <v>1.56869191</v>
      </c>
      <c r="G55" s="18" t="n">
        <v>57.91110454</v>
      </c>
      <c r="H55" s="20" t="n">
        <v>1.71909612</v>
      </c>
      <c r="I55" s="18" t="n">
        <v>0</v>
      </c>
      <c r="J55" s="20" t="n">
        <v>0</v>
      </c>
      <c r="K55" s="18" t="n">
        <v>13.1727916</v>
      </c>
      <c r="L55" s="20" t="n">
        <v>1.0224399</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(5108.0/B61*100)</f>
        <v/>
      </c>
      <c r="D61" s="19" t="n">
        <v>1417</v>
      </c>
      <c r="E61" s="18" t="n">
        <v>23.86602494</v>
      </c>
      <c r="F61" s="20" t="n">
        <v>1.10998582</v>
      </c>
      <c r="G61" s="18" t="n">
        <v>32.33459074</v>
      </c>
      <c r="H61" s="20" t="n">
        <v>1.56085867</v>
      </c>
      <c r="I61" s="18" t="n">
        <v>0</v>
      </c>
      <c r="J61" s="20" t="n">
        <v>0</v>
      </c>
      <c r="K61" s="18" t="n">
        <v>43.79938432</v>
      </c>
      <c r="L61" s="20" t="n">
        <v>1.45088281</v>
      </c>
      <c r="M61" s="18" t="n">
        <v>0</v>
      </c>
      <c r="N61" s="20" t="n">
        <v>0</v>
      </c>
      <c r="O61" s="18" t="n">
        <v>0</v>
      </c>
      <c r="P61" s="20" t="n">
        <v>0</v>
      </c>
      <c r="Q61" s="18" t="n">
        <v>0</v>
      </c>
      <c r="R61" s="20" t="n">
        <v>0</v>
      </c>
    </row>
    <row r="62" spans="1:18">
      <c r="A62" s="15" t="s">
        <v>622</v>
      </c>
      <c r="B62" s="17" t="n">
        <v>4476</v>
      </c>
      <c r="C62" s="18">
        <f>(3584.0/B62*100)</f>
        <v/>
      </c>
      <c r="D62" s="19" t="n">
        <v>892</v>
      </c>
      <c r="E62" s="18" t="n">
        <v>36.88524836</v>
      </c>
      <c r="F62" s="20" t="n">
        <v>1.61767631</v>
      </c>
      <c r="G62" s="18" t="n">
        <v>52.67785145</v>
      </c>
      <c r="H62" s="20" t="n">
        <v>1.56767546</v>
      </c>
      <c r="I62" s="18" t="n">
        <v>0</v>
      </c>
      <c r="J62" s="20" t="n">
        <v>0</v>
      </c>
      <c r="K62" s="18" t="n">
        <v>10.32430422</v>
      </c>
      <c r="L62" s="20" t="n">
        <v>0.94642953</v>
      </c>
      <c r="M62" s="18" t="n">
        <v>0.11259597</v>
      </c>
      <c r="N62" s="20" t="n">
        <v>0.1124316</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(4483.0/B67*100)</f>
        <v/>
      </c>
      <c r="D67" s="19" t="n">
        <v>1182</v>
      </c>
      <c r="E67" s="18" t="n">
        <v>11.31679041</v>
      </c>
      <c r="F67" s="20" t="n">
        <v>0.89459685</v>
      </c>
      <c r="G67" s="18" t="n">
        <v>13.32091215</v>
      </c>
      <c r="H67" s="20" t="n">
        <v>0.88863056</v>
      </c>
      <c r="I67" s="18" t="n">
        <v>0</v>
      </c>
      <c r="J67" s="20" t="n">
        <v>0</v>
      </c>
      <c r="K67" s="18" t="n">
        <v>44.30134154</v>
      </c>
      <c r="L67" s="20" t="n">
        <v>1.4555856</v>
      </c>
      <c r="M67" s="18" t="n">
        <v>31.0609559</v>
      </c>
      <c r="N67" s="20" t="n">
        <v>1.18785726</v>
      </c>
      <c r="O67" s="18" t="n">
        <v>0</v>
      </c>
      <c r="P67" s="20" t="n">
        <v>0</v>
      </c>
      <c r="Q67" s="18" t="n">
        <v>0</v>
      </c>
      <c r="R67" s="20" t="n">
        <v>0</v>
      </c>
    </row>
    <row r="68" spans="1:18">
      <c r="A68" s="15" t="s">
        <v>628</v>
      </c>
      <c r="B68" s="17" t="n">
        <v>6971</v>
      </c>
      <c r="C68" s="18">
        <f>(5802.0/B68*100)</f>
        <v/>
      </c>
      <c r="D68" s="19" t="n">
        <v>1169</v>
      </c>
      <c r="E68" s="18" t="n">
        <v>45.00958363</v>
      </c>
      <c r="F68" s="20" t="n">
        <v>1.73156912</v>
      </c>
      <c r="G68" s="18" t="n">
        <v>17.82288701</v>
      </c>
      <c r="H68" s="20" t="n">
        <v>1.38594059</v>
      </c>
      <c r="I68" s="18" t="n">
        <v>0</v>
      </c>
      <c r="J68" s="20" t="n">
        <v>0</v>
      </c>
      <c r="K68" s="18" t="n">
        <v>37.16752935</v>
      </c>
      <c r="L68" s="20" t="n">
        <v>1.37723405</v>
      </c>
      <c r="M68" s="18" t="n">
        <v>0</v>
      </c>
      <c r="N68" s="20" t="n">
        <v>0</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(9415.0/B70*100)</f>
        <v/>
      </c>
      <c r="D70" s="19" t="n">
        <v>2668</v>
      </c>
      <c r="E70" s="18" t="n">
        <v>41.29927241</v>
      </c>
      <c r="F70" s="20" t="n">
        <v>0.859827</v>
      </c>
      <c r="G70" s="18" t="n">
        <v>19.35658927</v>
      </c>
      <c r="H70" s="20" t="n">
        <v>0.79338663</v>
      </c>
      <c r="I70" s="18" t="n">
        <v>0</v>
      </c>
      <c r="J70" s="20" t="n">
        <v>0</v>
      </c>
      <c r="K70" s="18" t="n">
        <v>39.30814474</v>
      </c>
      <c r="L70" s="20" t="n">
        <v>1.01454578</v>
      </c>
      <c r="M70" s="18" t="n">
        <v>0.03599358</v>
      </c>
      <c r="N70" s="20" t="n">
        <v>0.03584662</v>
      </c>
      <c r="O70" s="18" t="n">
        <v>0</v>
      </c>
      <c r="P70" s="20" t="n">
        <v>0</v>
      </c>
      <c r="Q70" s="18" t="n">
        <v>0</v>
      </c>
      <c r="R70" s="20" t="n">
        <v>0</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(4854.0/B72*100)</f>
        <v/>
      </c>
      <c r="D72" s="19" t="n">
        <v>1182</v>
      </c>
      <c r="E72" s="18" t="n">
        <v>23.42819838</v>
      </c>
      <c r="F72" s="20" t="n">
        <v>1.26672817</v>
      </c>
      <c r="G72" s="18" t="n">
        <v>40.90280624</v>
      </c>
      <c r="H72" s="20" t="n">
        <v>1.88667465</v>
      </c>
      <c r="I72" s="18" t="n">
        <v>0</v>
      </c>
      <c r="J72" s="20" t="n">
        <v>0</v>
      </c>
      <c r="K72" s="18" t="n">
        <v>35.66899538</v>
      </c>
      <c r="L72" s="20" t="n">
        <v>1.77016349</v>
      </c>
      <c r="M72" s="18" t="n">
        <v>0</v>
      </c>
      <c r="N72" s="20" t="n">
        <v>0</v>
      </c>
      <c r="O72" s="18" t="n">
        <v>0</v>
      </c>
      <c r="P72" s="20" t="n">
        <v>0</v>
      </c>
      <c r="Q72" s="18" t="n">
        <v>0</v>
      </c>
      <c r="R72" s="20" t="n">
        <v>0</v>
      </c>
    </row>
    <row r="73" spans="1:18">
      <c r="A73" s="15" t="s">
        <v>633</v>
      </c>
      <c r="B73" s="17" t="n">
        <v>6115</v>
      </c>
      <c r="C73" s="18">
        <f>(4743.0/B73*100)</f>
        <v/>
      </c>
      <c r="D73" s="19" t="n">
        <v>1372</v>
      </c>
      <c r="E73" s="18" t="n">
        <v>31.20045064</v>
      </c>
      <c r="F73" s="20" t="n">
        <v>1.24035831</v>
      </c>
      <c r="G73" s="18" t="n">
        <v>53.75156474</v>
      </c>
      <c r="H73" s="20" t="n">
        <v>1.45933921</v>
      </c>
      <c r="I73" s="18" t="n">
        <v>0</v>
      </c>
      <c r="J73" s="20" t="n">
        <v>0</v>
      </c>
      <c r="K73" s="18" t="n">
        <v>15.04798462</v>
      </c>
      <c r="L73" s="20" t="n">
        <v>1.24031852</v>
      </c>
      <c r="M73" s="18" t="n">
        <v>0</v>
      </c>
      <c r="N73" s="20" t="n">
        <v>0</v>
      </c>
      <c r="O73" s="18" t="n">
        <v>0</v>
      </c>
      <c r="P73" s="20" t="n">
        <v>0</v>
      </c>
      <c r="Q73" s="18" t="n">
        <v>0</v>
      </c>
      <c r="R73" s="20" t="n">
        <v>0</v>
      </c>
    </row>
    <row r="74" spans="1:18">
      <c r="A74" s="15" t="s">
        <v>634</v>
      </c>
      <c r="B74" s="17" t="n">
        <v>7708</v>
      </c>
      <c r="C74" s="18">
        <f>(5990.0/B74*100)</f>
        <v/>
      </c>
      <c r="D74" s="19" t="n">
        <v>1718</v>
      </c>
      <c r="E74" s="18" t="n">
        <v>23.38146942</v>
      </c>
      <c r="F74" s="20" t="n">
        <v>1.24233597</v>
      </c>
      <c r="G74" s="18" t="n">
        <v>63.5481732</v>
      </c>
      <c r="H74" s="20" t="n">
        <v>1.59954245</v>
      </c>
      <c r="I74" s="18" t="n">
        <v>0</v>
      </c>
      <c r="J74" s="20" t="n">
        <v>0</v>
      </c>
      <c r="K74" s="18" t="n">
        <v>13.07035738</v>
      </c>
      <c r="L74" s="20" t="n">
        <v>1.03989184</v>
      </c>
      <c r="M74" s="18" t="n">
        <v>0</v>
      </c>
      <c r="N74" s="20" t="n">
        <v>0</v>
      </c>
      <c r="O74" s="18" t="n">
        <v>0</v>
      </c>
      <c r="P74" s="20" t="n">
        <v>0</v>
      </c>
      <c r="Q74" s="18" t="n">
        <v>0</v>
      </c>
      <c r="R74" s="20" t="n">
        <v>0</v>
      </c>
    </row>
    <row r="75" spans="1:18">
      <c r="A75" s="15" t="s">
        <v>635</v>
      </c>
      <c r="B75" s="17" t="n">
        <v>8249</v>
      </c>
      <c r="C75" s="18">
        <f>(6626.0/B75*100)</f>
        <v/>
      </c>
      <c r="D75" s="19" t="n">
        <v>1623</v>
      </c>
      <c r="E75" s="18" t="n">
        <v>66.84902255</v>
      </c>
      <c r="F75" s="20" t="n">
        <v>1.71650035</v>
      </c>
      <c r="G75" s="18" t="n">
        <v>24.12828418</v>
      </c>
      <c r="H75" s="20" t="n">
        <v>1.65891351</v>
      </c>
      <c r="I75" s="18" t="n">
        <v>0</v>
      </c>
      <c r="J75" s="20" t="n">
        <v>0</v>
      </c>
      <c r="K75" s="18" t="n">
        <v>8.84629719</v>
      </c>
      <c r="L75" s="20" t="n">
        <v>0.99646183</v>
      </c>
      <c r="M75" s="18" t="n">
        <v>0.17639609</v>
      </c>
      <c r="N75" s="20" t="n">
        <v>0.12142558</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(4366.0/B77*100)</f>
        <v/>
      </c>
      <c r="D77" s="19" t="n">
        <v>1009</v>
      </c>
      <c r="E77" s="18" t="n">
        <v>27.28907471</v>
      </c>
      <c r="F77" s="20" t="n">
        <v>1.76740257</v>
      </c>
      <c r="G77" s="18" t="n">
        <v>8.03431962</v>
      </c>
      <c r="H77" s="20" t="n">
        <v>0.94218821</v>
      </c>
      <c r="I77" s="18" t="n">
        <v>0</v>
      </c>
      <c r="J77" s="20" t="n">
        <v>0</v>
      </c>
      <c r="K77" s="18" t="n">
        <v>64.50837036</v>
      </c>
      <c r="L77" s="20" t="n">
        <v>1.82107742</v>
      </c>
      <c r="M77" s="18" t="n">
        <v>0.16823531</v>
      </c>
      <c r="N77" s="20" t="n">
        <v>0.11918563</v>
      </c>
      <c r="O77" s="18" t="n">
        <v>0</v>
      </c>
      <c r="P77" s="20" t="n">
        <v>0</v>
      </c>
      <c r="Q77" s="18" t="n">
        <v>0</v>
      </c>
      <c r="R77" s="20" t="n">
        <v>0</v>
      </c>
    </row>
    <row r="78" spans="1:18">
      <c r="A78" s="15" t="s">
        <v>638</v>
      </c>
      <c r="B78" s="17" t="n">
        <v>14167</v>
      </c>
      <c r="C78" s="18">
        <f>(11060.0/B78*100)</f>
        <v/>
      </c>
      <c r="D78" s="19" t="n">
        <v>3107</v>
      </c>
      <c r="E78" s="18" t="n">
        <v>50.0649769</v>
      </c>
      <c r="F78" s="20" t="n">
        <v>1.22230584</v>
      </c>
      <c r="G78" s="18" t="n">
        <v>27.44853047</v>
      </c>
      <c r="H78" s="20" t="n">
        <v>1.20774613</v>
      </c>
      <c r="I78" s="18" t="n">
        <v>0</v>
      </c>
      <c r="J78" s="20" t="n">
        <v>0</v>
      </c>
      <c r="K78" s="18" t="n">
        <v>22.43507018</v>
      </c>
      <c r="L78" s="20" t="n">
        <v>1.26446278</v>
      </c>
      <c r="M78" s="18" t="n">
        <v>0.05142245</v>
      </c>
      <c r="N78" s="20" t="n">
        <v>0.03700294</v>
      </c>
      <c r="O78" s="18" t="n">
        <v>0</v>
      </c>
      <c r="P78" s="20" t="n">
        <v>0</v>
      </c>
      <c r="Q78" s="18" t="n">
        <v>0</v>
      </c>
      <c r="R78" s="20" t="n">
        <v>0</v>
      </c>
    </row>
    <row r="79" spans="1:18">
      <c r="A79" s="15" t="s">
        <v>639</v>
      </c>
      <c r="B79" s="17" t="n">
        <v>6062</v>
      </c>
      <c r="C79" s="18">
        <f>(4962.0/B79*100)</f>
        <v/>
      </c>
      <c r="D79" s="19" t="n">
        <v>1100</v>
      </c>
      <c r="E79" s="18" t="n">
        <v>26.54223086</v>
      </c>
      <c r="F79" s="20" t="n">
        <v>1.16462477</v>
      </c>
      <c r="G79" s="18" t="n">
        <v>21.79287169</v>
      </c>
      <c r="H79" s="20" t="n">
        <v>1.16812185</v>
      </c>
      <c r="I79" s="18" t="n">
        <v>0</v>
      </c>
      <c r="J79" s="20" t="n">
        <v>0</v>
      </c>
      <c r="K79" s="18" t="n">
        <v>51.66489745</v>
      </c>
      <c r="L79" s="20" t="n">
        <v>1.39015362</v>
      </c>
      <c r="M79" s="18" t="n">
        <v>0</v>
      </c>
      <c r="N79" s="20" t="n">
        <v>0</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(25618.0/B82*100)</f>
        <v/>
      </c>
      <c r="D82" s="19" t="n">
        <v>6712</v>
      </c>
      <c r="E82" s="18" t="n">
        <v>20.59364704</v>
      </c>
      <c r="F82" s="20" t="n">
        <v>0.7565519000000001</v>
      </c>
      <c r="G82" s="18" t="n">
        <v>42.84556832</v>
      </c>
      <c r="H82" s="20" t="n">
        <v>0.98788142</v>
      </c>
      <c r="I82" s="18" t="n">
        <v>0</v>
      </c>
      <c r="J82" s="20" t="n">
        <v>0</v>
      </c>
      <c r="K82" s="18" t="n">
        <v>36.56078464</v>
      </c>
      <c r="L82" s="20" t="n">
        <v>1.02518267</v>
      </c>
      <c r="M82" s="18" t="n">
        <v>0</v>
      </c>
      <c r="N82" s="20" t="n">
        <v>0</v>
      </c>
      <c r="O82" s="18" t="n">
        <v>0</v>
      </c>
      <c r="P82" s="20" t="n">
        <v>0</v>
      </c>
      <c r="Q82" s="18" t="n">
        <v>0</v>
      </c>
      <c r="R82" s="20" t="n">
        <v>0</v>
      </c>
    </row>
    <row r="83" spans="1:18">
      <c r="A83" s="15" t="s">
        <v>643</v>
      </c>
      <c r="B83" s="17" t="n">
        <v>1652</v>
      </c>
      <c r="C83" s="18">
        <f>(1327.0/B83*100)</f>
        <v/>
      </c>
      <c r="D83" s="19" t="n">
        <v>325</v>
      </c>
      <c r="E83" s="18" t="n">
        <v>39.23538326</v>
      </c>
      <c r="F83" s="20" t="n">
        <v>2.32013905</v>
      </c>
      <c r="G83" s="18" t="n">
        <v>45.48945116</v>
      </c>
      <c r="H83" s="20" t="n">
        <v>2.68289513</v>
      </c>
      <c r="I83" s="18" t="n">
        <v>0</v>
      </c>
      <c r="J83" s="20" t="n">
        <v>0</v>
      </c>
      <c r="K83" s="18" t="n">
        <v>15.27516558</v>
      </c>
      <c r="L83" s="20" t="n">
        <v>2.30596756</v>
      </c>
      <c r="M83" s="18" t="n">
        <v>0</v>
      </c>
      <c r="N83" s="20" t="n">
        <v>0</v>
      </c>
      <c r="O83" s="18" t="n">
        <v>0</v>
      </c>
      <c r="P83" s="20" t="n">
        <v>0</v>
      </c>
      <c r="Q83" s="18" t="n">
        <v>0</v>
      </c>
      <c r="R83" s="20" t="n">
        <v>0</v>
      </c>
    </row>
    <row r="84" spans="1:18">
      <c r="A84" s="23" t="s">
        <v>644</v>
      </c>
      <c r="B84" s="24" t="n">
        <v>1887</v>
      </c>
      <c r="C84" s="25">
        <f>(1472.0/B84*100)</f>
        <v/>
      </c>
      <c r="D84" s="19" t="n">
        <v>415</v>
      </c>
      <c r="E84" s="18" t="n">
        <v>47.92761157</v>
      </c>
      <c r="F84" s="20" t="n">
        <v>2.65735949</v>
      </c>
      <c r="G84" s="18" t="n">
        <v>36.85512688</v>
      </c>
      <c r="H84" s="20" t="n">
        <v>2.51510642</v>
      </c>
      <c r="I84" s="18" t="n">
        <v>0</v>
      </c>
      <c r="J84" s="20" t="n">
        <v>0</v>
      </c>
      <c r="K84" s="18" t="n">
        <v>15.21726156</v>
      </c>
      <c r="L84" s="20" t="n">
        <v>2.2846445</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(11291.0/B7*100)</f>
        <v/>
      </c>
      <c r="D7" s="19" t="n">
        <v>3239</v>
      </c>
      <c r="E7" s="18" t="n">
        <v>40.58962341</v>
      </c>
      <c r="F7" s="20" t="n">
        <v>0.97168064</v>
      </c>
      <c r="G7" s="18" t="n">
        <v>53.74397532</v>
      </c>
      <c r="H7" s="20" t="n">
        <v>0.86552176</v>
      </c>
      <c r="I7" s="18" t="n">
        <v>0</v>
      </c>
      <c r="J7" s="20" t="n">
        <v>0</v>
      </c>
      <c r="K7" s="18" t="n">
        <v>0.01794375</v>
      </c>
      <c r="L7" s="20" t="n">
        <v>0.01586346</v>
      </c>
      <c r="M7" s="18" t="n">
        <v>0.072383</v>
      </c>
      <c r="N7" s="20" t="n">
        <v>0.03006285</v>
      </c>
      <c r="O7" s="18" t="n">
        <v>0</v>
      </c>
      <c r="P7" s="20" t="n">
        <v>0</v>
      </c>
      <c r="Q7" s="18" t="n">
        <v>5.57607453</v>
      </c>
      <c r="R7" s="20" t="n">
        <v>0.46606747</v>
      </c>
    </row>
    <row r="8" spans="1:18">
      <c r="A8" s="15" t="s">
        <v>566</v>
      </c>
      <c r="B8" s="17" t="n">
        <v>7007</v>
      </c>
      <c r="C8" s="18">
        <f>(5494.0/B8*100)</f>
        <v/>
      </c>
      <c r="D8" s="19" t="n">
        <v>1513</v>
      </c>
      <c r="E8" s="18" t="n">
        <v>42.09847918</v>
      </c>
      <c r="F8" s="20" t="n">
        <v>1.4587693</v>
      </c>
      <c r="G8" s="18" t="n">
        <v>40.42552379</v>
      </c>
      <c r="H8" s="20" t="n">
        <v>1.56217984</v>
      </c>
      <c r="I8" s="18" t="n">
        <v>0</v>
      </c>
      <c r="J8" s="20" t="n">
        <v>0</v>
      </c>
      <c r="K8" s="18" t="n">
        <v>0</v>
      </c>
      <c r="L8" s="20" t="n">
        <v>0</v>
      </c>
      <c r="M8" s="18" t="n">
        <v>0</v>
      </c>
      <c r="N8" s="20" t="n">
        <v>0</v>
      </c>
      <c r="O8" s="18" t="n">
        <v>0</v>
      </c>
      <c r="P8" s="20" t="n">
        <v>0</v>
      </c>
      <c r="Q8" s="18" t="n">
        <v>17.47599703</v>
      </c>
      <c r="R8" s="20" t="n">
        <v>1.22298489</v>
      </c>
    </row>
    <row r="9" spans="1:18">
      <c r="A9" s="15" t="s">
        <v>567</v>
      </c>
      <c r="B9" s="17" t="n">
        <v>9651</v>
      </c>
      <c r="C9" s="18">
        <f>(7561.0/B9*100)</f>
        <v/>
      </c>
      <c r="D9" s="19" t="n">
        <v>2090</v>
      </c>
      <c r="E9" s="18" t="n">
        <v>41.73722735</v>
      </c>
      <c r="F9" s="20" t="n">
        <v>1.26898552</v>
      </c>
      <c r="G9" s="18" t="n">
        <v>48.15817216</v>
      </c>
      <c r="H9" s="20" t="n">
        <v>1.2202849</v>
      </c>
      <c r="I9" s="18" t="n">
        <v>0</v>
      </c>
      <c r="J9" s="20" t="n">
        <v>0</v>
      </c>
      <c r="K9" s="18" t="n">
        <v>0.05368189</v>
      </c>
      <c r="L9" s="20" t="n">
        <v>0.05604769</v>
      </c>
      <c r="M9" s="18" t="n">
        <v>0.45828723</v>
      </c>
      <c r="N9" s="20" t="n">
        <v>0.15824996</v>
      </c>
      <c r="O9" s="18" t="n">
        <v>0</v>
      </c>
      <c r="P9" s="20" t="n">
        <v>0</v>
      </c>
      <c r="Q9" s="18" t="n">
        <v>9.59263136</v>
      </c>
      <c r="R9" s="20" t="n">
        <v>0.69370429</v>
      </c>
    </row>
    <row r="10" spans="1:18">
      <c r="A10" s="15" t="s">
        <v>568</v>
      </c>
      <c r="B10" s="17" t="n">
        <v>20058</v>
      </c>
      <c r="C10" s="18">
        <f>(15620.0/B10*100)</f>
        <v/>
      </c>
      <c r="D10" s="19" t="n">
        <v>4438</v>
      </c>
      <c r="E10" s="18" t="n">
        <v>38.46703109</v>
      </c>
      <c r="F10" s="20" t="n">
        <v>0.9197788099999999</v>
      </c>
      <c r="G10" s="18" t="n">
        <v>56.94648067</v>
      </c>
      <c r="H10" s="20" t="n">
        <v>1.01073938</v>
      </c>
      <c r="I10" s="18" t="n">
        <v>0</v>
      </c>
      <c r="J10" s="20" t="n">
        <v>0</v>
      </c>
      <c r="K10" s="18" t="n">
        <v>0.15827867</v>
      </c>
      <c r="L10" s="20" t="n">
        <v>0.08795873</v>
      </c>
      <c r="M10" s="18" t="n">
        <v>0.02293146</v>
      </c>
      <c r="N10" s="20" t="n">
        <v>0.01896472</v>
      </c>
      <c r="O10" s="18" t="n">
        <v>0</v>
      </c>
      <c r="P10" s="20" t="n">
        <v>0</v>
      </c>
      <c r="Q10" s="18" t="n">
        <v>4.40527812</v>
      </c>
      <c r="R10" s="20" t="n">
        <v>0.46914229</v>
      </c>
    </row>
    <row r="11" spans="1:18">
      <c r="A11" s="15" t="s">
        <v>569</v>
      </c>
      <c r="B11" s="17" t="n">
        <v>7053</v>
      </c>
      <c r="C11" s="18">
        <f>(5529.0/B11*100)</f>
        <v/>
      </c>
      <c r="D11" s="19" t="n">
        <v>1524</v>
      </c>
      <c r="E11" s="18" t="n">
        <v>41.65610288</v>
      </c>
      <c r="F11" s="20" t="n">
        <v>1.83626055</v>
      </c>
      <c r="G11" s="18" t="n">
        <v>40.69724406</v>
      </c>
      <c r="H11" s="20" t="n">
        <v>1.6273772</v>
      </c>
      <c r="I11" s="18" t="n">
        <v>0</v>
      </c>
      <c r="J11" s="20" t="n">
        <v>0</v>
      </c>
      <c r="K11" s="18" t="n">
        <v>0.33899847</v>
      </c>
      <c r="L11" s="20" t="n">
        <v>0.21787441</v>
      </c>
      <c r="M11" s="18" t="n">
        <v>0.02826557</v>
      </c>
      <c r="N11" s="20" t="n">
        <v>0.03082697</v>
      </c>
      <c r="O11" s="18" t="n">
        <v>0</v>
      </c>
      <c r="P11" s="20" t="n">
        <v>0</v>
      </c>
      <c r="Q11" s="18" t="n">
        <v>17.27938902</v>
      </c>
      <c r="R11" s="20" t="n">
        <v>1.53704674</v>
      </c>
    </row>
    <row r="12" spans="1:18">
      <c r="A12" s="15" t="s">
        <v>570</v>
      </c>
      <c r="B12" s="17" t="n">
        <v>6894</v>
      </c>
      <c r="C12" s="18">
        <f>(5365.0/B12*100)</f>
        <v/>
      </c>
      <c r="D12" s="19" t="n">
        <v>1529</v>
      </c>
      <c r="E12" s="18" t="n">
        <v>43.46823633</v>
      </c>
      <c r="F12" s="20" t="n">
        <v>1.44497921</v>
      </c>
      <c r="G12" s="18" t="n">
        <v>42.09087763</v>
      </c>
      <c r="H12" s="20" t="n">
        <v>1.64781819</v>
      </c>
      <c r="I12" s="18" t="n">
        <v>0</v>
      </c>
      <c r="J12" s="20" t="n">
        <v>0</v>
      </c>
      <c r="K12" s="18" t="n">
        <v>0.11938766</v>
      </c>
      <c r="L12" s="20" t="n">
        <v>0.08289451</v>
      </c>
      <c r="M12" s="18" t="n">
        <v>0.06320442</v>
      </c>
      <c r="N12" s="20" t="n">
        <v>0.05685462</v>
      </c>
      <c r="O12" s="18" t="n">
        <v>0</v>
      </c>
      <c r="P12" s="20" t="n">
        <v>0</v>
      </c>
      <c r="Q12" s="18" t="n">
        <v>14.25829396</v>
      </c>
      <c r="R12" s="20" t="n">
        <v>1.04460617</v>
      </c>
    </row>
    <row r="13" spans="1:18">
      <c r="A13" s="15" t="s">
        <v>571</v>
      </c>
      <c r="B13" s="17" t="n">
        <v>7161</v>
      </c>
      <c r="C13" s="18">
        <f>(5609.0/B13*100)</f>
        <v/>
      </c>
      <c r="D13" s="19" t="n">
        <v>1552</v>
      </c>
      <c r="E13" s="18" t="n">
        <v>46.48368707</v>
      </c>
      <c r="F13" s="20" t="n">
        <v>1.67495009</v>
      </c>
      <c r="G13" s="18" t="n">
        <v>46.14042659</v>
      </c>
      <c r="H13" s="20" t="n">
        <v>1.68330048</v>
      </c>
      <c r="I13" s="18" t="n">
        <v>0</v>
      </c>
      <c r="J13" s="20" t="n">
        <v>0</v>
      </c>
      <c r="K13" s="18" t="n">
        <v>0.0588076</v>
      </c>
      <c r="L13" s="20" t="n">
        <v>0.04422536</v>
      </c>
      <c r="M13" s="18" t="n">
        <v>0.031254</v>
      </c>
      <c r="N13" s="20" t="n">
        <v>0.03254717</v>
      </c>
      <c r="O13" s="18" t="n">
        <v>0</v>
      </c>
      <c r="P13" s="20" t="n">
        <v>0</v>
      </c>
      <c r="Q13" s="18" t="n">
        <v>7.28582474</v>
      </c>
      <c r="R13" s="20" t="n">
        <v>0.6805347</v>
      </c>
    </row>
    <row r="14" spans="1:18">
      <c r="A14" s="15" t="s">
        <v>572</v>
      </c>
      <c r="B14" s="17" t="n">
        <v>5587</v>
      </c>
      <c r="C14" s="18">
        <f>(4397.0/B14*100)</f>
        <v/>
      </c>
      <c r="D14" s="19" t="n">
        <v>1190</v>
      </c>
      <c r="E14" s="18" t="n">
        <v>38.53113789</v>
      </c>
      <c r="F14" s="20" t="n">
        <v>1.81466786</v>
      </c>
      <c r="G14" s="18" t="n">
        <v>53.66408355</v>
      </c>
      <c r="H14" s="20" t="n">
        <v>1.84061341</v>
      </c>
      <c r="I14" s="18" t="n">
        <v>0</v>
      </c>
      <c r="J14" s="20" t="n">
        <v>0</v>
      </c>
      <c r="K14" s="18" t="n">
        <v>0.13084141</v>
      </c>
      <c r="L14" s="20" t="n">
        <v>0.09300466</v>
      </c>
      <c r="M14" s="18" t="n">
        <v>0</v>
      </c>
      <c r="N14" s="20" t="n">
        <v>0</v>
      </c>
      <c r="O14" s="18" t="n">
        <v>0</v>
      </c>
      <c r="P14" s="20" t="n">
        <v>0</v>
      </c>
      <c r="Q14" s="18" t="n">
        <v>7.67393715</v>
      </c>
      <c r="R14" s="20" t="n">
        <v>0.97024565</v>
      </c>
    </row>
    <row r="15" spans="1:18">
      <c r="A15" s="15" t="s">
        <v>573</v>
      </c>
      <c r="B15" s="17" t="n">
        <v>5882</v>
      </c>
      <c r="C15" s="18">
        <f>(4623.0/B15*100)</f>
        <v/>
      </c>
      <c r="D15" s="19" t="n">
        <v>1259</v>
      </c>
      <c r="E15" s="18" t="n">
        <v>37.41198991</v>
      </c>
      <c r="F15" s="20" t="n">
        <v>1.26337993</v>
      </c>
      <c r="G15" s="18" t="n">
        <v>55.13114721</v>
      </c>
      <c r="H15" s="20" t="n">
        <v>1.58708154</v>
      </c>
      <c r="I15" s="18" t="n">
        <v>0</v>
      </c>
      <c r="J15" s="20" t="n">
        <v>0</v>
      </c>
      <c r="K15" s="18" t="n">
        <v>0</v>
      </c>
      <c r="L15" s="20" t="n">
        <v>0</v>
      </c>
      <c r="M15" s="18" t="n">
        <v>0</v>
      </c>
      <c r="N15" s="20" t="n">
        <v>0</v>
      </c>
      <c r="O15" s="18" t="n">
        <v>0</v>
      </c>
      <c r="P15" s="20" t="n">
        <v>0</v>
      </c>
      <c r="Q15" s="18" t="n">
        <v>7.45686288</v>
      </c>
      <c r="R15" s="20" t="n">
        <v>0.82988496</v>
      </c>
    </row>
    <row r="16" spans="1:18">
      <c r="A16" s="15" t="s">
        <v>574</v>
      </c>
      <c r="B16" s="17" t="n">
        <v>6108</v>
      </c>
      <c r="C16" s="18">
        <f>(4798.0/B16*100)</f>
        <v/>
      </c>
      <c r="D16" s="19" t="n">
        <v>1310</v>
      </c>
      <c r="E16" s="18" t="n">
        <v>38.16165699</v>
      </c>
      <c r="F16" s="20" t="n">
        <v>1.35375831</v>
      </c>
      <c r="G16" s="18" t="n">
        <v>48.5156199</v>
      </c>
      <c r="H16" s="20" t="n">
        <v>1.22465664</v>
      </c>
      <c r="I16" s="18" t="n">
        <v>0</v>
      </c>
      <c r="J16" s="20" t="n">
        <v>0</v>
      </c>
      <c r="K16" s="18" t="n">
        <v>0.09526962</v>
      </c>
      <c r="L16" s="20" t="n">
        <v>0.07644996</v>
      </c>
      <c r="M16" s="18" t="n">
        <v>0.06428296</v>
      </c>
      <c r="N16" s="20" t="n">
        <v>0.06424429</v>
      </c>
      <c r="O16" s="18" t="n">
        <v>0</v>
      </c>
      <c r="P16" s="20" t="n">
        <v>0</v>
      </c>
      <c r="Q16" s="18" t="n">
        <v>13.16317052</v>
      </c>
      <c r="R16" s="20" t="n">
        <v>1.20366596</v>
      </c>
    </row>
    <row r="17" spans="1:18">
      <c r="A17" s="15" t="s">
        <v>575</v>
      </c>
      <c r="B17" s="17" t="n">
        <v>6504</v>
      </c>
      <c r="C17" s="18">
        <f>(5049.0/B17*100)</f>
        <v/>
      </c>
      <c r="D17" s="19" t="n">
        <v>1455</v>
      </c>
      <c r="E17" s="18" t="n">
        <v>43.7319738</v>
      </c>
      <c r="F17" s="20" t="n">
        <v>1.32455942</v>
      </c>
      <c r="G17" s="18" t="n">
        <v>42.31618103</v>
      </c>
      <c r="H17" s="20" t="n">
        <v>1.40040532</v>
      </c>
      <c r="I17" s="18" t="n">
        <v>0</v>
      </c>
      <c r="J17" s="20" t="n">
        <v>0</v>
      </c>
      <c r="K17" s="18" t="n">
        <v>0.21267213</v>
      </c>
      <c r="L17" s="20" t="n">
        <v>0.10380886</v>
      </c>
      <c r="M17" s="18" t="n">
        <v>0</v>
      </c>
      <c r="N17" s="20" t="n">
        <v>0</v>
      </c>
      <c r="O17" s="18" t="n">
        <v>0</v>
      </c>
      <c r="P17" s="20" t="n">
        <v>0</v>
      </c>
      <c r="Q17" s="18" t="n">
        <v>13.73917305</v>
      </c>
      <c r="R17" s="20" t="n">
        <v>1.03729779</v>
      </c>
    </row>
    <row r="18" spans="1:18">
      <c r="A18" s="15" t="s">
        <v>576</v>
      </c>
      <c r="B18" s="17" t="n">
        <v>5532</v>
      </c>
      <c r="C18" s="18">
        <f>(4317.0/B18*100)</f>
        <v/>
      </c>
      <c r="D18" s="19" t="n">
        <v>1215</v>
      </c>
      <c r="E18" s="18" t="n">
        <v>54.01097608</v>
      </c>
      <c r="F18" s="20" t="n">
        <v>1.5887269</v>
      </c>
      <c r="G18" s="18" t="n">
        <v>28.83996528</v>
      </c>
      <c r="H18" s="20" t="n">
        <v>1.54170046</v>
      </c>
      <c r="I18" s="18" t="n">
        <v>0</v>
      </c>
      <c r="J18" s="20" t="n">
        <v>0</v>
      </c>
      <c r="K18" s="18" t="n">
        <v>0</v>
      </c>
      <c r="L18" s="20" t="n">
        <v>0</v>
      </c>
      <c r="M18" s="18" t="n">
        <v>0.06195603</v>
      </c>
      <c r="N18" s="20" t="n">
        <v>0.06192992</v>
      </c>
      <c r="O18" s="18" t="n">
        <v>0</v>
      </c>
      <c r="P18" s="20" t="n">
        <v>0</v>
      </c>
      <c r="Q18" s="18" t="n">
        <v>17.08710261</v>
      </c>
      <c r="R18" s="20" t="n">
        <v>1.47784215</v>
      </c>
    </row>
    <row r="19" spans="1:18">
      <c r="A19" s="15" t="s">
        <v>577</v>
      </c>
      <c r="B19" s="17" t="n">
        <v>5658</v>
      </c>
      <c r="C19" s="18">
        <f>(4395.0/B19*100)</f>
        <v/>
      </c>
      <c r="D19" s="19" t="n">
        <v>1263</v>
      </c>
      <c r="E19" s="18" t="n">
        <v>44.01297137</v>
      </c>
      <c r="F19" s="20" t="n">
        <v>1.56021346</v>
      </c>
      <c r="G19" s="18" t="n">
        <v>40.78148568</v>
      </c>
      <c r="H19" s="20" t="n">
        <v>1.85453853</v>
      </c>
      <c r="I19" s="18" t="n">
        <v>0</v>
      </c>
      <c r="J19" s="20" t="n">
        <v>0</v>
      </c>
      <c r="K19" s="18" t="n">
        <v>0.1295874</v>
      </c>
      <c r="L19" s="20" t="n">
        <v>0.07831322</v>
      </c>
      <c r="M19" s="18" t="n">
        <v>0.13300806</v>
      </c>
      <c r="N19" s="20" t="n">
        <v>0.09455073999999999</v>
      </c>
      <c r="O19" s="18" t="n">
        <v>0</v>
      </c>
      <c r="P19" s="20" t="n">
        <v>0</v>
      </c>
      <c r="Q19" s="18" t="n">
        <v>14.94294749</v>
      </c>
      <c r="R19" s="20" t="n">
        <v>1.28130264</v>
      </c>
    </row>
    <row r="20" spans="1:18">
      <c r="A20" s="15" t="s">
        <v>578</v>
      </c>
      <c r="B20" s="17" t="n">
        <v>3371</v>
      </c>
      <c r="C20" s="18">
        <f>(2611.0/B20*100)</f>
        <v/>
      </c>
      <c r="D20" s="19" t="n">
        <v>760</v>
      </c>
      <c r="E20" s="18" t="n">
        <v>52.18800936</v>
      </c>
      <c r="F20" s="20" t="n">
        <v>1.81298269</v>
      </c>
      <c r="G20" s="18" t="n">
        <v>31.03771223</v>
      </c>
      <c r="H20" s="20" t="n">
        <v>1.71979572</v>
      </c>
      <c r="I20" s="18" t="n">
        <v>0</v>
      </c>
      <c r="J20" s="20" t="n">
        <v>0</v>
      </c>
      <c r="K20" s="18" t="n">
        <v>0</v>
      </c>
      <c r="L20" s="20" t="n">
        <v>0</v>
      </c>
      <c r="M20" s="18" t="n">
        <v>0.34425382</v>
      </c>
      <c r="N20" s="20" t="n">
        <v>0.07420118000000001</v>
      </c>
      <c r="O20" s="18" t="n">
        <v>0</v>
      </c>
      <c r="P20" s="20" t="n">
        <v>0</v>
      </c>
      <c r="Q20" s="18" t="n">
        <v>16.43002459</v>
      </c>
      <c r="R20" s="20" t="n">
        <v>1.41472182</v>
      </c>
    </row>
    <row r="21" spans="1:18">
      <c r="A21" s="15" t="s">
        <v>579</v>
      </c>
      <c r="B21" s="17" t="n">
        <v>5741</v>
      </c>
      <c r="C21" s="18">
        <f>(4452.0/B21*100)</f>
        <v/>
      </c>
      <c r="D21" s="19" t="n">
        <v>1289</v>
      </c>
      <c r="E21" s="18" t="n">
        <v>41.30618892</v>
      </c>
      <c r="F21" s="20" t="n">
        <v>1.445452</v>
      </c>
      <c r="G21" s="18" t="n">
        <v>53.67537352</v>
      </c>
      <c r="H21" s="20" t="n">
        <v>1.39708306</v>
      </c>
      <c r="I21" s="18" t="n">
        <v>0</v>
      </c>
      <c r="J21" s="20" t="n">
        <v>0</v>
      </c>
      <c r="K21" s="18" t="n">
        <v>0</v>
      </c>
      <c r="L21" s="20" t="n">
        <v>0</v>
      </c>
      <c r="M21" s="18" t="n">
        <v>0.0658692</v>
      </c>
      <c r="N21" s="20" t="n">
        <v>0.06569315000000001</v>
      </c>
      <c r="O21" s="18" t="n">
        <v>0</v>
      </c>
      <c r="P21" s="20" t="n">
        <v>0</v>
      </c>
      <c r="Q21" s="18" t="n">
        <v>4.95256835</v>
      </c>
      <c r="R21" s="20" t="n">
        <v>0.56882471</v>
      </c>
    </row>
    <row r="22" spans="1:18">
      <c r="A22" s="15" t="s">
        <v>580</v>
      </c>
      <c r="B22" s="17" t="n">
        <v>6598</v>
      </c>
      <c r="C22" s="18">
        <f>(5116.0/B22*100)</f>
        <v/>
      </c>
      <c r="D22" s="19" t="n">
        <v>1482</v>
      </c>
      <c r="E22" s="18" t="n">
        <v>42.83056797</v>
      </c>
      <c r="F22" s="20" t="n">
        <v>1.33771858</v>
      </c>
      <c r="G22" s="18" t="n">
        <v>43.87345553</v>
      </c>
      <c r="H22" s="20" t="n">
        <v>1.55553555</v>
      </c>
      <c r="I22" s="18" t="n">
        <v>0</v>
      </c>
      <c r="J22" s="20" t="n">
        <v>0</v>
      </c>
      <c r="K22" s="18" t="n">
        <v>0.46692412</v>
      </c>
      <c r="L22" s="20" t="n">
        <v>0.19789642</v>
      </c>
      <c r="M22" s="18" t="n">
        <v>0</v>
      </c>
      <c r="N22" s="20" t="n">
        <v>0</v>
      </c>
      <c r="O22" s="18" t="n">
        <v>0</v>
      </c>
      <c r="P22" s="20" t="n">
        <v>0</v>
      </c>
      <c r="Q22" s="18" t="n">
        <v>12.82905238</v>
      </c>
      <c r="R22" s="20" t="n">
        <v>1.22817558</v>
      </c>
    </row>
    <row r="23" spans="1:18">
      <c r="A23" s="15" t="s">
        <v>581</v>
      </c>
      <c r="B23" s="17" t="n">
        <v>11583</v>
      </c>
      <c r="C23" s="18">
        <f>(8974.0/B23*100)</f>
        <v/>
      </c>
      <c r="D23" s="19" t="n">
        <v>2609</v>
      </c>
      <c r="E23" s="18" t="n">
        <v>43.34759521</v>
      </c>
      <c r="F23" s="20" t="n">
        <v>1.40911369</v>
      </c>
      <c r="G23" s="18" t="n">
        <v>41.10514249</v>
      </c>
      <c r="H23" s="20" t="n">
        <v>1.31861932</v>
      </c>
      <c r="I23" s="18" t="n">
        <v>0</v>
      </c>
      <c r="J23" s="20" t="n">
        <v>0</v>
      </c>
      <c r="K23" s="18" t="n">
        <v>0.07406185999999999</v>
      </c>
      <c r="L23" s="20" t="n">
        <v>0.07325102</v>
      </c>
      <c r="M23" s="18" t="n">
        <v>0.09445923000000001</v>
      </c>
      <c r="N23" s="20" t="n">
        <v>0.09738274</v>
      </c>
      <c r="O23" s="18" t="n">
        <v>0</v>
      </c>
      <c r="P23" s="20" t="n">
        <v>0</v>
      </c>
      <c r="Q23" s="18" t="n">
        <v>15.37874121</v>
      </c>
      <c r="R23" s="20" t="n">
        <v>1.16904873</v>
      </c>
    </row>
    <row r="24" spans="1:18">
      <c r="A24" s="15" t="s">
        <v>582</v>
      </c>
      <c r="B24" s="17" t="n">
        <v>6647</v>
      </c>
      <c r="C24" s="18">
        <f>(5142.0/B24*100)</f>
        <v/>
      </c>
      <c r="D24" s="19" t="n">
        <v>1505</v>
      </c>
      <c r="E24" s="18" t="n">
        <v>45.40758231</v>
      </c>
      <c r="F24" s="20" t="n">
        <v>1.43179537</v>
      </c>
      <c r="G24" s="18" t="n">
        <v>43.17693575</v>
      </c>
      <c r="H24" s="20" t="n">
        <v>1.57156316</v>
      </c>
      <c r="I24" s="18" t="n">
        <v>0</v>
      </c>
      <c r="J24" s="20" t="n">
        <v>0</v>
      </c>
      <c r="K24" s="18" t="n">
        <v>0</v>
      </c>
      <c r="L24" s="20" t="n">
        <v>0</v>
      </c>
      <c r="M24" s="18" t="n">
        <v>0</v>
      </c>
      <c r="N24" s="20" t="n">
        <v>0</v>
      </c>
      <c r="O24" s="18" t="n">
        <v>0</v>
      </c>
      <c r="P24" s="20" t="n">
        <v>0</v>
      </c>
      <c r="Q24" s="18" t="n">
        <v>11.41548194</v>
      </c>
      <c r="R24" s="20" t="n">
        <v>0.86067786</v>
      </c>
    </row>
    <row r="25" spans="1:18">
      <c r="A25" s="15" t="s">
        <v>583</v>
      </c>
      <c r="B25" s="17" t="n">
        <v>5581</v>
      </c>
      <c r="C25" s="18">
        <f>(4330.0/B25*100)</f>
        <v/>
      </c>
      <c r="D25" s="19" t="n">
        <v>1251</v>
      </c>
      <c r="E25" s="18" t="n">
        <v>46.62929626</v>
      </c>
      <c r="F25" s="20" t="n">
        <v>1.67078258</v>
      </c>
      <c r="G25" s="18" t="n">
        <v>40.8237259</v>
      </c>
      <c r="H25" s="20" t="n">
        <v>1.77640053</v>
      </c>
      <c r="I25" s="18" t="n">
        <v>0</v>
      </c>
      <c r="J25" s="20" t="n">
        <v>0</v>
      </c>
      <c r="K25" s="18" t="n">
        <v>0.15299868</v>
      </c>
      <c r="L25" s="20" t="n">
        <v>0.10767776</v>
      </c>
      <c r="M25" s="18" t="n">
        <v>0</v>
      </c>
      <c r="N25" s="20" t="n">
        <v>0</v>
      </c>
      <c r="O25" s="18" t="n">
        <v>0</v>
      </c>
      <c r="P25" s="20" t="n">
        <v>0</v>
      </c>
      <c r="Q25" s="18" t="n">
        <v>12.39397916</v>
      </c>
      <c r="R25" s="20" t="n">
        <v>1.04512872</v>
      </c>
    </row>
    <row r="26" spans="1:18">
      <c r="A26" s="15" t="s">
        <v>584</v>
      </c>
      <c r="B26" s="17" t="n">
        <v>4869</v>
      </c>
      <c r="C26" s="18">
        <f>(3802.0/B26*100)</f>
        <v/>
      </c>
      <c r="D26" s="19" t="n">
        <v>1067</v>
      </c>
      <c r="E26" s="18" t="n">
        <v>54.78283702</v>
      </c>
      <c r="F26" s="20" t="n">
        <v>1.45891258</v>
      </c>
      <c r="G26" s="18" t="n">
        <v>37.4301905</v>
      </c>
      <c r="H26" s="20" t="n">
        <v>1.39851853</v>
      </c>
      <c r="I26" s="18" t="n">
        <v>0</v>
      </c>
      <c r="J26" s="20" t="n">
        <v>0</v>
      </c>
      <c r="K26" s="18" t="n">
        <v>0</v>
      </c>
      <c r="L26" s="20" t="n">
        <v>0</v>
      </c>
      <c r="M26" s="18" t="n">
        <v>0.14024837</v>
      </c>
      <c r="N26" s="20" t="n">
        <v>0.09969805</v>
      </c>
      <c r="O26" s="18" t="n">
        <v>0</v>
      </c>
      <c r="P26" s="20" t="n">
        <v>0</v>
      </c>
      <c r="Q26" s="18" t="n">
        <v>7.6467241</v>
      </c>
      <c r="R26" s="20" t="n">
        <v>0.8087121</v>
      </c>
    </row>
    <row r="27" spans="1:18">
      <c r="A27" s="15" t="s">
        <v>585</v>
      </c>
      <c r="B27" s="17" t="n">
        <v>5299</v>
      </c>
      <c r="C27" s="18">
        <f>(4078.0/B27*100)</f>
        <v/>
      </c>
      <c r="D27" s="19" t="n">
        <v>1221</v>
      </c>
      <c r="E27" s="18" t="n">
        <v>47.51779288</v>
      </c>
      <c r="F27" s="20" t="n">
        <v>1.29814034</v>
      </c>
      <c r="G27" s="18" t="n">
        <v>34.72986702</v>
      </c>
      <c r="H27" s="20" t="n">
        <v>1.15398554</v>
      </c>
      <c r="I27" s="18" t="n">
        <v>0</v>
      </c>
      <c r="J27" s="20" t="n">
        <v>0</v>
      </c>
      <c r="K27" s="18" t="n">
        <v>0</v>
      </c>
      <c r="L27" s="20" t="n">
        <v>0</v>
      </c>
      <c r="M27" s="18" t="n">
        <v>0</v>
      </c>
      <c r="N27" s="20" t="n">
        <v>0</v>
      </c>
      <c r="O27" s="18" t="n">
        <v>0</v>
      </c>
      <c r="P27" s="20" t="n">
        <v>0</v>
      </c>
      <c r="Q27" s="18" t="n">
        <v>17.7523401</v>
      </c>
      <c r="R27" s="20" t="n">
        <v>0.99470072</v>
      </c>
    </row>
    <row r="28" spans="1:18">
      <c r="A28" s="15" t="s">
        <v>586</v>
      </c>
      <c r="B28" s="17" t="n">
        <v>7568</v>
      </c>
      <c r="C28" s="18">
        <f>(5933.0/B28*100)</f>
        <v/>
      </c>
      <c r="D28" s="19" t="n">
        <v>1635</v>
      </c>
      <c r="E28" s="18" t="n">
        <v>69.97574723</v>
      </c>
      <c r="F28" s="20" t="n">
        <v>1.33488294</v>
      </c>
      <c r="G28" s="18" t="n">
        <v>24.8926743</v>
      </c>
      <c r="H28" s="20" t="n">
        <v>1.24848262</v>
      </c>
      <c r="I28" s="18" t="n">
        <v>0</v>
      </c>
      <c r="J28" s="20" t="n">
        <v>0</v>
      </c>
      <c r="K28" s="18" t="n">
        <v>0.20383375</v>
      </c>
      <c r="L28" s="20" t="n">
        <v>0.12152996</v>
      </c>
      <c r="M28" s="18" t="n">
        <v>0.35072202</v>
      </c>
      <c r="N28" s="20" t="n">
        <v>0.16746449</v>
      </c>
      <c r="O28" s="18" t="n">
        <v>0</v>
      </c>
      <c r="P28" s="20" t="n">
        <v>0</v>
      </c>
      <c r="Q28" s="18" t="n">
        <v>4.5770227</v>
      </c>
      <c r="R28" s="20" t="n">
        <v>0.53851698</v>
      </c>
    </row>
    <row r="29" spans="1:18">
      <c r="A29" s="15" t="s">
        <v>587</v>
      </c>
      <c r="B29" s="17" t="n">
        <v>5385</v>
      </c>
      <c r="C29" s="18">
        <f>(4224.0/B29*100)</f>
        <v/>
      </c>
      <c r="D29" s="19" t="n">
        <v>1161</v>
      </c>
      <c r="E29" s="18" t="n">
        <v>35.6519623</v>
      </c>
      <c r="F29" s="20" t="n">
        <v>1.60669028</v>
      </c>
      <c r="G29" s="18" t="n">
        <v>60.52452736</v>
      </c>
      <c r="H29" s="20" t="n">
        <v>1.50471654</v>
      </c>
      <c r="I29" s="18" t="n">
        <v>0</v>
      </c>
      <c r="J29" s="20" t="n">
        <v>0</v>
      </c>
      <c r="K29" s="18" t="n">
        <v>0.13751929</v>
      </c>
      <c r="L29" s="20" t="n">
        <v>0.09358767</v>
      </c>
      <c r="M29" s="18" t="n">
        <v>0</v>
      </c>
      <c r="N29" s="20" t="n">
        <v>0</v>
      </c>
      <c r="O29" s="18" t="n">
        <v>0</v>
      </c>
      <c r="P29" s="20" t="n">
        <v>0</v>
      </c>
      <c r="Q29" s="18" t="n">
        <v>3.68599105</v>
      </c>
      <c r="R29" s="20" t="n">
        <v>0.53548654</v>
      </c>
    </row>
    <row r="30" spans="1:18">
      <c r="A30" s="15" t="s">
        <v>588</v>
      </c>
      <c r="B30" s="17" t="n">
        <v>4520</v>
      </c>
      <c r="C30" s="18">
        <f>(3543.0/B30*100)</f>
        <v/>
      </c>
      <c r="D30" s="19" t="n">
        <v>977</v>
      </c>
      <c r="E30" s="18" t="n">
        <v>44.91562205</v>
      </c>
      <c r="F30" s="20" t="n">
        <v>1.72354465</v>
      </c>
      <c r="G30" s="18" t="n">
        <v>45.43989926</v>
      </c>
      <c r="H30" s="20" t="n">
        <v>1.52740356</v>
      </c>
      <c r="I30" s="18" t="n">
        <v>0</v>
      </c>
      <c r="J30" s="20" t="n">
        <v>0</v>
      </c>
      <c r="K30" s="18" t="n">
        <v>0</v>
      </c>
      <c r="L30" s="20" t="n">
        <v>0</v>
      </c>
      <c r="M30" s="18" t="n">
        <v>0.16690401</v>
      </c>
      <c r="N30" s="20" t="n">
        <v>0.1208014</v>
      </c>
      <c r="O30" s="18" t="n">
        <v>0</v>
      </c>
      <c r="P30" s="20" t="n">
        <v>0</v>
      </c>
      <c r="Q30" s="18" t="n">
        <v>9.47757468</v>
      </c>
      <c r="R30" s="20" t="n">
        <v>1.07772392</v>
      </c>
    </row>
    <row r="31" spans="1:18">
      <c r="A31" s="15" t="s">
        <v>589</v>
      </c>
      <c r="B31" s="17" t="n">
        <v>5456</v>
      </c>
      <c r="C31" s="18">
        <f>(4270.0/B31*100)</f>
        <v/>
      </c>
      <c r="D31" s="19" t="n">
        <v>1186</v>
      </c>
      <c r="E31" s="18" t="n">
        <v>43.31443134</v>
      </c>
      <c r="F31" s="20" t="n">
        <v>1.47499587</v>
      </c>
      <c r="G31" s="18" t="n">
        <v>48.6530021</v>
      </c>
      <c r="H31" s="20" t="n">
        <v>1.64792647</v>
      </c>
      <c r="I31" s="18" t="n">
        <v>0</v>
      </c>
      <c r="J31" s="20" t="n">
        <v>0</v>
      </c>
      <c r="K31" s="18" t="n">
        <v>0.07822244</v>
      </c>
      <c r="L31" s="20" t="n">
        <v>0.07532042</v>
      </c>
      <c r="M31" s="18" t="n">
        <v>0.07111582</v>
      </c>
      <c r="N31" s="20" t="n">
        <v>0.08386436999999999</v>
      </c>
      <c r="O31" s="18" t="n">
        <v>0</v>
      </c>
      <c r="P31" s="20" t="n">
        <v>0</v>
      </c>
      <c r="Q31" s="18" t="n">
        <v>7.8832283</v>
      </c>
      <c r="R31" s="20" t="n">
        <v>0.84087555</v>
      </c>
    </row>
    <row r="32" spans="1:18">
      <c r="A32" s="15" t="s">
        <v>590</v>
      </c>
      <c r="B32" s="17" t="n">
        <v>4478</v>
      </c>
      <c r="C32" s="18">
        <f>(3512.0/B32*100)</f>
        <v/>
      </c>
      <c r="D32" s="19" t="n">
        <v>966</v>
      </c>
      <c r="E32" s="18" t="n">
        <v>40.84363085</v>
      </c>
      <c r="F32" s="20" t="n">
        <v>1.99295809</v>
      </c>
      <c r="G32" s="18" t="n">
        <v>47.79503336</v>
      </c>
      <c r="H32" s="20" t="n">
        <v>1.94913104</v>
      </c>
      <c r="I32" s="18" t="n">
        <v>0</v>
      </c>
      <c r="J32" s="20" t="n">
        <v>0</v>
      </c>
      <c r="K32" s="18" t="n">
        <v>0.09214854</v>
      </c>
      <c r="L32" s="20" t="n">
        <v>0.09203217</v>
      </c>
      <c r="M32" s="18" t="n">
        <v>0</v>
      </c>
      <c r="N32" s="20" t="n">
        <v>0</v>
      </c>
      <c r="O32" s="18" t="n">
        <v>0</v>
      </c>
      <c r="P32" s="20" t="n">
        <v>0</v>
      </c>
      <c r="Q32" s="18" t="n">
        <v>11.26918726</v>
      </c>
      <c r="R32" s="20" t="n">
        <v>0.97233821</v>
      </c>
    </row>
    <row r="33" spans="1:18">
      <c r="A33" s="15" t="s">
        <v>591</v>
      </c>
      <c r="B33" s="17" t="n">
        <v>7325</v>
      </c>
      <c r="C33" s="18">
        <f>(5769.0/B33*100)</f>
        <v/>
      </c>
      <c r="D33" s="19" t="n">
        <v>1556</v>
      </c>
      <c r="E33" s="18" t="n">
        <v>45.25787312</v>
      </c>
      <c r="F33" s="20" t="n">
        <v>1.44344466</v>
      </c>
      <c r="G33" s="18" t="n">
        <v>43.48426501</v>
      </c>
      <c r="H33" s="20" t="n">
        <v>1.35640446</v>
      </c>
      <c r="I33" s="18" t="n">
        <v>0</v>
      </c>
      <c r="J33" s="20" t="n">
        <v>0</v>
      </c>
      <c r="K33" s="18" t="n">
        <v>0.14474293</v>
      </c>
      <c r="L33" s="20" t="n">
        <v>0.1379713</v>
      </c>
      <c r="M33" s="18" t="n">
        <v>0.39135596</v>
      </c>
      <c r="N33" s="20" t="n">
        <v>0.18497076</v>
      </c>
      <c r="O33" s="18" t="n">
        <v>0</v>
      </c>
      <c r="P33" s="20" t="n">
        <v>0</v>
      </c>
      <c r="Q33" s="18" t="n">
        <v>10.72176298</v>
      </c>
      <c r="R33" s="20" t="n">
        <v>1.05677538</v>
      </c>
    </row>
    <row r="34" spans="1:18">
      <c r="A34" s="15" t="s">
        <v>592</v>
      </c>
      <c r="B34" s="17" t="n">
        <v>6350</v>
      </c>
      <c r="C34" s="18">
        <f>(4981.0/B34*100)</f>
        <v/>
      </c>
      <c r="D34" s="19" t="n">
        <v>1369</v>
      </c>
      <c r="E34" s="18" t="n">
        <v>40.3322394</v>
      </c>
      <c r="F34" s="20" t="n">
        <v>1.62257821</v>
      </c>
      <c r="G34" s="18" t="n">
        <v>42.61263988</v>
      </c>
      <c r="H34" s="20" t="n">
        <v>1.85169014</v>
      </c>
      <c r="I34" s="18" t="n">
        <v>0</v>
      </c>
      <c r="J34" s="20" t="n">
        <v>0</v>
      </c>
      <c r="K34" s="18" t="n">
        <v>0</v>
      </c>
      <c r="L34" s="20" t="n">
        <v>0</v>
      </c>
      <c r="M34" s="18" t="n">
        <v>0.4213872</v>
      </c>
      <c r="N34" s="20" t="n">
        <v>0.19026078</v>
      </c>
      <c r="O34" s="18" t="n">
        <v>0</v>
      </c>
      <c r="P34" s="20" t="n">
        <v>0</v>
      </c>
      <c r="Q34" s="18" t="n">
        <v>16.63373352</v>
      </c>
      <c r="R34" s="20" t="n">
        <v>1.1378485</v>
      </c>
    </row>
    <row r="35" spans="1:18">
      <c r="A35" s="15" t="s">
        <v>593</v>
      </c>
      <c r="B35" s="17" t="n">
        <v>6406</v>
      </c>
      <c r="C35" s="18">
        <f>(4990.0/B35*100)</f>
        <v/>
      </c>
      <c r="D35" s="19" t="n">
        <v>1416</v>
      </c>
      <c r="E35" s="18" t="n">
        <v>42.49059898</v>
      </c>
      <c r="F35" s="20" t="n">
        <v>1.50666526</v>
      </c>
      <c r="G35" s="18" t="n">
        <v>47.86578095</v>
      </c>
      <c r="H35" s="20" t="n">
        <v>1.56235545</v>
      </c>
      <c r="I35" s="18" t="n">
        <v>0</v>
      </c>
      <c r="J35" s="20" t="n">
        <v>0</v>
      </c>
      <c r="K35" s="18" t="n">
        <v>0.06568937</v>
      </c>
      <c r="L35" s="20" t="n">
        <v>0.04749441</v>
      </c>
      <c r="M35" s="18" t="n">
        <v>0.11918971</v>
      </c>
      <c r="N35" s="20" t="n">
        <v>0.1190911</v>
      </c>
      <c r="O35" s="18" t="n">
        <v>0</v>
      </c>
      <c r="P35" s="20" t="n">
        <v>0</v>
      </c>
      <c r="Q35" s="18" t="n">
        <v>9.45874098</v>
      </c>
      <c r="R35" s="20" t="n">
        <v>0.72840907</v>
      </c>
    </row>
    <row r="36" spans="1:18">
      <c r="A36" s="15" t="s">
        <v>594</v>
      </c>
      <c r="B36" s="17" t="n">
        <v>6736</v>
      </c>
      <c r="C36" s="18">
        <f>(5210.0/B36*100)</f>
        <v/>
      </c>
      <c r="D36" s="19" t="n">
        <v>1526</v>
      </c>
      <c r="E36" s="18" t="n">
        <v>44.57014176</v>
      </c>
      <c r="F36" s="20" t="n">
        <v>1.26001038</v>
      </c>
      <c r="G36" s="18" t="n">
        <v>46.41072551</v>
      </c>
      <c r="H36" s="20" t="n">
        <v>1.21646647</v>
      </c>
      <c r="I36" s="18" t="n">
        <v>0</v>
      </c>
      <c r="J36" s="20" t="n">
        <v>0</v>
      </c>
      <c r="K36" s="18" t="n">
        <v>0.114184</v>
      </c>
      <c r="L36" s="20" t="n">
        <v>0.12988648</v>
      </c>
      <c r="M36" s="18" t="n">
        <v>0.07718608</v>
      </c>
      <c r="N36" s="20" t="n">
        <v>0.08419553</v>
      </c>
      <c r="O36" s="18" t="n">
        <v>0</v>
      </c>
      <c r="P36" s="20" t="n">
        <v>0</v>
      </c>
      <c r="Q36" s="18" t="n">
        <v>8.827762659999999</v>
      </c>
      <c r="R36" s="20" t="n">
        <v>0.81415316</v>
      </c>
    </row>
    <row r="37" spans="1:18">
      <c r="A37" s="15" t="s">
        <v>595</v>
      </c>
      <c r="B37" s="17" t="n">
        <v>5458</v>
      </c>
      <c r="C37" s="18">
        <f>(4248.0/B37*100)</f>
        <v/>
      </c>
      <c r="D37" s="19" t="n">
        <v>1210</v>
      </c>
      <c r="E37" s="18" t="n">
        <v>35.12837288</v>
      </c>
      <c r="F37" s="20" t="n">
        <v>1.37317842</v>
      </c>
      <c r="G37" s="18" t="n">
        <v>48.4814296</v>
      </c>
      <c r="H37" s="20" t="n">
        <v>1.87354638</v>
      </c>
      <c r="I37" s="18" t="n">
        <v>0</v>
      </c>
      <c r="J37" s="20" t="n">
        <v>0</v>
      </c>
      <c r="K37" s="18" t="n">
        <v>0.40445905</v>
      </c>
      <c r="L37" s="20" t="n">
        <v>0.1793479</v>
      </c>
      <c r="M37" s="18" t="n">
        <v>0</v>
      </c>
      <c r="N37" s="20" t="n">
        <v>0</v>
      </c>
      <c r="O37" s="18" t="n">
        <v>0</v>
      </c>
      <c r="P37" s="20" t="n">
        <v>0</v>
      </c>
      <c r="Q37" s="18" t="n">
        <v>15.98573846</v>
      </c>
      <c r="R37" s="20" t="n">
        <v>1.35739935</v>
      </c>
    </row>
    <row r="38" spans="1:18">
      <c r="A38" s="15" t="s">
        <v>596</v>
      </c>
      <c r="B38" s="17" t="n">
        <v>5860</v>
      </c>
      <c r="C38" s="18">
        <f>(4544.0/B38*100)</f>
        <v/>
      </c>
      <c r="D38" s="19" t="n">
        <v>1316</v>
      </c>
      <c r="E38" s="18" t="n">
        <v>41.90795116</v>
      </c>
      <c r="F38" s="20" t="n">
        <v>1.43635348</v>
      </c>
      <c r="G38" s="18" t="n">
        <v>45.91916061</v>
      </c>
      <c r="H38" s="20" t="n">
        <v>1.67190558</v>
      </c>
      <c r="I38" s="18" t="n">
        <v>0</v>
      </c>
      <c r="J38" s="20" t="n">
        <v>0</v>
      </c>
      <c r="K38" s="18" t="n">
        <v>0.01479272</v>
      </c>
      <c r="L38" s="20" t="n">
        <v>0.01419486</v>
      </c>
      <c r="M38" s="18" t="n">
        <v>1.30217751</v>
      </c>
      <c r="N38" s="20" t="n">
        <v>0.29972688</v>
      </c>
      <c r="O38" s="18" t="n">
        <v>0</v>
      </c>
      <c r="P38" s="20" t="n">
        <v>0</v>
      </c>
      <c r="Q38" s="18" t="n">
        <v>10.855918</v>
      </c>
      <c r="R38" s="20" t="n">
        <v>1.10013818</v>
      </c>
    </row>
    <row r="39" spans="1:18">
      <c r="A39" s="15" t="s">
        <v>597</v>
      </c>
      <c r="B39" s="17" t="n">
        <v>5895</v>
      </c>
      <c r="C39" s="18">
        <f>(4579.0/B39*100)</f>
        <v/>
      </c>
      <c r="D39" s="19" t="n">
        <v>1316</v>
      </c>
      <c r="E39" s="18" t="n">
        <v>62.54170625</v>
      </c>
      <c r="F39" s="20" t="n">
        <v>1.39016648</v>
      </c>
      <c r="G39" s="18" t="n">
        <v>25.2498171</v>
      </c>
      <c r="H39" s="20" t="n">
        <v>1.46154874</v>
      </c>
      <c r="I39" s="18" t="n">
        <v>0</v>
      </c>
      <c r="J39" s="20" t="n">
        <v>0</v>
      </c>
      <c r="K39" s="18" t="n">
        <v>0</v>
      </c>
      <c r="L39" s="20" t="n">
        <v>0</v>
      </c>
      <c r="M39" s="18" t="n">
        <v>0</v>
      </c>
      <c r="N39" s="20" t="n">
        <v>0</v>
      </c>
      <c r="O39" s="18" t="n">
        <v>0</v>
      </c>
      <c r="P39" s="20" t="n">
        <v>0</v>
      </c>
      <c r="Q39" s="18" t="n">
        <v>12.20847665</v>
      </c>
      <c r="R39" s="20" t="n">
        <v>1.28140832</v>
      </c>
    </row>
    <row r="40" spans="1:18">
      <c r="A40" s="15" t="s">
        <v>598</v>
      </c>
      <c r="B40" s="17" t="n">
        <v>14157</v>
      </c>
      <c r="C40" s="18">
        <f>(11141.0/B40*100)</f>
        <v/>
      </c>
      <c r="D40" s="19" t="n">
        <v>3016</v>
      </c>
      <c r="E40" s="18" t="n">
        <v>47.1357706</v>
      </c>
      <c r="F40" s="20" t="n">
        <v>1.38194135</v>
      </c>
      <c r="G40" s="18" t="n">
        <v>46.52641162</v>
      </c>
      <c r="H40" s="20" t="n">
        <v>1.432255</v>
      </c>
      <c r="I40" s="18" t="n">
        <v>0</v>
      </c>
      <c r="J40" s="20" t="n">
        <v>0</v>
      </c>
      <c r="K40" s="18" t="n">
        <v>0.04119104</v>
      </c>
      <c r="L40" s="20" t="n">
        <v>0.02164379</v>
      </c>
      <c r="M40" s="18" t="n">
        <v>0</v>
      </c>
      <c r="N40" s="20" t="n">
        <v>0</v>
      </c>
      <c r="O40" s="18" t="n">
        <v>0</v>
      </c>
      <c r="P40" s="20" t="n">
        <v>0</v>
      </c>
      <c r="Q40" s="18" t="n">
        <v>6.29662673</v>
      </c>
      <c r="R40" s="20" t="n">
        <v>0.68066304</v>
      </c>
    </row>
    <row r="41" spans="1:18">
      <c r="A41" s="15" t="s">
        <v>599</v>
      </c>
      <c r="B41" s="17" t="n">
        <v>5712</v>
      </c>
      <c r="C41" s="18">
        <f>(4405.0/B41*100)</f>
        <v/>
      </c>
      <c r="D41" s="19" t="n">
        <v>1307</v>
      </c>
      <c r="E41" s="18" t="n">
        <v>45.60111882</v>
      </c>
      <c r="F41" s="20" t="n">
        <v>1.57129483</v>
      </c>
      <c r="G41" s="18" t="n">
        <v>51.77786049</v>
      </c>
      <c r="H41" s="20" t="n">
        <v>1.57407292</v>
      </c>
      <c r="I41" s="18" t="n">
        <v>0</v>
      </c>
      <c r="J41" s="20" t="n">
        <v>0</v>
      </c>
      <c r="K41" s="18" t="n">
        <v>0.09412435</v>
      </c>
      <c r="L41" s="20" t="n">
        <v>0.07982479000000001</v>
      </c>
      <c r="M41" s="18" t="n">
        <v>0</v>
      </c>
      <c r="N41" s="20" t="n">
        <v>0</v>
      </c>
      <c r="O41" s="18" t="n">
        <v>0</v>
      </c>
      <c r="P41" s="20" t="n">
        <v>0</v>
      </c>
      <c r="Q41" s="18" t="n">
        <v>2.52689634</v>
      </c>
      <c r="R41" s="20" t="n">
        <v>0.40188637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(18393.0/B46*100)</f>
        <v/>
      </c>
      <c r="D46" s="19" t="n">
        <v>4748</v>
      </c>
      <c r="E46" s="18" t="n">
        <v>58.40951294</v>
      </c>
      <c r="F46" s="20" t="n">
        <v>0.95283448</v>
      </c>
      <c r="G46" s="18" t="n">
        <v>21.75045168</v>
      </c>
      <c r="H46" s="20" t="n">
        <v>0.97715262</v>
      </c>
      <c r="I46" s="18" t="n">
        <v>0</v>
      </c>
      <c r="J46" s="20" t="n">
        <v>0</v>
      </c>
      <c r="K46" s="18" t="n">
        <v>0.19550022</v>
      </c>
      <c r="L46" s="20" t="n">
        <v>0.07784861</v>
      </c>
      <c r="M46" s="18" t="n">
        <v>0.41023051</v>
      </c>
      <c r="N46" s="20" t="n">
        <v>0.14935863</v>
      </c>
      <c r="O46" s="18" t="n">
        <v>0</v>
      </c>
      <c r="P46" s="20" t="n">
        <v>0</v>
      </c>
      <c r="Q46" s="18" t="n">
        <v>19.23430465</v>
      </c>
      <c r="R46" s="20" t="n">
        <v>0.88496921</v>
      </c>
    </row>
    <row r="47" spans="1:18">
      <c r="A47" s="15" t="s">
        <v>606</v>
      </c>
      <c r="B47" s="17" t="n">
        <v>5928</v>
      </c>
      <c r="C47" s="18">
        <f>(4643.0/B47*100)</f>
        <v/>
      </c>
      <c r="D47" s="19" t="n">
        <v>1285</v>
      </c>
      <c r="E47" s="18" t="n">
        <v>46.92404921</v>
      </c>
      <c r="F47" s="20" t="n">
        <v>1.32030475</v>
      </c>
      <c r="G47" s="18" t="n">
        <v>30.49254114</v>
      </c>
      <c r="H47" s="20" t="n">
        <v>1.8146833</v>
      </c>
      <c r="I47" s="18" t="n">
        <v>0</v>
      </c>
      <c r="J47" s="20" t="n">
        <v>0</v>
      </c>
      <c r="K47" s="18" t="n">
        <v>0</v>
      </c>
      <c r="L47" s="20" t="n">
        <v>0</v>
      </c>
      <c r="M47" s="18" t="n">
        <v>0.15209751</v>
      </c>
      <c r="N47" s="20" t="n">
        <v>0.10610121</v>
      </c>
      <c r="O47" s="18" t="n">
        <v>0</v>
      </c>
      <c r="P47" s="20" t="n">
        <v>0</v>
      </c>
      <c r="Q47" s="18" t="n">
        <v>22.43131214</v>
      </c>
      <c r="R47" s="20" t="n">
        <v>1.40036193</v>
      </c>
    </row>
    <row r="48" spans="1:18">
      <c r="A48" s="15" t="s">
        <v>607</v>
      </c>
      <c r="B48" s="17" t="n">
        <v>9841</v>
      </c>
      <c r="C48" s="18">
        <f>(7662.0/B48*100)</f>
        <v/>
      </c>
      <c r="D48" s="19" t="n">
        <v>2179</v>
      </c>
      <c r="E48" s="18" t="n">
        <v>40.20174858</v>
      </c>
      <c r="F48" s="20" t="n">
        <v>1.55046153</v>
      </c>
      <c r="G48" s="18" t="n">
        <v>51.82087768</v>
      </c>
      <c r="H48" s="20" t="n">
        <v>1.57775448</v>
      </c>
      <c r="I48" s="18" t="n">
        <v>0</v>
      </c>
      <c r="J48" s="20" t="n">
        <v>0</v>
      </c>
      <c r="K48" s="18" t="n">
        <v>0.26389111</v>
      </c>
      <c r="L48" s="20" t="n">
        <v>0.13793702</v>
      </c>
      <c r="M48" s="18" t="n">
        <v>0</v>
      </c>
      <c r="N48" s="20" t="n">
        <v>0</v>
      </c>
      <c r="O48" s="18" t="n">
        <v>0</v>
      </c>
      <c r="P48" s="20" t="n">
        <v>0</v>
      </c>
      <c r="Q48" s="18" t="n">
        <v>7.71348263</v>
      </c>
      <c r="R48" s="20" t="n">
        <v>0.79872987</v>
      </c>
    </row>
    <row r="49" spans="1:18">
      <c r="A49" s="15" t="s">
        <v>608</v>
      </c>
      <c r="B49" s="17" t="n">
        <v>11795</v>
      </c>
      <c r="C49" s="18">
        <f>(9240.0/B49*100)</f>
        <v/>
      </c>
      <c r="D49" s="19" t="n">
        <v>2555</v>
      </c>
      <c r="E49" s="18" t="n">
        <v>66.45614504</v>
      </c>
      <c r="F49" s="20" t="n">
        <v>1.20434761</v>
      </c>
      <c r="G49" s="18" t="n">
        <v>27.55158204</v>
      </c>
      <c r="H49" s="20" t="n">
        <v>1.35190681</v>
      </c>
      <c r="I49" s="18" t="n">
        <v>0</v>
      </c>
      <c r="J49" s="20" t="n">
        <v>0</v>
      </c>
      <c r="K49" s="18" t="n">
        <v>0.5774655</v>
      </c>
      <c r="L49" s="20" t="n">
        <v>0.23113235</v>
      </c>
      <c r="M49" s="18" t="n">
        <v>0.1483904</v>
      </c>
      <c r="N49" s="20" t="n">
        <v>0.07322465</v>
      </c>
      <c r="O49" s="18" t="n">
        <v>0</v>
      </c>
      <c r="P49" s="20" t="n">
        <v>0</v>
      </c>
      <c r="Q49" s="18" t="n">
        <v>5.26641702</v>
      </c>
      <c r="R49" s="20" t="n">
        <v>0.7081182</v>
      </c>
    </row>
    <row r="50" spans="1:18">
      <c r="A50" s="15" t="s">
        <v>609</v>
      </c>
      <c r="B50" s="17" t="n">
        <v>6866</v>
      </c>
      <c r="C50" s="18">
        <f>(5490.0/B50*100)</f>
        <v/>
      </c>
      <c r="D50" s="19" t="n">
        <v>1376</v>
      </c>
      <c r="E50" s="18" t="n">
        <v>59.8796439</v>
      </c>
      <c r="F50" s="20" t="n">
        <v>1.55080254</v>
      </c>
      <c r="G50" s="18" t="n">
        <v>29.78048432</v>
      </c>
      <c r="H50" s="20" t="n">
        <v>1.48444871</v>
      </c>
      <c r="I50" s="18" t="n">
        <v>0</v>
      </c>
      <c r="J50" s="20" t="n">
        <v>0</v>
      </c>
      <c r="K50" s="18" t="n">
        <v>0.17636371</v>
      </c>
      <c r="L50" s="20" t="n">
        <v>0.11915312</v>
      </c>
      <c r="M50" s="18" t="n">
        <v>0.06974383000000001</v>
      </c>
      <c r="N50" s="20" t="n">
        <v>0.06933983000000001</v>
      </c>
      <c r="O50" s="18" t="n">
        <v>0</v>
      </c>
      <c r="P50" s="20" t="n">
        <v>0</v>
      </c>
      <c r="Q50" s="18" t="n">
        <v>10.09376424</v>
      </c>
      <c r="R50" s="20" t="n">
        <v>0.90715053</v>
      </c>
    </row>
    <row r="51" spans="1:18">
      <c r="A51" s="15" t="s">
        <v>610</v>
      </c>
      <c r="B51" s="17" t="n">
        <v>5809</v>
      </c>
      <c r="C51" s="18">
        <f>(4520.0/B51*100)</f>
        <v/>
      </c>
      <c r="D51" s="19" t="n">
        <v>1289</v>
      </c>
      <c r="E51" s="18" t="n">
        <v>57.92197717</v>
      </c>
      <c r="F51" s="20" t="n">
        <v>1.51403174</v>
      </c>
      <c r="G51" s="18" t="n">
        <v>32.65300578</v>
      </c>
      <c r="H51" s="20" t="n">
        <v>1.55307209</v>
      </c>
      <c r="I51" s="18" t="n">
        <v>0</v>
      </c>
      <c r="J51" s="20" t="n">
        <v>0</v>
      </c>
      <c r="K51" s="18" t="n">
        <v>0.07115431999999999</v>
      </c>
      <c r="L51" s="20" t="n">
        <v>0.07088411999999999</v>
      </c>
      <c r="M51" s="18" t="n">
        <v>0</v>
      </c>
      <c r="N51" s="20" t="n">
        <v>0</v>
      </c>
      <c r="O51" s="18" t="n">
        <v>0</v>
      </c>
      <c r="P51" s="20" t="n">
        <v>0</v>
      </c>
      <c r="Q51" s="18" t="n">
        <v>9.35386274</v>
      </c>
      <c r="R51" s="20" t="n">
        <v>0.7330683099999999</v>
      </c>
    </row>
    <row r="52" spans="1:18">
      <c r="A52" s="15" t="s">
        <v>611</v>
      </c>
      <c r="B52" s="17" t="n">
        <v>5571</v>
      </c>
      <c r="C52" s="18">
        <f>(4321.0/B52*100)</f>
        <v/>
      </c>
      <c r="D52" s="19" t="n">
        <v>1250</v>
      </c>
      <c r="E52" s="18" t="n">
        <v>52.41309411</v>
      </c>
      <c r="F52" s="20" t="n">
        <v>1.32221801</v>
      </c>
      <c r="G52" s="18" t="n">
        <v>28.80676398</v>
      </c>
      <c r="H52" s="20" t="n">
        <v>1.17134592</v>
      </c>
      <c r="I52" s="18" t="n">
        <v>0</v>
      </c>
      <c r="J52" s="20" t="n">
        <v>0</v>
      </c>
      <c r="K52" s="18" t="n">
        <v>0.17486728</v>
      </c>
      <c r="L52" s="20" t="n">
        <v>0.10202992</v>
      </c>
      <c r="M52" s="18" t="n">
        <v>0</v>
      </c>
      <c r="N52" s="20" t="n">
        <v>0</v>
      </c>
      <c r="O52" s="18" t="n">
        <v>0</v>
      </c>
      <c r="P52" s="20" t="n">
        <v>0</v>
      </c>
      <c r="Q52" s="18" t="n">
        <v>18.60527462</v>
      </c>
      <c r="R52" s="20" t="n">
        <v>1.08565408</v>
      </c>
    </row>
    <row r="53" spans="1:18">
      <c r="A53" s="15" t="s">
        <v>612</v>
      </c>
      <c r="B53" s="17" t="n">
        <v>4740</v>
      </c>
      <c r="C53" s="18">
        <f>(3701.0/B53*100)</f>
        <v/>
      </c>
      <c r="D53" s="19" t="n">
        <v>1039</v>
      </c>
      <c r="E53" s="18" t="n">
        <v>66.3295992</v>
      </c>
      <c r="F53" s="20" t="n">
        <v>1.69412505</v>
      </c>
      <c r="G53" s="18" t="n">
        <v>8.2618999</v>
      </c>
      <c r="H53" s="20" t="n">
        <v>1.03471917</v>
      </c>
      <c r="I53" s="18" t="n">
        <v>0</v>
      </c>
      <c r="J53" s="20" t="n">
        <v>0</v>
      </c>
      <c r="K53" s="18" t="n">
        <v>4.61936622</v>
      </c>
      <c r="L53" s="20" t="n">
        <v>0.68042273</v>
      </c>
      <c r="M53" s="18" t="n">
        <v>0.68686728</v>
      </c>
      <c r="N53" s="20" t="n">
        <v>0.5679369399999999</v>
      </c>
      <c r="O53" s="18" t="n">
        <v>0</v>
      </c>
      <c r="P53" s="20" t="n">
        <v>0</v>
      </c>
      <c r="Q53" s="18" t="n">
        <v>20.1022674</v>
      </c>
      <c r="R53" s="20" t="n">
        <v>1.53962764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(4115.0/B55*100)</f>
        <v/>
      </c>
      <c r="D55" s="19" t="n">
        <v>1244</v>
      </c>
      <c r="E55" s="18" t="n">
        <v>32.02275031</v>
      </c>
      <c r="F55" s="20" t="n">
        <v>1.63332419</v>
      </c>
      <c r="G55" s="18" t="n">
        <v>64.48512954</v>
      </c>
      <c r="H55" s="20" t="n">
        <v>1.71088389</v>
      </c>
      <c r="I55" s="18" t="n">
        <v>0</v>
      </c>
      <c r="J55" s="20" t="n">
        <v>0</v>
      </c>
      <c r="K55" s="18" t="n">
        <v>0.15951779</v>
      </c>
      <c r="L55" s="20" t="n">
        <v>0.11342255</v>
      </c>
      <c r="M55" s="18" t="n">
        <v>0.10003085</v>
      </c>
      <c r="N55" s="20" t="n">
        <v>0.11044592</v>
      </c>
      <c r="O55" s="18" t="n">
        <v>0</v>
      </c>
      <c r="P55" s="20" t="n">
        <v>0</v>
      </c>
      <c r="Q55" s="18" t="n">
        <v>3.23257151</v>
      </c>
      <c r="R55" s="20" t="n">
        <v>0.54259223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(5054.0/B61*100)</f>
        <v/>
      </c>
      <c r="D61" s="19" t="n">
        <v>1471</v>
      </c>
      <c r="E61" s="18" t="n">
        <v>47.63095777</v>
      </c>
      <c r="F61" s="20" t="n">
        <v>1.40015824</v>
      </c>
      <c r="G61" s="18" t="n">
        <v>37.01024105</v>
      </c>
      <c r="H61" s="20" t="n">
        <v>1.46291383</v>
      </c>
      <c r="I61" s="18" t="n">
        <v>0</v>
      </c>
      <c r="J61" s="20" t="n">
        <v>0</v>
      </c>
      <c r="K61" s="18" t="n">
        <v>0.08466053</v>
      </c>
      <c r="L61" s="20" t="n">
        <v>0.08286950999999999</v>
      </c>
      <c r="M61" s="18" t="n">
        <v>0.01710963</v>
      </c>
      <c r="N61" s="20" t="n">
        <v>0.01711215</v>
      </c>
      <c r="O61" s="18" t="n">
        <v>0</v>
      </c>
      <c r="P61" s="20" t="n">
        <v>0</v>
      </c>
      <c r="Q61" s="18" t="n">
        <v>15.25703101</v>
      </c>
      <c r="R61" s="20" t="n">
        <v>1.24831971</v>
      </c>
    </row>
    <row r="62" spans="1:18">
      <c r="A62" s="15" t="s">
        <v>622</v>
      </c>
      <c r="B62" s="17" t="n">
        <v>4476</v>
      </c>
      <c r="C62" s="18">
        <f>(3465.0/B62*100)</f>
        <v/>
      </c>
      <c r="D62" s="19" t="n">
        <v>1011</v>
      </c>
      <c r="E62" s="18" t="n">
        <v>47.42268789</v>
      </c>
      <c r="F62" s="20" t="n">
        <v>1.68579454</v>
      </c>
      <c r="G62" s="18" t="n">
        <v>49.00969899</v>
      </c>
      <c r="H62" s="20" t="n">
        <v>1.67955511</v>
      </c>
      <c r="I62" s="18" t="n">
        <v>0</v>
      </c>
      <c r="J62" s="20" t="n">
        <v>0</v>
      </c>
      <c r="K62" s="18" t="n">
        <v>0</v>
      </c>
      <c r="L62" s="20" t="n">
        <v>0</v>
      </c>
      <c r="M62" s="18" t="n">
        <v>0</v>
      </c>
      <c r="N62" s="20" t="n">
        <v>0</v>
      </c>
      <c r="O62" s="18" t="n">
        <v>0</v>
      </c>
      <c r="P62" s="20" t="n">
        <v>0</v>
      </c>
      <c r="Q62" s="18" t="n">
        <v>3.56761312</v>
      </c>
      <c r="R62" s="20" t="n">
        <v>0.57351262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(4410.0/B67*100)</f>
        <v/>
      </c>
      <c r="D67" s="19" t="n">
        <v>1255</v>
      </c>
      <c r="E67" s="18" t="n">
        <v>49.80640453</v>
      </c>
      <c r="F67" s="20" t="n">
        <v>1.52513966</v>
      </c>
      <c r="G67" s="18" t="n">
        <v>14.16378478</v>
      </c>
      <c r="H67" s="20" t="n">
        <v>0.927338</v>
      </c>
      <c r="I67" s="18" t="n">
        <v>0</v>
      </c>
      <c r="J67" s="20" t="n">
        <v>0</v>
      </c>
      <c r="K67" s="18" t="n">
        <v>0</v>
      </c>
      <c r="L67" s="20" t="n">
        <v>0</v>
      </c>
      <c r="M67" s="18" t="n">
        <v>0.49475615</v>
      </c>
      <c r="N67" s="20" t="n">
        <v>0.17866009</v>
      </c>
      <c r="O67" s="18" t="n">
        <v>0</v>
      </c>
      <c r="P67" s="20" t="n">
        <v>0</v>
      </c>
      <c r="Q67" s="18" t="n">
        <v>35.53505455</v>
      </c>
      <c r="R67" s="20" t="n">
        <v>1.25525004</v>
      </c>
    </row>
    <row r="68" spans="1:18">
      <c r="A68" s="15" t="s">
        <v>628</v>
      </c>
      <c r="B68" s="17" t="n">
        <v>6971</v>
      </c>
      <c r="C68" s="18">
        <f>(5501.0/B68*100)</f>
        <v/>
      </c>
      <c r="D68" s="19" t="n">
        <v>1470</v>
      </c>
      <c r="E68" s="18" t="n">
        <v>70.36252207</v>
      </c>
      <c r="F68" s="20" t="n">
        <v>1.57251811</v>
      </c>
      <c r="G68" s="18" t="n">
        <v>16.54112296</v>
      </c>
      <c r="H68" s="20" t="n">
        <v>1.11535351</v>
      </c>
      <c r="I68" s="18" t="n">
        <v>0</v>
      </c>
      <c r="J68" s="20" t="n">
        <v>0</v>
      </c>
      <c r="K68" s="18" t="n">
        <v>0.06360054</v>
      </c>
      <c r="L68" s="20" t="n">
        <v>0.06193014</v>
      </c>
      <c r="M68" s="18" t="n">
        <v>0.1424773</v>
      </c>
      <c r="N68" s="20" t="n">
        <v>0.10260569</v>
      </c>
      <c r="O68" s="18" t="n">
        <v>0</v>
      </c>
      <c r="P68" s="20" t="n">
        <v>0</v>
      </c>
      <c r="Q68" s="18" t="n">
        <v>12.89027713</v>
      </c>
      <c r="R68" s="20" t="n">
        <v>1.14226794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(9369.0/B70*100)</f>
        <v/>
      </c>
      <c r="D70" s="19" t="n">
        <v>2714</v>
      </c>
      <c r="E70" s="18" t="n">
        <v>62.76054564</v>
      </c>
      <c r="F70" s="20" t="n">
        <v>0.93845912</v>
      </c>
      <c r="G70" s="18" t="n">
        <v>24.92456139</v>
      </c>
      <c r="H70" s="20" t="n">
        <v>0.82620084</v>
      </c>
      <c r="I70" s="18" t="n">
        <v>0</v>
      </c>
      <c r="J70" s="20" t="n">
        <v>0</v>
      </c>
      <c r="K70" s="18" t="n">
        <v>0.62446369</v>
      </c>
      <c r="L70" s="20" t="n">
        <v>0.16685741</v>
      </c>
      <c r="M70" s="18" t="n">
        <v>0.03494278</v>
      </c>
      <c r="N70" s="20" t="n">
        <v>0.03488864</v>
      </c>
      <c r="O70" s="18" t="n">
        <v>0</v>
      </c>
      <c r="P70" s="20" t="n">
        <v>0</v>
      </c>
      <c r="Q70" s="18" t="n">
        <v>11.6554865</v>
      </c>
      <c r="R70" s="20" t="n">
        <v>0.66344638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(4777.0/B72*100)</f>
        <v/>
      </c>
      <c r="D72" s="19" t="n">
        <v>1259</v>
      </c>
      <c r="E72" s="18" t="n">
        <v>53.97424221</v>
      </c>
      <c r="F72" s="20" t="n">
        <v>1.72396081</v>
      </c>
      <c r="G72" s="18" t="n">
        <v>35.37705753</v>
      </c>
      <c r="H72" s="20" t="n">
        <v>1.84199535</v>
      </c>
      <c r="I72" s="18" t="n">
        <v>0</v>
      </c>
      <c r="J72" s="20" t="n">
        <v>0</v>
      </c>
      <c r="K72" s="18" t="n">
        <v>0</v>
      </c>
      <c r="L72" s="20" t="n">
        <v>0</v>
      </c>
      <c r="M72" s="18" t="n">
        <v>0.05437751</v>
      </c>
      <c r="N72" s="20" t="n">
        <v>0.03871815</v>
      </c>
      <c r="O72" s="18" t="n">
        <v>0</v>
      </c>
      <c r="P72" s="20" t="n">
        <v>0</v>
      </c>
      <c r="Q72" s="18" t="n">
        <v>10.59432275</v>
      </c>
      <c r="R72" s="20" t="n">
        <v>1.03181405</v>
      </c>
    </row>
    <row r="73" spans="1:18">
      <c r="A73" s="15" t="s">
        <v>633</v>
      </c>
      <c r="B73" s="17" t="n">
        <v>6115</v>
      </c>
      <c r="C73" s="18">
        <f>(4776.0/B73*100)</f>
        <v/>
      </c>
      <c r="D73" s="19" t="n">
        <v>1339</v>
      </c>
      <c r="E73" s="18" t="n">
        <v>43.23746551</v>
      </c>
      <c r="F73" s="20" t="n">
        <v>1.47346863</v>
      </c>
      <c r="G73" s="18" t="n">
        <v>53.48165142</v>
      </c>
      <c r="H73" s="20" t="n">
        <v>1.51181552</v>
      </c>
      <c r="I73" s="18" t="n">
        <v>0</v>
      </c>
      <c r="J73" s="20" t="n">
        <v>0</v>
      </c>
      <c r="K73" s="18" t="n">
        <v>0.16000116</v>
      </c>
      <c r="L73" s="20" t="n">
        <v>0.11308533</v>
      </c>
      <c r="M73" s="18" t="n">
        <v>0</v>
      </c>
      <c r="N73" s="20" t="n">
        <v>0</v>
      </c>
      <c r="O73" s="18" t="n">
        <v>0</v>
      </c>
      <c r="P73" s="20" t="n">
        <v>0</v>
      </c>
      <c r="Q73" s="18" t="n">
        <v>3.12088191</v>
      </c>
      <c r="R73" s="20" t="n">
        <v>0.43970055</v>
      </c>
    </row>
    <row r="74" spans="1:18">
      <c r="A74" s="15" t="s">
        <v>634</v>
      </c>
      <c r="B74" s="17" t="n">
        <v>7708</v>
      </c>
      <c r="C74" s="18">
        <f>(5966.0/B74*100)</f>
        <v/>
      </c>
      <c r="D74" s="19" t="n">
        <v>1742</v>
      </c>
      <c r="E74" s="18" t="n">
        <v>49.14470506</v>
      </c>
      <c r="F74" s="20" t="n">
        <v>1.43661463</v>
      </c>
      <c r="G74" s="18" t="n">
        <v>42.46479198</v>
      </c>
      <c r="H74" s="20" t="n">
        <v>1.45279826</v>
      </c>
      <c r="I74" s="18" t="n">
        <v>0</v>
      </c>
      <c r="J74" s="20" t="n">
        <v>0</v>
      </c>
      <c r="K74" s="18" t="n">
        <v>0</v>
      </c>
      <c r="L74" s="20" t="n">
        <v>0</v>
      </c>
      <c r="M74" s="18" t="n">
        <v>0</v>
      </c>
      <c r="N74" s="20" t="n">
        <v>0</v>
      </c>
      <c r="O74" s="18" t="n">
        <v>0</v>
      </c>
      <c r="P74" s="20" t="n">
        <v>0</v>
      </c>
      <c r="Q74" s="18" t="n">
        <v>8.39050295</v>
      </c>
      <c r="R74" s="20" t="n">
        <v>0.7678342</v>
      </c>
    </row>
    <row r="75" spans="1:18">
      <c r="A75" s="15" t="s">
        <v>635</v>
      </c>
      <c r="B75" s="17" t="n">
        <v>8249</v>
      </c>
      <c r="C75" s="18">
        <f>(6466.0/B75*100)</f>
        <v/>
      </c>
      <c r="D75" s="19" t="n">
        <v>1783</v>
      </c>
      <c r="E75" s="18" t="n">
        <v>76.08700976999999</v>
      </c>
      <c r="F75" s="20" t="n">
        <v>1.37681997</v>
      </c>
      <c r="G75" s="18" t="n">
        <v>20.20989592</v>
      </c>
      <c r="H75" s="20" t="n">
        <v>1.25502758</v>
      </c>
      <c r="I75" s="18" t="n">
        <v>0</v>
      </c>
      <c r="J75" s="20" t="n">
        <v>0</v>
      </c>
      <c r="K75" s="18" t="n">
        <v>0</v>
      </c>
      <c r="L75" s="20" t="n">
        <v>0</v>
      </c>
      <c r="M75" s="18" t="n">
        <v>0.51634046</v>
      </c>
      <c r="N75" s="20" t="n">
        <v>0.20537697</v>
      </c>
      <c r="O75" s="18" t="n">
        <v>0</v>
      </c>
      <c r="P75" s="20" t="n">
        <v>0</v>
      </c>
      <c r="Q75" s="18" t="n">
        <v>3.18675385</v>
      </c>
      <c r="R75" s="20" t="n">
        <v>0.51559864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(4299.0/B77*100)</f>
        <v/>
      </c>
      <c r="D77" s="19" t="n">
        <v>1076</v>
      </c>
      <c r="E77" s="18" t="n">
        <v>70.03964065</v>
      </c>
      <c r="F77" s="20" t="n">
        <v>1.82289324</v>
      </c>
      <c r="G77" s="18" t="n">
        <v>9.0086681</v>
      </c>
      <c r="H77" s="20" t="n">
        <v>0.95191035</v>
      </c>
      <c r="I77" s="18" t="n">
        <v>0</v>
      </c>
      <c r="J77" s="20" t="n">
        <v>0</v>
      </c>
      <c r="K77" s="18" t="n">
        <v>0.57407134</v>
      </c>
      <c r="L77" s="20" t="n">
        <v>0.23855536</v>
      </c>
      <c r="M77" s="18" t="n">
        <v>1.15227438</v>
      </c>
      <c r="N77" s="20" t="n">
        <v>0.32736755</v>
      </c>
      <c r="O77" s="18" t="n">
        <v>0</v>
      </c>
      <c r="P77" s="20" t="n">
        <v>0</v>
      </c>
      <c r="Q77" s="18" t="n">
        <v>19.22534553</v>
      </c>
      <c r="R77" s="20" t="n">
        <v>1.65701888</v>
      </c>
    </row>
    <row r="78" spans="1:18">
      <c r="A78" s="15" t="s">
        <v>638</v>
      </c>
      <c r="B78" s="17" t="n">
        <v>14167</v>
      </c>
      <c r="C78" s="18">
        <f>(11099.0/B78*100)</f>
        <v/>
      </c>
      <c r="D78" s="19" t="n">
        <v>3068</v>
      </c>
      <c r="E78" s="18" t="n">
        <v>64.50914654</v>
      </c>
      <c r="F78" s="20" t="n">
        <v>1.05749936</v>
      </c>
      <c r="G78" s="18" t="n">
        <v>27.16811741</v>
      </c>
      <c r="H78" s="20" t="n">
        <v>1.11945077</v>
      </c>
      <c r="I78" s="18" t="n">
        <v>0</v>
      </c>
      <c r="J78" s="20" t="n">
        <v>0</v>
      </c>
      <c r="K78" s="18" t="n">
        <v>0.55582689</v>
      </c>
      <c r="L78" s="20" t="n">
        <v>0.16433584</v>
      </c>
      <c r="M78" s="18" t="n">
        <v>0.16825143</v>
      </c>
      <c r="N78" s="20" t="n">
        <v>0.10106463</v>
      </c>
      <c r="O78" s="18" t="n">
        <v>0</v>
      </c>
      <c r="P78" s="20" t="n">
        <v>0</v>
      </c>
      <c r="Q78" s="18" t="n">
        <v>7.59865774</v>
      </c>
      <c r="R78" s="20" t="n">
        <v>0.70963441</v>
      </c>
    </row>
    <row r="79" spans="1:18">
      <c r="A79" s="15" t="s">
        <v>639</v>
      </c>
      <c r="B79" s="17" t="n">
        <v>6062</v>
      </c>
      <c r="C79" s="18">
        <f>(4727.0/B79*100)</f>
        <v/>
      </c>
      <c r="D79" s="19" t="n">
        <v>1335</v>
      </c>
      <c r="E79" s="18" t="n">
        <v>40.72561201</v>
      </c>
      <c r="F79" s="20" t="n">
        <v>1.40058346</v>
      </c>
      <c r="G79" s="18" t="n">
        <v>36.30819908</v>
      </c>
      <c r="H79" s="20" t="n">
        <v>1.54949974</v>
      </c>
      <c r="I79" s="18" t="n">
        <v>0</v>
      </c>
      <c r="J79" s="20" t="n">
        <v>0</v>
      </c>
      <c r="K79" s="18" t="n">
        <v>0.40077068</v>
      </c>
      <c r="L79" s="20" t="n">
        <v>0.21743287</v>
      </c>
      <c r="M79" s="18" t="n">
        <v>0.22672094</v>
      </c>
      <c r="N79" s="20" t="n">
        <v>0.14256829</v>
      </c>
      <c r="O79" s="18" t="n">
        <v>0</v>
      </c>
      <c r="P79" s="20" t="n">
        <v>0</v>
      </c>
      <c r="Q79" s="18" t="n">
        <v>22.3386973</v>
      </c>
      <c r="R79" s="20" t="n">
        <v>1.31096294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(25134.0/B82*100)</f>
        <v/>
      </c>
      <c r="D82" s="19" t="n">
        <v>7196</v>
      </c>
      <c r="E82" s="18" t="n">
        <v>43.60534491</v>
      </c>
      <c r="F82" s="20" t="n">
        <v>0.96587587</v>
      </c>
      <c r="G82" s="18" t="n">
        <v>47.55286856</v>
      </c>
      <c r="H82" s="20" t="n">
        <v>0.88558881</v>
      </c>
      <c r="I82" s="18" t="n">
        <v>0</v>
      </c>
      <c r="J82" s="20" t="n">
        <v>0</v>
      </c>
      <c r="K82" s="18" t="n">
        <v>0.04490642</v>
      </c>
      <c r="L82" s="20" t="n">
        <v>0.0488764</v>
      </c>
      <c r="M82" s="18" t="n">
        <v>0.06594419</v>
      </c>
      <c r="N82" s="20" t="n">
        <v>0.07127348</v>
      </c>
      <c r="O82" s="18" t="n">
        <v>0</v>
      </c>
      <c r="P82" s="20" t="n">
        <v>0</v>
      </c>
      <c r="Q82" s="18" t="n">
        <v>8.730935929999999</v>
      </c>
      <c r="R82" s="20" t="n">
        <v>0.49330786</v>
      </c>
    </row>
    <row r="83" spans="1:18">
      <c r="A83" s="15" t="s">
        <v>643</v>
      </c>
      <c r="B83" s="17" t="n">
        <v>1652</v>
      </c>
      <c r="C83" s="18">
        <f>(1288.0/B83*100)</f>
        <v/>
      </c>
      <c r="D83" s="19" t="n">
        <v>364</v>
      </c>
      <c r="E83" s="18" t="n">
        <v>37.74483201</v>
      </c>
      <c r="F83" s="20" t="n">
        <v>3.02083111</v>
      </c>
      <c r="G83" s="18" t="n">
        <v>60.88684366</v>
      </c>
      <c r="H83" s="20" t="n">
        <v>3.05996104</v>
      </c>
      <c r="I83" s="18" t="n">
        <v>0</v>
      </c>
      <c r="J83" s="20" t="n">
        <v>0</v>
      </c>
      <c r="K83" s="18" t="n">
        <v>0</v>
      </c>
      <c r="L83" s="20" t="n">
        <v>0</v>
      </c>
      <c r="M83" s="18" t="n">
        <v>0</v>
      </c>
      <c r="N83" s="20" t="n">
        <v>0</v>
      </c>
      <c r="O83" s="18" t="n">
        <v>0</v>
      </c>
      <c r="P83" s="20" t="n">
        <v>0</v>
      </c>
      <c r="Q83" s="18" t="n">
        <v>1.36832433</v>
      </c>
      <c r="R83" s="20" t="n">
        <v>0.50056623</v>
      </c>
    </row>
    <row r="84" spans="1:18">
      <c r="A84" s="23" t="s">
        <v>644</v>
      </c>
      <c r="B84" s="24" t="n">
        <v>1887</v>
      </c>
      <c r="C84" s="25">
        <f>(1491.0/B84*100)</f>
        <v/>
      </c>
      <c r="D84" s="19" t="n">
        <v>396</v>
      </c>
      <c r="E84" s="18" t="n">
        <v>43.38831105</v>
      </c>
      <c r="F84" s="20" t="n">
        <v>2.54979537</v>
      </c>
      <c r="G84" s="18" t="n">
        <v>53.75742355</v>
      </c>
      <c r="H84" s="20" t="n">
        <v>2.74208516</v>
      </c>
      <c r="I84" s="18" t="n">
        <v>0</v>
      </c>
      <c r="J84" s="20" t="n">
        <v>0</v>
      </c>
      <c r="K84" s="18" t="n">
        <v>0</v>
      </c>
      <c r="L84" s="20" t="n">
        <v>0</v>
      </c>
      <c r="M84" s="18" t="n">
        <v>0</v>
      </c>
      <c r="N84" s="20" t="n">
        <v>0</v>
      </c>
      <c r="O84" s="18" t="n">
        <v>0</v>
      </c>
      <c r="P84" s="20" t="n">
        <v>0</v>
      </c>
      <c r="Q84" s="18" t="n">
        <v>2.85426539</v>
      </c>
      <c r="R84" s="20" t="n">
        <v>0.96322756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799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(11289.0/B7*100)</f>
        <v/>
      </c>
      <c r="D7" s="19" t="n">
        <v>3241</v>
      </c>
      <c r="E7" s="18" t="n">
        <v>31.94269956</v>
      </c>
      <c r="F7" s="20" t="n">
        <v>1.00976143</v>
      </c>
      <c r="G7" s="18" t="n">
        <v>67.18595483</v>
      </c>
      <c r="H7" s="20" t="n">
        <v>1.02414326</v>
      </c>
      <c r="I7" s="18" t="n">
        <v>0</v>
      </c>
      <c r="J7" s="20" t="n">
        <v>0</v>
      </c>
      <c r="K7" s="18" t="n">
        <v>0.01792305</v>
      </c>
      <c r="L7" s="20" t="n">
        <v>0.01584491</v>
      </c>
      <c r="M7" s="18" t="n">
        <v>0</v>
      </c>
      <c r="N7" s="20" t="n">
        <v>0</v>
      </c>
      <c r="O7" s="18" t="n">
        <v>0</v>
      </c>
      <c r="P7" s="20" t="n">
        <v>0</v>
      </c>
      <c r="Q7" s="18" t="n">
        <v>0.8534225600000001</v>
      </c>
      <c r="R7" s="20" t="n">
        <v>0.17862922</v>
      </c>
    </row>
    <row r="8" spans="1:18">
      <c r="A8" s="15" t="s">
        <v>566</v>
      </c>
      <c r="B8" s="17" t="n">
        <v>7007</v>
      </c>
      <c r="C8" s="18">
        <f>(5494.0/B8*100)</f>
        <v/>
      </c>
      <c r="D8" s="19" t="n">
        <v>1513</v>
      </c>
      <c r="E8" s="18" t="n">
        <v>26.11336606</v>
      </c>
      <c r="F8" s="20" t="n">
        <v>1.22467755</v>
      </c>
      <c r="G8" s="18" t="n">
        <v>72.54738746</v>
      </c>
      <c r="H8" s="20" t="n">
        <v>1.23760235</v>
      </c>
      <c r="I8" s="18" t="n">
        <v>0</v>
      </c>
      <c r="J8" s="20" t="n">
        <v>0</v>
      </c>
      <c r="K8" s="18" t="n">
        <v>0</v>
      </c>
      <c r="L8" s="20" t="n">
        <v>0</v>
      </c>
      <c r="M8" s="18" t="n">
        <v>0</v>
      </c>
      <c r="N8" s="20" t="n">
        <v>0</v>
      </c>
      <c r="O8" s="18" t="n">
        <v>0</v>
      </c>
      <c r="P8" s="20" t="n">
        <v>0</v>
      </c>
      <c r="Q8" s="18" t="n">
        <v>1.33924648</v>
      </c>
      <c r="R8" s="20" t="n">
        <v>0.31539198</v>
      </c>
    </row>
    <row r="9" spans="1:18">
      <c r="A9" s="15" t="s">
        <v>567</v>
      </c>
      <c r="B9" s="17" t="n">
        <v>9651</v>
      </c>
      <c r="C9" s="18">
        <f>(7561.0/B9*100)</f>
        <v/>
      </c>
      <c r="D9" s="19" t="n">
        <v>2090</v>
      </c>
      <c r="E9" s="18" t="n">
        <v>35.17707641</v>
      </c>
      <c r="F9" s="20" t="n">
        <v>1.17793891</v>
      </c>
      <c r="G9" s="18" t="n">
        <v>63.77177548</v>
      </c>
      <c r="H9" s="20" t="n">
        <v>1.18391195</v>
      </c>
      <c r="I9" s="18" t="n">
        <v>0</v>
      </c>
      <c r="J9" s="20" t="n">
        <v>0</v>
      </c>
      <c r="K9" s="18" t="n">
        <v>0.05368189</v>
      </c>
      <c r="L9" s="20" t="n">
        <v>0.05604769</v>
      </c>
      <c r="M9" s="18" t="n">
        <v>0</v>
      </c>
      <c r="N9" s="20" t="n">
        <v>0</v>
      </c>
      <c r="O9" s="18" t="n">
        <v>0</v>
      </c>
      <c r="P9" s="20" t="n">
        <v>0</v>
      </c>
      <c r="Q9" s="18" t="n">
        <v>0.99746623</v>
      </c>
      <c r="R9" s="20" t="n">
        <v>0.27601662</v>
      </c>
    </row>
    <row r="10" spans="1:18">
      <c r="A10" s="15" t="s">
        <v>568</v>
      </c>
      <c r="B10" s="17" t="n">
        <v>20058</v>
      </c>
      <c r="C10" s="18">
        <f>(15619.0/B10*100)</f>
        <v/>
      </c>
      <c r="D10" s="19" t="n">
        <v>4439</v>
      </c>
      <c r="E10" s="18" t="n">
        <v>26.90240327</v>
      </c>
      <c r="F10" s="20" t="n">
        <v>0.80872424</v>
      </c>
      <c r="G10" s="18" t="n">
        <v>72.36930144</v>
      </c>
      <c r="H10" s="20" t="n">
        <v>0.81468908</v>
      </c>
      <c r="I10" s="18" t="n">
        <v>0</v>
      </c>
      <c r="J10" s="20" t="n">
        <v>0</v>
      </c>
      <c r="K10" s="18" t="n">
        <v>0.15806944</v>
      </c>
      <c r="L10" s="20" t="n">
        <v>0.08783191</v>
      </c>
      <c r="M10" s="18" t="n">
        <v>0</v>
      </c>
      <c r="N10" s="20" t="n">
        <v>0</v>
      </c>
      <c r="O10" s="18" t="n">
        <v>0</v>
      </c>
      <c r="P10" s="20" t="n">
        <v>0</v>
      </c>
      <c r="Q10" s="18" t="n">
        <v>0.57022584</v>
      </c>
      <c r="R10" s="20" t="n">
        <v>0.17161694</v>
      </c>
    </row>
    <row r="11" spans="1:18">
      <c r="A11" s="15" t="s">
        <v>569</v>
      </c>
      <c r="B11" s="17" t="n">
        <v>7053</v>
      </c>
      <c r="C11" s="18">
        <f>(5528.0/B11*100)</f>
        <v/>
      </c>
      <c r="D11" s="19" t="n">
        <v>1525</v>
      </c>
      <c r="E11" s="18" t="n">
        <v>56.15744674</v>
      </c>
      <c r="F11" s="20" t="n">
        <v>1.49676096</v>
      </c>
      <c r="G11" s="18" t="n">
        <v>41.1359448</v>
      </c>
      <c r="H11" s="20" t="n">
        <v>1.42464206</v>
      </c>
      <c r="I11" s="18" t="n">
        <v>0</v>
      </c>
      <c r="J11" s="20" t="n">
        <v>0</v>
      </c>
      <c r="K11" s="18" t="n">
        <v>0.33855991</v>
      </c>
      <c r="L11" s="20" t="n">
        <v>0.21758061</v>
      </c>
      <c r="M11" s="18" t="n">
        <v>0</v>
      </c>
      <c r="N11" s="20" t="n">
        <v>0</v>
      </c>
      <c r="O11" s="18" t="n">
        <v>0</v>
      </c>
      <c r="P11" s="20" t="n">
        <v>0</v>
      </c>
      <c r="Q11" s="18" t="n">
        <v>2.36804854</v>
      </c>
      <c r="R11" s="20" t="n">
        <v>0.55883603</v>
      </c>
    </row>
    <row r="12" spans="1:18">
      <c r="A12" s="15" t="s">
        <v>570</v>
      </c>
      <c r="B12" s="17" t="n">
        <v>6894</v>
      </c>
      <c r="C12" s="18">
        <f>(5365.0/B12*100)</f>
        <v/>
      </c>
      <c r="D12" s="19" t="n">
        <v>1529</v>
      </c>
      <c r="E12" s="18" t="n">
        <v>30.27865426</v>
      </c>
      <c r="F12" s="20" t="n">
        <v>1.03345765</v>
      </c>
      <c r="G12" s="18" t="n">
        <v>69.15262245</v>
      </c>
      <c r="H12" s="20" t="n">
        <v>1.03084125</v>
      </c>
      <c r="I12" s="18" t="n">
        <v>0</v>
      </c>
      <c r="J12" s="20" t="n">
        <v>0</v>
      </c>
      <c r="K12" s="18" t="n">
        <v>0.11938766</v>
      </c>
      <c r="L12" s="20" t="n">
        <v>0.08289451</v>
      </c>
      <c r="M12" s="18" t="n">
        <v>0</v>
      </c>
      <c r="N12" s="20" t="n">
        <v>0</v>
      </c>
      <c r="O12" s="18" t="n">
        <v>0</v>
      </c>
      <c r="P12" s="20" t="n">
        <v>0</v>
      </c>
      <c r="Q12" s="18" t="n">
        <v>0.44933564</v>
      </c>
      <c r="R12" s="20" t="n">
        <v>0.2143104</v>
      </c>
    </row>
    <row r="13" spans="1:18">
      <c r="A13" s="15" t="s">
        <v>571</v>
      </c>
      <c r="B13" s="17" t="n">
        <v>7161</v>
      </c>
      <c r="C13" s="18">
        <f>(5609.0/B13*100)</f>
        <v/>
      </c>
      <c r="D13" s="19" t="n">
        <v>1552</v>
      </c>
      <c r="E13" s="18" t="n">
        <v>25.65502686</v>
      </c>
      <c r="F13" s="20" t="n">
        <v>1.35503369</v>
      </c>
      <c r="G13" s="18" t="n">
        <v>73.06803716</v>
      </c>
      <c r="H13" s="20" t="n">
        <v>1.40962681</v>
      </c>
      <c r="I13" s="18" t="n">
        <v>0</v>
      </c>
      <c r="J13" s="20" t="n">
        <v>0</v>
      </c>
      <c r="K13" s="18" t="n">
        <v>0.0588076</v>
      </c>
      <c r="L13" s="20" t="n">
        <v>0.04422536</v>
      </c>
      <c r="M13" s="18" t="n">
        <v>0</v>
      </c>
      <c r="N13" s="20" t="n">
        <v>0</v>
      </c>
      <c r="O13" s="18" t="n">
        <v>0</v>
      </c>
      <c r="P13" s="20" t="n">
        <v>0</v>
      </c>
      <c r="Q13" s="18" t="n">
        <v>1.21812838</v>
      </c>
      <c r="R13" s="20" t="n">
        <v>0.33561878</v>
      </c>
    </row>
    <row r="14" spans="1:18">
      <c r="A14" s="15" t="s">
        <v>572</v>
      </c>
      <c r="B14" s="17" t="n">
        <v>5587</v>
      </c>
      <c r="C14" s="18">
        <f>(4397.0/B14*100)</f>
        <v/>
      </c>
      <c r="D14" s="19" t="n">
        <v>1190</v>
      </c>
      <c r="E14" s="18" t="n">
        <v>34.59598571</v>
      </c>
      <c r="F14" s="20" t="n">
        <v>1.43260287</v>
      </c>
      <c r="G14" s="18" t="n">
        <v>64.90341472</v>
      </c>
      <c r="H14" s="20" t="n">
        <v>1.42320488</v>
      </c>
      <c r="I14" s="18" t="n">
        <v>0</v>
      </c>
      <c r="J14" s="20" t="n">
        <v>0</v>
      </c>
      <c r="K14" s="18" t="n">
        <v>0.13084141</v>
      </c>
      <c r="L14" s="20" t="n">
        <v>0.09300466</v>
      </c>
      <c r="M14" s="18" t="n">
        <v>0</v>
      </c>
      <c r="N14" s="20" t="n">
        <v>0</v>
      </c>
      <c r="O14" s="18" t="n">
        <v>0</v>
      </c>
      <c r="P14" s="20" t="n">
        <v>0</v>
      </c>
      <c r="Q14" s="18" t="n">
        <v>0.36975816</v>
      </c>
      <c r="R14" s="20" t="n">
        <v>0.25899126</v>
      </c>
    </row>
    <row r="15" spans="1:18">
      <c r="A15" s="15" t="s">
        <v>573</v>
      </c>
      <c r="B15" s="17" t="n">
        <v>5882</v>
      </c>
      <c r="C15" s="18">
        <f>(4623.0/B15*100)</f>
        <v/>
      </c>
      <c r="D15" s="19" t="n">
        <v>1259</v>
      </c>
      <c r="E15" s="18" t="n">
        <v>22.83664517</v>
      </c>
      <c r="F15" s="20" t="n">
        <v>1.21918371</v>
      </c>
      <c r="G15" s="18" t="n">
        <v>76.92492519</v>
      </c>
      <c r="H15" s="20" t="n">
        <v>1.22798201</v>
      </c>
      <c r="I15" s="18" t="n">
        <v>0</v>
      </c>
      <c r="J15" s="20" t="n">
        <v>0</v>
      </c>
      <c r="K15" s="18" t="n">
        <v>0</v>
      </c>
      <c r="L15" s="20" t="n">
        <v>0</v>
      </c>
      <c r="M15" s="18" t="n">
        <v>0</v>
      </c>
      <c r="N15" s="20" t="n">
        <v>0</v>
      </c>
      <c r="O15" s="18" t="n">
        <v>0</v>
      </c>
      <c r="P15" s="20" t="n">
        <v>0</v>
      </c>
      <c r="Q15" s="18" t="n">
        <v>0.23842964</v>
      </c>
      <c r="R15" s="20" t="n">
        <v>0.14352934</v>
      </c>
    </row>
    <row r="16" spans="1:18">
      <c r="A16" s="15" t="s">
        <v>574</v>
      </c>
      <c r="B16" s="17" t="n">
        <v>6108</v>
      </c>
      <c r="C16" s="18">
        <f>(4797.0/B16*100)</f>
        <v/>
      </c>
      <c r="D16" s="19" t="n">
        <v>1311</v>
      </c>
      <c r="E16" s="18" t="n">
        <v>40.58225872</v>
      </c>
      <c r="F16" s="20" t="n">
        <v>1.3171699</v>
      </c>
      <c r="G16" s="18" t="n">
        <v>57.36929449</v>
      </c>
      <c r="H16" s="20" t="n">
        <v>1.35579479</v>
      </c>
      <c r="I16" s="18" t="n">
        <v>0</v>
      </c>
      <c r="J16" s="20" t="n">
        <v>0</v>
      </c>
      <c r="K16" s="18" t="n">
        <v>0.09520109</v>
      </c>
      <c r="L16" s="20" t="n">
        <v>0.07639427</v>
      </c>
      <c r="M16" s="18" t="n">
        <v>0</v>
      </c>
      <c r="N16" s="20" t="n">
        <v>0</v>
      </c>
      <c r="O16" s="18" t="n">
        <v>0</v>
      </c>
      <c r="P16" s="20" t="n">
        <v>0</v>
      </c>
      <c r="Q16" s="18" t="n">
        <v>1.95324571</v>
      </c>
      <c r="R16" s="20" t="n">
        <v>0.37131847</v>
      </c>
    </row>
    <row r="17" spans="1:18">
      <c r="A17" s="15" t="s">
        <v>575</v>
      </c>
      <c r="B17" s="17" t="n">
        <v>6504</v>
      </c>
      <c r="C17" s="18">
        <f>(5048.0/B17*100)</f>
        <v/>
      </c>
      <c r="D17" s="19" t="n">
        <v>1456</v>
      </c>
      <c r="E17" s="18" t="n">
        <v>32.20563078</v>
      </c>
      <c r="F17" s="20" t="n">
        <v>1.40250788</v>
      </c>
      <c r="G17" s="18" t="n">
        <v>66.67171491000001</v>
      </c>
      <c r="H17" s="20" t="n">
        <v>1.37439822</v>
      </c>
      <c r="I17" s="18" t="n">
        <v>0</v>
      </c>
      <c r="J17" s="20" t="n">
        <v>0</v>
      </c>
      <c r="K17" s="18" t="n">
        <v>0.21255811</v>
      </c>
      <c r="L17" s="20" t="n">
        <v>0.10375403</v>
      </c>
      <c r="M17" s="18" t="n">
        <v>0</v>
      </c>
      <c r="N17" s="20" t="n">
        <v>0</v>
      </c>
      <c r="O17" s="18" t="n">
        <v>0</v>
      </c>
      <c r="P17" s="20" t="n">
        <v>0</v>
      </c>
      <c r="Q17" s="18" t="n">
        <v>0.9100962</v>
      </c>
      <c r="R17" s="20" t="n">
        <v>0.25180909</v>
      </c>
    </row>
    <row r="18" spans="1:18">
      <c r="A18" s="15" t="s">
        <v>576</v>
      </c>
      <c r="B18" s="17" t="n">
        <v>5532</v>
      </c>
      <c r="C18" s="18">
        <f>(4316.0/B18*100)</f>
        <v/>
      </c>
      <c r="D18" s="19" t="n">
        <v>1216</v>
      </c>
      <c r="E18" s="18" t="n">
        <v>56.99468689</v>
      </c>
      <c r="F18" s="20" t="n">
        <v>1.74093483</v>
      </c>
      <c r="G18" s="18" t="n">
        <v>41.21602429</v>
      </c>
      <c r="H18" s="20" t="n">
        <v>1.73053033</v>
      </c>
      <c r="I18" s="18" t="n">
        <v>0</v>
      </c>
      <c r="J18" s="20" t="n">
        <v>0</v>
      </c>
      <c r="K18" s="18" t="n">
        <v>0.07815834000000001</v>
      </c>
      <c r="L18" s="20" t="n">
        <v>0.07822887000000001</v>
      </c>
      <c r="M18" s="18" t="n">
        <v>0</v>
      </c>
      <c r="N18" s="20" t="n">
        <v>0</v>
      </c>
      <c r="O18" s="18" t="n">
        <v>0</v>
      </c>
      <c r="P18" s="20" t="n">
        <v>0</v>
      </c>
      <c r="Q18" s="18" t="n">
        <v>1.71113048</v>
      </c>
      <c r="R18" s="20" t="n">
        <v>0.43851246</v>
      </c>
    </row>
    <row r="19" spans="1:18">
      <c r="A19" s="15" t="s">
        <v>577</v>
      </c>
      <c r="B19" s="17" t="n">
        <v>5658</v>
      </c>
      <c r="C19" s="18">
        <f>(4395.0/B19*100)</f>
        <v/>
      </c>
      <c r="D19" s="19" t="n">
        <v>1263</v>
      </c>
      <c r="E19" s="18" t="n">
        <v>46.76720052</v>
      </c>
      <c r="F19" s="20" t="n">
        <v>1.35198489</v>
      </c>
      <c r="G19" s="18" t="n">
        <v>52.12478955</v>
      </c>
      <c r="H19" s="20" t="n">
        <v>1.35655327</v>
      </c>
      <c r="I19" s="18" t="n">
        <v>0</v>
      </c>
      <c r="J19" s="20" t="n">
        <v>0</v>
      </c>
      <c r="K19" s="18" t="n">
        <v>0.1295874</v>
      </c>
      <c r="L19" s="20" t="n">
        <v>0.07831322</v>
      </c>
      <c r="M19" s="18" t="n">
        <v>0</v>
      </c>
      <c r="N19" s="20" t="n">
        <v>0</v>
      </c>
      <c r="O19" s="18" t="n">
        <v>0</v>
      </c>
      <c r="P19" s="20" t="n">
        <v>0</v>
      </c>
      <c r="Q19" s="18" t="n">
        <v>0.97842252</v>
      </c>
      <c r="R19" s="20" t="n">
        <v>0.28342283</v>
      </c>
    </row>
    <row r="20" spans="1:18">
      <c r="A20" s="15" t="s">
        <v>578</v>
      </c>
      <c r="B20" s="17" t="n">
        <v>3371</v>
      </c>
      <c r="C20" s="18">
        <f>(2611.0/B20*100)</f>
        <v/>
      </c>
      <c r="D20" s="19" t="n">
        <v>760</v>
      </c>
      <c r="E20" s="18" t="n">
        <v>35.5351681</v>
      </c>
      <c r="F20" s="20" t="n">
        <v>1.85751583</v>
      </c>
      <c r="G20" s="18" t="n">
        <v>62.68046094</v>
      </c>
      <c r="H20" s="20" t="n">
        <v>1.83923035</v>
      </c>
      <c r="I20" s="18" t="n">
        <v>0</v>
      </c>
      <c r="J20" s="20" t="n">
        <v>0</v>
      </c>
      <c r="K20" s="18" t="n">
        <v>0</v>
      </c>
      <c r="L20" s="20" t="n">
        <v>0</v>
      </c>
      <c r="M20" s="18" t="n">
        <v>0</v>
      </c>
      <c r="N20" s="20" t="n">
        <v>0</v>
      </c>
      <c r="O20" s="18" t="n">
        <v>0</v>
      </c>
      <c r="P20" s="20" t="n">
        <v>0</v>
      </c>
      <c r="Q20" s="18" t="n">
        <v>1.78437096</v>
      </c>
      <c r="R20" s="20" t="n">
        <v>0.43262692</v>
      </c>
    </row>
    <row r="21" spans="1:18">
      <c r="A21" s="15" t="s">
        <v>579</v>
      </c>
      <c r="B21" s="17" t="n">
        <v>5741</v>
      </c>
      <c r="C21" s="18">
        <f>(4452.0/B21*100)</f>
        <v/>
      </c>
      <c r="D21" s="19" t="n">
        <v>1289</v>
      </c>
      <c r="E21" s="18" t="n">
        <v>29.5316106</v>
      </c>
      <c r="F21" s="20" t="n">
        <v>1.47882251</v>
      </c>
      <c r="G21" s="18" t="n">
        <v>69.85302673</v>
      </c>
      <c r="H21" s="20" t="n">
        <v>1.52376162</v>
      </c>
      <c r="I21" s="18" t="n">
        <v>0</v>
      </c>
      <c r="J21" s="20" t="n">
        <v>0</v>
      </c>
      <c r="K21" s="18" t="n">
        <v>0</v>
      </c>
      <c r="L21" s="20" t="n">
        <v>0</v>
      </c>
      <c r="M21" s="18" t="n">
        <v>0</v>
      </c>
      <c r="N21" s="20" t="n">
        <v>0</v>
      </c>
      <c r="O21" s="18" t="n">
        <v>0</v>
      </c>
      <c r="P21" s="20" t="n">
        <v>0</v>
      </c>
      <c r="Q21" s="18" t="n">
        <v>0.61536266</v>
      </c>
      <c r="R21" s="20" t="n">
        <v>0.20589946</v>
      </c>
    </row>
    <row r="22" spans="1:18">
      <c r="A22" s="15" t="s">
        <v>580</v>
      </c>
      <c r="B22" s="17" t="n">
        <v>6598</v>
      </c>
      <c r="C22" s="18">
        <f>(5115.0/B22*100)</f>
        <v/>
      </c>
      <c r="D22" s="19" t="n">
        <v>1483</v>
      </c>
      <c r="E22" s="18" t="n">
        <v>52.24358599</v>
      </c>
      <c r="F22" s="20" t="n">
        <v>1.49214926</v>
      </c>
      <c r="G22" s="18" t="n">
        <v>44.16511549</v>
      </c>
      <c r="H22" s="20" t="n">
        <v>1.5118652</v>
      </c>
      <c r="I22" s="18" t="n">
        <v>0</v>
      </c>
      <c r="J22" s="20" t="n">
        <v>0</v>
      </c>
      <c r="K22" s="18" t="n">
        <v>0.46665289</v>
      </c>
      <c r="L22" s="20" t="n">
        <v>0.19778074</v>
      </c>
      <c r="M22" s="18" t="n">
        <v>0</v>
      </c>
      <c r="N22" s="20" t="n">
        <v>0</v>
      </c>
      <c r="O22" s="18" t="n">
        <v>0</v>
      </c>
      <c r="P22" s="20" t="n">
        <v>0</v>
      </c>
      <c r="Q22" s="18" t="n">
        <v>3.12464564</v>
      </c>
      <c r="R22" s="20" t="n">
        <v>0.52414466</v>
      </c>
    </row>
    <row r="23" spans="1:18">
      <c r="A23" s="15" t="s">
        <v>581</v>
      </c>
      <c r="B23" s="17" t="n">
        <v>11583</v>
      </c>
      <c r="C23" s="18">
        <f>(8974.0/B23*100)</f>
        <v/>
      </c>
      <c r="D23" s="19" t="n">
        <v>2609</v>
      </c>
      <c r="E23" s="18" t="n">
        <v>42.92243032</v>
      </c>
      <c r="F23" s="20" t="n">
        <v>1.31698664</v>
      </c>
      <c r="G23" s="18" t="n">
        <v>56.06630942</v>
      </c>
      <c r="H23" s="20" t="n">
        <v>1.34713606</v>
      </c>
      <c r="I23" s="18" t="n">
        <v>0</v>
      </c>
      <c r="J23" s="20" t="n">
        <v>0</v>
      </c>
      <c r="K23" s="18" t="n">
        <v>0.07406185999999999</v>
      </c>
      <c r="L23" s="20" t="n">
        <v>0.07325102</v>
      </c>
      <c r="M23" s="18" t="n">
        <v>0</v>
      </c>
      <c r="N23" s="20" t="n">
        <v>0</v>
      </c>
      <c r="O23" s="18" t="n">
        <v>0</v>
      </c>
      <c r="P23" s="20" t="n">
        <v>0</v>
      </c>
      <c r="Q23" s="18" t="n">
        <v>0.9371984</v>
      </c>
      <c r="R23" s="20" t="n">
        <v>0.3098539</v>
      </c>
    </row>
    <row r="24" spans="1:18">
      <c r="A24" s="15" t="s">
        <v>582</v>
      </c>
      <c r="B24" s="17" t="n">
        <v>6647</v>
      </c>
      <c r="C24" s="18">
        <f>(5142.0/B24*100)</f>
        <v/>
      </c>
      <c r="D24" s="19" t="n">
        <v>1505</v>
      </c>
      <c r="E24" s="18" t="n">
        <v>22.12921108</v>
      </c>
      <c r="F24" s="20" t="n">
        <v>1.17211269</v>
      </c>
      <c r="G24" s="18" t="n">
        <v>76.75819185</v>
      </c>
      <c r="H24" s="20" t="n">
        <v>1.21484584</v>
      </c>
      <c r="I24" s="18" t="n">
        <v>0</v>
      </c>
      <c r="J24" s="20" t="n">
        <v>0</v>
      </c>
      <c r="K24" s="18" t="n">
        <v>0</v>
      </c>
      <c r="L24" s="20" t="n">
        <v>0</v>
      </c>
      <c r="M24" s="18" t="n">
        <v>0</v>
      </c>
      <c r="N24" s="20" t="n">
        <v>0</v>
      </c>
      <c r="O24" s="18" t="n">
        <v>0</v>
      </c>
      <c r="P24" s="20" t="n">
        <v>0</v>
      </c>
      <c r="Q24" s="18" t="n">
        <v>1.11259708</v>
      </c>
      <c r="R24" s="20" t="n">
        <v>0.27444272</v>
      </c>
    </row>
    <row r="25" spans="1:18">
      <c r="A25" s="15" t="s">
        <v>583</v>
      </c>
      <c r="B25" s="17" t="n">
        <v>5581</v>
      </c>
      <c r="C25" s="18">
        <f>(4330.0/B25*100)</f>
        <v/>
      </c>
      <c r="D25" s="19" t="n">
        <v>1251</v>
      </c>
      <c r="E25" s="18" t="n">
        <v>28.85186498</v>
      </c>
      <c r="F25" s="20" t="n">
        <v>1.34263251</v>
      </c>
      <c r="G25" s="18" t="n">
        <v>70.22954866000001</v>
      </c>
      <c r="H25" s="20" t="n">
        <v>1.34345059</v>
      </c>
      <c r="I25" s="18" t="n">
        <v>0</v>
      </c>
      <c r="J25" s="20" t="n">
        <v>0</v>
      </c>
      <c r="K25" s="18" t="n">
        <v>0.15299868</v>
      </c>
      <c r="L25" s="20" t="n">
        <v>0.10767776</v>
      </c>
      <c r="M25" s="18" t="n">
        <v>0</v>
      </c>
      <c r="N25" s="20" t="n">
        <v>0</v>
      </c>
      <c r="O25" s="18" t="n">
        <v>0</v>
      </c>
      <c r="P25" s="20" t="n">
        <v>0</v>
      </c>
      <c r="Q25" s="18" t="n">
        <v>0.76558768</v>
      </c>
      <c r="R25" s="20" t="n">
        <v>0.26960109</v>
      </c>
    </row>
    <row r="26" spans="1:18">
      <c r="A26" s="15" t="s">
        <v>584</v>
      </c>
      <c r="B26" s="17" t="n">
        <v>4869</v>
      </c>
      <c r="C26" s="18">
        <f>(3802.0/B26*100)</f>
        <v/>
      </c>
      <c r="D26" s="19" t="n">
        <v>1067</v>
      </c>
      <c r="E26" s="18" t="n">
        <v>33.68870583</v>
      </c>
      <c r="F26" s="20" t="n">
        <v>1.391764</v>
      </c>
      <c r="G26" s="18" t="n">
        <v>66.07532864</v>
      </c>
      <c r="H26" s="20" t="n">
        <v>1.3700174</v>
      </c>
      <c r="I26" s="18" t="n">
        <v>0</v>
      </c>
      <c r="J26" s="20" t="n">
        <v>0</v>
      </c>
      <c r="K26" s="18" t="n">
        <v>0</v>
      </c>
      <c r="L26" s="20" t="n">
        <v>0</v>
      </c>
      <c r="M26" s="18" t="n">
        <v>0</v>
      </c>
      <c r="N26" s="20" t="n">
        <v>0</v>
      </c>
      <c r="O26" s="18" t="n">
        <v>0</v>
      </c>
      <c r="P26" s="20" t="n">
        <v>0</v>
      </c>
      <c r="Q26" s="18" t="n">
        <v>0.23596553</v>
      </c>
      <c r="R26" s="20" t="n">
        <v>0.1553848</v>
      </c>
    </row>
    <row r="27" spans="1:18">
      <c r="A27" s="15" t="s">
        <v>585</v>
      </c>
      <c r="B27" s="17" t="n">
        <v>5299</v>
      </c>
      <c r="C27" s="18">
        <f>(4077.0/B27*100)</f>
        <v/>
      </c>
      <c r="D27" s="19" t="n">
        <v>1222</v>
      </c>
      <c r="E27" s="18" t="n">
        <v>39.74908439</v>
      </c>
      <c r="F27" s="20" t="n">
        <v>1.37047102</v>
      </c>
      <c r="G27" s="18" t="n">
        <v>58.91360087</v>
      </c>
      <c r="H27" s="20" t="n">
        <v>1.36395727</v>
      </c>
      <c r="I27" s="18" t="n">
        <v>0</v>
      </c>
      <c r="J27" s="20" t="n">
        <v>0</v>
      </c>
      <c r="K27" s="18" t="n">
        <v>0</v>
      </c>
      <c r="L27" s="20" t="n">
        <v>0</v>
      </c>
      <c r="M27" s="18" t="n">
        <v>0</v>
      </c>
      <c r="N27" s="20" t="n">
        <v>0</v>
      </c>
      <c r="O27" s="18" t="n">
        <v>0</v>
      </c>
      <c r="P27" s="20" t="n">
        <v>0</v>
      </c>
      <c r="Q27" s="18" t="n">
        <v>1.33731473</v>
      </c>
      <c r="R27" s="20" t="n">
        <v>0.35342558</v>
      </c>
    </row>
    <row r="28" spans="1:18">
      <c r="A28" s="15" t="s">
        <v>586</v>
      </c>
      <c r="B28" s="17" t="n">
        <v>7568</v>
      </c>
      <c r="C28" s="18">
        <f>(5932.0/B28*100)</f>
        <v/>
      </c>
      <c r="D28" s="19" t="n">
        <v>1636</v>
      </c>
      <c r="E28" s="18" t="n">
        <v>59.21274672</v>
      </c>
      <c r="F28" s="20" t="n">
        <v>1.21762699</v>
      </c>
      <c r="G28" s="18" t="n">
        <v>39.83727005</v>
      </c>
      <c r="H28" s="20" t="n">
        <v>1.2038167</v>
      </c>
      <c r="I28" s="18" t="n">
        <v>0</v>
      </c>
      <c r="J28" s="20" t="n">
        <v>0</v>
      </c>
      <c r="K28" s="18" t="n">
        <v>0.37044538</v>
      </c>
      <c r="L28" s="20" t="n">
        <v>0.170538</v>
      </c>
      <c r="M28" s="18" t="n">
        <v>0</v>
      </c>
      <c r="N28" s="20" t="n">
        <v>0</v>
      </c>
      <c r="O28" s="18" t="n">
        <v>0</v>
      </c>
      <c r="P28" s="20" t="n">
        <v>0</v>
      </c>
      <c r="Q28" s="18" t="n">
        <v>0.57953785</v>
      </c>
      <c r="R28" s="20" t="n">
        <v>0.17881232</v>
      </c>
    </row>
    <row r="29" spans="1:18">
      <c r="A29" s="15" t="s">
        <v>587</v>
      </c>
      <c r="B29" s="17" t="n">
        <v>5385</v>
      </c>
      <c r="C29" s="18">
        <f>(4224.0/B29*100)</f>
        <v/>
      </c>
      <c r="D29" s="19" t="n">
        <v>1161</v>
      </c>
      <c r="E29" s="18" t="n">
        <v>27.46840949</v>
      </c>
      <c r="F29" s="20" t="n">
        <v>1.54259462</v>
      </c>
      <c r="G29" s="18" t="n">
        <v>72.03422183000001</v>
      </c>
      <c r="H29" s="20" t="n">
        <v>1.52283098</v>
      </c>
      <c r="I29" s="18" t="n">
        <v>0</v>
      </c>
      <c r="J29" s="20" t="n">
        <v>0</v>
      </c>
      <c r="K29" s="18" t="n">
        <v>0.13751929</v>
      </c>
      <c r="L29" s="20" t="n">
        <v>0.09358767</v>
      </c>
      <c r="M29" s="18" t="n">
        <v>0</v>
      </c>
      <c r="N29" s="20" t="n">
        <v>0</v>
      </c>
      <c r="O29" s="18" t="n">
        <v>0</v>
      </c>
      <c r="P29" s="20" t="n">
        <v>0</v>
      </c>
      <c r="Q29" s="18" t="n">
        <v>0.35984938</v>
      </c>
      <c r="R29" s="20" t="n">
        <v>0.16872164</v>
      </c>
    </row>
    <row r="30" spans="1:18">
      <c r="A30" s="15" t="s">
        <v>588</v>
      </c>
      <c r="B30" s="17" t="n">
        <v>4520</v>
      </c>
      <c r="C30" s="18">
        <f>(3543.0/B30*100)</f>
        <v/>
      </c>
      <c r="D30" s="19" t="n">
        <v>977</v>
      </c>
      <c r="E30" s="18" t="n">
        <v>28.65760589</v>
      </c>
      <c r="F30" s="20" t="n">
        <v>1.51747624</v>
      </c>
      <c r="G30" s="18" t="n">
        <v>69.81283252999999</v>
      </c>
      <c r="H30" s="20" t="n">
        <v>1.52305997</v>
      </c>
      <c r="I30" s="18" t="n">
        <v>0</v>
      </c>
      <c r="J30" s="20" t="n">
        <v>0</v>
      </c>
      <c r="K30" s="18" t="n">
        <v>0</v>
      </c>
      <c r="L30" s="20" t="n">
        <v>0</v>
      </c>
      <c r="M30" s="18" t="n">
        <v>0</v>
      </c>
      <c r="N30" s="20" t="n">
        <v>0</v>
      </c>
      <c r="O30" s="18" t="n">
        <v>0</v>
      </c>
      <c r="P30" s="20" t="n">
        <v>0</v>
      </c>
      <c r="Q30" s="18" t="n">
        <v>1.52956158</v>
      </c>
      <c r="R30" s="20" t="n">
        <v>0.42015449</v>
      </c>
    </row>
    <row r="31" spans="1:18">
      <c r="A31" s="15" t="s">
        <v>589</v>
      </c>
      <c r="B31" s="17" t="n">
        <v>5456</v>
      </c>
      <c r="C31" s="18">
        <f>(4268.0/B31*100)</f>
        <v/>
      </c>
      <c r="D31" s="19" t="n">
        <v>1188</v>
      </c>
      <c r="E31" s="18" t="n">
        <v>33.39086695</v>
      </c>
      <c r="F31" s="20" t="n">
        <v>1.50224413</v>
      </c>
      <c r="G31" s="18" t="n">
        <v>65.62268329</v>
      </c>
      <c r="H31" s="20" t="n">
        <v>1.53340443</v>
      </c>
      <c r="I31" s="18" t="n">
        <v>0</v>
      </c>
      <c r="J31" s="20" t="n">
        <v>0</v>
      </c>
      <c r="K31" s="18" t="n">
        <v>0.07809117</v>
      </c>
      <c r="L31" s="20" t="n">
        <v>0.07519413</v>
      </c>
      <c r="M31" s="18" t="n">
        <v>0</v>
      </c>
      <c r="N31" s="20" t="n">
        <v>0</v>
      </c>
      <c r="O31" s="18" t="n">
        <v>0</v>
      </c>
      <c r="P31" s="20" t="n">
        <v>0</v>
      </c>
      <c r="Q31" s="18" t="n">
        <v>0.9083586</v>
      </c>
      <c r="R31" s="20" t="n">
        <v>0.30211312</v>
      </c>
    </row>
    <row r="32" spans="1:18">
      <c r="A32" s="15" t="s">
        <v>590</v>
      </c>
      <c r="B32" s="17" t="n">
        <v>4478</v>
      </c>
      <c r="C32" s="18">
        <f>(3512.0/B32*100)</f>
        <v/>
      </c>
      <c r="D32" s="19" t="n">
        <v>966</v>
      </c>
      <c r="E32" s="18" t="n">
        <v>32.96337199</v>
      </c>
      <c r="F32" s="20" t="n">
        <v>1.86362158</v>
      </c>
      <c r="G32" s="18" t="n">
        <v>66.53500601</v>
      </c>
      <c r="H32" s="20" t="n">
        <v>1.83117869</v>
      </c>
      <c r="I32" s="18" t="n">
        <v>0</v>
      </c>
      <c r="J32" s="20" t="n">
        <v>0</v>
      </c>
      <c r="K32" s="18" t="n">
        <v>0.09214854</v>
      </c>
      <c r="L32" s="20" t="n">
        <v>0.09203217</v>
      </c>
      <c r="M32" s="18" t="n">
        <v>0</v>
      </c>
      <c r="N32" s="20" t="n">
        <v>0</v>
      </c>
      <c r="O32" s="18" t="n">
        <v>0</v>
      </c>
      <c r="P32" s="20" t="n">
        <v>0</v>
      </c>
      <c r="Q32" s="18" t="n">
        <v>0.40947346</v>
      </c>
      <c r="R32" s="20" t="n">
        <v>0.20797849</v>
      </c>
    </row>
    <row r="33" spans="1:18">
      <c r="A33" s="15" t="s">
        <v>591</v>
      </c>
      <c r="B33" s="17" t="n">
        <v>7325</v>
      </c>
      <c r="C33" s="18">
        <f>(5767.0/B33*100)</f>
        <v/>
      </c>
      <c r="D33" s="19" t="n">
        <v>1558</v>
      </c>
      <c r="E33" s="18" t="n">
        <v>43.75154936</v>
      </c>
      <c r="F33" s="20" t="n">
        <v>1.4929786</v>
      </c>
      <c r="G33" s="18" t="n">
        <v>55.67839737</v>
      </c>
      <c r="H33" s="20" t="n">
        <v>1.43586073</v>
      </c>
      <c r="I33" s="18" t="n">
        <v>0</v>
      </c>
      <c r="J33" s="20" t="n">
        <v>0</v>
      </c>
      <c r="K33" s="18" t="n">
        <v>0.14459675</v>
      </c>
      <c r="L33" s="20" t="n">
        <v>0.13783494</v>
      </c>
      <c r="M33" s="18" t="n">
        <v>0</v>
      </c>
      <c r="N33" s="20" t="n">
        <v>0</v>
      </c>
      <c r="O33" s="18" t="n">
        <v>0</v>
      </c>
      <c r="P33" s="20" t="n">
        <v>0</v>
      </c>
      <c r="Q33" s="18" t="n">
        <v>0.42545652</v>
      </c>
      <c r="R33" s="20" t="n">
        <v>0.18939384</v>
      </c>
    </row>
    <row r="34" spans="1:18">
      <c r="A34" s="15" t="s">
        <v>592</v>
      </c>
      <c r="B34" s="17" t="n">
        <v>6350</v>
      </c>
      <c r="C34" s="18">
        <f>(4980.0/B34*100)</f>
        <v/>
      </c>
      <c r="D34" s="19" t="n">
        <v>1370</v>
      </c>
      <c r="E34" s="18" t="n">
        <v>39.47644584</v>
      </c>
      <c r="F34" s="20" t="n">
        <v>1.41625378</v>
      </c>
      <c r="G34" s="18" t="n">
        <v>59.76540504</v>
      </c>
      <c r="H34" s="20" t="n">
        <v>1.45363865</v>
      </c>
      <c r="I34" s="18" t="n">
        <v>0</v>
      </c>
      <c r="J34" s="20" t="n">
        <v>0</v>
      </c>
      <c r="K34" s="18" t="n">
        <v>0</v>
      </c>
      <c r="L34" s="20" t="n">
        <v>0</v>
      </c>
      <c r="M34" s="18" t="n">
        <v>0</v>
      </c>
      <c r="N34" s="20" t="n">
        <v>0</v>
      </c>
      <c r="O34" s="18" t="n">
        <v>0</v>
      </c>
      <c r="P34" s="20" t="n">
        <v>0</v>
      </c>
      <c r="Q34" s="18" t="n">
        <v>0.7581491299999999</v>
      </c>
      <c r="R34" s="20" t="n">
        <v>0.26104066</v>
      </c>
    </row>
    <row r="35" spans="1:18">
      <c r="A35" s="15" t="s">
        <v>593</v>
      </c>
      <c r="B35" s="17" t="n">
        <v>6406</v>
      </c>
      <c r="C35" s="18">
        <f>(4990.0/B35*100)</f>
        <v/>
      </c>
      <c r="D35" s="19" t="n">
        <v>1416</v>
      </c>
      <c r="E35" s="18" t="n">
        <v>36.50602912</v>
      </c>
      <c r="F35" s="20" t="n">
        <v>1.32186598</v>
      </c>
      <c r="G35" s="18" t="n">
        <v>62.68171743</v>
      </c>
      <c r="H35" s="20" t="n">
        <v>1.33159375</v>
      </c>
      <c r="I35" s="18" t="n">
        <v>0</v>
      </c>
      <c r="J35" s="20" t="n">
        <v>0</v>
      </c>
      <c r="K35" s="18" t="n">
        <v>0.06568937</v>
      </c>
      <c r="L35" s="20" t="n">
        <v>0.04749441</v>
      </c>
      <c r="M35" s="18" t="n">
        <v>0</v>
      </c>
      <c r="N35" s="20" t="n">
        <v>0</v>
      </c>
      <c r="O35" s="18" t="n">
        <v>0</v>
      </c>
      <c r="P35" s="20" t="n">
        <v>0</v>
      </c>
      <c r="Q35" s="18" t="n">
        <v>0.74656408</v>
      </c>
      <c r="R35" s="20" t="n">
        <v>0.22116759</v>
      </c>
    </row>
    <row r="36" spans="1:18">
      <c r="A36" s="15" t="s">
        <v>594</v>
      </c>
      <c r="B36" s="17" t="n">
        <v>6736</v>
      </c>
      <c r="C36" s="18">
        <f>(5209.0/B36*100)</f>
        <v/>
      </c>
      <c r="D36" s="19" t="n">
        <v>1527</v>
      </c>
      <c r="E36" s="18" t="n">
        <v>42.29763062</v>
      </c>
      <c r="F36" s="20" t="n">
        <v>1.41505712</v>
      </c>
      <c r="G36" s="18" t="n">
        <v>56.27954794</v>
      </c>
      <c r="H36" s="20" t="n">
        <v>1.3955837</v>
      </c>
      <c r="I36" s="18" t="n">
        <v>0</v>
      </c>
      <c r="J36" s="20" t="n">
        <v>0</v>
      </c>
      <c r="K36" s="18" t="n">
        <v>0.1539236</v>
      </c>
      <c r="L36" s="20" t="n">
        <v>0.13300382</v>
      </c>
      <c r="M36" s="18" t="n">
        <v>0</v>
      </c>
      <c r="N36" s="20" t="n">
        <v>0</v>
      </c>
      <c r="O36" s="18" t="n">
        <v>0</v>
      </c>
      <c r="P36" s="20" t="n">
        <v>0</v>
      </c>
      <c r="Q36" s="18" t="n">
        <v>1.26889784</v>
      </c>
      <c r="R36" s="20" t="n">
        <v>0.32301103</v>
      </c>
    </row>
    <row r="37" spans="1:18">
      <c r="A37" s="15" t="s">
        <v>595</v>
      </c>
      <c r="B37" s="17" t="n">
        <v>5458</v>
      </c>
      <c r="C37" s="18">
        <f>(4246.0/B37*100)</f>
        <v/>
      </c>
      <c r="D37" s="19" t="n">
        <v>1212</v>
      </c>
      <c r="E37" s="18" t="n">
        <v>34.42546858</v>
      </c>
      <c r="F37" s="20" t="n">
        <v>1.47925712</v>
      </c>
      <c r="G37" s="18" t="n">
        <v>62.88859444</v>
      </c>
      <c r="H37" s="20" t="n">
        <v>1.56560467</v>
      </c>
      <c r="I37" s="18" t="n">
        <v>0</v>
      </c>
      <c r="J37" s="20" t="n">
        <v>0</v>
      </c>
      <c r="K37" s="18" t="n">
        <v>0.40390724</v>
      </c>
      <c r="L37" s="20" t="n">
        <v>0.17902103</v>
      </c>
      <c r="M37" s="18" t="n">
        <v>0</v>
      </c>
      <c r="N37" s="20" t="n">
        <v>0</v>
      </c>
      <c r="O37" s="18" t="n">
        <v>0</v>
      </c>
      <c r="P37" s="20" t="n">
        <v>0</v>
      </c>
      <c r="Q37" s="18" t="n">
        <v>2.28202974</v>
      </c>
      <c r="R37" s="20" t="n">
        <v>0.47237965</v>
      </c>
    </row>
    <row r="38" spans="1:18">
      <c r="A38" s="15" t="s">
        <v>596</v>
      </c>
      <c r="B38" s="17" t="n">
        <v>5860</v>
      </c>
      <c r="C38" s="18">
        <f>(4544.0/B38*100)</f>
        <v/>
      </c>
      <c r="D38" s="19" t="n">
        <v>1316</v>
      </c>
      <c r="E38" s="18" t="n">
        <v>27.53196683</v>
      </c>
      <c r="F38" s="20" t="n">
        <v>1.43776818</v>
      </c>
      <c r="G38" s="18" t="n">
        <v>71.50508526</v>
      </c>
      <c r="H38" s="20" t="n">
        <v>1.45943655</v>
      </c>
      <c r="I38" s="18" t="n">
        <v>0</v>
      </c>
      <c r="J38" s="20" t="n">
        <v>0</v>
      </c>
      <c r="K38" s="18" t="n">
        <v>0.01479272</v>
      </c>
      <c r="L38" s="20" t="n">
        <v>0.01419486</v>
      </c>
      <c r="M38" s="18" t="n">
        <v>0</v>
      </c>
      <c r="N38" s="20" t="n">
        <v>0</v>
      </c>
      <c r="O38" s="18" t="n">
        <v>0</v>
      </c>
      <c r="P38" s="20" t="n">
        <v>0</v>
      </c>
      <c r="Q38" s="18" t="n">
        <v>0.94815519</v>
      </c>
      <c r="R38" s="20" t="n">
        <v>0.31873975</v>
      </c>
    </row>
    <row r="39" spans="1:18">
      <c r="A39" s="15" t="s">
        <v>597</v>
      </c>
      <c r="B39" s="17" t="n">
        <v>5895</v>
      </c>
      <c r="C39" s="18">
        <f>(4579.0/B39*100)</f>
        <v/>
      </c>
      <c r="D39" s="19" t="n">
        <v>1316</v>
      </c>
      <c r="E39" s="18" t="n">
        <v>70.83504884</v>
      </c>
      <c r="F39" s="20" t="n">
        <v>1.45995388</v>
      </c>
      <c r="G39" s="18" t="n">
        <v>27.86334466</v>
      </c>
      <c r="H39" s="20" t="n">
        <v>1.39300357</v>
      </c>
      <c r="I39" s="18" t="n">
        <v>0</v>
      </c>
      <c r="J39" s="20" t="n">
        <v>0</v>
      </c>
      <c r="K39" s="18" t="n">
        <v>0</v>
      </c>
      <c r="L39" s="20" t="n">
        <v>0</v>
      </c>
      <c r="M39" s="18" t="n">
        <v>0</v>
      </c>
      <c r="N39" s="20" t="n">
        <v>0</v>
      </c>
      <c r="O39" s="18" t="n">
        <v>0</v>
      </c>
      <c r="P39" s="20" t="n">
        <v>0</v>
      </c>
      <c r="Q39" s="18" t="n">
        <v>1.30160649</v>
      </c>
      <c r="R39" s="20" t="n">
        <v>0.38101621</v>
      </c>
    </row>
    <row r="40" spans="1:18">
      <c r="A40" s="15" t="s">
        <v>598</v>
      </c>
      <c r="B40" s="17" t="n">
        <v>14157</v>
      </c>
      <c r="C40" s="18">
        <f>(11141.0/B40*100)</f>
        <v/>
      </c>
      <c r="D40" s="19" t="n">
        <v>3016</v>
      </c>
      <c r="E40" s="18" t="n">
        <v>31.3196525</v>
      </c>
      <c r="F40" s="20" t="n">
        <v>1.46415534</v>
      </c>
      <c r="G40" s="18" t="n">
        <v>67.8937559</v>
      </c>
      <c r="H40" s="20" t="n">
        <v>1.46607403</v>
      </c>
      <c r="I40" s="18" t="n">
        <v>0</v>
      </c>
      <c r="J40" s="20" t="n">
        <v>0</v>
      </c>
      <c r="K40" s="18" t="n">
        <v>0.04119104</v>
      </c>
      <c r="L40" s="20" t="n">
        <v>0.02164379</v>
      </c>
      <c r="M40" s="18" t="n">
        <v>0</v>
      </c>
      <c r="N40" s="20" t="n">
        <v>0</v>
      </c>
      <c r="O40" s="18" t="n">
        <v>0</v>
      </c>
      <c r="P40" s="20" t="n">
        <v>0</v>
      </c>
      <c r="Q40" s="18" t="n">
        <v>0.74540056</v>
      </c>
      <c r="R40" s="20" t="n">
        <v>0.1415691</v>
      </c>
    </row>
    <row r="41" spans="1:18">
      <c r="A41" s="15" t="s">
        <v>599</v>
      </c>
      <c r="B41" s="17" t="n">
        <v>5712</v>
      </c>
      <c r="C41" s="18">
        <f>(4405.0/B41*100)</f>
        <v/>
      </c>
      <c r="D41" s="19" t="n">
        <v>1307</v>
      </c>
      <c r="E41" s="18" t="n">
        <v>35.71642651</v>
      </c>
      <c r="F41" s="20" t="n">
        <v>1.53767103</v>
      </c>
      <c r="G41" s="18" t="n">
        <v>63.4989644</v>
      </c>
      <c r="H41" s="20" t="n">
        <v>1.58482081</v>
      </c>
      <c r="I41" s="18" t="n">
        <v>0</v>
      </c>
      <c r="J41" s="20" t="n">
        <v>0</v>
      </c>
      <c r="K41" s="18" t="n">
        <v>0.09412435</v>
      </c>
      <c r="L41" s="20" t="n">
        <v>0.07982479000000001</v>
      </c>
      <c r="M41" s="18" t="n">
        <v>0</v>
      </c>
      <c r="N41" s="20" t="n">
        <v>0</v>
      </c>
      <c r="O41" s="18" t="n">
        <v>0</v>
      </c>
      <c r="P41" s="20" t="n">
        <v>0</v>
      </c>
      <c r="Q41" s="18" t="n">
        <v>0.69048474</v>
      </c>
      <c r="R41" s="20" t="n">
        <v>0.21693894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(18351.0/B46*100)</f>
        <v/>
      </c>
      <c r="D46" s="19" t="n">
        <v>4790</v>
      </c>
      <c r="E46" s="18" t="n">
        <v>53.77705142</v>
      </c>
      <c r="F46" s="20" t="n">
        <v>1.15152398</v>
      </c>
      <c r="G46" s="18" t="n">
        <v>44.02042235</v>
      </c>
      <c r="H46" s="20" t="n">
        <v>1.12799726</v>
      </c>
      <c r="I46" s="18" t="n">
        <v>0</v>
      </c>
      <c r="J46" s="20" t="n">
        <v>0</v>
      </c>
      <c r="K46" s="18" t="n">
        <v>0.194247</v>
      </c>
      <c r="L46" s="20" t="n">
        <v>0.07735279</v>
      </c>
      <c r="M46" s="18" t="n">
        <v>0</v>
      </c>
      <c r="N46" s="20" t="n">
        <v>0</v>
      </c>
      <c r="O46" s="18" t="n">
        <v>0</v>
      </c>
      <c r="P46" s="20" t="n">
        <v>0</v>
      </c>
      <c r="Q46" s="18" t="n">
        <v>2.00827923</v>
      </c>
      <c r="R46" s="20" t="n">
        <v>0.23557064</v>
      </c>
    </row>
    <row r="47" spans="1:18">
      <c r="A47" s="15" t="s">
        <v>606</v>
      </c>
      <c r="B47" s="17" t="n">
        <v>5928</v>
      </c>
      <c r="C47" s="18">
        <f>(4640.0/B47*100)</f>
        <v/>
      </c>
      <c r="D47" s="19" t="n">
        <v>1288</v>
      </c>
      <c r="E47" s="18" t="n">
        <v>43.08252221</v>
      </c>
      <c r="F47" s="20" t="n">
        <v>1.50090204</v>
      </c>
      <c r="G47" s="18" t="n">
        <v>55.28746066</v>
      </c>
      <c r="H47" s="20" t="n">
        <v>1.50825853</v>
      </c>
      <c r="I47" s="18" t="n">
        <v>0</v>
      </c>
      <c r="J47" s="20" t="n">
        <v>0</v>
      </c>
      <c r="K47" s="18" t="n">
        <v>0</v>
      </c>
      <c r="L47" s="20" t="n">
        <v>0</v>
      </c>
      <c r="M47" s="18" t="n">
        <v>0</v>
      </c>
      <c r="N47" s="20" t="n">
        <v>0</v>
      </c>
      <c r="O47" s="18" t="n">
        <v>0</v>
      </c>
      <c r="P47" s="20" t="n">
        <v>0</v>
      </c>
      <c r="Q47" s="18" t="n">
        <v>1.63001712</v>
      </c>
      <c r="R47" s="20" t="n">
        <v>0.38455239</v>
      </c>
    </row>
    <row r="48" spans="1:18">
      <c r="A48" s="15" t="s">
        <v>607</v>
      </c>
      <c r="B48" s="17" t="n">
        <v>9841</v>
      </c>
      <c r="C48" s="18">
        <f>(7661.0/B48*100)</f>
        <v/>
      </c>
      <c r="D48" s="19" t="n">
        <v>2180</v>
      </c>
      <c r="E48" s="18" t="n">
        <v>30.19741633</v>
      </c>
      <c r="F48" s="20" t="n">
        <v>1.29577993</v>
      </c>
      <c r="G48" s="18" t="n">
        <v>68.51685965</v>
      </c>
      <c r="H48" s="20" t="n">
        <v>1.37037417</v>
      </c>
      <c r="I48" s="18" t="n">
        <v>0</v>
      </c>
      <c r="J48" s="20" t="n">
        <v>0</v>
      </c>
      <c r="K48" s="18" t="n">
        <v>0.26366196</v>
      </c>
      <c r="L48" s="20" t="n">
        <v>0.13782042</v>
      </c>
      <c r="M48" s="18" t="n">
        <v>0</v>
      </c>
      <c r="N48" s="20" t="n">
        <v>0</v>
      </c>
      <c r="O48" s="18" t="n">
        <v>0</v>
      </c>
      <c r="P48" s="20" t="n">
        <v>0</v>
      </c>
      <c r="Q48" s="18" t="n">
        <v>1.02206206</v>
      </c>
      <c r="R48" s="20" t="n">
        <v>0.25702193</v>
      </c>
    </row>
    <row r="49" spans="1:18">
      <c r="A49" s="15" t="s">
        <v>608</v>
      </c>
      <c r="B49" s="17" t="n">
        <v>11795</v>
      </c>
      <c r="C49" s="18">
        <f>(9237.0/B49*100)</f>
        <v/>
      </c>
      <c r="D49" s="19" t="n">
        <v>2558</v>
      </c>
      <c r="E49" s="18" t="n">
        <v>69.26504459</v>
      </c>
      <c r="F49" s="20" t="n">
        <v>1.24309046</v>
      </c>
      <c r="G49" s="18" t="n">
        <v>28.97214117</v>
      </c>
      <c r="H49" s="20" t="n">
        <v>1.31327795</v>
      </c>
      <c r="I49" s="18" t="n">
        <v>0</v>
      </c>
      <c r="J49" s="20" t="n">
        <v>0</v>
      </c>
      <c r="K49" s="18" t="n">
        <v>0.61862044</v>
      </c>
      <c r="L49" s="20" t="n">
        <v>0.23501829</v>
      </c>
      <c r="M49" s="18" t="n">
        <v>0</v>
      </c>
      <c r="N49" s="20" t="n">
        <v>0</v>
      </c>
      <c r="O49" s="18" t="n">
        <v>0</v>
      </c>
      <c r="P49" s="20" t="n">
        <v>0</v>
      </c>
      <c r="Q49" s="18" t="n">
        <v>1.1441938</v>
      </c>
      <c r="R49" s="20" t="n">
        <v>0.30418284</v>
      </c>
    </row>
    <row r="50" spans="1:18">
      <c r="A50" s="15" t="s">
        <v>609</v>
      </c>
      <c r="B50" s="17" t="n">
        <v>6866</v>
      </c>
      <c r="C50" s="18">
        <f>(5486.0/B50*100)</f>
        <v/>
      </c>
      <c r="D50" s="19" t="n">
        <v>1380</v>
      </c>
      <c r="E50" s="18" t="n">
        <v>58.40554364</v>
      </c>
      <c r="F50" s="20" t="n">
        <v>1.26781603</v>
      </c>
      <c r="G50" s="18" t="n">
        <v>40.60317741</v>
      </c>
      <c r="H50" s="20" t="n">
        <v>1.3416741</v>
      </c>
      <c r="I50" s="18" t="n">
        <v>0</v>
      </c>
      <c r="J50" s="20" t="n">
        <v>0</v>
      </c>
      <c r="K50" s="18" t="n">
        <v>0.17584224</v>
      </c>
      <c r="L50" s="20" t="n">
        <v>0.11881577</v>
      </c>
      <c r="M50" s="18" t="n">
        <v>0</v>
      </c>
      <c r="N50" s="20" t="n">
        <v>0</v>
      </c>
      <c r="O50" s="18" t="n">
        <v>0</v>
      </c>
      <c r="P50" s="20" t="n">
        <v>0</v>
      </c>
      <c r="Q50" s="18" t="n">
        <v>0.81543671</v>
      </c>
      <c r="R50" s="20" t="n">
        <v>0.26807902</v>
      </c>
    </row>
    <row r="51" spans="1:18">
      <c r="A51" s="15" t="s">
        <v>610</v>
      </c>
      <c r="B51" s="17" t="n">
        <v>5809</v>
      </c>
      <c r="C51" s="18">
        <f>(4520.0/B51*100)</f>
        <v/>
      </c>
      <c r="D51" s="19" t="n">
        <v>1289</v>
      </c>
      <c r="E51" s="18" t="n">
        <v>41.64627948</v>
      </c>
      <c r="F51" s="20" t="n">
        <v>1.56816307</v>
      </c>
      <c r="G51" s="18" t="n">
        <v>57.12730748</v>
      </c>
      <c r="H51" s="20" t="n">
        <v>1.5791891</v>
      </c>
      <c r="I51" s="18" t="n">
        <v>0</v>
      </c>
      <c r="J51" s="20" t="n">
        <v>0</v>
      </c>
      <c r="K51" s="18" t="n">
        <v>0.07115431999999999</v>
      </c>
      <c r="L51" s="20" t="n">
        <v>0.07088411999999999</v>
      </c>
      <c r="M51" s="18" t="n">
        <v>0</v>
      </c>
      <c r="N51" s="20" t="n">
        <v>0</v>
      </c>
      <c r="O51" s="18" t="n">
        <v>0</v>
      </c>
      <c r="P51" s="20" t="n">
        <v>0</v>
      </c>
      <c r="Q51" s="18" t="n">
        <v>1.15525872</v>
      </c>
      <c r="R51" s="20" t="n">
        <v>0.2340802</v>
      </c>
    </row>
    <row r="52" spans="1:18">
      <c r="A52" s="15" t="s">
        <v>611</v>
      </c>
      <c r="B52" s="17" t="n">
        <v>5571</v>
      </c>
      <c r="C52" s="18">
        <f>(4321.0/B52*100)</f>
        <v/>
      </c>
      <c r="D52" s="19" t="n">
        <v>1250</v>
      </c>
      <c r="E52" s="18" t="n">
        <v>60.9828097</v>
      </c>
      <c r="F52" s="20" t="n">
        <v>1.51412141</v>
      </c>
      <c r="G52" s="18" t="n">
        <v>36.73776102</v>
      </c>
      <c r="H52" s="20" t="n">
        <v>1.50863239</v>
      </c>
      <c r="I52" s="18" t="n">
        <v>0</v>
      </c>
      <c r="J52" s="20" t="n">
        <v>0</v>
      </c>
      <c r="K52" s="18" t="n">
        <v>0.17486728</v>
      </c>
      <c r="L52" s="20" t="n">
        <v>0.10202992</v>
      </c>
      <c r="M52" s="18" t="n">
        <v>0</v>
      </c>
      <c r="N52" s="20" t="n">
        <v>0</v>
      </c>
      <c r="O52" s="18" t="n">
        <v>0</v>
      </c>
      <c r="P52" s="20" t="n">
        <v>0</v>
      </c>
      <c r="Q52" s="18" t="n">
        <v>2.104562</v>
      </c>
      <c r="R52" s="20" t="n">
        <v>0.3781121</v>
      </c>
    </row>
    <row r="53" spans="1:18">
      <c r="A53" s="15" t="s">
        <v>612</v>
      </c>
      <c r="B53" s="17" t="n">
        <v>4740</v>
      </c>
      <c r="C53" s="18">
        <f>(3701.0/B53*100)</f>
        <v/>
      </c>
      <c r="D53" s="19" t="n">
        <v>1039</v>
      </c>
      <c r="E53" s="18" t="n">
        <v>65.60249743</v>
      </c>
      <c r="F53" s="20" t="n">
        <v>1.3067854</v>
      </c>
      <c r="G53" s="18" t="n">
        <v>24.06668591</v>
      </c>
      <c r="H53" s="20" t="n">
        <v>1.33231542</v>
      </c>
      <c r="I53" s="18" t="n">
        <v>0</v>
      </c>
      <c r="J53" s="20" t="n">
        <v>0</v>
      </c>
      <c r="K53" s="18" t="n">
        <v>5.0859379</v>
      </c>
      <c r="L53" s="20" t="n">
        <v>0.71570515</v>
      </c>
      <c r="M53" s="18" t="n">
        <v>0</v>
      </c>
      <c r="N53" s="20" t="n">
        <v>0</v>
      </c>
      <c r="O53" s="18" t="n">
        <v>0</v>
      </c>
      <c r="P53" s="20" t="n">
        <v>0</v>
      </c>
      <c r="Q53" s="18" t="n">
        <v>5.24487876</v>
      </c>
      <c r="R53" s="20" t="n">
        <v>0.9289645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(4115.0/B55*100)</f>
        <v/>
      </c>
      <c r="D55" s="19" t="n">
        <v>1244</v>
      </c>
      <c r="E55" s="18" t="n">
        <v>26.55786619</v>
      </c>
      <c r="F55" s="20" t="n">
        <v>1.57043444</v>
      </c>
      <c r="G55" s="18" t="n">
        <v>72.65041047</v>
      </c>
      <c r="H55" s="20" t="n">
        <v>1.56943217</v>
      </c>
      <c r="I55" s="18" t="n">
        <v>0</v>
      </c>
      <c r="J55" s="20" t="n">
        <v>0</v>
      </c>
      <c r="K55" s="18" t="n">
        <v>0.15951779</v>
      </c>
      <c r="L55" s="20" t="n">
        <v>0.11342255</v>
      </c>
      <c r="M55" s="18" t="n">
        <v>0</v>
      </c>
      <c r="N55" s="20" t="n">
        <v>0</v>
      </c>
      <c r="O55" s="18" t="n">
        <v>0</v>
      </c>
      <c r="P55" s="20" t="n">
        <v>0</v>
      </c>
      <c r="Q55" s="18" t="n">
        <v>0.63220554</v>
      </c>
      <c r="R55" s="20" t="n">
        <v>0.23308084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(5054.0/B61*100)</f>
        <v/>
      </c>
      <c r="D61" s="19" t="n">
        <v>1471</v>
      </c>
      <c r="E61" s="18" t="n">
        <v>39.6203788</v>
      </c>
      <c r="F61" s="20" t="n">
        <v>1.56637779</v>
      </c>
      <c r="G61" s="18" t="n">
        <v>59.36003265</v>
      </c>
      <c r="H61" s="20" t="n">
        <v>1.60304747</v>
      </c>
      <c r="I61" s="18" t="n">
        <v>0</v>
      </c>
      <c r="J61" s="20" t="n">
        <v>0</v>
      </c>
      <c r="K61" s="18" t="n">
        <v>0.08466053</v>
      </c>
      <c r="L61" s="20" t="n">
        <v>0.08286950999999999</v>
      </c>
      <c r="M61" s="18" t="n">
        <v>0</v>
      </c>
      <c r="N61" s="20" t="n">
        <v>0</v>
      </c>
      <c r="O61" s="18" t="n">
        <v>0</v>
      </c>
      <c r="P61" s="20" t="n">
        <v>0</v>
      </c>
      <c r="Q61" s="18" t="n">
        <v>0.93492802</v>
      </c>
      <c r="R61" s="20" t="n">
        <v>0.29515795</v>
      </c>
    </row>
    <row r="62" spans="1:18">
      <c r="A62" s="15" t="s">
        <v>622</v>
      </c>
      <c r="B62" s="17" t="n">
        <v>4476</v>
      </c>
      <c r="C62" s="18">
        <f>(3465.0/B62*100)</f>
        <v/>
      </c>
      <c r="D62" s="19" t="n">
        <v>1011</v>
      </c>
      <c r="E62" s="18" t="n">
        <v>27.25582917</v>
      </c>
      <c r="F62" s="20" t="n">
        <v>1.23861089</v>
      </c>
      <c r="G62" s="18" t="n">
        <v>72.44967927</v>
      </c>
      <c r="H62" s="20" t="n">
        <v>1.2750566</v>
      </c>
      <c r="I62" s="18" t="n">
        <v>0</v>
      </c>
      <c r="J62" s="20" t="n">
        <v>0</v>
      </c>
      <c r="K62" s="18" t="n">
        <v>0</v>
      </c>
      <c r="L62" s="20" t="n">
        <v>0</v>
      </c>
      <c r="M62" s="18" t="n">
        <v>0</v>
      </c>
      <c r="N62" s="20" t="n">
        <v>0</v>
      </c>
      <c r="O62" s="18" t="n">
        <v>0</v>
      </c>
      <c r="P62" s="20" t="n">
        <v>0</v>
      </c>
      <c r="Q62" s="18" t="n">
        <v>0.29449156</v>
      </c>
      <c r="R62" s="20" t="n">
        <v>0.16889058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(4408.0/B67*100)</f>
        <v/>
      </c>
      <c r="D67" s="19" t="n">
        <v>1257</v>
      </c>
      <c r="E67" s="18" t="n">
        <v>45.27165965</v>
      </c>
      <c r="F67" s="20" t="n">
        <v>1.46797952</v>
      </c>
      <c r="G67" s="18" t="n">
        <v>51.90167828</v>
      </c>
      <c r="H67" s="20" t="n">
        <v>1.41667005</v>
      </c>
      <c r="I67" s="18" t="n">
        <v>0</v>
      </c>
      <c r="J67" s="20" t="n">
        <v>0</v>
      </c>
      <c r="K67" s="18" t="n">
        <v>0.10733303</v>
      </c>
      <c r="L67" s="20" t="n">
        <v>0.1070071</v>
      </c>
      <c r="M67" s="18" t="n">
        <v>0</v>
      </c>
      <c r="N67" s="20" t="n">
        <v>0</v>
      </c>
      <c r="O67" s="18" t="n">
        <v>0</v>
      </c>
      <c r="P67" s="20" t="n">
        <v>0</v>
      </c>
      <c r="Q67" s="18" t="n">
        <v>2.71932905</v>
      </c>
      <c r="R67" s="20" t="n">
        <v>0.44930843</v>
      </c>
    </row>
    <row r="68" spans="1:18">
      <c r="A68" s="15" t="s">
        <v>628</v>
      </c>
      <c r="B68" s="17" t="n">
        <v>6971</v>
      </c>
      <c r="C68" s="18">
        <f>(5495.0/B68*100)</f>
        <v/>
      </c>
      <c r="D68" s="19" t="n">
        <v>1476</v>
      </c>
      <c r="E68" s="18" t="n">
        <v>71.08043564</v>
      </c>
      <c r="F68" s="20" t="n">
        <v>1.18455472</v>
      </c>
      <c r="G68" s="18" t="n">
        <v>26.7840646</v>
      </c>
      <c r="H68" s="20" t="n">
        <v>1.17934269</v>
      </c>
      <c r="I68" s="18" t="n">
        <v>0</v>
      </c>
      <c r="J68" s="20" t="n">
        <v>0</v>
      </c>
      <c r="K68" s="18" t="n">
        <v>0.06333167000000001</v>
      </c>
      <c r="L68" s="20" t="n">
        <v>0.0616694</v>
      </c>
      <c r="M68" s="18" t="n">
        <v>0</v>
      </c>
      <c r="N68" s="20" t="n">
        <v>0</v>
      </c>
      <c r="O68" s="18" t="n">
        <v>0</v>
      </c>
      <c r="P68" s="20" t="n">
        <v>0</v>
      </c>
      <c r="Q68" s="18" t="n">
        <v>2.07216808</v>
      </c>
      <c r="R68" s="20" t="n">
        <v>0.39589027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(9370.0/B70*100)</f>
        <v/>
      </c>
      <c r="D70" s="19" t="n">
        <v>2713</v>
      </c>
      <c r="E70" s="18" t="n">
        <v>63.98132025</v>
      </c>
      <c r="F70" s="20" t="n">
        <v>0.87563303</v>
      </c>
      <c r="G70" s="18" t="n">
        <v>32.19044626</v>
      </c>
      <c r="H70" s="20" t="n">
        <v>0.8532156400000001</v>
      </c>
      <c r="I70" s="18" t="n">
        <v>0</v>
      </c>
      <c r="J70" s="20" t="n">
        <v>0</v>
      </c>
      <c r="K70" s="18" t="n">
        <v>0.62470435</v>
      </c>
      <c r="L70" s="20" t="n">
        <v>0.16692386</v>
      </c>
      <c r="M70" s="18" t="n">
        <v>0</v>
      </c>
      <c r="N70" s="20" t="n">
        <v>0</v>
      </c>
      <c r="O70" s="18" t="n">
        <v>0</v>
      </c>
      <c r="P70" s="20" t="n">
        <v>0</v>
      </c>
      <c r="Q70" s="18" t="n">
        <v>3.20352915</v>
      </c>
      <c r="R70" s="20" t="n">
        <v>0.38352921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(4776.0/B72*100)</f>
        <v/>
      </c>
      <c r="D72" s="19" t="n">
        <v>1260</v>
      </c>
      <c r="E72" s="18" t="n">
        <v>34.76661587</v>
      </c>
      <c r="F72" s="20" t="n">
        <v>1.72365608</v>
      </c>
      <c r="G72" s="18" t="n">
        <v>64.63843592000001</v>
      </c>
      <c r="H72" s="20" t="n">
        <v>1.70745287</v>
      </c>
      <c r="I72" s="18" t="n">
        <v>0</v>
      </c>
      <c r="J72" s="20" t="n">
        <v>0</v>
      </c>
      <c r="K72" s="18" t="n">
        <v>0</v>
      </c>
      <c r="L72" s="20" t="n">
        <v>0</v>
      </c>
      <c r="M72" s="18" t="n">
        <v>0</v>
      </c>
      <c r="N72" s="20" t="n">
        <v>0</v>
      </c>
      <c r="O72" s="18" t="n">
        <v>0</v>
      </c>
      <c r="P72" s="20" t="n">
        <v>0</v>
      </c>
      <c r="Q72" s="18" t="n">
        <v>0.5949482</v>
      </c>
      <c r="R72" s="20" t="n">
        <v>0.26059171</v>
      </c>
    </row>
    <row r="73" spans="1:18">
      <c r="A73" s="15" t="s">
        <v>633</v>
      </c>
      <c r="B73" s="17" t="n">
        <v>6115</v>
      </c>
      <c r="C73" s="18">
        <f>(4776.0/B73*100)</f>
        <v/>
      </c>
      <c r="D73" s="19" t="n">
        <v>1339</v>
      </c>
      <c r="E73" s="18" t="n">
        <v>30.09476689</v>
      </c>
      <c r="F73" s="20" t="n">
        <v>1.19441837</v>
      </c>
      <c r="G73" s="18" t="n">
        <v>69.39103609</v>
      </c>
      <c r="H73" s="20" t="n">
        <v>1.19504724</v>
      </c>
      <c r="I73" s="18" t="n">
        <v>0</v>
      </c>
      <c r="J73" s="20" t="n">
        <v>0</v>
      </c>
      <c r="K73" s="18" t="n">
        <v>0.16000116</v>
      </c>
      <c r="L73" s="20" t="n">
        <v>0.11308533</v>
      </c>
      <c r="M73" s="18" t="n">
        <v>0</v>
      </c>
      <c r="N73" s="20" t="n">
        <v>0</v>
      </c>
      <c r="O73" s="18" t="n">
        <v>0</v>
      </c>
      <c r="P73" s="20" t="n">
        <v>0</v>
      </c>
      <c r="Q73" s="18" t="n">
        <v>0.35419587</v>
      </c>
      <c r="R73" s="20" t="n">
        <v>0.17675184</v>
      </c>
    </row>
    <row r="74" spans="1:18">
      <c r="A74" s="15" t="s">
        <v>634</v>
      </c>
      <c r="B74" s="17" t="n">
        <v>7708</v>
      </c>
      <c r="C74" s="18">
        <f>(5966.0/B74*100)</f>
        <v/>
      </c>
      <c r="D74" s="19" t="n">
        <v>1742</v>
      </c>
      <c r="E74" s="18" t="n">
        <v>35.58274709</v>
      </c>
      <c r="F74" s="20" t="n">
        <v>1.07878402</v>
      </c>
      <c r="G74" s="18" t="n">
        <v>64.07641249</v>
      </c>
      <c r="H74" s="20" t="n">
        <v>1.07567127</v>
      </c>
      <c r="I74" s="18" t="n">
        <v>0</v>
      </c>
      <c r="J74" s="20" t="n">
        <v>0</v>
      </c>
      <c r="K74" s="18" t="n">
        <v>0</v>
      </c>
      <c r="L74" s="20" t="n">
        <v>0</v>
      </c>
      <c r="M74" s="18" t="n">
        <v>0</v>
      </c>
      <c r="N74" s="20" t="n">
        <v>0</v>
      </c>
      <c r="O74" s="18" t="n">
        <v>0</v>
      </c>
      <c r="P74" s="20" t="n">
        <v>0</v>
      </c>
      <c r="Q74" s="18" t="n">
        <v>0.34084043</v>
      </c>
      <c r="R74" s="20" t="n">
        <v>0.12383813</v>
      </c>
    </row>
    <row r="75" spans="1:18">
      <c r="A75" s="15" t="s">
        <v>635</v>
      </c>
      <c r="B75" s="17" t="n">
        <v>8249</v>
      </c>
      <c r="C75" s="18">
        <f>(6460.0/B75*100)</f>
        <v/>
      </c>
      <c r="D75" s="19" t="n">
        <v>1789</v>
      </c>
      <c r="E75" s="18" t="n">
        <v>60.48935797</v>
      </c>
      <c r="F75" s="20" t="n">
        <v>1.31963051</v>
      </c>
      <c r="G75" s="18" t="n">
        <v>38.86148409</v>
      </c>
      <c r="H75" s="20" t="n">
        <v>1.33196147</v>
      </c>
      <c r="I75" s="18" t="n">
        <v>0</v>
      </c>
      <c r="J75" s="20" t="n">
        <v>0</v>
      </c>
      <c r="K75" s="18" t="n">
        <v>0</v>
      </c>
      <c r="L75" s="20" t="n">
        <v>0</v>
      </c>
      <c r="M75" s="18" t="n">
        <v>0</v>
      </c>
      <c r="N75" s="20" t="n">
        <v>0</v>
      </c>
      <c r="O75" s="18" t="n">
        <v>0</v>
      </c>
      <c r="P75" s="20" t="n">
        <v>0</v>
      </c>
      <c r="Q75" s="18" t="n">
        <v>0.64915794</v>
      </c>
      <c r="R75" s="20" t="n">
        <v>0.18903077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(4297.0/B77*100)</f>
        <v/>
      </c>
      <c r="D77" s="19" t="n">
        <v>1078</v>
      </c>
      <c r="E77" s="18" t="n">
        <v>69.14210198000001</v>
      </c>
      <c r="F77" s="20" t="n">
        <v>1.31670899</v>
      </c>
      <c r="G77" s="18" t="n">
        <v>26.93388901</v>
      </c>
      <c r="H77" s="20" t="n">
        <v>1.46146302</v>
      </c>
      <c r="I77" s="18" t="n">
        <v>0</v>
      </c>
      <c r="J77" s="20" t="n">
        <v>0</v>
      </c>
      <c r="K77" s="18" t="n">
        <v>0.85262788</v>
      </c>
      <c r="L77" s="20" t="n">
        <v>0.33227078</v>
      </c>
      <c r="M77" s="18" t="n">
        <v>0</v>
      </c>
      <c r="N77" s="20" t="n">
        <v>0</v>
      </c>
      <c r="O77" s="18" t="n">
        <v>0</v>
      </c>
      <c r="P77" s="20" t="n">
        <v>0</v>
      </c>
      <c r="Q77" s="18" t="n">
        <v>3.07138113</v>
      </c>
      <c r="R77" s="20" t="n">
        <v>0.60800202</v>
      </c>
    </row>
    <row r="78" spans="1:18">
      <c r="A78" s="15" t="s">
        <v>638</v>
      </c>
      <c r="B78" s="17" t="n">
        <v>14167</v>
      </c>
      <c r="C78" s="18">
        <f>(11100.0/B78*100)</f>
        <v/>
      </c>
      <c r="D78" s="19" t="n">
        <v>3067</v>
      </c>
      <c r="E78" s="18" t="n">
        <v>59.90805928</v>
      </c>
      <c r="F78" s="20" t="n">
        <v>1.07722953</v>
      </c>
      <c r="G78" s="18" t="n">
        <v>37.29299614</v>
      </c>
      <c r="H78" s="20" t="n">
        <v>1.14248718</v>
      </c>
      <c r="I78" s="18" t="n">
        <v>0</v>
      </c>
      <c r="J78" s="20" t="n">
        <v>0</v>
      </c>
      <c r="K78" s="18" t="n">
        <v>0.5560662200000001</v>
      </c>
      <c r="L78" s="20" t="n">
        <v>0.16447256</v>
      </c>
      <c r="M78" s="18" t="n">
        <v>0</v>
      </c>
      <c r="N78" s="20" t="n">
        <v>0</v>
      </c>
      <c r="O78" s="18" t="n">
        <v>0</v>
      </c>
      <c r="P78" s="20" t="n">
        <v>0</v>
      </c>
      <c r="Q78" s="18" t="n">
        <v>2.24287836</v>
      </c>
      <c r="R78" s="20" t="n">
        <v>0.55009483</v>
      </c>
    </row>
    <row r="79" spans="1:18">
      <c r="A79" s="15" t="s">
        <v>639</v>
      </c>
      <c r="B79" s="17" t="n">
        <v>6062</v>
      </c>
      <c r="C79" s="18">
        <f>(4725.0/B79*100)</f>
        <v/>
      </c>
      <c r="D79" s="19" t="n">
        <v>1337</v>
      </c>
      <c r="E79" s="18" t="n">
        <v>59.9617421</v>
      </c>
      <c r="F79" s="20" t="n">
        <v>1.24782427</v>
      </c>
      <c r="G79" s="18" t="n">
        <v>36.6054052</v>
      </c>
      <c r="H79" s="20" t="n">
        <v>1.32572246</v>
      </c>
      <c r="I79" s="18" t="n">
        <v>0</v>
      </c>
      <c r="J79" s="20" t="n">
        <v>0</v>
      </c>
      <c r="K79" s="18" t="n">
        <v>0.39998559</v>
      </c>
      <c r="L79" s="20" t="n">
        <v>0.21702677</v>
      </c>
      <c r="M79" s="18" t="n">
        <v>0</v>
      </c>
      <c r="N79" s="20" t="n">
        <v>0</v>
      </c>
      <c r="O79" s="18" t="n">
        <v>0</v>
      </c>
      <c r="P79" s="20" t="n">
        <v>0</v>
      </c>
      <c r="Q79" s="18" t="n">
        <v>3.03286711</v>
      </c>
      <c r="R79" s="20" t="n">
        <v>0.47741928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(25130.0/B82*100)</f>
        <v/>
      </c>
      <c r="D82" s="19" t="n">
        <v>7200</v>
      </c>
      <c r="E82" s="18" t="n">
        <v>43.10204634</v>
      </c>
      <c r="F82" s="20" t="n">
        <v>0.77960156</v>
      </c>
      <c r="G82" s="18" t="n">
        <v>55.96802918</v>
      </c>
      <c r="H82" s="20" t="n">
        <v>0.7736492</v>
      </c>
      <c r="I82" s="18" t="n">
        <v>0</v>
      </c>
      <c r="J82" s="20" t="n">
        <v>0</v>
      </c>
      <c r="K82" s="18" t="n">
        <v>0.05416052</v>
      </c>
      <c r="L82" s="20" t="n">
        <v>0.04944871</v>
      </c>
      <c r="M82" s="18" t="n">
        <v>0</v>
      </c>
      <c r="N82" s="20" t="n">
        <v>0</v>
      </c>
      <c r="O82" s="18" t="n">
        <v>0</v>
      </c>
      <c r="P82" s="20" t="n">
        <v>0</v>
      </c>
      <c r="Q82" s="18" t="n">
        <v>0.8757639699999999</v>
      </c>
      <c r="R82" s="20" t="n">
        <v>0.16765869</v>
      </c>
    </row>
    <row r="83" spans="1:18">
      <c r="A83" s="15" t="s">
        <v>643</v>
      </c>
      <c r="B83" s="17" t="n">
        <v>1652</v>
      </c>
      <c r="C83" s="18">
        <f>(1287.0/B83*100)</f>
        <v/>
      </c>
      <c r="D83" s="19" t="n">
        <v>365</v>
      </c>
      <c r="E83" s="18" t="n">
        <v>23.9169207</v>
      </c>
      <c r="F83" s="20" t="n">
        <v>1.74008881</v>
      </c>
      <c r="G83" s="18" t="n">
        <v>75.80284262000001</v>
      </c>
      <c r="H83" s="20" t="n">
        <v>1.69582371</v>
      </c>
      <c r="I83" s="18" t="n">
        <v>0</v>
      </c>
      <c r="J83" s="20" t="n">
        <v>0</v>
      </c>
      <c r="K83" s="18" t="n">
        <v>0</v>
      </c>
      <c r="L83" s="20" t="n">
        <v>0</v>
      </c>
      <c r="M83" s="18" t="n">
        <v>0</v>
      </c>
      <c r="N83" s="20" t="n">
        <v>0</v>
      </c>
      <c r="O83" s="18" t="n">
        <v>0</v>
      </c>
      <c r="P83" s="20" t="n">
        <v>0</v>
      </c>
      <c r="Q83" s="18" t="n">
        <v>0.28023668</v>
      </c>
      <c r="R83" s="20" t="n">
        <v>0.27560083</v>
      </c>
    </row>
    <row r="84" spans="1:18">
      <c r="A84" s="23" t="s">
        <v>644</v>
      </c>
      <c r="B84" s="24" t="n">
        <v>1887</v>
      </c>
      <c r="C84" s="25">
        <f>(1491.0/B84*100)</f>
        <v/>
      </c>
      <c r="D84" s="19" t="n">
        <v>396</v>
      </c>
      <c r="E84" s="18" t="n">
        <v>29.49557048</v>
      </c>
      <c r="F84" s="20" t="n">
        <v>2.41411684</v>
      </c>
      <c r="G84" s="18" t="n">
        <v>69.98946556</v>
      </c>
      <c r="H84" s="20" t="n">
        <v>2.47297749</v>
      </c>
      <c r="I84" s="18" t="n">
        <v>0</v>
      </c>
      <c r="J84" s="20" t="n">
        <v>0</v>
      </c>
      <c r="K84" s="18" t="n">
        <v>0</v>
      </c>
      <c r="L84" s="20" t="n">
        <v>0</v>
      </c>
      <c r="M84" s="18" t="n">
        <v>0</v>
      </c>
      <c r="N84" s="20" t="n">
        <v>0</v>
      </c>
      <c r="O84" s="18" t="n">
        <v>0</v>
      </c>
      <c r="P84" s="20" t="n">
        <v>0</v>
      </c>
      <c r="Q84" s="18" t="n">
        <v>0.51496396</v>
      </c>
      <c r="R84" s="20" t="n">
        <v>0.35555306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(11289.0/B7*100)</f>
        <v/>
      </c>
      <c r="D7" s="19" t="n">
        <v>3241</v>
      </c>
      <c r="E7" s="18" t="n">
        <v>40.47558114</v>
      </c>
      <c r="F7" s="20" t="n">
        <v>1.00063583</v>
      </c>
      <c r="G7" s="18" t="n">
        <v>58.54337815</v>
      </c>
      <c r="H7" s="20" t="n">
        <v>1.00672269</v>
      </c>
      <c r="I7" s="18" t="n">
        <v>0</v>
      </c>
      <c r="J7" s="20" t="n">
        <v>0</v>
      </c>
      <c r="K7" s="18" t="n">
        <v>0.01792305</v>
      </c>
      <c r="L7" s="20" t="n">
        <v>0.01584491</v>
      </c>
      <c r="M7" s="18" t="n">
        <v>0</v>
      </c>
      <c r="N7" s="20" t="n">
        <v>0</v>
      </c>
      <c r="O7" s="18" t="n">
        <v>0</v>
      </c>
      <c r="P7" s="20" t="n">
        <v>0</v>
      </c>
      <c r="Q7" s="18" t="n">
        <v>0.96311766</v>
      </c>
      <c r="R7" s="20" t="n">
        <v>0.20092787</v>
      </c>
    </row>
    <row r="8" spans="1:18">
      <c r="A8" s="15" t="s">
        <v>566</v>
      </c>
      <c r="B8" s="17" t="n">
        <v>7007</v>
      </c>
      <c r="C8" s="18">
        <f>(5494.0/B8*100)</f>
        <v/>
      </c>
      <c r="D8" s="19" t="n">
        <v>1513</v>
      </c>
      <c r="E8" s="18" t="n">
        <v>40.98259303</v>
      </c>
      <c r="F8" s="20" t="n">
        <v>1.31961701</v>
      </c>
      <c r="G8" s="18" t="n">
        <v>58.0379038</v>
      </c>
      <c r="H8" s="20" t="n">
        <v>1.32572711</v>
      </c>
      <c r="I8" s="18" t="n">
        <v>0</v>
      </c>
      <c r="J8" s="20" t="n">
        <v>0</v>
      </c>
      <c r="K8" s="18" t="n">
        <v>0.07729447</v>
      </c>
      <c r="L8" s="20" t="n">
        <v>0.07523914</v>
      </c>
      <c r="M8" s="18" t="n">
        <v>0</v>
      </c>
      <c r="N8" s="20" t="n">
        <v>0</v>
      </c>
      <c r="O8" s="18" t="n">
        <v>0</v>
      </c>
      <c r="P8" s="20" t="n">
        <v>0</v>
      </c>
      <c r="Q8" s="18" t="n">
        <v>0.9022087</v>
      </c>
      <c r="R8" s="20" t="n">
        <v>0.27708441</v>
      </c>
    </row>
    <row r="9" spans="1:18">
      <c r="A9" s="15" t="s">
        <v>567</v>
      </c>
      <c r="B9" s="17" t="n">
        <v>9651</v>
      </c>
      <c r="C9" s="18">
        <f>(7561.0/B9*100)</f>
        <v/>
      </c>
      <c r="D9" s="19" t="n">
        <v>2090</v>
      </c>
      <c r="E9" s="18" t="n">
        <v>37.8156351</v>
      </c>
      <c r="F9" s="20" t="n">
        <v>1.13499358</v>
      </c>
      <c r="G9" s="18" t="n">
        <v>61.35207021</v>
      </c>
      <c r="H9" s="20" t="n">
        <v>1.16305787</v>
      </c>
      <c r="I9" s="18" t="n">
        <v>0</v>
      </c>
      <c r="J9" s="20" t="n">
        <v>0</v>
      </c>
      <c r="K9" s="18" t="n">
        <v>0.09686624000000001</v>
      </c>
      <c r="L9" s="20" t="n">
        <v>0.07036205</v>
      </c>
      <c r="M9" s="18" t="n">
        <v>0</v>
      </c>
      <c r="N9" s="20" t="n">
        <v>0</v>
      </c>
      <c r="O9" s="18" t="n">
        <v>0</v>
      </c>
      <c r="P9" s="20" t="n">
        <v>0</v>
      </c>
      <c r="Q9" s="18" t="n">
        <v>0.73542846</v>
      </c>
      <c r="R9" s="20" t="n">
        <v>0.22452526</v>
      </c>
    </row>
    <row r="10" spans="1:18">
      <c r="A10" s="15" t="s">
        <v>568</v>
      </c>
      <c r="B10" s="17" t="n">
        <v>20058</v>
      </c>
      <c r="C10" s="18">
        <f>(15620.0/B10*100)</f>
        <v/>
      </c>
      <c r="D10" s="19" t="n">
        <v>4438</v>
      </c>
      <c r="E10" s="18" t="n">
        <v>39.56702204</v>
      </c>
      <c r="F10" s="20" t="n">
        <v>1.09139615</v>
      </c>
      <c r="G10" s="18" t="n">
        <v>59.65368144</v>
      </c>
      <c r="H10" s="20" t="n">
        <v>1.09123628</v>
      </c>
      <c r="I10" s="18" t="n">
        <v>0</v>
      </c>
      <c r="J10" s="20" t="n">
        <v>0</v>
      </c>
      <c r="K10" s="18" t="n">
        <v>0.15817916</v>
      </c>
      <c r="L10" s="20" t="n">
        <v>0.08789759</v>
      </c>
      <c r="M10" s="18" t="n">
        <v>0</v>
      </c>
      <c r="N10" s="20" t="n">
        <v>0</v>
      </c>
      <c r="O10" s="18" t="n">
        <v>0</v>
      </c>
      <c r="P10" s="20" t="n">
        <v>0</v>
      </c>
      <c r="Q10" s="18" t="n">
        <v>0.62111735</v>
      </c>
      <c r="R10" s="20" t="n">
        <v>0.15973429</v>
      </c>
    </row>
    <row r="11" spans="1:18">
      <c r="A11" s="15" t="s">
        <v>569</v>
      </c>
      <c r="B11" s="17" t="n">
        <v>7053</v>
      </c>
      <c r="C11" s="18">
        <f>(5529.0/B11*100)</f>
        <v/>
      </c>
      <c r="D11" s="19" t="n">
        <v>1524</v>
      </c>
      <c r="E11" s="18" t="n">
        <v>53.83156926</v>
      </c>
      <c r="F11" s="20" t="n">
        <v>1.48265652</v>
      </c>
      <c r="G11" s="18" t="n">
        <v>44.63942123</v>
      </c>
      <c r="H11" s="20" t="n">
        <v>1.55028852</v>
      </c>
      <c r="I11" s="18" t="n">
        <v>0</v>
      </c>
      <c r="J11" s="20" t="n">
        <v>0</v>
      </c>
      <c r="K11" s="18" t="n">
        <v>0.42170652</v>
      </c>
      <c r="L11" s="20" t="n">
        <v>0.23133475</v>
      </c>
      <c r="M11" s="18" t="n">
        <v>0</v>
      </c>
      <c r="N11" s="20" t="n">
        <v>0</v>
      </c>
      <c r="O11" s="18" t="n">
        <v>0</v>
      </c>
      <c r="P11" s="20" t="n">
        <v>0</v>
      </c>
      <c r="Q11" s="18" t="n">
        <v>1.10730299</v>
      </c>
      <c r="R11" s="20" t="n">
        <v>0.2987262</v>
      </c>
    </row>
    <row r="12" spans="1:18">
      <c r="A12" s="15" t="s">
        <v>570</v>
      </c>
      <c r="B12" s="17" t="n">
        <v>6894</v>
      </c>
      <c r="C12" s="18">
        <f>(5365.0/B12*100)</f>
        <v/>
      </c>
      <c r="D12" s="19" t="n">
        <v>1529</v>
      </c>
      <c r="E12" s="18" t="n">
        <v>34.51135366</v>
      </c>
      <c r="F12" s="20" t="n">
        <v>1.69421425</v>
      </c>
      <c r="G12" s="18" t="n">
        <v>65.06172558</v>
      </c>
      <c r="H12" s="20" t="n">
        <v>1.71082223</v>
      </c>
      <c r="I12" s="18" t="n">
        <v>0</v>
      </c>
      <c r="J12" s="20" t="n">
        <v>0</v>
      </c>
      <c r="K12" s="18" t="n">
        <v>0.11938766</v>
      </c>
      <c r="L12" s="20" t="n">
        <v>0.08289451</v>
      </c>
      <c r="M12" s="18" t="n">
        <v>0</v>
      </c>
      <c r="N12" s="20" t="n">
        <v>0</v>
      </c>
      <c r="O12" s="18" t="n">
        <v>0</v>
      </c>
      <c r="P12" s="20" t="n">
        <v>0</v>
      </c>
      <c r="Q12" s="18" t="n">
        <v>0.3075331</v>
      </c>
      <c r="R12" s="20" t="n">
        <v>0.16147294</v>
      </c>
    </row>
    <row r="13" spans="1:18">
      <c r="A13" s="15" t="s">
        <v>571</v>
      </c>
      <c r="B13" s="17" t="n">
        <v>7161</v>
      </c>
      <c r="C13" s="18">
        <f>(5609.0/B13*100)</f>
        <v/>
      </c>
      <c r="D13" s="19" t="n">
        <v>1552</v>
      </c>
      <c r="E13" s="18" t="n">
        <v>35.66187851</v>
      </c>
      <c r="F13" s="20" t="n">
        <v>1.51556222</v>
      </c>
      <c r="G13" s="18" t="n">
        <v>63.48771039</v>
      </c>
      <c r="H13" s="20" t="n">
        <v>1.52934686</v>
      </c>
      <c r="I13" s="18" t="n">
        <v>0</v>
      </c>
      <c r="J13" s="20" t="n">
        <v>0</v>
      </c>
      <c r="K13" s="18" t="n">
        <v>0.0588076</v>
      </c>
      <c r="L13" s="20" t="n">
        <v>0.04422536</v>
      </c>
      <c r="M13" s="18" t="n">
        <v>0</v>
      </c>
      <c r="N13" s="20" t="n">
        <v>0</v>
      </c>
      <c r="O13" s="18" t="n">
        <v>0</v>
      </c>
      <c r="P13" s="20" t="n">
        <v>0</v>
      </c>
      <c r="Q13" s="18" t="n">
        <v>0.7916035</v>
      </c>
      <c r="R13" s="20" t="n">
        <v>0.24237697</v>
      </c>
    </row>
    <row r="14" spans="1:18">
      <c r="A14" s="15" t="s">
        <v>572</v>
      </c>
      <c r="B14" s="17" t="n">
        <v>5587</v>
      </c>
      <c r="C14" s="18">
        <f>(4397.0/B14*100)</f>
        <v/>
      </c>
      <c r="D14" s="19" t="n">
        <v>1190</v>
      </c>
      <c r="E14" s="18" t="n">
        <v>34.16438846</v>
      </c>
      <c r="F14" s="20" t="n">
        <v>1.41201726</v>
      </c>
      <c r="G14" s="18" t="n">
        <v>65.37511872</v>
      </c>
      <c r="H14" s="20" t="n">
        <v>1.39329924</v>
      </c>
      <c r="I14" s="18" t="n">
        <v>0</v>
      </c>
      <c r="J14" s="20" t="n">
        <v>0</v>
      </c>
      <c r="K14" s="18" t="n">
        <v>0.13084141</v>
      </c>
      <c r="L14" s="20" t="n">
        <v>0.09300466</v>
      </c>
      <c r="M14" s="18" t="n">
        <v>0</v>
      </c>
      <c r="N14" s="20" t="n">
        <v>0</v>
      </c>
      <c r="O14" s="18" t="n">
        <v>0</v>
      </c>
      <c r="P14" s="20" t="n">
        <v>0</v>
      </c>
      <c r="Q14" s="18" t="n">
        <v>0.32965142</v>
      </c>
      <c r="R14" s="20" t="n">
        <v>0.21713561</v>
      </c>
    </row>
    <row r="15" spans="1:18">
      <c r="A15" s="15" t="s">
        <v>573</v>
      </c>
      <c r="B15" s="17" t="n">
        <v>5882</v>
      </c>
      <c r="C15" s="18">
        <f>(4623.0/B15*100)</f>
        <v/>
      </c>
      <c r="D15" s="19" t="n">
        <v>1259</v>
      </c>
      <c r="E15" s="18" t="n">
        <v>33.12071134</v>
      </c>
      <c r="F15" s="20" t="n">
        <v>1.29306601</v>
      </c>
      <c r="G15" s="18" t="n">
        <v>66.56394505</v>
      </c>
      <c r="H15" s="20" t="n">
        <v>1.28365249</v>
      </c>
      <c r="I15" s="18" t="n">
        <v>0</v>
      </c>
      <c r="J15" s="20" t="n">
        <v>0</v>
      </c>
      <c r="K15" s="18" t="n">
        <v>0</v>
      </c>
      <c r="L15" s="20" t="n">
        <v>0</v>
      </c>
      <c r="M15" s="18" t="n">
        <v>0</v>
      </c>
      <c r="N15" s="20" t="n">
        <v>0</v>
      </c>
      <c r="O15" s="18" t="n">
        <v>0</v>
      </c>
      <c r="P15" s="20" t="n">
        <v>0</v>
      </c>
      <c r="Q15" s="18" t="n">
        <v>0.31534361</v>
      </c>
      <c r="R15" s="20" t="n">
        <v>0.16422002</v>
      </c>
    </row>
    <row r="16" spans="1:18">
      <c r="A16" s="15" t="s">
        <v>574</v>
      </c>
      <c r="B16" s="17" t="n">
        <v>6108</v>
      </c>
      <c r="C16" s="18">
        <f>(4798.0/B16*100)</f>
        <v/>
      </c>
      <c r="D16" s="19" t="n">
        <v>1310</v>
      </c>
      <c r="E16" s="18" t="n">
        <v>39.54740317</v>
      </c>
      <c r="F16" s="20" t="n">
        <v>1.25427185</v>
      </c>
      <c r="G16" s="18" t="n">
        <v>58.66154514</v>
      </c>
      <c r="H16" s="20" t="n">
        <v>1.2541045</v>
      </c>
      <c r="I16" s="18" t="n">
        <v>0</v>
      </c>
      <c r="J16" s="20" t="n">
        <v>0</v>
      </c>
      <c r="K16" s="18" t="n">
        <v>0.09526962</v>
      </c>
      <c r="L16" s="20" t="n">
        <v>0.07644996</v>
      </c>
      <c r="M16" s="18" t="n">
        <v>0</v>
      </c>
      <c r="N16" s="20" t="n">
        <v>0</v>
      </c>
      <c r="O16" s="18" t="n">
        <v>0</v>
      </c>
      <c r="P16" s="20" t="n">
        <v>0</v>
      </c>
      <c r="Q16" s="18" t="n">
        <v>1.69578206</v>
      </c>
      <c r="R16" s="20" t="n">
        <v>0.367745</v>
      </c>
    </row>
    <row r="17" spans="1:18">
      <c r="A17" s="15" t="s">
        <v>575</v>
      </c>
      <c r="B17" s="17" t="n">
        <v>6504</v>
      </c>
      <c r="C17" s="18">
        <f>(5049.0/B17*100)</f>
        <v/>
      </c>
      <c r="D17" s="19" t="n">
        <v>1455</v>
      </c>
      <c r="E17" s="18" t="n">
        <v>36.59219414</v>
      </c>
      <c r="F17" s="20" t="n">
        <v>1.42158263</v>
      </c>
      <c r="G17" s="18" t="n">
        <v>62.6669683</v>
      </c>
      <c r="H17" s="20" t="n">
        <v>1.39702042</v>
      </c>
      <c r="I17" s="18" t="n">
        <v>0</v>
      </c>
      <c r="J17" s="20" t="n">
        <v>0</v>
      </c>
      <c r="K17" s="18" t="n">
        <v>0.21269817</v>
      </c>
      <c r="L17" s="20" t="n">
        <v>0.10382191</v>
      </c>
      <c r="M17" s="18" t="n">
        <v>0</v>
      </c>
      <c r="N17" s="20" t="n">
        <v>0</v>
      </c>
      <c r="O17" s="18" t="n">
        <v>0</v>
      </c>
      <c r="P17" s="20" t="n">
        <v>0</v>
      </c>
      <c r="Q17" s="18" t="n">
        <v>0.52813939</v>
      </c>
      <c r="R17" s="20" t="n">
        <v>0.16228929</v>
      </c>
    </row>
    <row r="18" spans="1:18">
      <c r="A18" s="15" t="s">
        <v>576</v>
      </c>
      <c r="B18" s="17" t="n">
        <v>5532</v>
      </c>
      <c r="C18" s="18">
        <f>(4316.0/B18*100)</f>
        <v/>
      </c>
      <c r="D18" s="19" t="n">
        <v>1216</v>
      </c>
      <c r="E18" s="18" t="n">
        <v>57.24446106</v>
      </c>
      <c r="F18" s="20" t="n">
        <v>1.55874133</v>
      </c>
      <c r="G18" s="18" t="n">
        <v>41.00567913</v>
      </c>
      <c r="H18" s="20" t="n">
        <v>1.59923965</v>
      </c>
      <c r="I18" s="18" t="n">
        <v>0</v>
      </c>
      <c r="J18" s="20" t="n">
        <v>0</v>
      </c>
      <c r="K18" s="18" t="n">
        <v>0.07815834000000001</v>
      </c>
      <c r="L18" s="20" t="n">
        <v>0.07822887000000001</v>
      </c>
      <c r="M18" s="18" t="n">
        <v>0</v>
      </c>
      <c r="N18" s="20" t="n">
        <v>0</v>
      </c>
      <c r="O18" s="18" t="n">
        <v>0</v>
      </c>
      <c r="P18" s="20" t="n">
        <v>0</v>
      </c>
      <c r="Q18" s="18" t="n">
        <v>1.67170147</v>
      </c>
      <c r="R18" s="20" t="n">
        <v>0.41162807</v>
      </c>
    </row>
    <row r="19" spans="1:18">
      <c r="A19" s="15" t="s">
        <v>577</v>
      </c>
      <c r="B19" s="17" t="n">
        <v>5658</v>
      </c>
      <c r="C19" s="18">
        <f>(4395.0/B19*100)</f>
        <v/>
      </c>
      <c r="D19" s="19" t="n">
        <v>1263</v>
      </c>
      <c r="E19" s="18" t="n">
        <v>41.64650624</v>
      </c>
      <c r="F19" s="20" t="n">
        <v>1.51930537</v>
      </c>
      <c r="G19" s="18" t="n">
        <v>57.73527142</v>
      </c>
      <c r="H19" s="20" t="n">
        <v>1.53152108</v>
      </c>
      <c r="I19" s="18" t="n">
        <v>0</v>
      </c>
      <c r="J19" s="20" t="n">
        <v>0</v>
      </c>
      <c r="K19" s="18" t="n">
        <v>0.1295874</v>
      </c>
      <c r="L19" s="20" t="n">
        <v>0.07831322</v>
      </c>
      <c r="M19" s="18" t="n">
        <v>0</v>
      </c>
      <c r="N19" s="20" t="n">
        <v>0</v>
      </c>
      <c r="O19" s="18" t="n">
        <v>0</v>
      </c>
      <c r="P19" s="20" t="n">
        <v>0</v>
      </c>
      <c r="Q19" s="18" t="n">
        <v>0.48863493</v>
      </c>
      <c r="R19" s="20" t="n">
        <v>0.1808694</v>
      </c>
    </row>
    <row r="20" spans="1:18">
      <c r="A20" s="15" t="s">
        <v>578</v>
      </c>
      <c r="B20" s="17" t="n">
        <v>3371</v>
      </c>
      <c r="C20" s="18">
        <f>(2611.0/B20*100)</f>
        <v/>
      </c>
      <c r="D20" s="19" t="n">
        <v>760</v>
      </c>
      <c r="E20" s="18" t="n">
        <v>50.31367905</v>
      </c>
      <c r="F20" s="20" t="n">
        <v>1.85084331</v>
      </c>
      <c r="G20" s="18" t="n">
        <v>47.0823303</v>
      </c>
      <c r="H20" s="20" t="n">
        <v>1.79578758</v>
      </c>
      <c r="I20" s="18" t="n">
        <v>0</v>
      </c>
      <c r="J20" s="20" t="n">
        <v>0</v>
      </c>
      <c r="K20" s="18" t="n">
        <v>0</v>
      </c>
      <c r="L20" s="20" t="n">
        <v>0</v>
      </c>
      <c r="M20" s="18" t="n">
        <v>0</v>
      </c>
      <c r="N20" s="20" t="n">
        <v>0</v>
      </c>
      <c r="O20" s="18" t="n">
        <v>0</v>
      </c>
      <c r="P20" s="20" t="n">
        <v>0</v>
      </c>
      <c r="Q20" s="18" t="n">
        <v>2.60399065</v>
      </c>
      <c r="R20" s="20" t="n">
        <v>0.54054197</v>
      </c>
    </row>
    <row r="21" spans="1:18">
      <c r="A21" s="15" t="s">
        <v>579</v>
      </c>
      <c r="B21" s="17" t="n">
        <v>5741</v>
      </c>
      <c r="C21" s="18">
        <f>(4452.0/B21*100)</f>
        <v/>
      </c>
      <c r="D21" s="19" t="n">
        <v>1289</v>
      </c>
      <c r="E21" s="18" t="n">
        <v>58.15307444</v>
      </c>
      <c r="F21" s="20" t="n">
        <v>1.54496623</v>
      </c>
      <c r="G21" s="18" t="n">
        <v>41.53357167</v>
      </c>
      <c r="H21" s="20" t="n">
        <v>1.50651691</v>
      </c>
      <c r="I21" s="18" t="n">
        <v>0</v>
      </c>
      <c r="J21" s="20" t="n">
        <v>0</v>
      </c>
      <c r="K21" s="18" t="n">
        <v>0</v>
      </c>
      <c r="L21" s="20" t="n">
        <v>0</v>
      </c>
      <c r="M21" s="18" t="n">
        <v>0</v>
      </c>
      <c r="N21" s="20" t="n">
        <v>0</v>
      </c>
      <c r="O21" s="18" t="n">
        <v>0</v>
      </c>
      <c r="P21" s="20" t="n">
        <v>0</v>
      </c>
      <c r="Q21" s="18" t="n">
        <v>0.31335389</v>
      </c>
      <c r="R21" s="20" t="n">
        <v>0.16739575</v>
      </c>
    </row>
    <row r="22" spans="1:18">
      <c r="A22" s="15" t="s">
        <v>580</v>
      </c>
      <c r="B22" s="17" t="n">
        <v>6598</v>
      </c>
      <c r="C22" s="18">
        <f>(5116.0/B22*100)</f>
        <v/>
      </c>
      <c r="D22" s="19" t="n">
        <v>1482</v>
      </c>
      <c r="E22" s="18" t="n">
        <v>44.16069152</v>
      </c>
      <c r="F22" s="20" t="n">
        <v>1.64716276</v>
      </c>
      <c r="G22" s="18" t="n">
        <v>52.26272441</v>
      </c>
      <c r="H22" s="20" t="n">
        <v>1.67287372</v>
      </c>
      <c r="I22" s="18" t="n">
        <v>0</v>
      </c>
      <c r="J22" s="20" t="n">
        <v>0</v>
      </c>
      <c r="K22" s="18" t="n">
        <v>0.52418675</v>
      </c>
      <c r="L22" s="20" t="n">
        <v>0.20708686</v>
      </c>
      <c r="M22" s="18" t="n">
        <v>0</v>
      </c>
      <c r="N22" s="20" t="n">
        <v>0</v>
      </c>
      <c r="O22" s="18" t="n">
        <v>0</v>
      </c>
      <c r="P22" s="20" t="n">
        <v>0</v>
      </c>
      <c r="Q22" s="18" t="n">
        <v>3.05239732</v>
      </c>
      <c r="R22" s="20" t="n">
        <v>0.5642819</v>
      </c>
    </row>
    <row r="23" spans="1:18">
      <c r="A23" s="15" t="s">
        <v>581</v>
      </c>
      <c r="B23" s="17" t="n">
        <v>11583</v>
      </c>
      <c r="C23" s="18">
        <f>(8975.0/B23*100)</f>
        <v/>
      </c>
      <c r="D23" s="19" t="n">
        <v>2608</v>
      </c>
      <c r="E23" s="18" t="n">
        <v>48.02760815</v>
      </c>
      <c r="F23" s="20" t="n">
        <v>1.57451859</v>
      </c>
      <c r="G23" s="18" t="n">
        <v>51.58273479</v>
      </c>
      <c r="H23" s="20" t="n">
        <v>1.59021966</v>
      </c>
      <c r="I23" s="18" t="n">
        <v>0</v>
      </c>
      <c r="J23" s="20" t="n">
        <v>0</v>
      </c>
      <c r="K23" s="18" t="n">
        <v>0.0740647</v>
      </c>
      <c r="L23" s="20" t="n">
        <v>0.07325384</v>
      </c>
      <c r="M23" s="18" t="n">
        <v>0</v>
      </c>
      <c r="N23" s="20" t="n">
        <v>0</v>
      </c>
      <c r="O23" s="18" t="n">
        <v>0</v>
      </c>
      <c r="P23" s="20" t="n">
        <v>0</v>
      </c>
      <c r="Q23" s="18" t="n">
        <v>0.31559236</v>
      </c>
      <c r="R23" s="20" t="n">
        <v>0.1560601</v>
      </c>
    </row>
    <row r="24" spans="1:18">
      <c r="A24" s="15" t="s">
        <v>582</v>
      </c>
      <c r="B24" s="17" t="n">
        <v>6647</v>
      </c>
      <c r="C24" s="18">
        <f>(5142.0/B24*100)</f>
        <v/>
      </c>
      <c r="D24" s="19" t="n">
        <v>1505</v>
      </c>
      <c r="E24" s="18" t="n">
        <v>38.56578617</v>
      </c>
      <c r="F24" s="20" t="n">
        <v>1.49214506</v>
      </c>
      <c r="G24" s="18" t="n">
        <v>60.94157554</v>
      </c>
      <c r="H24" s="20" t="n">
        <v>1.51696446</v>
      </c>
      <c r="I24" s="18" t="n">
        <v>0</v>
      </c>
      <c r="J24" s="20" t="n">
        <v>0</v>
      </c>
      <c r="K24" s="18" t="n">
        <v>0</v>
      </c>
      <c r="L24" s="20" t="n">
        <v>0</v>
      </c>
      <c r="M24" s="18" t="n">
        <v>0</v>
      </c>
      <c r="N24" s="20" t="n">
        <v>0</v>
      </c>
      <c r="O24" s="18" t="n">
        <v>0</v>
      </c>
      <c r="P24" s="20" t="n">
        <v>0</v>
      </c>
      <c r="Q24" s="18" t="n">
        <v>0.49263829</v>
      </c>
      <c r="R24" s="20" t="n">
        <v>0.18592687</v>
      </c>
    </row>
    <row r="25" spans="1:18">
      <c r="A25" s="15" t="s">
        <v>583</v>
      </c>
      <c r="B25" s="17" t="n">
        <v>5581</v>
      </c>
      <c r="C25" s="18">
        <f>(4330.0/B25*100)</f>
        <v/>
      </c>
      <c r="D25" s="19" t="n">
        <v>1251</v>
      </c>
      <c r="E25" s="18" t="n">
        <v>41.73680059</v>
      </c>
      <c r="F25" s="20" t="n">
        <v>1.76041424</v>
      </c>
      <c r="G25" s="18" t="n">
        <v>57.35657164</v>
      </c>
      <c r="H25" s="20" t="n">
        <v>1.74442996</v>
      </c>
      <c r="I25" s="18" t="n">
        <v>0</v>
      </c>
      <c r="J25" s="20" t="n">
        <v>0</v>
      </c>
      <c r="K25" s="18" t="n">
        <v>0.15299868</v>
      </c>
      <c r="L25" s="20" t="n">
        <v>0.10767776</v>
      </c>
      <c r="M25" s="18" t="n">
        <v>0</v>
      </c>
      <c r="N25" s="20" t="n">
        <v>0</v>
      </c>
      <c r="O25" s="18" t="n">
        <v>0</v>
      </c>
      <c r="P25" s="20" t="n">
        <v>0</v>
      </c>
      <c r="Q25" s="18" t="n">
        <v>0.7536291000000001</v>
      </c>
      <c r="R25" s="20" t="n">
        <v>0.28449259</v>
      </c>
    </row>
    <row r="26" spans="1:18">
      <c r="A26" s="15" t="s">
        <v>584</v>
      </c>
      <c r="B26" s="17" t="n">
        <v>4869</v>
      </c>
      <c r="C26" s="18">
        <f>(3802.0/B26*100)</f>
        <v/>
      </c>
      <c r="D26" s="19" t="n">
        <v>1067</v>
      </c>
      <c r="E26" s="18" t="n">
        <v>38.0169755</v>
      </c>
      <c r="F26" s="20" t="n">
        <v>1.67153875</v>
      </c>
      <c r="G26" s="18" t="n">
        <v>61.9830245</v>
      </c>
      <c r="H26" s="20" t="n">
        <v>1.67153875</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(4079.0/B27*100)</f>
        <v/>
      </c>
      <c r="D27" s="19" t="n">
        <v>1220</v>
      </c>
      <c r="E27" s="18" t="n">
        <v>45.25856033</v>
      </c>
      <c r="F27" s="20" t="n">
        <v>1.5732707</v>
      </c>
      <c r="G27" s="18" t="n">
        <v>53.82264397</v>
      </c>
      <c r="H27" s="20" t="n">
        <v>1.58025771</v>
      </c>
      <c r="I27" s="18" t="n">
        <v>0</v>
      </c>
      <c r="J27" s="20" t="n">
        <v>0</v>
      </c>
      <c r="K27" s="18" t="n">
        <v>0</v>
      </c>
      <c r="L27" s="20" t="n">
        <v>0</v>
      </c>
      <c r="M27" s="18" t="n">
        <v>0</v>
      </c>
      <c r="N27" s="20" t="n">
        <v>0</v>
      </c>
      <c r="O27" s="18" t="n">
        <v>0</v>
      </c>
      <c r="P27" s="20" t="n">
        <v>0</v>
      </c>
      <c r="Q27" s="18" t="n">
        <v>0.9187957</v>
      </c>
      <c r="R27" s="20" t="n">
        <v>0.27423954</v>
      </c>
    </row>
    <row r="28" spans="1:18">
      <c r="A28" s="15" t="s">
        <v>586</v>
      </c>
      <c r="B28" s="17" t="n">
        <v>7568</v>
      </c>
      <c r="C28" s="18">
        <f>(5934.0/B28*100)</f>
        <v/>
      </c>
      <c r="D28" s="19" t="n">
        <v>1634</v>
      </c>
      <c r="E28" s="18" t="n">
        <v>60.62904607</v>
      </c>
      <c r="F28" s="20" t="n">
        <v>1.46574735</v>
      </c>
      <c r="G28" s="18" t="n">
        <v>38.51561036</v>
      </c>
      <c r="H28" s="20" t="n">
        <v>1.45702105</v>
      </c>
      <c r="I28" s="18" t="n">
        <v>0</v>
      </c>
      <c r="J28" s="20" t="n">
        <v>0</v>
      </c>
      <c r="K28" s="18" t="n">
        <v>0.37065267</v>
      </c>
      <c r="L28" s="20" t="n">
        <v>0.17064522</v>
      </c>
      <c r="M28" s="18" t="n">
        <v>0</v>
      </c>
      <c r="N28" s="20" t="n">
        <v>0</v>
      </c>
      <c r="O28" s="18" t="n">
        <v>0</v>
      </c>
      <c r="P28" s="20" t="n">
        <v>0</v>
      </c>
      <c r="Q28" s="18" t="n">
        <v>0.48469089</v>
      </c>
      <c r="R28" s="20" t="n">
        <v>0.18161424</v>
      </c>
    </row>
    <row r="29" spans="1:18">
      <c r="A29" s="15" t="s">
        <v>587</v>
      </c>
      <c r="B29" s="17" t="n">
        <v>5385</v>
      </c>
      <c r="C29" s="18">
        <f>(4225.0/B29*100)</f>
        <v/>
      </c>
      <c r="D29" s="19" t="n">
        <v>1160</v>
      </c>
      <c r="E29" s="18" t="n">
        <v>35.21175835</v>
      </c>
      <c r="F29" s="20" t="n">
        <v>1.46290475</v>
      </c>
      <c r="G29" s="18" t="n">
        <v>64.30351428</v>
      </c>
      <c r="H29" s="20" t="n">
        <v>1.46639952</v>
      </c>
      <c r="I29" s="18" t="n">
        <v>0</v>
      </c>
      <c r="J29" s="20" t="n">
        <v>0</v>
      </c>
      <c r="K29" s="18" t="n">
        <v>0.13760877</v>
      </c>
      <c r="L29" s="20" t="n">
        <v>0.09364740000000001</v>
      </c>
      <c r="M29" s="18" t="n">
        <v>0</v>
      </c>
      <c r="N29" s="20" t="n">
        <v>0</v>
      </c>
      <c r="O29" s="18" t="n">
        <v>0</v>
      </c>
      <c r="P29" s="20" t="n">
        <v>0</v>
      </c>
      <c r="Q29" s="18" t="n">
        <v>0.34711861</v>
      </c>
      <c r="R29" s="20" t="n">
        <v>0.16586599</v>
      </c>
    </row>
    <row r="30" spans="1:18">
      <c r="A30" s="15" t="s">
        <v>588</v>
      </c>
      <c r="B30" s="17" t="n">
        <v>4520</v>
      </c>
      <c r="C30" s="18">
        <f>(3543.0/B30*100)</f>
        <v/>
      </c>
      <c r="D30" s="19" t="n">
        <v>977</v>
      </c>
      <c r="E30" s="18" t="n">
        <v>42.54905684</v>
      </c>
      <c r="F30" s="20" t="n">
        <v>1.68522938</v>
      </c>
      <c r="G30" s="18" t="n">
        <v>55.84229157</v>
      </c>
      <c r="H30" s="20" t="n">
        <v>1.66255171</v>
      </c>
      <c r="I30" s="18" t="n">
        <v>0</v>
      </c>
      <c r="J30" s="20" t="n">
        <v>0</v>
      </c>
      <c r="K30" s="18" t="n">
        <v>0</v>
      </c>
      <c r="L30" s="20" t="n">
        <v>0</v>
      </c>
      <c r="M30" s="18" t="n">
        <v>0</v>
      </c>
      <c r="N30" s="20" t="n">
        <v>0</v>
      </c>
      <c r="O30" s="18" t="n">
        <v>0</v>
      </c>
      <c r="P30" s="20" t="n">
        <v>0</v>
      </c>
      <c r="Q30" s="18" t="n">
        <v>1.60865159</v>
      </c>
      <c r="R30" s="20" t="n">
        <v>0.40276314</v>
      </c>
    </row>
    <row r="31" spans="1:18">
      <c r="A31" s="15" t="s">
        <v>589</v>
      </c>
      <c r="B31" s="17" t="n">
        <v>5456</v>
      </c>
      <c r="C31" s="18">
        <f>(4268.0/B31*100)</f>
        <v/>
      </c>
      <c r="D31" s="19" t="n">
        <v>1188</v>
      </c>
      <c r="E31" s="18" t="n">
        <v>33.04803998</v>
      </c>
      <c r="F31" s="20" t="n">
        <v>1.27574407</v>
      </c>
      <c r="G31" s="18" t="n">
        <v>65.87366761</v>
      </c>
      <c r="H31" s="20" t="n">
        <v>1.32324486</v>
      </c>
      <c r="I31" s="18" t="n">
        <v>0</v>
      </c>
      <c r="J31" s="20" t="n">
        <v>0</v>
      </c>
      <c r="K31" s="18" t="n">
        <v>0.07809117</v>
      </c>
      <c r="L31" s="20" t="n">
        <v>0.07519413</v>
      </c>
      <c r="M31" s="18" t="n">
        <v>0</v>
      </c>
      <c r="N31" s="20" t="n">
        <v>0</v>
      </c>
      <c r="O31" s="18" t="n">
        <v>0</v>
      </c>
      <c r="P31" s="20" t="n">
        <v>0</v>
      </c>
      <c r="Q31" s="18" t="n">
        <v>1.00020124</v>
      </c>
      <c r="R31" s="20" t="n">
        <v>0.27187262</v>
      </c>
    </row>
    <row r="32" spans="1:18">
      <c r="A32" s="15" t="s">
        <v>590</v>
      </c>
      <c r="B32" s="17" t="n">
        <v>4478</v>
      </c>
      <c r="C32" s="18">
        <f>(3512.0/B32*100)</f>
        <v/>
      </c>
      <c r="D32" s="19" t="n">
        <v>966</v>
      </c>
      <c r="E32" s="18" t="n">
        <v>30.68457173</v>
      </c>
      <c r="F32" s="20" t="n">
        <v>1.47877075</v>
      </c>
      <c r="G32" s="18" t="n">
        <v>69.01457028</v>
      </c>
      <c r="H32" s="20" t="n">
        <v>1.47088922</v>
      </c>
      <c r="I32" s="18" t="n">
        <v>0</v>
      </c>
      <c r="J32" s="20" t="n">
        <v>0</v>
      </c>
      <c r="K32" s="18" t="n">
        <v>0.09214854</v>
      </c>
      <c r="L32" s="20" t="n">
        <v>0.09203217</v>
      </c>
      <c r="M32" s="18" t="n">
        <v>0</v>
      </c>
      <c r="N32" s="20" t="n">
        <v>0</v>
      </c>
      <c r="O32" s="18" t="n">
        <v>0</v>
      </c>
      <c r="P32" s="20" t="n">
        <v>0</v>
      </c>
      <c r="Q32" s="18" t="n">
        <v>0.20870946</v>
      </c>
      <c r="R32" s="20" t="n">
        <v>0.15497577</v>
      </c>
    </row>
    <row r="33" spans="1:18">
      <c r="A33" s="15" t="s">
        <v>591</v>
      </c>
      <c r="B33" s="17" t="n">
        <v>7325</v>
      </c>
      <c r="C33" s="18">
        <f>(5769.0/B33*100)</f>
        <v/>
      </c>
      <c r="D33" s="19" t="n">
        <v>1556</v>
      </c>
      <c r="E33" s="18" t="n">
        <v>40.8702543</v>
      </c>
      <c r="F33" s="20" t="n">
        <v>1.6076963</v>
      </c>
      <c r="G33" s="18" t="n">
        <v>58.63330763</v>
      </c>
      <c r="H33" s="20" t="n">
        <v>1.60884522</v>
      </c>
      <c r="I33" s="18" t="n">
        <v>0</v>
      </c>
      <c r="J33" s="20" t="n">
        <v>0</v>
      </c>
      <c r="K33" s="18" t="n">
        <v>0.14474293</v>
      </c>
      <c r="L33" s="20" t="n">
        <v>0.1379713</v>
      </c>
      <c r="M33" s="18" t="n">
        <v>0</v>
      </c>
      <c r="N33" s="20" t="n">
        <v>0</v>
      </c>
      <c r="O33" s="18" t="n">
        <v>0</v>
      </c>
      <c r="P33" s="20" t="n">
        <v>0</v>
      </c>
      <c r="Q33" s="18" t="n">
        <v>0.35169514</v>
      </c>
      <c r="R33" s="20" t="n">
        <v>0.17369166</v>
      </c>
    </row>
    <row r="34" spans="1:18">
      <c r="A34" s="15" t="s">
        <v>592</v>
      </c>
      <c r="B34" s="17" t="n">
        <v>6350</v>
      </c>
      <c r="C34" s="18">
        <f>(4980.0/B34*100)</f>
        <v/>
      </c>
      <c r="D34" s="19" t="n">
        <v>1370</v>
      </c>
      <c r="E34" s="18" t="n">
        <v>46.18645573</v>
      </c>
      <c r="F34" s="20" t="n">
        <v>1.61560495</v>
      </c>
      <c r="G34" s="18" t="n">
        <v>53.37384218</v>
      </c>
      <c r="H34" s="20" t="n">
        <v>1.59858727</v>
      </c>
      <c r="I34" s="18" t="n">
        <v>0</v>
      </c>
      <c r="J34" s="20" t="n">
        <v>0</v>
      </c>
      <c r="K34" s="18" t="n">
        <v>0</v>
      </c>
      <c r="L34" s="20" t="n">
        <v>0</v>
      </c>
      <c r="M34" s="18" t="n">
        <v>0</v>
      </c>
      <c r="N34" s="20" t="n">
        <v>0</v>
      </c>
      <c r="O34" s="18" t="n">
        <v>0</v>
      </c>
      <c r="P34" s="20" t="n">
        <v>0</v>
      </c>
      <c r="Q34" s="18" t="n">
        <v>0.4397021</v>
      </c>
      <c r="R34" s="20" t="n">
        <v>0.2095023</v>
      </c>
    </row>
    <row r="35" spans="1:18">
      <c r="A35" s="15" t="s">
        <v>593</v>
      </c>
      <c r="B35" s="17" t="n">
        <v>6406</v>
      </c>
      <c r="C35" s="18">
        <f>(4990.0/B35*100)</f>
        <v/>
      </c>
      <c r="D35" s="19" t="n">
        <v>1416</v>
      </c>
      <c r="E35" s="18" t="n">
        <v>28.18341337</v>
      </c>
      <c r="F35" s="20" t="n">
        <v>1.44435538</v>
      </c>
      <c r="G35" s="18" t="n">
        <v>71.11693047999999</v>
      </c>
      <c r="H35" s="20" t="n">
        <v>1.45616842</v>
      </c>
      <c r="I35" s="18" t="n">
        <v>0</v>
      </c>
      <c r="J35" s="20" t="n">
        <v>0</v>
      </c>
      <c r="K35" s="18" t="n">
        <v>0.06568937</v>
      </c>
      <c r="L35" s="20" t="n">
        <v>0.04749441</v>
      </c>
      <c r="M35" s="18" t="n">
        <v>0</v>
      </c>
      <c r="N35" s="20" t="n">
        <v>0</v>
      </c>
      <c r="O35" s="18" t="n">
        <v>0</v>
      </c>
      <c r="P35" s="20" t="n">
        <v>0</v>
      </c>
      <c r="Q35" s="18" t="n">
        <v>0.63396677</v>
      </c>
      <c r="R35" s="20" t="n">
        <v>0.17322634</v>
      </c>
    </row>
    <row r="36" spans="1:18">
      <c r="A36" s="15" t="s">
        <v>594</v>
      </c>
      <c r="B36" s="17" t="n">
        <v>6736</v>
      </c>
      <c r="C36" s="18">
        <f>(5210.0/B36*100)</f>
        <v/>
      </c>
      <c r="D36" s="19" t="n">
        <v>1526</v>
      </c>
      <c r="E36" s="18" t="n">
        <v>47.68816284</v>
      </c>
      <c r="F36" s="20" t="n">
        <v>1.47313786</v>
      </c>
      <c r="G36" s="18" t="n">
        <v>50.88001452</v>
      </c>
      <c r="H36" s="20" t="n">
        <v>1.44287048</v>
      </c>
      <c r="I36" s="18" t="n">
        <v>0</v>
      </c>
      <c r="J36" s="20" t="n">
        <v>0</v>
      </c>
      <c r="K36" s="18" t="n">
        <v>0.1539842</v>
      </c>
      <c r="L36" s="20" t="n">
        <v>0.13303343</v>
      </c>
      <c r="M36" s="18" t="n">
        <v>0</v>
      </c>
      <c r="N36" s="20" t="n">
        <v>0</v>
      </c>
      <c r="O36" s="18" t="n">
        <v>0</v>
      </c>
      <c r="P36" s="20" t="n">
        <v>0</v>
      </c>
      <c r="Q36" s="18" t="n">
        <v>1.27783843</v>
      </c>
      <c r="R36" s="20" t="n">
        <v>0.28190353</v>
      </c>
    </row>
    <row r="37" spans="1:18">
      <c r="A37" s="15" t="s">
        <v>595</v>
      </c>
      <c r="B37" s="17" t="n">
        <v>5458</v>
      </c>
      <c r="C37" s="18">
        <f>(4247.0/B37*100)</f>
        <v/>
      </c>
      <c r="D37" s="19" t="n">
        <v>1211</v>
      </c>
      <c r="E37" s="18" t="n">
        <v>42.99772226</v>
      </c>
      <c r="F37" s="20" t="n">
        <v>1.47809605</v>
      </c>
      <c r="G37" s="18" t="n">
        <v>54.54566446</v>
      </c>
      <c r="H37" s="20" t="n">
        <v>1.54082222</v>
      </c>
      <c r="I37" s="18" t="n">
        <v>0</v>
      </c>
      <c r="J37" s="20" t="n">
        <v>0</v>
      </c>
      <c r="K37" s="18" t="n">
        <v>0.40418248</v>
      </c>
      <c r="L37" s="20" t="n">
        <v>0.17911467</v>
      </c>
      <c r="M37" s="18" t="n">
        <v>0</v>
      </c>
      <c r="N37" s="20" t="n">
        <v>0</v>
      </c>
      <c r="O37" s="18" t="n">
        <v>0</v>
      </c>
      <c r="P37" s="20" t="n">
        <v>0</v>
      </c>
      <c r="Q37" s="18" t="n">
        <v>2.0524308</v>
      </c>
      <c r="R37" s="20" t="n">
        <v>0.40713895</v>
      </c>
    </row>
    <row r="38" spans="1:18">
      <c r="A38" s="15" t="s">
        <v>596</v>
      </c>
      <c r="B38" s="17" t="n">
        <v>5860</v>
      </c>
      <c r="C38" s="18">
        <f>(4544.0/B38*100)</f>
        <v/>
      </c>
      <c r="D38" s="19" t="n">
        <v>1316</v>
      </c>
      <c r="E38" s="18" t="n">
        <v>39.30426944</v>
      </c>
      <c r="F38" s="20" t="n">
        <v>1.48952175</v>
      </c>
      <c r="G38" s="18" t="n">
        <v>59.87132602</v>
      </c>
      <c r="H38" s="20" t="n">
        <v>1.53593151</v>
      </c>
      <c r="I38" s="18" t="n">
        <v>0</v>
      </c>
      <c r="J38" s="20" t="n">
        <v>0</v>
      </c>
      <c r="K38" s="18" t="n">
        <v>0.01479272</v>
      </c>
      <c r="L38" s="20" t="n">
        <v>0.01419486</v>
      </c>
      <c r="M38" s="18" t="n">
        <v>0</v>
      </c>
      <c r="N38" s="20" t="n">
        <v>0</v>
      </c>
      <c r="O38" s="18" t="n">
        <v>0</v>
      </c>
      <c r="P38" s="20" t="n">
        <v>0</v>
      </c>
      <c r="Q38" s="18" t="n">
        <v>0.80961181</v>
      </c>
      <c r="R38" s="20" t="n">
        <v>0.24075453</v>
      </c>
    </row>
    <row r="39" spans="1:18">
      <c r="A39" s="15" t="s">
        <v>597</v>
      </c>
      <c r="B39" s="17" t="n">
        <v>5895</v>
      </c>
      <c r="C39" s="18">
        <f>(4579.0/B39*100)</f>
        <v/>
      </c>
      <c r="D39" s="19" t="n">
        <v>1316</v>
      </c>
      <c r="E39" s="18" t="n">
        <v>57.70727222</v>
      </c>
      <c r="F39" s="20" t="n">
        <v>1.75704281</v>
      </c>
      <c r="G39" s="18" t="n">
        <v>41.41629063</v>
      </c>
      <c r="H39" s="20" t="n">
        <v>1.78814425</v>
      </c>
      <c r="I39" s="18" t="n">
        <v>0</v>
      </c>
      <c r="J39" s="20" t="n">
        <v>0</v>
      </c>
      <c r="K39" s="18" t="n">
        <v>0</v>
      </c>
      <c r="L39" s="20" t="n">
        <v>0</v>
      </c>
      <c r="M39" s="18" t="n">
        <v>0</v>
      </c>
      <c r="N39" s="20" t="n">
        <v>0</v>
      </c>
      <c r="O39" s="18" t="n">
        <v>0</v>
      </c>
      <c r="P39" s="20" t="n">
        <v>0</v>
      </c>
      <c r="Q39" s="18" t="n">
        <v>0.87643715</v>
      </c>
      <c r="R39" s="20" t="n">
        <v>0.23963339</v>
      </c>
    </row>
    <row r="40" spans="1:18">
      <c r="A40" s="15" t="s">
        <v>598</v>
      </c>
      <c r="B40" s="17" t="n">
        <v>14157</v>
      </c>
      <c r="C40" s="18">
        <f>(11141.0/B40*100)</f>
        <v/>
      </c>
      <c r="D40" s="19" t="n">
        <v>3016</v>
      </c>
      <c r="E40" s="18" t="n">
        <v>53.62906969</v>
      </c>
      <c r="F40" s="20" t="n">
        <v>1.73203892</v>
      </c>
      <c r="G40" s="18" t="n">
        <v>45.54280081</v>
      </c>
      <c r="H40" s="20" t="n">
        <v>1.74477749</v>
      </c>
      <c r="I40" s="18" t="n">
        <v>0</v>
      </c>
      <c r="J40" s="20" t="n">
        <v>0</v>
      </c>
      <c r="K40" s="18" t="n">
        <v>0.04119104</v>
      </c>
      <c r="L40" s="20" t="n">
        <v>0.02164379</v>
      </c>
      <c r="M40" s="18" t="n">
        <v>0</v>
      </c>
      <c r="N40" s="20" t="n">
        <v>0</v>
      </c>
      <c r="O40" s="18" t="n">
        <v>0</v>
      </c>
      <c r="P40" s="20" t="n">
        <v>0</v>
      </c>
      <c r="Q40" s="18" t="n">
        <v>0.78693846</v>
      </c>
      <c r="R40" s="20" t="n">
        <v>0.22750037</v>
      </c>
    </row>
    <row r="41" spans="1:18">
      <c r="A41" s="15" t="s">
        <v>599</v>
      </c>
      <c r="B41" s="17" t="n">
        <v>5712</v>
      </c>
      <c r="C41" s="18">
        <f>(4405.0/B41*100)</f>
        <v/>
      </c>
      <c r="D41" s="19" t="n">
        <v>1307</v>
      </c>
      <c r="E41" s="18" t="n">
        <v>41.3825101</v>
      </c>
      <c r="F41" s="20" t="n">
        <v>1.59868223</v>
      </c>
      <c r="G41" s="18" t="n">
        <v>57.82055143</v>
      </c>
      <c r="H41" s="20" t="n">
        <v>1.67312394</v>
      </c>
      <c r="I41" s="18" t="n">
        <v>0</v>
      </c>
      <c r="J41" s="20" t="n">
        <v>0</v>
      </c>
      <c r="K41" s="18" t="n">
        <v>0.09412435</v>
      </c>
      <c r="L41" s="20" t="n">
        <v>0.07982479000000001</v>
      </c>
      <c r="M41" s="18" t="n">
        <v>0</v>
      </c>
      <c r="N41" s="20" t="n">
        <v>0</v>
      </c>
      <c r="O41" s="18" t="n">
        <v>0</v>
      </c>
      <c r="P41" s="20" t="n">
        <v>0</v>
      </c>
      <c r="Q41" s="18" t="n">
        <v>0.70281412</v>
      </c>
      <c r="R41" s="20" t="n">
        <v>0.2177982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(18391.0/B46*100)</f>
        <v/>
      </c>
      <c r="D46" s="19" t="n">
        <v>4750</v>
      </c>
      <c r="E46" s="18" t="n">
        <v>65.92674369</v>
      </c>
      <c r="F46" s="20" t="n">
        <v>1.12738021</v>
      </c>
      <c r="G46" s="18" t="n">
        <v>31.95899662</v>
      </c>
      <c r="H46" s="20" t="n">
        <v>1.09293554</v>
      </c>
      <c r="I46" s="18" t="n">
        <v>0</v>
      </c>
      <c r="J46" s="20" t="n">
        <v>0</v>
      </c>
      <c r="K46" s="18" t="n">
        <v>0.26692435</v>
      </c>
      <c r="L46" s="20" t="n">
        <v>0.1021281</v>
      </c>
      <c r="M46" s="18" t="n">
        <v>0</v>
      </c>
      <c r="N46" s="20" t="n">
        <v>0</v>
      </c>
      <c r="O46" s="18" t="n">
        <v>0</v>
      </c>
      <c r="P46" s="20" t="n">
        <v>0</v>
      </c>
      <c r="Q46" s="18" t="n">
        <v>1.84733534</v>
      </c>
      <c r="R46" s="20" t="n">
        <v>0.27637496</v>
      </c>
    </row>
    <row r="47" spans="1:18">
      <c r="A47" s="15" t="s">
        <v>606</v>
      </c>
      <c r="B47" s="17" t="n">
        <v>5928</v>
      </c>
      <c r="C47" s="18">
        <f>(4641.0/B47*100)</f>
        <v/>
      </c>
      <c r="D47" s="19" t="n">
        <v>1287</v>
      </c>
      <c r="E47" s="18" t="n">
        <v>51.1543958</v>
      </c>
      <c r="F47" s="20" t="n">
        <v>1.35950447</v>
      </c>
      <c r="G47" s="18" t="n">
        <v>47.11986595</v>
      </c>
      <c r="H47" s="20" t="n">
        <v>1.4218104</v>
      </c>
      <c r="I47" s="18" t="n">
        <v>0</v>
      </c>
      <c r="J47" s="20" t="n">
        <v>0</v>
      </c>
      <c r="K47" s="18" t="n">
        <v>0</v>
      </c>
      <c r="L47" s="20" t="n">
        <v>0</v>
      </c>
      <c r="M47" s="18" t="n">
        <v>0</v>
      </c>
      <c r="N47" s="20" t="n">
        <v>0</v>
      </c>
      <c r="O47" s="18" t="n">
        <v>0</v>
      </c>
      <c r="P47" s="20" t="n">
        <v>0</v>
      </c>
      <c r="Q47" s="18" t="n">
        <v>1.72573825</v>
      </c>
      <c r="R47" s="20" t="n">
        <v>0.37284595</v>
      </c>
    </row>
    <row r="48" spans="1:18">
      <c r="A48" s="15" t="s">
        <v>607</v>
      </c>
      <c r="B48" s="17" t="n">
        <v>9841</v>
      </c>
      <c r="C48" s="18">
        <f>(7662.0/B48*100)</f>
        <v/>
      </c>
      <c r="D48" s="19" t="n">
        <v>2179</v>
      </c>
      <c r="E48" s="18" t="n">
        <v>41.5212175</v>
      </c>
      <c r="F48" s="20" t="n">
        <v>1.38276077</v>
      </c>
      <c r="G48" s="18" t="n">
        <v>57.59350757</v>
      </c>
      <c r="H48" s="20" t="n">
        <v>1.35847612</v>
      </c>
      <c r="I48" s="18" t="n">
        <v>0</v>
      </c>
      <c r="J48" s="20" t="n">
        <v>0</v>
      </c>
      <c r="K48" s="18" t="n">
        <v>0.26385572</v>
      </c>
      <c r="L48" s="20" t="n">
        <v>0.13792241</v>
      </c>
      <c r="M48" s="18" t="n">
        <v>0</v>
      </c>
      <c r="N48" s="20" t="n">
        <v>0</v>
      </c>
      <c r="O48" s="18" t="n">
        <v>0</v>
      </c>
      <c r="P48" s="20" t="n">
        <v>0</v>
      </c>
      <c r="Q48" s="18" t="n">
        <v>0.62141921</v>
      </c>
      <c r="R48" s="20" t="n">
        <v>0.22466074</v>
      </c>
    </row>
    <row r="49" spans="1:18">
      <c r="A49" s="15" t="s">
        <v>608</v>
      </c>
      <c r="B49" s="17" t="n">
        <v>11795</v>
      </c>
      <c r="C49" s="18">
        <f>(9241.0/B49*100)</f>
        <v/>
      </c>
      <c r="D49" s="19" t="n">
        <v>2554</v>
      </c>
      <c r="E49" s="18" t="n">
        <v>65.93017541</v>
      </c>
      <c r="F49" s="20" t="n">
        <v>1.23420365</v>
      </c>
      <c r="G49" s="18" t="n">
        <v>32.36833998</v>
      </c>
      <c r="H49" s="20" t="n">
        <v>1.25057699</v>
      </c>
      <c r="I49" s="18" t="n">
        <v>0</v>
      </c>
      <c r="J49" s="20" t="n">
        <v>0</v>
      </c>
      <c r="K49" s="18" t="n">
        <v>0.74082277</v>
      </c>
      <c r="L49" s="20" t="n">
        <v>0.26214645</v>
      </c>
      <c r="M49" s="18" t="n">
        <v>0</v>
      </c>
      <c r="N49" s="20" t="n">
        <v>0</v>
      </c>
      <c r="O49" s="18" t="n">
        <v>0</v>
      </c>
      <c r="P49" s="20" t="n">
        <v>0</v>
      </c>
      <c r="Q49" s="18" t="n">
        <v>0.96066184</v>
      </c>
      <c r="R49" s="20" t="n">
        <v>0.26154147</v>
      </c>
    </row>
    <row r="50" spans="1:18">
      <c r="A50" s="15" t="s">
        <v>609</v>
      </c>
      <c r="B50" s="17" t="n">
        <v>6866</v>
      </c>
      <c r="C50" s="18">
        <f>(5488.0/B50*100)</f>
        <v/>
      </c>
      <c r="D50" s="19" t="n">
        <v>1378</v>
      </c>
      <c r="E50" s="18" t="n">
        <v>64.60367407</v>
      </c>
      <c r="F50" s="20" t="n">
        <v>1.29183208</v>
      </c>
      <c r="G50" s="18" t="n">
        <v>34.50600673</v>
      </c>
      <c r="H50" s="20" t="n">
        <v>1.38840439</v>
      </c>
      <c r="I50" s="18" t="n">
        <v>0</v>
      </c>
      <c r="J50" s="20" t="n">
        <v>0</v>
      </c>
      <c r="K50" s="18" t="n">
        <v>0.17610366</v>
      </c>
      <c r="L50" s="20" t="n">
        <v>0.11899138</v>
      </c>
      <c r="M50" s="18" t="n">
        <v>0</v>
      </c>
      <c r="N50" s="20" t="n">
        <v>0</v>
      </c>
      <c r="O50" s="18" t="n">
        <v>0</v>
      </c>
      <c r="P50" s="20" t="n">
        <v>0</v>
      </c>
      <c r="Q50" s="18" t="n">
        <v>0.71421554</v>
      </c>
      <c r="R50" s="20" t="n">
        <v>0.26268452</v>
      </c>
    </row>
    <row r="51" spans="1:18">
      <c r="A51" s="15" t="s">
        <v>610</v>
      </c>
      <c r="B51" s="17" t="n">
        <v>5809</v>
      </c>
      <c r="C51" s="18">
        <f>(4520.0/B51*100)</f>
        <v/>
      </c>
      <c r="D51" s="19" t="n">
        <v>1289</v>
      </c>
      <c r="E51" s="18" t="n">
        <v>35.1583096</v>
      </c>
      <c r="F51" s="20" t="n">
        <v>1.40746325</v>
      </c>
      <c r="G51" s="18" t="n">
        <v>63.96101606</v>
      </c>
      <c r="H51" s="20" t="n">
        <v>1.40551556</v>
      </c>
      <c r="I51" s="18" t="n">
        <v>0</v>
      </c>
      <c r="J51" s="20" t="n">
        <v>0</v>
      </c>
      <c r="K51" s="18" t="n">
        <v>0.07115431999999999</v>
      </c>
      <c r="L51" s="20" t="n">
        <v>0.07088411999999999</v>
      </c>
      <c r="M51" s="18" t="n">
        <v>0</v>
      </c>
      <c r="N51" s="20" t="n">
        <v>0</v>
      </c>
      <c r="O51" s="18" t="n">
        <v>0</v>
      </c>
      <c r="P51" s="20" t="n">
        <v>0</v>
      </c>
      <c r="Q51" s="18" t="n">
        <v>0.80952002</v>
      </c>
      <c r="R51" s="20" t="n">
        <v>0.26776008</v>
      </c>
    </row>
    <row r="52" spans="1:18">
      <c r="A52" s="15" t="s">
        <v>611</v>
      </c>
      <c r="B52" s="17" t="n">
        <v>5571</v>
      </c>
      <c r="C52" s="18">
        <f>(4321.0/B52*100)</f>
        <v/>
      </c>
      <c r="D52" s="19" t="n">
        <v>1250</v>
      </c>
      <c r="E52" s="18" t="n">
        <v>57.11702382</v>
      </c>
      <c r="F52" s="20" t="n">
        <v>1.50532124</v>
      </c>
      <c r="G52" s="18" t="n">
        <v>40.3575997</v>
      </c>
      <c r="H52" s="20" t="n">
        <v>1.42675898</v>
      </c>
      <c r="I52" s="18" t="n">
        <v>0</v>
      </c>
      <c r="J52" s="20" t="n">
        <v>0</v>
      </c>
      <c r="K52" s="18" t="n">
        <v>0.17486728</v>
      </c>
      <c r="L52" s="20" t="n">
        <v>0.10202992</v>
      </c>
      <c r="M52" s="18" t="n">
        <v>0</v>
      </c>
      <c r="N52" s="20" t="n">
        <v>0</v>
      </c>
      <c r="O52" s="18" t="n">
        <v>0</v>
      </c>
      <c r="P52" s="20" t="n">
        <v>0</v>
      </c>
      <c r="Q52" s="18" t="n">
        <v>2.3505092</v>
      </c>
      <c r="R52" s="20" t="n">
        <v>0.37408476</v>
      </c>
    </row>
    <row r="53" spans="1:18">
      <c r="A53" s="15" t="s">
        <v>612</v>
      </c>
      <c r="B53" s="17" t="n">
        <v>4740</v>
      </c>
      <c r="C53" s="18">
        <f>(3701.0/B53*100)</f>
        <v/>
      </c>
      <c r="D53" s="19" t="n">
        <v>1039</v>
      </c>
      <c r="E53" s="18" t="n">
        <v>74.18140859</v>
      </c>
      <c r="F53" s="20" t="n">
        <v>1.33612655</v>
      </c>
      <c r="G53" s="18" t="n">
        <v>16.89527154</v>
      </c>
      <c r="H53" s="20" t="n">
        <v>1.28332304</v>
      </c>
      <c r="I53" s="18" t="n">
        <v>0</v>
      </c>
      <c r="J53" s="20" t="n">
        <v>0</v>
      </c>
      <c r="K53" s="18" t="n">
        <v>5.4459892</v>
      </c>
      <c r="L53" s="20" t="n">
        <v>0.68465455</v>
      </c>
      <c r="M53" s="18" t="n">
        <v>0</v>
      </c>
      <c r="N53" s="20" t="n">
        <v>0</v>
      </c>
      <c r="O53" s="18" t="n">
        <v>0</v>
      </c>
      <c r="P53" s="20" t="n">
        <v>0</v>
      </c>
      <c r="Q53" s="18" t="n">
        <v>3.47733066</v>
      </c>
      <c r="R53" s="20" t="n">
        <v>0.63261839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(4116.0/B55*100)</f>
        <v/>
      </c>
      <c r="D55" s="19" t="n">
        <v>1243</v>
      </c>
      <c r="E55" s="18" t="n">
        <v>35.48793427</v>
      </c>
      <c r="F55" s="20" t="n">
        <v>1.6491701</v>
      </c>
      <c r="G55" s="18" t="n">
        <v>63.99568026</v>
      </c>
      <c r="H55" s="20" t="n">
        <v>1.65217026</v>
      </c>
      <c r="I55" s="18" t="n">
        <v>0</v>
      </c>
      <c r="J55" s="20" t="n">
        <v>0</v>
      </c>
      <c r="K55" s="18" t="n">
        <v>0.15965112</v>
      </c>
      <c r="L55" s="20" t="n">
        <v>0.11351872</v>
      </c>
      <c r="M55" s="18" t="n">
        <v>0</v>
      </c>
      <c r="N55" s="20" t="n">
        <v>0</v>
      </c>
      <c r="O55" s="18" t="n">
        <v>0</v>
      </c>
      <c r="P55" s="20" t="n">
        <v>0</v>
      </c>
      <c r="Q55" s="18" t="n">
        <v>0.35673434</v>
      </c>
      <c r="R55" s="20" t="n">
        <v>0.17235974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(5054.0/B61*100)</f>
        <v/>
      </c>
      <c r="D61" s="19" t="n">
        <v>1471</v>
      </c>
      <c r="E61" s="18" t="n">
        <v>37.78985378</v>
      </c>
      <c r="F61" s="20" t="n">
        <v>1.41820409</v>
      </c>
      <c r="G61" s="18" t="n">
        <v>61.56068992</v>
      </c>
      <c r="H61" s="20" t="n">
        <v>1.45539604</v>
      </c>
      <c r="I61" s="18" t="n">
        <v>0</v>
      </c>
      <c r="J61" s="20" t="n">
        <v>0</v>
      </c>
      <c r="K61" s="18" t="n">
        <v>0.08466053</v>
      </c>
      <c r="L61" s="20" t="n">
        <v>0.08286950999999999</v>
      </c>
      <c r="M61" s="18" t="n">
        <v>0</v>
      </c>
      <c r="N61" s="20" t="n">
        <v>0</v>
      </c>
      <c r="O61" s="18" t="n">
        <v>0</v>
      </c>
      <c r="P61" s="20" t="n">
        <v>0</v>
      </c>
      <c r="Q61" s="18" t="n">
        <v>0.56479577</v>
      </c>
      <c r="R61" s="20" t="n">
        <v>0.25152097</v>
      </c>
    </row>
    <row r="62" spans="1:18">
      <c r="A62" s="15" t="s">
        <v>622</v>
      </c>
      <c r="B62" s="17" t="n">
        <v>4476</v>
      </c>
      <c r="C62" s="18">
        <f>(3465.0/B62*100)</f>
        <v/>
      </c>
      <c r="D62" s="19" t="n">
        <v>1011</v>
      </c>
      <c r="E62" s="18" t="n">
        <v>52.32719552</v>
      </c>
      <c r="F62" s="20" t="n">
        <v>1.57543663</v>
      </c>
      <c r="G62" s="18" t="n">
        <v>47.67280448</v>
      </c>
      <c r="H62" s="20" t="n">
        <v>1.57543663</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(4411.0/B67*100)</f>
        <v/>
      </c>
      <c r="D67" s="19" t="n">
        <v>1254</v>
      </c>
      <c r="E67" s="18" t="n">
        <v>63.01366032</v>
      </c>
      <c r="F67" s="20" t="n">
        <v>1.40777485</v>
      </c>
      <c r="G67" s="18" t="n">
        <v>34.91542347</v>
      </c>
      <c r="H67" s="20" t="n">
        <v>1.37511963</v>
      </c>
      <c r="I67" s="18" t="n">
        <v>0</v>
      </c>
      <c r="J67" s="20" t="n">
        <v>0</v>
      </c>
      <c r="K67" s="18" t="n">
        <v>0.10755952</v>
      </c>
      <c r="L67" s="20" t="n">
        <v>0.10723129</v>
      </c>
      <c r="M67" s="18" t="n">
        <v>0</v>
      </c>
      <c r="N67" s="20" t="n">
        <v>0</v>
      </c>
      <c r="O67" s="18" t="n">
        <v>0</v>
      </c>
      <c r="P67" s="20" t="n">
        <v>0</v>
      </c>
      <c r="Q67" s="18" t="n">
        <v>1.96335669</v>
      </c>
      <c r="R67" s="20" t="n">
        <v>0.36409577</v>
      </c>
    </row>
    <row r="68" spans="1:18">
      <c r="A68" s="15" t="s">
        <v>628</v>
      </c>
      <c r="B68" s="17" t="n">
        <v>6971</v>
      </c>
      <c r="C68" s="18">
        <f>(5499.0/B68*100)</f>
        <v/>
      </c>
      <c r="D68" s="19" t="n">
        <v>1472</v>
      </c>
      <c r="E68" s="18" t="n">
        <v>71.56219928</v>
      </c>
      <c r="F68" s="20" t="n">
        <v>1.29063009</v>
      </c>
      <c r="G68" s="18" t="n">
        <v>27.12829203</v>
      </c>
      <c r="H68" s="20" t="n">
        <v>1.23968133</v>
      </c>
      <c r="I68" s="18" t="n">
        <v>0</v>
      </c>
      <c r="J68" s="20" t="n">
        <v>0</v>
      </c>
      <c r="K68" s="18" t="n">
        <v>0.06351590999999999</v>
      </c>
      <c r="L68" s="20" t="n">
        <v>0.06184902</v>
      </c>
      <c r="M68" s="18" t="n">
        <v>0</v>
      </c>
      <c r="N68" s="20" t="n">
        <v>0</v>
      </c>
      <c r="O68" s="18" t="n">
        <v>0</v>
      </c>
      <c r="P68" s="20" t="n">
        <v>0</v>
      </c>
      <c r="Q68" s="18" t="n">
        <v>1.24599278</v>
      </c>
      <c r="R68" s="20" t="n">
        <v>0.31846965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(9369.0/B70*100)</f>
        <v/>
      </c>
      <c r="D70" s="19" t="n">
        <v>2714</v>
      </c>
      <c r="E70" s="18" t="n">
        <v>69.45427889</v>
      </c>
      <c r="F70" s="20" t="n">
        <v>0.7936151</v>
      </c>
      <c r="G70" s="18" t="n">
        <v>26.69578642</v>
      </c>
      <c r="H70" s="20" t="n">
        <v>0.79237949</v>
      </c>
      <c r="I70" s="18" t="n">
        <v>0</v>
      </c>
      <c r="J70" s="20" t="n">
        <v>0</v>
      </c>
      <c r="K70" s="18" t="n">
        <v>0.69521404</v>
      </c>
      <c r="L70" s="20" t="n">
        <v>0.16586182</v>
      </c>
      <c r="M70" s="18" t="n">
        <v>0</v>
      </c>
      <c r="N70" s="20" t="n">
        <v>0</v>
      </c>
      <c r="O70" s="18" t="n">
        <v>0</v>
      </c>
      <c r="P70" s="20" t="n">
        <v>0</v>
      </c>
      <c r="Q70" s="18" t="n">
        <v>3.15472065</v>
      </c>
      <c r="R70" s="20" t="n">
        <v>0.36621205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(4776.0/B72*100)</f>
        <v/>
      </c>
      <c r="D72" s="19" t="n">
        <v>1260</v>
      </c>
      <c r="E72" s="18" t="n">
        <v>44.03560128</v>
      </c>
      <c r="F72" s="20" t="n">
        <v>1.91123762</v>
      </c>
      <c r="G72" s="18" t="n">
        <v>55.46063363</v>
      </c>
      <c r="H72" s="20" t="n">
        <v>1.88987261</v>
      </c>
      <c r="I72" s="18" t="n">
        <v>0</v>
      </c>
      <c r="J72" s="20" t="n">
        <v>0</v>
      </c>
      <c r="K72" s="18" t="n">
        <v>0</v>
      </c>
      <c r="L72" s="20" t="n">
        <v>0</v>
      </c>
      <c r="M72" s="18" t="n">
        <v>0</v>
      </c>
      <c r="N72" s="20" t="n">
        <v>0</v>
      </c>
      <c r="O72" s="18" t="n">
        <v>0</v>
      </c>
      <c r="P72" s="20" t="n">
        <v>0</v>
      </c>
      <c r="Q72" s="18" t="n">
        <v>0.50376509</v>
      </c>
      <c r="R72" s="20" t="n">
        <v>0.26776575</v>
      </c>
    </row>
    <row r="73" spans="1:18">
      <c r="A73" s="15" t="s">
        <v>633</v>
      </c>
      <c r="B73" s="17" t="n">
        <v>6115</v>
      </c>
      <c r="C73" s="18">
        <f>(4776.0/B73*100)</f>
        <v/>
      </c>
      <c r="D73" s="19" t="n">
        <v>1339</v>
      </c>
      <c r="E73" s="18" t="n">
        <v>51.89133208</v>
      </c>
      <c r="F73" s="20" t="n">
        <v>1.48169588</v>
      </c>
      <c r="G73" s="18" t="n">
        <v>47.60456449</v>
      </c>
      <c r="H73" s="20" t="n">
        <v>1.45860498</v>
      </c>
      <c r="I73" s="18" t="n">
        <v>0</v>
      </c>
      <c r="J73" s="20" t="n">
        <v>0</v>
      </c>
      <c r="K73" s="18" t="n">
        <v>0.16000116</v>
      </c>
      <c r="L73" s="20" t="n">
        <v>0.11308533</v>
      </c>
      <c r="M73" s="18" t="n">
        <v>0</v>
      </c>
      <c r="N73" s="20" t="n">
        <v>0</v>
      </c>
      <c r="O73" s="18" t="n">
        <v>0</v>
      </c>
      <c r="P73" s="20" t="n">
        <v>0</v>
      </c>
      <c r="Q73" s="18" t="n">
        <v>0.34410227</v>
      </c>
      <c r="R73" s="20" t="n">
        <v>0.17379099</v>
      </c>
    </row>
    <row r="74" spans="1:18">
      <c r="A74" s="15" t="s">
        <v>634</v>
      </c>
      <c r="B74" s="17" t="n">
        <v>7708</v>
      </c>
      <c r="C74" s="18">
        <f>(5966.0/B74*100)</f>
        <v/>
      </c>
      <c r="D74" s="19" t="n">
        <v>1742</v>
      </c>
      <c r="E74" s="18" t="n">
        <v>41.3362989</v>
      </c>
      <c r="F74" s="20" t="n">
        <v>1.34883554</v>
      </c>
      <c r="G74" s="18" t="n">
        <v>58.36117285</v>
      </c>
      <c r="H74" s="20" t="n">
        <v>1.36439259</v>
      </c>
      <c r="I74" s="18" t="n">
        <v>0</v>
      </c>
      <c r="J74" s="20" t="n">
        <v>0</v>
      </c>
      <c r="K74" s="18" t="n">
        <v>0</v>
      </c>
      <c r="L74" s="20" t="n">
        <v>0</v>
      </c>
      <c r="M74" s="18" t="n">
        <v>0</v>
      </c>
      <c r="N74" s="20" t="n">
        <v>0</v>
      </c>
      <c r="O74" s="18" t="n">
        <v>0</v>
      </c>
      <c r="P74" s="20" t="n">
        <v>0</v>
      </c>
      <c r="Q74" s="18" t="n">
        <v>0.30252825</v>
      </c>
      <c r="R74" s="20" t="n">
        <v>0.13822423</v>
      </c>
    </row>
    <row r="75" spans="1:18">
      <c r="A75" s="15" t="s">
        <v>635</v>
      </c>
      <c r="B75" s="17" t="n">
        <v>8249</v>
      </c>
      <c r="C75" s="18">
        <f>(6466.0/B75*100)</f>
        <v/>
      </c>
      <c r="D75" s="19" t="n">
        <v>1783</v>
      </c>
      <c r="E75" s="18" t="n">
        <v>63.67412931</v>
      </c>
      <c r="F75" s="20" t="n">
        <v>1.49339144</v>
      </c>
      <c r="G75" s="18" t="n">
        <v>35.464906</v>
      </c>
      <c r="H75" s="20" t="n">
        <v>1.48728839</v>
      </c>
      <c r="I75" s="18" t="n">
        <v>0</v>
      </c>
      <c r="J75" s="20" t="n">
        <v>0</v>
      </c>
      <c r="K75" s="18" t="n">
        <v>0</v>
      </c>
      <c r="L75" s="20" t="n">
        <v>0</v>
      </c>
      <c r="M75" s="18" t="n">
        <v>0</v>
      </c>
      <c r="N75" s="20" t="n">
        <v>0</v>
      </c>
      <c r="O75" s="18" t="n">
        <v>0</v>
      </c>
      <c r="P75" s="20" t="n">
        <v>0</v>
      </c>
      <c r="Q75" s="18" t="n">
        <v>0.86096469</v>
      </c>
      <c r="R75" s="20" t="n">
        <v>0.27089443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(4301.0/B77*100)</f>
        <v/>
      </c>
      <c r="D77" s="19" t="n">
        <v>1074</v>
      </c>
      <c r="E77" s="18" t="n">
        <v>61.71108285</v>
      </c>
      <c r="F77" s="20" t="n">
        <v>1.45378169</v>
      </c>
      <c r="G77" s="18" t="n">
        <v>35.10641168</v>
      </c>
      <c r="H77" s="20" t="n">
        <v>1.5165528</v>
      </c>
      <c r="I77" s="18" t="n">
        <v>0</v>
      </c>
      <c r="J77" s="20" t="n">
        <v>0</v>
      </c>
      <c r="K77" s="18" t="n">
        <v>0.9401514399999999</v>
      </c>
      <c r="L77" s="20" t="n">
        <v>0.34337214</v>
      </c>
      <c r="M77" s="18" t="n">
        <v>0</v>
      </c>
      <c r="N77" s="20" t="n">
        <v>0</v>
      </c>
      <c r="O77" s="18" t="n">
        <v>0</v>
      </c>
      <c r="P77" s="20" t="n">
        <v>0</v>
      </c>
      <c r="Q77" s="18" t="n">
        <v>2.24235403</v>
      </c>
      <c r="R77" s="20" t="n">
        <v>0.46323185</v>
      </c>
    </row>
    <row r="78" spans="1:18">
      <c r="A78" s="15" t="s">
        <v>638</v>
      </c>
      <c r="B78" s="17" t="n">
        <v>14167</v>
      </c>
      <c r="C78" s="18">
        <f>(11100.0/B78*100)</f>
        <v/>
      </c>
      <c r="D78" s="19" t="n">
        <v>3067</v>
      </c>
      <c r="E78" s="18" t="n">
        <v>62.41809161</v>
      </c>
      <c r="F78" s="20" t="n">
        <v>1.14046251</v>
      </c>
      <c r="G78" s="18" t="n">
        <v>35.11020381</v>
      </c>
      <c r="H78" s="20" t="n">
        <v>1.17994527</v>
      </c>
      <c r="I78" s="18" t="n">
        <v>0</v>
      </c>
      <c r="J78" s="20" t="n">
        <v>0</v>
      </c>
      <c r="K78" s="18" t="n">
        <v>0.5560662200000001</v>
      </c>
      <c r="L78" s="20" t="n">
        <v>0.16447256</v>
      </c>
      <c r="M78" s="18" t="n">
        <v>0</v>
      </c>
      <c r="N78" s="20" t="n">
        <v>0</v>
      </c>
      <c r="O78" s="18" t="n">
        <v>0</v>
      </c>
      <c r="P78" s="20" t="n">
        <v>0</v>
      </c>
      <c r="Q78" s="18" t="n">
        <v>1.91563836</v>
      </c>
      <c r="R78" s="20" t="n">
        <v>0.40206066</v>
      </c>
    </row>
    <row r="79" spans="1:18">
      <c r="A79" s="15" t="s">
        <v>639</v>
      </c>
      <c r="B79" s="17" t="n">
        <v>6062</v>
      </c>
      <c r="C79" s="18">
        <f>(4726.0/B79*100)</f>
        <v/>
      </c>
      <c r="D79" s="19" t="n">
        <v>1336</v>
      </c>
      <c r="E79" s="18" t="n">
        <v>51.20739623</v>
      </c>
      <c r="F79" s="20" t="n">
        <v>1.37733153</v>
      </c>
      <c r="G79" s="18" t="n">
        <v>45.90160676</v>
      </c>
      <c r="H79" s="20" t="n">
        <v>1.39522704</v>
      </c>
      <c r="I79" s="18" t="n">
        <v>0</v>
      </c>
      <c r="J79" s="20" t="n">
        <v>0</v>
      </c>
      <c r="K79" s="18" t="n">
        <v>0.40043139</v>
      </c>
      <c r="L79" s="20" t="n">
        <v>0.21724437</v>
      </c>
      <c r="M79" s="18" t="n">
        <v>0</v>
      </c>
      <c r="N79" s="20" t="n">
        <v>0</v>
      </c>
      <c r="O79" s="18" t="n">
        <v>0</v>
      </c>
      <c r="P79" s="20" t="n">
        <v>0</v>
      </c>
      <c r="Q79" s="18" t="n">
        <v>2.49056563</v>
      </c>
      <c r="R79" s="20" t="n">
        <v>0.4726663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(25135.0/B82*100)</f>
        <v/>
      </c>
      <c r="D82" s="19" t="n">
        <v>7195</v>
      </c>
      <c r="E82" s="18" t="n">
        <v>46.32416028</v>
      </c>
      <c r="F82" s="20" t="n">
        <v>1.01134188</v>
      </c>
      <c r="G82" s="18" t="n">
        <v>52.84549947</v>
      </c>
      <c r="H82" s="20" t="n">
        <v>0.9801053</v>
      </c>
      <c r="I82" s="18" t="n">
        <v>0</v>
      </c>
      <c r="J82" s="20" t="n">
        <v>0</v>
      </c>
      <c r="K82" s="18" t="n">
        <v>0.05418774</v>
      </c>
      <c r="L82" s="20" t="n">
        <v>0.04947297</v>
      </c>
      <c r="M82" s="18" t="n">
        <v>0</v>
      </c>
      <c r="N82" s="20" t="n">
        <v>0</v>
      </c>
      <c r="O82" s="18" t="n">
        <v>0</v>
      </c>
      <c r="P82" s="20" t="n">
        <v>0</v>
      </c>
      <c r="Q82" s="18" t="n">
        <v>0.77615251</v>
      </c>
      <c r="R82" s="20" t="n">
        <v>0.15029555</v>
      </c>
    </row>
    <row r="83" spans="1:18">
      <c r="A83" s="15" t="s">
        <v>643</v>
      </c>
      <c r="B83" s="17" t="n">
        <v>1652</v>
      </c>
      <c r="C83" s="18">
        <f>(1287.0/B83*100)</f>
        <v/>
      </c>
      <c r="D83" s="19" t="n">
        <v>365</v>
      </c>
      <c r="E83" s="18" t="n">
        <v>33.75190017</v>
      </c>
      <c r="F83" s="20" t="n">
        <v>2.93657234</v>
      </c>
      <c r="G83" s="18" t="n">
        <v>65.64332457</v>
      </c>
      <c r="H83" s="20" t="n">
        <v>2.81204368</v>
      </c>
      <c r="I83" s="18" t="n">
        <v>0</v>
      </c>
      <c r="J83" s="20" t="n">
        <v>0</v>
      </c>
      <c r="K83" s="18" t="n">
        <v>0</v>
      </c>
      <c r="L83" s="20" t="n">
        <v>0</v>
      </c>
      <c r="M83" s="18" t="n">
        <v>0</v>
      </c>
      <c r="N83" s="20" t="n">
        <v>0</v>
      </c>
      <c r="O83" s="18" t="n">
        <v>0</v>
      </c>
      <c r="P83" s="20" t="n">
        <v>0</v>
      </c>
      <c r="Q83" s="18" t="n">
        <v>0.60477525</v>
      </c>
      <c r="R83" s="20" t="n">
        <v>0.41038805</v>
      </c>
    </row>
    <row r="84" spans="1:18">
      <c r="A84" s="23" t="s">
        <v>644</v>
      </c>
      <c r="B84" s="24" t="n">
        <v>1887</v>
      </c>
      <c r="C84" s="25">
        <f>(1491.0/B84*100)</f>
        <v/>
      </c>
      <c r="D84" s="19" t="n">
        <v>396</v>
      </c>
      <c r="E84" s="18" t="n">
        <v>37.65701191</v>
      </c>
      <c r="F84" s="20" t="n">
        <v>3.26868836</v>
      </c>
      <c r="G84" s="18" t="n">
        <v>62.0764711</v>
      </c>
      <c r="H84" s="20" t="n">
        <v>3.28467839</v>
      </c>
      <c r="I84" s="18" t="n">
        <v>0</v>
      </c>
      <c r="J84" s="20" t="n">
        <v>0</v>
      </c>
      <c r="K84" s="18" t="n">
        <v>0</v>
      </c>
      <c r="L84" s="20" t="n">
        <v>0</v>
      </c>
      <c r="M84" s="18" t="n">
        <v>0</v>
      </c>
      <c r="N84" s="20" t="n">
        <v>0</v>
      </c>
      <c r="O84" s="18" t="n">
        <v>0</v>
      </c>
      <c r="P84" s="20" t="n">
        <v>0</v>
      </c>
      <c r="Q84" s="18" t="n">
        <v>0.26651699</v>
      </c>
      <c r="R84" s="20" t="n">
        <v>0.26602614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(11296.0/B7*100)</f>
        <v/>
      </c>
      <c r="D7" s="19" t="n">
        <v>3234</v>
      </c>
      <c r="E7" s="18" t="n">
        <v>71.61819498</v>
      </c>
      <c r="F7" s="20" t="n">
        <v>0.88365169</v>
      </c>
      <c r="G7" s="18" t="n">
        <v>27.69920247</v>
      </c>
      <c r="H7" s="20" t="n">
        <v>0.89177905</v>
      </c>
      <c r="I7" s="18" t="n">
        <v>0</v>
      </c>
      <c r="J7" s="20" t="n">
        <v>0</v>
      </c>
      <c r="K7" s="18" t="n">
        <v>0.03422771</v>
      </c>
      <c r="L7" s="20" t="n">
        <v>0.01891316</v>
      </c>
      <c r="M7" s="18" t="n">
        <v>0</v>
      </c>
      <c r="N7" s="20" t="n">
        <v>0</v>
      </c>
      <c r="O7" s="18" t="n">
        <v>0</v>
      </c>
      <c r="P7" s="20" t="n">
        <v>0</v>
      </c>
      <c r="Q7" s="18" t="n">
        <v>0.64837484</v>
      </c>
      <c r="R7" s="20" t="n">
        <v>0.17021777</v>
      </c>
    </row>
    <row r="8" spans="1:18">
      <c r="A8" s="15" t="s">
        <v>566</v>
      </c>
      <c r="B8" s="17" t="n">
        <v>7007</v>
      </c>
      <c r="C8" s="18">
        <f>(5496.0/B8*100)</f>
        <v/>
      </c>
      <c r="D8" s="19" t="n">
        <v>1511</v>
      </c>
      <c r="E8" s="18" t="n">
        <v>67.35803711</v>
      </c>
      <c r="F8" s="20" t="n">
        <v>1.38205688</v>
      </c>
      <c r="G8" s="18" t="n">
        <v>32.3092329</v>
      </c>
      <c r="H8" s="20" t="n">
        <v>1.3814358</v>
      </c>
      <c r="I8" s="18" t="n">
        <v>0</v>
      </c>
      <c r="J8" s="20" t="n">
        <v>0</v>
      </c>
      <c r="K8" s="18" t="n">
        <v>0.0774217</v>
      </c>
      <c r="L8" s="20" t="n">
        <v>0.07536453999999999</v>
      </c>
      <c r="M8" s="18" t="n">
        <v>0</v>
      </c>
      <c r="N8" s="20" t="n">
        <v>0</v>
      </c>
      <c r="O8" s="18" t="n">
        <v>0</v>
      </c>
      <c r="P8" s="20" t="n">
        <v>0</v>
      </c>
      <c r="Q8" s="18" t="n">
        <v>0.25530828</v>
      </c>
      <c r="R8" s="20" t="n">
        <v>0.11133279</v>
      </c>
    </row>
    <row r="9" spans="1:18">
      <c r="A9" s="15" t="s">
        <v>567</v>
      </c>
      <c r="B9" s="17" t="n">
        <v>9651</v>
      </c>
      <c r="C9" s="18">
        <f>(7568.0/B9*100)</f>
        <v/>
      </c>
      <c r="D9" s="19" t="n">
        <v>2083</v>
      </c>
      <c r="E9" s="18" t="n">
        <v>63.92767427</v>
      </c>
      <c r="F9" s="20" t="n">
        <v>1.20183825</v>
      </c>
      <c r="G9" s="18" t="n">
        <v>35.27203195</v>
      </c>
      <c r="H9" s="20" t="n">
        <v>1.19535087</v>
      </c>
      <c r="I9" s="18" t="n">
        <v>0</v>
      </c>
      <c r="J9" s="20" t="n">
        <v>0</v>
      </c>
      <c r="K9" s="18" t="n">
        <v>0.09725209999999999</v>
      </c>
      <c r="L9" s="20" t="n">
        <v>0.07063922</v>
      </c>
      <c r="M9" s="18" t="n">
        <v>0</v>
      </c>
      <c r="N9" s="20" t="n">
        <v>0</v>
      </c>
      <c r="O9" s="18" t="n">
        <v>0</v>
      </c>
      <c r="P9" s="20" t="n">
        <v>0</v>
      </c>
      <c r="Q9" s="18" t="n">
        <v>0.70304168</v>
      </c>
      <c r="R9" s="20" t="n">
        <v>0.18313763</v>
      </c>
    </row>
    <row r="10" spans="1:18">
      <c r="A10" s="15" t="s">
        <v>568</v>
      </c>
      <c r="B10" s="17" t="n">
        <v>20058</v>
      </c>
      <c r="C10" s="18">
        <f>(15625.0/B10*100)</f>
        <v/>
      </c>
      <c r="D10" s="19" t="n">
        <v>4433</v>
      </c>
      <c r="E10" s="18" t="n">
        <v>65.70631709</v>
      </c>
      <c r="F10" s="20" t="n">
        <v>0.99388254</v>
      </c>
      <c r="G10" s="18" t="n">
        <v>33.9694299</v>
      </c>
      <c r="H10" s="20" t="n">
        <v>1.0006711</v>
      </c>
      <c r="I10" s="18" t="n">
        <v>0</v>
      </c>
      <c r="J10" s="20" t="n">
        <v>0</v>
      </c>
      <c r="K10" s="18" t="n">
        <v>0.15842227</v>
      </c>
      <c r="L10" s="20" t="n">
        <v>0.08805788000000001</v>
      </c>
      <c r="M10" s="18" t="n">
        <v>0</v>
      </c>
      <c r="N10" s="20" t="n">
        <v>0</v>
      </c>
      <c r="O10" s="18" t="n">
        <v>0</v>
      </c>
      <c r="P10" s="20" t="n">
        <v>0</v>
      </c>
      <c r="Q10" s="18" t="n">
        <v>0.16583074</v>
      </c>
      <c r="R10" s="20" t="n">
        <v>0.06254270000000001</v>
      </c>
    </row>
    <row r="11" spans="1:18">
      <c r="A11" s="15" t="s">
        <v>569</v>
      </c>
      <c r="B11" s="17" t="n">
        <v>7053</v>
      </c>
      <c r="C11" s="18">
        <f>(5541.0/B11*100)</f>
        <v/>
      </c>
      <c r="D11" s="19" t="n">
        <v>1512</v>
      </c>
      <c r="E11" s="18" t="n">
        <v>80.90100443</v>
      </c>
      <c r="F11" s="20" t="n">
        <v>1.6429938</v>
      </c>
      <c r="G11" s="18" t="n">
        <v>18.22948499</v>
      </c>
      <c r="H11" s="20" t="n">
        <v>1.63228807</v>
      </c>
      <c r="I11" s="18" t="n">
        <v>0</v>
      </c>
      <c r="J11" s="20" t="n">
        <v>0</v>
      </c>
      <c r="K11" s="18" t="n">
        <v>0.42605962</v>
      </c>
      <c r="L11" s="20" t="n">
        <v>0.23396036</v>
      </c>
      <c r="M11" s="18" t="n">
        <v>0</v>
      </c>
      <c r="N11" s="20" t="n">
        <v>0</v>
      </c>
      <c r="O11" s="18" t="n">
        <v>0</v>
      </c>
      <c r="P11" s="20" t="n">
        <v>0</v>
      </c>
      <c r="Q11" s="18" t="n">
        <v>0.44345096</v>
      </c>
      <c r="R11" s="20" t="n">
        <v>0.22514804</v>
      </c>
    </row>
    <row r="12" spans="1:18">
      <c r="A12" s="15" t="s">
        <v>570</v>
      </c>
      <c r="B12" s="17" t="n">
        <v>6894</v>
      </c>
      <c r="C12" s="18">
        <f>(5366.0/B12*100)</f>
        <v/>
      </c>
      <c r="D12" s="19" t="n">
        <v>1528</v>
      </c>
      <c r="E12" s="18" t="n">
        <v>64.18647713999999</v>
      </c>
      <c r="F12" s="20" t="n">
        <v>1.47519002</v>
      </c>
      <c r="G12" s="18" t="n">
        <v>35.50131745</v>
      </c>
      <c r="H12" s="20" t="n">
        <v>1.4834417</v>
      </c>
      <c r="I12" s="18" t="n">
        <v>0</v>
      </c>
      <c r="J12" s="20" t="n">
        <v>0</v>
      </c>
      <c r="K12" s="18" t="n">
        <v>0.1194591</v>
      </c>
      <c r="L12" s="20" t="n">
        <v>0.08294417</v>
      </c>
      <c r="M12" s="18" t="n">
        <v>0</v>
      </c>
      <c r="N12" s="20" t="n">
        <v>0</v>
      </c>
      <c r="O12" s="18" t="n">
        <v>0</v>
      </c>
      <c r="P12" s="20" t="n">
        <v>0</v>
      </c>
      <c r="Q12" s="18" t="n">
        <v>0.19274631</v>
      </c>
      <c r="R12" s="20" t="n">
        <v>0.10729377</v>
      </c>
    </row>
    <row r="13" spans="1:18">
      <c r="A13" s="15" t="s">
        <v>571</v>
      </c>
      <c r="B13" s="17" t="n">
        <v>7161</v>
      </c>
      <c r="C13" s="18">
        <f>(5614.0/B13*100)</f>
        <v/>
      </c>
      <c r="D13" s="19" t="n">
        <v>1547</v>
      </c>
      <c r="E13" s="18" t="n">
        <v>66.97945215999999</v>
      </c>
      <c r="F13" s="20" t="n">
        <v>1.54944723</v>
      </c>
      <c r="G13" s="18" t="n">
        <v>32.39473888</v>
      </c>
      <c r="H13" s="20" t="n">
        <v>1.54155997</v>
      </c>
      <c r="I13" s="18" t="n">
        <v>0</v>
      </c>
      <c r="J13" s="20" t="n">
        <v>0</v>
      </c>
      <c r="K13" s="18" t="n">
        <v>0.07281441</v>
      </c>
      <c r="L13" s="20" t="n">
        <v>0.04659131</v>
      </c>
      <c r="M13" s="18" t="n">
        <v>0</v>
      </c>
      <c r="N13" s="20" t="n">
        <v>0</v>
      </c>
      <c r="O13" s="18" t="n">
        <v>0</v>
      </c>
      <c r="P13" s="20" t="n">
        <v>0</v>
      </c>
      <c r="Q13" s="18" t="n">
        <v>0.55299454</v>
      </c>
      <c r="R13" s="20" t="n">
        <v>0.20312866</v>
      </c>
    </row>
    <row r="14" spans="1:18">
      <c r="A14" s="15" t="s">
        <v>572</v>
      </c>
      <c r="B14" s="17" t="n">
        <v>5587</v>
      </c>
      <c r="C14" s="18">
        <f>(4398.0/B14*100)</f>
        <v/>
      </c>
      <c r="D14" s="19" t="n">
        <v>1189</v>
      </c>
      <c r="E14" s="18" t="n">
        <v>56.93985496</v>
      </c>
      <c r="F14" s="20" t="n">
        <v>1.7654734</v>
      </c>
      <c r="G14" s="18" t="n">
        <v>42.66148792</v>
      </c>
      <c r="H14" s="20" t="n">
        <v>1.75920782</v>
      </c>
      <c r="I14" s="18" t="n">
        <v>0</v>
      </c>
      <c r="J14" s="20" t="n">
        <v>0</v>
      </c>
      <c r="K14" s="18" t="n">
        <v>0.13099133</v>
      </c>
      <c r="L14" s="20" t="n">
        <v>0.09311394000000001</v>
      </c>
      <c r="M14" s="18" t="n">
        <v>0</v>
      </c>
      <c r="N14" s="20" t="n">
        <v>0</v>
      </c>
      <c r="O14" s="18" t="n">
        <v>0</v>
      </c>
      <c r="P14" s="20" t="n">
        <v>0</v>
      </c>
      <c r="Q14" s="18" t="n">
        <v>0.2676658</v>
      </c>
      <c r="R14" s="20" t="n">
        <v>0.10133875</v>
      </c>
    </row>
    <row r="15" spans="1:18">
      <c r="A15" s="15" t="s">
        <v>573</v>
      </c>
      <c r="B15" s="17" t="n">
        <v>5882</v>
      </c>
      <c r="C15" s="18">
        <f>(4622.0/B15*100)</f>
        <v/>
      </c>
      <c r="D15" s="19" t="n">
        <v>1260</v>
      </c>
      <c r="E15" s="18" t="n">
        <v>58.83336196</v>
      </c>
      <c r="F15" s="20" t="n">
        <v>1.34434171</v>
      </c>
      <c r="G15" s="18" t="n">
        <v>41.00564464</v>
      </c>
      <c r="H15" s="20" t="n">
        <v>1.33614874</v>
      </c>
      <c r="I15" s="18" t="n">
        <v>0</v>
      </c>
      <c r="J15" s="20" t="n">
        <v>0</v>
      </c>
      <c r="K15" s="18" t="n">
        <v>0</v>
      </c>
      <c r="L15" s="20" t="n">
        <v>0</v>
      </c>
      <c r="M15" s="18" t="n">
        <v>0</v>
      </c>
      <c r="N15" s="20" t="n">
        <v>0</v>
      </c>
      <c r="O15" s="18" t="n">
        <v>0</v>
      </c>
      <c r="P15" s="20" t="n">
        <v>0</v>
      </c>
      <c r="Q15" s="18" t="n">
        <v>0.1609934</v>
      </c>
      <c r="R15" s="20" t="n">
        <v>0.12054846</v>
      </c>
    </row>
    <row r="16" spans="1:18">
      <c r="A16" s="15" t="s">
        <v>574</v>
      </c>
      <c r="B16" s="17" t="n">
        <v>6108</v>
      </c>
      <c r="C16" s="18">
        <f>(4799.0/B16*100)</f>
        <v/>
      </c>
      <c r="D16" s="19" t="n">
        <v>1309</v>
      </c>
      <c r="E16" s="18" t="n">
        <v>67.67004917</v>
      </c>
      <c r="F16" s="20" t="n">
        <v>1.21286289</v>
      </c>
      <c r="G16" s="18" t="n">
        <v>31.50311558</v>
      </c>
      <c r="H16" s="20" t="n">
        <v>1.200742</v>
      </c>
      <c r="I16" s="18" t="n">
        <v>0</v>
      </c>
      <c r="J16" s="20" t="n">
        <v>0</v>
      </c>
      <c r="K16" s="18" t="n">
        <v>0.0953492</v>
      </c>
      <c r="L16" s="20" t="n">
        <v>0.07651392</v>
      </c>
      <c r="M16" s="18" t="n">
        <v>0</v>
      </c>
      <c r="N16" s="20" t="n">
        <v>0</v>
      </c>
      <c r="O16" s="18" t="n">
        <v>0</v>
      </c>
      <c r="P16" s="20" t="n">
        <v>0</v>
      </c>
      <c r="Q16" s="18" t="n">
        <v>0.73148605</v>
      </c>
      <c r="R16" s="20" t="n">
        <v>0.2828868</v>
      </c>
    </row>
    <row r="17" spans="1:18">
      <c r="A17" s="15" t="s">
        <v>575</v>
      </c>
      <c r="B17" s="17" t="n">
        <v>6504</v>
      </c>
      <c r="C17" s="18">
        <f>(5048.0/B17*100)</f>
        <v/>
      </c>
      <c r="D17" s="19" t="n">
        <v>1456</v>
      </c>
      <c r="E17" s="18" t="n">
        <v>61.85282839</v>
      </c>
      <c r="F17" s="20" t="n">
        <v>1.27996357</v>
      </c>
      <c r="G17" s="18" t="n">
        <v>37.11640271</v>
      </c>
      <c r="H17" s="20" t="n">
        <v>1.25472134</v>
      </c>
      <c r="I17" s="18" t="n">
        <v>0</v>
      </c>
      <c r="J17" s="20" t="n">
        <v>0</v>
      </c>
      <c r="K17" s="18" t="n">
        <v>0.21255811</v>
      </c>
      <c r="L17" s="20" t="n">
        <v>0.10375403</v>
      </c>
      <c r="M17" s="18" t="n">
        <v>0</v>
      </c>
      <c r="N17" s="20" t="n">
        <v>0</v>
      </c>
      <c r="O17" s="18" t="n">
        <v>0</v>
      </c>
      <c r="P17" s="20" t="n">
        <v>0</v>
      </c>
      <c r="Q17" s="18" t="n">
        <v>0.81821078</v>
      </c>
      <c r="R17" s="20" t="n">
        <v>0.29599553</v>
      </c>
    </row>
    <row r="18" spans="1:18">
      <c r="A18" s="15" t="s">
        <v>576</v>
      </c>
      <c r="B18" s="17" t="n">
        <v>5532</v>
      </c>
      <c r="C18" s="18">
        <f>(4320.0/B18*100)</f>
        <v/>
      </c>
      <c r="D18" s="19" t="n">
        <v>1212</v>
      </c>
      <c r="E18" s="18" t="n">
        <v>74.03336398</v>
      </c>
      <c r="F18" s="20" t="n">
        <v>1.48830796</v>
      </c>
      <c r="G18" s="18" t="n">
        <v>24.6220971</v>
      </c>
      <c r="H18" s="20" t="n">
        <v>1.55377645</v>
      </c>
      <c r="I18" s="18" t="n">
        <v>0</v>
      </c>
      <c r="J18" s="20" t="n">
        <v>0</v>
      </c>
      <c r="K18" s="18" t="n">
        <v>0.16353432</v>
      </c>
      <c r="L18" s="20" t="n">
        <v>0.11848667</v>
      </c>
      <c r="M18" s="18" t="n">
        <v>0</v>
      </c>
      <c r="N18" s="20" t="n">
        <v>0</v>
      </c>
      <c r="O18" s="18" t="n">
        <v>0</v>
      </c>
      <c r="P18" s="20" t="n">
        <v>0</v>
      </c>
      <c r="Q18" s="18" t="n">
        <v>1.1810046</v>
      </c>
      <c r="R18" s="20" t="n">
        <v>0.36131583</v>
      </c>
    </row>
    <row r="19" spans="1:18">
      <c r="A19" s="15" t="s">
        <v>577</v>
      </c>
      <c r="B19" s="17" t="n">
        <v>5658</v>
      </c>
      <c r="C19" s="18">
        <f>(4399.0/B19*100)</f>
        <v/>
      </c>
      <c r="D19" s="19" t="n">
        <v>1259</v>
      </c>
      <c r="E19" s="18" t="n">
        <v>67.18365009</v>
      </c>
      <c r="F19" s="20" t="n">
        <v>1.49559869</v>
      </c>
      <c r="G19" s="18" t="n">
        <v>32.31814424</v>
      </c>
      <c r="H19" s="20" t="n">
        <v>1.53236636</v>
      </c>
      <c r="I19" s="18" t="n">
        <v>0</v>
      </c>
      <c r="J19" s="20" t="n">
        <v>0</v>
      </c>
      <c r="K19" s="18" t="n">
        <v>0.12995459</v>
      </c>
      <c r="L19" s="20" t="n">
        <v>0.07852831</v>
      </c>
      <c r="M19" s="18" t="n">
        <v>0</v>
      </c>
      <c r="N19" s="20" t="n">
        <v>0</v>
      </c>
      <c r="O19" s="18" t="n">
        <v>0</v>
      </c>
      <c r="P19" s="20" t="n">
        <v>0</v>
      </c>
      <c r="Q19" s="18" t="n">
        <v>0.36825108</v>
      </c>
      <c r="R19" s="20" t="n">
        <v>0.21584023</v>
      </c>
    </row>
    <row r="20" spans="1:18">
      <c r="A20" s="15" t="s">
        <v>578</v>
      </c>
      <c r="B20" s="17" t="n">
        <v>3371</v>
      </c>
      <c r="C20" s="18">
        <f>(2615.0/B20*100)</f>
        <v/>
      </c>
      <c r="D20" s="19" t="n">
        <v>756</v>
      </c>
      <c r="E20" s="18" t="n">
        <v>74.68695748</v>
      </c>
      <c r="F20" s="20" t="n">
        <v>1.55730312</v>
      </c>
      <c r="G20" s="18" t="n">
        <v>24.42521655</v>
      </c>
      <c r="H20" s="20" t="n">
        <v>1.5230592</v>
      </c>
      <c r="I20" s="18" t="n">
        <v>0</v>
      </c>
      <c r="J20" s="20" t="n">
        <v>0</v>
      </c>
      <c r="K20" s="18" t="n">
        <v>0</v>
      </c>
      <c r="L20" s="20" t="n">
        <v>0</v>
      </c>
      <c r="M20" s="18" t="n">
        <v>0</v>
      </c>
      <c r="N20" s="20" t="n">
        <v>0</v>
      </c>
      <c r="O20" s="18" t="n">
        <v>0</v>
      </c>
      <c r="P20" s="20" t="n">
        <v>0</v>
      </c>
      <c r="Q20" s="18" t="n">
        <v>0.88782598</v>
      </c>
      <c r="R20" s="20" t="n">
        <v>0.28844879</v>
      </c>
    </row>
    <row r="21" spans="1:18">
      <c r="A21" s="15" t="s">
        <v>579</v>
      </c>
      <c r="B21" s="17" t="n">
        <v>5741</v>
      </c>
      <c r="C21" s="18">
        <f>(4452.0/B21*100)</f>
        <v/>
      </c>
      <c r="D21" s="19" t="n">
        <v>1289</v>
      </c>
      <c r="E21" s="18" t="n">
        <v>79.55736527000001</v>
      </c>
      <c r="F21" s="20" t="n">
        <v>1.3266082</v>
      </c>
      <c r="G21" s="18" t="n">
        <v>20.37009076</v>
      </c>
      <c r="H21" s="20" t="n">
        <v>1.32464325</v>
      </c>
      <c r="I21" s="18" t="n">
        <v>0</v>
      </c>
      <c r="J21" s="20" t="n">
        <v>0</v>
      </c>
      <c r="K21" s="18" t="n">
        <v>0</v>
      </c>
      <c r="L21" s="20" t="n">
        <v>0</v>
      </c>
      <c r="M21" s="18" t="n">
        <v>0</v>
      </c>
      <c r="N21" s="20" t="n">
        <v>0</v>
      </c>
      <c r="O21" s="18" t="n">
        <v>0</v>
      </c>
      <c r="P21" s="20" t="n">
        <v>0</v>
      </c>
      <c r="Q21" s="18" t="n">
        <v>0.07254396</v>
      </c>
      <c r="R21" s="20" t="n">
        <v>0.0635333</v>
      </c>
    </row>
    <row r="22" spans="1:18">
      <c r="A22" s="15" t="s">
        <v>580</v>
      </c>
      <c r="B22" s="17" t="n">
        <v>6598</v>
      </c>
      <c r="C22" s="18">
        <f>(5121.0/B22*100)</f>
        <v/>
      </c>
      <c r="D22" s="19" t="n">
        <v>1477</v>
      </c>
      <c r="E22" s="18" t="n">
        <v>71.13884611</v>
      </c>
      <c r="F22" s="20" t="n">
        <v>1.53589977</v>
      </c>
      <c r="G22" s="18" t="n">
        <v>27.46025293</v>
      </c>
      <c r="H22" s="20" t="n">
        <v>1.48759215</v>
      </c>
      <c r="I22" s="18" t="n">
        <v>0</v>
      </c>
      <c r="J22" s="20" t="n">
        <v>0</v>
      </c>
      <c r="K22" s="18" t="n">
        <v>0.52544697</v>
      </c>
      <c r="L22" s="20" t="n">
        <v>0.20750049</v>
      </c>
      <c r="M22" s="18" t="n">
        <v>0</v>
      </c>
      <c r="N22" s="20" t="n">
        <v>0</v>
      </c>
      <c r="O22" s="18" t="n">
        <v>0</v>
      </c>
      <c r="P22" s="20" t="n">
        <v>0</v>
      </c>
      <c r="Q22" s="18" t="n">
        <v>0.87545399</v>
      </c>
      <c r="R22" s="20" t="n">
        <v>0.24344028</v>
      </c>
    </row>
    <row r="23" spans="1:18">
      <c r="A23" s="15" t="s">
        <v>581</v>
      </c>
      <c r="B23" s="17" t="n">
        <v>11583</v>
      </c>
      <c r="C23" s="18">
        <f>(8982.0/B23*100)</f>
        <v/>
      </c>
      <c r="D23" s="19" t="n">
        <v>2601</v>
      </c>
      <c r="E23" s="18" t="n">
        <v>72.79966638000001</v>
      </c>
      <c r="F23" s="20" t="n">
        <v>1.46602484</v>
      </c>
      <c r="G23" s="18" t="n">
        <v>26.37662006</v>
      </c>
      <c r="H23" s="20" t="n">
        <v>1.45605371</v>
      </c>
      <c r="I23" s="18" t="n">
        <v>0</v>
      </c>
      <c r="J23" s="20" t="n">
        <v>0</v>
      </c>
      <c r="K23" s="18" t="n">
        <v>0.15185001</v>
      </c>
      <c r="L23" s="20" t="n">
        <v>0.10701701</v>
      </c>
      <c r="M23" s="18" t="n">
        <v>0</v>
      </c>
      <c r="N23" s="20" t="n">
        <v>0</v>
      </c>
      <c r="O23" s="18" t="n">
        <v>0</v>
      </c>
      <c r="P23" s="20" t="n">
        <v>0</v>
      </c>
      <c r="Q23" s="18" t="n">
        <v>0.67186355</v>
      </c>
      <c r="R23" s="20" t="n">
        <v>0.27295124</v>
      </c>
    </row>
    <row r="24" spans="1:18">
      <c r="A24" s="15" t="s">
        <v>582</v>
      </c>
      <c r="B24" s="17" t="n">
        <v>6647</v>
      </c>
      <c r="C24" s="18">
        <f>(5142.0/B24*100)</f>
        <v/>
      </c>
      <c r="D24" s="19" t="n">
        <v>1505</v>
      </c>
      <c r="E24" s="18" t="n">
        <v>58.59615395</v>
      </c>
      <c r="F24" s="20" t="n">
        <v>1.29736442</v>
      </c>
      <c r="G24" s="18" t="n">
        <v>40.86214545</v>
      </c>
      <c r="H24" s="20" t="n">
        <v>1.32957879</v>
      </c>
      <c r="I24" s="18" t="n">
        <v>0</v>
      </c>
      <c r="J24" s="20" t="n">
        <v>0</v>
      </c>
      <c r="K24" s="18" t="n">
        <v>0</v>
      </c>
      <c r="L24" s="20" t="n">
        <v>0</v>
      </c>
      <c r="M24" s="18" t="n">
        <v>0</v>
      </c>
      <c r="N24" s="20" t="n">
        <v>0</v>
      </c>
      <c r="O24" s="18" t="n">
        <v>0</v>
      </c>
      <c r="P24" s="20" t="n">
        <v>0</v>
      </c>
      <c r="Q24" s="18" t="n">
        <v>0.5417006</v>
      </c>
      <c r="R24" s="20" t="n">
        <v>0.18887828</v>
      </c>
    </row>
    <row r="25" spans="1:18">
      <c r="A25" s="15" t="s">
        <v>583</v>
      </c>
      <c r="B25" s="17" t="n">
        <v>5581</v>
      </c>
      <c r="C25" s="18">
        <f>(4331.0/B25*100)</f>
        <v/>
      </c>
      <c r="D25" s="19" t="n">
        <v>1250</v>
      </c>
      <c r="E25" s="18" t="n">
        <v>57.11095668</v>
      </c>
      <c r="F25" s="20" t="n">
        <v>1.43644902</v>
      </c>
      <c r="G25" s="18" t="n">
        <v>42.17200698</v>
      </c>
      <c r="H25" s="20" t="n">
        <v>1.40491983</v>
      </c>
      <c r="I25" s="18" t="n">
        <v>0</v>
      </c>
      <c r="J25" s="20" t="n">
        <v>0</v>
      </c>
      <c r="K25" s="18" t="n">
        <v>0.15314511</v>
      </c>
      <c r="L25" s="20" t="n">
        <v>0.10777975</v>
      </c>
      <c r="M25" s="18" t="n">
        <v>0</v>
      </c>
      <c r="N25" s="20" t="n">
        <v>0</v>
      </c>
      <c r="O25" s="18" t="n">
        <v>0</v>
      </c>
      <c r="P25" s="20" t="n">
        <v>0</v>
      </c>
      <c r="Q25" s="18" t="n">
        <v>0.56389123</v>
      </c>
      <c r="R25" s="20" t="n">
        <v>0.24222694</v>
      </c>
    </row>
    <row r="26" spans="1:18">
      <c r="A26" s="15" t="s">
        <v>584</v>
      </c>
      <c r="B26" s="17" t="n">
        <v>4869</v>
      </c>
      <c r="C26" s="18">
        <f>(3804.0/B26*100)</f>
        <v/>
      </c>
      <c r="D26" s="19" t="n">
        <v>1065</v>
      </c>
      <c r="E26" s="18" t="n">
        <v>74.62831291000001</v>
      </c>
      <c r="F26" s="20" t="n">
        <v>1.30391024</v>
      </c>
      <c r="G26" s="18" t="n">
        <v>25.37168709</v>
      </c>
      <c r="H26" s="20" t="n">
        <v>1.30391024</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(4085.0/B27*100)</f>
        <v/>
      </c>
      <c r="D27" s="19" t="n">
        <v>1214</v>
      </c>
      <c r="E27" s="18" t="n">
        <v>70.71806945</v>
      </c>
      <c r="F27" s="20" t="n">
        <v>1.30522017</v>
      </c>
      <c r="G27" s="18" t="n">
        <v>28.76459407</v>
      </c>
      <c r="H27" s="20" t="n">
        <v>1.27586388</v>
      </c>
      <c r="I27" s="18" t="n">
        <v>0</v>
      </c>
      <c r="J27" s="20" t="n">
        <v>0</v>
      </c>
      <c r="K27" s="18" t="n">
        <v>0</v>
      </c>
      <c r="L27" s="20" t="n">
        <v>0</v>
      </c>
      <c r="M27" s="18" t="n">
        <v>0</v>
      </c>
      <c r="N27" s="20" t="n">
        <v>0</v>
      </c>
      <c r="O27" s="18" t="n">
        <v>0</v>
      </c>
      <c r="P27" s="20" t="n">
        <v>0</v>
      </c>
      <c r="Q27" s="18" t="n">
        <v>0.51733648</v>
      </c>
      <c r="R27" s="20" t="n">
        <v>0.27355899</v>
      </c>
    </row>
    <row r="28" spans="1:18">
      <c r="A28" s="15" t="s">
        <v>586</v>
      </c>
      <c r="B28" s="17" t="n">
        <v>7568</v>
      </c>
      <c r="C28" s="18">
        <f>(5951.0/B28*100)</f>
        <v/>
      </c>
      <c r="D28" s="19" t="n">
        <v>1617</v>
      </c>
      <c r="E28" s="18" t="n">
        <v>88.22629000000001</v>
      </c>
      <c r="F28" s="20" t="n">
        <v>0.78180139</v>
      </c>
      <c r="G28" s="18" t="n">
        <v>10.8756596</v>
      </c>
      <c r="H28" s="20" t="n">
        <v>0.72626466</v>
      </c>
      <c r="I28" s="18" t="n">
        <v>0</v>
      </c>
      <c r="J28" s="20" t="n">
        <v>0</v>
      </c>
      <c r="K28" s="18" t="n">
        <v>0.3759119</v>
      </c>
      <c r="L28" s="20" t="n">
        <v>0.17303969</v>
      </c>
      <c r="M28" s="18" t="n">
        <v>0</v>
      </c>
      <c r="N28" s="20" t="n">
        <v>0</v>
      </c>
      <c r="O28" s="18" t="n">
        <v>0</v>
      </c>
      <c r="P28" s="20" t="n">
        <v>0</v>
      </c>
      <c r="Q28" s="18" t="n">
        <v>0.5221384999999999</v>
      </c>
      <c r="R28" s="20" t="n">
        <v>0.24402171</v>
      </c>
    </row>
    <row r="29" spans="1:18">
      <c r="A29" s="15" t="s">
        <v>587</v>
      </c>
      <c r="B29" s="17" t="n">
        <v>5385</v>
      </c>
      <c r="C29" s="18">
        <f>(4224.0/B29*100)</f>
        <v/>
      </c>
      <c r="D29" s="19" t="n">
        <v>1161</v>
      </c>
      <c r="E29" s="18" t="n">
        <v>62.3217728</v>
      </c>
      <c r="F29" s="20" t="n">
        <v>1.39403178</v>
      </c>
      <c r="G29" s="18" t="n">
        <v>37.04742492</v>
      </c>
      <c r="H29" s="20" t="n">
        <v>1.3968828</v>
      </c>
      <c r="I29" s="18" t="n">
        <v>0</v>
      </c>
      <c r="J29" s="20" t="n">
        <v>0</v>
      </c>
      <c r="K29" s="18" t="n">
        <v>0.23777813</v>
      </c>
      <c r="L29" s="20" t="n">
        <v>0.13238195</v>
      </c>
      <c r="M29" s="18" t="n">
        <v>0</v>
      </c>
      <c r="N29" s="20" t="n">
        <v>0</v>
      </c>
      <c r="O29" s="18" t="n">
        <v>0</v>
      </c>
      <c r="P29" s="20" t="n">
        <v>0</v>
      </c>
      <c r="Q29" s="18" t="n">
        <v>0.39302416</v>
      </c>
      <c r="R29" s="20" t="n">
        <v>0.19034704</v>
      </c>
    </row>
    <row r="30" spans="1:18">
      <c r="A30" s="15" t="s">
        <v>588</v>
      </c>
      <c r="B30" s="17" t="n">
        <v>4520</v>
      </c>
      <c r="C30" s="18">
        <f>(3549.0/B30*100)</f>
        <v/>
      </c>
      <c r="D30" s="19" t="n">
        <v>971</v>
      </c>
      <c r="E30" s="18" t="n">
        <v>70.46860732</v>
      </c>
      <c r="F30" s="20" t="n">
        <v>1.59977072</v>
      </c>
      <c r="G30" s="18" t="n">
        <v>29.06747762</v>
      </c>
      <c r="H30" s="20" t="n">
        <v>1.60095919</v>
      </c>
      <c r="I30" s="18" t="n">
        <v>0</v>
      </c>
      <c r="J30" s="20" t="n">
        <v>0</v>
      </c>
      <c r="K30" s="18" t="n">
        <v>0</v>
      </c>
      <c r="L30" s="20" t="n">
        <v>0</v>
      </c>
      <c r="M30" s="18" t="n">
        <v>0</v>
      </c>
      <c r="N30" s="20" t="n">
        <v>0</v>
      </c>
      <c r="O30" s="18" t="n">
        <v>0</v>
      </c>
      <c r="P30" s="20" t="n">
        <v>0</v>
      </c>
      <c r="Q30" s="18" t="n">
        <v>0.46391506</v>
      </c>
      <c r="R30" s="20" t="n">
        <v>0.2029002</v>
      </c>
    </row>
    <row r="31" spans="1:18">
      <c r="A31" s="15" t="s">
        <v>589</v>
      </c>
      <c r="B31" s="17" t="n">
        <v>5456</v>
      </c>
      <c r="C31" s="18">
        <f>(4268.0/B31*100)</f>
        <v/>
      </c>
      <c r="D31" s="19" t="n">
        <v>1188</v>
      </c>
      <c r="E31" s="18" t="n">
        <v>65.49714079</v>
      </c>
      <c r="F31" s="20" t="n">
        <v>1.27369053</v>
      </c>
      <c r="G31" s="18" t="n">
        <v>34.01001704</v>
      </c>
      <c r="H31" s="20" t="n">
        <v>1.27917572</v>
      </c>
      <c r="I31" s="18" t="n">
        <v>0</v>
      </c>
      <c r="J31" s="20" t="n">
        <v>0</v>
      </c>
      <c r="K31" s="18" t="n">
        <v>0.15444277</v>
      </c>
      <c r="L31" s="20" t="n">
        <v>0.10613582</v>
      </c>
      <c r="M31" s="18" t="n">
        <v>0</v>
      </c>
      <c r="N31" s="20" t="n">
        <v>0</v>
      </c>
      <c r="O31" s="18" t="n">
        <v>0</v>
      </c>
      <c r="P31" s="20" t="n">
        <v>0</v>
      </c>
      <c r="Q31" s="18" t="n">
        <v>0.33839939</v>
      </c>
      <c r="R31" s="20" t="n">
        <v>0.1656179</v>
      </c>
    </row>
    <row r="32" spans="1:18">
      <c r="A32" s="15" t="s">
        <v>590</v>
      </c>
      <c r="B32" s="17" t="n">
        <v>4478</v>
      </c>
      <c r="C32" s="18">
        <f>(3512.0/B32*100)</f>
        <v/>
      </c>
      <c r="D32" s="19" t="n">
        <v>966</v>
      </c>
      <c r="E32" s="18" t="n">
        <v>65.90994653</v>
      </c>
      <c r="F32" s="20" t="n">
        <v>1.70683318</v>
      </c>
      <c r="G32" s="18" t="n">
        <v>33.69704262</v>
      </c>
      <c r="H32" s="20" t="n">
        <v>1.67996176</v>
      </c>
      <c r="I32" s="18" t="n">
        <v>0</v>
      </c>
      <c r="J32" s="20" t="n">
        <v>0</v>
      </c>
      <c r="K32" s="18" t="n">
        <v>0.09214854</v>
      </c>
      <c r="L32" s="20" t="n">
        <v>0.09203217</v>
      </c>
      <c r="M32" s="18" t="n">
        <v>0</v>
      </c>
      <c r="N32" s="20" t="n">
        <v>0</v>
      </c>
      <c r="O32" s="18" t="n">
        <v>0</v>
      </c>
      <c r="P32" s="20" t="n">
        <v>0</v>
      </c>
      <c r="Q32" s="18" t="n">
        <v>0.30086232</v>
      </c>
      <c r="R32" s="20" t="n">
        <v>0.17439968</v>
      </c>
    </row>
    <row r="33" spans="1:18">
      <c r="A33" s="15" t="s">
        <v>591</v>
      </c>
      <c r="B33" s="17" t="n">
        <v>7325</v>
      </c>
      <c r="C33" s="18">
        <f>(5779.0/B33*100)</f>
        <v/>
      </c>
      <c r="D33" s="19" t="n">
        <v>1546</v>
      </c>
      <c r="E33" s="18" t="n">
        <v>66.8056362</v>
      </c>
      <c r="F33" s="20" t="n">
        <v>1.38969409</v>
      </c>
      <c r="G33" s="18" t="n">
        <v>32.70919801</v>
      </c>
      <c r="H33" s="20" t="n">
        <v>1.37097596</v>
      </c>
      <c r="I33" s="18" t="n">
        <v>0</v>
      </c>
      <c r="J33" s="20" t="n">
        <v>0</v>
      </c>
      <c r="K33" s="18" t="n">
        <v>0.23714191</v>
      </c>
      <c r="L33" s="20" t="n">
        <v>0.16562765</v>
      </c>
      <c r="M33" s="18" t="n">
        <v>0</v>
      </c>
      <c r="N33" s="20" t="n">
        <v>0</v>
      </c>
      <c r="O33" s="18" t="n">
        <v>0</v>
      </c>
      <c r="P33" s="20" t="n">
        <v>0</v>
      </c>
      <c r="Q33" s="18" t="n">
        <v>0.24802388</v>
      </c>
      <c r="R33" s="20" t="n">
        <v>0.14171558</v>
      </c>
    </row>
    <row r="34" spans="1:18">
      <c r="A34" s="15" t="s">
        <v>592</v>
      </c>
      <c r="B34" s="17" t="n">
        <v>6350</v>
      </c>
      <c r="C34" s="18">
        <f>(4982.0/B34*100)</f>
        <v/>
      </c>
      <c r="D34" s="19" t="n">
        <v>1368</v>
      </c>
      <c r="E34" s="18" t="n">
        <v>68.08307735</v>
      </c>
      <c r="F34" s="20" t="n">
        <v>1.45856814</v>
      </c>
      <c r="G34" s="18" t="n">
        <v>31.17241771</v>
      </c>
      <c r="H34" s="20" t="n">
        <v>1.44158129</v>
      </c>
      <c r="I34" s="18" t="n">
        <v>0</v>
      </c>
      <c r="J34" s="20" t="n">
        <v>0</v>
      </c>
      <c r="K34" s="18" t="n">
        <v>0</v>
      </c>
      <c r="L34" s="20" t="n">
        <v>0</v>
      </c>
      <c r="M34" s="18" t="n">
        <v>0</v>
      </c>
      <c r="N34" s="20" t="n">
        <v>0</v>
      </c>
      <c r="O34" s="18" t="n">
        <v>0</v>
      </c>
      <c r="P34" s="20" t="n">
        <v>0</v>
      </c>
      <c r="Q34" s="18" t="n">
        <v>0.74450494</v>
      </c>
      <c r="R34" s="20" t="n">
        <v>0.19338523</v>
      </c>
    </row>
    <row r="35" spans="1:18">
      <c r="A35" s="15" t="s">
        <v>593</v>
      </c>
      <c r="B35" s="17" t="n">
        <v>6406</v>
      </c>
      <c r="C35" s="18">
        <f>(4992.0/B35*100)</f>
        <v/>
      </c>
      <c r="D35" s="19" t="n">
        <v>1414</v>
      </c>
      <c r="E35" s="18" t="n">
        <v>60.84293054</v>
      </c>
      <c r="F35" s="20" t="n">
        <v>1.6564996</v>
      </c>
      <c r="G35" s="18" t="n">
        <v>38.94992982</v>
      </c>
      <c r="H35" s="20" t="n">
        <v>1.68453441</v>
      </c>
      <c r="I35" s="18" t="n">
        <v>0</v>
      </c>
      <c r="J35" s="20" t="n">
        <v>0</v>
      </c>
      <c r="K35" s="18" t="n">
        <v>0.06581637999999999</v>
      </c>
      <c r="L35" s="20" t="n">
        <v>0.04758612</v>
      </c>
      <c r="M35" s="18" t="n">
        <v>0</v>
      </c>
      <c r="N35" s="20" t="n">
        <v>0</v>
      </c>
      <c r="O35" s="18" t="n">
        <v>0</v>
      </c>
      <c r="P35" s="20" t="n">
        <v>0</v>
      </c>
      <c r="Q35" s="18" t="n">
        <v>0.14132326</v>
      </c>
      <c r="R35" s="20" t="n">
        <v>0.1098474</v>
      </c>
    </row>
    <row r="36" spans="1:18">
      <c r="A36" s="15" t="s">
        <v>594</v>
      </c>
      <c r="B36" s="17" t="n">
        <v>6736</v>
      </c>
      <c r="C36" s="18">
        <f>(5215.0/B36*100)</f>
        <v/>
      </c>
      <c r="D36" s="19" t="n">
        <v>1521</v>
      </c>
      <c r="E36" s="18" t="n">
        <v>79.35867501</v>
      </c>
      <c r="F36" s="20" t="n">
        <v>1.09301117</v>
      </c>
      <c r="G36" s="18" t="n">
        <v>19.70383262</v>
      </c>
      <c r="H36" s="20" t="n">
        <v>1.06595483</v>
      </c>
      <c r="I36" s="18" t="n">
        <v>0</v>
      </c>
      <c r="J36" s="20" t="n">
        <v>0</v>
      </c>
      <c r="K36" s="18" t="n">
        <v>0.15438037</v>
      </c>
      <c r="L36" s="20" t="n">
        <v>0.1334018</v>
      </c>
      <c r="M36" s="18" t="n">
        <v>0</v>
      </c>
      <c r="N36" s="20" t="n">
        <v>0</v>
      </c>
      <c r="O36" s="18" t="n">
        <v>0</v>
      </c>
      <c r="P36" s="20" t="n">
        <v>0</v>
      </c>
      <c r="Q36" s="18" t="n">
        <v>0.78311201</v>
      </c>
      <c r="R36" s="20" t="n">
        <v>0.23564511</v>
      </c>
    </row>
    <row r="37" spans="1:18">
      <c r="A37" s="15" t="s">
        <v>595</v>
      </c>
      <c r="B37" s="17" t="n">
        <v>5458</v>
      </c>
      <c r="C37" s="18">
        <f>(4257.0/B37*100)</f>
        <v/>
      </c>
      <c r="D37" s="19" t="n">
        <v>1201</v>
      </c>
      <c r="E37" s="18" t="n">
        <v>66.13215442000001</v>
      </c>
      <c r="F37" s="20" t="n">
        <v>1.57287639</v>
      </c>
      <c r="G37" s="18" t="n">
        <v>32.4772349</v>
      </c>
      <c r="H37" s="20" t="n">
        <v>1.64693732</v>
      </c>
      <c r="I37" s="18" t="n">
        <v>0</v>
      </c>
      <c r="J37" s="20" t="n">
        <v>0</v>
      </c>
      <c r="K37" s="18" t="n">
        <v>0.40781736</v>
      </c>
      <c r="L37" s="20" t="n">
        <v>0.18079346</v>
      </c>
      <c r="M37" s="18" t="n">
        <v>0</v>
      </c>
      <c r="N37" s="20" t="n">
        <v>0</v>
      </c>
      <c r="O37" s="18" t="n">
        <v>0</v>
      </c>
      <c r="P37" s="20" t="n">
        <v>0</v>
      </c>
      <c r="Q37" s="18" t="n">
        <v>0.98279332</v>
      </c>
      <c r="R37" s="20" t="n">
        <v>0.29648996</v>
      </c>
    </row>
    <row r="38" spans="1:18">
      <c r="A38" s="15" t="s">
        <v>596</v>
      </c>
      <c r="B38" s="17" t="n">
        <v>5860</v>
      </c>
      <c r="C38" s="18">
        <f>(4547.0/B38*100)</f>
        <v/>
      </c>
      <c r="D38" s="19" t="n">
        <v>1313</v>
      </c>
      <c r="E38" s="18" t="n">
        <v>62.19501197</v>
      </c>
      <c r="F38" s="20" t="n">
        <v>1.51708254</v>
      </c>
      <c r="G38" s="18" t="n">
        <v>37.45885054</v>
      </c>
      <c r="H38" s="20" t="n">
        <v>1.52074149</v>
      </c>
      <c r="I38" s="18" t="n">
        <v>0</v>
      </c>
      <c r="J38" s="20" t="n">
        <v>0</v>
      </c>
      <c r="K38" s="18" t="n">
        <v>0.01482647</v>
      </c>
      <c r="L38" s="20" t="n">
        <v>0.01422648</v>
      </c>
      <c r="M38" s="18" t="n">
        <v>0</v>
      </c>
      <c r="N38" s="20" t="n">
        <v>0</v>
      </c>
      <c r="O38" s="18" t="n">
        <v>0</v>
      </c>
      <c r="P38" s="20" t="n">
        <v>0</v>
      </c>
      <c r="Q38" s="18" t="n">
        <v>0.33131102</v>
      </c>
      <c r="R38" s="20" t="n">
        <v>0.17473608</v>
      </c>
    </row>
    <row r="39" spans="1:18">
      <c r="A39" s="15" t="s">
        <v>597</v>
      </c>
      <c r="B39" s="17" t="n">
        <v>5895</v>
      </c>
      <c r="C39" s="18">
        <f>(4581.0/B39*100)</f>
        <v/>
      </c>
      <c r="D39" s="19" t="n">
        <v>1314</v>
      </c>
      <c r="E39" s="18" t="n">
        <v>85.84559449</v>
      </c>
      <c r="F39" s="20" t="n">
        <v>1.42042216</v>
      </c>
      <c r="G39" s="18" t="n">
        <v>13.29174958</v>
      </c>
      <c r="H39" s="20" t="n">
        <v>1.43636275</v>
      </c>
      <c r="I39" s="18" t="n">
        <v>0</v>
      </c>
      <c r="J39" s="20" t="n">
        <v>0</v>
      </c>
      <c r="K39" s="18" t="n">
        <v>0</v>
      </c>
      <c r="L39" s="20" t="n">
        <v>0</v>
      </c>
      <c r="M39" s="18" t="n">
        <v>0</v>
      </c>
      <c r="N39" s="20" t="n">
        <v>0</v>
      </c>
      <c r="O39" s="18" t="n">
        <v>0</v>
      </c>
      <c r="P39" s="20" t="n">
        <v>0</v>
      </c>
      <c r="Q39" s="18" t="n">
        <v>0.86265593</v>
      </c>
      <c r="R39" s="20" t="n">
        <v>0.32705127</v>
      </c>
    </row>
    <row r="40" spans="1:18">
      <c r="A40" s="15" t="s">
        <v>598</v>
      </c>
      <c r="B40" s="17" t="n">
        <v>14157</v>
      </c>
      <c r="C40" s="18">
        <f>(11147.0/B40*100)</f>
        <v/>
      </c>
      <c r="D40" s="19" t="n">
        <v>3010</v>
      </c>
      <c r="E40" s="18" t="n">
        <v>76.5069312</v>
      </c>
      <c r="F40" s="20" t="n">
        <v>1.180116</v>
      </c>
      <c r="G40" s="18" t="n">
        <v>22.99899202</v>
      </c>
      <c r="H40" s="20" t="n">
        <v>1.19444966</v>
      </c>
      <c r="I40" s="18" t="n">
        <v>0</v>
      </c>
      <c r="J40" s="20" t="n">
        <v>0</v>
      </c>
      <c r="K40" s="18" t="n">
        <v>0.04686687</v>
      </c>
      <c r="L40" s="20" t="n">
        <v>0.02239999</v>
      </c>
      <c r="M40" s="18" t="n">
        <v>0</v>
      </c>
      <c r="N40" s="20" t="n">
        <v>0</v>
      </c>
      <c r="O40" s="18" t="n">
        <v>0</v>
      </c>
      <c r="P40" s="20" t="n">
        <v>0</v>
      </c>
      <c r="Q40" s="18" t="n">
        <v>0.44720991</v>
      </c>
      <c r="R40" s="20" t="n">
        <v>0.17773618</v>
      </c>
    </row>
    <row r="41" spans="1:18">
      <c r="A41" s="15" t="s">
        <v>599</v>
      </c>
      <c r="B41" s="17" t="n">
        <v>5712</v>
      </c>
      <c r="C41" s="18">
        <f>(4410.0/B41*100)</f>
        <v/>
      </c>
      <c r="D41" s="19" t="n">
        <v>1302</v>
      </c>
      <c r="E41" s="18" t="n">
        <v>69.71233214</v>
      </c>
      <c r="F41" s="20" t="n">
        <v>1.27368685</v>
      </c>
      <c r="G41" s="18" t="n">
        <v>29.02747156</v>
      </c>
      <c r="H41" s="20" t="n">
        <v>1.30016416</v>
      </c>
      <c r="I41" s="18" t="n">
        <v>0</v>
      </c>
      <c r="J41" s="20" t="n">
        <v>0</v>
      </c>
      <c r="K41" s="18" t="n">
        <v>0.09444205999999999</v>
      </c>
      <c r="L41" s="20" t="n">
        <v>0.08012047</v>
      </c>
      <c r="M41" s="18" t="n">
        <v>0</v>
      </c>
      <c r="N41" s="20" t="n">
        <v>0</v>
      </c>
      <c r="O41" s="18" t="n">
        <v>0</v>
      </c>
      <c r="P41" s="20" t="n">
        <v>0</v>
      </c>
      <c r="Q41" s="18" t="n">
        <v>1.16575425</v>
      </c>
      <c r="R41" s="20" t="n">
        <v>0.31504383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(18573.0/B46*100)</f>
        <v/>
      </c>
      <c r="D46" s="19" t="n">
        <v>4568</v>
      </c>
      <c r="E46" s="18" t="n">
        <v>86.54144693000001</v>
      </c>
      <c r="F46" s="20" t="n">
        <v>1.09185253</v>
      </c>
      <c r="G46" s="18" t="n">
        <v>11.00971766</v>
      </c>
      <c r="H46" s="20" t="n">
        <v>1.05526503</v>
      </c>
      <c r="I46" s="18" t="n">
        <v>0</v>
      </c>
      <c r="J46" s="20" t="n">
        <v>0</v>
      </c>
      <c r="K46" s="18" t="n">
        <v>0.39640776</v>
      </c>
      <c r="L46" s="20" t="n">
        <v>0.14510061</v>
      </c>
      <c r="M46" s="18" t="n">
        <v>0</v>
      </c>
      <c r="N46" s="20" t="n">
        <v>0</v>
      </c>
      <c r="O46" s="18" t="n">
        <v>0</v>
      </c>
      <c r="P46" s="20" t="n">
        <v>0</v>
      </c>
      <c r="Q46" s="18" t="n">
        <v>2.05242765</v>
      </c>
      <c r="R46" s="20" t="n">
        <v>0.3042325</v>
      </c>
    </row>
    <row r="47" spans="1:18">
      <c r="A47" s="15" t="s">
        <v>606</v>
      </c>
      <c r="B47" s="17" t="n">
        <v>5928</v>
      </c>
      <c r="C47" s="18">
        <f>(4647.0/B47*100)</f>
        <v/>
      </c>
      <c r="D47" s="19" t="n">
        <v>1281</v>
      </c>
      <c r="E47" s="18" t="n">
        <v>83.02430884</v>
      </c>
      <c r="F47" s="20" t="n">
        <v>1.31577539</v>
      </c>
      <c r="G47" s="18" t="n">
        <v>16.21245775</v>
      </c>
      <c r="H47" s="20" t="n">
        <v>1.34304752</v>
      </c>
      <c r="I47" s="18" t="n">
        <v>0</v>
      </c>
      <c r="J47" s="20" t="n">
        <v>0</v>
      </c>
      <c r="K47" s="18" t="n">
        <v>0</v>
      </c>
      <c r="L47" s="20" t="n">
        <v>0</v>
      </c>
      <c r="M47" s="18" t="n">
        <v>0</v>
      </c>
      <c r="N47" s="20" t="n">
        <v>0</v>
      </c>
      <c r="O47" s="18" t="n">
        <v>0</v>
      </c>
      <c r="P47" s="20" t="n">
        <v>0</v>
      </c>
      <c r="Q47" s="18" t="n">
        <v>0.7632334</v>
      </c>
      <c r="R47" s="20" t="n">
        <v>0.24203672</v>
      </c>
    </row>
    <row r="48" spans="1:18">
      <c r="A48" s="15" t="s">
        <v>607</v>
      </c>
      <c r="B48" s="17" t="n">
        <v>9841</v>
      </c>
      <c r="C48" s="18">
        <f>(7663.0/B48*100)</f>
        <v/>
      </c>
      <c r="D48" s="19" t="n">
        <v>2178</v>
      </c>
      <c r="E48" s="18" t="n">
        <v>60.40319298</v>
      </c>
      <c r="F48" s="20" t="n">
        <v>1.64871087</v>
      </c>
      <c r="G48" s="18" t="n">
        <v>38.75907496</v>
      </c>
      <c r="H48" s="20" t="n">
        <v>1.63837994</v>
      </c>
      <c r="I48" s="18" t="n">
        <v>0</v>
      </c>
      <c r="J48" s="20" t="n">
        <v>0</v>
      </c>
      <c r="K48" s="18" t="n">
        <v>0.49229748</v>
      </c>
      <c r="L48" s="20" t="n">
        <v>0.21677222</v>
      </c>
      <c r="M48" s="18" t="n">
        <v>0</v>
      </c>
      <c r="N48" s="20" t="n">
        <v>0</v>
      </c>
      <c r="O48" s="18" t="n">
        <v>0</v>
      </c>
      <c r="P48" s="20" t="n">
        <v>0</v>
      </c>
      <c r="Q48" s="18" t="n">
        <v>0.34543459</v>
      </c>
      <c r="R48" s="20" t="n">
        <v>0.15647324</v>
      </c>
    </row>
    <row r="49" spans="1:18">
      <c r="A49" s="15" t="s">
        <v>608</v>
      </c>
      <c r="B49" s="17" t="n">
        <v>11795</v>
      </c>
      <c r="C49" s="18">
        <f>(9261.0/B49*100)</f>
        <v/>
      </c>
      <c r="D49" s="19" t="n">
        <v>2534</v>
      </c>
      <c r="E49" s="18" t="n">
        <v>86.05924711999999</v>
      </c>
      <c r="F49" s="20" t="n">
        <v>1.09358474</v>
      </c>
      <c r="G49" s="18" t="n">
        <v>12.3938325</v>
      </c>
      <c r="H49" s="20" t="n">
        <v>1.0548547</v>
      </c>
      <c r="I49" s="18" t="n">
        <v>0</v>
      </c>
      <c r="J49" s="20" t="n">
        <v>0</v>
      </c>
      <c r="K49" s="18" t="n">
        <v>0.83692238</v>
      </c>
      <c r="L49" s="20" t="n">
        <v>0.28080509</v>
      </c>
      <c r="M49" s="18" t="n">
        <v>0</v>
      </c>
      <c r="N49" s="20" t="n">
        <v>0</v>
      </c>
      <c r="O49" s="18" t="n">
        <v>0</v>
      </c>
      <c r="P49" s="20" t="n">
        <v>0</v>
      </c>
      <c r="Q49" s="18" t="n">
        <v>0.70999799</v>
      </c>
      <c r="R49" s="20" t="n">
        <v>0.23174179</v>
      </c>
    </row>
    <row r="50" spans="1:18">
      <c r="A50" s="15" t="s">
        <v>609</v>
      </c>
      <c r="B50" s="17" t="n">
        <v>6866</v>
      </c>
      <c r="C50" s="18">
        <f>(5503.0/B50*100)</f>
        <v/>
      </c>
      <c r="D50" s="19" t="n">
        <v>1363</v>
      </c>
      <c r="E50" s="18" t="n">
        <v>89.89596696</v>
      </c>
      <c r="F50" s="20" t="n">
        <v>0.7365804</v>
      </c>
      <c r="G50" s="18" t="n">
        <v>9.160825519999999</v>
      </c>
      <c r="H50" s="20" t="n">
        <v>0.6527418699999999</v>
      </c>
      <c r="I50" s="18" t="n">
        <v>0</v>
      </c>
      <c r="J50" s="20" t="n">
        <v>0</v>
      </c>
      <c r="K50" s="18" t="n">
        <v>0.28628189</v>
      </c>
      <c r="L50" s="20" t="n">
        <v>0.14589172</v>
      </c>
      <c r="M50" s="18" t="n">
        <v>0</v>
      </c>
      <c r="N50" s="20" t="n">
        <v>0</v>
      </c>
      <c r="O50" s="18" t="n">
        <v>0</v>
      </c>
      <c r="P50" s="20" t="n">
        <v>0</v>
      </c>
      <c r="Q50" s="18" t="n">
        <v>0.65692564</v>
      </c>
      <c r="R50" s="20" t="n">
        <v>0.26095894</v>
      </c>
    </row>
    <row r="51" spans="1:18">
      <c r="A51" s="15" t="s">
        <v>610</v>
      </c>
      <c r="B51" s="17" t="n">
        <v>5809</v>
      </c>
      <c r="C51" s="18">
        <f>(4521.0/B51*100)</f>
        <v/>
      </c>
      <c r="D51" s="19" t="n">
        <v>1288</v>
      </c>
      <c r="E51" s="18" t="n">
        <v>73.01003424</v>
      </c>
      <c r="F51" s="20" t="n">
        <v>1.35825076</v>
      </c>
      <c r="G51" s="18" t="n">
        <v>26.34104991</v>
      </c>
      <c r="H51" s="20" t="n">
        <v>1.39008249</v>
      </c>
      <c r="I51" s="18" t="n">
        <v>0</v>
      </c>
      <c r="J51" s="20" t="n">
        <v>0</v>
      </c>
      <c r="K51" s="18" t="n">
        <v>0.07121987</v>
      </c>
      <c r="L51" s="20" t="n">
        <v>0.0709494</v>
      </c>
      <c r="M51" s="18" t="n">
        <v>0</v>
      </c>
      <c r="N51" s="20" t="n">
        <v>0</v>
      </c>
      <c r="O51" s="18" t="n">
        <v>0</v>
      </c>
      <c r="P51" s="20" t="n">
        <v>0</v>
      </c>
      <c r="Q51" s="18" t="n">
        <v>0.57769598</v>
      </c>
      <c r="R51" s="20" t="n">
        <v>0.2153783</v>
      </c>
    </row>
    <row r="52" spans="1:18">
      <c r="A52" s="15" t="s">
        <v>611</v>
      </c>
      <c r="B52" s="17" t="n">
        <v>5571</v>
      </c>
      <c r="C52" s="18">
        <f>(4324.0/B52*100)</f>
        <v/>
      </c>
      <c r="D52" s="19" t="n">
        <v>1247</v>
      </c>
      <c r="E52" s="18" t="n">
        <v>79.80340753</v>
      </c>
      <c r="F52" s="20" t="n">
        <v>1.19301096</v>
      </c>
      <c r="G52" s="18" t="n">
        <v>19.0057732</v>
      </c>
      <c r="H52" s="20" t="n">
        <v>1.16699669</v>
      </c>
      <c r="I52" s="18" t="n">
        <v>0</v>
      </c>
      <c r="J52" s="20" t="n">
        <v>0</v>
      </c>
      <c r="K52" s="18" t="n">
        <v>0.1751967</v>
      </c>
      <c r="L52" s="20" t="n">
        <v>0.10229398</v>
      </c>
      <c r="M52" s="18" t="n">
        <v>0</v>
      </c>
      <c r="N52" s="20" t="n">
        <v>0</v>
      </c>
      <c r="O52" s="18" t="n">
        <v>0</v>
      </c>
      <c r="P52" s="20" t="n">
        <v>0</v>
      </c>
      <c r="Q52" s="18" t="n">
        <v>1.01562258</v>
      </c>
      <c r="R52" s="20" t="n">
        <v>0.28082043</v>
      </c>
    </row>
    <row r="53" spans="1:18">
      <c r="A53" s="15" t="s">
        <v>612</v>
      </c>
      <c r="B53" s="17" t="n">
        <v>4740</v>
      </c>
      <c r="C53" s="18">
        <f>(3703.0/B53*100)</f>
        <v/>
      </c>
      <c r="D53" s="19" t="n">
        <v>1037</v>
      </c>
      <c r="E53" s="18" t="n">
        <v>87.21625613</v>
      </c>
      <c r="F53" s="20" t="n">
        <v>1.13705186</v>
      </c>
      <c r="G53" s="18" t="n">
        <v>3.41004243</v>
      </c>
      <c r="H53" s="20" t="n">
        <v>0.6705514299999999</v>
      </c>
      <c r="I53" s="18" t="n">
        <v>0</v>
      </c>
      <c r="J53" s="20" t="n">
        <v>0</v>
      </c>
      <c r="K53" s="18" t="n">
        <v>7.42792477</v>
      </c>
      <c r="L53" s="20" t="n">
        <v>0.84782658</v>
      </c>
      <c r="M53" s="18" t="n">
        <v>0</v>
      </c>
      <c r="N53" s="20" t="n">
        <v>0</v>
      </c>
      <c r="O53" s="18" t="n">
        <v>0</v>
      </c>
      <c r="P53" s="20" t="n">
        <v>0</v>
      </c>
      <c r="Q53" s="18" t="n">
        <v>1.94577668</v>
      </c>
      <c r="R53" s="20" t="n">
        <v>0.47163341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(4118.0/B55*100)</f>
        <v/>
      </c>
      <c r="D55" s="19" t="n">
        <v>1241</v>
      </c>
      <c r="E55" s="18" t="n">
        <v>63.3187868</v>
      </c>
      <c r="F55" s="20" t="n">
        <v>1.25769715</v>
      </c>
      <c r="G55" s="18" t="n">
        <v>36.02092133</v>
      </c>
      <c r="H55" s="20" t="n">
        <v>1.23283256</v>
      </c>
      <c r="I55" s="18" t="n">
        <v>0</v>
      </c>
      <c r="J55" s="20" t="n">
        <v>0</v>
      </c>
      <c r="K55" s="18" t="n">
        <v>0.15985357</v>
      </c>
      <c r="L55" s="20" t="n">
        <v>0.11373089</v>
      </c>
      <c r="M55" s="18" t="n">
        <v>0</v>
      </c>
      <c r="N55" s="20" t="n">
        <v>0</v>
      </c>
      <c r="O55" s="18" t="n">
        <v>0</v>
      </c>
      <c r="P55" s="20" t="n">
        <v>0</v>
      </c>
      <c r="Q55" s="18" t="n">
        <v>0.5004383100000001</v>
      </c>
      <c r="R55" s="20" t="n">
        <v>0.21868556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(5059.0/B61*100)</f>
        <v/>
      </c>
      <c r="D61" s="19" t="n">
        <v>1466</v>
      </c>
      <c r="E61" s="18" t="n">
        <v>77.80329779</v>
      </c>
      <c r="F61" s="20" t="n">
        <v>1.34043696</v>
      </c>
      <c r="G61" s="18" t="n">
        <v>21.47696071</v>
      </c>
      <c r="H61" s="20" t="n">
        <v>1.29885267</v>
      </c>
      <c r="I61" s="18" t="n">
        <v>0</v>
      </c>
      <c r="J61" s="20" t="n">
        <v>0</v>
      </c>
      <c r="K61" s="18" t="n">
        <v>0.13312248</v>
      </c>
      <c r="L61" s="20" t="n">
        <v>0.09066929</v>
      </c>
      <c r="M61" s="18" t="n">
        <v>0</v>
      </c>
      <c r="N61" s="20" t="n">
        <v>0</v>
      </c>
      <c r="O61" s="18" t="n">
        <v>0</v>
      </c>
      <c r="P61" s="20" t="n">
        <v>0</v>
      </c>
      <c r="Q61" s="18" t="n">
        <v>0.58661902</v>
      </c>
      <c r="R61" s="20" t="n">
        <v>0.17368091</v>
      </c>
    </row>
    <row r="62" spans="1:18">
      <c r="A62" s="15" t="s">
        <v>622</v>
      </c>
      <c r="B62" s="17" t="n">
        <v>4476</v>
      </c>
      <c r="C62" s="18">
        <f>(3466.0/B62*100)</f>
        <v/>
      </c>
      <c r="D62" s="19" t="n">
        <v>1010</v>
      </c>
      <c r="E62" s="18" t="n">
        <v>59.94538633</v>
      </c>
      <c r="F62" s="20" t="n">
        <v>1.47291238</v>
      </c>
      <c r="G62" s="18" t="n">
        <v>39.95635336</v>
      </c>
      <c r="H62" s="20" t="n">
        <v>1.45684082</v>
      </c>
      <c r="I62" s="18" t="n">
        <v>0</v>
      </c>
      <c r="J62" s="20" t="n">
        <v>0</v>
      </c>
      <c r="K62" s="18" t="n">
        <v>0</v>
      </c>
      <c r="L62" s="20" t="n">
        <v>0</v>
      </c>
      <c r="M62" s="18" t="n">
        <v>0</v>
      </c>
      <c r="N62" s="20" t="n">
        <v>0</v>
      </c>
      <c r="O62" s="18" t="n">
        <v>0</v>
      </c>
      <c r="P62" s="20" t="n">
        <v>0</v>
      </c>
      <c r="Q62" s="18" t="n">
        <v>0.09826031</v>
      </c>
      <c r="R62" s="20" t="n">
        <v>0.09795611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(4420.0/B67*100)</f>
        <v/>
      </c>
      <c r="D67" s="19" t="n">
        <v>1245</v>
      </c>
      <c r="E67" s="18" t="n">
        <v>87.62656688</v>
      </c>
      <c r="F67" s="20" t="n">
        <v>0.87530682</v>
      </c>
      <c r="G67" s="18" t="n">
        <v>10.14519577</v>
      </c>
      <c r="H67" s="20" t="n">
        <v>0.7943904000000001</v>
      </c>
      <c r="I67" s="18" t="n">
        <v>0</v>
      </c>
      <c r="J67" s="20" t="n">
        <v>0</v>
      </c>
      <c r="K67" s="18" t="n">
        <v>0.26107181</v>
      </c>
      <c r="L67" s="20" t="n">
        <v>0.15405791</v>
      </c>
      <c r="M67" s="18" t="n">
        <v>0</v>
      </c>
      <c r="N67" s="20" t="n">
        <v>0</v>
      </c>
      <c r="O67" s="18" t="n">
        <v>0</v>
      </c>
      <c r="P67" s="20" t="n">
        <v>0</v>
      </c>
      <c r="Q67" s="18" t="n">
        <v>1.96716554</v>
      </c>
      <c r="R67" s="20" t="n">
        <v>0.35238387</v>
      </c>
    </row>
    <row r="68" spans="1:18">
      <c r="A68" s="15" t="s">
        <v>628</v>
      </c>
      <c r="B68" s="17" t="n">
        <v>6971</v>
      </c>
      <c r="C68" s="18">
        <f>(5534.0/B68*100)</f>
        <v/>
      </c>
      <c r="D68" s="19" t="n">
        <v>1437</v>
      </c>
      <c r="E68" s="18" t="n">
        <v>86.88960538000001</v>
      </c>
      <c r="F68" s="20" t="n">
        <v>1.08335791</v>
      </c>
      <c r="G68" s="18" t="n">
        <v>12.47611596</v>
      </c>
      <c r="H68" s="20" t="n">
        <v>1.11938401</v>
      </c>
      <c r="I68" s="18" t="n">
        <v>0</v>
      </c>
      <c r="J68" s="20" t="n">
        <v>0</v>
      </c>
      <c r="K68" s="18" t="n">
        <v>0.06511474</v>
      </c>
      <c r="L68" s="20" t="n">
        <v>0.06342114</v>
      </c>
      <c r="M68" s="18" t="n">
        <v>0</v>
      </c>
      <c r="N68" s="20" t="n">
        <v>0</v>
      </c>
      <c r="O68" s="18" t="n">
        <v>0</v>
      </c>
      <c r="P68" s="20" t="n">
        <v>0</v>
      </c>
      <c r="Q68" s="18" t="n">
        <v>0.56916392</v>
      </c>
      <c r="R68" s="20" t="n">
        <v>0.19457165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(9372.0/B70*100)</f>
        <v/>
      </c>
      <c r="D70" s="19" t="n">
        <v>2711</v>
      </c>
      <c r="E70" s="18" t="n">
        <v>84.1463473</v>
      </c>
      <c r="F70" s="20" t="n">
        <v>0.67680101</v>
      </c>
      <c r="G70" s="18" t="n">
        <v>13.08309124</v>
      </c>
      <c r="H70" s="20" t="n">
        <v>0.6189719299999999</v>
      </c>
      <c r="I70" s="18" t="n">
        <v>0</v>
      </c>
      <c r="J70" s="20" t="n">
        <v>0</v>
      </c>
      <c r="K70" s="18" t="n">
        <v>0.88181246</v>
      </c>
      <c r="L70" s="20" t="n">
        <v>0.1766757</v>
      </c>
      <c r="M70" s="18" t="n">
        <v>0</v>
      </c>
      <c r="N70" s="20" t="n">
        <v>0</v>
      </c>
      <c r="O70" s="18" t="n">
        <v>0</v>
      </c>
      <c r="P70" s="20" t="n">
        <v>0</v>
      </c>
      <c r="Q70" s="18" t="n">
        <v>1.888749</v>
      </c>
      <c r="R70" s="20" t="n">
        <v>0.29632871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(4782.0/B72*100)</f>
        <v/>
      </c>
      <c r="D72" s="19" t="n">
        <v>1254</v>
      </c>
      <c r="E72" s="18" t="n">
        <v>69.00648277000001</v>
      </c>
      <c r="F72" s="20" t="n">
        <v>1.66608814</v>
      </c>
      <c r="G72" s="18" t="n">
        <v>30.31505655</v>
      </c>
      <c r="H72" s="20" t="n">
        <v>1.69194221</v>
      </c>
      <c r="I72" s="18" t="n">
        <v>0</v>
      </c>
      <c r="J72" s="20" t="n">
        <v>0</v>
      </c>
      <c r="K72" s="18" t="n">
        <v>0.14218796</v>
      </c>
      <c r="L72" s="20" t="n">
        <v>0.08581258</v>
      </c>
      <c r="M72" s="18" t="n">
        <v>0</v>
      </c>
      <c r="N72" s="20" t="n">
        <v>0</v>
      </c>
      <c r="O72" s="18" t="n">
        <v>0</v>
      </c>
      <c r="P72" s="20" t="n">
        <v>0</v>
      </c>
      <c r="Q72" s="18" t="n">
        <v>0.53627272</v>
      </c>
      <c r="R72" s="20" t="n">
        <v>0.22089588</v>
      </c>
    </row>
    <row r="73" spans="1:18">
      <c r="A73" s="15" t="s">
        <v>633</v>
      </c>
      <c r="B73" s="17" t="n">
        <v>6115</v>
      </c>
      <c r="C73" s="18">
        <f>(4776.0/B73*100)</f>
        <v/>
      </c>
      <c r="D73" s="19" t="n">
        <v>1339</v>
      </c>
      <c r="E73" s="18" t="n">
        <v>53.47887422</v>
      </c>
      <c r="F73" s="20" t="n">
        <v>1.26259987</v>
      </c>
      <c r="G73" s="18" t="n">
        <v>45.83017759</v>
      </c>
      <c r="H73" s="20" t="n">
        <v>1.27546177</v>
      </c>
      <c r="I73" s="18" t="n">
        <v>0</v>
      </c>
      <c r="J73" s="20" t="n">
        <v>0</v>
      </c>
      <c r="K73" s="18" t="n">
        <v>0.16000116</v>
      </c>
      <c r="L73" s="20" t="n">
        <v>0.11308533</v>
      </c>
      <c r="M73" s="18" t="n">
        <v>0</v>
      </c>
      <c r="N73" s="20" t="n">
        <v>0</v>
      </c>
      <c r="O73" s="18" t="n">
        <v>0</v>
      </c>
      <c r="P73" s="20" t="n">
        <v>0</v>
      </c>
      <c r="Q73" s="18" t="n">
        <v>0.53094703</v>
      </c>
      <c r="R73" s="20" t="n">
        <v>0.22025811</v>
      </c>
    </row>
    <row r="74" spans="1:18">
      <c r="A74" s="15" t="s">
        <v>634</v>
      </c>
      <c r="B74" s="17" t="n">
        <v>7708</v>
      </c>
      <c r="C74" s="18">
        <f>(5966.0/B74*100)</f>
        <v/>
      </c>
      <c r="D74" s="19" t="n">
        <v>1742</v>
      </c>
      <c r="E74" s="18" t="n">
        <v>60.15911426</v>
      </c>
      <c r="F74" s="20" t="n">
        <v>1.39995621</v>
      </c>
      <c r="G74" s="18" t="n">
        <v>39.58521869</v>
      </c>
      <c r="H74" s="20" t="n">
        <v>1.405591</v>
      </c>
      <c r="I74" s="18" t="n">
        <v>0</v>
      </c>
      <c r="J74" s="20" t="n">
        <v>0</v>
      </c>
      <c r="K74" s="18" t="n">
        <v>0</v>
      </c>
      <c r="L74" s="20" t="n">
        <v>0</v>
      </c>
      <c r="M74" s="18" t="n">
        <v>0</v>
      </c>
      <c r="N74" s="20" t="n">
        <v>0</v>
      </c>
      <c r="O74" s="18" t="n">
        <v>0</v>
      </c>
      <c r="P74" s="20" t="n">
        <v>0</v>
      </c>
      <c r="Q74" s="18" t="n">
        <v>0.25566704</v>
      </c>
      <c r="R74" s="20" t="n">
        <v>0.10629416</v>
      </c>
    </row>
    <row r="75" spans="1:18">
      <c r="A75" s="15" t="s">
        <v>635</v>
      </c>
      <c r="B75" s="17" t="n">
        <v>8249</v>
      </c>
      <c r="C75" s="18">
        <f>(6476.0/B75*100)</f>
        <v/>
      </c>
      <c r="D75" s="19" t="n">
        <v>1773</v>
      </c>
      <c r="E75" s="18" t="n">
        <v>84.61419939</v>
      </c>
      <c r="F75" s="20" t="n">
        <v>1.25575551</v>
      </c>
      <c r="G75" s="18" t="n">
        <v>14.74869708</v>
      </c>
      <c r="H75" s="20" t="n">
        <v>1.23951018</v>
      </c>
      <c r="I75" s="18" t="n">
        <v>0</v>
      </c>
      <c r="J75" s="20" t="n">
        <v>0</v>
      </c>
      <c r="K75" s="18" t="n">
        <v>0</v>
      </c>
      <c r="L75" s="20" t="n">
        <v>0</v>
      </c>
      <c r="M75" s="18" t="n">
        <v>0</v>
      </c>
      <c r="N75" s="20" t="n">
        <v>0</v>
      </c>
      <c r="O75" s="18" t="n">
        <v>0</v>
      </c>
      <c r="P75" s="20" t="n">
        <v>0</v>
      </c>
      <c r="Q75" s="18" t="n">
        <v>0.63710352</v>
      </c>
      <c r="R75" s="20" t="n">
        <v>0.29268825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(4310.0/B77*100)</f>
        <v/>
      </c>
      <c r="D77" s="19" t="n">
        <v>1065</v>
      </c>
      <c r="E77" s="18" t="n">
        <v>89.64517600000001</v>
      </c>
      <c r="F77" s="20" t="n">
        <v>1.19865983</v>
      </c>
      <c r="G77" s="18" t="n">
        <v>7.22138211</v>
      </c>
      <c r="H77" s="20" t="n">
        <v>0.99037071</v>
      </c>
      <c r="I77" s="18" t="n">
        <v>0</v>
      </c>
      <c r="J77" s="20" t="n">
        <v>0</v>
      </c>
      <c r="K77" s="18" t="n">
        <v>1.62517274</v>
      </c>
      <c r="L77" s="20" t="n">
        <v>0.48117035</v>
      </c>
      <c r="M77" s="18" t="n">
        <v>0</v>
      </c>
      <c r="N77" s="20" t="n">
        <v>0</v>
      </c>
      <c r="O77" s="18" t="n">
        <v>0</v>
      </c>
      <c r="P77" s="20" t="n">
        <v>0</v>
      </c>
      <c r="Q77" s="18" t="n">
        <v>1.50826915</v>
      </c>
      <c r="R77" s="20" t="n">
        <v>0.41595909</v>
      </c>
    </row>
    <row r="78" spans="1:18">
      <c r="A78" s="15" t="s">
        <v>638</v>
      </c>
      <c r="B78" s="17" t="n">
        <v>14167</v>
      </c>
      <c r="C78" s="18">
        <f>(11103.0/B78*100)</f>
        <v/>
      </c>
      <c r="D78" s="19" t="n">
        <v>3064</v>
      </c>
      <c r="E78" s="18" t="n">
        <v>82.04252169999999</v>
      </c>
      <c r="F78" s="20" t="n">
        <v>1.03388829</v>
      </c>
      <c r="G78" s="18" t="n">
        <v>16.29851061</v>
      </c>
      <c r="H78" s="20" t="n">
        <v>1.01414413</v>
      </c>
      <c r="I78" s="18" t="n">
        <v>0</v>
      </c>
      <c r="J78" s="20" t="n">
        <v>0</v>
      </c>
      <c r="K78" s="18" t="n">
        <v>0.55663637</v>
      </c>
      <c r="L78" s="20" t="n">
        <v>0.16463308</v>
      </c>
      <c r="M78" s="18" t="n">
        <v>0</v>
      </c>
      <c r="N78" s="20" t="n">
        <v>0</v>
      </c>
      <c r="O78" s="18" t="n">
        <v>0</v>
      </c>
      <c r="P78" s="20" t="n">
        <v>0</v>
      </c>
      <c r="Q78" s="18" t="n">
        <v>1.10233132</v>
      </c>
      <c r="R78" s="20" t="n">
        <v>0.23146272</v>
      </c>
    </row>
    <row r="79" spans="1:18">
      <c r="A79" s="15" t="s">
        <v>639</v>
      </c>
      <c r="B79" s="17" t="n">
        <v>6062</v>
      </c>
      <c r="C79" s="18">
        <f>(4741.0/B79*100)</f>
        <v/>
      </c>
      <c r="D79" s="19" t="n">
        <v>1321</v>
      </c>
      <c r="E79" s="18" t="n">
        <v>82.64684153</v>
      </c>
      <c r="F79" s="20" t="n">
        <v>1.29661606</v>
      </c>
      <c r="G79" s="18" t="n">
        <v>15.47766351</v>
      </c>
      <c r="H79" s="20" t="n">
        <v>1.18683535</v>
      </c>
      <c r="I79" s="18" t="n">
        <v>0</v>
      </c>
      <c r="J79" s="20" t="n">
        <v>0</v>
      </c>
      <c r="K79" s="18" t="n">
        <v>0.40512629</v>
      </c>
      <c r="L79" s="20" t="n">
        <v>0.21997901</v>
      </c>
      <c r="M79" s="18" t="n">
        <v>0</v>
      </c>
      <c r="N79" s="20" t="n">
        <v>0</v>
      </c>
      <c r="O79" s="18" t="n">
        <v>0</v>
      </c>
      <c r="P79" s="20" t="n">
        <v>0</v>
      </c>
      <c r="Q79" s="18" t="n">
        <v>1.47036867</v>
      </c>
      <c r="R79" s="20" t="n">
        <v>0.40094372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(25148.0/B82*100)</f>
        <v/>
      </c>
      <c r="D82" s="19" t="n">
        <v>7182</v>
      </c>
      <c r="E82" s="18" t="n">
        <v>79.59331744000001</v>
      </c>
      <c r="F82" s="20" t="n">
        <v>0.66781483</v>
      </c>
      <c r="G82" s="18" t="n">
        <v>19.889606</v>
      </c>
      <c r="H82" s="20" t="n">
        <v>0.65558222</v>
      </c>
      <c r="I82" s="18" t="n">
        <v>0</v>
      </c>
      <c r="J82" s="20" t="n">
        <v>0</v>
      </c>
      <c r="K82" s="18" t="n">
        <v>0.06068293</v>
      </c>
      <c r="L82" s="20" t="n">
        <v>0.05014929</v>
      </c>
      <c r="M82" s="18" t="n">
        <v>0</v>
      </c>
      <c r="N82" s="20" t="n">
        <v>0</v>
      </c>
      <c r="O82" s="18" t="n">
        <v>0</v>
      </c>
      <c r="P82" s="20" t="n">
        <v>0</v>
      </c>
      <c r="Q82" s="18" t="n">
        <v>0.45639363</v>
      </c>
      <c r="R82" s="20" t="n">
        <v>0.14717378</v>
      </c>
    </row>
    <row r="83" spans="1:18">
      <c r="A83" s="15" t="s">
        <v>643</v>
      </c>
      <c r="B83" s="17" t="n">
        <v>1652</v>
      </c>
      <c r="C83" s="18">
        <f>(1287.0/B83*100)</f>
        <v/>
      </c>
      <c r="D83" s="19" t="n">
        <v>365</v>
      </c>
      <c r="E83" s="18" t="n">
        <v>63.9229759</v>
      </c>
      <c r="F83" s="20" t="n">
        <v>3.11462199</v>
      </c>
      <c r="G83" s="18" t="n">
        <v>35.43748314</v>
      </c>
      <c r="H83" s="20" t="n">
        <v>2.98585202</v>
      </c>
      <c r="I83" s="18" t="n">
        <v>0</v>
      </c>
      <c r="J83" s="20" t="n">
        <v>0</v>
      </c>
      <c r="K83" s="18" t="n">
        <v>0</v>
      </c>
      <c r="L83" s="20" t="n">
        <v>0</v>
      </c>
      <c r="M83" s="18" t="n">
        <v>0</v>
      </c>
      <c r="N83" s="20" t="n">
        <v>0</v>
      </c>
      <c r="O83" s="18" t="n">
        <v>0</v>
      </c>
      <c r="P83" s="20" t="n">
        <v>0</v>
      </c>
      <c r="Q83" s="18" t="n">
        <v>0.63954096</v>
      </c>
      <c r="R83" s="20" t="n">
        <v>0.43735956</v>
      </c>
    </row>
    <row r="84" spans="1:18">
      <c r="A84" s="23" t="s">
        <v>644</v>
      </c>
      <c r="B84" s="24" t="n">
        <v>1887</v>
      </c>
      <c r="C84" s="25">
        <f>(1492.0/B84*100)</f>
        <v/>
      </c>
      <c r="D84" s="19" t="n">
        <v>395</v>
      </c>
      <c r="E84" s="18" t="n">
        <v>67.09609682999999</v>
      </c>
      <c r="F84" s="20" t="n">
        <v>2.66904147</v>
      </c>
      <c r="G84" s="18" t="n">
        <v>32.90390317</v>
      </c>
      <c r="H84" s="20" t="n">
        <v>2.66904147</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(11305.0/B7*100)</f>
        <v/>
      </c>
      <c r="D7" s="19" t="n">
        <v>3225</v>
      </c>
      <c r="E7" s="18" t="n">
        <v>15.78747229</v>
      </c>
      <c r="F7" s="20" t="n">
        <v>0.73304146</v>
      </c>
      <c r="G7" s="18" t="n">
        <v>82.66934399</v>
      </c>
      <c r="H7" s="20" t="n">
        <v>0.77329775</v>
      </c>
      <c r="I7" s="18" t="n">
        <v>0</v>
      </c>
      <c r="J7" s="20" t="n">
        <v>0</v>
      </c>
      <c r="K7" s="18" t="n">
        <v>0.03431856</v>
      </c>
      <c r="L7" s="20" t="n">
        <v>0.01896398</v>
      </c>
      <c r="M7" s="18" t="n">
        <v>0</v>
      </c>
      <c r="N7" s="20" t="n">
        <v>0</v>
      </c>
      <c r="O7" s="18" t="n">
        <v>0</v>
      </c>
      <c r="P7" s="20" t="n">
        <v>0</v>
      </c>
      <c r="Q7" s="18" t="n">
        <v>1.50886516</v>
      </c>
      <c r="R7" s="20" t="n">
        <v>0.25987814</v>
      </c>
    </row>
    <row r="8" spans="1:18">
      <c r="A8" s="15" t="s">
        <v>566</v>
      </c>
      <c r="B8" s="17" t="n">
        <v>7007</v>
      </c>
      <c r="C8" s="18">
        <f>(5496.0/B8*100)</f>
        <v/>
      </c>
      <c r="D8" s="19" t="n">
        <v>1511</v>
      </c>
      <c r="E8" s="18" t="n">
        <v>16.36770188</v>
      </c>
      <c r="F8" s="20" t="n">
        <v>1.16233873</v>
      </c>
      <c r="G8" s="18" t="n">
        <v>82.40925924</v>
      </c>
      <c r="H8" s="20" t="n">
        <v>1.23549868</v>
      </c>
      <c r="I8" s="18" t="n">
        <v>0</v>
      </c>
      <c r="J8" s="20" t="n">
        <v>0</v>
      </c>
      <c r="K8" s="18" t="n">
        <v>0.0774217</v>
      </c>
      <c r="L8" s="20" t="n">
        <v>0.07536453999999999</v>
      </c>
      <c r="M8" s="18" t="n">
        <v>0</v>
      </c>
      <c r="N8" s="20" t="n">
        <v>0</v>
      </c>
      <c r="O8" s="18" t="n">
        <v>0</v>
      </c>
      <c r="P8" s="20" t="n">
        <v>0</v>
      </c>
      <c r="Q8" s="18" t="n">
        <v>1.14561717</v>
      </c>
      <c r="R8" s="20" t="n">
        <v>0.33545074</v>
      </c>
    </row>
    <row r="9" spans="1:18">
      <c r="A9" s="15" t="s">
        <v>567</v>
      </c>
      <c r="B9" s="17" t="n">
        <v>9651</v>
      </c>
      <c r="C9" s="18">
        <f>(7569.0/B9*100)</f>
        <v/>
      </c>
      <c r="D9" s="19" t="n">
        <v>2082</v>
      </c>
      <c r="E9" s="18" t="n">
        <v>16.48142719</v>
      </c>
      <c r="F9" s="20" t="n">
        <v>0.97144106</v>
      </c>
      <c r="G9" s="18" t="n">
        <v>81.33171262</v>
      </c>
      <c r="H9" s="20" t="n">
        <v>0.97556531</v>
      </c>
      <c r="I9" s="18" t="n">
        <v>0</v>
      </c>
      <c r="J9" s="20" t="n">
        <v>0</v>
      </c>
      <c r="K9" s="18" t="n">
        <v>0.09730583</v>
      </c>
      <c r="L9" s="20" t="n">
        <v>0.07067808</v>
      </c>
      <c r="M9" s="18" t="n">
        <v>0</v>
      </c>
      <c r="N9" s="20" t="n">
        <v>0</v>
      </c>
      <c r="O9" s="18" t="n">
        <v>0</v>
      </c>
      <c r="P9" s="20" t="n">
        <v>0</v>
      </c>
      <c r="Q9" s="18" t="n">
        <v>2.08955436</v>
      </c>
      <c r="R9" s="20" t="n">
        <v>0.2517556</v>
      </c>
    </row>
    <row r="10" spans="1:18">
      <c r="A10" s="15" t="s">
        <v>568</v>
      </c>
      <c r="B10" s="17" t="n">
        <v>20058</v>
      </c>
      <c r="C10" s="18">
        <f>(15630.0/B10*100)</f>
        <v/>
      </c>
      <c r="D10" s="19" t="n">
        <v>4428</v>
      </c>
      <c r="E10" s="18" t="n">
        <v>13.26475577</v>
      </c>
      <c r="F10" s="20" t="n">
        <v>0.76722971</v>
      </c>
      <c r="G10" s="18" t="n">
        <v>85.11589336</v>
      </c>
      <c r="H10" s="20" t="n">
        <v>0.85125257</v>
      </c>
      <c r="I10" s="18" t="n">
        <v>0</v>
      </c>
      <c r="J10" s="20" t="n">
        <v>0</v>
      </c>
      <c r="K10" s="18" t="n">
        <v>0.27185993</v>
      </c>
      <c r="L10" s="20" t="n">
        <v>0.11974164</v>
      </c>
      <c r="M10" s="18" t="n">
        <v>0</v>
      </c>
      <c r="N10" s="20" t="n">
        <v>0</v>
      </c>
      <c r="O10" s="18" t="n">
        <v>0</v>
      </c>
      <c r="P10" s="20" t="n">
        <v>0</v>
      </c>
      <c r="Q10" s="18" t="n">
        <v>1.34749094</v>
      </c>
      <c r="R10" s="20" t="n">
        <v>0.2845495</v>
      </c>
    </row>
    <row r="11" spans="1:18">
      <c r="A11" s="15" t="s">
        <v>569</v>
      </c>
      <c r="B11" s="17" t="n">
        <v>7053</v>
      </c>
      <c r="C11" s="18">
        <f>(5551.0/B11*100)</f>
        <v/>
      </c>
      <c r="D11" s="19" t="n">
        <v>1502</v>
      </c>
      <c r="E11" s="18" t="n">
        <v>24.64687157</v>
      </c>
      <c r="F11" s="20" t="n">
        <v>1.68239079</v>
      </c>
      <c r="G11" s="18" t="n">
        <v>72.23002486</v>
      </c>
      <c r="H11" s="20" t="n">
        <v>1.79602435</v>
      </c>
      <c r="I11" s="18" t="n">
        <v>0</v>
      </c>
      <c r="J11" s="20" t="n">
        <v>0</v>
      </c>
      <c r="K11" s="18" t="n">
        <v>0.5236812</v>
      </c>
      <c r="L11" s="20" t="n">
        <v>0.2852708</v>
      </c>
      <c r="M11" s="18" t="n">
        <v>0</v>
      </c>
      <c r="N11" s="20" t="n">
        <v>0</v>
      </c>
      <c r="O11" s="18" t="n">
        <v>0</v>
      </c>
      <c r="P11" s="20" t="n">
        <v>0</v>
      </c>
      <c r="Q11" s="18" t="n">
        <v>2.59942238</v>
      </c>
      <c r="R11" s="20" t="n">
        <v>0.57583229</v>
      </c>
    </row>
    <row r="12" spans="1:18">
      <c r="A12" s="15" t="s">
        <v>570</v>
      </c>
      <c r="B12" s="17" t="n">
        <v>6894</v>
      </c>
      <c r="C12" s="18">
        <f>(5369.0/B12*100)</f>
        <v/>
      </c>
      <c r="D12" s="19" t="n">
        <v>1525</v>
      </c>
      <c r="E12" s="18" t="n">
        <v>11.73387967</v>
      </c>
      <c r="F12" s="20" t="n">
        <v>0.87496174</v>
      </c>
      <c r="G12" s="18" t="n">
        <v>87.0602853</v>
      </c>
      <c r="H12" s="20" t="n">
        <v>0.87989815</v>
      </c>
      <c r="I12" s="18" t="n">
        <v>0</v>
      </c>
      <c r="J12" s="20" t="n">
        <v>0</v>
      </c>
      <c r="K12" s="18" t="n">
        <v>0.11975294</v>
      </c>
      <c r="L12" s="20" t="n">
        <v>0.08314895</v>
      </c>
      <c r="M12" s="18" t="n">
        <v>0</v>
      </c>
      <c r="N12" s="20" t="n">
        <v>0</v>
      </c>
      <c r="O12" s="18" t="n">
        <v>0</v>
      </c>
      <c r="P12" s="20" t="n">
        <v>0</v>
      </c>
      <c r="Q12" s="18" t="n">
        <v>1.08608208</v>
      </c>
      <c r="R12" s="20" t="n">
        <v>0.26489555</v>
      </c>
    </row>
    <row r="13" spans="1:18">
      <c r="A13" s="15" t="s">
        <v>571</v>
      </c>
      <c r="B13" s="17" t="n">
        <v>7161</v>
      </c>
      <c r="C13" s="18">
        <f>(5617.0/B13*100)</f>
        <v/>
      </c>
      <c r="D13" s="19" t="n">
        <v>1544</v>
      </c>
      <c r="E13" s="18" t="n">
        <v>10.60887356</v>
      </c>
      <c r="F13" s="20" t="n">
        <v>0.92076562</v>
      </c>
      <c r="G13" s="18" t="n">
        <v>88.16904485000001</v>
      </c>
      <c r="H13" s="20" t="n">
        <v>0.93257031</v>
      </c>
      <c r="I13" s="18" t="n">
        <v>0</v>
      </c>
      <c r="J13" s="20" t="n">
        <v>0</v>
      </c>
      <c r="K13" s="18" t="n">
        <v>0.07283845</v>
      </c>
      <c r="L13" s="20" t="n">
        <v>0.04660802</v>
      </c>
      <c r="M13" s="18" t="n">
        <v>0</v>
      </c>
      <c r="N13" s="20" t="n">
        <v>0</v>
      </c>
      <c r="O13" s="18" t="n">
        <v>0</v>
      </c>
      <c r="P13" s="20" t="n">
        <v>0</v>
      </c>
      <c r="Q13" s="18" t="n">
        <v>1.14924314</v>
      </c>
      <c r="R13" s="20" t="n">
        <v>0.28946578</v>
      </c>
    </row>
    <row r="14" spans="1:18">
      <c r="A14" s="15" t="s">
        <v>572</v>
      </c>
      <c r="B14" s="17" t="n">
        <v>5587</v>
      </c>
      <c r="C14" s="18">
        <f>(4397.0/B14*100)</f>
        <v/>
      </c>
      <c r="D14" s="19" t="n">
        <v>1190</v>
      </c>
      <c r="E14" s="18" t="n">
        <v>11.94115659</v>
      </c>
      <c r="F14" s="20" t="n">
        <v>0.9202066</v>
      </c>
      <c r="G14" s="18" t="n">
        <v>87.59257036</v>
      </c>
      <c r="H14" s="20" t="n">
        <v>0.95133349</v>
      </c>
      <c r="I14" s="18" t="n">
        <v>0</v>
      </c>
      <c r="J14" s="20" t="n">
        <v>0</v>
      </c>
      <c r="K14" s="18" t="n">
        <v>0.18893217</v>
      </c>
      <c r="L14" s="20" t="n">
        <v>0.10973037</v>
      </c>
      <c r="M14" s="18" t="n">
        <v>0</v>
      </c>
      <c r="N14" s="20" t="n">
        <v>0</v>
      </c>
      <c r="O14" s="18" t="n">
        <v>0</v>
      </c>
      <c r="P14" s="20" t="n">
        <v>0</v>
      </c>
      <c r="Q14" s="18" t="n">
        <v>0.27734088</v>
      </c>
      <c r="R14" s="20" t="n">
        <v>0.17616222</v>
      </c>
    </row>
    <row r="15" spans="1:18">
      <c r="A15" s="15" t="s">
        <v>573</v>
      </c>
      <c r="B15" s="17" t="n">
        <v>5882</v>
      </c>
      <c r="C15" s="18">
        <f>(4622.0/B15*100)</f>
        <v/>
      </c>
      <c r="D15" s="19" t="n">
        <v>1260</v>
      </c>
      <c r="E15" s="18" t="n">
        <v>14.05524062</v>
      </c>
      <c r="F15" s="20" t="n">
        <v>1.0663741</v>
      </c>
      <c r="G15" s="18" t="n">
        <v>84.37583201</v>
      </c>
      <c r="H15" s="20" t="n">
        <v>1.09005119</v>
      </c>
      <c r="I15" s="18" t="n">
        <v>0</v>
      </c>
      <c r="J15" s="20" t="n">
        <v>0</v>
      </c>
      <c r="K15" s="18" t="n">
        <v>0</v>
      </c>
      <c r="L15" s="20" t="n">
        <v>0</v>
      </c>
      <c r="M15" s="18" t="n">
        <v>0</v>
      </c>
      <c r="N15" s="20" t="n">
        <v>0</v>
      </c>
      <c r="O15" s="18" t="n">
        <v>0</v>
      </c>
      <c r="P15" s="20" t="n">
        <v>0</v>
      </c>
      <c r="Q15" s="18" t="n">
        <v>1.56892737</v>
      </c>
      <c r="R15" s="20" t="n">
        <v>0.37212073</v>
      </c>
    </row>
    <row r="16" spans="1:18">
      <c r="A16" s="15" t="s">
        <v>574</v>
      </c>
      <c r="B16" s="17" t="n">
        <v>6108</v>
      </c>
      <c r="C16" s="18">
        <f>(4803.0/B16*100)</f>
        <v/>
      </c>
      <c r="D16" s="19" t="n">
        <v>1305</v>
      </c>
      <c r="E16" s="18" t="n">
        <v>17.18947036</v>
      </c>
      <c r="F16" s="20" t="n">
        <v>1.13763471</v>
      </c>
      <c r="G16" s="18" t="n">
        <v>78.32409844999999</v>
      </c>
      <c r="H16" s="20" t="n">
        <v>1.30667984</v>
      </c>
      <c r="I16" s="18" t="n">
        <v>0</v>
      </c>
      <c r="J16" s="20" t="n">
        <v>0</v>
      </c>
      <c r="K16" s="18" t="n">
        <v>0.21533633</v>
      </c>
      <c r="L16" s="20" t="n">
        <v>0.09870752000000001</v>
      </c>
      <c r="M16" s="18" t="n">
        <v>0</v>
      </c>
      <c r="N16" s="20" t="n">
        <v>0</v>
      </c>
      <c r="O16" s="18" t="n">
        <v>0</v>
      </c>
      <c r="P16" s="20" t="n">
        <v>0</v>
      </c>
      <c r="Q16" s="18" t="n">
        <v>4.27109485</v>
      </c>
      <c r="R16" s="20" t="n">
        <v>0.57238601</v>
      </c>
    </row>
    <row r="17" spans="1:18">
      <c r="A17" s="15" t="s">
        <v>575</v>
      </c>
      <c r="B17" s="17" t="n">
        <v>6504</v>
      </c>
      <c r="C17" s="18">
        <f>(5049.0/B17*100)</f>
        <v/>
      </c>
      <c r="D17" s="19" t="n">
        <v>1455</v>
      </c>
      <c r="E17" s="18" t="n">
        <v>12.87266622</v>
      </c>
      <c r="F17" s="20" t="n">
        <v>0.9975899</v>
      </c>
      <c r="G17" s="18" t="n">
        <v>85.91719976</v>
      </c>
      <c r="H17" s="20" t="n">
        <v>1.04715745</v>
      </c>
      <c r="I17" s="18" t="n">
        <v>0</v>
      </c>
      <c r="J17" s="20" t="n">
        <v>0</v>
      </c>
      <c r="K17" s="18" t="n">
        <v>0.21267934</v>
      </c>
      <c r="L17" s="20" t="n">
        <v>0.10380989</v>
      </c>
      <c r="M17" s="18" t="n">
        <v>0</v>
      </c>
      <c r="N17" s="20" t="n">
        <v>0</v>
      </c>
      <c r="O17" s="18" t="n">
        <v>0</v>
      </c>
      <c r="P17" s="20" t="n">
        <v>0</v>
      </c>
      <c r="Q17" s="18" t="n">
        <v>0.99745468</v>
      </c>
      <c r="R17" s="20" t="n">
        <v>0.27509939</v>
      </c>
    </row>
    <row r="18" spans="1:18">
      <c r="A18" s="15" t="s">
        <v>576</v>
      </c>
      <c r="B18" s="17" t="n">
        <v>5532</v>
      </c>
      <c r="C18" s="18">
        <f>(4322.0/B18*100)</f>
        <v/>
      </c>
      <c r="D18" s="19" t="n">
        <v>1210</v>
      </c>
      <c r="E18" s="18" t="n">
        <v>24.41031738</v>
      </c>
      <c r="F18" s="20" t="n">
        <v>1.28206279</v>
      </c>
      <c r="G18" s="18" t="n">
        <v>72.99035664</v>
      </c>
      <c r="H18" s="20" t="n">
        <v>1.39853782</v>
      </c>
      <c r="I18" s="18" t="n">
        <v>0</v>
      </c>
      <c r="J18" s="20" t="n">
        <v>0</v>
      </c>
      <c r="K18" s="18" t="n">
        <v>0.35587241</v>
      </c>
      <c r="L18" s="20" t="n">
        <v>0.19681974</v>
      </c>
      <c r="M18" s="18" t="n">
        <v>0</v>
      </c>
      <c r="N18" s="20" t="n">
        <v>0</v>
      </c>
      <c r="O18" s="18" t="n">
        <v>0</v>
      </c>
      <c r="P18" s="20" t="n">
        <v>0</v>
      </c>
      <c r="Q18" s="18" t="n">
        <v>2.24345357</v>
      </c>
      <c r="R18" s="20" t="n">
        <v>0.5336090100000001</v>
      </c>
    </row>
    <row r="19" spans="1:18">
      <c r="A19" s="15" t="s">
        <v>577</v>
      </c>
      <c r="B19" s="17" t="n">
        <v>5658</v>
      </c>
      <c r="C19" s="18">
        <f>(4400.0/B19*100)</f>
        <v/>
      </c>
      <c r="D19" s="19" t="n">
        <v>1258</v>
      </c>
      <c r="E19" s="18" t="n">
        <v>18.24406734</v>
      </c>
      <c r="F19" s="20" t="n">
        <v>1.39525936</v>
      </c>
      <c r="G19" s="18" t="n">
        <v>80.09861908000001</v>
      </c>
      <c r="H19" s="20" t="n">
        <v>1.47337722</v>
      </c>
      <c r="I19" s="18" t="n">
        <v>0</v>
      </c>
      <c r="J19" s="20" t="n">
        <v>0</v>
      </c>
      <c r="K19" s="18" t="n">
        <v>0.13005627</v>
      </c>
      <c r="L19" s="20" t="n">
        <v>0.0785883</v>
      </c>
      <c r="M19" s="18" t="n">
        <v>0</v>
      </c>
      <c r="N19" s="20" t="n">
        <v>0</v>
      </c>
      <c r="O19" s="18" t="n">
        <v>0</v>
      </c>
      <c r="P19" s="20" t="n">
        <v>0</v>
      </c>
      <c r="Q19" s="18" t="n">
        <v>1.52725731</v>
      </c>
      <c r="R19" s="20" t="n">
        <v>0.3783946</v>
      </c>
    </row>
    <row r="20" spans="1:18">
      <c r="A20" s="15" t="s">
        <v>578</v>
      </c>
      <c r="B20" s="17" t="n">
        <v>3371</v>
      </c>
      <c r="C20" s="18">
        <f>(2615.0/B20*100)</f>
        <v/>
      </c>
      <c r="D20" s="19" t="n">
        <v>756</v>
      </c>
      <c r="E20" s="18" t="n">
        <v>13.95944979</v>
      </c>
      <c r="F20" s="20" t="n">
        <v>1.32039112</v>
      </c>
      <c r="G20" s="18" t="n">
        <v>84.3072583</v>
      </c>
      <c r="H20" s="20" t="n">
        <v>1.37557193</v>
      </c>
      <c r="I20" s="18" t="n">
        <v>0</v>
      </c>
      <c r="J20" s="20" t="n">
        <v>0</v>
      </c>
      <c r="K20" s="18" t="n">
        <v>0</v>
      </c>
      <c r="L20" s="20" t="n">
        <v>0</v>
      </c>
      <c r="M20" s="18" t="n">
        <v>0</v>
      </c>
      <c r="N20" s="20" t="n">
        <v>0</v>
      </c>
      <c r="O20" s="18" t="n">
        <v>0</v>
      </c>
      <c r="P20" s="20" t="n">
        <v>0</v>
      </c>
      <c r="Q20" s="18" t="n">
        <v>1.73329191</v>
      </c>
      <c r="R20" s="20" t="n">
        <v>0.49765482</v>
      </c>
    </row>
    <row r="21" spans="1:18">
      <c r="A21" s="15" t="s">
        <v>579</v>
      </c>
      <c r="B21" s="17" t="n">
        <v>5741</v>
      </c>
      <c r="C21" s="18">
        <f>(4453.0/B21*100)</f>
        <v/>
      </c>
      <c r="D21" s="19" t="n">
        <v>1288</v>
      </c>
      <c r="E21" s="18" t="n">
        <v>16.45307814</v>
      </c>
      <c r="F21" s="20" t="n">
        <v>0.93486247</v>
      </c>
      <c r="G21" s="18" t="n">
        <v>82.79805938</v>
      </c>
      <c r="H21" s="20" t="n">
        <v>0.90659482</v>
      </c>
      <c r="I21" s="18" t="n">
        <v>0</v>
      </c>
      <c r="J21" s="20" t="n">
        <v>0</v>
      </c>
      <c r="K21" s="18" t="n">
        <v>0</v>
      </c>
      <c r="L21" s="20" t="n">
        <v>0</v>
      </c>
      <c r="M21" s="18" t="n">
        <v>0</v>
      </c>
      <c r="N21" s="20" t="n">
        <v>0</v>
      </c>
      <c r="O21" s="18" t="n">
        <v>0</v>
      </c>
      <c r="P21" s="20" t="n">
        <v>0</v>
      </c>
      <c r="Q21" s="18" t="n">
        <v>0.7488624699999999</v>
      </c>
      <c r="R21" s="20" t="n">
        <v>0.29134523</v>
      </c>
    </row>
    <row r="22" spans="1:18">
      <c r="A22" s="15" t="s">
        <v>580</v>
      </c>
      <c r="B22" s="17" t="n">
        <v>6598</v>
      </c>
      <c r="C22" s="18">
        <f>(5121.0/B22*100)</f>
        <v/>
      </c>
      <c r="D22" s="19" t="n">
        <v>1477</v>
      </c>
      <c r="E22" s="18" t="n">
        <v>20.60688957</v>
      </c>
      <c r="F22" s="20" t="n">
        <v>1.45082971</v>
      </c>
      <c r="G22" s="18" t="n">
        <v>74.00968544</v>
      </c>
      <c r="H22" s="20" t="n">
        <v>1.6321321</v>
      </c>
      <c r="I22" s="18" t="n">
        <v>0</v>
      </c>
      <c r="J22" s="20" t="n">
        <v>0</v>
      </c>
      <c r="K22" s="18" t="n">
        <v>0.64857042</v>
      </c>
      <c r="L22" s="20" t="n">
        <v>0.24057579</v>
      </c>
      <c r="M22" s="18" t="n">
        <v>0</v>
      </c>
      <c r="N22" s="20" t="n">
        <v>0</v>
      </c>
      <c r="O22" s="18" t="n">
        <v>0</v>
      </c>
      <c r="P22" s="20" t="n">
        <v>0</v>
      </c>
      <c r="Q22" s="18" t="n">
        <v>4.73485458</v>
      </c>
      <c r="R22" s="20" t="n">
        <v>0.65854537</v>
      </c>
    </row>
    <row r="23" spans="1:18">
      <c r="A23" s="15" t="s">
        <v>581</v>
      </c>
      <c r="B23" s="17" t="n">
        <v>11583</v>
      </c>
      <c r="C23" s="18">
        <f>(8987.0/B23*100)</f>
        <v/>
      </c>
      <c r="D23" s="19" t="n">
        <v>2596</v>
      </c>
      <c r="E23" s="18" t="n">
        <v>18.26403663</v>
      </c>
      <c r="F23" s="20" t="n">
        <v>1.00686465</v>
      </c>
      <c r="G23" s="18" t="n">
        <v>78.23626792</v>
      </c>
      <c r="H23" s="20" t="n">
        <v>1.08404149</v>
      </c>
      <c r="I23" s="18" t="n">
        <v>0</v>
      </c>
      <c r="J23" s="20" t="n">
        <v>0</v>
      </c>
      <c r="K23" s="18" t="n">
        <v>0.1520156</v>
      </c>
      <c r="L23" s="20" t="n">
        <v>0.10712671</v>
      </c>
      <c r="M23" s="18" t="n">
        <v>0</v>
      </c>
      <c r="N23" s="20" t="n">
        <v>0</v>
      </c>
      <c r="O23" s="18" t="n">
        <v>0</v>
      </c>
      <c r="P23" s="20" t="n">
        <v>0</v>
      </c>
      <c r="Q23" s="18" t="n">
        <v>3.34767985</v>
      </c>
      <c r="R23" s="20" t="n">
        <v>0.63143581</v>
      </c>
    </row>
    <row r="24" spans="1:18">
      <c r="A24" s="15" t="s">
        <v>582</v>
      </c>
      <c r="B24" s="17" t="n">
        <v>6647</v>
      </c>
      <c r="C24" s="18">
        <f>(5142.0/B24*100)</f>
        <v/>
      </c>
      <c r="D24" s="19" t="n">
        <v>1505</v>
      </c>
      <c r="E24" s="18" t="n">
        <v>19.84308592</v>
      </c>
      <c r="F24" s="20" t="n">
        <v>0.97795341</v>
      </c>
      <c r="G24" s="18" t="n">
        <v>78.8581618</v>
      </c>
      <c r="H24" s="20" t="n">
        <v>1.05285236</v>
      </c>
      <c r="I24" s="18" t="n">
        <v>0</v>
      </c>
      <c r="J24" s="20" t="n">
        <v>0</v>
      </c>
      <c r="K24" s="18" t="n">
        <v>0</v>
      </c>
      <c r="L24" s="20" t="n">
        <v>0</v>
      </c>
      <c r="M24" s="18" t="n">
        <v>0</v>
      </c>
      <c r="N24" s="20" t="n">
        <v>0</v>
      </c>
      <c r="O24" s="18" t="n">
        <v>0</v>
      </c>
      <c r="P24" s="20" t="n">
        <v>0</v>
      </c>
      <c r="Q24" s="18" t="n">
        <v>1.29875227</v>
      </c>
      <c r="R24" s="20" t="n">
        <v>0.30430356</v>
      </c>
    </row>
    <row r="25" spans="1:18">
      <c r="A25" s="15" t="s">
        <v>583</v>
      </c>
      <c r="B25" s="17" t="n">
        <v>5581</v>
      </c>
      <c r="C25" s="18">
        <f>(4331.0/B25*100)</f>
        <v/>
      </c>
      <c r="D25" s="19" t="n">
        <v>1250</v>
      </c>
      <c r="E25" s="18" t="n">
        <v>10.75021642</v>
      </c>
      <c r="F25" s="20" t="n">
        <v>0.89537625</v>
      </c>
      <c r="G25" s="18" t="n">
        <v>87.13281094</v>
      </c>
      <c r="H25" s="20" t="n">
        <v>0.98426943</v>
      </c>
      <c r="I25" s="18" t="n">
        <v>0</v>
      </c>
      <c r="J25" s="20" t="n">
        <v>0</v>
      </c>
      <c r="K25" s="18" t="n">
        <v>0.22836147</v>
      </c>
      <c r="L25" s="20" t="n">
        <v>0.1315252</v>
      </c>
      <c r="M25" s="18" t="n">
        <v>0</v>
      </c>
      <c r="N25" s="20" t="n">
        <v>0</v>
      </c>
      <c r="O25" s="18" t="n">
        <v>0</v>
      </c>
      <c r="P25" s="20" t="n">
        <v>0</v>
      </c>
      <c r="Q25" s="18" t="n">
        <v>1.88861117</v>
      </c>
      <c r="R25" s="20" t="n">
        <v>0.41603303</v>
      </c>
    </row>
    <row r="26" spans="1:18">
      <c r="A26" s="15" t="s">
        <v>584</v>
      </c>
      <c r="B26" s="17" t="n">
        <v>4869</v>
      </c>
      <c r="C26" s="18">
        <f>(3804.0/B26*100)</f>
        <v/>
      </c>
      <c r="D26" s="19" t="n">
        <v>1065</v>
      </c>
      <c r="E26" s="18" t="n">
        <v>15.90517947</v>
      </c>
      <c r="F26" s="20" t="n">
        <v>1.06016527</v>
      </c>
      <c r="G26" s="18" t="n">
        <v>83.3767634</v>
      </c>
      <c r="H26" s="20" t="n">
        <v>1.0401832</v>
      </c>
      <c r="I26" s="18" t="n">
        <v>0</v>
      </c>
      <c r="J26" s="20" t="n">
        <v>0</v>
      </c>
      <c r="K26" s="18" t="n">
        <v>0</v>
      </c>
      <c r="L26" s="20" t="n">
        <v>0</v>
      </c>
      <c r="M26" s="18" t="n">
        <v>0</v>
      </c>
      <c r="N26" s="20" t="n">
        <v>0</v>
      </c>
      <c r="O26" s="18" t="n">
        <v>0</v>
      </c>
      <c r="P26" s="20" t="n">
        <v>0</v>
      </c>
      <c r="Q26" s="18" t="n">
        <v>0.71805712</v>
      </c>
      <c r="R26" s="20" t="n">
        <v>0.2519275</v>
      </c>
    </row>
    <row r="27" spans="1:18">
      <c r="A27" s="15" t="s">
        <v>585</v>
      </c>
      <c r="B27" s="17" t="n">
        <v>5299</v>
      </c>
      <c r="C27" s="18">
        <f>(4090.0/B27*100)</f>
        <v/>
      </c>
      <c r="D27" s="19" t="n">
        <v>1209</v>
      </c>
      <c r="E27" s="18" t="n">
        <v>17.19991442</v>
      </c>
      <c r="F27" s="20" t="n">
        <v>1.09591975</v>
      </c>
      <c r="G27" s="18" t="n">
        <v>81.80321689</v>
      </c>
      <c r="H27" s="20" t="n">
        <v>1.15516089</v>
      </c>
      <c r="I27" s="18" t="n">
        <v>0</v>
      </c>
      <c r="J27" s="20" t="n">
        <v>0</v>
      </c>
      <c r="K27" s="18" t="n">
        <v>0.08295854</v>
      </c>
      <c r="L27" s="20" t="n">
        <v>0.08355359</v>
      </c>
      <c r="M27" s="18" t="n">
        <v>0</v>
      </c>
      <c r="N27" s="20" t="n">
        <v>0</v>
      </c>
      <c r="O27" s="18" t="n">
        <v>0</v>
      </c>
      <c r="P27" s="20" t="n">
        <v>0</v>
      </c>
      <c r="Q27" s="18" t="n">
        <v>0.91391015</v>
      </c>
      <c r="R27" s="20" t="n">
        <v>0.30115281</v>
      </c>
    </row>
    <row r="28" spans="1:18">
      <c r="A28" s="15" t="s">
        <v>586</v>
      </c>
      <c r="B28" s="17" t="n">
        <v>7568</v>
      </c>
      <c r="C28" s="18">
        <f>(5966.0/B28*100)</f>
        <v/>
      </c>
      <c r="D28" s="19" t="n">
        <v>1602</v>
      </c>
      <c r="E28" s="18" t="n">
        <v>30.60301784</v>
      </c>
      <c r="F28" s="20" t="n">
        <v>1.44358654</v>
      </c>
      <c r="G28" s="18" t="n">
        <v>67.28953808</v>
      </c>
      <c r="H28" s="20" t="n">
        <v>1.47591871</v>
      </c>
      <c r="I28" s="18" t="n">
        <v>0</v>
      </c>
      <c r="J28" s="20" t="n">
        <v>0</v>
      </c>
      <c r="K28" s="18" t="n">
        <v>0.41675109</v>
      </c>
      <c r="L28" s="20" t="n">
        <v>0.17824357</v>
      </c>
      <c r="M28" s="18" t="n">
        <v>0</v>
      </c>
      <c r="N28" s="20" t="n">
        <v>0</v>
      </c>
      <c r="O28" s="18" t="n">
        <v>0</v>
      </c>
      <c r="P28" s="20" t="n">
        <v>0</v>
      </c>
      <c r="Q28" s="18" t="n">
        <v>1.69069299</v>
      </c>
      <c r="R28" s="20" t="n">
        <v>0.46231454</v>
      </c>
    </row>
    <row r="29" spans="1:18">
      <c r="A29" s="15" t="s">
        <v>587</v>
      </c>
      <c r="B29" s="17" t="n">
        <v>5385</v>
      </c>
      <c r="C29" s="18">
        <f>(4224.0/B29*100)</f>
        <v/>
      </c>
      <c r="D29" s="19" t="n">
        <v>1161</v>
      </c>
      <c r="E29" s="18" t="n">
        <v>13.33747686</v>
      </c>
      <c r="F29" s="20" t="n">
        <v>1.04753802</v>
      </c>
      <c r="G29" s="18" t="n">
        <v>85.08714534000001</v>
      </c>
      <c r="H29" s="20" t="n">
        <v>1.12677072</v>
      </c>
      <c r="I29" s="18" t="n">
        <v>0</v>
      </c>
      <c r="J29" s="20" t="n">
        <v>0</v>
      </c>
      <c r="K29" s="18" t="n">
        <v>0.31909367</v>
      </c>
      <c r="L29" s="20" t="n">
        <v>0.15878757</v>
      </c>
      <c r="M29" s="18" t="n">
        <v>0</v>
      </c>
      <c r="N29" s="20" t="n">
        <v>0</v>
      </c>
      <c r="O29" s="18" t="n">
        <v>0</v>
      </c>
      <c r="P29" s="20" t="n">
        <v>0</v>
      </c>
      <c r="Q29" s="18" t="n">
        <v>1.25628413</v>
      </c>
      <c r="R29" s="20" t="n">
        <v>0.34196715</v>
      </c>
    </row>
    <row r="30" spans="1:18">
      <c r="A30" s="15" t="s">
        <v>588</v>
      </c>
      <c r="B30" s="17" t="n">
        <v>4520</v>
      </c>
      <c r="C30" s="18">
        <f>(3551.0/B30*100)</f>
        <v/>
      </c>
      <c r="D30" s="19" t="n">
        <v>969</v>
      </c>
      <c r="E30" s="18" t="n">
        <v>17.86619826</v>
      </c>
      <c r="F30" s="20" t="n">
        <v>1.15261879</v>
      </c>
      <c r="G30" s="18" t="n">
        <v>80.61873227</v>
      </c>
      <c r="H30" s="20" t="n">
        <v>1.26150032</v>
      </c>
      <c r="I30" s="18" t="n">
        <v>0</v>
      </c>
      <c r="J30" s="20" t="n">
        <v>0</v>
      </c>
      <c r="K30" s="18" t="n">
        <v>0</v>
      </c>
      <c r="L30" s="20" t="n">
        <v>0</v>
      </c>
      <c r="M30" s="18" t="n">
        <v>0</v>
      </c>
      <c r="N30" s="20" t="n">
        <v>0</v>
      </c>
      <c r="O30" s="18" t="n">
        <v>0</v>
      </c>
      <c r="P30" s="20" t="n">
        <v>0</v>
      </c>
      <c r="Q30" s="18" t="n">
        <v>1.51506948</v>
      </c>
      <c r="R30" s="20" t="n">
        <v>0.37798735</v>
      </c>
    </row>
    <row r="31" spans="1:18">
      <c r="A31" s="15" t="s">
        <v>589</v>
      </c>
      <c r="B31" s="17" t="n">
        <v>5456</v>
      </c>
      <c r="C31" s="18">
        <f>(4270.0/B31*100)</f>
        <v/>
      </c>
      <c r="D31" s="19" t="n">
        <v>1186</v>
      </c>
      <c r="E31" s="18" t="n">
        <v>13.13019529</v>
      </c>
      <c r="F31" s="20" t="n">
        <v>1.10093993</v>
      </c>
      <c r="G31" s="18" t="n">
        <v>85.06936134999999</v>
      </c>
      <c r="H31" s="20" t="n">
        <v>1.20776166</v>
      </c>
      <c r="I31" s="18" t="n">
        <v>0</v>
      </c>
      <c r="J31" s="20" t="n">
        <v>0</v>
      </c>
      <c r="K31" s="18" t="n">
        <v>0.23123416</v>
      </c>
      <c r="L31" s="20" t="n">
        <v>0.12915204</v>
      </c>
      <c r="M31" s="18" t="n">
        <v>0</v>
      </c>
      <c r="N31" s="20" t="n">
        <v>0</v>
      </c>
      <c r="O31" s="18" t="n">
        <v>0</v>
      </c>
      <c r="P31" s="20" t="n">
        <v>0</v>
      </c>
      <c r="Q31" s="18" t="n">
        <v>1.5692092</v>
      </c>
      <c r="R31" s="20" t="n">
        <v>0.41252507</v>
      </c>
    </row>
    <row r="32" spans="1:18">
      <c r="A32" s="15" t="s">
        <v>590</v>
      </c>
      <c r="B32" s="17" t="n">
        <v>4478</v>
      </c>
      <c r="C32" s="18">
        <f>(3512.0/B32*100)</f>
        <v/>
      </c>
      <c r="D32" s="19" t="n">
        <v>966</v>
      </c>
      <c r="E32" s="18" t="n">
        <v>15.9858993</v>
      </c>
      <c r="F32" s="20" t="n">
        <v>1.21167025</v>
      </c>
      <c r="G32" s="18" t="n">
        <v>82.89526738000001</v>
      </c>
      <c r="H32" s="20" t="n">
        <v>1.21180392</v>
      </c>
      <c r="I32" s="18" t="n">
        <v>0</v>
      </c>
      <c r="J32" s="20" t="n">
        <v>0</v>
      </c>
      <c r="K32" s="18" t="n">
        <v>0.09214854</v>
      </c>
      <c r="L32" s="20" t="n">
        <v>0.09203217</v>
      </c>
      <c r="M32" s="18" t="n">
        <v>0</v>
      </c>
      <c r="N32" s="20" t="n">
        <v>0</v>
      </c>
      <c r="O32" s="18" t="n">
        <v>0</v>
      </c>
      <c r="P32" s="20" t="n">
        <v>0</v>
      </c>
      <c r="Q32" s="18" t="n">
        <v>1.02668478</v>
      </c>
      <c r="R32" s="20" t="n">
        <v>0.3125716</v>
      </c>
    </row>
    <row r="33" spans="1:18">
      <c r="A33" s="15" t="s">
        <v>591</v>
      </c>
      <c r="B33" s="17" t="n">
        <v>7325</v>
      </c>
      <c r="C33" s="18">
        <f>(5782.0/B33*100)</f>
        <v/>
      </c>
      <c r="D33" s="19" t="n">
        <v>1543</v>
      </c>
      <c r="E33" s="18" t="n">
        <v>20.93964714</v>
      </c>
      <c r="F33" s="20" t="n">
        <v>1.30850337</v>
      </c>
      <c r="G33" s="18" t="n">
        <v>77.62439331</v>
      </c>
      <c r="H33" s="20" t="n">
        <v>1.34555961</v>
      </c>
      <c r="I33" s="18" t="n">
        <v>0</v>
      </c>
      <c r="J33" s="20" t="n">
        <v>0</v>
      </c>
      <c r="K33" s="18" t="n">
        <v>0.23752733</v>
      </c>
      <c r="L33" s="20" t="n">
        <v>0.1658585</v>
      </c>
      <c r="M33" s="18" t="n">
        <v>0</v>
      </c>
      <c r="N33" s="20" t="n">
        <v>0</v>
      </c>
      <c r="O33" s="18" t="n">
        <v>0</v>
      </c>
      <c r="P33" s="20" t="n">
        <v>0</v>
      </c>
      <c r="Q33" s="18" t="n">
        <v>1.19843222</v>
      </c>
      <c r="R33" s="20" t="n">
        <v>0.30042647</v>
      </c>
    </row>
    <row r="34" spans="1:18">
      <c r="A34" s="15" t="s">
        <v>592</v>
      </c>
      <c r="B34" s="17" t="n">
        <v>6350</v>
      </c>
      <c r="C34" s="18">
        <f>(4982.0/B34*100)</f>
        <v/>
      </c>
      <c r="D34" s="19" t="n">
        <v>1368</v>
      </c>
      <c r="E34" s="18" t="n">
        <v>17.28244823</v>
      </c>
      <c r="F34" s="20" t="n">
        <v>1.22812591</v>
      </c>
      <c r="G34" s="18" t="n">
        <v>80.53461170999999</v>
      </c>
      <c r="H34" s="20" t="n">
        <v>1.4162932</v>
      </c>
      <c r="I34" s="18" t="n">
        <v>0</v>
      </c>
      <c r="J34" s="20" t="n">
        <v>0</v>
      </c>
      <c r="K34" s="18" t="n">
        <v>0</v>
      </c>
      <c r="L34" s="20" t="n">
        <v>0</v>
      </c>
      <c r="M34" s="18" t="n">
        <v>0</v>
      </c>
      <c r="N34" s="20" t="n">
        <v>0</v>
      </c>
      <c r="O34" s="18" t="n">
        <v>0</v>
      </c>
      <c r="P34" s="20" t="n">
        <v>0</v>
      </c>
      <c r="Q34" s="18" t="n">
        <v>2.18294007</v>
      </c>
      <c r="R34" s="20" t="n">
        <v>0.4276249</v>
      </c>
    </row>
    <row r="35" spans="1:18">
      <c r="A35" s="15" t="s">
        <v>593</v>
      </c>
      <c r="B35" s="17" t="n">
        <v>6406</v>
      </c>
      <c r="C35" s="18">
        <f>(4992.0/B35*100)</f>
        <v/>
      </c>
      <c r="D35" s="19" t="n">
        <v>1414</v>
      </c>
      <c r="E35" s="18" t="n">
        <v>13.16115936</v>
      </c>
      <c r="F35" s="20" t="n">
        <v>1.09574351</v>
      </c>
      <c r="G35" s="18" t="n">
        <v>85.45761156</v>
      </c>
      <c r="H35" s="20" t="n">
        <v>1.10286457</v>
      </c>
      <c r="I35" s="18" t="n">
        <v>0</v>
      </c>
      <c r="J35" s="20" t="n">
        <v>0</v>
      </c>
      <c r="K35" s="18" t="n">
        <v>0.06581637999999999</v>
      </c>
      <c r="L35" s="20" t="n">
        <v>0.04758612</v>
      </c>
      <c r="M35" s="18" t="n">
        <v>0</v>
      </c>
      <c r="N35" s="20" t="n">
        <v>0</v>
      </c>
      <c r="O35" s="18" t="n">
        <v>0</v>
      </c>
      <c r="P35" s="20" t="n">
        <v>0</v>
      </c>
      <c r="Q35" s="18" t="n">
        <v>1.31541271</v>
      </c>
      <c r="R35" s="20" t="n">
        <v>0.31549219</v>
      </c>
    </row>
    <row r="36" spans="1:18">
      <c r="A36" s="15" t="s">
        <v>594</v>
      </c>
      <c r="B36" s="17" t="n">
        <v>6736</v>
      </c>
      <c r="C36" s="18">
        <f>(5216.0/B36*100)</f>
        <v/>
      </c>
      <c r="D36" s="19" t="n">
        <v>1520</v>
      </c>
      <c r="E36" s="18" t="n">
        <v>19.32709077</v>
      </c>
      <c r="F36" s="20" t="n">
        <v>1.16010212</v>
      </c>
      <c r="G36" s="18" t="n">
        <v>78.77983345</v>
      </c>
      <c r="H36" s="20" t="n">
        <v>1.23738096</v>
      </c>
      <c r="I36" s="18" t="n">
        <v>0</v>
      </c>
      <c r="J36" s="20" t="n">
        <v>0</v>
      </c>
      <c r="K36" s="18" t="n">
        <v>0.2354279</v>
      </c>
      <c r="L36" s="20" t="n">
        <v>0.15702944</v>
      </c>
      <c r="M36" s="18" t="n">
        <v>0</v>
      </c>
      <c r="N36" s="20" t="n">
        <v>0</v>
      </c>
      <c r="O36" s="18" t="n">
        <v>0</v>
      </c>
      <c r="P36" s="20" t="n">
        <v>0</v>
      </c>
      <c r="Q36" s="18" t="n">
        <v>1.65764788</v>
      </c>
      <c r="R36" s="20" t="n">
        <v>0.36610035</v>
      </c>
    </row>
    <row r="37" spans="1:18">
      <c r="A37" s="15" t="s">
        <v>595</v>
      </c>
      <c r="B37" s="17" t="n">
        <v>5458</v>
      </c>
      <c r="C37" s="18">
        <f>(4261.0/B37*100)</f>
        <v/>
      </c>
      <c r="D37" s="19" t="n">
        <v>1197</v>
      </c>
      <c r="E37" s="18" t="n">
        <v>18.90392044</v>
      </c>
      <c r="F37" s="20" t="n">
        <v>1.41896997</v>
      </c>
      <c r="G37" s="18" t="n">
        <v>77.35865551000001</v>
      </c>
      <c r="H37" s="20" t="n">
        <v>1.5984794</v>
      </c>
      <c r="I37" s="18" t="n">
        <v>0</v>
      </c>
      <c r="J37" s="20" t="n">
        <v>0</v>
      </c>
      <c r="K37" s="18" t="n">
        <v>0.40950003</v>
      </c>
      <c r="L37" s="20" t="n">
        <v>0.18146907</v>
      </c>
      <c r="M37" s="18" t="n">
        <v>0</v>
      </c>
      <c r="N37" s="20" t="n">
        <v>0</v>
      </c>
      <c r="O37" s="18" t="n">
        <v>0</v>
      </c>
      <c r="P37" s="20" t="n">
        <v>0</v>
      </c>
      <c r="Q37" s="18" t="n">
        <v>3.32792402</v>
      </c>
      <c r="R37" s="20" t="n">
        <v>0.55505396</v>
      </c>
    </row>
    <row r="38" spans="1:18">
      <c r="A38" s="15" t="s">
        <v>596</v>
      </c>
      <c r="B38" s="17" t="n">
        <v>5860</v>
      </c>
      <c r="C38" s="18">
        <f>(4548.0/B38*100)</f>
        <v/>
      </c>
      <c r="D38" s="19" t="n">
        <v>1312</v>
      </c>
      <c r="E38" s="18" t="n">
        <v>12.59039529</v>
      </c>
      <c r="F38" s="20" t="n">
        <v>1.07285304</v>
      </c>
      <c r="G38" s="18" t="n">
        <v>86.18221061</v>
      </c>
      <c r="H38" s="20" t="n">
        <v>1.07243732</v>
      </c>
      <c r="I38" s="18" t="n">
        <v>0</v>
      </c>
      <c r="J38" s="20" t="n">
        <v>0</v>
      </c>
      <c r="K38" s="18" t="n">
        <v>0.13483113</v>
      </c>
      <c r="L38" s="20" t="n">
        <v>0.11657296</v>
      </c>
      <c r="M38" s="18" t="n">
        <v>0</v>
      </c>
      <c r="N38" s="20" t="n">
        <v>0</v>
      </c>
      <c r="O38" s="18" t="n">
        <v>0</v>
      </c>
      <c r="P38" s="20" t="n">
        <v>0</v>
      </c>
      <c r="Q38" s="18" t="n">
        <v>1.09256297</v>
      </c>
      <c r="R38" s="20" t="n">
        <v>0.29375176</v>
      </c>
    </row>
    <row r="39" spans="1:18">
      <c r="A39" s="15" t="s">
        <v>597</v>
      </c>
      <c r="B39" s="17" t="n">
        <v>5895</v>
      </c>
      <c r="C39" s="18">
        <f>(4582.0/B39*100)</f>
        <v/>
      </c>
      <c r="D39" s="19" t="n">
        <v>1313</v>
      </c>
      <c r="E39" s="18" t="n">
        <v>30.98980903</v>
      </c>
      <c r="F39" s="20" t="n">
        <v>1.55388935</v>
      </c>
      <c r="G39" s="18" t="n">
        <v>66.37005741999999</v>
      </c>
      <c r="H39" s="20" t="n">
        <v>1.78852403</v>
      </c>
      <c r="I39" s="18" t="n">
        <v>0</v>
      </c>
      <c r="J39" s="20" t="n">
        <v>0</v>
      </c>
      <c r="K39" s="18" t="n">
        <v>0</v>
      </c>
      <c r="L39" s="20" t="n">
        <v>0</v>
      </c>
      <c r="M39" s="18" t="n">
        <v>0</v>
      </c>
      <c r="N39" s="20" t="n">
        <v>0</v>
      </c>
      <c r="O39" s="18" t="n">
        <v>0</v>
      </c>
      <c r="P39" s="20" t="n">
        <v>0</v>
      </c>
      <c r="Q39" s="18" t="n">
        <v>2.64013355</v>
      </c>
      <c r="R39" s="20" t="n">
        <v>0.54168983</v>
      </c>
    </row>
    <row r="40" spans="1:18">
      <c r="A40" s="15" t="s">
        <v>598</v>
      </c>
      <c r="B40" s="17" t="n">
        <v>14157</v>
      </c>
      <c r="C40" s="18">
        <f>(11150.0/B40*100)</f>
        <v/>
      </c>
      <c r="D40" s="19" t="n">
        <v>3007</v>
      </c>
      <c r="E40" s="18" t="n">
        <v>13.83034282</v>
      </c>
      <c r="F40" s="20" t="n">
        <v>0.93141104</v>
      </c>
      <c r="G40" s="18" t="n">
        <v>85.22825871000001</v>
      </c>
      <c r="H40" s="20" t="n">
        <v>0.94847023</v>
      </c>
      <c r="I40" s="18" t="n">
        <v>0</v>
      </c>
      <c r="J40" s="20" t="n">
        <v>0</v>
      </c>
      <c r="K40" s="18" t="n">
        <v>0.05476072</v>
      </c>
      <c r="L40" s="20" t="n">
        <v>0.02358064</v>
      </c>
      <c r="M40" s="18" t="n">
        <v>0</v>
      </c>
      <c r="N40" s="20" t="n">
        <v>0</v>
      </c>
      <c r="O40" s="18" t="n">
        <v>0</v>
      </c>
      <c r="P40" s="20" t="n">
        <v>0</v>
      </c>
      <c r="Q40" s="18" t="n">
        <v>0.8866377600000001</v>
      </c>
      <c r="R40" s="20" t="n">
        <v>0.25760744</v>
      </c>
    </row>
    <row r="41" spans="1:18">
      <c r="A41" s="15" t="s">
        <v>599</v>
      </c>
      <c r="B41" s="17" t="n">
        <v>5712</v>
      </c>
      <c r="C41" s="18">
        <f>(4411.0/B41*100)</f>
        <v/>
      </c>
      <c r="D41" s="19" t="n">
        <v>1301</v>
      </c>
      <c r="E41" s="18" t="n">
        <v>15.78921034</v>
      </c>
      <c r="F41" s="20" t="n">
        <v>1.15890342</v>
      </c>
      <c r="G41" s="18" t="n">
        <v>82.58073439</v>
      </c>
      <c r="H41" s="20" t="n">
        <v>1.28207091</v>
      </c>
      <c r="I41" s="18" t="n">
        <v>0</v>
      </c>
      <c r="J41" s="20" t="n">
        <v>0</v>
      </c>
      <c r="K41" s="18" t="n">
        <v>0.09450274</v>
      </c>
      <c r="L41" s="20" t="n">
        <v>0.08017204999999999</v>
      </c>
      <c r="M41" s="18" t="n">
        <v>0</v>
      </c>
      <c r="N41" s="20" t="n">
        <v>0</v>
      </c>
      <c r="O41" s="18" t="n">
        <v>0</v>
      </c>
      <c r="P41" s="20" t="n">
        <v>0</v>
      </c>
      <c r="Q41" s="18" t="n">
        <v>1.53555253</v>
      </c>
      <c r="R41" s="20" t="n">
        <v>0.3641009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(18647.0/B46*100)</f>
        <v/>
      </c>
      <c r="D46" s="19" t="n">
        <v>4494</v>
      </c>
      <c r="E46" s="18" t="n">
        <v>36.35726115</v>
      </c>
      <c r="F46" s="20" t="n">
        <v>1.10314064</v>
      </c>
      <c r="G46" s="18" t="n">
        <v>54.0108027</v>
      </c>
      <c r="H46" s="20" t="n">
        <v>1.1673123</v>
      </c>
      <c r="I46" s="18" t="n">
        <v>0</v>
      </c>
      <c r="J46" s="20" t="n">
        <v>0</v>
      </c>
      <c r="K46" s="18" t="n">
        <v>0.49885157</v>
      </c>
      <c r="L46" s="20" t="n">
        <v>0.15068716</v>
      </c>
      <c r="M46" s="18" t="n">
        <v>0</v>
      </c>
      <c r="N46" s="20" t="n">
        <v>0</v>
      </c>
      <c r="O46" s="18" t="n">
        <v>0</v>
      </c>
      <c r="P46" s="20" t="n">
        <v>0</v>
      </c>
      <c r="Q46" s="18" t="n">
        <v>9.13308458</v>
      </c>
      <c r="R46" s="20" t="n">
        <v>0.59536266</v>
      </c>
    </row>
    <row r="47" spans="1:18">
      <c r="A47" s="15" t="s">
        <v>606</v>
      </c>
      <c r="B47" s="17" t="n">
        <v>5928</v>
      </c>
      <c r="C47" s="18">
        <f>(4650.0/B47*100)</f>
        <v/>
      </c>
      <c r="D47" s="19" t="n">
        <v>1278</v>
      </c>
      <c r="E47" s="18" t="n">
        <v>22.87409078</v>
      </c>
      <c r="F47" s="20" t="n">
        <v>1.58465359</v>
      </c>
      <c r="G47" s="18" t="n">
        <v>73.25123988</v>
      </c>
      <c r="H47" s="20" t="n">
        <v>1.60278796</v>
      </c>
      <c r="I47" s="18" t="n">
        <v>0</v>
      </c>
      <c r="J47" s="20" t="n">
        <v>0</v>
      </c>
      <c r="K47" s="18" t="n">
        <v>0.07807941</v>
      </c>
      <c r="L47" s="20" t="n">
        <v>0.07763141</v>
      </c>
      <c r="M47" s="18" t="n">
        <v>0</v>
      </c>
      <c r="N47" s="20" t="n">
        <v>0</v>
      </c>
      <c r="O47" s="18" t="n">
        <v>0</v>
      </c>
      <c r="P47" s="20" t="n">
        <v>0</v>
      </c>
      <c r="Q47" s="18" t="n">
        <v>3.79658993</v>
      </c>
      <c r="R47" s="20" t="n">
        <v>0.60937338</v>
      </c>
    </row>
    <row r="48" spans="1:18">
      <c r="A48" s="15" t="s">
        <v>607</v>
      </c>
      <c r="B48" s="17" t="n">
        <v>9841</v>
      </c>
      <c r="C48" s="18">
        <f>(7664.0/B48*100)</f>
        <v/>
      </c>
      <c r="D48" s="19" t="n">
        <v>2177</v>
      </c>
      <c r="E48" s="18" t="n">
        <v>17.41174193</v>
      </c>
      <c r="F48" s="20" t="n">
        <v>1.1472947</v>
      </c>
      <c r="G48" s="18" t="n">
        <v>80.92574949999999</v>
      </c>
      <c r="H48" s="20" t="n">
        <v>1.22259383</v>
      </c>
      <c r="I48" s="18" t="n">
        <v>0</v>
      </c>
      <c r="J48" s="20" t="n">
        <v>0</v>
      </c>
      <c r="K48" s="18" t="n">
        <v>0.49299949</v>
      </c>
      <c r="L48" s="20" t="n">
        <v>0.21692656</v>
      </c>
      <c r="M48" s="18" t="n">
        <v>0</v>
      </c>
      <c r="N48" s="20" t="n">
        <v>0</v>
      </c>
      <c r="O48" s="18" t="n">
        <v>0</v>
      </c>
      <c r="P48" s="20" t="n">
        <v>0</v>
      </c>
      <c r="Q48" s="18" t="n">
        <v>1.16950908</v>
      </c>
      <c r="R48" s="20" t="n">
        <v>0.31534739</v>
      </c>
    </row>
    <row r="49" spans="1:18">
      <c r="A49" s="15" t="s">
        <v>608</v>
      </c>
      <c r="B49" s="17" t="n">
        <v>11795</v>
      </c>
      <c r="C49" s="18">
        <f>(9267.0/B49*100)</f>
        <v/>
      </c>
      <c r="D49" s="19" t="n">
        <v>2528</v>
      </c>
      <c r="E49" s="18" t="n">
        <v>32.94764734</v>
      </c>
      <c r="F49" s="20" t="n">
        <v>1.15375283</v>
      </c>
      <c r="G49" s="18" t="n">
        <v>62.94866976</v>
      </c>
      <c r="H49" s="20" t="n">
        <v>1.28448224</v>
      </c>
      <c r="I49" s="18" t="n">
        <v>0</v>
      </c>
      <c r="J49" s="20" t="n">
        <v>0</v>
      </c>
      <c r="K49" s="18" t="n">
        <v>1.1486801</v>
      </c>
      <c r="L49" s="20" t="n">
        <v>0.36173212</v>
      </c>
      <c r="M49" s="18" t="n">
        <v>0</v>
      </c>
      <c r="N49" s="20" t="n">
        <v>0</v>
      </c>
      <c r="O49" s="18" t="n">
        <v>0</v>
      </c>
      <c r="P49" s="20" t="n">
        <v>0</v>
      </c>
      <c r="Q49" s="18" t="n">
        <v>2.9550028</v>
      </c>
      <c r="R49" s="20" t="n">
        <v>0.47423694</v>
      </c>
    </row>
    <row r="50" spans="1:18">
      <c r="A50" s="15" t="s">
        <v>609</v>
      </c>
      <c r="B50" s="17" t="n">
        <v>6866</v>
      </c>
      <c r="C50" s="18">
        <f>(5510.0/B50*100)</f>
        <v/>
      </c>
      <c r="D50" s="19" t="n">
        <v>1356</v>
      </c>
      <c r="E50" s="18" t="n">
        <v>30.88014559</v>
      </c>
      <c r="F50" s="20" t="n">
        <v>1.34295326</v>
      </c>
      <c r="G50" s="18" t="n">
        <v>65.96328603000001</v>
      </c>
      <c r="H50" s="20" t="n">
        <v>1.37294042</v>
      </c>
      <c r="I50" s="18" t="n">
        <v>0</v>
      </c>
      <c r="J50" s="20" t="n">
        <v>0</v>
      </c>
      <c r="K50" s="18" t="n">
        <v>0.28806129</v>
      </c>
      <c r="L50" s="20" t="n">
        <v>0.1467332</v>
      </c>
      <c r="M50" s="18" t="n">
        <v>0</v>
      </c>
      <c r="N50" s="20" t="n">
        <v>0</v>
      </c>
      <c r="O50" s="18" t="n">
        <v>0</v>
      </c>
      <c r="P50" s="20" t="n">
        <v>0</v>
      </c>
      <c r="Q50" s="18" t="n">
        <v>2.86850709</v>
      </c>
      <c r="R50" s="20" t="n">
        <v>0.4547762</v>
      </c>
    </row>
    <row r="51" spans="1:18">
      <c r="A51" s="15" t="s">
        <v>610</v>
      </c>
      <c r="B51" s="17" t="n">
        <v>5809</v>
      </c>
      <c r="C51" s="18">
        <f>(4521.0/B51*100)</f>
        <v/>
      </c>
      <c r="D51" s="19" t="n">
        <v>1288</v>
      </c>
      <c r="E51" s="18" t="n">
        <v>19.47047696</v>
      </c>
      <c r="F51" s="20" t="n">
        <v>1.16449253</v>
      </c>
      <c r="G51" s="18" t="n">
        <v>78.56998614</v>
      </c>
      <c r="H51" s="20" t="n">
        <v>1.32149308</v>
      </c>
      <c r="I51" s="18" t="n">
        <v>0</v>
      </c>
      <c r="J51" s="20" t="n">
        <v>0</v>
      </c>
      <c r="K51" s="18" t="n">
        <v>0.07121987</v>
      </c>
      <c r="L51" s="20" t="n">
        <v>0.0709494</v>
      </c>
      <c r="M51" s="18" t="n">
        <v>0</v>
      </c>
      <c r="N51" s="20" t="n">
        <v>0</v>
      </c>
      <c r="O51" s="18" t="n">
        <v>0</v>
      </c>
      <c r="P51" s="20" t="n">
        <v>0</v>
      </c>
      <c r="Q51" s="18" t="n">
        <v>1.88831703</v>
      </c>
      <c r="R51" s="20" t="n">
        <v>0.45672456</v>
      </c>
    </row>
    <row r="52" spans="1:18">
      <c r="A52" s="15" t="s">
        <v>611</v>
      </c>
      <c r="B52" s="17" t="n">
        <v>5571</v>
      </c>
      <c r="C52" s="18">
        <f>(4325.0/B52*100)</f>
        <v/>
      </c>
      <c r="D52" s="19" t="n">
        <v>1246</v>
      </c>
      <c r="E52" s="18" t="n">
        <v>28.62753548</v>
      </c>
      <c r="F52" s="20" t="n">
        <v>1.34399137</v>
      </c>
      <c r="G52" s="18" t="n">
        <v>68.04507538999999</v>
      </c>
      <c r="H52" s="20" t="n">
        <v>1.31642441</v>
      </c>
      <c r="I52" s="18" t="n">
        <v>0</v>
      </c>
      <c r="J52" s="20" t="n">
        <v>0</v>
      </c>
      <c r="K52" s="18" t="n">
        <v>0.1753192</v>
      </c>
      <c r="L52" s="20" t="n">
        <v>0.10236392</v>
      </c>
      <c r="M52" s="18" t="n">
        <v>0</v>
      </c>
      <c r="N52" s="20" t="n">
        <v>0</v>
      </c>
      <c r="O52" s="18" t="n">
        <v>0</v>
      </c>
      <c r="P52" s="20" t="n">
        <v>0</v>
      </c>
      <c r="Q52" s="18" t="n">
        <v>3.15206993</v>
      </c>
      <c r="R52" s="20" t="n">
        <v>0.54606319</v>
      </c>
    </row>
    <row r="53" spans="1:18">
      <c r="A53" s="15" t="s">
        <v>612</v>
      </c>
      <c r="B53" s="17" t="n">
        <v>4740</v>
      </c>
      <c r="C53" s="18">
        <f>(3704.0/B53*100)</f>
        <v/>
      </c>
      <c r="D53" s="19" t="n">
        <v>1036</v>
      </c>
      <c r="E53" s="18" t="n">
        <v>40.52872206</v>
      </c>
      <c r="F53" s="20" t="n">
        <v>1.70540002</v>
      </c>
      <c r="G53" s="18" t="n">
        <v>42.71610941</v>
      </c>
      <c r="H53" s="20" t="n">
        <v>2.04257348</v>
      </c>
      <c r="I53" s="18" t="n">
        <v>0</v>
      </c>
      <c r="J53" s="20" t="n">
        <v>0</v>
      </c>
      <c r="K53" s="18" t="n">
        <v>8.315782349999999</v>
      </c>
      <c r="L53" s="20" t="n">
        <v>0.90901507</v>
      </c>
      <c r="M53" s="18" t="n">
        <v>0</v>
      </c>
      <c r="N53" s="20" t="n">
        <v>0</v>
      </c>
      <c r="O53" s="18" t="n">
        <v>0</v>
      </c>
      <c r="P53" s="20" t="n">
        <v>0</v>
      </c>
      <c r="Q53" s="18" t="n">
        <v>8.43938618</v>
      </c>
      <c r="R53" s="20" t="n">
        <v>1.0209347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(4118.0/B55*100)</f>
        <v/>
      </c>
      <c r="D55" s="19" t="n">
        <v>1241</v>
      </c>
      <c r="E55" s="18" t="n">
        <v>13.88445402</v>
      </c>
      <c r="F55" s="20" t="n">
        <v>1.11886282</v>
      </c>
      <c r="G55" s="18" t="n">
        <v>84.60349333000001</v>
      </c>
      <c r="H55" s="20" t="n">
        <v>1.13676691</v>
      </c>
      <c r="I55" s="18" t="n">
        <v>0</v>
      </c>
      <c r="J55" s="20" t="n">
        <v>0</v>
      </c>
      <c r="K55" s="18" t="n">
        <v>0.15985357</v>
      </c>
      <c r="L55" s="20" t="n">
        <v>0.11373089</v>
      </c>
      <c r="M55" s="18" t="n">
        <v>0</v>
      </c>
      <c r="N55" s="20" t="n">
        <v>0</v>
      </c>
      <c r="O55" s="18" t="n">
        <v>0</v>
      </c>
      <c r="P55" s="20" t="n">
        <v>0</v>
      </c>
      <c r="Q55" s="18" t="n">
        <v>1.35219908</v>
      </c>
      <c r="R55" s="20" t="n">
        <v>0.40181123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(5061.0/B61*100)</f>
        <v/>
      </c>
      <c r="D61" s="19" t="n">
        <v>1464</v>
      </c>
      <c r="E61" s="18" t="n">
        <v>21.35065401</v>
      </c>
      <c r="F61" s="20" t="n">
        <v>1.32158975</v>
      </c>
      <c r="G61" s="18" t="n">
        <v>76.16617259</v>
      </c>
      <c r="H61" s="20" t="n">
        <v>1.48209336</v>
      </c>
      <c r="I61" s="18" t="n">
        <v>0</v>
      </c>
      <c r="J61" s="20" t="n">
        <v>0</v>
      </c>
      <c r="K61" s="18" t="n">
        <v>0.13333186</v>
      </c>
      <c r="L61" s="20" t="n">
        <v>0.09084824</v>
      </c>
      <c r="M61" s="18" t="n">
        <v>0</v>
      </c>
      <c r="N61" s="20" t="n">
        <v>0</v>
      </c>
      <c r="O61" s="18" t="n">
        <v>0</v>
      </c>
      <c r="P61" s="20" t="n">
        <v>0</v>
      </c>
      <c r="Q61" s="18" t="n">
        <v>2.34984155</v>
      </c>
      <c r="R61" s="20" t="n">
        <v>0.43056285</v>
      </c>
    </row>
    <row r="62" spans="1:18">
      <c r="A62" s="15" t="s">
        <v>622</v>
      </c>
      <c r="B62" s="17" t="n">
        <v>4476</v>
      </c>
      <c r="C62" s="18">
        <f>(3467.0/B62*100)</f>
        <v/>
      </c>
      <c r="D62" s="19" t="n">
        <v>1009</v>
      </c>
      <c r="E62" s="18" t="n">
        <v>9.716723050000001</v>
      </c>
      <c r="F62" s="20" t="n">
        <v>0.91117016</v>
      </c>
      <c r="G62" s="18" t="n">
        <v>90.18491666</v>
      </c>
      <c r="H62" s="20" t="n">
        <v>0.90583214</v>
      </c>
      <c r="I62" s="18" t="n">
        <v>0</v>
      </c>
      <c r="J62" s="20" t="n">
        <v>0</v>
      </c>
      <c r="K62" s="18" t="n">
        <v>0</v>
      </c>
      <c r="L62" s="20" t="n">
        <v>0</v>
      </c>
      <c r="M62" s="18" t="n">
        <v>0</v>
      </c>
      <c r="N62" s="20" t="n">
        <v>0</v>
      </c>
      <c r="O62" s="18" t="n">
        <v>0</v>
      </c>
      <c r="P62" s="20" t="n">
        <v>0</v>
      </c>
      <c r="Q62" s="18" t="n">
        <v>0.09836029</v>
      </c>
      <c r="R62" s="20" t="n">
        <v>0.09855856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(4424.0/B67*100)</f>
        <v/>
      </c>
      <c r="D67" s="19" t="n">
        <v>1241</v>
      </c>
      <c r="E67" s="18" t="n">
        <v>33.25301177</v>
      </c>
      <c r="F67" s="20" t="n">
        <v>1.21152876</v>
      </c>
      <c r="G67" s="18" t="n">
        <v>58.12029387</v>
      </c>
      <c r="H67" s="20" t="n">
        <v>1.38107181</v>
      </c>
      <c r="I67" s="18" t="n">
        <v>0</v>
      </c>
      <c r="J67" s="20" t="n">
        <v>0</v>
      </c>
      <c r="K67" s="18" t="n">
        <v>0.26198014</v>
      </c>
      <c r="L67" s="20" t="n">
        <v>0.15460735</v>
      </c>
      <c r="M67" s="18" t="n">
        <v>0</v>
      </c>
      <c r="N67" s="20" t="n">
        <v>0</v>
      </c>
      <c r="O67" s="18" t="n">
        <v>0</v>
      </c>
      <c r="P67" s="20" t="n">
        <v>0</v>
      </c>
      <c r="Q67" s="18" t="n">
        <v>8.364714230000001</v>
      </c>
      <c r="R67" s="20" t="n">
        <v>0.69308371</v>
      </c>
    </row>
    <row r="68" spans="1:18">
      <c r="A68" s="15" t="s">
        <v>628</v>
      </c>
      <c r="B68" s="17" t="n">
        <v>6971</v>
      </c>
      <c r="C68" s="18">
        <f>(5550.0/B68*100)</f>
        <v/>
      </c>
      <c r="D68" s="19" t="n">
        <v>1421</v>
      </c>
      <c r="E68" s="18" t="n">
        <v>38.42532117</v>
      </c>
      <c r="F68" s="20" t="n">
        <v>1.47384183</v>
      </c>
      <c r="G68" s="18" t="n">
        <v>57.42809825</v>
      </c>
      <c r="H68" s="20" t="n">
        <v>1.57638816</v>
      </c>
      <c r="I68" s="18" t="n">
        <v>0</v>
      </c>
      <c r="J68" s="20" t="n">
        <v>0</v>
      </c>
      <c r="K68" s="18" t="n">
        <v>0.06586759</v>
      </c>
      <c r="L68" s="20" t="n">
        <v>0.06415495</v>
      </c>
      <c r="M68" s="18" t="n">
        <v>0</v>
      </c>
      <c r="N68" s="20" t="n">
        <v>0</v>
      </c>
      <c r="O68" s="18" t="n">
        <v>0</v>
      </c>
      <c r="P68" s="20" t="n">
        <v>0</v>
      </c>
      <c r="Q68" s="18" t="n">
        <v>4.08071299</v>
      </c>
      <c r="R68" s="20" t="n">
        <v>0.6328551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(9373.0/B70*100)</f>
        <v/>
      </c>
      <c r="D70" s="19" t="n">
        <v>2710</v>
      </c>
      <c r="E70" s="18" t="n">
        <v>32.72122833</v>
      </c>
      <c r="F70" s="20" t="n">
        <v>0.93340505</v>
      </c>
      <c r="G70" s="18" t="n">
        <v>60.10359492</v>
      </c>
      <c r="H70" s="20" t="n">
        <v>1.06491457</v>
      </c>
      <c r="I70" s="18" t="n">
        <v>0</v>
      </c>
      <c r="J70" s="20" t="n">
        <v>0</v>
      </c>
      <c r="K70" s="18" t="n">
        <v>1.32195255</v>
      </c>
      <c r="L70" s="20" t="n">
        <v>0.20076559</v>
      </c>
      <c r="M70" s="18" t="n">
        <v>0</v>
      </c>
      <c r="N70" s="20" t="n">
        <v>0</v>
      </c>
      <c r="O70" s="18" t="n">
        <v>0</v>
      </c>
      <c r="P70" s="20" t="n">
        <v>0</v>
      </c>
      <c r="Q70" s="18" t="n">
        <v>5.8532242</v>
      </c>
      <c r="R70" s="20" t="n">
        <v>0.46453789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(4788.0/B72*100)</f>
        <v/>
      </c>
      <c r="D72" s="19" t="n">
        <v>1248</v>
      </c>
      <c r="E72" s="18" t="n">
        <v>16.68358495</v>
      </c>
      <c r="F72" s="20" t="n">
        <v>1.13296867</v>
      </c>
      <c r="G72" s="18" t="n">
        <v>81.6316155</v>
      </c>
      <c r="H72" s="20" t="n">
        <v>1.23717867</v>
      </c>
      <c r="I72" s="18" t="n">
        <v>0</v>
      </c>
      <c r="J72" s="20" t="n">
        <v>0</v>
      </c>
      <c r="K72" s="18" t="n">
        <v>0.14281442</v>
      </c>
      <c r="L72" s="20" t="n">
        <v>0.08617944</v>
      </c>
      <c r="M72" s="18" t="n">
        <v>0</v>
      </c>
      <c r="N72" s="20" t="n">
        <v>0</v>
      </c>
      <c r="O72" s="18" t="n">
        <v>0</v>
      </c>
      <c r="P72" s="20" t="n">
        <v>0</v>
      </c>
      <c r="Q72" s="18" t="n">
        <v>1.54198512</v>
      </c>
      <c r="R72" s="20" t="n">
        <v>0.37911279</v>
      </c>
    </row>
    <row r="73" spans="1:18">
      <c r="A73" s="15" t="s">
        <v>633</v>
      </c>
      <c r="B73" s="17" t="n">
        <v>6115</v>
      </c>
      <c r="C73" s="18">
        <f>(4777.0/B73*100)</f>
        <v/>
      </c>
      <c r="D73" s="19" t="n">
        <v>1338</v>
      </c>
      <c r="E73" s="18" t="n">
        <v>11.32550279</v>
      </c>
      <c r="F73" s="20" t="n">
        <v>1.03599601</v>
      </c>
      <c r="G73" s="18" t="n">
        <v>87.55358301</v>
      </c>
      <c r="H73" s="20" t="n">
        <v>1.03548948</v>
      </c>
      <c r="I73" s="18" t="n">
        <v>0</v>
      </c>
      <c r="J73" s="20" t="n">
        <v>0</v>
      </c>
      <c r="K73" s="18" t="n">
        <v>0.16009674</v>
      </c>
      <c r="L73" s="20" t="n">
        <v>0.11315284</v>
      </c>
      <c r="M73" s="18" t="n">
        <v>0</v>
      </c>
      <c r="N73" s="20" t="n">
        <v>0</v>
      </c>
      <c r="O73" s="18" t="n">
        <v>0</v>
      </c>
      <c r="P73" s="20" t="n">
        <v>0</v>
      </c>
      <c r="Q73" s="18" t="n">
        <v>0.96081747</v>
      </c>
      <c r="R73" s="20" t="n">
        <v>0.29766349</v>
      </c>
    </row>
    <row r="74" spans="1:18">
      <c r="A74" s="15" t="s">
        <v>634</v>
      </c>
      <c r="B74" s="17" t="n">
        <v>7708</v>
      </c>
      <c r="C74" s="18">
        <f>(5967.0/B74*100)</f>
        <v/>
      </c>
      <c r="D74" s="19" t="n">
        <v>1741</v>
      </c>
      <c r="E74" s="18" t="n">
        <v>12.01582094</v>
      </c>
      <c r="F74" s="20" t="n">
        <v>0.90466647</v>
      </c>
      <c r="G74" s="18" t="n">
        <v>87.09361128</v>
      </c>
      <c r="H74" s="20" t="n">
        <v>0.96942677</v>
      </c>
      <c r="I74" s="18" t="n">
        <v>0</v>
      </c>
      <c r="J74" s="20" t="n">
        <v>0</v>
      </c>
      <c r="K74" s="18" t="n">
        <v>0</v>
      </c>
      <c r="L74" s="20" t="n">
        <v>0</v>
      </c>
      <c r="M74" s="18" t="n">
        <v>0</v>
      </c>
      <c r="N74" s="20" t="n">
        <v>0</v>
      </c>
      <c r="O74" s="18" t="n">
        <v>0</v>
      </c>
      <c r="P74" s="20" t="n">
        <v>0</v>
      </c>
      <c r="Q74" s="18" t="n">
        <v>0.89056779</v>
      </c>
      <c r="R74" s="20" t="n">
        <v>0.23364762</v>
      </c>
    </row>
    <row r="75" spans="1:18">
      <c r="A75" s="15" t="s">
        <v>635</v>
      </c>
      <c r="B75" s="17" t="n">
        <v>8249</v>
      </c>
      <c r="C75" s="18">
        <f>(6485.0/B75*100)</f>
        <v/>
      </c>
      <c r="D75" s="19" t="n">
        <v>1764</v>
      </c>
      <c r="E75" s="18" t="n">
        <v>35.18592877</v>
      </c>
      <c r="F75" s="20" t="n">
        <v>1.5901211</v>
      </c>
      <c r="G75" s="18" t="n">
        <v>61.62860702</v>
      </c>
      <c r="H75" s="20" t="n">
        <v>1.67994338</v>
      </c>
      <c r="I75" s="18" t="n">
        <v>0</v>
      </c>
      <c r="J75" s="20" t="n">
        <v>0</v>
      </c>
      <c r="K75" s="18" t="n">
        <v>0</v>
      </c>
      <c r="L75" s="20" t="n">
        <v>0</v>
      </c>
      <c r="M75" s="18" t="n">
        <v>0</v>
      </c>
      <c r="N75" s="20" t="n">
        <v>0</v>
      </c>
      <c r="O75" s="18" t="n">
        <v>0</v>
      </c>
      <c r="P75" s="20" t="n">
        <v>0</v>
      </c>
      <c r="Q75" s="18" t="n">
        <v>3.18546421</v>
      </c>
      <c r="R75" s="20" t="n">
        <v>0.54552136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(4314.0/B77*100)</f>
        <v/>
      </c>
      <c r="D77" s="19" t="n">
        <v>1061</v>
      </c>
      <c r="E77" s="18" t="n">
        <v>43.84706867</v>
      </c>
      <c r="F77" s="20" t="n">
        <v>1.42444806</v>
      </c>
      <c r="G77" s="18" t="n">
        <v>48.60653303</v>
      </c>
      <c r="H77" s="20" t="n">
        <v>1.69196732</v>
      </c>
      <c r="I77" s="18" t="n">
        <v>0</v>
      </c>
      <c r="J77" s="20" t="n">
        <v>0</v>
      </c>
      <c r="K77" s="18" t="n">
        <v>2.01457838</v>
      </c>
      <c r="L77" s="20" t="n">
        <v>0.51490127</v>
      </c>
      <c r="M77" s="18" t="n">
        <v>0</v>
      </c>
      <c r="N77" s="20" t="n">
        <v>0</v>
      </c>
      <c r="O77" s="18" t="n">
        <v>0</v>
      </c>
      <c r="P77" s="20" t="n">
        <v>0</v>
      </c>
      <c r="Q77" s="18" t="n">
        <v>5.53181992</v>
      </c>
      <c r="R77" s="20" t="n">
        <v>0.87233109</v>
      </c>
    </row>
    <row r="78" spans="1:18">
      <c r="A78" s="15" t="s">
        <v>638</v>
      </c>
      <c r="B78" s="17" t="n">
        <v>14167</v>
      </c>
      <c r="C78" s="18">
        <f>(11102.0/B78*100)</f>
        <v/>
      </c>
      <c r="D78" s="19" t="n">
        <v>3065</v>
      </c>
      <c r="E78" s="18" t="n">
        <v>29.12112154</v>
      </c>
      <c r="F78" s="20" t="n">
        <v>1.16686639</v>
      </c>
      <c r="G78" s="18" t="n">
        <v>66.95941584000001</v>
      </c>
      <c r="H78" s="20" t="n">
        <v>1.34462796</v>
      </c>
      <c r="I78" s="18" t="n">
        <v>0</v>
      </c>
      <c r="J78" s="20" t="n">
        <v>0</v>
      </c>
      <c r="K78" s="18" t="n">
        <v>0.62774526</v>
      </c>
      <c r="L78" s="20" t="n">
        <v>0.17339966</v>
      </c>
      <c r="M78" s="18" t="n">
        <v>0</v>
      </c>
      <c r="N78" s="20" t="n">
        <v>0</v>
      </c>
      <c r="O78" s="18" t="n">
        <v>0</v>
      </c>
      <c r="P78" s="20" t="n">
        <v>0</v>
      </c>
      <c r="Q78" s="18" t="n">
        <v>3.29171737</v>
      </c>
      <c r="R78" s="20" t="n">
        <v>0.42163606</v>
      </c>
    </row>
    <row r="79" spans="1:18">
      <c r="A79" s="15" t="s">
        <v>639</v>
      </c>
      <c r="B79" s="17" t="n">
        <v>6062</v>
      </c>
      <c r="C79" s="18">
        <f>(4744.0/B79*100)</f>
        <v/>
      </c>
      <c r="D79" s="19" t="n">
        <v>1318</v>
      </c>
      <c r="E79" s="18" t="n">
        <v>27.23209741</v>
      </c>
      <c r="F79" s="20" t="n">
        <v>1.16601318</v>
      </c>
      <c r="G79" s="18" t="n">
        <v>68.05409204999999</v>
      </c>
      <c r="H79" s="20" t="n">
        <v>1.31592545</v>
      </c>
      <c r="I79" s="18" t="n">
        <v>0</v>
      </c>
      <c r="J79" s="20" t="n">
        <v>0</v>
      </c>
      <c r="K79" s="18" t="n">
        <v>0.47670319</v>
      </c>
      <c r="L79" s="20" t="n">
        <v>0.23109687</v>
      </c>
      <c r="M79" s="18" t="n">
        <v>0</v>
      </c>
      <c r="N79" s="20" t="n">
        <v>0</v>
      </c>
      <c r="O79" s="18" t="n">
        <v>0</v>
      </c>
      <c r="P79" s="20" t="n">
        <v>0</v>
      </c>
      <c r="Q79" s="18" t="n">
        <v>4.23710735</v>
      </c>
      <c r="R79" s="20" t="n">
        <v>0.67778128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(25163.0/B82*100)</f>
        <v/>
      </c>
      <c r="D82" s="19" t="n">
        <v>7167</v>
      </c>
      <c r="E82" s="18" t="n">
        <v>18.61736669</v>
      </c>
      <c r="F82" s="20" t="n">
        <v>0.68331155</v>
      </c>
      <c r="G82" s="18" t="n">
        <v>79.89390484</v>
      </c>
      <c r="H82" s="20" t="n">
        <v>0.73855587</v>
      </c>
      <c r="I82" s="18" t="n">
        <v>0</v>
      </c>
      <c r="J82" s="20" t="n">
        <v>0</v>
      </c>
      <c r="K82" s="18" t="n">
        <v>0.12191081</v>
      </c>
      <c r="L82" s="20" t="n">
        <v>0.06815061</v>
      </c>
      <c r="M82" s="18" t="n">
        <v>0</v>
      </c>
      <c r="N82" s="20" t="n">
        <v>0</v>
      </c>
      <c r="O82" s="18" t="n">
        <v>0</v>
      </c>
      <c r="P82" s="20" t="n">
        <v>0</v>
      </c>
      <c r="Q82" s="18" t="n">
        <v>1.36681766</v>
      </c>
      <c r="R82" s="20" t="n">
        <v>0.22476127</v>
      </c>
    </row>
    <row r="83" spans="1:18">
      <c r="A83" s="15" t="s">
        <v>643</v>
      </c>
      <c r="B83" s="17" t="n">
        <v>1652</v>
      </c>
      <c r="C83" s="18">
        <f>(1288.0/B83*100)</f>
        <v/>
      </c>
      <c r="D83" s="19" t="n">
        <v>364</v>
      </c>
      <c r="E83" s="18" t="n">
        <v>10.40234254</v>
      </c>
      <c r="F83" s="20" t="n">
        <v>1.44218832</v>
      </c>
      <c r="G83" s="18" t="n">
        <v>88.2656659</v>
      </c>
      <c r="H83" s="20" t="n">
        <v>1.52321451</v>
      </c>
      <c r="I83" s="18" t="n">
        <v>0</v>
      </c>
      <c r="J83" s="20" t="n">
        <v>0</v>
      </c>
      <c r="K83" s="18" t="n">
        <v>0.31214366</v>
      </c>
      <c r="L83" s="20" t="n">
        <v>0.32672076</v>
      </c>
      <c r="M83" s="18" t="n">
        <v>0</v>
      </c>
      <c r="N83" s="20" t="n">
        <v>0</v>
      </c>
      <c r="O83" s="18" t="n">
        <v>0</v>
      </c>
      <c r="P83" s="20" t="n">
        <v>0</v>
      </c>
      <c r="Q83" s="18" t="n">
        <v>1.01984791</v>
      </c>
      <c r="R83" s="20" t="n">
        <v>0.54082176</v>
      </c>
    </row>
    <row r="84" spans="1:18">
      <c r="A84" s="23" t="s">
        <v>644</v>
      </c>
      <c r="B84" s="24" t="n">
        <v>1887</v>
      </c>
      <c r="C84" s="25">
        <f>(1492.0/B84*100)</f>
        <v/>
      </c>
      <c r="D84" s="19" t="n">
        <v>395</v>
      </c>
      <c r="E84" s="18" t="n">
        <v>14.35613714</v>
      </c>
      <c r="F84" s="20" t="n">
        <v>1.74658338</v>
      </c>
      <c r="G84" s="18" t="n">
        <v>84.29488096999999</v>
      </c>
      <c r="H84" s="20" t="n">
        <v>1.91734379</v>
      </c>
      <c r="I84" s="18" t="n">
        <v>0</v>
      </c>
      <c r="J84" s="20" t="n">
        <v>0</v>
      </c>
      <c r="K84" s="18" t="n">
        <v>0</v>
      </c>
      <c r="L84" s="20" t="n">
        <v>0</v>
      </c>
      <c r="M84" s="18" t="n">
        <v>0</v>
      </c>
      <c r="N84" s="20" t="n">
        <v>0</v>
      </c>
      <c r="O84" s="18" t="n">
        <v>0</v>
      </c>
      <c r="P84" s="20" t="n">
        <v>0</v>
      </c>
      <c r="Q84" s="18" t="n">
        <v>1.34898189</v>
      </c>
      <c r="R84" s="20" t="n">
        <v>0.61428876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(11309.0/B7*100)</f>
        <v/>
      </c>
      <c r="D7" s="19" t="n">
        <v>3221</v>
      </c>
      <c r="E7" s="18" t="n">
        <v>52.88542993</v>
      </c>
      <c r="F7" s="20" t="n">
        <v>1.12541102</v>
      </c>
      <c r="G7" s="18" t="n">
        <v>45.91848253</v>
      </c>
      <c r="H7" s="20" t="n">
        <v>1.14768376</v>
      </c>
      <c r="I7" s="18" t="n">
        <v>0</v>
      </c>
      <c r="J7" s="20" t="n">
        <v>0</v>
      </c>
      <c r="K7" s="18" t="n">
        <v>0.16267346</v>
      </c>
      <c r="L7" s="20" t="n">
        <v>0.09697445</v>
      </c>
      <c r="M7" s="18" t="n">
        <v>0</v>
      </c>
      <c r="N7" s="20" t="n">
        <v>0</v>
      </c>
      <c r="O7" s="18" t="n">
        <v>0</v>
      </c>
      <c r="P7" s="20" t="n">
        <v>0</v>
      </c>
      <c r="Q7" s="18" t="n">
        <v>1.03341408</v>
      </c>
      <c r="R7" s="20" t="n">
        <v>0.21261531</v>
      </c>
    </row>
    <row r="8" spans="1:18">
      <c r="A8" s="15" t="s">
        <v>566</v>
      </c>
      <c r="B8" s="17" t="n">
        <v>7007</v>
      </c>
      <c r="C8" s="18">
        <f>(5496.0/B8*100)</f>
        <v/>
      </c>
      <c r="D8" s="19" t="n">
        <v>1511</v>
      </c>
      <c r="E8" s="18" t="n">
        <v>60.94351914</v>
      </c>
      <c r="F8" s="20" t="n">
        <v>1.43727779</v>
      </c>
      <c r="G8" s="18" t="n">
        <v>37.78840868</v>
      </c>
      <c r="H8" s="20" t="n">
        <v>1.39328967</v>
      </c>
      <c r="I8" s="18" t="n">
        <v>0</v>
      </c>
      <c r="J8" s="20" t="n">
        <v>0</v>
      </c>
      <c r="K8" s="18" t="n">
        <v>0.0774217</v>
      </c>
      <c r="L8" s="20" t="n">
        <v>0.07536453999999999</v>
      </c>
      <c r="M8" s="18" t="n">
        <v>0</v>
      </c>
      <c r="N8" s="20" t="n">
        <v>0</v>
      </c>
      <c r="O8" s="18" t="n">
        <v>0</v>
      </c>
      <c r="P8" s="20" t="n">
        <v>0</v>
      </c>
      <c r="Q8" s="18" t="n">
        <v>1.19065048</v>
      </c>
      <c r="R8" s="20" t="n">
        <v>0.35976572</v>
      </c>
    </row>
    <row r="9" spans="1:18">
      <c r="A9" s="15" t="s">
        <v>567</v>
      </c>
      <c r="B9" s="17" t="n">
        <v>9651</v>
      </c>
      <c r="C9" s="18">
        <f>(7574.0/B9*100)</f>
        <v/>
      </c>
      <c r="D9" s="19" t="n">
        <v>2077</v>
      </c>
      <c r="E9" s="18" t="n">
        <v>45.80322337</v>
      </c>
      <c r="F9" s="20" t="n">
        <v>1.35151346</v>
      </c>
      <c r="G9" s="18" t="n">
        <v>53.23352895</v>
      </c>
      <c r="H9" s="20" t="n">
        <v>1.3070629</v>
      </c>
      <c r="I9" s="18" t="n">
        <v>0</v>
      </c>
      <c r="J9" s="20" t="n">
        <v>0</v>
      </c>
      <c r="K9" s="18" t="n">
        <v>0.14523783</v>
      </c>
      <c r="L9" s="20" t="n">
        <v>0.08544095</v>
      </c>
      <c r="M9" s="18" t="n">
        <v>0</v>
      </c>
      <c r="N9" s="20" t="n">
        <v>0</v>
      </c>
      <c r="O9" s="18" t="n">
        <v>0</v>
      </c>
      <c r="P9" s="20" t="n">
        <v>0</v>
      </c>
      <c r="Q9" s="18" t="n">
        <v>0.81800984</v>
      </c>
      <c r="R9" s="20" t="n">
        <v>0.1667105</v>
      </c>
    </row>
    <row r="10" spans="1:18">
      <c r="A10" s="15" t="s">
        <v>568</v>
      </c>
      <c r="B10" s="17" t="n">
        <v>20058</v>
      </c>
      <c r="C10" s="18">
        <f>(15636.0/B10*100)</f>
        <v/>
      </c>
      <c r="D10" s="19" t="n">
        <v>4422</v>
      </c>
      <c r="E10" s="18" t="n">
        <v>45.76860628</v>
      </c>
      <c r="F10" s="20" t="n">
        <v>1.25475591</v>
      </c>
      <c r="G10" s="18" t="n">
        <v>53.53571314</v>
      </c>
      <c r="H10" s="20" t="n">
        <v>1.260479</v>
      </c>
      <c r="I10" s="18" t="n">
        <v>0</v>
      </c>
      <c r="J10" s="20" t="n">
        <v>0</v>
      </c>
      <c r="K10" s="18" t="n">
        <v>0.272305</v>
      </c>
      <c r="L10" s="20" t="n">
        <v>0.11993607</v>
      </c>
      <c r="M10" s="18" t="n">
        <v>0</v>
      </c>
      <c r="N10" s="20" t="n">
        <v>0</v>
      </c>
      <c r="O10" s="18" t="n">
        <v>0</v>
      </c>
      <c r="P10" s="20" t="n">
        <v>0</v>
      </c>
      <c r="Q10" s="18" t="n">
        <v>0.42337558</v>
      </c>
      <c r="R10" s="20" t="n">
        <v>0.12689478</v>
      </c>
    </row>
    <row r="11" spans="1:18">
      <c r="A11" s="15" t="s">
        <v>569</v>
      </c>
      <c r="B11" s="17" t="n">
        <v>7053</v>
      </c>
      <c r="C11" s="18">
        <f>(5555.0/B11*100)</f>
        <v/>
      </c>
      <c r="D11" s="19" t="n">
        <v>1498</v>
      </c>
      <c r="E11" s="18" t="n">
        <v>69.46996171000001</v>
      </c>
      <c r="F11" s="20" t="n">
        <v>1.41568389</v>
      </c>
      <c r="G11" s="18" t="n">
        <v>28.22992793</v>
      </c>
      <c r="H11" s="20" t="n">
        <v>1.40110771</v>
      </c>
      <c r="I11" s="18" t="n">
        <v>0</v>
      </c>
      <c r="J11" s="20" t="n">
        <v>0</v>
      </c>
      <c r="K11" s="18" t="n">
        <v>0.5246534</v>
      </c>
      <c r="L11" s="20" t="n">
        <v>0.28579332</v>
      </c>
      <c r="M11" s="18" t="n">
        <v>0</v>
      </c>
      <c r="N11" s="20" t="n">
        <v>0</v>
      </c>
      <c r="O11" s="18" t="n">
        <v>0</v>
      </c>
      <c r="P11" s="20" t="n">
        <v>0</v>
      </c>
      <c r="Q11" s="18" t="n">
        <v>1.77545696</v>
      </c>
      <c r="R11" s="20" t="n">
        <v>0.42021238</v>
      </c>
    </row>
    <row r="12" spans="1:18">
      <c r="A12" s="15" t="s">
        <v>570</v>
      </c>
      <c r="B12" s="17" t="n">
        <v>6894</v>
      </c>
      <c r="C12" s="18">
        <f>(5368.0/B12*100)</f>
        <v/>
      </c>
      <c r="D12" s="19" t="n">
        <v>1526</v>
      </c>
      <c r="E12" s="18" t="n">
        <v>57.64410291</v>
      </c>
      <c r="F12" s="20" t="n">
        <v>1.65926073</v>
      </c>
      <c r="G12" s="18" t="n">
        <v>41.19910089</v>
      </c>
      <c r="H12" s="20" t="n">
        <v>1.64806722</v>
      </c>
      <c r="I12" s="18" t="n">
        <v>0</v>
      </c>
      <c r="J12" s="20" t="n">
        <v>0</v>
      </c>
      <c r="K12" s="18" t="n">
        <v>0.26734106</v>
      </c>
      <c r="L12" s="20" t="n">
        <v>0.16885985</v>
      </c>
      <c r="M12" s="18" t="n">
        <v>0</v>
      </c>
      <c r="N12" s="20" t="n">
        <v>0</v>
      </c>
      <c r="O12" s="18" t="n">
        <v>0</v>
      </c>
      <c r="P12" s="20" t="n">
        <v>0</v>
      </c>
      <c r="Q12" s="18" t="n">
        <v>0.88945513</v>
      </c>
      <c r="R12" s="20" t="n">
        <v>0.24068138</v>
      </c>
    </row>
    <row r="13" spans="1:18">
      <c r="A13" s="15" t="s">
        <v>571</v>
      </c>
      <c r="B13" s="17" t="n">
        <v>7161</v>
      </c>
      <c r="C13" s="18">
        <f>(5619.0/B13*100)</f>
        <v/>
      </c>
      <c r="D13" s="19" t="n">
        <v>1542</v>
      </c>
      <c r="E13" s="18" t="n">
        <v>57.58892106</v>
      </c>
      <c r="F13" s="20" t="n">
        <v>1.57177095</v>
      </c>
      <c r="G13" s="18" t="n">
        <v>41.68983694</v>
      </c>
      <c r="H13" s="20" t="n">
        <v>1.611903</v>
      </c>
      <c r="I13" s="18" t="n">
        <v>0</v>
      </c>
      <c r="J13" s="20" t="n">
        <v>0</v>
      </c>
      <c r="K13" s="18" t="n">
        <v>0.10272438</v>
      </c>
      <c r="L13" s="20" t="n">
        <v>0.05400068</v>
      </c>
      <c r="M13" s="18" t="n">
        <v>0</v>
      </c>
      <c r="N13" s="20" t="n">
        <v>0</v>
      </c>
      <c r="O13" s="18" t="n">
        <v>0</v>
      </c>
      <c r="P13" s="20" t="n">
        <v>0</v>
      </c>
      <c r="Q13" s="18" t="n">
        <v>0.61851762</v>
      </c>
      <c r="R13" s="20" t="n">
        <v>0.19681258</v>
      </c>
    </row>
    <row r="14" spans="1:18">
      <c r="A14" s="15" t="s">
        <v>572</v>
      </c>
      <c r="B14" s="17" t="n">
        <v>5587</v>
      </c>
      <c r="C14" s="18">
        <f>(4397.0/B14*100)</f>
        <v/>
      </c>
      <c r="D14" s="19" t="n">
        <v>1190</v>
      </c>
      <c r="E14" s="18" t="n">
        <v>46.5558343</v>
      </c>
      <c r="F14" s="20" t="n">
        <v>1.57715056</v>
      </c>
      <c r="G14" s="18" t="n">
        <v>52.86430546</v>
      </c>
      <c r="H14" s="20" t="n">
        <v>1.57843044</v>
      </c>
      <c r="I14" s="18" t="n">
        <v>0</v>
      </c>
      <c r="J14" s="20" t="n">
        <v>0</v>
      </c>
      <c r="K14" s="18" t="n">
        <v>0.2503642</v>
      </c>
      <c r="L14" s="20" t="n">
        <v>0.12669415</v>
      </c>
      <c r="M14" s="18" t="n">
        <v>0</v>
      </c>
      <c r="N14" s="20" t="n">
        <v>0</v>
      </c>
      <c r="O14" s="18" t="n">
        <v>0</v>
      </c>
      <c r="P14" s="20" t="n">
        <v>0</v>
      </c>
      <c r="Q14" s="18" t="n">
        <v>0.32949604</v>
      </c>
      <c r="R14" s="20" t="n">
        <v>0.22445578</v>
      </c>
    </row>
    <row r="15" spans="1:18">
      <c r="A15" s="15" t="s">
        <v>573</v>
      </c>
      <c r="B15" s="17" t="n">
        <v>5882</v>
      </c>
      <c r="C15" s="18">
        <f>(4623.0/B15*100)</f>
        <v/>
      </c>
      <c r="D15" s="19" t="n">
        <v>1259</v>
      </c>
      <c r="E15" s="18" t="n">
        <v>54.02204038</v>
      </c>
      <c r="F15" s="20" t="n">
        <v>1.46255908</v>
      </c>
      <c r="G15" s="18" t="n">
        <v>45.38533412</v>
      </c>
      <c r="H15" s="20" t="n">
        <v>1.45335744</v>
      </c>
      <c r="I15" s="18" t="n">
        <v>0</v>
      </c>
      <c r="J15" s="20" t="n">
        <v>0</v>
      </c>
      <c r="K15" s="18" t="n">
        <v>0</v>
      </c>
      <c r="L15" s="20" t="n">
        <v>0</v>
      </c>
      <c r="M15" s="18" t="n">
        <v>0</v>
      </c>
      <c r="N15" s="20" t="n">
        <v>0</v>
      </c>
      <c r="O15" s="18" t="n">
        <v>0</v>
      </c>
      <c r="P15" s="20" t="n">
        <v>0</v>
      </c>
      <c r="Q15" s="18" t="n">
        <v>0.5926255</v>
      </c>
      <c r="R15" s="20" t="n">
        <v>0.19215261</v>
      </c>
    </row>
    <row r="16" spans="1:18">
      <c r="A16" s="15" t="s">
        <v>574</v>
      </c>
      <c r="B16" s="17" t="n">
        <v>6108</v>
      </c>
      <c r="C16" s="18">
        <f>(4805.0/B16*100)</f>
        <v/>
      </c>
      <c r="D16" s="19" t="n">
        <v>1303</v>
      </c>
      <c r="E16" s="18" t="n">
        <v>47.93255406</v>
      </c>
      <c r="F16" s="20" t="n">
        <v>1.24647283</v>
      </c>
      <c r="G16" s="18" t="n">
        <v>49.82107473</v>
      </c>
      <c r="H16" s="20" t="n">
        <v>1.35885211</v>
      </c>
      <c r="I16" s="18" t="n">
        <v>0</v>
      </c>
      <c r="J16" s="20" t="n">
        <v>0</v>
      </c>
      <c r="K16" s="18" t="n">
        <v>0.2879156</v>
      </c>
      <c r="L16" s="20" t="n">
        <v>0.12776137</v>
      </c>
      <c r="M16" s="18" t="n">
        <v>0</v>
      </c>
      <c r="N16" s="20" t="n">
        <v>0</v>
      </c>
      <c r="O16" s="18" t="n">
        <v>0</v>
      </c>
      <c r="P16" s="20" t="n">
        <v>0</v>
      </c>
      <c r="Q16" s="18" t="n">
        <v>1.95845562</v>
      </c>
      <c r="R16" s="20" t="n">
        <v>0.44468269</v>
      </c>
    </row>
    <row r="17" spans="1:18">
      <c r="A17" s="15" t="s">
        <v>575</v>
      </c>
      <c r="B17" s="17" t="n">
        <v>6504</v>
      </c>
      <c r="C17" s="18">
        <f>(5050.0/B17*100)</f>
        <v/>
      </c>
      <c r="D17" s="19" t="n">
        <v>1454</v>
      </c>
      <c r="E17" s="18" t="n">
        <v>51.63907045</v>
      </c>
      <c r="F17" s="20" t="n">
        <v>1.48102318</v>
      </c>
      <c r="G17" s="18" t="n">
        <v>47.33977635</v>
      </c>
      <c r="H17" s="20" t="n">
        <v>1.50096096</v>
      </c>
      <c r="I17" s="18" t="n">
        <v>0</v>
      </c>
      <c r="J17" s="20" t="n">
        <v>0</v>
      </c>
      <c r="K17" s="18" t="n">
        <v>0.21285299</v>
      </c>
      <c r="L17" s="20" t="n">
        <v>0.10389617</v>
      </c>
      <c r="M17" s="18" t="n">
        <v>0</v>
      </c>
      <c r="N17" s="20" t="n">
        <v>0</v>
      </c>
      <c r="O17" s="18" t="n">
        <v>0</v>
      </c>
      <c r="P17" s="20" t="n">
        <v>0</v>
      </c>
      <c r="Q17" s="18" t="n">
        <v>0.80830021</v>
      </c>
      <c r="R17" s="20" t="n">
        <v>0.21097966</v>
      </c>
    </row>
    <row r="18" spans="1:18">
      <c r="A18" s="15" t="s">
        <v>576</v>
      </c>
      <c r="B18" s="17" t="n">
        <v>5532</v>
      </c>
      <c r="C18" s="18">
        <f>(4324.0/B18*100)</f>
        <v/>
      </c>
      <c r="D18" s="19" t="n">
        <v>1208</v>
      </c>
      <c r="E18" s="18" t="n">
        <v>66.76602162</v>
      </c>
      <c r="F18" s="20" t="n">
        <v>1.79838341</v>
      </c>
      <c r="G18" s="18" t="n">
        <v>31.24390652</v>
      </c>
      <c r="H18" s="20" t="n">
        <v>1.84990389</v>
      </c>
      <c r="I18" s="18" t="n">
        <v>0</v>
      </c>
      <c r="J18" s="20" t="n">
        <v>0</v>
      </c>
      <c r="K18" s="18" t="n">
        <v>0.35666525</v>
      </c>
      <c r="L18" s="20" t="n">
        <v>0.19726466</v>
      </c>
      <c r="M18" s="18" t="n">
        <v>0</v>
      </c>
      <c r="N18" s="20" t="n">
        <v>0</v>
      </c>
      <c r="O18" s="18" t="n">
        <v>0</v>
      </c>
      <c r="P18" s="20" t="n">
        <v>0</v>
      </c>
      <c r="Q18" s="18" t="n">
        <v>1.63340661</v>
      </c>
      <c r="R18" s="20" t="n">
        <v>0.41918716</v>
      </c>
    </row>
    <row r="19" spans="1:18">
      <c r="A19" s="15" t="s">
        <v>577</v>
      </c>
      <c r="B19" s="17" t="n">
        <v>5658</v>
      </c>
      <c r="C19" s="18">
        <f>(4399.0/B19*100)</f>
        <v/>
      </c>
      <c r="D19" s="19" t="n">
        <v>1259</v>
      </c>
      <c r="E19" s="18" t="n">
        <v>59.83461598</v>
      </c>
      <c r="F19" s="20" t="n">
        <v>1.56975166</v>
      </c>
      <c r="G19" s="18" t="n">
        <v>39.32617321</v>
      </c>
      <c r="H19" s="20" t="n">
        <v>1.55453259</v>
      </c>
      <c r="I19" s="18" t="n">
        <v>0</v>
      </c>
      <c r="J19" s="20" t="n">
        <v>0</v>
      </c>
      <c r="K19" s="18" t="n">
        <v>0.12995459</v>
      </c>
      <c r="L19" s="20" t="n">
        <v>0.07852831</v>
      </c>
      <c r="M19" s="18" t="n">
        <v>0</v>
      </c>
      <c r="N19" s="20" t="n">
        <v>0</v>
      </c>
      <c r="O19" s="18" t="n">
        <v>0</v>
      </c>
      <c r="P19" s="20" t="n">
        <v>0</v>
      </c>
      <c r="Q19" s="18" t="n">
        <v>0.70925622</v>
      </c>
      <c r="R19" s="20" t="n">
        <v>0.27211145</v>
      </c>
    </row>
    <row r="20" spans="1:18">
      <c r="A20" s="15" t="s">
        <v>578</v>
      </c>
      <c r="B20" s="17" t="n">
        <v>3371</v>
      </c>
      <c r="C20" s="18">
        <f>(2616.0/B20*100)</f>
        <v/>
      </c>
      <c r="D20" s="19" t="n">
        <v>755</v>
      </c>
      <c r="E20" s="18" t="n">
        <v>57.79458558</v>
      </c>
      <c r="F20" s="20" t="n">
        <v>1.66487966</v>
      </c>
      <c r="G20" s="18" t="n">
        <v>40.5990578</v>
      </c>
      <c r="H20" s="20" t="n">
        <v>1.66265134</v>
      </c>
      <c r="I20" s="18" t="n">
        <v>0</v>
      </c>
      <c r="J20" s="20" t="n">
        <v>0</v>
      </c>
      <c r="K20" s="18" t="n">
        <v>0</v>
      </c>
      <c r="L20" s="20" t="n">
        <v>0</v>
      </c>
      <c r="M20" s="18" t="n">
        <v>0</v>
      </c>
      <c r="N20" s="20" t="n">
        <v>0</v>
      </c>
      <c r="O20" s="18" t="n">
        <v>0</v>
      </c>
      <c r="P20" s="20" t="n">
        <v>0</v>
      </c>
      <c r="Q20" s="18" t="n">
        <v>1.60635662</v>
      </c>
      <c r="R20" s="20" t="n">
        <v>0.5066070499999999</v>
      </c>
    </row>
    <row r="21" spans="1:18">
      <c r="A21" s="15" t="s">
        <v>579</v>
      </c>
      <c r="B21" s="17" t="n">
        <v>5741</v>
      </c>
      <c r="C21" s="18">
        <f>(4452.0/B21*100)</f>
        <v/>
      </c>
      <c r="D21" s="19" t="n">
        <v>1289</v>
      </c>
      <c r="E21" s="18" t="n">
        <v>60.09421451</v>
      </c>
      <c r="F21" s="20" t="n">
        <v>1.38900334</v>
      </c>
      <c r="G21" s="18" t="n">
        <v>39.38431294</v>
      </c>
      <c r="H21" s="20" t="n">
        <v>1.36690184</v>
      </c>
      <c r="I21" s="18" t="n">
        <v>0</v>
      </c>
      <c r="J21" s="20" t="n">
        <v>0</v>
      </c>
      <c r="K21" s="18" t="n">
        <v>0</v>
      </c>
      <c r="L21" s="20" t="n">
        <v>0</v>
      </c>
      <c r="M21" s="18" t="n">
        <v>0</v>
      </c>
      <c r="N21" s="20" t="n">
        <v>0</v>
      </c>
      <c r="O21" s="18" t="n">
        <v>0</v>
      </c>
      <c r="P21" s="20" t="n">
        <v>0</v>
      </c>
      <c r="Q21" s="18" t="n">
        <v>0.52147255</v>
      </c>
      <c r="R21" s="20" t="n">
        <v>0.22006752</v>
      </c>
    </row>
    <row r="22" spans="1:18">
      <c r="A22" s="15" t="s">
        <v>580</v>
      </c>
      <c r="B22" s="17" t="n">
        <v>6598</v>
      </c>
      <c r="C22" s="18">
        <f>(5125.0/B22*100)</f>
        <v/>
      </c>
      <c r="D22" s="19" t="n">
        <v>1473</v>
      </c>
      <c r="E22" s="18" t="n">
        <v>57.59022358</v>
      </c>
      <c r="F22" s="20" t="n">
        <v>1.69872057</v>
      </c>
      <c r="G22" s="18" t="n">
        <v>39.3351896</v>
      </c>
      <c r="H22" s="20" t="n">
        <v>1.7080263</v>
      </c>
      <c r="I22" s="18" t="n">
        <v>0</v>
      </c>
      <c r="J22" s="20" t="n">
        <v>0</v>
      </c>
      <c r="K22" s="18" t="n">
        <v>0.65072281</v>
      </c>
      <c r="L22" s="20" t="n">
        <v>0.24134943</v>
      </c>
      <c r="M22" s="18" t="n">
        <v>0</v>
      </c>
      <c r="N22" s="20" t="n">
        <v>0</v>
      </c>
      <c r="O22" s="18" t="n">
        <v>0</v>
      </c>
      <c r="P22" s="20" t="n">
        <v>0</v>
      </c>
      <c r="Q22" s="18" t="n">
        <v>2.42386401</v>
      </c>
      <c r="R22" s="20" t="n">
        <v>0.53610326</v>
      </c>
    </row>
    <row r="23" spans="1:18">
      <c r="A23" s="15" t="s">
        <v>581</v>
      </c>
      <c r="B23" s="17" t="n">
        <v>11583</v>
      </c>
      <c r="C23" s="18">
        <f>(8988.0/B23*100)</f>
        <v/>
      </c>
      <c r="D23" s="19" t="n">
        <v>2595</v>
      </c>
      <c r="E23" s="18" t="n">
        <v>63.93563674</v>
      </c>
      <c r="F23" s="20" t="n">
        <v>1.54464032</v>
      </c>
      <c r="G23" s="18" t="n">
        <v>34.7079285</v>
      </c>
      <c r="H23" s="20" t="n">
        <v>1.57450116</v>
      </c>
      <c r="I23" s="18" t="n">
        <v>0</v>
      </c>
      <c r="J23" s="20" t="n">
        <v>0</v>
      </c>
      <c r="K23" s="18" t="n">
        <v>0.1531597</v>
      </c>
      <c r="L23" s="20" t="n">
        <v>0.10715504</v>
      </c>
      <c r="M23" s="18" t="n">
        <v>0</v>
      </c>
      <c r="N23" s="20" t="n">
        <v>0</v>
      </c>
      <c r="O23" s="18" t="n">
        <v>0</v>
      </c>
      <c r="P23" s="20" t="n">
        <v>0</v>
      </c>
      <c r="Q23" s="18" t="n">
        <v>1.20327507</v>
      </c>
      <c r="R23" s="20" t="n">
        <v>0.36154991</v>
      </c>
    </row>
    <row r="24" spans="1:18">
      <c r="A24" s="15" t="s">
        <v>582</v>
      </c>
      <c r="B24" s="17" t="n">
        <v>6647</v>
      </c>
      <c r="C24" s="18">
        <f>(5143.0/B24*100)</f>
        <v/>
      </c>
      <c r="D24" s="19" t="n">
        <v>1504</v>
      </c>
      <c r="E24" s="18" t="n">
        <v>40.14659631</v>
      </c>
      <c r="F24" s="20" t="n">
        <v>1.49543173</v>
      </c>
      <c r="G24" s="18" t="n">
        <v>59.43307507</v>
      </c>
      <c r="H24" s="20" t="n">
        <v>1.51983585</v>
      </c>
      <c r="I24" s="18" t="n">
        <v>0</v>
      </c>
      <c r="J24" s="20" t="n">
        <v>0</v>
      </c>
      <c r="K24" s="18" t="n">
        <v>0</v>
      </c>
      <c r="L24" s="20" t="n">
        <v>0</v>
      </c>
      <c r="M24" s="18" t="n">
        <v>0</v>
      </c>
      <c r="N24" s="20" t="n">
        <v>0</v>
      </c>
      <c r="O24" s="18" t="n">
        <v>0</v>
      </c>
      <c r="P24" s="20" t="n">
        <v>0</v>
      </c>
      <c r="Q24" s="18" t="n">
        <v>0.42032862</v>
      </c>
      <c r="R24" s="20" t="n">
        <v>0.16779538</v>
      </c>
    </row>
    <row r="25" spans="1:18">
      <c r="A25" s="15" t="s">
        <v>583</v>
      </c>
      <c r="B25" s="17" t="n">
        <v>5581</v>
      </c>
      <c r="C25" s="18">
        <f>(4331.0/B25*100)</f>
        <v/>
      </c>
      <c r="D25" s="19" t="n">
        <v>1250</v>
      </c>
      <c r="E25" s="18" t="n">
        <v>47.51746209</v>
      </c>
      <c r="F25" s="20" t="n">
        <v>1.47048526</v>
      </c>
      <c r="G25" s="18" t="n">
        <v>51.28662911</v>
      </c>
      <c r="H25" s="20" t="n">
        <v>1.48377614</v>
      </c>
      <c r="I25" s="18" t="n">
        <v>0</v>
      </c>
      <c r="J25" s="20" t="n">
        <v>0</v>
      </c>
      <c r="K25" s="18" t="n">
        <v>0.22836147</v>
      </c>
      <c r="L25" s="20" t="n">
        <v>0.1315252</v>
      </c>
      <c r="M25" s="18" t="n">
        <v>0</v>
      </c>
      <c r="N25" s="20" t="n">
        <v>0</v>
      </c>
      <c r="O25" s="18" t="n">
        <v>0</v>
      </c>
      <c r="P25" s="20" t="n">
        <v>0</v>
      </c>
      <c r="Q25" s="18" t="n">
        <v>0.96754733</v>
      </c>
      <c r="R25" s="20" t="n">
        <v>0.30468425</v>
      </c>
    </row>
    <row r="26" spans="1:18">
      <c r="A26" s="15" t="s">
        <v>584</v>
      </c>
      <c r="B26" s="17" t="n">
        <v>4869</v>
      </c>
      <c r="C26" s="18">
        <f>(3805.0/B26*100)</f>
        <v/>
      </c>
      <c r="D26" s="19" t="n">
        <v>1064</v>
      </c>
      <c r="E26" s="18" t="n">
        <v>55.82168066</v>
      </c>
      <c r="F26" s="20" t="n">
        <v>1.55933329</v>
      </c>
      <c r="G26" s="18" t="n">
        <v>43.93119857</v>
      </c>
      <c r="H26" s="20" t="n">
        <v>1.58735103</v>
      </c>
      <c r="I26" s="18" t="n">
        <v>0</v>
      </c>
      <c r="J26" s="20" t="n">
        <v>0</v>
      </c>
      <c r="K26" s="18" t="n">
        <v>0</v>
      </c>
      <c r="L26" s="20" t="n">
        <v>0</v>
      </c>
      <c r="M26" s="18" t="n">
        <v>0</v>
      </c>
      <c r="N26" s="20" t="n">
        <v>0</v>
      </c>
      <c r="O26" s="18" t="n">
        <v>0</v>
      </c>
      <c r="P26" s="20" t="n">
        <v>0</v>
      </c>
      <c r="Q26" s="18" t="n">
        <v>0.24712078</v>
      </c>
      <c r="R26" s="20" t="n">
        <v>0.14043177</v>
      </c>
    </row>
    <row r="27" spans="1:18">
      <c r="A27" s="15" t="s">
        <v>585</v>
      </c>
      <c r="B27" s="17" t="n">
        <v>5299</v>
      </c>
      <c r="C27" s="18">
        <f>(4089.0/B27*100)</f>
        <v/>
      </c>
      <c r="D27" s="19" t="n">
        <v>1210</v>
      </c>
      <c r="E27" s="18" t="n">
        <v>59.86765389</v>
      </c>
      <c r="F27" s="20" t="n">
        <v>1.25523262</v>
      </c>
      <c r="G27" s="18" t="n">
        <v>39.30336391</v>
      </c>
      <c r="H27" s="20" t="n">
        <v>1.23530119</v>
      </c>
      <c r="I27" s="18" t="n">
        <v>0</v>
      </c>
      <c r="J27" s="20" t="n">
        <v>0</v>
      </c>
      <c r="K27" s="18" t="n">
        <v>0.08288992000000001</v>
      </c>
      <c r="L27" s="20" t="n">
        <v>0.08348464</v>
      </c>
      <c r="M27" s="18" t="n">
        <v>0</v>
      </c>
      <c r="N27" s="20" t="n">
        <v>0</v>
      </c>
      <c r="O27" s="18" t="n">
        <v>0</v>
      </c>
      <c r="P27" s="20" t="n">
        <v>0</v>
      </c>
      <c r="Q27" s="18" t="n">
        <v>0.74609229</v>
      </c>
      <c r="R27" s="20" t="n">
        <v>0.2464556</v>
      </c>
    </row>
    <row r="28" spans="1:18">
      <c r="A28" s="15" t="s">
        <v>586</v>
      </c>
      <c r="B28" s="17" t="n">
        <v>7568</v>
      </c>
      <c r="C28" s="18">
        <f>(5983.0/B28*100)</f>
        <v/>
      </c>
      <c r="D28" s="19" t="n">
        <v>1585</v>
      </c>
      <c r="E28" s="18" t="n">
        <v>75.80319809</v>
      </c>
      <c r="F28" s="20" t="n">
        <v>1.42576039</v>
      </c>
      <c r="G28" s="18" t="n">
        <v>23.25311694</v>
      </c>
      <c r="H28" s="20" t="n">
        <v>1.43937808</v>
      </c>
      <c r="I28" s="18" t="n">
        <v>0</v>
      </c>
      <c r="J28" s="20" t="n">
        <v>0</v>
      </c>
      <c r="K28" s="18" t="n">
        <v>0.52834573</v>
      </c>
      <c r="L28" s="20" t="n">
        <v>0.20949079</v>
      </c>
      <c r="M28" s="18" t="n">
        <v>0</v>
      </c>
      <c r="N28" s="20" t="n">
        <v>0</v>
      </c>
      <c r="O28" s="18" t="n">
        <v>0</v>
      </c>
      <c r="P28" s="20" t="n">
        <v>0</v>
      </c>
      <c r="Q28" s="18" t="n">
        <v>0.41533924</v>
      </c>
      <c r="R28" s="20" t="n">
        <v>0.14173377</v>
      </c>
    </row>
    <row r="29" spans="1:18">
      <c r="A29" s="15" t="s">
        <v>587</v>
      </c>
      <c r="B29" s="17" t="n">
        <v>5385</v>
      </c>
      <c r="C29" s="18">
        <f>(4224.0/B29*100)</f>
        <v/>
      </c>
      <c r="D29" s="19" t="n">
        <v>1161</v>
      </c>
      <c r="E29" s="18" t="n">
        <v>53.81801213</v>
      </c>
      <c r="F29" s="20" t="n">
        <v>1.60561123</v>
      </c>
      <c r="G29" s="18" t="n">
        <v>45.48125151</v>
      </c>
      <c r="H29" s="20" t="n">
        <v>1.64972969</v>
      </c>
      <c r="I29" s="18" t="n">
        <v>0</v>
      </c>
      <c r="J29" s="20" t="n">
        <v>0</v>
      </c>
      <c r="K29" s="18" t="n">
        <v>0.31909367</v>
      </c>
      <c r="L29" s="20" t="n">
        <v>0.15878757</v>
      </c>
      <c r="M29" s="18" t="n">
        <v>0</v>
      </c>
      <c r="N29" s="20" t="n">
        <v>0</v>
      </c>
      <c r="O29" s="18" t="n">
        <v>0</v>
      </c>
      <c r="P29" s="20" t="n">
        <v>0</v>
      </c>
      <c r="Q29" s="18" t="n">
        <v>0.38164269</v>
      </c>
      <c r="R29" s="20" t="n">
        <v>0.17758452</v>
      </c>
    </row>
    <row r="30" spans="1:18">
      <c r="A30" s="15" t="s">
        <v>588</v>
      </c>
      <c r="B30" s="17" t="n">
        <v>4520</v>
      </c>
      <c r="C30" s="18">
        <f>(3559.0/B30*100)</f>
        <v/>
      </c>
      <c r="D30" s="19" t="n">
        <v>961</v>
      </c>
      <c r="E30" s="18" t="n">
        <v>54.25840549</v>
      </c>
      <c r="F30" s="20" t="n">
        <v>1.29875094</v>
      </c>
      <c r="G30" s="18" t="n">
        <v>44.49481415</v>
      </c>
      <c r="H30" s="20" t="n">
        <v>1.34945485</v>
      </c>
      <c r="I30" s="18" t="n">
        <v>0</v>
      </c>
      <c r="J30" s="20" t="n">
        <v>0</v>
      </c>
      <c r="K30" s="18" t="n">
        <v>0</v>
      </c>
      <c r="L30" s="20" t="n">
        <v>0</v>
      </c>
      <c r="M30" s="18" t="n">
        <v>0</v>
      </c>
      <c r="N30" s="20" t="n">
        <v>0</v>
      </c>
      <c r="O30" s="18" t="n">
        <v>0</v>
      </c>
      <c r="P30" s="20" t="n">
        <v>0</v>
      </c>
      <c r="Q30" s="18" t="n">
        <v>1.24678036</v>
      </c>
      <c r="R30" s="20" t="n">
        <v>0.35121729</v>
      </c>
    </row>
    <row r="31" spans="1:18">
      <c r="A31" s="15" t="s">
        <v>589</v>
      </c>
      <c r="B31" s="17" t="n">
        <v>5456</v>
      </c>
      <c r="C31" s="18">
        <f>(4274.0/B31*100)</f>
        <v/>
      </c>
      <c r="D31" s="19" t="n">
        <v>1182</v>
      </c>
      <c r="E31" s="18" t="n">
        <v>53.21992316</v>
      </c>
      <c r="F31" s="20" t="n">
        <v>1.25455153</v>
      </c>
      <c r="G31" s="18" t="n">
        <v>45.17596329</v>
      </c>
      <c r="H31" s="20" t="n">
        <v>1.2772525</v>
      </c>
      <c r="I31" s="18" t="n">
        <v>0</v>
      </c>
      <c r="J31" s="20" t="n">
        <v>0</v>
      </c>
      <c r="K31" s="18" t="n">
        <v>0.23223389</v>
      </c>
      <c r="L31" s="20" t="n">
        <v>0.12970326</v>
      </c>
      <c r="M31" s="18" t="n">
        <v>0</v>
      </c>
      <c r="N31" s="20" t="n">
        <v>0</v>
      </c>
      <c r="O31" s="18" t="n">
        <v>0</v>
      </c>
      <c r="P31" s="20" t="n">
        <v>0</v>
      </c>
      <c r="Q31" s="18" t="n">
        <v>1.37187966</v>
      </c>
      <c r="R31" s="20" t="n">
        <v>0.40980949</v>
      </c>
    </row>
    <row r="32" spans="1:18">
      <c r="A32" s="15" t="s">
        <v>590</v>
      </c>
      <c r="B32" s="17" t="n">
        <v>4478</v>
      </c>
      <c r="C32" s="18">
        <f>(3516.0/B32*100)</f>
        <v/>
      </c>
      <c r="D32" s="19" t="n">
        <v>962</v>
      </c>
      <c r="E32" s="18" t="n">
        <v>50.62714055</v>
      </c>
      <c r="F32" s="20" t="n">
        <v>1.5445249</v>
      </c>
      <c r="G32" s="18" t="n">
        <v>48.83876701</v>
      </c>
      <c r="H32" s="20" t="n">
        <v>1.54903322</v>
      </c>
      <c r="I32" s="18" t="n">
        <v>0</v>
      </c>
      <c r="J32" s="20" t="n">
        <v>0</v>
      </c>
      <c r="K32" s="18" t="n">
        <v>0.0924927</v>
      </c>
      <c r="L32" s="20" t="n">
        <v>0.09237444</v>
      </c>
      <c r="M32" s="18" t="n">
        <v>0</v>
      </c>
      <c r="N32" s="20" t="n">
        <v>0</v>
      </c>
      <c r="O32" s="18" t="n">
        <v>0</v>
      </c>
      <c r="P32" s="20" t="n">
        <v>0</v>
      </c>
      <c r="Q32" s="18" t="n">
        <v>0.44159975</v>
      </c>
      <c r="R32" s="20" t="n">
        <v>0.1383065</v>
      </c>
    </row>
    <row r="33" spans="1:18">
      <c r="A33" s="15" t="s">
        <v>591</v>
      </c>
      <c r="B33" s="17" t="n">
        <v>7325</v>
      </c>
      <c r="C33" s="18">
        <f>(5783.0/B33*100)</f>
        <v/>
      </c>
      <c r="D33" s="19" t="n">
        <v>1542</v>
      </c>
      <c r="E33" s="18" t="n">
        <v>53.40660697</v>
      </c>
      <c r="F33" s="20" t="n">
        <v>1.68348553</v>
      </c>
      <c r="G33" s="18" t="n">
        <v>45.94072403</v>
      </c>
      <c r="H33" s="20" t="n">
        <v>1.67792589</v>
      </c>
      <c r="I33" s="18" t="n">
        <v>0</v>
      </c>
      <c r="J33" s="20" t="n">
        <v>0</v>
      </c>
      <c r="K33" s="18" t="n">
        <v>0.2376503</v>
      </c>
      <c r="L33" s="20" t="n">
        <v>0.16593793</v>
      </c>
      <c r="M33" s="18" t="n">
        <v>0</v>
      </c>
      <c r="N33" s="20" t="n">
        <v>0</v>
      </c>
      <c r="O33" s="18" t="n">
        <v>0</v>
      </c>
      <c r="P33" s="20" t="n">
        <v>0</v>
      </c>
      <c r="Q33" s="18" t="n">
        <v>0.4150187</v>
      </c>
      <c r="R33" s="20" t="n">
        <v>0.16638247</v>
      </c>
    </row>
    <row r="34" spans="1:18">
      <c r="A34" s="15" t="s">
        <v>592</v>
      </c>
      <c r="B34" s="17" t="n">
        <v>6350</v>
      </c>
      <c r="C34" s="18">
        <f>(4984.0/B34*100)</f>
        <v/>
      </c>
      <c r="D34" s="19" t="n">
        <v>1366</v>
      </c>
      <c r="E34" s="18" t="n">
        <v>63.32180235</v>
      </c>
      <c r="F34" s="20" t="n">
        <v>1.34941573</v>
      </c>
      <c r="G34" s="18" t="n">
        <v>35.63854036</v>
      </c>
      <c r="H34" s="20" t="n">
        <v>1.35096386</v>
      </c>
      <c r="I34" s="18" t="n">
        <v>0</v>
      </c>
      <c r="J34" s="20" t="n">
        <v>0</v>
      </c>
      <c r="K34" s="18" t="n">
        <v>0.0464919</v>
      </c>
      <c r="L34" s="20" t="n">
        <v>0.04656926</v>
      </c>
      <c r="M34" s="18" t="n">
        <v>0</v>
      </c>
      <c r="N34" s="20" t="n">
        <v>0</v>
      </c>
      <c r="O34" s="18" t="n">
        <v>0</v>
      </c>
      <c r="P34" s="20" t="n">
        <v>0</v>
      </c>
      <c r="Q34" s="18" t="n">
        <v>0.99316539</v>
      </c>
      <c r="R34" s="20" t="n">
        <v>0.3309338</v>
      </c>
    </row>
    <row r="35" spans="1:18">
      <c r="A35" s="15" t="s">
        <v>593</v>
      </c>
      <c r="B35" s="17" t="n">
        <v>6406</v>
      </c>
      <c r="C35" s="18">
        <f>(4992.0/B35*100)</f>
        <v/>
      </c>
      <c r="D35" s="19" t="n">
        <v>1414</v>
      </c>
      <c r="E35" s="18" t="n">
        <v>51.24343152</v>
      </c>
      <c r="F35" s="20" t="n">
        <v>1.66557788</v>
      </c>
      <c r="G35" s="18" t="n">
        <v>47.56059342</v>
      </c>
      <c r="H35" s="20" t="n">
        <v>1.70970655</v>
      </c>
      <c r="I35" s="18" t="n">
        <v>0</v>
      </c>
      <c r="J35" s="20" t="n">
        <v>0</v>
      </c>
      <c r="K35" s="18" t="n">
        <v>0.06581637999999999</v>
      </c>
      <c r="L35" s="20" t="n">
        <v>0.04758612</v>
      </c>
      <c r="M35" s="18" t="n">
        <v>0</v>
      </c>
      <c r="N35" s="20" t="n">
        <v>0</v>
      </c>
      <c r="O35" s="18" t="n">
        <v>0</v>
      </c>
      <c r="P35" s="20" t="n">
        <v>0</v>
      </c>
      <c r="Q35" s="18" t="n">
        <v>1.13015868</v>
      </c>
      <c r="R35" s="20" t="n">
        <v>0.34582277</v>
      </c>
    </row>
    <row r="36" spans="1:18">
      <c r="A36" s="15" t="s">
        <v>594</v>
      </c>
      <c r="B36" s="17" t="n">
        <v>6736</v>
      </c>
      <c r="C36" s="18">
        <f>(5222.0/B36*100)</f>
        <v/>
      </c>
      <c r="D36" s="19" t="n">
        <v>1514</v>
      </c>
      <c r="E36" s="18" t="n">
        <v>58.90695896</v>
      </c>
      <c r="F36" s="20" t="n">
        <v>1.43658933</v>
      </c>
      <c r="G36" s="18" t="n">
        <v>40.15632005</v>
      </c>
      <c r="H36" s="20" t="n">
        <v>1.48925799</v>
      </c>
      <c r="I36" s="18" t="n">
        <v>0</v>
      </c>
      <c r="J36" s="20" t="n">
        <v>0</v>
      </c>
      <c r="K36" s="18" t="n">
        <v>0.23664787</v>
      </c>
      <c r="L36" s="20" t="n">
        <v>0.15782406</v>
      </c>
      <c r="M36" s="18" t="n">
        <v>0</v>
      </c>
      <c r="N36" s="20" t="n">
        <v>0</v>
      </c>
      <c r="O36" s="18" t="n">
        <v>0</v>
      </c>
      <c r="P36" s="20" t="n">
        <v>0</v>
      </c>
      <c r="Q36" s="18" t="n">
        <v>0.70007312</v>
      </c>
      <c r="R36" s="20" t="n">
        <v>0.22744077</v>
      </c>
    </row>
    <row r="37" spans="1:18">
      <c r="A37" s="15" t="s">
        <v>595</v>
      </c>
      <c r="B37" s="17" t="n">
        <v>5458</v>
      </c>
      <c r="C37" s="18">
        <f>(4263.0/B37*100)</f>
        <v/>
      </c>
      <c r="D37" s="19" t="n">
        <v>1195</v>
      </c>
      <c r="E37" s="18" t="n">
        <v>57.20791448</v>
      </c>
      <c r="F37" s="20" t="n">
        <v>1.5535118</v>
      </c>
      <c r="G37" s="18" t="n">
        <v>40.16344554</v>
      </c>
      <c r="H37" s="20" t="n">
        <v>1.65803364</v>
      </c>
      <c r="I37" s="18" t="n">
        <v>0</v>
      </c>
      <c r="J37" s="20" t="n">
        <v>0</v>
      </c>
      <c r="K37" s="18" t="n">
        <v>0.48192981</v>
      </c>
      <c r="L37" s="20" t="n">
        <v>0.19555557</v>
      </c>
      <c r="M37" s="18" t="n">
        <v>0</v>
      </c>
      <c r="N37" s="20" t="n">
        <v>0</v>
      </c>
      <c r="O37" s="18" t="n">
        <v>0</v>
      </c>
      <c r="P37" s="20" t="n">
        <v>0</v>
      </c>
      <c r="Q37" s="18" t="n">
        <v>2.14671016</v>
      </c>
      <c r="R37" s="20" t="n">
        <v>0.44696806</v>
      </c>
    </row>
    <row r="38" spans="1:18">
      <c r="A38" s="15" t="s">
        <v>596</v>
      </c>
      <c r="B38" s="17" t="n">
        <v>5860</v>
      </c>
      <c r="C38" s="18">
        <f>(4548.0/B38*100)</f>
        <v/>
      </c>
      <c r="D38" s="19" t="n">
        <v>1312</v>
      </c>
      <c r="E38" s="18" t="n">
        <v>51.55002755</v>
      </c>
      <c r="F38" s="20" t="n">
        <v>1.56656297</v>
      </c>
      <c r="G38" s="18" t="n">
        <v>47.31872563</v>
      </c>
      <c r="H38" s="20" t="n">
        <v>1.580321</v>
      </c>
      <c r="I38" s="18" t="n">
        <v>0</v>
      </c>
      <c r="J38" s="20" t="n">
        <v>0</v>
      </c>
      <c r="K38" s="18" t="n">
        <v>0.22824139</v>
      </c>
      <c r="L38" s="20" t="n">
        <v>0.14634293</v>
      </c>
      <c r="M38" s="18" t="n">
        <v>0</v>
      </c>
      <c r="N38" s="20" t="n">
        <v>0</v>
      </c>
      <c r="O38" s="18" t="n">
        <v>0</v>
      </c>
      <c r="P38" s="20" t="n">
        <v>0</v>
      </c>
      <c r="Q38" s="18" t="n">
        <v>0.9030054199999999</v>
      </c>
      <c r="R38" s="20" t="n">
        <v>0.311497</v>
      </c>
    </row>
    <row r="39" spans="1:18">
      <c r="A39" s="15" t="s">
        <v>597</v>
      </c>
      <c r="B39" s="17" t="n">
        <v>5895</v>
      </c>
      <c r="C39" s="18">
        <f>(4581.0/B39*100)</f>
        <v/>
      </c>
      <c r="D39" s="19" t="n">
        <v>1314</v>
      </c>
      <c r="E39" s="18" t="n">
        <v>75.93683738</v>
      </c>
      <c r="F39" s="20" t="n">
        <v>2.11031052</v>
      </c>
      <c r="G39" s="18" t="n">
        <v>23.18049144</v>
      </c>
      <c r="H39" s="20" t="n">
        <v>2.11736143</v>
      </c>
      <c r="I39" s="18" t="n">
        <v>0</v>
      </c>
      <c r="J39" s="20" t="n">
        <v>0</v>
      </c>
      <c r="K39" s="18" t="n">
        <v>0</v>
      </c>
      <c r="L39" s="20" t="n">
        <v>0</v>
      </c>
      <c r="M39" s="18" t="n">
        <v>0</v>
      </c>
      <c r="N39" s="20" t="n">
        <v>0</v>
      </c>
      <c r="O39" s="18" t="n">
        <v>0</v>
      </c>
      <c r="P39" s="20" t="n">
        <v>0</v>
      </c>
      <c r="Q39" s="18" t="n">
        <v>0.88267118</v>
      </c>
      <c r="R39" s="20" t="n">
        <v>0.27135684</v>
      </c>
    </row>
    <row r="40" spans="1:18">
      <c r="A40" s="15" t="s">
        <v>598</v>
      </c>
      <c r="B40" s="17" t="n">
        <v>14157</v>
      </c>
      <c r="C40" s="18">
        <f>(11149.0/B40*100)</f>
        <v/>
      </c>
      <c r="D40" s="19" t="n">
        <v>3008</v>
      </c>
      <c r="E40" s="18" t="n">
        <v>51.09693202</v>
      </c>
      <c r="F40" s="20" t="n">
        <v>1.47312312</v>
      </c>
      <c r="G40" s="18" t="n">
        <v>48.256938</v>
      </c>
      <c r="H40" s="20" t="n">
        <v>1.44514004</v>
      </c>
      <c r="I40" s="18" t="n">
        <v>0</v>
      </c>
      <c r="J40" s="20" t="n">
        <v>0</v>
      </c>
      <c r="K40" s="18" t="n">
        <v>0.06755068</v>
      </c>
      <c r="L40" s="20" t="n">
        <v>0.02638978</v>
      </c>
      <c r="M40" s="18" t="n">
        <v>0</v>
      </c>
      <c r="N40" s="20" t="n">
        <v>0</v>
      </c>
      <c r="O40" s="18" t="n">
        <v>0</v>
      </c>
      <c r="P40" s="20" t="n">
        <v>0</v>
      </c>
      <c r="Q40" s="18" t="n">
        <v>0.5785793</v>
      </c>
      <c r="R40" s="20" t="n">
        <v>0.19923845</v>
      </c>
    </row>
    <row r="41" spans="1:18">
      <c r="A41" s="15" t="s">
        <v>599</v>
      </c>
      <c r="B41" s="17" t="n">
        <v>5712</v>
      </c>
      <c r="C41" s="18">
        <f>(4412.0/B41*100)</f>
        <v/>
      </c>
      <c r="D41" s="19" t="n">
        <v>1300</v>
      </c>
      <c r="E41" s="18" t="n">
        <v>50.11810732</v>
      </c>
      <c r="F41" s="20" t="n">
        <v>1.53038476</v>
      </c>
      <c r="G41" s="18" t="n">
        <v>48.87252556</v>
      </c>
      <c r="H41" s="20" t="n">
        <v>1.61579469</v>
      </c>
      <c r="I41" s="18" t="n">
        <v>0</v>
      </c>
      <c r="J41" s="20" t="n">
        <v>0</v>
      </c>
      <c r="K41" s="18" t="n">
        <v>0.1570106</v>
      </c>
      <c r="L41" s="20" t="n">
        <v>0.10216041</v>
      </c>
      <c r="M41" s="18" t="n">
        <v>0</v>
      </c>
      <c r="N41" s="20" t="n">
        <v>0</v>
      </c>
      <c r="O41" s="18" t="n">
        <v>0</v>
      </c>
      <c r="P41" s="20" t="n">
        <v>0</v>
      </c>
      <c r="Q41" s="18" t="n">
        <v>0.85235652</v>
      </c>
      <c r="R41" s="20" t="n">
        <v>0.29754582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(18738.0/B46*100)</f>
        <v/>
      </c>
      <c r="D46" s="19" t="n">
        <v>4403</v>
      </c>
      <c r="E46" s="18" t="n">
        <v>82.50432498000001</v>
      </c>
      <c r="F46" s="20" t="n">
        <v>0.89832464</v>
      </c>
      <c r="G46" s="18" t="n">
        <v>14.03910796</v>
      </c>
      <c r="H46" s="20" t="n">
        <v>0.89037875</v>
      </c>
      <c r="I46" s="18" t="n">
        <v>0</v>
      </c>
      <c r="J46" s="20" t="n">
        <v>0</v>
      </c>
      <c r="K46" s="18" t="n">
        <v>0.59685402</v>
      </c>
      <c r="L46" s="20" t="n">
        <v>0.16117454</v>
      </c>
      <c r="M46" s="18" t="n">
        <v>0</v>
      </c>
      <c r="N46" s="20" t="n">
        <v>0</v>
      </c>
      <c r="O46" s="18" t="n">
        <v>0</v>
      </c>
      <c r="P46" s="20" t="n">
        <v>0</v>
      </c>
      <c r="Q46" s="18" t="n">
        <v>2.85971304</v>
      </c>
      <c r="R46" s="20" t="n">
        <v>0.41200788</v>
      </c>
    </row>
    <row r="47" spans="1:18">
      <c r="A47" s="15" t="s">
        <v>606</v>
      </c>
      <c r="B47" s="17" t="n">
        <v>5928</v>
      </c>
      <c r="C47" s="18">
        <f>(4660.0/B47*100)</f>
        <v/>
      </c>
      <c r="D47" s="19" t="n">
        <v>1268</v>
      </c>
      <c r="E47" s="18" t="n">
        <v>70.35814080999999</v>
      </c>
      <c r="F47" s="20" t="n">
        <v>1.69925055</v>
      </c>
      <c r="G47" s="18" t="n">
        <v>28.24244742</v>
      </c>
      <c r="H47" s="20" t="n">
        <v>1.6998282</v>
      </c>
      <c r="I47" s="18" t="n">
        <v>0</v>
      </c>
      <c r="J47" s="20" t="n">
        <v>0</v>
      </c>
      <c r="K47" s="18" t="n">
        <v>0.15256037</v>
      </c>
      <c r="L47" s="20" t="n">
        <v>0.10770004</v>
      </c>
      <c r="M47" s="18" t="n">
        <v>0</v>
      </c>
      <c r="N47" s="20" t="n">
        <v>0</v>
      </c>
      <c r="O47" s="18" t="n">
        <v>0</v>
      </c>
      <c r="P47" s="20" t="n">
        <v>0</v>
      </c>
      <c r="Q47" s="18" t="n">
        <v>1.24685139</v>
      </c>
      <c r="R47" s="20" t="n">
        <v>0.28637884</v>
      </c>
    </row>
    <row r="48" spans="1:18">
      <c r="A48" s="15" t="s">
        <v>607</v>
      </c>
      <c r="B48" s="17" t="n">
        <v>9841</v>
      </c>
      <c r="C48" s="18">
        <f>(7669.0/B48*100)</f>
        <v/>
      </c>
      <c r="D48" s="19" t="n">
        <v>2172</v>
      </c>
      <c r="E48" s="18" t="n">
        <v>44.61108659</v>
      </c>
      <c r="F48" s="20" t="n">
        <v>1.89726646</v>
      </c>
      <c r="G48" s="18" t="n">
        <v>54.30935387</v>
      </c>
      <c r="H48" s="20" t="n">
        <v>1.89060082</v>
      </c>
      <c r="I48" s="18" t="n">
        <v>0</v>
      </c>
      <c r="J48" s="20" t="n">
        <v>0</v>
      </c>
      <c r="K48" s="18" t="n">
        <v>0.5714188</v>
      </c>
      <c r="L48" s="20" t="n">
        <v>0.22887847</v>
      </c>
      <c r="M48" s="18" t="n">
        <v>0</v>
      </c>
      <c r="N48" s="20" t="n">
        <v>0</v>
      </c>
      <c r="O48" s="18" t="n">
        <v>0</v>
      </c>
      <c r="P48" s="20" t="n">
        <v>0</v>
      </c>
      <c r="Q48" s="18" t="n">
        <v>0.50814074</v>
      </c>
      <c r="R48" s="20" t="n">
        <v>0.20792017</v>
      </c>
    </row>
    <row r="49" spans="1:18">
      <c r="A49" s="15" t="s">
        <v>608</v>
      </c>
      <c r="B49" s="17" t="n">
        <v>11795</v>
      </c>
      <c r="C49" s="18">
        <f>(9271.0/B49*100)</f>
        <v/>
      </c>
      <c r="D49" s="19" t="n">
        <v>2524</v>
      </c>
      <c r="E49" s="18" t="n">
        <v>79.88436615000001</v>
      </c>
      <c r="F49" s="20" t="n">
        <v>1.09021394</v>
      </c>
      <c r="G49" s="18" t="n">
        <v>18.27755505</v>
      </c>
      <c r="H49" s="20" t="n">
        <v>1.05789982</v>
      </c>
      <c r="I49" s="18" t="n">
        <v>0</v>
      </c>
      <c r="J49" s="20" t="n">
        <v>0</v>
      </c>
      <c r="K49" s="18" t="n">
        <v>1.34943233</v>
      </c>
      <c r="L49" s="20" t="n">
        <v>0.39148286</v>
      </c>
      <c r="M49" s="18" t="n">
        <v>0</v>
      </c>
      <c r="N49" s="20" t="n">
        <v>0</v>
      </c>
      <c r="O49" s="18" t="n">
        <v>0</v>
      </c>
      <c r="P49" s="20" t="n">
        <v>0</v>
      </c>
      <c r="Q49" s="18" t="n">
        <v>0.48864647</v>
      </c>
      <c r="R49" s="20" t="n">
        <v>0.16477139</v>
      </c>
    </row>
    <row r="50" spans="1:18">
      <c r="A50" s="15" t="s">
        <v>609</v>
      </c>
      <c r="B50" s="17" t="n">
        <v>6866</v>
      </c>
      <c r="C50" s="18">
        <f>(5516.0/B50*100)</f>
        <v/>
      </c>
      <c r="D50" s="19" t="n">
        <v>1350</v>
      </c>
      <c r="E50" s="18" t="n">
        <v>80.18399420999999</v>
      </c>
      <c r="F50" s="20" t="n">
        <v>1.30669594</v>
      </c>
      <c r="G50" s="18" t="n">
        <v>18.43460572</v>
      </c>
      <c r="H50" s="20" t="n">
        <v>1.30626175</v>
      </c>
      <c r="I50" s="18" t="n">
        <v>0</v>
      </c>
      <c r="J50" s="20" t="n">
        <v>0</v>
      </c>
      <c r="K50" s="18" t="n">
        <v>0.28927793</v>
      </c>
      <c r="L50" s="20" t="n">
        <v>0.14736906</v>
      </c>
      <c r="M50" s="18" t="n">
        <v>0</v>
      </c>
      <c r="N50" s="20" t="n">
        <v>0</v>
      </c>
      <c r="O50" s="18" t="n">
        <v>0</v>
      </c>
      <c r="P50" s="20" t="n">
        <v>0</v>
      </c>
      <c r="Q50" s="18" t="n">
        <v>1.09212214</v>
      </c>
      <c r="R50" s="20" t="n">
        <v>0.31048084</v>
      </c>
    </row>
    <row r="51" spans="1:18">
      <c r="A51" s="15" t="s">
        <v>610</v>
      </c>
      <c r="B51" s="17" t="n">
        <v>5809</v>
      </c>
      <c r="C51" s="18">
        <f>(4522.0/B51*100)</f>
        <v/>
      </c>
      <c r="D51" s="19" t="n">
        <v>1287</v>
      </c>
      <c r="E51" s="18" t="n">
        <v>58.30710805</v>
      </c>
      <c r="F51" s="20" t="n">
        <v>1.85274287</v>
      </c>
      <c r="G51" s="18" t="n">
        <v>40.37567939</v>
      </c>
      <c r="H51" s="20" t="n">
        <v>1.82492665</v>
      </c>
      <c r="I51" s="18" t="n">
        <v>0</v>
      </c>
      <c r="J51" s="20" t="n">
        <v>0</v>
      </c>
      <c r="K51" s="18" t="n">
        <v>0.07126439</v>
      </c>
      <c r="L51" s="20" t="n">
        <v>0.07099356</v>
      </c>
      <c r="M51" s="18" t="n">
        <v>0</v>
      </c>
      <c r="N51" s="20" t="n">
        <v>0</v>
      </c>
      <c r="O51" s="18" t="n">
        <v>0</v>
      </c>
      <c r="P51" s="20" t="n">
        <v>0</v>
      </c>
      <c r="Q51" s="18" t="n">
        <v>1.24594817</v>
      </c>
      <c r="R51" s="20" t="n">
        <v>0.27620361</v>
      </c>
    </row>
    <row r="52" spans="1:18">
      <c r="A52" s="15" t="s">
        <v>611</v>
      </c>
      <c r="B52" s="17" t="n">
        <v>5571</v>
      </c>
      <c r="C52" s="18">
        <f>(4329.0/B52*100)</f>
        <v/>
      </c>
      <c r="D52" s="19" t="n">
        <v>1242</v>
      </c>
      <c r="E52" s="18" t="n">
        <v>69.04129471</v>
      </c>
      <c r="F52" s="20" t="n">
        <v>1.35442633</v>
      </c>
      <c r="G52" s="18" t="n">
        <v>28.65122074</v>
      </c>
      <c r="H52" s="20" t="n">
        <v>1.26456998</v>
      </c>
      <c r="I52" s="18" t="n">
        <v>0</v>
      </c>
      <c r="J52" s="20" t="n">
        <v>0</v>
      </c>
      <c r="K52" s="18" t="n">
        <v>0.17589947</v>
      </c>
      <c r="L52" s="20" t="n">
        <v>0.10271868</v>
      </c>
      <c r="M52" s="18" t="n">
        <v>0</v>
      </c>
      <c r="N52" s="20" t="n">
        <v>0</v>
      </c>
      <c r="O52" s="18" t="n">
        <v>0</v>
      </c>
      <c r="P52" s="20" t="n">
        <v>0</v>
      </c>
      <c r="Q52" s="18" t="n">
        <v>2.13158508</v>
      </c>
      <c r="R52" s="20" t="n">
        <v>0.42948932</v>
      </c>
    </row>
    <row r="53" spans="1:18">
      <c r="A53" s="15" t="s">
        <v>612</v>
      </c>
      <c r="B53" s="17" t="n">
        <v>4740</v>
      </c>
      <c r="C53" s="18">
        <f>(3704.0/B53*100)</f>
        <v/>
      </c>
      <c r="D53" s="19" t="n">
        <v>1036</v>
      </c>
      <c r="E53" s="18" t="n">
        <v>83.70972214</v>
      </c>
      <c r="F53" s="20" t="n">
        <v>1.46402283</v>
      </c>
      <c r="G53" s="18" t="n">
        <v>4.23037352</v>
      </c>
      <c r="H53" s="20" t="n">
        <v>0.94749145</v>
      </c>
      <c r="I53" s="18" t="n">
        <v>0</v>
      </c>
      <c r="J53" s="20" t="n">
        <v>0</v>
      </c>
      <c r="K53" s="18" t="n">
        <v>9.10401985</v>
      </c>
      <c r="L53" s="20" t="n">
        <v>0.90441943</v>
      </c>
      <c r="M53" s="18" t="n">
        <v>0</v>
      </c>
      <c r="N53" s="20" t="n">
        <v>0</v>
      </c>
      <c r="O53" s="18" t="n">
        <v>0</v>
      </c>
      <c r="P53" s="20" t="n">
        <v>0</v>
      </c>
      <c r="Q53" s="18" t="n">
        <v>2.95588448</v>
      </c>
      <c r="R53" s="20" t="n">
        <v>0.54032496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(4119.0/B55*100)</f>
        <v/>
      </c>
      <c r="D55" s="19" t="n">
        <v>1240</v>
      </c>
      <c r="E55" s="18" t="n">
        <v>54.05769509</v>
      </c>
      <c r="F55" s="20" t="n">
        <v>1.50827028</v>
      </c>
      <c r="G55" s="18" t="n">
        <v>45.61208102</v>
      </c>
      <c r="H55" s="20" t="n">
        <v>1.5053242</v>
      </c>
      <c r="I55" s="18" t="n">
        <v>0</v>
      </c>
      <c r="J55" s="20" t="n">
        <v>0</v>
      </c>
      <c r="K55" s="18" t="n">
        <v>0.1599448</v>
      </c>
      <c r="L55" s="20" t="n">
        <v>0.11379394</v>
      </c>
      <c r="M55" s="18" t="n">
        <v>0</v>
      </c>
      <c r="N55" s="20" t="n">
        <v>0</v>
      </c>
      <c r="O55" s="18" t="n">
        <v>0</v>
      </c>
      <c r="P55" s="20" t="n">
        <v>0</v>
      </c>
      <c r="Q55" s="18" t="n">
        <v>0.1702791</v>
      </c>
      <c r="R55" s="20" t="n">
        <v>0.12722171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(5063.0/B61*100)</f>
        <v/>
      </c>
      <c r="D61" s="19" t="n">
        <v>1462</v>
      </c>
      <c r="E61" s="18" t="n">
        <v>68.96418146000001</v>
      </c>
      <c r="F61" s="20" t="n">
        <v>1.26678296</v>
      </c>
      <c r="G61" s="18" t="n">
        <v>30.23385222</v>
      </c>
      <c r="H61" s="20" t="n">
        <v>1.23184277</v>
      </c>
      <c r="I61" s="18" t="n">
        <v>0</v>
      </c>
      <c r="J61" s="20" t="n">
        <v>0</v>
      </c>
      <c r="K61" s="18" t="n">
        <v>0.13337515</v>
      </c>
      <c r="L61" s="20" t="n">
        <v>0.09087782</v>
      </c>
      <c r="M61" s="18" t="n">
        <v>0</v>
      </c>
      <c r="N61" s="20" t="n">
        <v>0</v>
      </c>
      <c r="O61" s="18" t="n">
        <v>0</v>
      </c>
      <c r="P61" s="20" t="n">
        <v>0</v>
      </c>
      <c r="Q61" s="18" t="n">
        <v>0.66859117</v>
      </c>
      <c r="R61" s="20" t="n">
        <v>0.27691104</v>
      </c>
    </row>
    <row r="62" spans="1:18">
      <c r="A62" s="15" t="s">
        <v>622</v>
      </c>
      <c r="B62" s="17" t="n">
        <v>4476</v>
      </c>
      <c r="C62" s="18">
        <f>(3468.0/B62*100)</f>
        <v/>
      </c>
      <c r="D62" s="19" t="n">
        <v>1008</v>
      </c>
      <c r="E62" s="18" t="n">
        <v>43.45413994</v>
      </c>
      <c r="F62" s="20" t="n">
        <v>1.36300707</v>
      </c>
      <c r="G62" s="18" t="n">
        <v>56.44312201</v>
      </c>
      <c r="H62" s="20" t="n">
        <v>1.38370779</v>
      </c>
      <c r="I62" s="18" t="n">
        <v>0</v>
      </c>
      <c r="J62" s="20" t="n">
        <v>0</v>
      </c>
      <c r="K62" s="18" t="n">
        <v>0</v>
      </c>
      <c r="L62" s="20" t="n">
        <v>0</v>
      </c>
      <c r="M62" s="18" t="n">
        <v>0</v>
      </c>
      <c r="N62" s="20" t="n">
        <v>0</v>
      </c>
      <c r="O62" s="18" t="n">
        <v>0</v>
      </c>
      <c r="P62" s="20" t="n">
        <v>0</v>
      </c>
      <c r="Q62" s="18" t="n">
        <v>0.10273805</v>
      </c>
      <c r="R62" s="20" t="n">
        <v>0.10229623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(4429.0/B67*100)</f>
        <v/>
      </c>
      <c r="D67" s="19" t="n">
        <v>1236</v>
      </c>
      <c r="E67" s="18" t="n">
        <v>78.0296408</v>
      </c>
      <c r="F67" s="20" t="n">
        <v>1.37981877</v>
      </c>
      <c r="G67" s="18" t="n">
        <v>18.54087653</v>
      </c>
      <c r="H67" s="20" t="n">
        <v>1.31381789</v>
      </c>
      <c r="I67" s="18" t="n">
        <v>0</v>
      </c>
      <c r="J67" s="20" t="n">
        <v>0</v>
      </c>
      <c r="K67" s="18" t="n">
        <v>0.26316164</v>
      </c>
      <c r="L67" s="20" t="n">
        <v>0.15532488</v>
      </c>
      <c r="M67" s="18" t="n">
        <v>0</v>
      </c>
      <c r="N67" s="20" t="n">
        <v>0</v>
      </c>
      <c r="O67" s="18" t="n">
        <v>0</v>
      </c>
      <c r="P67" s="20" t="n">
        <v>0</v>
      </c>
      <c r="Q67" s="18" t="n">
        <v>3.16632102</v>
      </c>
      <c r="R67" s="20" t="n">
        <v>0.53052588</v>
      </c>
    </row>
    <row r="68" spans="1:18">
      <c r="A68" s="15" t="s">
        <v>628</v>
      </c>
      <c r="B68" s="17" t="n">
        <v>6971</v>
      </c>
      <c r="C68" s="18">
        <f>(5568.0/B68*100)</f>
        <v/>
      </c>
      <c r="D68" s="19" t="n">
        <v>1403</v>
      </c>
      <c r="E68" s="18" t="n">
        <v>81.14185440999999</v>
      </c>
      <c r="F68" s="20" t="n">
        <v>1.25123608</v>
      </c>
      <c r="G68" s="18" t="n">
        <v>18.01441228</v>
      </c>
      <c r="H68" s="20" t="n">
        <v>1.27345796</v>
      </c>
      <c r="I68" s="18" t="n">
        <v>0</v>
      </c>
      <c r="J68" s="20" t="n">
        <v>0</v>
      </c>
      <c r="K68" s="18" t="n">
        <v>0.06683288</v>
      </c>
      <c r="L68" s="20" t="n">
        <v>0.0651279</v>
      </c>
      <c r="M68" s="18" t="n">
        <v>0</v>
      </c>
      <c r="N68" s="20" t="n">
        <v>0</v>
      </c>
      <c r="O68" s="18" t="n">
        <v>0</v>
      </c>
      <c r="P68" s="20" t="n">
        <v>0</v>
      </c>
      <c r="Q68" s="18" t="n">
        <v>0.77690044</v>
      </c>
      <c r="R68" s="20" t="n">
        <v>0.26091253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(9373.0/B70*100)</f>
        <v/>
      </c>
      <c r="D70" s="19" t="n">
        <v>2710</v>
      </c>
      <c r="E70" s="18" t="n">
        <v>71.54723712000001</v>
      </c>
      <c r="F70" s="20" t="n">
        <v>0.76917685</v>
      </c>
      <c r="G70" s="18" t="n">
        <v>23.722284</v>
      </c>
      <c r="H70" s="20" t="n">
        <v>0.73661437</v>
      </c>
      <c r="I70" s="18" t="n">
        <v>0</v>
      </c>
      <c r="J70" s="20" t="n">
        <v>0</v>
      </c>
      <c r="K70" s="18" t="n">
        <v>1.42959072</v>
      </c>
      <c r="L70" s="20" t="n">
        <v>0.21429282</v>
      </c>
      <c r="M70" s="18" t="n">
        <v>0</v>
      </c>
      <c r="N70" s="20" t="n">
        <v>0</v>
      </c>
      <c r="O70" s="18" t="n">
        <v>0</v>
      </c>
      <c r="P70" s="20" t="n">
        <v>0</v>
      </c>
      <c r="Q70" s="18" t="n">
        <v>3.30088815</v>
      </c>
      <c r="R70" s="20" t="n">
        <v>0.34079178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(4794.0/B72*100)</f>
        <v/>
      </c>
      <c r="D72" s="19" t="n">
        <v>1242</v>
      </c>
      <c r="E72" s="18" t="n">
        <v>57.53525475</v>
      </c>
      <c r="F72" s="20" t="n">
        <v>1.58645509</v>
      </c>
      <c r="G72" s="18" t="n">
        <v>40.91728542</v>
      </c>
      <c r="H72" s="20" t="n">
        <v>1.670521</v>
      </c>
      <c r="I72" s="18" t="n">
        <v>0</v>
      </c>
      <c r="J72" s="20" t="n">
        <v>0</v>
      </c>
      <c r="K72" s="18" t="n">
        <v>0.26052936</v>
      </c>
      <c r="L72" s="20" t="n">
        <v>0.11989384</v>
      </c>
      <c r="M72" s="18" t="n">
        <v>0</v>
      </c>
      <c r="N72" s="20" t="n">
        <v>0</v>
      </c>
      <c r="O72" s="18" t="n">
        <v>0</v>
      </c>
      <c r="P72" s="20" t="n">
        <v>0</v>
      </c>
      <c r="Q72" s="18" t="n">
        <v>1.28693047</v>
      </c>
      <c r="R72" s="20" t="n">
        <v>0.42943253</v>
      </c>
    </row>
    <row r="73" spans="1:18">
      <c r="A73" s="15" t="s">
        <v>633</v>
      </c>
      <c r="B73" s="17" t="n">
        <v>6115</v>
      </c>
      <c r="C73" s="18">
        <f>(4777.0/B73*100)</f>
        <v/>
      </c>
      <c r="D73" s="19" t="n">
        <v>1338</v>
      </c>
      <c r="E73" s="18" t="n">
        <v>36.7884484</v>
      </c>
      <c r="F73" s="20" t="n">
        <v>1.40100165</v>
      </c>
      <c r="G73" s="18" t="n">
        <v>62.6124413</v>
      </c>
      <c r="H73" s="20" t="n">
        <v>1.45808374</v>
      </c>
      <c r="I73" s="18" t="n">
        <v>0</v>
      </c>
      <c r="J73" s="20" t="n">
        <v>0</v>
      </c>
      <c r="K73" s="18" t="n">
        <v>0.16009674</v>
      </c>
      <c r="L73" s="20" t="n">
        <v>0.11315284</v>
      </c>
      <c r="M73" s="18" t="n">
        <v>0</v>
      </c>
      <c r="N73" s="20" t="n">
        <v>0</v>
      </c>
      <c r="O73" s="18" t="n">
        <v>0</v>
      </c>
      <c r="P73" s="20" t="n">
        <v>0</v>
      </c>
      <c r="Q73" s="18" t="n">
        <v>0.43901356</v>
      </c>
      <c r="R73" s="20" t="n">
        <v>0.19646791</v>
      </c>
    </row>
    <row r="74" spans="1:18">
      <c r="A74" s="15" t="s">
        <v>634</v>
      </c>
      <c r="B74" s="17" t="n">
        <v>7708</v>
      </c>
      <c r="C74" s="18">
        <f>(5966.0/B74*100)</f>
        <v/>
      </c>
      <c r="D74" s="19" t="n">
        <v>1742</v>
      </c>
      <c r="E74" s="18" t="n">
        <v>52.75864231</v>
      </c>
      <c r="F74" s="20" t="n">
        <v>1.54014878</v>
      </c>
      <c r="G74" s="18" t="n">
        <v>46.88612772</v>
      </c>
      <c r="H74" s="20" t="n">
        <v>1.56932866</v>
      </c>
      <c r="I74" s="18" t="n">
        <v>0</v>
      </c>
      <c r="J74" s="20" t="n">
        <v>0</v>
      </c>
      <c r="K74" s="18" t="n">
        <v>0</v>
      </c>
      <c r="L74" s="20" t="n">
        <v>0</v>
      </c>
      <c r="M74" s="18" t="n">
        <v>0</v>
      </c>
      <c r="N74" s="20" t="n">
        <v>0</v>
      </c>
      <c r="O74" s="18" t="n">
        <v>0</v>
      </c>
      <c r="P74" s="20" t="n">
        <v>0</v>
      </c>
      <c r="Q74" s="18" t="n">
        <v>0.35522997</v>
      </c>
      <c r="R74" s="20" t="n">
        <v>0.13474667</v>
      </c>
    </row>
    <row r="75" spans="1:18">
      <c r="A75" s="15" t="s">
        <v>635</v>
      </c>
      <c r="B75" s="17" t="n">
        <v>8249</v>
      </c>
      <c r="C75" s="18">
        <f>(6492.0/B75*100)</f>
        <v/>
      </c>
      <c r="D75" s="19" t="n">
        <v>1757</v>
      </c>
      <c r="E75" s="18" t="n">
        <v>77.07840227</v>
      </c>
      <c r="F75" s="20" t="n">
        <v>1.70822884</v>
      </c>
      <c r="G75" s="18" t="n">
        <v>21.95090993</v>
      </c>
      <c r="H75" s="20" t="n">
        <v>1.67376136</v>
      </c>
      <c r="I75" s="18" t="n">
        <v>0</v>
      </c>
      <c r="J75" s="20" t="n">
        <v>0</v>
      </c>
      <c r="K75" s="18" t="n">
        <v>0</v>
      </c>
      <c r="L75" s="20" t="n">
        <v>0</v>
      </c>
      <c r="M75" s="18" t="n">
        <v>0</v>
      </c>
      <c r="N75" s="20" t="n">
        <v>0</v>
      </c>
      <c r="O75" s="18" t="n">
        <v>0</v>
      </c>
      <c r="P75" s="20" t="n">
        <v>0</v>
      </c>
      <c r="Q75" s="18" t="n">
        <v>0.97068781</v>
      </c>
      <c r="R75" s="20" t="n">
        <v>0.32506435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(4322.0/B77*100)</f>
        <v/>
      </c>
      <c r="D77" s="19" t="n">
        <v>1053</v>
      </c>
      <c r="E77" s="18" t="n">
        <v>82.66929165000001</v>
      </c>
      <c r="F77" s="20" t="n">
        <v>1.34800229</v>
      </c>
      <c r="G77" s="18" t="n">
        <v>13.05656358</v>
      </c>
      <c r="H77" s="20" t="n">
        <v>1.29045406</v>
      </c>
      <c r="I77" s="18" t="n">
        <v>0</v>
      </c>
      <c r="J77" s="20" t="n">
        <v>0</v>
      </c>
      <c r="K77" s="18" t="n">
        <v>2.20109089</v>
      </c>
      <c r="L77" s="20" t="n">
        <v>0.55756895</v>
      </c>
      <c r="M77" s="18" t="n">
        <v>0</v>
      </c>
      <c r="N77" s="20" t="n">
        <v>0</v>
      </c>
      <c r="O77" s="18" t="n">
        <v>0</v>
      </c>
      <c r="P77" s="20" t="n">
        <v>0</v>
      </c>
      <c r="Q77" s="18" t="n">
        <v>2.07305388</v>
      </c>
      <c r="R77" s="20" t="n">
        <v>0.4795882</v>
      </c>
    </row>
    <row r="78" spans="1:18">
      <c r="A78" s="15" t="s">
        <v>638</v>
      </c>
      <c r="B78" s="17" t="n">
        <v>14167</v>
      </c>
      <c r="C78" s="18">
        <f>(11104.0/B78*100)</f>
        <v/>
      </c>
      <c r="D78" s="19" t="n">
        <v>3063</v>
      </c>
      <c r="E78" s="18" t="n">
        <v>67.67072697</v>
      </c>
      <c r="F78" s="20" t="n">
        <v>1.44567837</v>
      </c>
      <c r="G78" s="18" t="n">
        <v>29.87762277</v>
      </c>
      <c r="H78" s="20" t="n">
        <v>1.44447345</v>
      </c>
      <c r="I78" s="18" t="n">
        <v>0</v>
      </c>
      <c r="J78" s="20" t="n">
        <v>0</v>
      </c>
      <c r="K78" s="18" t="n">
        <v>0.6280023</v>
      </c>
      <c r="L78" s="20" t="n">
        <v>0.17341415</v>
      </c>
      <c r="M78" s="18" t="n">
        <v>0</v>
      </c>
      <c r="N78" s="20" t="n">
        <v>0</v>
      </c>
      <c r="O78" s="18" t="n">
        <v>0</v>
      </c>
      <c r="P78" s="20" t="n">
        <v>0</v>
      </c>
      <c r="Q78" s="18" t="n">
        <v>1.82364796</v>
      </c>
      <c r="R78" s="20" t="n">
        <v>0.2937555</v>
      </c>
    </row>
    <row r="79" spans="1:18">
      <c r="A79" s="15" t="s">
        <v>639</v>
      </c>
      <c r="B79" s="17" t="n">
        <v>6062</v>
      </c>
      <c r="C79" s="18">
        <f>(4749.0/B79*100)</f>
        <v/>
      </c>
      <c r="D79" s="19" t="n">
        <v>1313</v>
      </c>
      <c r="E79" s="18" t="n">
        <v>70.06088832</v>
      </c>
      <c r="F79" s="20" t="n">
        <v>1.18328482</v>
      </c>
      <c r="G79" s="18" t="n">
        <v>26.71944925</v>
      </c>
      <c r="H79" s="20" t="n">
        <v>1.00694348</v>
      </c>
      <c r="I79" s="18" t="n">
        <v>0</v>
      </c>
      <c r="J79" s="20" t="n">
        <v>0</v>
      </c>
      <c r="K79" s="18" t="n">
        <v>0.63547141</v>
      </c>
      <c r="L79" s="20" t="n">
        <v>0.2350128</v>
      </c>
      <c r="M79" s="18" t="n">
        <v>0</v>
      </c>
      <c r="N79" s="20" t="n">
        <v>0</v>
      </c>
      <c r="O79" s="18" t="n">
        <v>0</v>
      </c>
      <c r="P79" s="20" t="n">
        <v>0</v>
      </c>
      <c r="Q79" s="18" t="n">
        <v>2.58419103</v>
      </c>
      <c r="R79" s="20" t="n">
        <v>0.51088763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(25175.0/B82*100)</f>
        <v/>
      </c>
      <c r="D82" s="19" t="n">
        <v>7155</v>
      </c>
      <c r="E82" s="18" t="n">
        <v>58.48017961</v>
      </c>
      <c r="F82" s="20" t="n">
        <v>0.8388748</v>
      </c>
      <c r="G82" s="18" t="n">
        <v>40.70950506</v>
      </c>
      <c r="H82" s="20" t="n">
        <v>0.81632907</v>
      </c>
      <c r="I82" s="18" t="n">
        <v>0</v>
      </c>
      <c r="J82" s="20" t="n">
        <v>0</v>
      </c>
      <c r="K82" s="18" t="n">
        <v>0.12830957</v>
      </c>
      <c r="L82" s="20" t="n">
        <v>0.06866609999999999</v>
      </c>
      <c r="M82" s="18" t="n">
        <v>0</v>
      </c>
      <c r="N82" s="20" t="n">
        <v>0</v>
      </c>
      <c r="O82" s="18" t="n">
        <v>0</v>
      </c>
      <c r="P82" s="20" t="n">
        <v>0</v>
      </c>
      <c r="Q82" s="18" t="n">
        <v>0.68200576</v>
      </c>
      <c r="R82" s="20" t="n">
        <v>0.11877141</v>
      </c>
    </row>
    <row r="83" spans="1:18">
      <c r="A83" s="15" t="s">
        <v>643</v>
      </c>
      <c r="B83" s="17" t="n">
        <v>1652</v>
      </c>
      <c r="C83" s="18">
        <f>(1288.0/B83*100)</f>
        <v/>
      </c>
      <c r="D83" s="19" t="n">
        <v>364</v>
      </c>
      <c r="E83" s="18" t="n">
        <v>38.89924272</v>
      </c>
      <c r="F83" s="20" t="n">
        <v>2.87096398</v>
      </c>
      <c r="G83" s="18" t="n">
        <v>60.55280179</v>
      </c>
      <c r="H83" s="20" t="n">
        <v>2.90209783</v>
      </c>
      <c r="I83" s="18" t="n">
        <v>0</v>
      </c>
      <c r="J83" s="20" t="n">
        <v>0</v>
      </c>
      <c r="K83" s="18" t="n">
        <v>0.31214366</v>
      </c>
      <c r="L83" s="20" t="n">
        <v>0.32672076</v>
      </c>
      <c r="M83" s="18" t="n">
        <v>0</v>
      </c>
      <c r="N83" s="20" t="n">
        <v>0</v>
      </c>
      <c r="O83" s="18" t="n">
        <v>0</v>
      </c>
      <c r="P83" s="20" t="n">
        <v>0</v>
      </c>
      <c r="Q83" s="18" t="n">
        <v>0.23581183</v>
      </c>
      <c r="R83" s="20" t="n">
        <v>0.2306672</v>
      </c>
    </row>
    <row r="84" spans="1:18">
      <c r="A84" s="23" t="s">
        <v>644</v>
      </c>
      <c r="B84" s="24" t="n">
        <v>1887</v>
      </c>
      <c r="C84" s="25">
        <f>(1493.0/B84*100)</f>
        <v/>
      </c>
      <c r="D84" s="19" t="n">
        <v>394</v>
      </c>
      <c r="E84" s="18" t="n">
        <v>50.15444814</v>
      </c>
      <c r="F84" s="20" t="n">
        <v>2.87812416</v>
      </c>
      <c r="G84" s="18" t="n">
        <v>49.84555186</v>
      </c>
      <c r="H84" s="20" t="n">
        <v>2.87812416</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(11314.0/B7*100)</f>
        <v/>
      </c>
      <c r="D7" s="19" t="n">
        <v>3216</v>
      </c>
      <c r="E7" s="18" t="n">
        <v>79.42873045</v>
      </c>
      <c r="F7" s="20" t="n">
        <v>0.72224014</v>
      </c>
      <c r="G7" s="18" t="n">
        <v>17.69830172</v>
      </c>
      <c r="H7" s="20" t="n">
        <v>0.68247156</v>
      </c>
      <c r="I7" s="18" t="n">
        <v>0</v>
      </c>
      <c r="J7" s="20" t="n">
        <v>0</v>
      </c>
      <c r="K7" s="18" t="n">
        <v>0.22008754</v>
      </c>
      <c r="L7" s="20" t="n">
        <v>0.10453617</v>
      </c>
      <c r="M7" s="18" t="n">
        <v>0</v>
      </c>
      <c r="N7" s="20" t="n">
        <v>0</v>
      </c>
      <c r="O7" s="18" t="n">
        <v>0</v>
      </c>
      <c r="P7" s="20" t="n">
        <v>0</v>
      </c>
      <c r="Q7" s="18" t="n">
        <v>2.65288028</v>
      </c>
      <c r="R7" s="20" t="n">
        <v>0.33314893</v>
      </c>
    </row>
    <row r="8" spans="1:18">
      <c r="A8" s="15" t="s">
        <v>566</v>
      </c>
      <c r="B8" s="17" t="n">
        <v>7007</v>
      </c>
      <c r="C8" s="18">
        <f>(5496.0/B8*100)</f>
        <v/>
      </c>
      <c r="D8" s="19" t="n">
        <v>1511</v>
      </c>
      <c r="E8" s="18" t="n">
        <v>79.16430964</v>
      </c>
      <c r="F8" s="20" t="n">
        <v>1.28872579</v>
      </c>
      <c r="G8" s="18" t="n">
        <v>17.24417633</v>
      </c>
      <c r="H8" s="20" t="n">
        <v>1.16192569</v>
      </c>
      <c r="I8" s="18" t="n">
        <v>0</v>
      </c>
      <c r="J8" s="20" t="n">
        <v>0</v>
      </c>
      <c r="K8" s="18" t="n">
        <v>0.0774217</v>
      </c>
      <c r="L8" s="20" t="n">
        <v>0.07536453999999999</v>
      </c>
      <c r="M8" s="18" t="n">
        <v>0</v>
      </c>
      <c r="N8" s="20" t="n">
        <v>0</v>
      </c>
      <c r="O8" s="18" t="n">
        <v>0</v>
      </c>
      <c r="P8" s="20" t="n">
        <v>0</v>
      </c>
      <c r="Q8" s="18" t="n">
        <v>3.51409233</v>
      </c>
      <c r="R8" s="20" t="n">
        <v>0.50198387</v>
      </c>
    </row>
    <row r="9" spans="1:18">
      <c r="A9" s="15" t="s">
        <v>567</v>
      </c>
      <c r="B9" s="17" t="n">
        <v>9651</v>
      </c>
      <c r="C9" s="18">
        <f>(7582.0/B9*100)</f>
        <v/>
      </c>
      <c r="D9" s="19" t="n">
        <v>2069</v>
      </c>
      <c r="E9" s="18" t="n">
        <v>75.80624640000001</v>
      </c>
      <c r="F9" s="20" t="n">
        <v>1.00013654</v>
      </c>
      <c r="G9" s="18" t="n">
        <v>22.23404769</v>
      </c>
      <c r="H9" s="20" t="n">
        <v>0.95744115</v>
      </c>
      <c r="I9" s="18" t="n">
        <v>0</v>
      </c>
      <c r="J9" s="20" t="n">
        <v>0</v>
      </c>
      <c r="K9" s="18" t="n">
        <v>0.22517674</v>
      </c>
      <c r="L9" s="20" t="n">
        <v>0.11686404</v>
      </c>
      <c r="M9" s="18" t="n">
        <v>0</v>
      </c>
      <c r="N9" s="20" t="n">
        <v>0</v>
      </c>
      <c r="O9" s="18" t="n">
        <v>0</v>
      </c>
      <c r="P9" s="20" t="n">
        <v>0</v>
      </c>
      <c r="Q9" s="18" t="n">
        <v>1.73452918</v>
      </c>
      <c r="R9" s="20" t="n">
        <v>0.32773526</v>
      </c>
    </row>
    <row r="10" spans="1:18">
      <c r="A10" s="15" t="s">
        <v>568</v>
      </c>
      <c r="B10" s="17" t="n">
        <v>20058</v>
      </c>
      <c r="C10" s="18">
        <f>(15636.0/B10*100)</f>
        <v/>
      </c>
      <c r="D10" s="19" t="n">
        <v>4422</v>
      </c>
      <c r="E10" s="18" t="n">
        <v>77.73283237</v>
      </c>
      <c r="F10" s="20" t="n">
        <v>0.86465389</v>
      </c>
      <c r="G10" s="18" t="n">
        <v>19.62763732</v>
      </c>
      <c r="H10" s="20" t="n">
        <v>0.86621645</v>
      </c>
      <c r="I10" s="18" t="n">
        <v>0</v>
      </c>
      <c r="J10" s="20" t="n">
        <v>0</v>
      </c>
      <c r="K10" s="18" t="n">
        <v>0.34360446</v>
      </c>
      <c r="L10" s="20" t="n">
        <v>0.1396099</v>
      </c>
      <c r="M10" s="18" t="n">
        <v>0</v>
      </c>
      <c r="N10" s="20" t="n">
        <v>0</v>
      </c>
      <c r="O10" s="18" t="n">
        <v>0</v>
      </c>
      <c r="P10" s="20" t="n">
        <v>0</v>
      </c>
      <c r="Q10" s="18" t="n">
        <v>2.29592585</v>
      </c>
      <c r="R10" s="20" t="n">
        <v>0.29304087</v>
      </c>
    </row>
    <row r="11" spans="1:18">
      <c r="A11" s="15" t="s">
        <v>569</v>
      </c>
      <c r="B11" s="17" t="n">
        <v>7053</v>
      </c>
      <c r="C11" s="18">
        <f>(5556.0/B11*100)</f>
        <v/>
      </c>
      <c r="D11" s="19" t="n">
        <v>1497</v>
      </c>
      <c r="E11" s="18" t="n">
        <v>83.45286050999999</v>
      </c>
      <c r="F11" s="20" t="n">
        <v>1.04730092</v>
      </c>
      <c r="G11" s="18" t="n">
        <v>11.75532896</v>
      </c>
      <c r="H11" s="20" t="n">
        <v>0.93311007</v>
      </c>
      <c r="I11" s="18" t="n">
        <v>0</v>
      </c>
      <c r="J11" s="20" t="n">
        <v>0</v>
      </c>
      <c r="K11" s="18" t="n">
        <v>0.54911162</v>
      </c>
      <c r="L11" s="20" t="n">
        <v>0.28685524</v>
      </c>
      <c r="M11" s="18" t="n">
        <v>0</v>
      </c>
      <c r="N11" s="20" t="n">
        <v>0</v>
      </c>
      <c r="O11" s="18" t="n">
        <v>0</v>
      </c>
      <c r="P11" s="20" t="n">
        <v>0</v>
      </c>
      <c r="Q11" s="18" t="n">
        <v>4.2426989</v>
      </c>
      <c r="R11" s="20" t="n">
        <v>0.57969834</v>
      </c>
    </row>
    <row r="12" spans="1:18">
      <c r="A12" s="15" t="s">
        <v>570</v>
      </c>
      <c r="B12" s="17" t="n">
        <v>6894</v>
      </c>
      <c r="C12" s="18">
        <f>(5372.0/B12*100)</f>
        <v/>
      </c>
      <c r="D12" s="19" t="n">
        <v>1522</v>
      </c>
      <c r="E12" s="18" t="n">
        <v>79.08918877000001</v>
      </c>
      <c r="F12" s="20" t="n">
        <v>1.28781696</v>
      </c>
      <c r="G12" s="18" t="n">
        <v>18.01058729</v>
      </c>
      <c r="H12" s="20" t="n">
        <v>1.12872946</v>
      </c>
      <c r="I12" s="18" t="n">
        <v>0</v>
      </c>
      <c r="J12" s="20" t="n">
        <v>0</v>
      </c>
      <c r="K12" s="18" t="n">
        <v>0.2683241</v>
      </c>
      <c r="L12" s="20" t="n">
        <v>0.16945737</v>
      </c>
      <c r="M12" s="18" t="n">
        <v>0</v>
      </c>
      <c r="N12" s="20" t="n">
        <v>0</v>
      </c>
      <c r="O12" s="18" t="n">
        <v>0</v>
      </c>
      <c r="P12" s="20" t="n">
        <v>0</v>
      </c>
      <c r="Q12" s="18" t="n">
        <v>2.63189984</v>
      </c>
      <c r="R12" s="20" t="n">
        <v>0.52059881</v>
      </c>
    </row>
    <row r="13" spans="1:18">
      <c r="A13" s="15" t="s">
        <v>571</v>
      </c>
      <c r="B13" s="17" t="n">
        <v>7161</v>
      </c>
      <c r="C13" s="18">
        <f>(5619.0/B13*100)</f>
        <v/>
      </c>
      <c r="D13" s="19" t="n">
        <v>1542</v>
      </c>
      <c r="E13" s="18" t="n">
        <v>80.64588449999999</v>
      </c>
      <c r="F13" s="20" t="n">
        <v>1.35838241</v>
      </c>
      <c r="G13" s="18" t="n">
        <v>18.24688737</v>
      </c>
      <c r="H13" s="20" t="n">
        <v>1.26309717</v>
      </c>
      <c r="I13" s="18" t="n">
        <v>0</v>
      </c>
      <c r="J13" s="20" t="n">
        <v>0</v>
      </c>
      <c r="K13" s="18" t="n">
        <v>0.10276963</v>
      </c>
      <c r="L13" s="20" t="n">
        <v>0.05402565</v>
      </c>
      <c r="M13" s="18" t="n">
        <v>0</v>
      </c>
      <c r="N13" s="20" t="n">
        <v>0</v>
      </c>
      <c r="O13" s="18" t="n">
        <v>0</v>
      </c>
      <c r="P13" s="20" t="n">
        <v>0</v>
      </c>
      <c r="Q13" s="18" t="n">
        <v>1.00445851</v>
      </c>
      <c r="R13" s="20" t="n">
        <v>0.27001777</v>
      </c>
    </row>
    <row r="14" spans="1:18">
      <c r="A14" s="15" t="s">
        <v>572</v>
      </c>
      <c r="B14" s="17" t="n">
        <v>5587</v>
      </c>
      <c r="C14" s="18">
        <f>(4399.0/B14*100)</f>
        <v/>
      </c>
      <c r="D14" s="19" t="n">
        <v>1188</v>
      </c>
      <c r="E14" s="18" t="n">
        <v>76.86297362000001</v>
      </c>
      <c r="F14" s="20" t="n">
        <v>1.41438946</v>
      </c>
      <c r="G14" s="18" t="n">
        <v>22.02053204</v>
      </c>
      <c r="H14" s="20" t="n">
        <v>1.37080447</v>
      </c>
      <c r="I14" s="18" t="n">
        <v>0</v>
      </c>
      <c r="J14" s="20" t="n">
        <v>0</v>
      </c>
      <c r="K14" s="18" t="n">
        <v>0.32643964</v>
      </c>
      <c r="L14" s="20" t="n">
        <v>0.10536647</v>
      </c>
      <c r="M14" s="18" t="n">
        <v>0</v>
      </c>
      <c r="N14" s="20" t="n">
        <v>0</v>
      </c>
      <c r="O14" s="18" t="n">
        <v>0</v>
      </c>
      <c r="P14" s="20" t="n">
        <v>0</v>
      </c>
      <c r="Q14" s="18" t="n">
        <v>0.7900547</v>
      </c>
      <c r="R14" s="20" t="n">
        <v>0.31609451</v>
      </c>
    </row>
    <row r="15" spans="1:18">
      <c r="A15" s="15" t="s">
        <v>573</v>
      </c>
      <c r="B15" s="17" t="n">
        <v>5882</v>
      </c>
      <c r="C15" s="18">
        <f>(4622.0/B15*100)</f>
        <v/>
      </c>
      <c r="D15" s="19" t="n">
        <v>1260</v>
      </c>
      <c r="E15" s="18" t="n">
        <v>80.23068941</v>
      </c>
      <c r="F15" s="20" t="n">
        <v>1.23715018</v>
      </c>
      <c r="G15" s="18" t="n">
        <v>18.44552309</v>
      </c>
      <c r="H15" s="20" t="n">
        <v>1.21827332</v>
      </c>
      <c r="I15" s="18" t="n">
        <v>0</v>
      </c>
      <c r="J15" s="20" t="n">
        <v>0</v>
      </c>
      <c r="K15" s="18" t="n">
        <v>0</v>
      </c>
      <c r="L15" s="20" t="n">
        <v>0</v>
      </c>
      <c r="M15" s="18" t="n">
        <v>0</v>
      </c>
      <c r="N15" s="20" t="n">
        <v>0</v>
      </c>
      <c r="O15" s="18" t="n">
        <v>0</v>
      </c>
      <c r="P15" s="20" t="n">
        <v>0</v>
      </c>
      <c r="Q15" s="18" t="n">
        <v>1.32378749</v>
      </c>
      <c r="R15" s="20" t="n">
        <v>0.25247434</v>
      </c>
    </row>
    <row r="16" spans="1:18">
      <c r="A16" s="15" t="s">
        <v>574</v>
      </c>
      <c r="B16" s="17" t="n">
        <v>6108</v>
      </c>
      <c r="C16" s="18">
        <f>(4808.0/B16*100)</f>
        <v/>
      </c>
      <c r="D16" s="19" t="n">
        <v>1300</v>
      </c>
      <c r="E16" s="18" t="n">
        <v>75.29579352</v>
      </c>
      <c r="F16" s="20" t="n">
        <v>1.38590116</v>
      </c>
      <c r="G16" s="18" t="n">
        <v>19.88627985</v>
      </c>
      <c r="H16" s="20" t="n">
        <v>1.28762869</v>
      </c>
      <c r="I16" s="18" t="n">
        <v>0</v>
      </c>
      <c r="J16" s="20" t="n">
        <v>0</v>
      </c>
      <c r="K16" s="18" t="n">
        <v>0.35943276</v>
      </c>
      <c r="L16" s="20" t="n">
        <v>0.14878805</v>
      </c>
      <c r="M16" s="18" t="n">
        <v>0</v>
      </c>
      <c r="N16" s="20" t="n">
        <v>0</v>
      </c>
      <c r="O16" s="18" t="n">
        <v>0</v>
      </c>
      <c r="P16" s="20" t="n">
        <v>0</v>
      </c>
      <c r="Q16" s="18" t="n">
        <v>4.45849387</v>
      </c>
      <c r="R16" s="20" t="n">
        <v>0.65326703</v>
      </c>
    </row>
    <row r="17" spans="1:18">
      <c r="A17" s="15" t="s">
        <v>575</v>
      </c>
      <c r="B17" s="17" t="n">
        <v>6504</v>
      </c>
      <c r="C17" s="18">
        <f>(5051.0/B17*100)</f>
        <v/>
      </c>
      <c r="D17" s="19" t="n">
        <v>1453</v>
      </c>
      <c r="E17" s="18" t="n">
        <v>81.03521254</v>
      </c>
      <c r="F17" s="20" t="n">
        <v>0.94438849</v>
      </c>
      <c r="G17" s="18" t="n">
        <v>15.56388327</v>
      </c>
      <c r="H17" s="20" t="n">
        <v>0.87446895</v>
      </c>
      <c r="I17" s="18" t="n">
        <v>0</v>
      </c>
      <c r="J17" s="20" t="n">
        <v>0</v>
      </c>
      <c r="K17" s="18" t="n">
        <v>0.21307296</v>
      </c>
      <c r="L17" s="20" t="n">
        <v>0.10382013</v>
      </c>
      <c r="M17" s="18" t="n">
        <v>0</v>
      </c>
      <c r="N17" s="20" t="n">
        <v>0</v>
      </c>
      <c r="O17" s="18" t="n">
        <v>0</v>
      </c>
      <c r="P17" s="20" t="n">
        <v>0</v>
      </c>
      <c r="Q17" s="18" t="n">
        <v>3.18783123</v>
      </c>
      <c r="R17" s="20" t="n">
        <v>0.47652869</v>
      </c>
    </row>
    <row r="18" spans="1:18">
      <c r="A18" s="15" t="s">
        <v>576</v>
      </c>
      <c r="B18" s="17" t="n">
        <v>5532</v>
      </c>
      <c r="C18" s="18">
        <f>(4324.0/B18*100)</f>
        <v/>
      </c>
      <c r="D18" s="19" t="n">
        <v>1208</v>
      </c>
      <c r="E18" s="18" t="n">
        <v>81.0441331</v>
      </c>
      <c r="F18" s="20" t="n">
        <v>1.18535244</v>
      </c>
      <c r="G18" s="18" t="n">
        <v>15.27018854</v>
      </c>
      <c r="H18" s="20" t="n">
        <v>1.20624795</v>
      </c>
      <c r="I18" s="18" t="n">
        <v>0</v>
      </c>
      <c r="J18" s="20" t="n">
        <v>0</v>
      </c>
      <c r="K18" s="18" t="n">
        <v>0.35694371</v>
      </c>
      <c r="L18" s="20" t="n">
        <v>0.19741439</v>
      </c>
      <c r="M18" s="18" t="n">
        <v>0</v>
      </c>
      <c r="N18" s="20" t="n">
        <v>0</v>
      </c>
      <c r="O18" s="18" t="n">
        <v>0</v>
      </c>
      <c r="P18" s="20" t="n">
        <v>0</v>
      </c>
      <c r="Q18" s="18" t="n">
        <v>3.32873465</v>
      </c>
      <c r="R18" s="20" t="n">
        <v>0.6313602699999999</v>
      </c>
    </row>
    <row r="19" spans="1:18">
      <c r="A19" s="15" t="s">
        <v>577</v>
      </c>
      <c r="B19" s="17" t="n">
        <v>5658</v>
      </c>
      <c r="C19" s="18">
        <f>(4404.0/B19*100)</f>
        <v/>
      </c>
      <c r="D19" s="19" t="n">
        <v>1254</v>
      </c>
      <c r="E19" s="18" t="n">
        <v>82.036914</v>
      </c>
      <c r="F19" s="20" t="n">
        <v>1.08790932</v>
      </c>
      <c r="G19" s="18" t="n">
        <v>16.71486088</v>
      </c>
      <c r="H19" s="20" t="n">
        <v>0.99525466</v>
      </c>
      <c r="I19" s="18" t="n">
        <v>0</v>
      </c>
      <c r="J19" s="20" t="n">
        <v>0</v>
      </c>
      <c r="K19" s="18" t="n">
        <v>0.13044959</v>
      </c>
      <c r="L19" s="20" t="n">
        <v>0.07882162</v>
      </c>
      <c r="M19" s="18" t="n">
        <v>0</v>
      </c>
      <c r="N19" s="20" t="n">
        <v>0</v>
      </c>
      <c r="O19" s="18" t="n">
        <v>0</v>
      </c>
      <c r="P19" s="20" t="n">
        <v>0</v>
      </c>
      <c r="Q19" s="18" t="n">
        <v>1.11777553</v>
      </c>
      <c r="R19" s="20" t="n">
        <v>0.36376171</v>
      </c>
    </row>
    <row r="20" spans="1:18">
      <c r="A20" s="15" t="s">
        <v>578</v>
      </c>
      <c r="B20" s="17" t="n">
        <v>3371</v>
      </c>
      <c r="C20" s="18">
        <f>(2619.0/B20*100)</f>
        <v/>
      </c>
      <c r="D20" s="19" t="n">
        <v>752</v>
      </c>
      <c r="E20" s="18" t="n">
        <v>83.57169171</v>
      </c>
      <c r="F20" s="20" t="n">
        <v>1.36305607</v>
      </c>
      <c r="G20" s="18" t="n">
        <v>13.54513801</v>
      </c>
      <c r="H20" s="20" t="n">
        <v>1.21203936</v>
      </c>
      <c r="I20" s="18" t="n">
        <v>0</v>
      </c>
      <c r="J20" s="20" t="n">
        <v>0</v>
      </c>
      <c r="K20" s="18" t="n">
        <v>0</v>
      </c>
      <c r="L20" s="20" t="n">
        <v>0</v>
      </c>
      <c r="M20" s="18" t="n">
        <v>0</v>
      </c>
      <c r="N20" s="20" t="n">
        <v>0</v>
      </c>
      <c r="O20" s="18" t="n">
        <v>0</v>
      </c>
      <c r="P20" s="20" t="n">
        <v>0</v>
      </c>
      <c r="Q20" s="18" t="n">
        <v>2.88317028</v>
      </c>
      <c r="R20" s="20" t="n">
        <v>0.62239702</v>
      </c>
    </row>
    <row r="21" spans="1:18">
      <c r="A21" s="15" t="s">
        <v>579</v>
      </c>
      <c r="B21" s="17" t="n">
        <v>5741</v>
      </c>
      <c r="C21" s="18">
        <f>(4454.0/B21*100)</f>
        <v/>
      </c>
      <c r="D21" s="19" t="n">
        <v>1287</v>
      </c>
      <c r="E21" s="18" t="n">
        <v>85.03124343</v>
      </c>
      <c r="F21" s="20" t="n">
        <v>0.96839692</v>
      </c>
      <c r="G21" s="18" t="n">
        <v>13.6056617</v>
      </c>
      <c r="H21" s="20" t="n">
        <v>0.90779568</v>
      </c>
      <c r="I21" s="18" t="n">
        <v>0</v>
      </c>
      <c r="J21" s="20" t="n">
        <v>0</v>
      </c>
      <c r="K21" s="18" t="n">
        <v>0</v>
      </c>
      <c r="L21" s="20" t="n">
        <v>0</v>
      </c>
      <c r="M21" s="18" t="n">
        <v>0</v>
      </c>
      <c r="N21" s="20" t="n">
        <v>0</v>
      </c>
      <c r="O21" s="18" t="n">
        <v>0</v>
      </c>
      <c r="P21" s="20" t="n">
        <v>0</v>
      </c>
      <c r="Q21" s="18" t="n">
        <v>1.36309487</v>
      </c>
      <c r="R21" s="20" t="n">
        <v>0.32775265</v>
      </c>
    </row>
    <row r="22" spans="1:18">
      <c r="A22" s="15" t="s">
        <v>580</v>
      </c>
      <c r="B22" s="17" t="n">
        <v>6598</v>
      </c>
      <c r="C22" s="18">
        <f>(5128.0/B22*100)</f>
        <v/>
      </c>
      <c r="D22" s="19" t="n">
        <v>1470</v>
      </c>
      <c r="E22" s="18" t="n">
        <v>83.16404321</v>
      </c>
      <c r="F22" s="20" t="n">
        <v>1.18264506</v>
      </c>
      <c r="G22" s="18" t="n">
        <v>13.78449303</v>
      </c>
      <c r="H22" s="20" t="n">
        <v>1.13569672</v>
      </c>
      <c r="I22" s="18" t="n">
        <v>0</v>
      </c>
      <c r="J22" s="20" t="n">
        <v>0</v>
      </c>
      <c r="K22" s="18" t="n">
        <v>0.73497668</v>
      </c>
      <c r="L22" s="20" t="n">
        <v>0.26211433</v>
      </c>
      <c r="M22" s="18" t="n">
        <v>0</v>
      </c>
      <c r="N22" s="20" t="n">
        <v>0</v>
      </c>
      <c r="O22" s="18" t="n">
        <v>0</v>
      </c>
      <c r="P22" s="20" t="n">
        <v>0</v>
      </c>
      <c r="Q22" s="18" t="n">
        <v>2.31648708</v>
      </c>
      <c r="R22" s="20" t="n">
        <v>0.40427518</v>
      </c>
    </row>
    <row r="23" spans="1:18">
      <c r="A23" s="15" t="s">
        <v>581</v>
      </c>
      <c r="B23" s="17" t="n">
        <v>11583</v>
      </c>
      <c r="C23" s="18">
        <f>(8991.0/B23*100)</f>
        <v/>
      </c>
      <c r="D23" s="19" t="n">
        <v>2592</v>
      </c>
      <c r="E23" s="18" t="n">
        <v>85.02991747999999</v>
      </c>
      <c r="F23" s="20" t="n">
        <v>1.02301723</v>
      </c>
      <c r="G23" s="18" t="n">
        <v>11.5981924</v>
      </c>
      <c r="H23" s="20" t="n">
        <v>0.95002494</v>
      </c>
      <c r="I23" s="18" t="n">
        <v>0</v>
      </c>
      <c r="J23" s="20" t="n">
        <v>0</v>
      </c>
      <c r="K23" s="18" t="n">
        <v>0.22737745</v>
      </c>
      <c r="L23" s="20" t="n">
        <v>0.13012498</v>
      </c>
      <c r="M23" s="18" t="n">
        <v>0</v>
      </c>
      <c r="N23" s="20" t="n">
        <v>0</v>
      </c>
      <c r="O23" s="18" t="n">
        <v>0</v>
      </c>
      <c r="P23" s="20" t="n">
        <v>0</v>
      </c>
      <c r="Q23" s="18" t="n">
        <v>3.14451267</v>
      </c>
      <c r="R23" s="20" t="n">
        <v>0.45114443</v>
      </c>
    </row>
    <row r="24" spans="1:18">
      <c r="A24" s="15" t="s">
        <v>582</v>
      </c>
      <c r="B24" s="17" t="n">
        <v>6647</v>
      </c>
      <c r="C24" s="18">
        <f>(5143.0/B24*100)</f>
        <v/>
      </c>
      <c r="D24" s="19" t="n">
        <v>1504</v>
      </c>
      <c r="E24" s="18" t="n">
        <v>69.81859602999999</v>
      </c>
      <c r="F24" s="20" t="n">
        <v>1.41201918</v>
      </c>
      <c r="G24" s="18" t="n">
        <v>28.68694855</v>
      </c>
      <c r="H24" s="20" t="n">
        <v>1.43534026</v>
      </c>
      <c r="I24" s="18" t="n">
        <v>0</v>
      </c>
      <c r="J24" s="20" t="n">
        <v>0</v>
      </c>
      <c r="K24" s="18" t="n">
        <v>0</v>
      </c>
      <c r="L24" s="20" t="n">
        <v>0</v>
      </c>
      <c r="M24" s="18" t="n">
        <v>0</v>
      </c>
      <c r="N24" s="20" t="n">
        <v>0</v>
      </c>
      <c r="O24" s="18" t="n">
        <v>0</v>
      </c>
      <c r="P24" s="20" t="n">
        <v>0</v>
      </c>
      <c r="Q24" s="18" t="n">
        <v>1.49445542</v>
      </c>
      <c r="R24" s="20" t="n">
        <v>0.32785439</v>
      </c>
    </row>
    <row r="25" spans="1:18">
      <c r="A25" s="15" t="s">
        <v>583</v>
      </c>
      <c r="B25" s="17" t="n">
        <v>5581</v>
      </c>
      <c r="C25" s="18">
        <f>(4331.0/B25*100)</f>
        <v/>
      </c>
      <c r="D25" s="19" t="n">
        <v>1250</v>
      </c>
      <c r="E25" s="18" t="n">
        <v>71.80642261</v>
      </c>
      <c r="F25" s="20" t="n">
        <v>1.54650386</v>
      </c>
      <c r="G25" s="18" t="n">
        <v>27.00474069</v>
      </c>
      <c r="H25" s="20" t="n">
        <v>1.57422548</v>
      </c>
      <c r="I25" s="18" t="n">
        <v>0</v>
      </c>
      <c r="J25" s="20" t="n">
        <v>0</v>
      </c>
      <c r="K25" s="18" t="n">
        <v>0.22836147</v>
      </c>
      <c r="L25" s="20" t="n">
        <v>0.1315252</v>
      </c>
      <c r="M25" s="18" t="n">
        <v>0</v>
      </c>
      <c r="N25" s="20" t="n">
        <v>0</v>
      </c>
      <c r="O25" s="18" t="n">
        <v>0</v>
      </c>
      <c r="P25" s="20" t="n">
        <v>0</v>
      </c>
      <c r="Q25" s="18" t="n">
        <v>0.96047522</v>
      </c>
      <c r="R25" s="20" t="n">
        <v>0.25285441</v>
      </c>
    </row>
    <row r="26" spans="1:18">
      <c r="A26" s="15" t="s">
        <v>584</v>
      </c>
      <c r="B26" s="17" t="n">
        <v>4869</v>
      </c>
      <c r="C26" s="18">
        <f>(3804.0/B26*100)</f>
        <v/>
      </c>
      <c r="D26" s="19" t="n">
        <v>1065</v>
      </c>
      <c r="E26" s="18" t="n">
        <v>85.0279725</v>
      </c>
      <c r="F26" s="20" t="n">
        <v>1.19441285</v>
      </c>
      <c r="G26" s="18" t="n">
        <v>14.02862782</v>
      </c>
      <c r="H26" s="20" t="n">
        <v>1.14163953</v>
      </c>
      <c r="I26" s="18" t="n">
        <v>0</v>
      </c>
      <c r="J26" s="20" t="n">
        <v>0</v>
      </c>
      <c r="K26" s="18" t="n">
        <v>0</v>
      </c>
      <c r="L26" s="20" t="n">
        <v>0</v>
      </c>
      <c r="M26" s="18" t="n">
        <v>0</v>
      </c>
      <c r="N26" s="20" t="n">
        <v>0</v>
      </c>
      <c r="O26" s="18" t="n">
        <v>0</v>
      </c>
      <c r="P26" s="20" t="n">
        <v>0</v>
      </c>
      <c r="Q26" s="18" t="n">
        <v>0.94339968</v>
      </c>
      <c r="R26" s="20" t="n">
        <v>0.31170474</v>
      </c>
    </row>
    <row r="27" spans="1:18">
      <c r="A27" s="15" t="s">
        <v>585</v>
      </c>
      <c r="B27" s="17" t="n">
        <v>5299</v>
      </c>
      <c r="C27" s="18">
        <f>(4091.0/B27*100)</f>
        <v/>
      </c>
      <c r="D27" s="19" t="n">
        <v>1208</v>
      </c>
      <c r="E27" s="18" t="n">
        <v>81.7618095</v>
      </c>
      <c r="F27" s="20" t="n">
        <v>0.92034368</v>
      </c>
      <c r="G27" s="18" t="n">
        <v>15.28687568</v>
      </c>
      <c r="H27" s="20" t="n">
        <v>0.86021836</v>
      </c>
      <c r="I27" s="18" t="n">
        <v>0</v>
      </c>
      <c r="J27" s="20" t="n">
        <v>0</v>
      </c>
      <c r="K27" s="18" t="n">
        <v>0.08302426</v>
      </c>
      <c r="L27" s="20" t="n">
        <v>0.08362028000000001</v>
      </c>
      <c r="M27" s="18" t="n">
        <v>0</v>
      </c>
      <c r="N27" s="20" t="n">
        <v>0</v>
      </c>
      <c r="O27" s="18" t="n">
        <v>0</v>
      </c>
      <c r="P27" s="20" t="n">
        <v>0</v>
      </c>
      <c r="Q27" s="18" t="n">
        <v>2.86829057</v>
      </c>
      <c r="R27" s="20" t="n">
        <v>0.40799502</v>
      </c>
    </row>
    <row r="28" spans="1:18">
      <c r="A28" s="15" t="s">
        <v>586</v>
      </c>
      <c r="B28" s="17" t="n">
        <v>7568</v>
      </c>
      <c r="C28" s="18">
        <f>(5991.0/B28*100)</f>
        <v/>
      </c>
      <c r="D28" s="19" t="n">
        <v>1577</v>
      </c>
      <c r="E28" s="18" t="n">
        <v>83.708324</v>
      </c>
      <c r="F28" s="20" t="n">
        <v>1.16659188</v>
      </c>
      <c r="G28" s="18" t="n">
        <v>13.09523457</v>
      </c>
      <c r="H28" s="20" t="n">
        <v>0.99417782</v>
      </c>
      <c r="I28" s="18" t="n">
        <v>0</v>
      </c>
      <c r="J28" s="20" t="n">
        <v>0</v>
      </c>
      <c r="K28" s="18" t="n">
        <v>0.53150708</v>
      </c>
      <c r="L28" s="20" t="n">
        <v>0.21032323</v>
      </c>
      <c r="M28" s="18" t="n">
        <v>0</v>
      </c>
      <c r="N28" s="20" t="n">
        <v>0</v>
      </c>
      <c r="O28" s="18" t="n">
        <v>0</v>
      </c>
      <c r="P28" s="20" t="n">
        <v>0</v>
      </c>
      <c r="Q28" s="18" t="n">
        <v>2.66493434</v>
      </c>
      <c r="R28" s="20" t="n">
        <v>0.430303</v>
      </c>
    </row>
    <row r="29" spans="1:18">
      <c r="A29" s="15" t="s">
        <v>587</v>
      </c>
      <c r="B29" s="17" t="n">
        <v>5385</v>
      </c>
      <c r="C29" s="18">
        <f>(4224.0/B29*100)</f>
        <v/>
      </c>
      <c r="D29" s="19" t="n">
        <v>1161</v>
      </c>
      <c r="E29" s="18" t="n">
        <v>77.10667204000001</v>
      </c>
      <c r="F29" s="20" t="n">
        <v>1.23588118</v>
      </c>
      <c r="G29" s="18" t="n">
        <v>19.98412824</v>
      </c>
      <c r="H29" s="20" t="n">
        <v>1.10039547</v>
      </c>
      <c r="I29" s="18" t="n">
        <v>0</v>
      </c>
      <c r="J29" s="20" t="n">
        <v>0</v>
      </c>
      <c r="K29" s="18" t="n">
        <v>0.31909367</v>
      </c>
      <c r="L29" s="20" t="n">
        <v>0.15878757</v>
      </c>
      <c r="M29" s="18" t="n">
        <v>0</v>
      </c>
      <c r="N29" s="20" t="n">
        <v>0</v>
      </c>
      <c r="O29" s="18" t="n">
        <v>0</v>
      </c>
      <c r="P29" s="20" t="n">
        <v>0</v>
      </c>
      <c r="Q29" s="18" t="n">
        <v>2.59010605</v>
      </c>
      <c r="R29" s="20" t="n">
        <v>0.46027548</v>
      </c>
    </row>
    <row r="30" spans="1:18">
      <c r="A30" s="15" t="s">
        <v>588</v>
      </c>
      <c r="B30" s="17" t="n">
        <v>4520</v>
      </c>
      <c r="C30" s="18">
        <f>(3562.0/B30*100)</f>
        <v/>
      </c>
      <c r="D30" s="19" t="n">
        <v>958</v>
      </c>
      <c r="E30" s="18" t="n">
        <v>77.47135174</v>
      </c>
      <c r="F30" s="20" t="n">
        <v>1.28438894</v>
      </c>
      <c r="G30" s="18" t="n">
        <v>19.10452244</v>
      </c>
      <c r="H30" s="20" t="n">
        <v>1.24573867</v>
      </c>
      <c r="I30" s="18" t="n">
        <v>0</v>
      </c>
      <c r="J30" s="20" t="n">
        <v>0</v>
      </c>
      <c r="K30" s="18" t="n">
        <v>0</v>
      </c>
      <c r="L30" s="20" t="n">
        <v>0</v>
      </c>
      <c r="M30" s="18" t="n">
        <v>0</v>
      </c>
      <c r="N30" s="20" t="n">
        <v>0</v>
      </c>
      <c r="O30" s="18" t="n">
        <v>0</v>
      </c>
      <c r="P30" s="20" t="n">
        <v>0</v>
      </c>
      <c r="Q30" s="18" t="n">
        <v>3.42412583</v>
      </c>
      <c r="R30" s="20" t="n">
        <v>0.61189532</v>
      </c>
    </row>
    <row r="31" spans="1:18">
      <c r="A31" s="15" t="s">
        <v>589</v>
      </c>
      <c r="B31" s="17" t="n">
        <v>5456</v>
      </c>
      <c r="C31" s="18">
        <f>(4277.0/B31*100)</f>
        <v/>
      </c>
      <c r="D31" s="19" t="n">
        <v>1179</v>
      </c>
      <c r="E31" s="18" t="n">
        <v>78.02299936</v>
      </c>
      <c r="F31" s="20" t="n">
        <v>1.35737052</v>
      </c>
      <c r="G31" s="18" t="n">
        <v>19.1600239</v>
      </c>
      <c r="H31" s="20" t="n">
        <v>1.23116804</v>
      </c>
      <c r="I31" s="18" t="n">
        <v>0</v>
      </c>
      <c r="J31" s="20" t="n">
        <v>0</v>
      </c>
      <c r="K31" s="18" t="n">
        <v>0.31170377</v>
      </c>
      <c r="L31" s="20" t="n">
        <v>0.15176205</v>
      </c>
      <c r="M31" s="18" t="n">
        <v>0</v>
      </c>
      <c r="N31" s="20" t="n">
        <v>0</v>
      </c>
      <c r="O31" s="18" t="n">
        <v>0</v>
      </c>
      <c r="P31" s="20" t="n">
        <v>0</v>
      </c>
      <c r="Q31" s="18" t="n">
        <v>2.50527296</v>
      </c>
      <c r="R31" s="20" t="n">
        <v>0.41294871</v>
      </c>
    </row>
    <row r="32" spans="1:18">
      <c r="A32" s="15" t="s">
        <v>590</v>
      </c>
      <c r="B32" s="17" t="n">
        <v>4478</v>
      </c>
      <c r="C32" s="18">
        <f>(3516.0/B32*100)</f>
        <v/>
      </c>
      <c r="D32" s="19" t="n">
        <v>962</v>
      </c>
      <c r="E32" s="18" t="n">
        <v>76.21484196</v>
      </c>
      <c r="F32" s="20" t="n">
        <v>1.64262072</v>
      </c>
      <c r="G32" s="18" t="n">
        <v>21.49889363</v>
      </c>
      <c r="H32" s="20" t="n">
        <v>1.59936726</v>
      </c>
      <c r="I32" s="18" t="n">
        <v>0</v>
      </c>
      <c r="J32" s="20" t="n">
        <v>0</v>
      </c>
      <c r="K32" s="18" t="n">
        <v>0.0924927</v>
      </c>
      <c r="L32" s="20" t="n">
        <v>0.09237444</v>
      </c>
      <c r="M32" s="18" t="n">
        <v>0</v>
      </c>
      <c r="N32" s="20" t="n">
        <v>0</v>
      </c>
      <c r="O32" s="18" t="n">
        <v>0</v>
      </c>
      <c r="P32" s="20" t="n">
        <v>0</v>
      </c>
      <c r="Q32" s="18" t="n">
        <v>2.19377171</v>
      </c>
      <c r="R32" s="20" t="n">
        <v>0.42136278</v>
      </c>
    </row>
    <row r="33" spans="1:18">
      <c r="A33" s="15" t="s">
        <v>591</v>
      </c>
      <c r="B33" s="17" t="n">
        <v>7325</v>
      </c>
      <c r="C33" s="18">
        <f>(5787.0/B33*100)</f>
        <v/>
      </c>
      <c r="D33" s="19" t="n">
        <v>1538</v>
      </c>
      <c r="E33" s="18" t="n">
        <v>79.55071137</v>
      </c>
      <c r="F33" s="20" t="n">
        <v>1.28832775</v>
      </c>
      <c r="G33" s="18" t="n">
        <v>17.23894671</v>
      </c>
      <c r="H33" s="20" t="n">
        <v>1.29614508</v>
      </c>
      <c r="I33" s="18" t="n">
        <v>0</v>
      </c>
      <c r="J33" s="20" t="n">
        <v>0</v>
      </c>
      <c r="K33" s="18" t="n">
        <v>0.31934993</v>
      </c>
      <c r="L33" s="20" t="n">
        <v>0.18581825</v>
      </c>
      <c r="M33" s="18" t="n">
        <v>0</v>
      </c>
      <c r="N33" s="20" t="n">
        <v>0</v>
      </c>
      <c r="O33" s="18" t="n">
        <v>0</v>
      </c>
      <c r="P33" s="20" t="n">
        <v>0</v>
      </c>
      <c r="Q33" s="18" t="n">
        <v>2.89099199</v>
      </c>
      <c r="R33" s="20" t="n">
        <v>0.571006</v>
      </c>
    </row>
    <row r="34" spans="1:18">
      <c r="A34" s="15" t="s">
        <v>592</v>
      </c>
      <c r="B34" s="17" t="n">
        <v>6350</v>
      </c>
      <c r="C34" s="18">
        <f>(4987.0/B34*100)</f>
        <v/>
      </c>
      <c r="D34" s="19" t="n">
        <v>1363</v>
      </c>
      <c r="E34" s="18" t="n">
        <v>80.36518015999999</v>
      </c>
      <c r="F34" s="20" t="n">
        <v>1.22211867</v>
      </c>
      <c r="G34" s="18" t="n">
        <v>16.89631266</v>
      </c>
      <c r="H34" s="20" t="n">
        <v>1.10504117</v>
      </c>
      <c r="I34" s="18" t="n">
        <v>0</v>
      </c>
      <c r="J34" s="20" t="n">
        <v>0</v>
      </c>
      <c r="K34" s="18" t="n">
        <v>0.04660585</v>
      </c>
      <c r="L34" s="20" t="n">
        <v>0.04668442</v>
      </c>
      <c r="M34" s="18" t="n">
        <v>0</v>
      </c>
      <c r="N34" s="20" t="n">
        <v>0</v>
      </c>
      <c r="O34" s="18" t="n">
        <v>0</v>
      </c>
      <c r="P34" s="20" t="n">
        <v>0</v>
      </c>
      <c r="Q34" s="18" t="n">
        <v>2.69190133</v>
      </c>
      <c r="R34" s="20" t="n">
        <v>0.5257633</v>
      </c>
    </row>
    <row r="35" spans="1:18">
      <c r="A35" s="15" t="s">
        <v>593</v>
      </c>
      <c r="B35" s="17" t="n">
        <v>6406</v>
      </c>
      <c r="C35" s="18">
        <f>(4992.0/B35*100)</f>
        <v/>
      </c>
      <c r="D35" s="19" t="n">
        <v>1414</v>
      </c>
      <c r="E35" s="18" t="n">
        <v>79.32692153000001</v>
      </c>
      <c r="F35" s="20" t="n">
        <v>1.35479731</v>
      </c>
      <c r="G35" s="18" t="n">
        <v>18.79825292</v>
      </c>
      <c r="H35" s="20" t="n">
        <v>1.39157634</v>
      </c>
      <c r="I35" s="18" t="n">
        <v>0</v>
      </c>
      <c r="J35" s="20" t="n">
        <v>0</v>
      </c>
      <c r="K35" s="18" t="n">
        <v>0.11419791</v>
      </c>
      <c r="L35" s="20" t="n">
        <v>0.06729673999999999</v>
      </c>
      <c r="M35" s="18" t="n">
        <v>0</v>
      </c>
      <c r="N35" s="20" t="n">
        <v>0</v>
      </c>
      <c r="O35" s="18" t="n">
        <v>0</v>
      </c>
      <c r="P35" s="20" t="n">
        <v>0</v>
      </c>
      <c r="Q35" s="18" t="n">
        <v>1.76062765</v>
      </c>
      <c r="R35" s="20" t="n">
        <v>0.33017537</v>
      </c>
    </row>
    <row r="36" spans="1:18">
      <c r="A36" s="15" t="s">
        <v>594</v>
      </c>
      <c r="B36" s="17" t="n">
        <v>6736</v>
      </c>
      <c r="C36" s="18">
        <f>(5223.0/B36*100)</f>
        <v/>
      </c>
      <c r="D36" s="19" t="n">
        <v>1513</v>
      </c>
      <c r="E36" s="18" t="n">
        <v>81.53813135999999</v>
      </c>
      <c r="F36" s="20" t="n">
        <v>1.16376827</v>
      </c>
      <c r="G36" s="18" t="n">
        <v>16.21785109</v>
      </c>
      <c r="H36" s="20" t="n">
        <v>1.03186514</v>
      </c>
      <c r="I36" s="18" t="n">
        <v>0</v>
      </c>
      <c r="J36" s="20" t="n">
        <v>0</v>
      </c>
      <c r="K36" s="18" t="n">
        <v>0.23679292</v>
      </c>
      <c r="L36" s="20" t="n">
        <v>0.15790094</v>
      </c>
      <c r="M36" s="18" t="n">
        <v>0</v>
      </c>
      <c r="N36" s="20" t="n">
        <v>0</v>
      </c>
      <c r="O36" s="18" t="n">
        <v>0</v>
      </c>
      <c r="P36" s="20" t="n">
        <v>0</v>
      </c>
      <c r="Q36" s="18" t="n">
        <v>2.00722463</v>
      </c>
      <c r="R36" s="20" t="n">
        <v>0.41309295</v>
      </c>
    </row>
    <row r="37" spans="1:18">
      <c r="A37" s="15" t="s">
        <v>595</v>
      </c>
      <c r="B37" s="17" t="n">
        <v>5458</v>
      </c>
      <c r="C37" s="18">
        <f>(4267.0/B37*100)</f>
        <v/>
      </c>
      <c r="D37" s="19" t="n">
        <v>1191</v>
      </c>
      <c r="E37" s="18" t="n">
        <v>79.02931131</v>
      </c>
      <c r="F37" s="20" t="n">
        <v>1.18163484</v>
      </c>
      <c r="G37" s="18" t="n">
        <v>16.64390329</v>
      </c>
      <c r="H37" s="20" t="n">
        <v>1.15304307</v>
      </c>
      <c r="I37" s="18" t="n">
        <v>0</v>
      </c>
      <c r="J37" s="20" t="n">
        <v>0</v>
      </c>
      <c r="K37" s="18" t="n">
        <v>0.48358427</v>
      </c>
      <c r="L37" s="20" t="n">
        <v>0.19608357</v>
      </c>
      <c r="M37" s="18" t="n">
        <v>0</v>
      </c>
      <c r="N37" s="20" t="n">
        <v>0</v>
      </c>
      <c r="O37" s="18" t="n">
        <v>0</v>
      </c>
      <c r="P37" s="20" t="n">
        <v>0</v>
      </c>
      <c r="Q37" s="18" t="n">
        <v>3.84320113</v>
      </c>
      <c r="R37" s="20" t="n">
        <v>0.61281329</v>
      </c>
    </row>
    <row r="38" spans="1:18">
      <c r="A38" s="15" t="s">
        <v>596</v>
      </c>
      <c r="B38" s="17" t="n">
        <v>5860</v>
      </c>
      <c r="C38" s="18">
        <f>(4548.0/B38*100)</f>
        <v/>
      </c>
      <c r="D38" s="19" t="n">
        <v>1312</v>
      </c>
      <c r="E38" s="18" t="n">
        <v>77.05647308</v>
      </c>
      <c r="F38" s="20" t="n">
        <v>1.46233114</v>
      </c>
      <c r="G38" s="18" t="n">
        <v>19.05301068</v>
      </c>
      <c r="H38" s="20" t="n">
        <v>1.43874651</v>
      </c>
      <c r="I38" s="18" t="n">
        <v>0</v>
      </c>
      <c r="J38" s="20" t="n">
        <v>0</v>
      </c>
      <c r="K38" s="18" t="n">
        <v>0.22824139</v>
      </c>
      <c r="L38" s="20" t="n">
        <v>0.14634293</v>
      </c>
      <c r="M38" s="18" t="n">
        <v>0</v>
      </c>
      <c r="N38" s="20" t="n">
        <v>0</v>
      </c>
      <c r="O38" s="18" t="n">
        <v>0</v>
      </c>
      <c r="P38" s="20" t="n">
        <v>0</v>
      </c>
      <c r="Q38" s="18" t="n">
        <v>3.66227485</v>
      </c>
      <c r="R38" s="20" t="n">
        <v>0.5659881</v>
      </c>
    </row>
    <row r="39" spans="1:18">
      <c r="A39" s="15" t="s">
        <v>597</v>
      </c>
      <c r="B39" s="17" t="n">
        <v>5895</v>
      </c>
      <c r="C39" s="18">
        <f>(4581.0/B39*100)</f>
        <v/>
      </c>
      <c r="D39" s="19" t="n">
        <v>1314</v>
      </c>
      <c r="E39" s="18" t="n">
        <v>79.42144985</v>
      </c>
      <c r="F39" s="20" t="n">
        <v>1.23624138</v>
      </c>
      <c r="G39" s="18" t="n">
        <v>18.17008573</v>
      </c>
      <c r="H39" s="20" t="n">
        <v>1.1946981</v>
      </c>
      <c r="I39" s="18" t="n">
        <v>0</v>
      </c>
      <c r="J39" s="20" t="n">
        <v>0</v>
      </c>
      <c r="K39" s="18" t="n">
        <v>0</v>
      </c>
      <c r="L39" s="20" t="n">
        <v>0</v>
      </c>
      <c r="M39" s="18" t="n">
        <v>0</v>
      </c>
      <c r="N39" s="20" t="n">
        <v>0</v>
      </c>
      <c r="O39" s="18" t="n">
        <v>0</v>
      </c>
      <c r="P39" s="20" t="n">
        <v>0</v>
      </c>
      <c r="Q39" s="18" t="n">
        <v>2.40846442</v>
      </c>
      <c r="R39" s="20" t="n">
        <v>0.38756506</v>
      </c>
    </row>
    <row r="40" spans="1:18">
      <c r="A40" s="15" t="s">
        <v>598</v>
      </c>
      <c r="B40" s="17" t="n">
        <v>14157</v>
      </c>
      <c r="C40" s="18">
        <f>(11150.0/B40*100)</f>
        <v/>
      </c>
      <c r="D40" s="19" t="n">
        <v>3007</v>
      </c>
      <c r="E40" s="18" t="n">
        <v>81.52643621</v>
      </c>
      <c r="F40" s="20" t="n">
        <v>1.13419621</v>
      </c>
      <c r="G40" s="18" t="n">
        <v>16.15844642</v>
      </c>
      <c r="H40" s="20" t="n">
        <v>1.16887592</v>
      </c>
      <c r="I40" s="18" t="n">
        <v>0</v>
      </c>
      <c r="J40" s="20" t="n">
        <v>0</v>
      </c>
      <c r="K40" s="18" t="n">
        <v>0.06755541</v>
      </c>
      <c r="L40" s="20" t="n">
        <v>0.02639172</v>
      </c>
      <c r="M40" s="18" t="n">
        <v>0</v>
      </c>
      <c r="N40" s="20" t="n">
        <v>0</v>
      </c>
      <c r="O40" s="18" t="n">
        <v>0</v>
      </c>
      <c r="P40" s="20" t="n">
        <v>0</v>
      </c>
      <c r="Q40" s="18" t="n">
        <v>2.24756196</v>
      </c>
      <c r="R40" s="20" t="n">
        <v>0.36917545</v>
      </c>
    </row>
    <row r="41" spans="1:18">
      <c r="A41" s="15" t="s">
        <v>599</v>
      </c>
      <c r="B41" s="17" t="n">
        <v>5712</v>
      </c>
      <c r="C41" s="18">
        <f>(4413.0/B41*100)</f>
        <v/>
      </c>
      <c r="D41" s="19" t="n">
        <v>1299</v>
      </c>
      <c r="E41" s="18" t="n">
        <v>77.75890624</v>
      </c>
      <c r="F41" s="20" t="n">
        <v>1.19867015</v>
      </c>
      <c r="G41" s="18" t="n">
        <v>19.20428273</v>
      </c>
      <c r="H41" s="20" t="n">
        <v>1.14664766</v>
      </c>
      <c r="I41" s="18" t="n">
        <v>0</v>
      </c>
      <c r="J41" s="20" t="n">
        <v>0</v>
      </c>
      <c r="K41" s="18" t="n">
        <v>0.23785529</v>
      </c>
      <c r="L41" s="20" t="n">
        <v>0.13166125</v>
      </c>
      <c r="M41" s="18" t="n">
        <v>0</v>
      </c>
      <c r="N41" s="20" t="n">
        <v>0</v>
      </c>
      <c r="O41" s="18" t="n">
        <v>0</v>
      </c>
      <c r="P41" s="20" t="n">
        <v>0</v>
      </c>
      <c r="Q41" s="18" t="n">
        <v>2.79895573</v>
      </c>
      <c r="R41" s="20" t="n">
        <v>0.51365259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(18808.0/B46*100)</f>
        <v/>
      </c>
      <c r="D46" s="19" t="n">
        <v>4333</v>
      </c>
      <c r="E46" s="18" t="n">
        <v>83.90953055999999</v>
      </c>
      <c r="F46" s="20" t="n">
        <v>0.67941749</v>
      </c>
      <c r="G46" s="18" t="n">
        <v>9.112168280000001</v>
      </c>
      <c r="H46" s="20" t="n">
        <v>0.56425222</v>
      </c>
      <c r="I46" s="18" t="n">
        <v>0</v>
      </c>
      <c r="J46" s="20" t="n">
        <v>0</v>
      </c>
      <c r="K46" s="18" t="n">
        <v>0.75607207</v>
      </c>
      <c r="L46" s="20" t="n">
        <v>0.20296311</v>
      </c>
      <c r="M46" s="18" t="n">
        <v>0</v>
      </c>
      <c r="N46" s="20" t="n">
        <v>0</v>
      </c>
      <c r="O46" s="18" t="n">
        <v>0</v>
      </c>
      <c r="P46" s="20" t="n">
        <v>0</v>
      </c>
      <c r="Q46" s="18" t="n">
        <v>6.22222909</v>
      </c>
      <c r="R46" s="20" t="n">
        <v>0.51966826</v>
      </c>
    </row>
    <row r="47" spans="1:18">
      <c r="A47" s="15" t="s">
        <v>606</v>
      </c>
      <c r="B47" s="17" t="n">
        <v>5928</v>
      </c>
      <c r="C47" s="18">
        <f>(4668.0/B47*100)</f>
        <v/>
      </c>
      <c r="D47" s="19" t="n">
        <v>1260</v>
      </c>
      <c r="E47" s="18" t="n">
        <v>83.48389099000001</v>
      </c>
      <c r="F47" s="20" t="n">
        <v>0.9588876</v>
      </c>
      <c r="G47" s="18" t="n">
        <v>12.5946936</v>
      </c>
      <c r="H47" s="20" t="n">
        <v>0.9414314</v>
      </c>
      <c r="I47" s="18" t="n">
        <v>0</v>
      </c>
      <c r="J47" s="20" t="n">
        <v>0</v>
      </c>
      <c r="K47" s="18" t="n">
        <v>0.15349403</v>
      </c>
      <c r="L47" s="20" t="n">
        <v>0.10837176</v>
      </c>
      <c r="M47" s="18" t="n">
        <v>0</v>
      </c>
      <c r="N47" s="20" t="n">
        <v>0</v>
      </c>
      <c r="O47" s="18" t="n">
        <v>0</v>
      </c>
      <c r="P47" s="20" t="n">
        <v>0</v>
      </c>
      <c r="Q47" s="18" t="n">
        <v>3.76792139</v>
      </c>
      <c r="R47" s="20" t="n">
        <v>0.63304444</v>
      </c>
    </row>
    <row r="48" spans="1:18">
      <c r="A48" s="15" t="s">
        <v>607</v>
      </c>
      <c r="B48" s="17" t="n">
        <v>9841</v>
      </c>
      <c r="C48" s="18">
        <f>(7670.0/B48*100)</f>
        <v/>
      </c>
      <c r="D48" s="19" t="n">
        <v>2171</v>
      </c>
      <c r="E48" s="18" t="n">
        <v>68.90813652</v>
      </c>
      <c r="F48" s="20" t="n">
        <v>1.29378395</v>
      </c>
      <c r="G48" s="18" t="n">
        <v>29.19401002</v>
      </c>
      <c r="H48" s="20" t="n">
        <v>1.33596255</v>
      </c>
      <c r="I48" s="18" t="n">
        <v>0</v>
      </c>
      <c r="J48" s="20" t="n">
        <v>0</v>
      </c>
      <c r="K48" s="18" t="n">
        <v>0.5714221900000001</v>
      </c>
      <c r="L48" s="20" t="n">
        <v>0.22888001</v>
      </c>
      <c r="M48" s="18" t="n">
        <v>0</v>
      </c>
      <c r="N48" s="20" t="n">
        <v>0</v>
      </c>
      <c r="O48" s="18" t="n">
        <v>0</v>
      </c>
      <c r="P48" s="20" t="n">
        <v>0</v>
      </c>
      <c r="Q48" s="18" t="n">
        <v>1.32643127</v>
      </c>
      <c r="R48" s="20" t="n">
        <v>0.26928606</v>
      </c>
    </row>
    <row r="49" spans="1:18">
      <c r="A49" s="15" t="s">
        <v>608</v>
      </c>
      <c r="B49" s="17" t="n">
        <v>11795</v>
      </c>
      <c r="C49" s="18">
        <f>(9280.0/B49*100)</f>
        <v/>
      </c>
      <c r="D49" s="19" t="n">
        <v>2515</v>
      </c>
      <c r="E49" s="18" t="n">
        <v>82.73743267</v>
      </c>
      <c r="F49" s="20" t="n">
        <v>0.94182871</v>
      </c>
      <c r="G49" s="18" t="n">
        <v>14.48103856</v>
      </c>
      <c r="H49" s="20" t="n">
        <v>0.86148076</v>
      </c>
      <c r="I49" s="18" t="n">
        <v>0</v>
      </c>
      <c r="J49" s="20" t="n">
        <v>0</v>
      </c>
      <c r="K49" s="18" t="n">
        <v>1.45340303</v>
      </c>
      <c r="L49" s="20" t="n">
        <v>0.40060404</v>
      </c>
      <c r="M49" s="18" t="n">
        <v>0</v>
      </c>
      <c r="N49" s="20" t="n">
        <v>0</v>
      </c>
      <c r="O49" s="18" t="n">
        <v>0</v>
      </c>
      <c r="P49" s="20" t="n">
        <v>0</v>
      </c>
      <c r="Q49" s="18" t="n">
        <v>1.32812574</v>
      </c>
      <c r="R49" s="20" t="n">
        <v>0.26471639</v>
      </c>
    </row>
    <row r="50" spans="1:18">
      <c r="A50" s="15" t="s">
        <v>609</v>
      </c>
      <c r="B50" s="17" t="n">
        <v>6866</v>
      </c>
      <c r="C50" s="18">
        <f>(5518.0/B50*100)</f>
        <v/>
      </c>
      <c r="D50" s="19" t="n">
        <v>1348</v>
      </c>
      <c r="E50" s="18" t="n">
        <v>83.37123609</v>
      </c>
      <c r="F50" s="20" t="n">
        <v>0.9712634</v>
      </c>
      <c r="G50" s="18" t="n">
        <v>13.03338925</v>
      </c>
      <c r="H50" s="20" t="n">
        <v>0.97647955</v>
      </c>
      <c r="I50" s="18" t="n">
        <v>0</v>
      </c>
      <c r="J50" s="20" t="n">
        <v>0</v>
      </c>
      <c r="K50" s="18" t="n">
        <v>0.28963811</v>
      </c>
      <c r="L50" s="20" t="n">
        <v>0.14755408</v>
      </c>
      <c r="M50" s="18" t="n">
        <v>0</v>
      </c>
      <c r="N50" s="20" t="n">
        <v>0</v>
      </c>
      <c r="O50" s="18" t="n">
        <v>0</v>
      </c>
      <c r="P50" s="20" t="n">
        <v>0</v>
      </c>
      <c r="Q50" s="18" t="n">
        <v>3.30573654</v>
      </c>
      <c r="R50" s="20" t="n">
        <v>0.50060772</v>
      </c>
    </row>
    <row r="51" spans="1:18">
      <c r="A51" s="15" t="s">
        <v>610</v>
      </c>
      <c r="B51" s="17" t="n">
        <v>5809</v>
      </c>
      <c r="C51" s="18">
        <f>(4524.0/B51*100)</f>
        <v/>
      </c>
      <c r="D51" s="19" t="n">
        <v>1285</v>
      </c>
      <c r="E51" s="18" t="n">
        <v>72.34153041</v>
      </c>
      <c r="F51" s="20" t="n">
        <v>1.29321009</v>
      </c>
      <c r="G51" s="18" t="n">
        <v>24.64714214</v>
      </c>
      <c r="H51" s="20" t="n">
        <v>1.22724712</v>
      </c>
      <c r="I51" s="18" t="n">
        <v>0</v>
      </c>
      <c r="J51" s="20" t="n">
        <v>0</v>
      </c>
      <c r="K51" s="18" t="n">
        <v>0.07135941</v>
      </c>
      <c r="L51" s="20" t="n">
        <v>0.07108807</v>
      </c>
      <c r="M51" s="18" t="n">
        <v>0</v>
      </c>
      <c r="N51" s="20" t="n">
        <v>0</v>
      </c>
      <c r="O51" s="18" t="n">
        <v>0</v>
      </c>
      <c r="P51" s="20" t="n">
        <v>0</v>
      </c>
      <c r="Q51" s="18" t="n">
        <v>2.93996804</v>
      </c>
      <c r="R51" s="20" t="n">
        <v>0.4592243</v>
      </c>
    </row>
    <row r="52" spans="1:18">
      <c r="A52" s="15" t="s">
        <v>611</v>
      </c>
      <c r="B52" s="17" t="n">
        <v>5571</v>
      </c>
      <c r="C52" s="18">
        <f>(4332.0/B52*100)</f>
        <v/>
      </c>
      <c r="D52" s="19" t="n">
        <v>1239</v>
      </c>
      <c r="E52" s="18" t="n">
        <v>84.45495335</v>
      </c>
      <c r="F52" s="20" t="n">
        <v>1.15275026</v>
      </c>
      <c r="G52" s="18" t="n">
        <v>12.96415866</v>
      </c>
      <c r="H52" s="20" t="n">
        <v>1.04153351</v>
      </c>
      <c r="I52" s="18" t="n">
        <v>0</v>
      </c>
      <c r="J52" s="20" t="n">
        <v>0</v>
      </c>
      <c r="K52" s="18" t="n">
        <v>0.17633103</v>
      </c>
      <c r="L52" s="20" t="n">
        <v>0.1029684</v>
      </c>
      <c r="M52" s="18" t="n">
        <v>0</v>
      </c>
      <c r="N52" s="20" t="n">
        <v>0</v>
      </c>
      <c r="O52" s="18" t="n">
        <v>0</v>
      </c>
      <c r="P52" s="20" t="n">
        <v>0</v>
      </c>
      <c r="Q52" s="18" t="n">
        <v>2.40455696</v>
      </c>
      <c r="R52" s="20" t="n">
        <v>0.45241221</v>
      </c>
    </row>
    <row r="53" spans="1:18">
      <c r="A53" s="15" t="s">
        <v>612</v>
      </c>
      <c r="B53" s="17" t="n">
        <v>4740</v>
      </c>
      <c r="C53" s="18">
        <f>(3706.0/B53*100)</f>
        <v/>
      </c>
      <c r="D53" s="19" t="n">
        <v>1034</v>
      </c>
      <c r="E53" s="18" t="n">
        <v>74.88400878</v>
      </c>
      <c r="F53" s="20" t="n">
        <v>1.47246741</v>
      </c>
      <c r="G53" s="18" t="n">
        <v>10.33392484</v>
      </c>
      <c r="H53" s="20" t="n">
        <v>1.04087788</v>
      </c>
      <c r="I53" s="18" t="n">
        <v>0</v>
      </c>
      <c r="J53" s="20" t="n">
        <v>0</v>
      </c>
      <c r="K53" s="18" t="n">
        <v>10.25088701</v>
      </c>
      <c r="L53" s="20" t="n">
        <v>0.95984507</v>
      </c>
      <c r="M53" s="18" t="n">
        <v>0</v>
      </c>
      <c r="N53" s="20" t="n">
        <v>0</v>
      </c>
      <c r="O53" s="18" t="n">
        <v>0</v>
      </c>
      <c r="P53" s="20" t="n">
        <v>0</v>
      </c>
      <c r="Q53" s="18" t="n">
        <v>4.53117937</v>
      </c>
      <c r="R53" s="20" t="n">
        <v>0.65717071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(4120.0/B55*100)</f>
        <v/>
      </c>
      <c r="D55" s="19" t="n">
        <v>1239</v>
      </c>
      <c r="E55" s="18" t="n">
        <v>73.88950757000001</v>
      </c>
      <c r="F55" s="20" t="n">
        <v>1.27777116</v>
      </c>
      <c r="G55" s="18" t="n">
        <v>25.12817043</v>
      </c>
      <c r="H55" s="20" t="n">
        <v>1.27591158</v>
      </c>
      <c r="I55" s="18" t="n">
        <v>0</v>
      </c>
      <c r="J55" s="20" t="n">
        <v>0</v>
      </c>
      <c r="K55" s="18" t="n">
        <v>0.16004555</v>
      </c>
      <c r="L55" s="20" t="n">
        <v>0.11386499</v>
      </c>
      <c r="M55" s="18" t="n">
        <v>0</v>
      </c>
      <c r="N55" s="20" t="n">
        <v>0</v>
      </c>
      <c r="O55" s="18" t="n">
        <v>0</v>
      </c>
      <c r="P55" s="20" t="n">
        <v>0</v>
      </c>
      <c r="Q55" s="18" t="n">
        <v>0.82227645</v>
      </c>
      <c r="R55" s="20" t="n">
        <v>0.23636679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(5065.0/B61*100)</f>
        <v/>
      </c>
      <c r="D61" s="19" t="n">
        <v>1460</v>
      </c>
      <c r="E61" s="18" t="n">
        <v>84.24094153</v>
      </c>
      <c r="F61" s="20" t="n">
        <v>0.95872602</v>
      </c>
      <c r="G61" s="18" t="n">
        <v>13.97615442</v>
      </c>
      <c r="H61" s="20" t="n">
        <v>0.91373339</v>
      </c>
      <c r="I61" s="18" t="n">
        <v>0</v>
      </c>
      <c r="J61" s="20" t="n">
        <v>0</v>
      </c>
      <c r="K61" s="18" t="n">
        <v>0.1334961</v>
      </c>
      <c r="L61" s="20" t="n">
        <v>0.09095295</v>
      </c>
      <c r="M61" s="18" t="n">
        <v>0</v>
      </c>
      <c r="N61" s="20" t="n">
        <v>0</v>
      </c>
      <c r="O61" s="18" t="n">
        <v>0</v>
      </c>
      <c r="P61" s="20" t="n">
        <v>0</v>
      </c>
      <c r="Q61" s="18" t="n">
        <v>1.64940795</v>
      </c>
      <c r="R61" s="20" t="n">
        <v>0.36343947</v>
      </c>
    </row>
    <row r="62" spans="1:18">
      <c r="A62" s="15" t="s">
        <v>622</v>
      </c>
      <c r="B62" s="17" t="n">
        <v>4476</v>
      </c>
      <c r="C62" s="18">
        <f>(3469.0/B62*100)</f>
        <v/>
      </c>
      <c r="D62" s="19" t="n">
        <v>1007</v>
      </c>
      <c r="E62" s="18" t="n">
        <v>78.46469912000001</v>
      </c>
      <c r="F62" s="20" t="n">
        <v>1.29103778</v>
      </c>
      <c r="G62" s="18" t="n">
        <v>20.73208244</v>
      </c>
      <c r="H62" s="20" t="n">
        <v>1.25803883</v>
      </c>
      <c r="I62" s="18" t="n">
        <v>0</v>
      </c>
      <c r="J62" s="20" t="n">
        <v>0</v>
      </c>
      <c r="K62" s="18" t="n">
        <v>0</v>
      </c>
      <c r="L62" s="20" t="n">
        <v>0</v>
      </c>
      <c r="M62" s="18" t="n">
        <v>0</v>
      </c>
      <c r="N62" s="20" t="n">
        <v>0</v>
      </c>
      <c r="O62" s="18" t="n">
        <v>0</v>
      </c>
      <c r="P62" s="20" t="n">
        <v>0</v>
      </c>
      <c r="Q62" s="18" t="n">
        <v>0.80321844</v>
      </c>
      <c r="R62" s="20" t="n">
        <v>0.24494612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(4433.0/B67*100)</f>
        <v/>
      </c>
      <c r="D67" s="19" t="n">
        <v>1232</v>
      </c>
      <c r="E67" s="18" t="n">
        <v>77.3779615</v>
      </c>
      <c r="F67" s="20" t="n">
        <v>1.14832242</v>
      </c>
      <c r="G67" s="18" t="n">
        <v>15.28083774</v>
      </c>
      <c r="H67" s="20" t="n">
        <v>1.02073841</v>
      </c>
      <c r="I67" s="18" t="n">
        <v>0</v>
      </c>
      <c r="J67" s="20" t="n">
        <v>0</v>
      </c>
      <c r="K67" s="18" t="n">
        <v>0.26416624</v>
      </c>
      <c r="L67" s="20" t="n">
        <v>0.15594362</v>
      </c>
      <c r="M67" s="18" t="n">
        <v>0</v>
      </c>
      <c r="N67" s="20" t="n">
        <v>0</v>
      </c>
      <c r="O67" s="18" t="n">
        <v>0</v>
      </c>
      <c r="P67" s="20" t="n">
        <v>0</v>
      </c>
      <c r="Q67" s="18" t="n">
        <v>7.07703453</v>
      </c>
      <c r="R67" s="20" t="n">
        <v>0.73914432</v>
      </c>
    </row>
    <row r="68" spans="1:18">
      <c r="A68" s="15" t="s">
        <v>628</v>
      </c>
      <c r="B68" s="17" t="n">
        <v>6971</v>
      </c>
      <c r="C68" s="18">
        <f>(5582.0/B68*100)</f>
        <v/>
      </c>
      <c r="D68" s="19" t="n">
        <v>1389</v>
      </c>
      <c r="E68" s="18" t="n">
        <v>82.95351745000001</v>
      </c>
      <c r="F68" s="20" t="n">
        <v>1.15072566</v>
      </c>
      <c r="G68" s="18" t="n">
        <v>13.83367913</v>
      </c>
      <c r="H68" s="20" t="n">
        <v>1.06375345</v>
      </c>
      <c r="I68" s="18" t="n">
        <v>0</v>
      </c>
      <c r="J68" s="20" t="n">
        <v>0</v>
      </c>
      <c r="K68" s="18" t="n">
        <v>0.06747092</v>
      </c>
      <c r="L68" s="20" t="n">
        <v>0.06574811</v>
      </c>
      <c r="M68" s="18" t="n">
        <v>0</v>
      </c>
      <c r="N68" s="20" t="n">
        <v>0</v>
      </c>
      <c r="O68" s="18" t="n">
        <v>0</v>
      </c>
      <c r="P68" s="20" t="n">
        <v>0</v>
      </c>
      <c r="Q68" s="18" t="n">
        <v>3.14533251</v>
      </c>
      <c r="R68" s="20" t="n">
        <v>0.52103035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(9373.0/B70*100)</f>
        <v/>
      </c>
      <c r="D70" s="19" t="n">
        <v>2710</v>
      </c>
      <c r="E70" s="18" t="n">
        <v>84.99730694</v>
      </c>
      <c r="F70" s="20" t="n">
        <v>0.75315423</v>
      </c>
      <c r="G70" s="18" t="n">
        <v>9.86419553</v>
      </c>
      <c r="H70" s="20" t="n">
        <v>0.66125319</v>
      </c>
      <c r="I70" s="18" t="n">
        <v>0</v>
      </c>
      <c r="J70" s="20" t="n">
        <v>0</v>
      </c>
      <c r="K70" s="18" t="n">
        <v>1.61992825</v>
      </c>
      <c r="L70" s="20" t="n">
        <v>0.22481916</v>
      </c>
      <c r="M70" s="18" t="n">
        <v>0</v>
      </c>
      <c r="N70" s="20" t="n">
        <v>0</v>
      </c>
      <c r="O70" s="18" t="n">
        <v>0</v>
      </c>
      <c r="P70" s="20" t="n">
        <v>0</v>
      </c>
      <c r="Q70" s="18" t="n">
        <v>3.51856927</v>
      </c>
      <c r="R70" s="20" t="n">
        <v>0.38481029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(4798.0/B72*100)</f>
        <v/>
      </c>
      <c r="D72" s="19" t="n">
        <v>1238</v>
      </c>
      <c r="E72" s="18" t="n">
        <v>85.70371362</v>
      </c>
      <c r="F72" s="20" t="n">
        <v>1.12884932</v>
      </c>
      <c r="G72" s="18" t="n">
        <v>11.10347784</v>
      </c>
      <c r="H72" s="20" t="n">
        <v>0.8910956799999999</v>
      </c>
      <c r="I72" s="18" t="n">
        <v>0</v>
      </c>
      <c r="J72" s="20" t="n">
        <v>0</v>
      </c>
      <c r="K72" s="18" t="n">
        <v>0.26116732</v>
      </c>
      <c r="L72" s="20" t="n">
        <v>0.12018062</v>
      </c>
      <c r="M72" s="18" t="n">
        <v>0</v>
      </c>
      <c r="N72" s="20" t="n">
        <v>0</v>
      </c>
      <c r="O72" s="18" t="n">
        <v>0</v>
      </c>
      <c r="P72" s="20" t="n">
        <v>0</v>
      </c>
      <c r="Q72" s="18" t="n">
        <v>2.93164122</v>
      </c>
      <c r="R72" s="20" t="n">
        <v>0.56380245</v>
      </c>
    </row>
    <row r="73" spans="1:18">
      <c r="A73" s="15" t="s">
        <v>633</v>
      </c>
      <c r="B73" s="17" t="n">
        <v>6115</v>
      </c>
      <c r="C73" s="18">
        <f>(4778.0/B73*100)</f>
        <v/>
      </c>
      <c r="D73" s="19" t="n">
        <v>1337</v>
      </c>
      <c r="E73" s="18" t="n">
        <v>75.73841763</v>
      </c>
      <c r="F73" s="20" t="n">
        <v>1.04779716</v>
      </c>
      <c r="G73" s="18" t="n">
        <v>22.72695763</v>
      </c>
      <c r="H73" s="20" t="n">
        <v>1.06122179</v>
      </c>
      <c r="I73" s="18" t="n">
        <v>0</v>
      </c>
      <c r="J73" s="20" t="n">
        <v>0</v>
      </c>
      <c r="K73" s="18" t="n">
        <v>0.16023102</v>
      </c>
      <c r="L73" s="20" t="n">
        <v>0.11324693</v>
      </c>
      <c r="M73" s="18" t="n">
        <v>0</v>
      </c>
      <c r="N73" s="20" t="n">
        <v>0</v>
      </c>
      <c r="O73" s="18" t="n">
        <v>0</v>
      </c>
      <c r="P73" s="20" t="n">
        <v>0</v>
      </c>
      <c r="Q73" s="18" t="n">
        <v>1.37439372</v>
      </c>
      <c r="R73" s="20" t="n">
        <v>0.34562878</v>
      </c>
    </row>
    <row r="74" spans="1:18">
      <c r="A74" s="15" t="s">
        <v>634</v>
      </c>
      <c r="B74" s="17" t="n">
        <v>7708</v>
      </c>
      <c r="C74" s="18">
        <f>(5966.0/B74*100)</f>
        <v/>
      </c>
      <c r="D74" s="19" t="n">
        <v>1742</v>
      </c>
      <c r="E74" s="18" t="n">
        <v>67.91504541</v>
      </c>
      <c r="F74" s="20" t="n">
        <v>1.30449111</v>
      </c>
      <c r="G74" s="18" t="n">
        <v>31.00658231</v>
      </c>
      <c r="H74" s="20" t="n">
        <v>1.32173255</v>
      </c>
      <c r="I74" s="18" t="n">
        <v>0</v>
      </c>
      <c r="J74" s="20" t="n">
        <v>0</v>
      </c>
      <c r="K74" s="18" t="n">
        <v>0</v>
      </c>
      <c r="L74" s="20" t="n">
        <v>0</v>
      </c>
      <c r="M74" s="18" t="n">
        <v>0</v>
      </c>
      <c r="N74" s="20" t="n">
        <v>0</v>
      </c>
      <c r="O74" s="18" t="n">
        <v>0</v>
      </c>
      <c r="P74" s="20" t="n">
        <v>0</v>
      </c>
      <c r="Q74" s="18" t="n">
        <v>1.07837228</v>
      </c>
      <c r="R74" s="20" t="n">
        <v>0.2567743</v>
      </c>
    </row>
    <row r="75" spans="1:18">
      <c r="A75" s="15" t="s">
        <v>635</v>
      </c>
      <c r="B75" s="17" t="n">
        <v>8249</v>
      </c>
      <c r="C75" s="18">
        <f>(6497.0/B75*100)</f>
        <v/>
      </c>
      <c r="D75" s="19" t="n">
        <v>1752</v>
      </c>
      <c r="E75" s="18" t="n">
        <v>79.58831259999999</v>
      </c>
      <c r="F75" s="20" t="n">
        <v>1.31302471</v>
      </c>
      <c r="G75" s="18" t="n">
        <v>16.54245491</v>
      </c>
      <c r="H75" s="20" t="n">
        <v>1.20991354</v>
      </c>
      <c r="I75" s="18" t="n">
        <v>0</v>
      </c>
      <c r="J75" s="20" t="n">
        <v>0</v>
      </c>
      <c r="K75" s="18" t="n">
        <v>0</v>
      </c>
      <c r="L75" s="20" t="n">
        <v>0</v>
      </c>
      <c r="M75" s="18" t="n">
        <v>0</v>
      </c>
      <c r="N75" s="20" t="n">
        <v>0</v>
      </c>
      <c r="O75" s="18" t="n">
        <v>0</v>
      </c>
      <c r="P75" s="20" t="n">
        <v>0</v>
      </c>
      <c r="Q75" s="18" t="n">
        <v>3.86923249</v>
      </c>
      <c r="R75" s="20" t="n">
        <v>0.58118414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(4323.0/B77*100)</f>
        <v/>
      </c>
      <c r="D77" s="19" t="n">
        <v>1052</v>
      </c>
      <c r="E77" s="18" t="n">
        <v>79.5681702</v>
      </c>
      <c r="F77" s="20" t="n">
        <v>1.40587468</v>
      </c>
      <c r="G77" s="18" t="n">
        <v>15.13331749</v>
      </c>
      <c r="H77" s="20" t="n">
        <v>1.11635319</v>
      </c>
      <c r="I77" s="18" t="n">
        <v>0</v>
      </c>
      <c r="J77" s="20" t="n">
        <v>0</v>
      </c>
      <c r="K77" s="18" t="n">
        <v>2.28821499</v>
      </c>
      <c r="L77" s="20" t="n">
        <v>0.58987038</v>
      </c>
      <c r="M77" s="18" t="n">
        <v>0</v>
      </c>
      <c r="N77" s="20" t="n">
        <v>0</v>
      </c>
      <c r="O77" s="18" t="n">
        <v>0</v>
      </c>
      <c r="P77" s="20" t="n">
        <v>0</v>
      </c>
      <c r="Q77" s="18" t="n">
        <v>3.01029732</v>
      </c>
      <c r="R77" s="20" t="n">
        <v>0.57668877</v>
      </c>
    </row>
    <row r="78" spans="1:18">
      <c r="A78" s="15" t="s">
        <v>638</v>
      </c>
      <c r="B78" s="17" t="n">
        <v>14167</v>
      </c>
      <c r="C78" s="18">
        <f>(11109.0/B78*100)</f>
        <v/>
      </c>
      <c r="D78" s="19" t="n">
        <v>3058</v>
      </c>
      <c r="E78" s="18" t="n">
        <v>84.79629103000001</v>
      </c>
      <c r="F78" s="20" t="n">
        <v>0.7729084000000001</v>
      </c>
      <c r="G78" s="18" t="n">
        <v>10.5574258</v>
      </c>
      <c r="H78" s="20" t="n">
        <v>0.57701218</v>
      </c>
      <c r="I78" s="18" t="n">
        <v>0</v>
      </c>
      <c r="J78" s="20" t="n">
        <v>0</v>
      </c>
      <c r="K78" s="18" t="n">
        <v>0.73765647</v>
      </c>
      <c r="L78" s="20" t="n">
        <v>0.18160959</v>
      </c>
      <c r="M78" s="18" t="n">
        <v>0</v>
      </c>
      <c r="N78" s="20" t="n">
        <v>0</v>
      </c>
      <c r="O78" s="18" t="n">
        <v>0</v>
      </c>
      <c r="P78" s="20" t="n">
        <v>0</v>
      </c>
      <c r="Q78" s="18" t="n">
        <v>3.9086267</v>
      </c>
      <c r="R78" s="20" t="n">
        <v>0.50650321</v>
      </c>
    </row>
    <row r="79" spans="1:18">
      <c r="A79" s="15" t="s">
        <v>639</v>
      </c>
      <c r="B79" s="17" t="n">
        <v>6062</v>
      </c>
      <c r="C79" s="18">
        <f>(4753.0/B79*100)</f>
        <v/>
      </c>
      <c r="D79" s="19" t="n">
        <v>1309</v>
      </c>
      <c r="E79" s="18" t="n">
        <v>81.19323891000001</v>
      </c>
      <c r="F79" s="20" t="n">
        <v>1.25110196</v>
      </c>
      <c r="G79" s="18" t="n">
        <v>14.38585999</v>
      </c>
      <c r="H79" s="20" t="n">
        <v>1.23780408</v>
      </c>
      <c r="I79" s="18" t="n">
        <v>0</v>
      </c>
      <c r="J79" s="20" t="n">
        <v>0</v>
      </c>
      <c r="K79" s="18" t="n">
        <v>0.70859522</v>
      </c>
      <c r="L79" s="20" t="n">
        <v>0.24571153</v>
      </c>
      <c r="M79" s="18" t="n">
        <v>0</v>
      </c>
      <c r="N79" s="20" t="n">
        <v>0</v>
      </c>
      <c r="O79" s="18" t="n">
        <v>0</v>
      </c>
      <c r="P79" s="20" t="n">
        <v>0</v>
      </c>
      <c r="Q79" s="18" t="n">
        <v>3.71230588</v>
      </c>
      <c r="R79" s="20" t="n">
        <v>0.4649327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(25185.0/B82*100)</f>
        <v/>
      </c>
      <c r="D82" s="19" t="n">
        <v>7145</v>
      </c>
      <c r="E82" s="18" t="n">
        <v>80.77792316999999</v>
      </c>
      <c r="F82" s="20" t="n">
        <v>0.66648123</v>
      </c>
      <c r="G82" s="18" t="n">
        <v>17.0540229</v>
      </c>
      <c r="H82" s="20" t="n">
        <v>0.63346055</v>
      </c>
      <c r="I82" s="18" t="n">
        <v>0</v>
      </c>
      <c r="J82" s="20" t="n">
        <v>0</v>
      </c>
      <c r="K82" s="18" t="n">
        <v>0.17588556</v>
      </c>
      <c r="L82" s="20" t="n">
        <v>0.09402135</v>
      </c>
      <c r="M82" s="18" t="n">
        <v>0</v>
      </c>
      <c r="N82" s="20" t="n">
        <v>0</v>
      </c>
      <c r="O82" s="18" t="n">
        <v>0</v>
      </c>
      <c r="P82" s="20" t="n">
        <v>0</v>
      </c>
      <c r="Q82" s="18" t="n">
        <v>1.99216837</v>
      </c>
      <c r="R82" s="20" t="n">
        <v>0.20386324</v>
      </c>
    </row>
    <row r="83" spans="1:18">
      <c r="A83" s="15" t="s">
        <v>643</v>
      </c>
      <c r="B83" s="17" t="n">
        <v>1652</v>
      </c>
      <c r="C83" s="18">
        <f>(1288.0/B83*100)</f>
        <v/>
      </c>
      <c r="D83" s="19" t="n">
        <v>364</v>
      </c>
      <c r="E83" s="18" t="n">
        <v>76.06789984</v>
      </c>
      <c r="F83" s="20" t="n">
        <v>2.92309076</v>
      </c>
      <c r="G83" s="18" t="n">
        <v>22.43647166</v>
      </c>
      <c r="H83" s="20" t="n">
        <v>3.00793276</v>
      </c>
      <c r="I83" s="18" t="n">
        <v>0</v>
      </c>
      <c r="J83" s="20" t="n">
        <v>0</v>
      </c>
      <c r="K83" s="18" t="n">
        <v>0.31214366</v>
      </c>
      <c r="L83" s="20" t="n">
        <v>0.32672076</v>
      </c>
      <c r="M83" s="18" t="n">
        <v>0</v>
      </c>
      <c r="N83" s="20" t="n">
        <v>0</v>
      </c>
      <c r="O83" s="18" t="n">
        <v>0</v>
      </c>
      <c r="P83" s="20" t="n">
        <v>0</v>
      </c>
      <c r="Q83" s="18" t="n">
        <v>1.18348485</v>
      </c>
      <c r="R83" s="20" t="n">
        <v>0.58678617</v>
      </c>
    </row>
    <row r="84" spans="1:18">
      <c r="A84" s="23" t="s">
        <v>644</v>
      </c>
      <c r="B84" s="24" t="n">
        <v>1887</v>
      </c>
      <c r="C84" s="25">
        <f>(1494.0/B84*100)</f>
        <v/>
      </c>
      <c r="D84" s="19" t="n">
        <v>393</v>
      </c>
      <c r="E84" s="18" t="n">
        <v>76.98528127</v>
      </c>
      <c r="F84" s="20" t="n">
        <v>2.34206987</v>
      </c>
      <c r="G84" s="18" t="n">
        <v>20.58080835</v>
      </c>
      <c r="H84" s="20" t="n">
        <v>2.30194044</v>
      </c>
      <c r="I84" s="18" t="n">
        <v>0</v>
      </c>
      <c r="J84" s="20" t="n">
        <v>0</v>
      </c>
      <c r="K84" s="18" t="n">
        <v>0</v>
      </c>
      <c r="L84" s="20" t="n">
        <v>0</v>
      </c>
      <c r="M84" s="18" t="n">
        <v>0</v>
      </c>
      <c r="N84" s="20" t="n">
        <v>0</v>
      </c>
      <c r="O84" s="18" t="n">
        <v>0</v>
      </c>
      <c r="P84" s="20" t="n">
        <v>0</v>
      </c>
      <c r="Q84" s="18" t="n">
        <v>2.43391038</v>
      </c>
      <c r="R84" s="20" t="n">
        <v>0.88810475</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(11334.0/B7*100)</f>
        <v/>
      </c>
      <c r="D7" s="19" t="n">
        <v>3196</v>
      </c>
      <c r="E7" s="18" t="n">
        <v>50.29498065</v>
      </c>
      <c r="F7" s="20" t="n">
        <v>1.06514544</v>
      </c>
      <c r="G7" s="18" t="n">
        <v>48.58394006</v>
      </c>
      <c r="H7" s="20" t="n">
        <v>1.13892096</v>
      </c>
      <c r="I7" s="18" t="n">
        <v>0</v>
      </c>
      <c r="J7" s="20" t="n">
        <v>0</v>
      </c>
      <c r="K7" s="18" t="n">
        <v>0.22140533</v>
      </c>
      <c r="L7" s="20" t="n">
        <v>0.10517307</v>
      </c>
      <c r="M7" s="18" t="n">
        <v>0</v>
      </c>
      <c r="N7" s="20" t="n">
        <v>0</v>
      </c>
      <c r="O7" s="18" t="n">
        <v>0</v>
      </c>
      <c r="P7" s="20" t="n">
        <v>0</v>
      </c>
      <c r="Q7" s="18" t="n">
        <v>0.89967396</v>
      </c>
      <c r="R7" s="20" t="n">
        <v>0.1985955</v>
      </c>
    </row>
    <row r="8" spans="1:18">
      <c r="A8" s="15" t="s">
        <v>566</v>
      </c>
      <c r="B8" s="17" t="n">
        <v>7007</v>
      </c>
      <c r="C8" s="18">
        <f>(5497.0/B8*100)</f>
        <v/>
      </c>
      <c r="D8" s="19" t="n">
        <v>1510</v>
      </c>
      <c r="E8" s="18" t="n">
        <v>49.92138222</v>
      </c>
      <c r="F8" s="20" t="n">
        <v>1.6870936</v>
      </c>
      <c r="G8" s="18" t="n">
        <v>48.61610748</v>
      </c>
      <c r="H8" s="20" t="n">
        <v>1.66337858</v>
      </c>
      <c r="I8" s="18" t="n">
        <v>0</v>
      </c>
      <c r="J8" s="20" t="n">
        <v>0</v>
      </c>
      <c r="K8" s="18" t="n">
        <v>0.07745038</v>
      </c>
      <c r="L8" s="20" t="n">
        <v>0.07539265000000001</v>
      </c>
      <c r="M8" s="18" t="n">
        <v>0</v>
      </c>
      <c r="N8" s="20" t="n">
        <v>0</v>
      </c>
      <c r="O8" s="18" t="n">
        <v>0</v>
      </c>
      <c r="P8" s="20" t="n">
        <v>0</v>
      </c>
      <c r="Q8" s="18" t="n">
        <v>1.38505991</v>
      </c>
      <c r="R8" s="20" t="n">
        <v>0.33233883</v>
      </c>
    </row>
    <row r="9" spans="1:18">
      <c r="A9" s="15" t="s">
        <v>567</v>
      </c>
      <c r="B9" s="17" t="n">
        <v>9651</v>
      </c>
      <c r="C9" s="18">
        <f>(7587.0/B9*100)</f>
        <v/>
      </c>
      <c r="D9" s="19" t="n">
        <v>2064</v>
      </c>
      <c r="E9" s="18" t="n">
        <v>53.8653106</v>
      </c>
      <c r="F9" s="20" t="n">
        <v>1.27567289</v>
      </c>
      <c r="G9" s="18" t="n">
        <v>44.73216734</v>
      </c>
      <c r="H9" s="20" t="n">
        <v>1.29261247</v>
      </c>
      <c r="I9" s="18" t="n">
        <v>0</v>
      </c>
      <c r="J9" s="20" t="n">
        <v>0</v>
      </c>
      <c r="K9" s="18" t="n">
        <v>0.26445989</v>
      </c>
      <c r="L9" s="20" t="n">
        <v>0.12338035</v>
      </c>
      <c r="M9" s="18" t="n">
        <v>0</v>
      </c>
      <c r="N9" s="20" t="n">
        <v>0</v>
      </c>
      <c r="O9" s="18" t="n">
        <v>0</v>
      </c>
      <c r="P9" s="20" t="n">
        <v>0</v>
      </c>
      <c r="Q9" s="18" t="n">
        <v>1.13806217</v>
      </c>
      <c r="R9" s="20" t="n">
        <v>0.23076886</v>
      </c>
    </row>
    <row r="10" spans="1:18">
      <c r="A10" s="15" t="s">
        <v>568</v>
      </c>
      <c r="B10" s="17" t="n">
        <v>20058</v>
      </c>
      <c r="C10" s="18">
        <f>(15642.0/B10*100)</f>
        <v/>
      </c>
      <c r="D10" s="19" t="n">
        <v>4416</v>
      </c>
      <c r="E10" s="18" t="n">
        <v>46.32838575</v>
      </c>
      <c r="F10" s="20" t="n">
        <v>0.99566683</v>
      </c>
      <c r="G10" s="18" t="n">
        <v>52.58272961</v>
      </c>
      <c r="H10" s="20" t="n">
        <v>1.0270161</v>
      </c>
      <c r="I10" s="18" t="n">
        <v>0</v>
      </c>
      <c r="J10" s="20" t="n">
        <v>0</v>
      </c>
      <c r="K10" s="18" t="n">
        <v>0.35237457</v>
      </c>
      <c r="L10" s="20" t="n">
        <v>0.14005421</v>
      </c>
      <c r="M10" s="18" t="n">
        <v>0</v>
      </c>
      <c r="N10" s="20" t="n">
        <v>0</v>
      </c>
      <c r="O10" s="18" t="n">
        <v>0</v>
      </c>
      <c r="P10" s="20" t="n">
        <v>0</v>
      </c>
      <c r="Q10" s="18" t="n">
        <v>0.73651006</v>
      </c>
      <c r="R10" s="20" t="n">
        <v>0.16669304</v>
      </c>
    </row>
    <row r="11" spans="1:18">
      <c r="A11" s="15" t="s">
        <v>569</v>
      </c>
      <c r="B11" s="17" t="n">
        <v>7053</v>
      </c>
      <c r="C11" s="18">
        <f>(5565.0/B11*100)</f>
        <v/>
      </c>
      <c r="D11" s="19" t="n">
        <v>1488</v>
      </c>
      <c r="E11" s="18" t="n">
        <v>60.23311185</v>
      </c>
      <c r="F11" s="20" t="n">
        <v>1.405491</v>
      </c>
      <c r="G11" s="18" t="n">
        <v>36.98338519</v>
      </c>
      <c r="H11" s="20" t="n">
        <v>1.44060608</v>
      </c>
      <c r="I11" s="18" t="n">
        <v>0</v>
      </c>
      <c r="J11" s="20" t="n">
        <v>0</v>
      </c>
      <c r="K11" s="18" t="n">
        <v>0.92642449</v>
      </c>
      <c r="L11" s="20" t="n">
        <v>0.29607965</v>
      </c>
      <c r="M11" s="18" t="n">
        <v>0</v>
      </c>
      <c r="N11" s="20" t="n">
        <v>0</v>
      </c>
      <c r="O11" s="18" t="n">
        <v>0</v>
      </c>
      <c r="P11" s="20" t="n">
        <v>0</v>
      </c>
      <c r="Q11" s="18" t="n">
        <v>1.85707847</v>
      </c>
      <c r="R11" s="20" t="n">
        <v>0.53944894</v>
      </c>
    </row>
    <row r="12" spans="1:18">
      <c r="A12" s="15" t="s">
        <v>570</v>
      </c>
      <c r="B12" s="17" t="n">
        <v>6894</v>
      </c>
      <c r="C12" s="18">
        <f>(5375.0/B12*100)</f>
        <v/>
      </c>
      <c r="D12" s="19" t="n">
        <v>1519</v>
      </c>
      <c r="E12" s="18" t="n">
        <v>60.04350902</v>
      </c>
      <c r="F12" s="20" t="n">
        <v>1.36357176</v>
      </c>
      <c r="G12" s="18" t="n">
        <v>39.17652333</v>
      </c>
      <c r="H12" s="20" t="n">
        <v>1.32733636</v>
      </c>
      <c r="I12" s="18" t="n">
        <v>0</v>
      </c>
      <c r="J12" s="20" t="n">
        <v>0</v>
      </c>
      <c r="K12" s="18" t="n">
        <v>0.268755</v>
      </c>
      <c r="L12" s="20" t="n">
        <v>0.16973329</v>
      </c>
      <c r="M12" s="18" t="n">
        <v>0</v>
      </c>
      <c r="N12" s="20" t="n">
        <v>0</v>
      </c>
      <c r="O12" s="18" t="n">
        <v>0</v>
      </c>
      <c r="P12" s="20" t="n">
        <v>0</v>
      </c>
      <c r="Q12" s="18" t="n">
        <v>0.51121265</v>
      </c>
      <c r="R12" s="20" t="n">
        <v>0.18755872</v>
      </c>
    </row>
    <row r="13" spans="1:18">
      <c r="A13" s="15" t="s">
        <v>571</v>
      </c>
      <c r="B13" s="17" t="n">
        <v>7161</v>
      </c>
      <c r="C13" s="18">
        <f>(5626.0/B13*100)</f>
        <v/>
      </c>
      <c r="D13" s="19" t="n">
        <v>1535</v>
      </c>
      <c r="E13" s="18" t="n">
        <v>57.77401498</v>
      </c>
      <c r="F13" s="20" t="n">
        <v>1.53693426</v>
      </c>
      <c r="G13" s="18" t="n">
        <v>41.6293963</v>
      </c>
      <c r="H13" s="20" t="n">
        <v>1.49344369</v>
      </c>
      <c r="I13" s="18" t="n">
        <v>0</v>
      </c>
      <c r="J13" s="20" t="n">
        <v>0</v>
      </c>
      <c r="K13" s="18" t="n">
        <v>0.10312845</v>
      </c>
      <c r="L13" s="20" t="n">
        <v>0.05421617</v>
      </c>
      <c r="M13" s="18" t="n">
        <v>0</v>
      </c>
      <c r="N13" s="20" t="n">
        <v>0</v>
      </c>
      <c r="O13" s="18" t="n">
        <v>0</v>
      </c>
      <c r="P13" s="20" t="n">
        <v>0</v>
      </c>
      <c r="Q13" s="18" t="n">
        <v>0.49346028</v>
      </c>
      <c r="R13" s="20" t="n">
        <v>0.15968857</v>
      </c>
    </row>
    <row r="14" spans="1:18">
      <c r="A14" s="15" t="s">
        <v>572</v>
      </c>
      <c r="B14" s="17" t="n">
        <v>5587</v>
      </c>
      <c r="C14" s="18">
        <f>(4398.0/B14*100)</f>
        <v/>
      </c>
      <c r="D14" s="19" t="n">
        <v>1189</v>
      </c>
      <c r="E14" s="18" t="n">
        <v>47.82494607</v>
      </c>
      <c r="F14" s="20" t="n">
        <v>1.69551431</v>
      </c>
      <c r="G14" s="18" t="n">
        <v>51.39462597</v>
      </c>
      <c r="H14" s="20" t="n">
        <v>1.69474871</v>
      </c>
      <c r="I14" s="18" t="n">
        <v>0</v>
      </c>
      <c r="J14" s="20" t="n">
        <v>0</v>
      </c>
      <c r="K14" s="18" t="n">
        <v>0.32622185</v>
      </c>
      <c r="L14" s="20" t="n">
        <v>0.10530652</v>
      </c>
      <c r="M14" s="18" t="n">
        <v>0</v>
      </c>
      <c r="N14" s="20" t="n">
        <v>0</v>
      </c>
      <c r="O14" s="18" t="n">
        <v>0</v>
      </c>
      <c r="P14" s="20" t="n">
        <v>0</v>
      </c>
      <c r="Q14" s="18" t="n">
        <v>0.45420611</v>
      </c>
      <c r="R14" s="20" t="n">
        <v>0.2362179</v>
      </c>
    </row>
    <row r="15" spans="1:18">
      <c r="A15" s="15" t="s">
        <v>573</v>
      </c>
      <c r="B15" s="17" t="n">
        <v>5882</v>
      </c>
      <c r="C15" s="18">
        <f>(4623.0/B15*100)</f>
        <v/>
      </c>
      <c r="D15" s="19" t="n">
        <v>1259</v>
      </c>
      <c r="E15" s="18" t="n">
        <v>52.74975214</v>
      </c>
      <c r="F15" s="20" t="n">
        <v>1.43854513</v>
      </c>
      <c r="G15" s="18" t="n">
        <v>46.64918611</v>
      </c>
      <c r="H15" s="20" t="n">
        <v>1.49035629</v>
      </c>
      <c r="I15" s="18" t="n">
        <v>0</v>
      </c>
      <c r="J15" s="20" t="n">
        <v>0</v>
      </c>
      <c r="K15" s="18" t="n">
        <v>0.0953682</v>
      </c>
      <c r="L15" s="20" t="n">
        <v>0.10149325</v>
      </c>
      <c r="M15" s="18" t="n">
        <v>0</v>
      </c>
      <c r="N15" s="20" t="n">
        <v>0</v>
      </c>
      <c r="O15" s="18" t="n">
        <v>0</v>
      </c>
      <c r="P15" s="20" t="n">
        <v>0</v>
      </c>
      <c r="Q15" s="18" t="n">
        <v>0.50569355</v>
      </c>
      <c r="R15" s="20" t="n">
        <v>0.21626029</v>
      </c>
    </row>
    <row r="16" spans="1:18">
      <c r="A16" s="15" t="s">
        <v>574</v>
      </c>
      <c r="B16" s="17" t="n">
        <v>6108</v>
      </c>
      <c r="C16" s="18">
        <f>(4810.0/B16*100)</f>
        <v/>
      </c>
      <c r="D16" s="19" t="n">
        <v>1298</v>
      </c>
      <c r="E16" s="18" t="n">
        <v>42.19336747</v>
      </c>
      <c r="F16" s="20" t="n">
        <v>1.3616661</v>
      </c>
      <c r="G16" s="18" t="n">
        <v>55.7167687</v>
      </c>
      <c r="H16" s="20" t="n">
        <v>1.3303026</v>
      </c>
      <c r="I16" s="18" t="n">
        <v>0</v>
      </c>
      <c r="J16" s="20" t="n">
        <v>0</v>
      </c>
      <c r="K16" s="18" t="n">
        <v>0.49640319</v>
      </c>
      <c r="L16" s="20" t="n">
        <v>0.17904926</v>
      </c>
      <c r="M16" s="18" t="n">
        <v>0</v>
      </c>
      <c r="N16" s="20" t="n">
        <v>0</v>
      </c>
      <c r="O16" s="18" t="n">
        <v>0</v>
      </c>
      <c r="P16" s="20" t="n">
        <v>0</v>
      </c>
      <c r="Q16" s="18" t="n">
        <v>1.59346064</v>
      </c>
      <c r="R16" s="20" t="n">
        <v>0.34095837</v>
      </c>
    </row>
    <row r="17" spans="1:18">
      <c r="A17" s="15" t="s">
        <v>575</v>
      </c>
      <c r="B17" s="17" t="n">
        <v>6504</v>
      </c>
      <c r="C17" s="18">
        <f>(5059.0/B17*100)</f>
        <v/>
      </c>
      <c r="D17" s="19" t="n">
        <v>1445</v>
      </c>
      <c r="E17" s="18" t="n">
        <v>47.63223759</v>
      </c>
      <c r="F17" s="20" t="n">
        <v>1.49787385</v>
      </c>
      <c r="G17" s="18" t="n">
        <v>51.14829704</v>
      </c>
      <c r="H17" s="20" t="n">
        <v>1.54118182</v>
      </c>
      <c r="I17" s="18" t="n">
        <v>0</v>
      </c>
      <c r="J17" s="20" t="n">
        <v>0</v>
      </c>
      <c r="K17" s="18" t="n">
        <v>0.21432686</v>
      </c>
      <c r="L17" s="20" t="n">
        <v>0.10442691</v>
      </c>
      <c r="M17" s="18" t="n">
        <v>0</v>
      </c>
      <c r="N17" s="20" t="n">
        <v>0</v>
      </c>
      <c r="O17" s="18" t="n">
        <v>0</v>
      </c>
      <c r="P17" s="20" t="n">
        <v>0</v>
      </c>
      <c r="Q17" s="18" t="n">
        <v>1.00513851</v>
      </c>
      <c r="R17" s="20" t="n">
        <v>0.28841767</v>
      </c>
    </row>
    <row r="18" spans="1:18">
      <c r="A18" s="15" t="s">
        <v>576</v>
      </c>
      <c r="B18" s="17" t="n">
        <v>5532</v>
      </c>
      <c r="C18" s="18">
        <f>(4323.0/B18*100)</f>
        <v/>
      </c>
      <c r="D18" s="19" t="n">
        <v>1209</v>
      </c>
      <c r="E18" s="18" t="n">
        <v>64.36203860000001</v>
      </c>
      <c r="F18" s="20" t="n">
        <v>1.50277066</v>
      </c>
      <c r="G18" s="18" t="n">
        <v>33.63902705</v>
      </c>
      <c r="H18" s="20" t="n">
        <v>1.59904988</v>
      </c>
      <c r="I18" s="18" t="n">
        <v>0</v>
      </c>
      <c r="J18" s="20" t="n">
        <v>0</v>
      </c>
      <c r="K18" s="18" t="n">
        <v>0.4181924</v>
      </c>
      <c r="L18" s="20" t="n">
        <v>0.20732624</v>
      </c>
      <c r="M18" s="18" t="n">
        <v>0</v>
      </c>
      <c r="N18" s="20" t="n">
        <v>0</v>
      </c>
      <c r="O18" s="18" t="n">
        <v>0</v>
      </c>
      <c r="P18" s="20" t="n">
        <v>0</v>
      </c>
      <c r="Q18" s="18" t="n">
        <v>1.58074194</v>
      </c>
      <c r="R18" s="20" t="n">
        <v>0.39147567</v>
      </c>
    </row>
    <row r="19" spans="1:18">
      <c r="A19" s="15" t="s">
        <v>577</v>
      </c>
      <c r="B19" s="17" t="n">
        <v>5658</v>
      </c>
      <c r="C19" s="18">
        <f>(4412.0/B19*100)</f>
        <v/>
      </c>
      <c r="D19" s="19" t="n">
        <v>1246</v>
      </c>
      <c r="E19" s="18" t="n">
        <v>54.40455439</v>
      </c>
      <c r="F19" s="20" t="n">
        <v>1.4822319</v>
      </c>
      <c r="G19" s="18" t="n">
        <v>44.93890268</v>
      </c>
      <c r="H19" s="20" t="n">
        <v>1.52109407</v>
      </c>
      <c r="I19" s="18" t="n">
        <v>0</v>
      </c>
      <c r="J19" s="20" t="n">
        <v>0</v>
      </c>
      <c r="K19" s="18" t="n">
        <v>0.13134128</v>
      </c>
      <c r="L19" s="20" t="n">
        <v>0.07928564</v>
      </c>
      <c r="M19" s="18" t="n">
        <v>0</v>
      </c>
      <c r="N19" s="20" t="n">
        <v>0</v>
      </c>
      <c r="O19" s="18" t="n">
        <v>0</v>
      </c>
      <c r="P19" s="20" t="n">
        <v>0</v>
      </c>
      <c r="Q19" s="18" t="n">
        <v>0.52520165</v>
      </c>
      <c r="R19" s="20" t="n">
        <v>0.1878416</v>
      </c>
    </row>
    <row r="20" spans="1:18">
      <c r="A20" s="15" t="s">
        <v>578</v>
      </c>
      <c r="B20" s="17" t="n">
        <v>3371</v>
      </c>
      <c r="C20" s="18">
        <f>(2622.0/B20*100)</f>
        <v/>
      </c>
      <c r="D20" s="19" t="n">
        <v>749</v>
      </c>
      <c r="E20" s="18" t="n">
        <v>60.32103823</v>
      </c>
      <c r="F20" s="20" t="n">
        <v>1.87495238</v>
      </c>
      <c r="G20" s="18" t="n">
        <v>38.16963754</v>
      </c>
      <c r="H20" s="20" t="n">
        <v>1.85470404</v>
      </c>
      <c r="I20" s="18" t="n">
        <v>0</v>
      </c>
      <c r="J20" s="20" t="n">
        <v>0</v>
      </c>
      <c r="K20" s="18" t="n">
        <v>0</v>
      </c>
      <c r="L20" s="20" t="n">
        <v>0</v>
      </c>
      <c r="M20" s="18" t="n">
        <v>0</v>
      </c>
      <c r="N20" s="20" t="n">
        <v>0</v>
      </c>
      <c r="O20" s="18" t="n">
        <v>0</v>
      </c>
      <c r="P20" s="20" t="n">
        <v>0</v>
      </c>
      <c r="Q20" s="18" t="n">
        <v>1.50932423</v>
      </c>
      <c r="R20" s="20" t="n">
        <v>0.47345106</v>
      </c>
    </row>
    <row r="21" spans="1:18">
      <c r="A21" s="15" t="s">
        <v>579</v>
      </c>
      <c r="B21" s="17" t="n">
        <v>5741</v>
      </c>
      <c r="C21" s="18">
        <f>(4455.0/B21*100)</f>
        <v/>
      </c>
      <c r="D21" s="19" t="n">
        <v>1286</v>
      </c>
      <c r="E21" s="18" t="n">
        <v>58.45259458</v>
      </c>
      <c r="F21" s="20" t="n">
        <v>1.55372371</v>
      </c>
      <c r="G21" s="18" t="n">
        <v>41.20225965</v>
      </c>
      <c r="H21" s="20" t="n">
        <v>1.56794658</v>
      </c>
      <c r="I21" s="18" t="n">
        <v>0</v>
      </c>
      <c r="J21" s="20" t="n">
        <v>0</v>
      </c>
      <c r="K21" s="18" t="n">
        <v>0.13580754</v>
      </c>
      <c r="L21" s="20" t="n">
        <v>0.09657662</v>
      </c>
      <c r="M21" s="18" t="n">
        <v>0</v>
      </c>
      <c r="N21" s="20" t="n">
        <v>0</v>
      </c>
      <c r="O21" s="18" t="n">
        <v>0</v>
      </c>
      <c r="P21" s="20" t="n">
        <v>0</v>
      </c>
      <c r="Q21" s="18" t="n">
        <v>0.20933824</v>
      </c>
      <c r="R21" s="20" t="n">
        <v>0.12346853</v>
      </c>
    </row>
    <row r="22" spans="1:18">
      <c r="A22" s="15" t="s">
        <v>580</v>
      </c>
      <c r="B22" s="17" t="n">
        <v>6598</v>
      </c>
      <c r="C22" s="18">
        <f>(5131.0/B22*100)</f>
        <v/>
      </c>
      <c r="D22" s="19" t="n">
        <v>1467</v>
      </c>
      <c r="E22" s="18" t="n">
        <v>62.53072295</v>
      </c>
      <c r="F22" s="20" t="n">
        <v>1.50032142</v>
      </c>
      <c r="G22" s="18" t="n">
        <v>35.40211832</v>
      </c>
      <c r="H22" s="20" t="n">
        <v>1.4213772</v>
      </c>
      <c r="I22" s="18" t="n">
        <v>0</v>
      </c>
      <c r="J22" s="20" t="n">
        <v>0</v>
      </c>
      <c r="K22" s="18" t="n">
        <v>0.73624179</v>
      </c>
      <c r="L22" s="20" t="n">
        <v>0.26266718</v>
      </c>
      <c r="M22" s="18" t="n">
        <v>0</v>
      </c>
      <c r="N22" s="20" t="n">
        <v>0</v>
      </c>
      <c r="O22" s="18" t="n">
        <v>0</v>
      </c>
      <c r="P22" s="20" t="n">
        <v>0</v>
      </c>
      <c r="Q22" s="18" t="n">
        <v>1.33091694</v>
      </c>
      <c r="R22" s="20" t="n">
        <v>0.2845802</v>
      </c>
    </row>
    <row r="23" spans="1:18">
      <c r="A23" s="15" t="s">
        <v>581</v>
      </c>
      <c r="B23" s="17" t="n">
        <v>11583</v>
      </c>
      <c r="C23" s="18">
        <f>(8993.0/B23*100)</f>
        <v/>
      </c>
      <c r="D23" s="19" t="n">
        <v>2590</v>
      </c>
      <c r="E23" s="18" t="n">
        <v>53.60370556</v>
      </c>
      <c r="F23" s="20" t="n">
        <v>1.32680652</v>
      </c>
      <c r="G23" s="18" t="n">
        <v>45.25951359</v>
      </c>
      <c r="H23" s="20" t="n">
        <v>1.40925604</v>
      </c>
      <c r="I23" s="18" t="n">
        <v>0</v>
      </c>
      <c r="J23" s="20" t="n">
        <v>0</v>
      </c>
      <c r="K23" s="18" t="n">
        <v>0.22785297</v>
      </c>
      <c r="L23" s="20" t="n">
        <v>0.1303925</v>
      </c>
      <c r="M23" s="18" t="n">
        <v>0</v>
      </c>
      <c r="N23" s="20" t="n">
        <v>0</v>
      </c>
      <c r="O23" s="18" t="n">
        <v>0</v>
      </c>
      <c r="P23" s="20" t="n">
        <v>0</v>
      </c>
      <c r="Q23" s="18" t="n">
        <v>0.90892788</v>
      </c>
      <c r="R23" s="20" t="n">
        <v>0.32012543</v>
      </c>
    </row>
    <row r="24" spans="1:18">
      <c r="A24" s="15" t="s">
        <v>582</v>
      </c>
      <c r="B24" s="17" t="n">
        <v>6647</v>
      </c>
      <c r="C24" s="18">
        <f>(5145.0/B24*100)</f>
        <v/>
      </c>
      <c r="D24" s="19" t="n">
        <v>1502</v>
      </c>
      <c r="E24" s="18" t="n">
        <v>41.18437979</v>
      </c>
      <c r="F24" s="20" t="n">
        <v>1.29252782</v>
      </c>
      <c r="G24" s="18" t="n">
        <v>58.0805243</v>
      </c>
      <c r="H24" s="20" t="n">
        <v>1.31132178</v>
      </c>
      <c r="I24" s="18" t="n">
        <v>0</v>
      </c>
      <c r="J24" s="20" t="n">
        <v>0</v>
      </c>
      <c r="K24" s="18" t="n">
        <v>0.06466273</v>
      </c>
      <c r="L24" s="20" t="n">
        <v>0.06472459999999999</v>
      </c>
      <c r="M24" s="18" t="n">
        <v>0</v>
      </c>
      <c r="N24" s="20" t="n">
        <v>0</v>
      </c>
      <c r="O24" s="18" t="n">
        <v>0</v>
      </c>
      <c r="P24" s="20" t="n">
        <v>0</v>
      </c>
      <c r="Q24" s="18" t="n">
        <v>0.67043318</v>
      </c>
      <c r="R24" s="20" t="n">
        <v>0.2179598</v>
      </c>
    </row>
    <row r="25" spans="1:18">
      <c r="A25" s="15" t="s">
        <v>583</v>
      </c>
      <c r="B25" s="17" t="n">
        <v>5581</v>
      </c>
      <c r="C25" s="18">
        <f>(4331.0/B25*100)</f>
        <v/>
      </c>
      <c r="D25" s="19" t="n">
        <v>1250</v>
      </c>
      <c r="E25" s="18" t="n">
        <v>59.30842944</v>
      </c>
      <c r="F25" s="20" t="n">
        <v>1.49940453</v>
      </c>
      <c r="G25" s="18" t="n">
        <v>40.00634587</v>
      </c>
      <c r="H25" s="20" t="n">
        <v>1.46750303</v>
      </c>
      <c r="I25" s="18" t="n">
        <v>0</v>
      </c>
      <c r="J25" s="20" t="n">
        <v>0</v>
      </c>
      <c r="K25" s="18" t="n">
        <v>0.22833195</v>
      </c>
      <c r="L25" s="20" t="n">
        <v>0.13150933</v>
      </c>
      <c r="M25" s="18" t="n">
        <v>0</v>
      </c>
      <c r="N25" s="20" t="n">
        <v>0</v>
      </c>
      <c r="O25" s="18" t="n">
        <v>0</v>
      </c>
      <c r="P25" s="20" t="n">
        <v>0</v>
      </c>
      <c r="Q25" s="18" t="n">
        <v>0.45689274</v>
      </c>
      <c r="R25" s="20" t="n">
        <v>0.18933311</v>
      </c>
    </row>
    <row r="26" spans="1:18">
      <c r="A26" s="15" t="s">
        <v>584</v>
      </c>
      <c r="B26" s="17" t="n">
        <v>4869</v>
      </c>
      <c r="C26" s="18">
        <f>(3806.0/B26*100)</f>
        <v/>
      </c>
      <c r="D26" s="19" t="n">
        <v>1063</v>
      </c>
      <c r="E26" s="18" t="n">
        <v>66.45045954</v>
      </c>
      <c r="F26" s="20" t="n">
        <v>1.39084899</v>
      </c>
      <c r="G26" s="18" t="n">
        <v>33.28848314</v>
      </c>
      <c r="H26" s="20" t="n">
        <v>1.39461848</v>
      </c>
      <c r="I26" s="18" t="n">
        <v>0</v>
      </c>
      <c r="J26" s="20" t="n">
        <v>0</v>
      </c>
      <c r="K26" s="18" t="n">
        <v>0</v>
      </c>
      <c r="L26" s="20" t="n">
        <v>0</v>
      </c>
      <c r="M26" s="18" t="n">
        <v>0</v>
      </c>
      <c r="N26" s="20" t="n">
        <v>0</v>
      </c>
      <c r="O26" s="18" t="n">
        <v>0</v>
      </c>
      <c r="P26" s="20" t="n">
        <v>0</v>
      </c>
      <c r="Q26" s="18" t="n">
        <v>0.26105732</v>
      </c>
      <c r="R26" s="20" t="n">
        <v>0.15245161</v>
      </c>
    </row>
    <row r="27" spans="1:18">
      <c r="A27" s="15" t="s">
        <v>585</v>
      </c>
      <c r="B27" s="17" t="n">
        <v>5299</v>
      </c>
      <c r="C27" s="18">
        <f>(4093.0/B27*100)</f>
        <v/>
      </c>
      <c r="D27" s="19" t="n">
        <v>1206</v>
      </c>
      <c r="E27" s="18" t="n">
        <v>53.0475402</v>
      </c>
      <c r="F27" s="20" t="n">
        <v>1.15316299</v>
      </c>
      <c r="G27" s="18" t="n">
        <v>45.70177027</v>
      </c>
      <c r="H27" s="20" t="n">
        <v>1.13594819</v>
      </c>
      <c r="I27" s="18" t="n">
        <v>0</v>
      </c>
      <c r="J27" s="20" t="n">
        <v>0</v>
      </c>
      <c r="K27" s="18" t="n">
        <v>0.24184893</v>
      </c>
      <c r="L27" s="20" t="n">
        <v>0.13962303</v>
      </c>
      <c r="M27" s="18" t="n">
        <v>0</v>
      </c>
      <c r="N27" s="20" t="n">
        <v>0</v>
      </c>
      <c r="O27" s="18" t="n">
        <v>0</v>
      </c>
      <c r="P27" s="20" t="n">
        <v>0</v>
      </c>
      <c r="Q27" s="18" t="n">
        <v>1.0088406</v>
      </c>
      <c r="R27" s="20" t="n">
        <v>0.28773944</v>
      </c>
    </row>
    <row r="28" spans="1:18">
      <c r="A28" s="15" t="s">
        <v>586</v>
      </c>
      <c r="B28" s="17" t="n">
        <v>7568</v>
      </c>
      <c r="C28" s="18">
        <f>(6006.0/B28*100)</f>
        <v/>
      </c>
      <c r="D28" s="19" t="n">
        <v>1562</v>
      </c>
      <c r="E28" s="18" t="n">
        <v>66.40314164</v>
      </c>
      <c r="F28" s="20" t="n">
        <v>1.3493177</v>
      </c>
      <c r="G28" s="18" t="n">
        <v>32.29002113</v>
      </c>
      <c r="H28" s="20" t="n">
        <v>1.35068609</v>
      </c>
      <c r="I28" s="18" t="n">
        <v>0</v>
      </c>
      <c r="J28" s="20" t="n">
        <v>0</v>
      </c>
      <c r="K28" s="18" t="n">
        <v>0.65851401</v>
      </c>
      <c r="L28" s="20" t="n">
        <v>0.21924108</v>
      </c>
      <c r="M28" s="18" t="n">
        <v>0</v>
      </c>
      <c r="N28" s="20" t="n">
        <v>0</v>
      </c>
      <c r="O28" s="18" t="n">
        <v>0</v>
      </c>
      <c r="P28" s="20" t="n">
        <v>0</v>
      </c>
      <c r="Q28" s="18" t="n">
        <v>0.64832322</v>
      </c>
      <c r="R28" s="20" t="n">
        <v>0.22410275</v>
      </c>
    </row>
    <row r="29" spans="1:18">
      <c r="A29" s="15" t="s">
        <v>587</v>
      </c>
      <c r="B29" s="17" t="n">
        <v>5385</v>
      </c>
      <c r="C29" s="18">
        <f>(4224.0/B29*100)</f>
        <v/>
      </c>
      <c r="D29" s="19" t="n">
        <v>1161</v>
      </c>
      <c r="E29" s="18" t="n">
        <v>57.09381985</v>
      </c>
      <c r="F29" s="20" t="n">
        <v>1.55908963</v>
      </c>
      <c r="G29" s="18" t="n">
        <v>42.08261338</v>
      </c>
      <c r="H29" s="20" t="n">
        <v>1.56222887</v>
      </c>
      <c r="I29" s="18" t="n">
        <v>0</v>
      </c>
      <c r="J29" s="20" t="n">
        <v>0</v>
      </c>
      <c r="K29" s="18" t="n">
        <v>0.31909367</v>
      </c>
      <c r="L29" s="20" t="n">
        <v>0.15878757</v>
      </c>
      <c r="M29" s="18" t="n">
        <v>0</v>
      </c>
      <c r="N29" s="20" t="n">
        <v>0</v>
      </c>
      <c r="O29" s="18" t="n">
        <v>0</v>
      </c>
      <c r="P29" s="20" t="n">
        <v>0</v>
      </c>
      <c r="Q29" s="18" t="n">
        <v>0.50447309</v>
      </c>
      <c r="R29" s="20" t="n">
        <v>0.20908816</v>
      </c>
    </row>
    <row r="30" spans="1:18">
      <c r="A30" s="15" t="s">
        <v>588</v>
      </c>
      <c r="B30" s="17" t="n">
        <v>4520</v>
      </c>
      <c r="C30" s="18">
        <f>(3569.0/B30*100)</f>
        <v/>
      </c>
      <c r="D30" s="19" t="n">
        <v>951</v>
      </c>
      <c r="E30" s="18" t="n">
        <v>49.95167412</v>
      </c>
      <c r="F30" s="20" t="n">
        <v>1.570807</v>
      </c>
      <c r="G30" s="18" t="n">
        <v>48.34465355</v>
      </c>
      <c r="H30" s="20" t="n">
        <v>1.62004834</v>
      </c>
      <c r="I30" s="18" t="n">
        <v>0</v>
      </c>
      <c r="J30" s="20" t="n">
        <v>0</v>
      </c>
      <c r="K30" s="18" t="n">
        <v>0.11939295</v>
      </c>
      <c r="L30" s="20" t="n">
        <v>0.11521286</v>
      </c>
      <c r="M30" s="18" t="n">
        <v>0</v>
      </c>
      <c r="N30" s="20" t="n">
        <v>0</v>
      </c>
      <c r="O30" s="18" t="n">
        <v>0</v>
      </c>
      <c r="P30" s="20" t="n">
        <v>0</v>
      </c>
      <c r="Q30" s="18" t="n">
        <v>1.58427938</v>
      </c>
      <c r="R30" s="20" t="n">
        <v>0.38381701</v>
      </c>
    </row>
    <row r="31" spans="1:18">
      <c r="A31" s="15" t="s">
        <v>589</v>
      </c>
      <c r="B31" s="17" t="n">
        <v>5456</v>
      </c>
      <c r="C31" s="18">
        <f>(4280.0/B31*100)</f>
        <v/>
      </c>
      <c r="D31" s="19" t="n">
        <v>1176</v>
      </c>
      <c r="E31" s="18" t="n">
        <v>51.34750012</v>
      </c>
      <c r="F31" s="20" t="n">
        <v>1.50791464</v>
      </c>
      <c r="G31" s="18" t="n">
        <v>46.90442012</v>
      </c>
      <c r="H31" s="20" t="n">
        <v>1.52061805</v>
      </c>
      <c r="I31" s="18" t="n">
        <v>0</v>
      </c>
      <c r="J31" s="20" t="n">
        <v>0</v>
      </c>
      <c r="K31" s="18" t="n">
        <v>0.39276817</v>
      </c>
      <c r="L31" s="20" t="n">
        <v>0.16824994</v>
      </c>
      <c r="M31" s="18" t="n">
        <v>0</v>
      </c>
      <c r="N31" s="20" t="n">
        <v>0</v>
      </c>
      <c r="O31" s="18" t="n">
        <v>0</v>
      </c>
      <c r="P31" s="20" t="n">
        <v>0</v>
      </c>
      <c r="Q31" s="18" t="n">
        <v>1.3553116</v>
      </c>
      <c r="R31" s="20" t="n">
        <v>0.37670439</v>
      </c>
    </row>
    <row r="32" spans="1:18">
      <c r="A32" s="15" t="s">
        <v>590</v>
      </c>
      <c r="B32" s="17" t="n">
        <v>4478</v>
      </c>
      <c r="C32" s="18">
        <f>(3516.0/B32*100)</f>
        <v/>
      </c>
      <c r="D32" s="19" t="n">
        <v>962</v>
      </c>
      <c r="E32" s="18" t="n">
        <v>56.01072828</v>
      </c>
      <c r="F32" s="20" t="n">
        <v>1.65979184</v>
      </c>
      <c r="G32" s="18" t="n">
        <v>43.89677902</v>
      </c>
      <c r="H32" s="20" t="n">
        <v>1.6755531</v>
      </c>
      <c r="I32" s="18" t="n">
        <v>0</v>
      </c>
      <c r="J32" s="20" t="n">
        <v>0</v>
      </c>
      <c r="K32" s="18" t="n">
        <v>0.0924927</v>
      </c>
      <c r="L32" s="20" t="n">
        <v>0.09237444</v>
      </c>
      <c r="M32" s="18" t="n">
        <v>0</v>
      </c>
      <c r="N32" s="20" t="n">
        <v>0</v>
      </c>
      <c r="O32" s="18" t="n">
        <v>0</v>
      </c>
      <c r="P32" s="20" t="n">
        <v>0</v>
      </c>
      <c r="Q32" s="18" t="n">
        <v>0</v>
      </c>
      <c r="R32" s="20" t="n">
        <v>0</v>
      </c>
    </row>
    <row r="33" spans="1:18">
      <c r="A33" s="15" t="s">
        <v>591</v>
      </c>
      <c r="B33" s="17" t="n">
        <v>7325</v>
      </c>
      <c r="C33" s="18">
        <f>(5791.0/B33*100)</f>
        <v/>
      </c>
      <c r="D33" s="19" t="n">
        <v>1534</v>
      </c>
      <c r="E33" s="18" t="n">
        <v>60.40666778</v>
      </c>
      <c r="F33" s="20" t="n">
        <v>1.46590042</v>
      </c>
      <c r="G33" s="18" t="n">
        <v>38.3697901</v>
      </c>
      <c r="H33" s="20" t="n">
        <v>1.44713316</v>
      </c>
      <c r="I33" s="18" t="n">
        <v>0</v>
      </c>
      <c r="J33" s="20" t="n">
        <v>0</v>
      </c>
      <c r="K33" s="18" t="n">
        <v>0.33201174</v>
      </c>
      <c r="L33" s="20" t="n">
        <v>0.18660314</v>
      </c>
      <c r="M33" s="18" t="n">
        <v>0</v>
      </c>
      <c r="N33" s="20" t="n">
        <v>0</v>
      </c>
      <c r="O33" s="18" t="n">
        <v>0</v>
      </c>
      <c r="P33" s="20" t="n">
        <v>0</v>
      </c>
      <c r="Q33" s="18" t="n">
        <v>0.89153039</v>
      </c>
      <c r="R33" s="20" t="n">
        <v>0.24077078</v>
      </c>
    </row>
    <row r="34" spans="1:18">
      <c r="A34" s="15" t="s">
        <v>592</v>
      </c>
      <c r="B34" s="17" t="n">
        <v>6350</v>
      </c>
      <c r="C34" s="18">
        <f>(4996.0/B34*100)</f>
        <v/>
      </c>
      <c r="D34" s="19" t="n">
        <v>1354</v>
      </c>
      <c r="E34" s="18" t="n">
        <v>58.60164819</v>
      </c>
      <c r="F34" s="20" t="n">
        <v>1.52666368</v>
      </c>
      <c r="G34" s="18" t="n">
        <v>40.53817709</v>
      </c>
      <c r="H34" s="20" t="n">
        <v>1.54712599</v>
      </c>
      <c r="I34" s="18" t="n">
        <v>0</v>
      </c>
      <c r="J34" s="20" t="n">
        <v>0</v>
      </c>
      <c r="K34" s="18" t="n">
        <v>0.04692955</v>
      </c>
      <c r="L34" s="20" t="n">
        <v>0.04702286</v>
      </c>
      <c r="M34" s="18" t="n">
        <v>0</v>
      </c>
      <c r="N34" s="20" t="n">
        <v>0</v>
      </c>
      <c r="O34" s="18" t="n">
        <v>0</v>
      </c>
      <c r="P34" s="20" t="n">
        <v>0</v>
      </c>
      <c r="Q34" s="18" t="n">
        <v>0.81324516</v>
      </c>
      <c r="R34" s="20" t="n">
        <v>0.24758044</v>
      </c>
    </row>
    <row r="35" spans="1:18">
      <c r="A35" s="15" t="s">
        <v>593</v>
      </c>
      <c r="B35" s="17" t="n">
        <v>6406</v>
      </c>
      <c r="C35" s="18">
        <f>(4992.0/B35*100)</f>
        <v/>
      </c>
      <c r="D35" s="19" t="n">
        <v>1414</v>
      </c>
      <c r="E35" s="18" t="n">
        <v>51.00427475</v>
      </c>
      <c r="F35" s="20" t="n">
        <v>1.73085553</v>
      </c>
      <c r="G35" s="18" t="n">
        <v>47.81652856</v>
      </c>
      <c r="H35" s="20" t="n">
        <v>1.67922359</v>
      </c>
      <c r="I35" s="18" t="n">
        <v>0</v>
      </c>
      <c r="J35" s="20" t="n">
        <v>0</v>
      </c>
      <c r="K35" s="18" t="n">
        <v>0.11420834</v>
      </c>
      <c r="L35" s="20" t="n">
        <v>0.0673019</v>
      </c>
      <c r="M35" s="18" t="n">
        <v>0</v>
      </c>
      <c r="N35" s="20" t="n">
        <v>0</v>
      </c>
      <c r="O35" s="18" t="n">
        <v>0</v>
      </c>
      <c r="P35" s="20" t="n">
        <v>0</v>
      </c>
      <c r="Q35" s="18" t="n">
        <v>1.06498834</v>
      </c>
      <c r="R35" s="20" t="n">
        <v>0.36391349</v>
      </c>
    </row>
    <row r="36" spans="1:18">
      <c r="A36" s="15" t="s">
        <v>594</v>
      </c>
      <c r="B36" s="17" t="n">
        <v>6736</v>
      </c>
      <c r="C36" s="18">
        <f>(5227.0/B36*100)</f>
        <v/>
      </c>
      <c r="D36" s="19" t="n">
        <v>1509</v>
      </c>
      <c r="E36" s="18" t="n">
        <v>57.91138611</v>
      </c>
      <c r="F36" s="20" t="n">
        <v>1.369536</v>
      </c>
      <c r="G36" s="18" t="n">
        <v>40.5626442</v>
      </c>
      <c r="H36" s="20" t="n">
        <v>1.32597745</v>
      </c>
      <c r="I36" s="18" t="n">
        <v>0</v>
      </c>
      <c r="J36" s="20" t="n">
        <v>0</v>
      </c>
      <c r="K36" s="18" t="n">
        <v>0.31721337</v>
      </c>
      <c r="L36" s="20" t="n">
        <v>0.16785192</v>
      </c>
      <c r="M36" s="18" t="n">
        <v>0</v>
      </c>
      <c r="N36" s="20" t="n">
        <v>0</v>
      </c>
      <c r="O36" s="18" t="n">
        <v>0</v>
      </c>
      <c r="P36" s="20" t="n">
        <v>0</v>
      </c>
      <c r="Q36" s="18" t="n">
        <v>1.20875631</v>
      </c>
      <c r="R36" s="20" t="n">
        <v>0.31391335</v>
      </c>
    </row>
    <row r="37" spans="1:18">
      <c r="A37" s="15" t="s">
        <v>595</v>
      </c>
      <c r="B37" s="17" t="n">
        <v>5458</v>
      </c>
      <c r="C37" s="18">
        <f>(4275.0/B37*100)</f>
        <v/>
      </c>
      <c r="D37" s="19" t="n">
        <v>1183</v>
      </c>
      <c r="E37" s="18" t="n">
        <v>61.0181364</v>
      </c>
      <c r="F37" s="20" t="n">
        <v>1.65636682</v>
      </c>
      <c r="G37" s="18" t="n">
        <v>35.48116467</v>
      </c>
      <c r="H37" s="20" t="n">
        <v>1.71778063</v>
      </c>
      <c r="I37" s="18" t="n">
        <v>0</v>
      </c>
      <c r="J37" s="20" t="n">
        <v>0</v>
      </c>
      <c r="K37" s="18" t="n">
        <v>0.62869746</v>
      </c>
      <c r="L37" s="20" t="n">
        <v>0.24251433</v>
      </c>
      <c r="M37" s="18" t="n">
        <v>0</v>
      </c>
      <c r="N37" s="20" t="n">
        <v>0</v>
      </c>
      <c r="O37" s="18" t="n">
        <v>0</v>
      </c>
      <c r="P37" s="20" t="n">
        <v>0</v>
      </c>
      <c r="Q37" s="18" t="n">
        <v>2.87200147</v>
      </c>
      <c r="R37" s="20" t="n">
        <v>0.55788183</v>
      </c>
    </row>
    <row r="38" spans="1:18">
      <c r="A38" s="15" t="s">
        <v>596</v>
      </c>
      <c r="B38" s="17" t="n">
        <v>5860</v>
      </c>
      <c r="C38" s="18">
        <f>(4549.0/B38*100)</f>
        <v/>
      </c>
      <c r="D38" s="19" t="n">
        <v>1311</v>
      </c>
      <c r="E38" s="18" t="n">
        <v>47.51015207</v>
      </c>
      <c r="F38" s="20" t="n">
        <v>1.2759937</v>
      </c>
      <c r="G38" s="18" t="n">
        <v>51.31136262</v>
      </c>
      <c r="H38" s="20" t="n">
        <v>1.29856504</v>
      </c>
      <c r="I38" s="18" t="n">
        <v>0</v>
      </c>
      <c r="J38" s="20" t="n">
        <v>0</v>
      </c>
      <c r="K38" s="18" t="n">
        <v>0.22844958</v>
      </c>
      <c r="L38" s="20" t="n">
        <v>0.14652259</v>
      </c>
      <c r="M38" s="18" t="n">
        <v>0</v>
      </c>
      <c r="N38" s="20" t="n">
        <v>0</v>
      </c>
      <c r="O38" s="18" t="n">
        <v>0</v>
      </c>
      <c r="P38" s="20" t="n">
        <v>0</v>
      </c>
      <c r="Q38" s="18" t="n">
        <v>0.95003573</v>
      </c>
      <c r="R38" s="20" t="n">
        <v>0.15349337</v>
      </c>
    </row>
    <row r="39" spans="1:18">
      <c r="A39" s="15" t="s">
        <v>597</v>
      </c>
      <c r="B39" s="17" t="n">
        <v>5895</v>
      </c>
      <c r="C39" s="18">
        <f>(4581.0/B39*100)</f>
        <v/>
      </c>
      <c r="D39" s="19" t="n">
        <v>1314</v>
      </c>
      <c r="E39" s="18" t="n">
        <v>58.86919319</v>
      </c>
      <c r="F39" s="20" t="n">
        <v>1.67225167</v>
      </c>
      <c r="G39" s="18" t="n">
        <v>39.75930394</v>
      </c>
      <c r="H39" s="20" t="n">
        <v>1.67122748</v>
      </c>
      <c r="I39" s="18" t="n">
        <v>0</v>
      </c>
      <c r="J39" s="20" t="n">
        <v>0</v>
      </c>
      <c r="K39" s="18" t="n">
        <v>0</v>
      </c>
      <c r="L39" s="20" t="n">
        <v>0</v>
      </c>
      <c r="M39" s="18" t="n">
        <v>0</v>
      </c>
      <c r="N39" s="20" t="n">
        <v>0</v>
      </c>
      <c r="O39" s="18" t="n">
        <v>0</v>
      </c>
      <c r="P39" s="20" t="n">
        <v>0</v>
      </c>
      <c r="Q39" s="18" t="n">
        <v>1.37150287</v>
      </c>
      <c r="R39" s="20" t="n">
        <v>0.39107784</v>
      </c>
    </row>
    <row r="40" spans="1:18">
      <c r="A40" s="15" t="s">
        <v>598</v>
      </c>
      <c r="B40" s="17" t="n">
        <v>14157</v>
      </c>
      <c r="C40" s="18">
        <f>(11153.0/B40*100)</f>
        <v/>
      </c>
      <c r="D40" s="19" t="n">
        <v>3004</v>
      </c>
      <c r="E40" s="18" t="n">
        <v>58.12499714</v>
      </c>
      <c r="F40" s="20" t="n">
        <v>1.46921924</v>
      </c>
      <c r="G40" s="18" t="n">
        <v>40.39084486</v>
      </c>
      <c r="H40" s="20" t="n">
        <v>1.49481453</v>
      </c>
      <c r="I40" s="18" t="n">
        <v>0</v>
      </c>
      <c r="J40" s="20" t="n">
        <v>0</v>
      </c>
      <c r="K40" s="18" t="n">
        <v>0.07316178</v>
      </c>
      <c r="L40" s="20" t="n">
        <v>0.02698019</v>
      </c>
      <c r="M40" s="18" t="n">
        <v>0</v>
      </c>
      <c r="N40" s="20" t="n">
        <v>0</v>
      </c>
      <c r="O40" s="18" t="n">
        <v>0</v>
      </c>
      <c r="P40" s="20" t="n">
        <v>0</v>
      </c>
      <c r="Q40" s="18" t="n">
        <v>1.41099622</v>
      </c>
      <c r="R40" s="20" t="n">
        <v>0.31874126</v>
      </c>
    </row>
    <row r="41" spans="1:18">
      <c r="A41" s="15" t="s">
        <v>599</v>
      </c>
      <c r="B41" s="17" t="n">
        <v>5712</v>
      </c>
      <c r="C41" s="18">
        <f>(4420.0/B41*100)</f>
        <v/>
      </c>
      <c r="D41" s="19" t="n">
        <v>1292</v>
      </c>
      <c r="E41" s="18" t="n">
        <v>49.71264849</v>
      </c>
      <c r="F41" s="20" t="n">
        <v>1.68664992</v>
      </c>
      <c r="G41" s="18" t="n">
        <v>49.31018156</v>
      </c>
      <c r="H41" s="20" t="n">
        <v>1.74995922</v>
      </c>
      <c r="I41" s="18" t="n">
        <v>0</v>
      </c>
      <c r="J41" s="20" t="n">
        <v>0</v>
      </c>
      <c r="K41" s="18" t="n">
        <v>0.23911588</v>
      </c>
      <c r="L41" s="20" t="n">
        <v>0.13236798</v>
      </c>
      <c r="M41" s="18" t="n">
        <v>0</v>
      </c>
      <c r="N41" s="20" t="n">
        <v>0</v>
      </c>
      <c r="O41" s="18" t="n">
        <v>0</v>
      </c>
      <c r="P41" s="20" t="n">
        <v>0</v>
      </c>
      <c r="Q41" s="18" t="n">
        <v>0.73805407</v>
      </c>
      <c r="R41" s="20" t="n">
        <v>0.21952354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(18914.0/B46*100)</f>
        <v/>
      </c>
      <c r="D46" s="19" t="n">
        <v>4227</v>
      </c>
      <c r="E46" s="18" t="n">
        <v>72.38545714999999</v>
      </c>
      <c r="F46" s="20" t="n">
        <v>0.94883588</v>
      </c>
      <c r="G46" s="18" t="n">
        <v>23.88715137</v>
      </c>
      <c r="H46" s="20" t="n">
        <v>0.9554642800000001</v>
      </c>
      <c r="I46" s="18" t="n">
        <v>0</v>
      </c>
      <c r="J46" s="20" t="n">
        <v>0</v>
      </c>
      <c r="K46" s="18" t="n">
        <v>0.88448522</v>
      </c>
      <c r="L46" s="20" t="n">
        <v>0.24974446</v>
      </c>
      <c r="M46" s="18" t="n">
        <v>0</v>
      </c>
      <c r="N46" s="20" t="n">
        <v>0</v>
      </c>
      <c r="O46" s="18" t="n">
        <v>0</v>
      </c>
      <c r="P46" s="20" t="n">
        <v>0</v>
      </c>
      <c r="Q46" s="18" t="n">
        <v>2.84290626</v>
      </c>
      <c r="R46" s="20" t="n">
        <v>0.36117841</v>
      </c>
    </row>
    <row r="47" spans="1:18">
      <c r="A47" s="15" t="s">
        <v>606</v>
      </c>
      <c r="B47" s="17" t="n">
        <v>5928</v>
      </c>
      <c r="C47" s="18">
        <f>(4671.0/B47*100)</f>
        <v/>
      </c>
      <c r="D47" s="19" t="n">
        <v>1257</v>
      </c>
      <c r="E47" s="18" t="n">
        <v>62.76634067</v>
      </c>
      <c r="F47" s="20" t="n">
        <v>1.52631014</v>
      </c>
      <c r="G47" s="18" t="n">
        <v>35.47574456</v>
      </c>
      <c r="H47" s="20" t="n">
        <v>1.54763305</v>
      </c>
      <c r="I47" s="18" t="n">
        <v>0</v>
      </c>
      <c r="J47" s="20" t="n">
        <v>0</v>
      </c>
      <c r="K47" s="18" t="n">
        <v>0.15385965</v>
      </c>
      <c r="L47" s="20" t="n">
        <v>0.10863074</v>
      </c>
      <c r="M47" s="18" t="n">
        <v>0</v>
      </c>
      <c r="N47" s="20" t="n">
        <v>0</v>
      </c>
      <c r="O47" s="18" t="n">
        <v>0</v>
      </c>
      <c r="P47" s="20" t="n">
        <v>0</v>
      </c>
      <c r="Q47" s="18" t="n">
        <v>1.60405511</v>
      </c>
      <c r="R47" s="20" t="n">
        <v>0.41356937</v>
      </c>
    </row>
    <row r="48" spans="1:18">
      <c r="A48" s="15" t="s">
        <v>607</v>
      </c>
      <c r="B48" s="17" t="n">
        <v>9841</v>
      </c>
      <c r="C48" s="18">
        <f>(7672.0/B48*100)</f>
        <v/>
      </c>
      <c r="D48" s="19" t="n">
        <v>2169</v>
      </c>
      <c r="E48" s="18" t="n">
        <v>41.85590734</v>
      </c>
      <c r="F48" s="20" t="n">
        <v>1.47692533</v>
      </c>
      <c r="G48" s="18" t="n">
        <v>56.99779947</v>
      </c>
      <c r="H48" s="20" t="n">
        <v>1.48195198</v>
      </c>
      <c r="I48" s="18" t="n">
        <v>0</v>
      </c>
      <c r="J48" s="20" t="n">
        <v>0</v>
      </c>
      <c r="K48" s="18" t="n">
        <v>0.57231935</v>
      </c>
      <c r="L48" s="20" t="n">
        <v>0.22921481</v>
      </c>
      <c r="M48" s="18" t="n">
        <v>0</v>
      </c>
      <c r="N48" s="20" t="n">
        <v>0</v>
      </c>
      <c r="O48" s="18" t="n">
        <v>0</v>
      </c>
      <c r="P48" s="20" t="n">
        <v>0</v>
      </c>
      <c r="Q48" s="18" t="n">
        <v>0.57397384</v>
      </c>
      <c r="R48" s="20" t="n">
        <v>0.17149015</v>
      </c>
    </row>
    <row r="49" spans="1:18">
      <c r="A49" s="15" t="s">
        <v>608</v>
      </c>
      <c r="B49" s="17" t="n">
        <v>11795</v>
      </c>
      <c r="C49" s="18">
        <f>(9295.0/B49*100)</f>
        <v/>
      </c>
      <c r="D49" s="19" t="n">
        <v>2500</v>
      </c>
      <c r="E49" s="18" t="n">
        <v>64.61155974</v>
      </c>
      <c r="F49" s="20" t="n">
        <v>1.21899824</v>
      </c>
      <c r="G49" s="18" t="n">
        <v>32.96213306</v>
      </c>
      <c r="H49" s="20" t="n">
        <v>1.2976379</v>
      </c>
      <c r="I49" s="18" t="n">
        <v>0</v>
      </c>
      <c r="J49" s="20" t="n">
        <v>0</v>
      </c>
      <c r="K49" s="18" t="n">
        <v>1.63965346</v>
      </c>
      <c r="L49" s="20" t="n">
        <v>0.43444331</v>
      </c>
      <c r="M49" s="18" t="n">
        <v>0</v>
      </c>
      <c r="N49" s="20" t="n">
        <v>0</v>
      </c>
      <c r="O49" s="18" t="n">
        <v>0</v>
      </c>
      <c r="P49" s="20" t="n">
        <v>0</v>
      </c>
      <c r="Q49" s="18" t="n">
        <v>0.78665374</v>
      </c>
      <c r="R49" s="20" t="n">
        <v>0.2400487</v>
      </c>
    </row>
    <row r="50" spans="1:18">
      <c r="A50" s="15" t="s">
        <v>609</v>
      </c>
      <c r="B50" s="17" t="n">
        <v>6866</v>
      </c>
      <c r="C50" s="18">
        <f>(5528.0/B50*100)</f>
        <v/>
      </c>
      <c r="D50" s="19" t="n">
        <v>1338</v>
      </c>
      <c r="E50" s="18" t="n">
        <v>66.14160009</v>
      </c>
      <c r="F50" s="20" t="n">
        <v>1.35101445</v>
      </c>
      <c r="G50" s="18" t="n">
        <v>32.19367747</v>
      </c>
      <c r="H50" s="20" t="n">
        <v>1.32617011</v>
      </c>
      <c r="I50" s="18" t="n">
        <v>0</v>
      </c>
      <c r="J50" s="20" t="n">
        <v>0</v>
      </c>
      <c r="K50" s="18" t="n">
        <v>0.29165101</v>
      </c>
      <c r="L50" s="20" t="n">
        <v>0.14846788</v>
      </c>
      <c r="M50" s="18" t="n">
        <v>0</v>
      </c>
      <c r="N50" s="20" t="n">
        <v>0</v>
      </c>
      <c r="O50" s="18" t="n">
        <v>0</v>
      </c>
      <c r="P50" s="20" t="n">
        <v>0</v>
      </c>
      <c r="Q50" s="18" t="n">
        <v>1.37307143</v>
      </c>
      <c r="R50" s="20" t="n">
        <v>0.33340758</v>
      </c>
    </row>
    <row r="51" spans="1:18">
      <c r="A51" s="15" t="s">
        <v>610</v>
      </c>
      <c r="B51" s="17" t="n">
        <v>5809</v>
      </c>
      <c r="C51" s="18">
        <f>(4526.0/B51*100)</f>
        <v/>
      </c>
      <c r="D51" s="19" t="n">
        <v>1283</v>
      </c>
      <c r="E51" s="18" t="n">
        <v>61.38968597</v>
      </c>
      <c r="F51" s="20" t="n">
        <v>1.34036807</v>
      </c>
      <c r="G51" s="18" t="n">
        <v>37.91226311</v>
      </c>
      <c r="H51" s="20" t="n">
        <v>1.34262817</v>
      </c>
      <c r="I51" s="18" t="n">
        <v>0</v>
      </c>
      <c r="J51" s="20" t="n">
        <v>0</v>
      </c>
      <c r="K51" s="18" t="n">
        <v>0.0714655</v>
      </c>
      <c r="L51" s="20" t="n">
        <v>0.07119308000000001</v>
      </c>
      <c r="M51" s="18" t="n">
        <v>0</v>
      </c>
      <c r="N51" s="20" t="n">
        <v>0</v>
      </c>
      <c r="O51" s="18" t="n">
        <v>0</v>
      </c>
      <c r="P51" s="20" t="n">
        <v>0</v>
      </c>
      <c r="Q51" s="18" t="n">
        <v>0.62658543</v>
      </c>
      <c r="R51" s="20" t="n">
        <v>0.22291496</v>
      </c>
    </row>
    <row r="52" spans="1:18">
      <c r="A52" s="15" t="s">
        <v>611</v>
      </c>
      <c r="B52" s="17" t="n">
        <v>5571</v>
      </c>
      <c r="C52" s="18">
        <f>(4337.0/B52*100)</f>
        <v/>
      </c>
      <c r="D52" s="19" t="n">
        <v>1234</v>
      </c>
      <c r="E52" s="18" t="n">
        <v>71.03946173999999</v>
      </c>
      <c r="F52" s="20" t="n">
        <v>1.12032114</v>
      </c>
      <c r="G52" s="18" t="n">
        <v>26.82804955</v>
      </c>
      <c r="H52" s="20" t="n">
        <v>1.09492537</v>
      </c>
      <c r="I52" s="18" t="n">
        <v>0</v>
      </c>
      <c r="J52" s="20" t="n">
        <v>0</v>
      </c>
      <c r="K52" s="18" t="n">
        <v>0.17694108</v>
      </c>
      <c r="L52" s="20" t="n">
        <v>0.10324972</v>
      </c>
      <c r="M52" s="18" t="n">
        <v>0</v>
      </c>
      <c r="N52" s="20" t="n">
        <v>0</v>
      </c>
      <c r="O52" s="18" t="n">
        <v>0</v>
      </c>
      <c r="P52" s="20" t="n">
        <v>0</v>
      </c>
      <c r="Q52" s="18" t="n">
        <v>1.95554763</v>
      </c>
      <c r="R52" s="20" t="n">
        <v>0.46565239</v>
      </c>
    </row>
    <row r="53" spans="1:18">
      <c r="A53" s="15" t="s">
        <v>612</v>
      </c>
      <c r="B53" s="17" t="n">
        <v>4740</v>
      </c>
      <c r="C53" s="18">
        <f>(3708.0/B53*100)</f>
        <v/>
      </c>
      <c r="D53" s="19" t="n">
        <v>1032</v>
      </c>
      <c r="E53" s="18" t="n">
        <v>69.36530823</v>
      </c>
      <c r="F53" s="20" t="n">
        <v>1.7258673</v>
      </c>
      <c r="G53" s="18" t="n">
        <v>16.0975407</v>
      </c>
      <c r="H53" s="20" t="n">
        <v>1.35932739</v>
      </c>
      <c r="I53" s="18" t="n">
        <v>0</v>
      </c>
      <c r="J53" s="20" t="n">
        <v>0</v>
      </c>
      <c r="K53" s="18" t="n">
        <v>11.40195527</v>
      </c>
      <c r="L53" s="20" t="n">
        <v>1.00515146</v>
      </c>
      <c r="M53" s="18" t="n">
        <v>0</v>
      </c>
      <c r="N53" s="20" t="n">
        <v>0</v>
      </c>
      <c r="O53" s="18" t="n">
        <v>0</v>
      </c>
      <c r="P53" s="20" t="n">
        <v>0</v>
      </c>
      <c r="Q53" s="18" t="n">
        <v>3.13519579</v>
      </c>
      <c r="R53" s="20" t="n">
        <v>0.59377589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(4122.0/B55*100)</f>
        <v/>
      </c>
      <c r="D55" s="19" t="n">
        <v>1237</v>
      </c>
      <c r="E55" s="18" t="n">
        <v>49.79587307</v>
      </c>
      <c r="F55" s="20" t="n">
        <v>1.66540608</v>
      </c>
      <c r="G55" s="18" t="n">
        <v>49.37794904</v>
      </c>
      <c r="H55" s="20" t="n">
        <v>1.59818436</v>
      </c>
      <c r="I55" s="18" t="n">
        <v>0</v>
      </c>
      <c r="J55" s="20" t="n">
        <v>0</v>
      </c>
      <c r="K55" s="18" t="n">
        <v>0.16037812</v>
      </c>
      <c r="L55" s="20" t="n">
        <v>0.11410182</v>
      </c>
      <c r="M55" s="18" t="n">
        <v>0</v>
      </c>
      <c r="N55" s="20" t="n">
        <v>0</v>
      </c>
      <c r="O55" s="18" t="n">
        <v>0</v>
      </c>
      <c r="P55" s="20" t="n">
        <v>0</v>
      </c>
      <c r="Q55" s="18" t="n">
        <v>0.66579976</v>
      </c>
      <c r="R55" s="20" t="n">
        <v>0.28537757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(5065.0/B61*100)</f>
        <v/>
      </c>
      <c r="D61" s="19" t="n">
        <v>1460</v>
      </c>
      <c r="E61" s="18" t="n">
        <v>66.6152407</v>
      </c>
      <c r="F61" s="20" t="n">
        <v>1.36388879</v>
      </c>
      <c r="G61" s="18" t="n">
        <v>31.96388167</v>
      </c>
      <c r="H61" s="20" t="n">
        <v>1.37403489</v>
      </c>
      <c r="I61" s="18" t="n">
        <v>0</v>
      </c>
      <c r="J61" s="20" t="n">
        <v>0</v>
      </c>
      <c r="K61" s="18" t="n">
        <v>0.1334961</v>
      </c>
      <c r="L61" s="20" t="n">
        <v>0.09095295</v>
      </c>
      <c r="M61" s="18" t="n">
        <v>0</v>
      </c>
      <c r="N61" s="20" t="n">
        <v>0</v>
      </c>
      <c r="O61" s="18" t="n">
        <v>0</v>
      </c>
      <c r="P61" s="20" t="n">
        <v>0</v>
      </c>
      <c r="Q61" s="18" t="n">
        <v>1.28738152</v>
      </c>
      <c r="R61" s="20" t="n">
        <v>0.30320205</v>
      </c>
    </row>
    <row r="62" spans="1:18">
      <c r="A62" s="15" t="s">
        <v>622</v>
      </c>
      <c r="B62" s="17" t="n">
        <v>4476</v>
      </c>
      <c r="C62" s="18">
        <f>(3472.0/B62*100)</f>
        <v/>
      </c>
      <c r="D62" s="19" t="n">
        <v>1004</v>
      </c>
      <c r="E62" s="18" t="n">
        <v>40.53982251</v>
      </c>
      <c r="F62" s="20" t="n">
        <v>1.44924309</v>
      </c>
      <c r="G62" s="18" t="n">
        <v>59.36132682</v>
      </c>
      <c r="H62" s="20" t="n">
        <v>1.42726383</v>
      </c>
      <c r="I62" s="18" t="n">
        <v>0</v>
      </c>
      <c r="J62" s="20" t="n">
        <v>0</v>
      </c>
      <c r="K62" s="18" t="n">
        <v>0</v>
      </c>
      <c r="L62" s="20" t="n">
        <v>0</v>
      </c>
      <c r="M62" s="18" t="n">
        <v>0</v>
      </c>
      <c r="N62" s="20" t="n">
        <v>0</v>
      </c>
      <c r="O62" s="18" t="n">
        <v>0</v>
      </c>
      <c r="P62" s="20" t="n">
        <v>0</v>
      </c>
      <c r="Q62" s="18" t="n">
        <v>0.09885067</v>
      </c>
      <c r="R62" s="20" t="n">
        <v>0.099125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(4445.0/B67*100)</f>
        <v/>
      </c>
      <c r="D67" s="19" t="n">
        <v>1220</v>
      </c>
      <c r="E67" s="18" t="n">
        <v>76.44257992999999</v>
      </c>
      <c r="F67" s="20" t="n">
        <v>1.16091197</v>
      </c>
      <c r="G67" s="18" t="n">
        <v>19.35691338</v>
      </c>
      <c r="H67" s="20" t="n">
        <v>1.09200994</v>
      </c>
      <c r="I67" s="18" t="n">
        <v>0</v>
      </c>
      <c r="J67" s="20" t="n">
        <v>0</v>
      </c>
      <c r="K67" s="18" t="n">
        <v>0.4071343</v>
      </c>
      <c r="L67" s="20" t="n">
        <v>0.22302214</v>
      </c>
      <c r="M67" s="18" t="n">
        <v>0</v>
      </c>
      <c r="N67" s="20" t="n">
        <v>0</v>
      </c>
      <c r="O67" s="18" t="n">
        <v>0</v>
      </c>
      <c r="P67" s="20" t="n">
        <v>0</v>
      </c>
      <c r="Q67" s="18" t="n">
        <v>3.79337238</v>
      </c>
      <c r="R67" s="20" t="n">
        <v>0.56416226</v>
      </c>
    </row>
    <row r="68" spans="1:18">
      <c r="A68" s="15" t="s">
        <v>628</v>
      </c>
      <c r="B68" s="17" t="n">
        <v>6971</v>
      </c>
      <c r="C68" s="18">
        <f>(5596.0/B68*100)</f>
        <v/>
      </c>
      <c r="D68" s="19" t="n">
        <v>1375</v>
      </c>
      <c r="E68" s="18" t="n">
        <v>71.7200811</v>
      </c>
      <c r="F68" s="20" t="n">
        <v>1.46299748</v>
      </c>
      <c r="G68" s="18" t="n">
        <v>27.25259577</v>
      </c>
      <c r="H68" s="20" t="n">
        <v>1.50674517</v>
      </c>
      <c r="I68" s="18" t="n">
        <v>0</v>
      </c>
      <c r="J68" s="20" t="n">
        <v>0</v>
      </c>
      <c r="K68" s="18" t="n">
        <v>0.24931693</v>
      </c>
      <c r="L68" s="20" t="n">
        <v>0.14708588</v>
      </c>
      <c r="M68" s="18" t="n">
        <v>0</v>
      </c>
      <c r="N68" s="20" t="n">
        <v>0</v>
      </c>
      <c r="O68" s="18" t="n">
        <v>0</v>
      </c>
      <c r="P68" s="20" t="n">
        <v>0</v>
      </c>
      <c r="Q68" s="18" t="n">
        <v>0.7780062</v>
      </c>
      <c r="R68" s="20" t="n">
        <v>0.26416972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(9374.0/B70*100)</f>
        <v/>
      </c>
      <c r="D70" s="19" t="n">
        <v>2709</v>
      </c>
      <c r="E70" s="18" t="n">
        <v>66.95275563</v>
      </c>
      <c r="F70" s="20" t="n">
        <v>0.80208352</v>
      </c>
      <c r="G70" s="18" t="n">
        <v>28.84076594</v>
      </c>
      <c r="H70" s="20" t="n">
        <v>0.75132575</v>
      </c>
      <c r="I70" s="18" t="n">
        <v>0</v>
      </c>
      <c r="J70" s="20" t="n">
        <v>0</v>
      </c>
      <c r="K70" s="18" t="n">
        <v>1.94948391</v>
      </c>
      <c r="L70" s="20" t="n">
        <v>0.2584051</v>
      </c>
      <c r="M70" s="18" t="n">
        <v>0</v>
      </c>
      <c r="N70" s="20" t="n">
        <v>0</v>
      </c>
      <c r="O70" s="18" t="n">
        <v>0</v>
      </c>
      <c r="P70" s="20" t="n">
        <v>0</v>
      </c>
      <c r="Q70" s="18" t="n">
        <v>2.25699452</v>
      </c>
      <c r="R70" s="20" t="n">
        <v>0.3321492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(4815.0/B72*100)</f>
        <v/>
      </c>
      <c r="D72" s="19" t="n">
        <v>1221</v>
      </c>
      <c r="E72" s="18" t="n">
        <v>57.92391677</v>
      </c>
      <c r="F72" s="20" t="n">
        <v>1.59295027</v>
      </c>
      <c r="G72" s="18" t="n">
        <v>41.18066952</v>
      </c>
      <c r="H72" s="20" t="n">
        <v>1.59427365</v>
      </c>
      <c r="I72" s="18" t="n">
        <v>0</v>
      </c>
      <c r="J72" s="20" t="n">
        <v>0</v>
      </c>
      <c r="K72" s="18" t="n">
        <v>0.26551137</v>
      </c>
      <c r="L72" s="20" t="n">
        <v>0.12221564</v>
      </c>
      <c r="M72" s="18" t="n">
        <v>0</v>
      </c>
      <c r="N72" s="20" t="n">
        <v>0</v>
      </c>
      <c r="O72" s="18" t="n">
        <v>0</v>
      </c>
      <c r="P72" s="20" t="n">
        <v>0</v>
      </c>
      <c r="Q72" s="18" t="n">
        <v>0.62990234</v>
      </c>
      <c r="R72" s="20" t="n">
        <v>0.23903379</v>
      </c>
    </row>
    <row r="73" spans="1:18">
      <c r="A73" s="15" t="s">
        <v>633</v>
      </c>
      <c r="B73" s="17" t="n">
        <v>6115</v>
      </c>
      <c r="C73" s="18">
        <f>(4779.0/B73*100)</f>
        <v/>
      </c>
      <c r="D73" s="19" t="n">
        <v>1336</v>
      </c>
      <c r="E73" s="18" t="n">
        <v>49.22140726</v>
      </c>
      <c r="F73" s="20" t="n">
        <v>1.44320602</v>
      </c>
      <c r="G73" s="18" t="n">
        <v>50.14132616</v>
      </c>
      <c r="H73" s="20" t="n">
        <v>1.47756267</v>
      </c>
      <c r="I73" s="18" t="n">
        <v>0</v>
      </c>
      <c r="J73" s="20" t="n">
        <v>0</v>
      </c>
      <c r="K73" s="18" t="n">
        <v>0.16036827</v>
      </c>
      <c r="L73" s="20" t="n">
        <v>0.11334379</v>
      </c>
      <c r="M73" s="18" t="n">
        <v>0</v>
      </c>
      <c r="N73" s="20" t="n">
        <v>0</v>
      </c>
      <c r="O73" s="18" t="n">
        <v>0</v>
      </c>
      <c r="P73" s="20" t="n">
        <v>0</v>
      </c>
      <c r="Q73" s="18" t="n">
        <v>0.47689832</v>
      </c>
      <c r="R73" s="20" t="n">
        <v>0.19841356</v>
      </c>
    </row>
    <row r="74" spans="1:18">
      <c r="A74" s="15" t="s">
        <v>634</v>
      </c>
      <c r="B74" s="17" t="n">
        <v>7708</v>
      </c>
      <c r="C74" s="18">
        <f>(5966.0/B74*100)</f>
        <v/>
      </c>
      <c r="D74" s="19" t="n">
        <v>1742</v>
      </c>
      <c r="E74" s="18" t="n">
        <v>44.25878685</v>
      </c>
      <c r="F74" s="20" t="n">
        <v>1.27459574</v>
      </c>
      <c r="G74" s="18" t="n">
        <v>55.3751671</v>
      </c>
      <c r="H74" s="20" t="n">
        <v>1.26646987</v>
      </c>
      <c r="I74" s="18" t="n">
        <v>0</v>
      </c>
      <c r="J74" s="20" t="n">
        <v>0</v>
      </c>
      <c r="K74" s="18" t="n">
        <v>0</v>
      </c>
      <c r="L74" s="20" t="n">
        <v>0</v>
      </c>
      <c r="M74" s="18" t="n">
        <v>0</v>
      </c>
      <c r="N74" s="20" t="n">
        <v>0</v>
      </c>
      <c r="O74" s="18" t="n">
        <v>0</v>
      </c>
      <c r="P74" s="20" t="n">
        <v>0</v>
      </c>
      <c r="Q74" s="18" t="n">
        <v>0.36604605</v>
      </c>
      <c r="R74" s="20" t="n">
        <v>0.14328748</v>
      </c>
    </row>
    <row r="75" spans="1:18">
      <c r="A75" s="15" t="s">
        <v>635</v>
      </c>
      <c r="B75" s="17" t="n">
        <v>8249</v>
      </c>
      <c r="C75" s="18">
        <f>(6504.0/B75*100)</f>
        <v/>
      </c>
      <c r="D75" s="19" t="n">
        <v>1745</v>
      </c>
      <c r="E75" s="18" t="n">
        <v>68.10836089999999</v>
      </c>
      <c r="F75" s="20" t="n">
        <v>1.38167105</v>
      </c>
      <c r="G75" s="18" t="n">
        <v>30.77351854</v>
      </c>
      <c r="H75" s="20" t="n">
        <v>1.34454725</v>
      </c>
      <c r="I75" s="18" t="n">
        <v>0</v>
      </c>
      <c r="J75" s="20" t="n">
        <v>0</v>
      </c>
      <c r="K75" s="18" t="n">
        <v>0.02939839</v>
      </c>
      <c r="L75" s="20" t="n">
        <v>0.029456</v>
      </c>
      <c r="M75" s="18" t="n">
        <v>0</v>
      </c>
      <c r="N75" s="20" t="n">
        <v>0</v>
      </c>
      <c r="O75" s="18" t="n">
        <v>0</v>
      </c>
      <c r="P75" s="20" t="n">
        <v>0</v>
      </c>
      <c r="Q75" s="18" t="n">
        <v>1.08872217</v>
      </c>
      <c r="R75" s="20" t="n">
        <v>0.28016338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(4330.0/B77*100)</f>
        <v/>
      </c>
      <c r="D77" s="19" t="n">
        <v>1045</v>
      </c>
      <c r="E77" s="18" t="n">
        <v>75.42025314</v>
      </c>
      <c r="F77" s="20" t="n">
        <v>1.46904193</v>
      </c>
      <c r="G77" s="18" t="n">
        <v>20.21899221</v>
      </c>
      <c r="H77" s="20" t="n">
        <v>1.27376421</v>
      </c>
      <c r="I77" s="18" t="n">
        <v>0</v>
      </c>
      <c r="J77" s="20" t="n">
        <v>0</v>
      </c>
      <c r="K77" s="18" t="n">
        <v>2.63684603</v>
      </c>
      <c r="L77" s="20" t="n">
        <v>0.63934234</v>
      </c>
      <c r="M77" s="18" t="n">
        <v>0</v>
      </c>
      <c r="N77" s="20" t="n">
        <v>0</v>
      </c>
      <c r="O77" s="18" t="n">
        <v>0</v>
      </c>
      <c r="P77" s="20" t="n">
        <v>0</v>
      </c>
      <c r="Q77" s="18" t="n">
        <v>1.72390862</v>
      </c>
      <c r="R77" s="20" t="n">
        <v>0.39656152</v>
      </c>
    </row>
    <row r="78" spans="1:18">
      <c r="A78" s="15" t="s">
        <v>638</v>
      </c>
      <c r="B78" s="17" t="n">
        <v>14167</v>
      </c>
      <c r="C78" s="18">
        <f>(11115.0/B78*100)</f>
        <v/>
      </c>
      <c r="D78" s="19" t="n">
        <v>3052</v>
      </c>
      <c r="E78" s="18" t="n">
        <v>62.98987635</v>
      </c>
      <c r="F78" s="20" t="n">
        <v>1.16351163</v>
      </c>
      <c r="G78" s="18" t="n">
        <v>34.26311441</v>
      </c>
      <c r="H78" s="20" t="n">
        <v>1.23327444</v>
      </c>
      <c r="I78" s="18" t="n">
        <v>0</v>
      </c>
      <c r="J78" s="20" t="n">
        <v>0</v>
      </c>
      <c r="K78" s="18" t="n">
        <v>0.90968167</v>
      </c>
      <c r="L78" s="20" t="n">
        <v>0.21146535</v>
      </c>
      <c r="M78" s="18" t="n">
        <v>0</v>
      </c>
      <c r="N78" s="20" t="n">
        <v>0</v>
      </c>
      <c r="O78" s="18" t="n">
        <v>0</v>
      </c>
      <c r="P78" s="20" t="n">
        <v>0</v>
      </c>
      <c r="Q78" s="18" t="n">
        <v>1.83732757</v>
      </c>
      <c r="R78" s="20" t="n">
        <v>0.39543488</v>
      </c>
    </row>
    <row r="79" spans="1:18">
      <c r="A79" s="15" t="s">
        <v>639</v>
      </c>
      <c r="B79" s="17" t="n">
        <v>6062</v>
      </c>
      <c r="C79" s="18">
        <f>(4763.0/B79*100)</f>
        <v/>
      </c>
      <c r="D79" s="19" t="n">
        <v>1299</v>
      </c>
      <c r="E79" s="18" t="n">
        <v>67.21428014999999</v>
      </c>
      <c r="F79" s="20" t="n">
        <v>1.51988955</v>
      </c>
      <c r="G79" s="18" t="n">
        <v>29.57119362</v>
      </c>
      <c r="H79" s="20" t="n">
        <v>1.57206314</v>
      </c>
      <c r="I79" s="18" t="n">
        <v>0</v>
      </c>
      <c r="J79" s="20" t="n">
        <v>0</v>
      </c>
      <c r="K79" s="18" t="n">
        <v>0.77434365</v>
      </c>
      <c r="L79" s="20" t="n">
        <v>0.25643952</v>
      </c>
      <c r="M79" s="18" t="n">
        <v>0</v>
      </c>
      <c r="N79" s="20" t="n">
        <v>0</v>
      </c>
      <c r="O79" s="18" t="n">
        <v>0</v>
      </c>
      <c r="P79" s="20" t="n">
        <v>0</v>
      </c>
      <c r="Q79" s="18" t="n">
        <v>2.44018258</v>
      </c>
      <c r="R79" s="20" t="n">
        <v>0.39554818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(25200.0/B82*100)</f>
        <v/>
      </c>
      <c r="D82" s="19" t="n">
        <v>7130</v>
      </c>
      <c r="E82" s="18" t="n">
        <v>57.80846919</v>
      </c>
      <c r="F82" s="20" t="n">
        <v>0.85372708</v>
      </c>
      <c r="G82" s="18" t="n">
        <v>40.96498965</v>
      </c>
      <c r="H82" s="20" t="n">
        <v>0.88134887</v>
      </c>
      <c r="I82" s="18" t="n">
        <v>0</v>
      </c>
      <c r="J82" s="20" t="n">
        <v>0</v>
      </c>
      <c r="K82" s="18" t="n">
        <v>0.21143595</v>
      </c>
      <c r="L82" s="20" t="n">
        <v>0.0959025</v>
      </c>
      <c r="M82" s="18" t="n">
        <v>0</v>
      </c>
      <c r="N82" s="20" t="n">
        <v>0</v>
      </c>
      <c r="O82" s="18" t="n">
        <v>0</v>
      </c>
      <c r="P82" s="20" t="n">
        <v>0</v>
      </c>
      <c r="Q82" s="18" t="n">
        <v>1.01510522</v>
      </c>
      <c r="R82" s="20" t="n">
        <v>0.17815561</v>
      </c>
    </row>
    <row r="83" spans="1:18">
      <c r="A83" s="15" t="s">
        <v>643</v>
      </c>
      <c r="B83" s="17" t="n">
        <v>1652</v>
      </c>
      <c r="C83" s="18">
        <f>(1288.0/B83*100)</f>
        <v/>
      </c>
      <c r="D83" s="19" t="n">
        <v>364</v>
      </c>
      <c r="E83" s="18" t="n">
        <v>46.02513757</v>
      </c>
      <c r="F83" s="20" t="n">
        <v>2.46773688</v>
      </c>
      <c r="G83" s="18" t="n">
        <v>52.43974662</v>
      </c>
      <c r="H83" s="20" t="n">
        <v>2.66778715</v>
      </c>
      <c r="I83" s="18" t="n">
        <v>0</v>
      </c>
      <c r="J83" s="20" t="n">
        <v>0</v>
      </c>
      <c r="K83" s="18" t="n">
        <v>0.31214366</v>
      </c>
      <c r="L83" s="20" t="n">
        <v>0.32672076</v>
      </c>
      <c r="M83" s="18" t="n">
        <v>0</v>
      </c>
      <c r="N83" s="20" t="n">
        <v>0</v>
      </c>
      <c r="O83" s="18" t="n">
        <v>0</v>
      </c>
      <c r="P83" s="20" t="n">
        <v>0</v>
      </c>
      <c r="Q83" s="18" t="n">
        <v>1.22297215</v>
      </c>
      <c r="R83" s="20" t="n">
        <v>0.5812150699999999</v>
      </c>
    </row>
    <row r="84" spans="1:18">
      <c r="A84" s="23" t="s">
        <v>644</v>
      </c>
      <c r="B84" s="24" t="n">
        <v>1887</v>
      </c>
      <c r="C84" s="25">
        <f>(1494.0/B84*100)</f>
        <v/>
      </c>
      <c r="D84" s="19" t="n">
        <v>393</v>
      </c>
      <c r="E84" s="18" t="n">
        <v>51.81706804</v>
      </c>
      <c r="F84" s="20" t="n">
        <v>2.69584409</v>
      </c>
      <c r="G84" s="18" t="n">
        <v>47.54591442</v>
      </c>
      <c r="H84" s="20" t="n">
        <v>2.83774519</v>
      </c>
      <c r="I84" s="18" t="n">
        <v>0</v>
      </c>
      <c r="J84" s="20" t="n">
        <v>0</v>
      </c>
      <c r="K84" s="18" t="n">
        <v>0</v>
      </c>
      <c r="L84" s="20" t="n">
        <v>0</v>
      </c>
      <c r="M84" s="18" t="n">
        <v>0</v>
      </c>
      <c r="N84" s="20" t="n">
        <v>0</v>
      </c>
      <c r="O84" s="18" t="n">
        <v>0</v>
      </c>
      <c r="P84" s="20" t="n">
        <v>0</v>
      </c>
      <c r="Q84" s="18" t="n">
        <v>0.63701754</v>
      </c>
      <c r="R84" s="20" t="n">
        <v>0.37100832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(11336.0/B7*100)</f>
        <v/>
      </c>
      <c r="D7" s="19" t="n">
        <v>3194</v>
      </c>
      <c r="E7" s="18" t="n">
        <v>64.23570667</v>
      </c>
      <c r="F7" s="20" t="n">
        <v>0.92684157</v>
      </c>
      <c r="G7" s="18" t="n">
        <v>33.58996972</v>
      </c>
      <c r="H7" s="20" t="n">
        <v>0.93667969</v>
      </c>
      <c r="I7" s="18" t="n">
        <v>0</v>
      </c>
      <c r="J7" s="20" t="n">
        <v>0</v>
      </c>
      <c r="K7" s="18" t="n">
        <v>0.22153805</v>
      </c>
      <c r="L7" s="20" t="n">
        <v>0.10523373</v>
      </c>
      <c r="M7" s="18" t="n">
        <v>0.10242192</v>
      </c>
      <c r="N7" s="20" t="n">
        <v>0.05603527</v>
      </c>
      <c r="O7" s="18" t="n">
        <v>0</v>
      </c>
      <c r="P7" s="20" t="n">
        <v>0</v>
      </c>
      <c r="Q7" s="18" t="n">
        <v>1.85036365</v>
      </c>
      <c r="R7" s="20" t="n">
        <v>0.2719219</v>
      </c>
    </row>
    <row r="8" spans="1:18">
      <c r="A8" s="15" t="s">
        <v>566</v>
      </c>
      <c r="B8" s="17" t="n">
        <v>7007</v>
      </c>
      <c r="C8" s="18">
        <f>(5498.0/B8*100)</f>
        <v/>
      </c>
      <c r="D8" s="19" t="n">
        <v>1509</v>
      </c>
      <c r="E8" s="18" t="n">
        <v>75.9666069</v>
      </c>
      <c r="F8" s="20" t="n">
        <v>1.35578838</v>
      </c>
      <c r="G8" s="18" t="n">
        <v>22.09846932</v>
      </c>
      <c r="H8" s="20" t="n">
        <v>1.31289261</v>
      </c>
      <c r="I8" s="18" t="n">
        <v>0</v>
      </c>
      <c r="J8" s="20" t="n">
        <v>0</v>
      </c>
      <c r="K8" s="18" t="n">
        <v>0.07750045999999999</v>
      </c>
      <c r="L8" s="20" t="n">
        <v>0.07544107</v>
      </c>
      <c r="M8" s="18" t="n">
        <v>0</v>
      </c>
      <c r="N8" s="20" t="n">
        <v>0</v>
      </c>
      <c r="O8" s="18" t="n">
        <v>0</v>
      </c>
      <c r="P8" s="20" t="n">
        <v>0</v>
      </c>
      <c r="Q8" s="18" t="n">
        <v>1.85742332</v>
      </c>
      <c r="R8" s="20" t="n">
        <v>0.41187663</v>
      </c>
    </row>
    <row r="9" spans="1:18">
      <c r="A9" s="15" t="s">
        <v>567</v>
      </c>
      <c r="B9" s="17" t="n">
        <v>9651</v>
      </c>
      <c r="C9" s="18">
        <f>(7591.0/B9*100)</f>
        <v/>
      </c>
      <c r="D9" s="19" t="n">
        <v>2060</v>
      </c>
      <c r="E9" s="18" t="n">
        <v>69.96086325</v>
      </c>
      <c r="F9" s="20" t="n">
        <v>1.19319073</v>
      </c>
      <c r="G9" s="18" t="n">
        <v>27.30406936</v>
      </c>
      <c r="H9" s="20" t="n">
        <v>1.24597724</v>
      </c>
      <c r="I9" s="18" t="n">
        <v>0</v>
      </c>
      <c r="J9" s="20" t="n">
        <v>0</v>
      </c>
      <c r="K9" s="18" t="n">
        <v>0.26507675</v>
      </c>
      <c r="L9" s="20" t="n">
        <v>0.1236718</v>
      </c>
      <c r="M9" s="18" t="n">
        <v>0.41177407</v>
      </c>
      <c r="N9" s="20" t="n">
        <v>0.15234752</v>
      </c>
      <c r="O9" s="18" t="n">
        <v>0</v>
      </c>
      <c r="P9" s="20" t="n">
        <v>0</v>
      </c>
      <c r="Q9" s="18" t="n">
        <v>2.05821657</v>
      </c>
      <c r="R9" s="20" t="n">
        <v>0.29861038</v>
      </c>
    </row>
    <row r="10" spans="1:18">
      <c r="A10" s="15" t="s">
        <v>568</v>
      </c>
      <c r="B10" s="17" t="n">
        <v>20058</v>
      </c>
      <c r="C10" s="18">
        <f>(15647.0/B10*100)</f>
        <v/>
      </c>
      <c r="D10" s="19" t="n">
        <v>4411</v>
      </c>
      <c r="E10" s="18" t="n">
        <v>58.13076574</v>
      </c>
      <c r="F10" s="20" t="n">
        <v>1.12396653</v>
      </c>
      <c r="G10" s="18" t="n">
        <v>40.49000745</v>
      </c>
      <c r="H10" s="20" t="n">
        <v>1.1305771</v>
      </c>
      <c r="I10" s="18" t="n">
        <v>0</v>
      </c>
      <c r="J10" s="20" t="n">
        <v>0</v>
      </c>
      <c r="K10" s="18" t="n">
        <v>0.36766958</v>
      </c>
      <c r="L10" s="20" t="n">
        <v>0.13996791</v>
      </c>
      <c r="M10" s="18" t="n">
        <v>0.00184567</v>
      </c>
      <c r="N10" s="20" t="n">
        <v>0.00189174</v>
      </c>
      <c r="O10" s="18" t="n">
        <v>0</v>
      </c>
      <c r="P10" s="20" t="n">
        <v>0</v>
      </c>
      <c r="Q10" s="18" t="n">
        <v>1.00971158</v>
      </c>
      <c r="R10" s="20" t="n">
        <v>0.22294306</v>
      </c>
    </row>
    <row r="11" spans="1:18">
      <c r="A11" s="15" t="s">
        <v>569</v>
      </c>
      <c r="B11" s="17" t="n">
        <v>7053</v>
      </c>
      <c r="C11" s="18">
        <f>(5573.0/B11*100)</f>
        <v/>
      </c>
      <c r="D11" s="19" t="n">
        <v>1480</v>
      </c>
      <c r="E11" s="18" t="n">
        <v>79.45691198</v>
      </c>
      <c r="F11" s="20" t="n">
        <v>1.32508624</v>
      </c>
      <c r="G11" s="18" t="n">
        <v>15.96538341</v>
      </c>
      <c r="H11" s="20" t="n">
        <v>1.00855832</v>
      </c>
      <c r="I11" s="18" t="n">
        <v>0</v>
      </c>
      <c r="J11" s="20" t="n">
        <v>0</v>
      </c>
      <c r="K11" s="18" t="n">
        <v>1.23178025</v>
      </c>
      <c r="L11" s="20" t="n">
        <v>0.45906378</v>
      </c>
      <c r="M11" s="18" t="n">
        <v>0.02917528</v>
      </c>
      <c r="N11" s="20" t="n">
        <v>0.0318728</v>
      </c>
      <c r="O11" s="18" t="n">
        <v>0</v>
      </c>
      <c r="P11" s="20" t="n">
        <v>0</v>
      </c>
      <c r="Q11" s="18" t="n">
        <v>3.31674908</v>
      </c>
      <c r="R11" s="20" t="n">
        <v>0.70983693</v>
      </c>
    </row>
    <row r="12" spans="1:18">
      <c r="A12" s="15" t="s">
        <v>570</v>
      </c>
      <c r="B12" s="17" t="n">
        <v>6894</v>
      </c>
      <c r="C12" s="18">
        <f>(5376.0/B12*100)</f>
        <v/>
      </c>
      <c r="D12" s="19" t="n">
        <v>1518</v>
      </c>
      <c r="E12" s="18" t="n">
        <v>73.57451492</v>
      </c>
      <c r="F12" s="20" t="n">
        <v>1.17912703</v>
      </c>
      <c r="G12" s="18" t="n">
        <v>25.03556096</v>
      </c>
      <c r="H12" s="20" t="n">
        <v>1.17332614</v>
      </c>
      <c r="I12" s="18" t="n">
        <v>0</v>
      </c>
      <c r="J12" s="20" t="n">
        <v>0</v>
      </c>
      <c r="K12" s="18" t="n">
        <v>0.32716455</v>
      </c>
      <c r="L12" s="20" t="n">
        <v>0.17965083</v>
      </c>
      <c r="M12" s="18" t="n">
        <v>0.06372771000000001</v>
      </c>
      <c r="N12" s="20" t="n">
        <v>0.05732898</v>
      </c>
      <c r="O12" s="18" t="n">
        <v>0</v>
      </c>
      <c r="P12" s="20" t="n">
        <v>0</v>
      </c>
      <c r="Q12" s="18" t="n">
        <v>0.99903186</v>
      </c>
      <c r="R12" s="20" t="n">
        <v>0.29237702</v>
      </c>
    </row>
    <row r="13" spans="1:18">
      <c r="A13" s="15" t="s">
        <v>571</v>
      </c>
      <c r="B13" s="17" t="n">
        <v>7161</v>
      </c>
      <c r="C13" s="18">
        <f>(5700.0/B13*100)</f>
        <v/>
      </c>
      <c r="D13" s="19" t="n">
        <v>1461</v>
      </c>
      <c r="E13" s="18" t="n">
        <v>65.23535433000001</v>
      </c>
      <c r="F13" s="20" t="n">
        <v>1.45836298</v>
      </c>
      <c r="G13" s="18" t="n">
        <v>33.76248334</v>
      </c>
      <c r="H13" s="20" t="n">
        <v>1.54532924</v>
      </c>
      <c r="I13" s="18" t="n">
        <v>0</v>
      </c>
      <c r="J13" s="20" t="n">
        <v>0</v>
      </c>
      <c r="K13" s="18" t="n">
        <v>0.14627608</v>
      </c>
      <c r="L13" s="20" t="n">
        <v>0.06726901</v>
      </c>
      <c r="M13" s="18" t="n">
        <v>0.0332898</v>
      </c>
      <c r="N13" s="20" t="n">
        <v>0.03465688</v>
      </c>
      <c r="O13" s="18" t="n">
        <v>0</v>
      </c>
      <c r="P13" s="20" t="n">
        <v>0</v>
      </c>
      <c r="Q13" s="18" t="n">
        <v>0.82259644</v>
      </c>
      <c r="R13" s="20" t="n">
        <v>0.29356902</v>
      </c>
    </row>
    <row r="14" spans="1:18">
      <c r="A14" s="15" t="s">
        <v>572</v>
      </c>
      <c r="B14" s="17" t="n">
        <v>5587</v>
      </c>
      <c r="C14" s="18">
        <f>(4400.0/B14*100)</f>
        <v/>
      </c>
      <c r="D14" s="19" t="n">
        <v>1187</v>
      </c>
      <c r="E14" s="18" t="n">
        <v>60.43674538</v>
      </c>
      <c r="F14" s="20" t="n">
        <v>1.5000328</v>
      </c>
      <c r="G14" s="18" t="n">
        <v>38.51895801</v>
      </c>
      <c r="H14" s="20" t="n">
        <v>1.57871956</v>
      </c>
      <c r="I14" s="18" t="n">
        <v>0</v>
      </c>
      <c r="J14" s="20" t="n">
        <v>0</v>
      </c>
      <c r="K14" s="18" t="n">
        <v>0.38825051</v>
      </c>
      <c r="L14" s="20" t="n">
        <v>0.15239241</v>
      </c>
      <c r="M14" s="18" t="n">
        <v>0</v>
      </c>
      <c r="N14" s="20" t="n">
        <v>0</v>
      </c>
      <c r="O14" s="18" t="n">
        <v>0</v>
      </c>
      <c r="P14" s="20" t="n">
        <v>0</v>
      </c>
      <c r="Q14" s="18" t="n">
        <v>0.6560461</v>
      </c>
      <c r="R14" s="20" t="n">
        <v>0.29261116</v>
      </c>
    </row>
    <row r="15" spans="1:18">
      <c r="A15" s="15" t="s">
        <v>573</v>
      </c>
      <c r="B15" s="17" t="n">
        <v>5882</v>
      </c>
      <c r="C15" s="18">
        <f>(4622.0/B15*100)</f>
        <v/>
      </c>
      <c r="D15" s="19" t="n">
        <v>1260</v>
      </c>
      <c r="E15" s="18" t="n">
        <v>68.44879985999999</v>
      </c>
      <c r="F15" s="20" t="n">
        <v>1.47066355</v>
      </c>
      <c r="G15" s="18" t="n">
        <v>30.70641893</v>
      </c>
      <c r="H15" s="20" t="n">
        <v>1.48396668</v>
      </c>
      <c r="I15" s="18" t="n">
        <v>0</v>
      </c>
      <c r="J15" s="20" t="n">
        <v>0</v>
      </c>
      <c r="K15" s="18" t="n">
        <v>0.18468285</v>
      </c>
      <c r="L15" s="20" t="n">
        <v>0.14038607</v>
      </c>
      <c r="M15" s="18" t="n">
        <v>0</v>
      </c>
      <c r="N15" s="20" t="n">
        <v>0</v>
      </c>
      <c r="O15" s="18" t="n">
        <v>0</v>
      </c>
      <c r="P15" s="20" t="n">
        <v>0</v>
      </c>
      <c r="Q15" s="18" t="n">
        <v>0.66009836</v>
      </c>
      <c r="R15" s="20" t="n">
        <v>0.24800447</v>
      </c>
    </row>
    <row r="16" spans="1:18">
      <c r="A16" s="15" t="s">
        <v>574</v>
      </c>
      <c r="B16" s="17" t="n">
        <v>6108</v>
      </c>
      <c r="C16" s="18">
        <f>(4812.0/B16*100)</f>
        <v/>
      </c>
      <c r="D16" s="19" t="n">
        <v>1296</v>
      </c>
      <c r="E16" s="18" t="n">
        <v>65.19225784</v>
      </c>
      <c r="F16" s="20" t="n">
        <v>1.52190003</v>
      </c>
      <c r="G16" s="18" t="n">
        <v>30.57249224</v>
      </c>
      <c r="H16" s="20" t="n">
        <v>1.42579077</v>
      </c>
      <c r="I16" s="18" t="n">
        <v>0</v>
      </c>
      <c r="J16" s="20" t="n">
        <v>0</v>
      </c>
      <c r="K16" s="18" t="n">
        <v>0.56855259</v>
      </c>
      <c r="L16" s="20" t="n">
        <v>0.19463386</v>
      </c>
      <c r="M16" s="18" t="n">
        <v>0</v>
      </c>
      <c r="N16" s="20" t="n">
        <v>0</v>
      </c>
      <c r="O16" s="18" t="n">
        <v>0</v>
      </c>
      <c r="P16" s="20" t="n">
        <v>0</v>
      </c>
      <c r="Q16" s="18" t="n">
        <v>3.66669732</v>
      </c>
      <c r="R16" s="20" t="n">
        <v>0.54267014</v>
      </c>
    </row>
    <row r="17" spans="1:18">
      <c r="A17" s="15" t="s">
        <v>575</v>
      </c>
      <c r="B17" s="17" t="n">
        <v>6504</v>
      </c>
      <c r="C17" s="18">
        <f>(5062.0/B17*100)</f>
        <v/>
      </c>
      <c r="D17" s="19" t="n">
        <v>1442</v>
      </c>
      <c r="E17" s="18" t="n">
        <v>74.04163622</v>
      </c>
      <c r="F17" s="20" t="n">
        <v>1.34407336</v>
      </c>
      <c r="G17" s="18" t="n">
        <v>23.01563898</v>
      </c>
      <c r="H17" s="20" t="n">
        <v>1.30584354</v>
      </c>
      <c r="I17" s="18" t="n">
        <v>0</v>
      </c>
      <c r="J17" s="20" t="n">
        <v>0</v>
      </c>
      <c r="K17" s="18" t="n">
        <v>0.21474959</v>
      </c>
      <c r="L17" s="20" t="n">
        <v>0.10463476</v>
      </c>
      <c r="M17" s="18" t="n">
        <v>0</v>
      </c>
      <c r="N17" s="20" t="n">
        <v>0</v>
      </c>
      <c r="O17" s="18" t="n">
        <v>0</v>
      </c>
      <c r="P17" s="20" t="n">
        <v>0</v>
      </c>
      <c r="Q17" s="18" t="n">
        <v>2.72797522</v>
      </c>
      <c r="R17" s="20" t="n">
        <v>0.41613811</v>
      </c>
    </row>
    <row r="18" spans="1:18">
      <c r="A18" s="15" t="s">
        <v>576</v>
      </c>
      <c r="B18" s="17" t="n">
        <v>5532</v>
      </c>
      <c r="C18" s="18">
        <f>(4323.0/B18*100)</f>
        <v/>
      </c>
      <c r="D18" s="19" t="n">
        <v>1209</v>
      </c>
      <c r="E18" s="18" t="n">
        <v>76.17887675999999</v>
      </c>
      <c r="F18" s="20" t="n">
        <v>1.3959622</v>
      </c>
      <c r="G18" s="18" t="n">
        <v>20.57809859</v>
      </c>
      <c r="H18" s="20" t="n">
        <v>1.45146898</v>
      </c>
      <c r="I18" s="18" t="n">
        <v>0</v>
      </c>
      <c r="J18" s="20" t="n">
        <v>0</v>
      </c>
      <c r="K18" s="18" t="n">
        <v>0.7342402099999999</v>
      </c>
      <c r="L18" s="20" t="n">
        <v>0.28447594</v>
      </c>
      <c r="M18" s="18" t="n">
        <v>0</v>
      </c>
      <c r="N18" s="20" t="n">
        <v>0</v>
      </c>
      <c r="O18" s="18" t="n">
        <v>0</v>
      </c>
      <c r="P18" s="20" t="n">
        <v>0</v>
      </c>
      <c r="Q18" s="18" t="n">
        <v>2.50878444</v>
      </c>
      <c r="R18" s="20" t="n">
        <v>0.48641288</v>
      </c>
    </row>
    <row r="19" spans="1:18">
      <c r="A19" s="15" t="s">
        <v>577</v>
      </c>
      <c r="B19" s="17" t="n">
        <v>5658</v>
      </c>
      <c r="C19" s="18">
        <f>(4415.0/B19*100)</f>
        <v/>
      </c>
      <c r="D19" s="19" t="n">
        <v>1243</v>
      </c>
      <c r="E19" s="18" t="n">
        <v>70.49414950000001</v>
      </c>
      <c r="F19" s="20" t="n">
        <v>1.37673928</v>
      </c>
      <c r="G19" s="18" t="n">
        <v>27.91102792</v>
      </c>
      <c r="H19" s="20" t="n">
        <v>1.36997345</v>
      </c>
      <c r="I19" s="18" t="n">
        <v>0</v>
      </c>
      <c r="J19" s="20" t="n">
        <v>0</v>
      </c>
      <c r="K19" s="18" t="n">
        <v>0.13167001</v>
      </c>
      <c r="L19" s="20" t="n">
        <v>0.07947936</v>
      </c>
      <c r="M19" s="18" t="n">
        <v>0.06941678</v>
      </c>
      <c r="N19" s="20" t="n">
        <v>0.06941381000000001</v>
      </c>
      <c r="O19" s="18" t="n">
        <v>0</v>
      </c>
      <c r="P19" s="20" t="n">
        <v>0</v>
      </c>
      <c r="Q19" s="18" t="n">
        <v>1.39373581</v>
      </c>
      <c r="R19" s="20" t="n">
        <v>0.29748889</v>
      </c>
    </row>
    <row r="20" spans="1:18">
      <c r="A20" s="15" t="s">
        <v>578</v>
      </c>
      <c r="B20" s="17" t="n">
        <v>3371</v>
      </c>
      <c r="C20" s="18">
        <f>(2626.0/B20*100)</f>
        <v/>
      </c>
      <c r="D20" s="19" t="n">
        <v>745</v>
      </c>
      <c r="E20" s="18" t="n">
        <v>82.72151248</v>
      </c>
      <c r="F20" s="20" t="n">
        <v>1.29755877</v>
      </c>
      <c r="G20" s="18" t="n">
        <v>15.21674725</v>
      </c>
      <c r="H20" s="20" t="n">
        <v>1.21429976</v>
      </c>
      <c r="I20" s="18" t="n">
        <v>0</v>
      </c>
      <c r="J20" s="20" t="n">
        <v>0</v>
      </c>
      <c r="K20" s="18" t="n">
        <v>0</v>
      </c>
      <c r="L20" s="20" t="n">
        <v>0</v>
      </c>
      <c r="M20" s="18" t="n">
        <v>0.20769707</v>
      </c>
      <c r="N20" s="20" t="n">
        <v>0.21151542</v>
      </c>
      <c r="O20" s="18" t="n">
        <v>0</v>
      </c>
      <c r="P20" s="20" t="n">
        <v>0</v>
      </c>
      <c r="Q20" s="18" t="n">
        <v>1.85404319</v>
      </c>
      <c r="R20" s="20" t="n">
        <v>0.50071075</v>
      </c>
    </row>
    <row r="21" spans="1:18">
      <c r="A21" s="15" t="s">
        <v>579</v>
      </c>
      <c r="B21" s="17" t="n">
        <v>5741</v>
      </c>
      <c r="C21" s="18">
        <f>(4459.0/B21*100)</f>
        <v/>
      </c>
      <c r="D21" s="19" t="n">
        <v>1282</v>
      </c>
      <c r="E21" s="18" t="n">
        <v>60.00940392</v>
      </c>
      <c r="F21" s="20" t="n">
        <v>1.49539383</v>
      </c>
      <c r="G21" s="18" t="n">
        <v>38.72228789</v>
      </c>
      <c r="H21" s="20" t="n">
        <v>1.53253746</v>
      </c>
      <c r="I21" s="18" t="n">
        <v>0</v>
      </c>
      <c r="J21" s="20" t="n">
        <v>0</v>
      </c>
      <c r="K21" s="18" t="n">
        <v>0.13621421</v>
      </c>
      <c r="L21" s="20" t="n">
        <v>0.09685699</v>
      </c>
      <c r="M21" s="18" t="n">
        <v>0</v>
      </c>
      <c r="N21" s="20" t="n">
        <v>0</v>
      </c>
      <c r="O21" s="18" t="n">
        <v>0</v>
      </c>
      <c r="P21" s="20" t="n">
        <v>0</v>
      </c>
      <c r="Q21" s="18" t="n">
        <v>1.13209397</v>
      </c>
      <c r="R21" s="20" t="n">
        <v>0.32937235</v>
      </c>
    </row>
    <row r="22" spans="1:18">
      <c r="A22" s="15" t="s">
        <v>580</v>
      </c>
      <c r="B22" s="17" t="n">
        <v>6598</v>
      </c>
      <c r="C22" s="18">
        <f>(5133.0/B22*100)</f>
        <v/>
      </c>
      <c r="D22" s="19" t="n">
        <v>1465</v>
      </c>
      <c r="E22" s="18" t="n">
        <v>68.66983584</v>
      </c>
      <c r="F22" s="20" t="n">
        <v>1.40997853</v>
      </c>
      <c r="G22" s="18" t="n">
        <v>27.81731189</v>
      </c>
      <c r="H22" s="20" t="n">
        <v>1.41238791</v>
      </c>
      <c r="I22" s="18" t="n">
        <v>0</v>
      </c>
      <c r="J22" s="20" t="n">
        <v>0</v>
      </c>
      <c r="K22" s="18" t="n">
        <v>0.79877158</v>
      </c>
      <c r="L22" s="20" t="n">
        <v>0.28182255</v>
      </c>
      <c r="M22" s="18" t="n">
        <v>0</v>
      </c>
      <c r="N22" s="20" t="n">
        <v>0</v>
      </c>
      <c r="O22" s="18" t="n">
        <v>0</v>
      </c>
      <c r="P22" s="20" t="n">
        <v>0</v>
      </c>
      <c r="Q22" s="18" t="n">
        <v>2.71408069</v>
      </c>
      <c r="R22" s="20" t="n">
        <v>0.45215359</v>
      </c>
    </row>
    <row r="23" spans="1:18">
      <c r="A23" s="15" t="s">
        <v>581</v>
      </c>
      <c r="B23" s="17" t="n">
        <v>11583</v>
      </c>
      <c r="C23" s="18">
        <f>(8996.0/B23*100)</f>
        <v/>
      </c>
      <c r="D23" s="19" t="n">
        <v>2587</v>
      </c>
      <c r="E23" s="18" t="n">
        <v>76.33954156</v>
      </c>
      <c r="F23" s="20" t="n">
        <v>0.86100751</v>
      </c>
      <c r="G23" s="18" t="n">
        <v>21.08898343</v>
      </c>
      <c r="H23" s="20" t="n">
        <v>0.85213726</v>
      </c>
      <c r="I23" s="18" t="n">
        <v>0</v>
      </c>
      <c r="J23" s="20" t="n">
        <v>0</v>
      </c>
      <c r="K23" s="18" t="n">
        <v>0.22781092</v>
      </c>
      <c r="L23" s="20" t="n">
        <v>0.13036039</v>
      </c>
      <c r="M23" s="18" t="n">
        <v>0.09492059999999999</v>
      </c>
      <c r="N23" s="20" t="n">
        <v>0.09788470000000001</v>
      </c>
      <c r="O23" s="18" t="n">
        <v>0</v>
      </c>
      <c r="P23" s="20" t="n">
        <v>0</v>
      </c>
      <c r="Q23" s="18" t="n">
        <v>2.24874349</v>
      </c>
      <c r="R23" s="20" t="n">
        <v>0.45721932</v>
      </c>
    </row>
    <row r="24" spans="1:18">
      <c r="A24" s="15" t="s">
        <v>582</v>
      </c>
      <c r="B24" s="17" t="n">
        <v>6647</v>
      </c>
      <c r="C24" s="18">
        <f>(5149.0/B24*100)</f>
        <v/>
      </c>
      <c r="D24" s="19" t="n">
        <v>1498</v>
      </c>
      <c r="E24" s="18" t="n">
        <v>65.11857023</v>
      </c>
      <c r="F24" s="20" t="n">
        <v>1.25218621</v>
      </c>
      <c r="G24" s="18" t="n">
        <v>31.71607759</v>
      </c>
      <c r="H24" s="20" t="n">
        <v>1.25344453</v>
      </c>
      <c r="I24" s="18" t="n">
        <v>0</v>
      </c>
      <c r="J24" s="20" t="n">
        <v>0</v>
      </c>
      <c r="K24" s="18" t="n">
        <v>0.12952638</v>
      </c>
      <c r="L24" s="20" t="n">
        <v>0.09181039000000001</v>
      </c>
      <c r="M24" s="18" t="n">
        <v>0</v>
      </c>
      <c r="N24" s="20" t="n">
        <v>0</v>
      </c>
      <c r="O24" s="18" t="n">
        <v>0</v>
      </c>
      <c r="P24" s="20" t="n">
        <v>0</v>
      </c>
      <c r="Q24" s="18" t="n">
        <v>3.0358258</v>
      </c>
      <c r="R24" s="20" t="n">
        <v>0.4328597</v>
      </c>
    </row>
    <row r="25" spans="1:18">
      <c r="A25" s="15" t="s">
        <v>583</v>
      </c>
      <c r="B25" s="17" t="n">
        <v>5581</v>
      </c>
      <c r="C25" s="18">
        <f>(4330.0/B25*100)</f>
        <v/>
      </c>
      <c r="D25" s="19" t="n">
        <v>1251</v>
      </c>
      <c r="E25" s="18" t="n">
        <v>68.59281421</v>
      </c>
      <c r="F25" s="20" t="n">
        <v>1.48919588</v>
      </c>
      <c r="G25" s="18" t="n">
        <v>30.69438745</v>
      </c>
      <c r="H25" s="20" t="n">
        <v>1.49866518</v>
      </c>
      <c r="I25" s="18" t="n">
        <v>0</v>
      </c>
      <c r="J25" s="20" t="n">
        <v>0</v>
      </c>
      <c r="K25" s="18" t="n">
        <v>0.31084288</v>
      </c>
      <c r="L25" s="20" t="n">
        <v>0.15513916</v>
      </c>
      <c r="M25" s="18" t="n">
        <v>0</v>
      </c>
      <c r="N25" s="20" t="n">
        <v>0</v>
      </c>
      <c r="O25" s="18" t="n">
        <v>0</v>
      </c>
      <c r="P25" s="20" t="n">
        <v>0</v>
      </c>
      <c r="Q25" s="18" t="n">
        <v>0.40195547</v>
      </c>
      <c r="R25" s="20" t="n">
        <v>0.18117743</v>
      </c>
    </row>
    <row r="26" spans="1:18">
      <c r="A26" s="15" t="s">
        <v>584</v>
      </c>
      <c r="B26" s="17" t="n">
        <v>4869</v>
      </c>
      <c r="C26" s="18">
        <f>(3806.0/B26*100)</f>
        <v/>
      </c>
      <c r="D26" s="19" t="n">
        <v>1063</v>
      </c>
      <c r="E26" s="18" t="n">
        <v>73.16606329</v>
      </c>
      <c r="F26" s="20" t="n">
        <v>1.51366228</v>
      </c>
      <c r="G26" s="18" t="n">
        <v>26.14590127</v>
      </c>
      <c r="H26" s="20" t="n">
        <v>1.56633925</v>
      </c>
      <c r="I26" s="18" t="n">
        <v>0</v>
      </c>
      <c r="J26" s="20" t="n">
        <v>0</v>
      </c>
      <c r="K26" s="18" t="n">
        <v>0</v>
      </c>
      <c r="L26" s="20" t="n">
        <v>0</v>
      </c>
      <c r="M26" s="18" t="n">
        <v>0.14073407</v>
      </c>
      <c r="N26" s="20" t="n">
        <v>0.09995645</v>
      </c>
      <c r="O26" s="18" t="n">
        <v>0</v>
      </c>
      <c r="P26" s="20" t="n">
        <v>0</v>
      </c>
      <c r="Q26" s="18" t="n">
        <v>0.54730136</v>
      </c>
      <c r="R26" s="20" t="n">
        <v>0.22431926</v>
      </c>
    </row>
    <row r="27" spans="1:18">
      <c r="A27" s="15" t="s">
        <v>585</v>
      </c>
      <c r="B27" s="17" t="n">
        <v>5299</v>
      </c>
      <c r="C27" s="18">
        <f>(4099.0/B27*100)</f>
        <v/>
      </c>
      <c r="D27" s="19" t="n">
        <v>1200</v>
      </c>
      <c r="E27" s="18" t="n">
        <v>76.27871938</v>
      </c>
      <c r="F27" s="20" t="n">
        <v>1.10693897</v>
      </c>
      <c r="G27" s="18" t="n">
        <v>20.11597933</v>
      </c>
      <c r="H27" s="20" t="n">
        <v>1.15504961</v>
      </c>
      <c r="I27" s="18" t="n">
        <v>0</v>
      </c>
      <c r="J27" s="20" t="n">
        <v>0</v>
      </c>
      <c r="K27" s="18" t="n">
        <v>0.24310616</v>
      </c>
      <c r="L27" s="20" t="n">
        <v>0.14033909</v>
      </c>
      <c r="M27" s="18" t="n">
        <v>0</v>
      </c>
      <c r="N27" s="20" t="n">
        <v>0</v>
      </c>
      <c r="O27" s="18" t="n">
        <v>0</v>
      </c>
      <c r="P27" s="20" t="n">
        <v>0</v>
      </c>
      <c r="Q27" s="18" t="n">
        <v>3.36219513</v>
      </c>
      <c r="R27" s="20" t="n">
        <v>0.5347394600000001</v>
      </c>
    </row>
    <row r="28" spans="1:18">
      <c r="A28" s="15" t="s">
        <v>586</v>
      </c>
      <c r="B28" s="17" t="n">
        <v>7568</v>
      </c>
      <c r="C28" s="18">
        <f>(6021.0/B28*100)</f>
        <v/>
      </c>
      <c r="D28" s="19" t="n">
        <v>1547</v>
      </c>
      <c r="E28" s="18" t="n">
        <v>85.28827191000001</v>
      </c>
      <c r="F28" s="20" t="n">
        <v>0.85909823</v>
      </c>
      <c r="G28" s="18" t="n">
        <v>12.38841412</v>
      </c>
      <c r="H28" s="20" t="n">
        <v>0.76349227</v>
      </c>
      <c r="I28" s="18" t="n">
        <v>0</v>
      </c>
      <c r="J28" s="20" t="n">
        <v>0</v>
      </c>
      <c r="K28" s="18" t="n">
        <v>0.73839334</v>
      </c>
      <c r="L28" s="20" t="n">
        <v>0.23211392</v>
      </c>
      <c r="M28" s="18" t="n">
        <v>0.16403869</v>
      </c>
      <c r="N28" s="20" t="n">
        <v>0.12383982</v>
      </c>
      <c r="O28" s="18" t="n">
        <v>0</v>
      </c>
      <c r="P28" s="20" t="n">
        <v>0</v>
      </c>
      <c r="Q28" s="18" t="n">
        <v>1.42088194</v>
      </c>
      <c r="R28" s="20" t="n">
        <v>0.36285203</v>
      </c>
    </row>
    <row r="29" spans="1:18">
      <c r="A29" s="15" t="s">
        <v>587</v>
      </c>
      <c r="B29" s="17" t="n">
        <v>5385</v>
      </c>
      <c r="C29" s="18">
        <f>(4224.0/B29*100)</f>
        <v/>
      </c>
      <c r="D29" s="19" t="n">
        <v>1161</v>
      </c>
      <c r="E29" s="18" t="n">
        <v>66.18692442</v>
      </c>
      <c r="F29" s="20" t="n">
        <v>1.54639003</v>
      </c>
      <c r="G29" s="18" t="n">
        <v>32.93497662</v>
      </c>
      <c r="H29" s="20" t="n">
        <v>1.51147309</v>
      </c>
      <c r="I29" s="18" t="n">
        <v>0</v>
      </c>
      <c r="J29" s="20" t="n">
        <v>0</v>
      </c>
      <c r="K29" s="18" t="n">
        <v>0.31909367</v>
      </c>
      <c r="L29" s="20" t="n">
        <v>0.15878757</v>
      </c>
      <c r="M29" s="18" t="n">
        <v>0</v>
      </c>
      <c r="N29" s="20" t="n">
        <v>0</v>
      </c>
      <c r="O29" s="18" t="n">
        <v>0</v>
      </c>
      <c r="P29" s="20" t="n">
        <v>0</v>
      </c>
      <c r="Q29" s="18" t="n">
        <v>0.55900529</v>
      </c>
      <c r="R29" s="20" t="n">
        <v>0.17848851</v>
      </c>
    </row>
    <row r="30" spans="1:18">
      <c r="A30" s="15" t="s">
        <v>588</v>
      </c>
      <c r="B30" s="17" t="n">
        <v>4520</v>
      </c>
      <c r="C30" s="18">
        <f>(3572.0/B30*100)</f>
        <v/>
      </c>
      <c r="D30" s="19" t="n">
        <v>948</v>
      </c>
      <c r="E30" s="18" t="n">
        <v>55.71433913</v>
      </c>
      <c r="F30" s="20" t="n">
        <v>1.66383552</v>
      </c>
      <c r="G30" s="18" t="n">
        <v>40.72938817</v>
      </c>
      <c r="H30" s="20" t="n">
        <v>1.72857449</v>
      </c>
      <c r="I30" s="18" t="n">
        <v>0</v>
      </c>
      <c r="J30" s="20" t="n">
        <v>0</v>
      </c>
      <c r="K30" s="18" t="n">
        <v>0.11974409</v>
      </c>
      <c r="L30" s="20" t="n">
        <v>0.11554563</v>
      </c>
      <c r="M30" s="18" t="n">
        <v>0.09604327</v>
      </c>
      <c r="N30" s="20" t="n">
        <v>0.09723111</v>
      </c>
      <c r="O30" s="18" t="n">
        <v>0</v>
      </c>
      <c r="P30" s="20" t="n">
        <v>0</v>
      </c>
      <c r="Q30" s="18" t="n">
        <v>3.34048535</v>
      </c>
      <c r="R30" s="20" t="n">
        <v>0.64754623</v>
      </c>
    </row>
    <row r="31" spans="1:18">
      <c r="A31" s="15" t="s">
        <v>589</v>
      </c>
      <c r="B31" s="17" t="n">
        <v>5456</v>
      </c>
      <c r="C31" s="18">
        <f>(4283.0/B31*100)</f>
        <v/>
      </c>
      <c r="D31" s="19" t="n">
        <v>1173</v>
      </c>
      <c r="E31" s="18" t="n">
        <v>73.42267174</v>
      </c>
      <c r="F31" s="20" t="n">
        <v>1.26719646</v>
      </c>
      <c r="G31" s="18" t="n">
        <v>23.84514117</v>
      </c>
      <c r="H31" s="20" t="n">
        <v>1.15990228</v>
      </c>
      <c r="I31" s="18" t="n">
        <v>0</v>
      </c>
      <c r="J31" s="20" t="n">
        <v>0</v>
      </c>
      <c r="K31" s="18" t="n">
        <v>0.48495519</v>
      </c>
      <c r="L31" s="20" t="n">
        <v>0.18910111</v>
      </c>
      <c r="M31" s="18" t="n">
        <v>0.07199946</v>
      </c>
      <c r="N31" s="20" t="n">
        <v>0.08490564</v>
      </c>
      <c r="O31" s="18" t="n">
        <v>0</v>
      </c>
      <c r="P31" s="20" t="n">
        <v>0</v>
      </c>
      <c r="Q31" s="18" t="n">
        <v>2.17523244</v>
      </c>
      <c r="R31" s="20" t="n">
        <v>0.45811537</v>
      </c>
    </row>
    <row r="32" spans="1:18">
      <c r="A32" s="15" t="s">
        <v>590</v>
      </c>
      <c r="B32" s="17" t="n">
        <v>4478</v>
      </c>
      <c r="C32" s="18">
        <f>(3518.0/B32*100)</f>
        <v/>
      </c>
      <c r="D32" s="19" t="n">
        <v>960</v>
      </c>
      <c r="E32" s="18" t="n">
        <v>76.09047624999999</v>
      </c>
      <c r="F32" s="20" t="n">
        <v>1.64781894</v>
      </c>
      <c r="G32" s="18" t="n">
        <v>23.6069347</v>
      </c>
      <c r="H32" s="20" t="n">
        <v>1.64980946</v>
      </c>
      <c r="I32" s="18" t="n">
        <v>0</v>
      </c>
      <c r="J32" s="20" t="n">
        <v>0</v>
      </c>
      <c r="K32" s="18" t="n">
        <v>0.09273335000000001</v>
      </c>
      <c r="L32" s="20" t="n">
        <v>0.09261423000000001</v>
      </c>
      <c r="M32" s="18" t="n">
        <v>0</v>
      </c>
      <c r="N32" s="20" t="n">
        <v>0</v>
      </c>
      <c r="O32" s="18" t="n">
        <v>0</v>
      </c>
      <c r="P32" s="20" t="n">
        <v>0</v>
      </c>
      <c r="Q32" s="18" t="n">
        <v>0.2098557</v>
      </c>
      <c r="R32" s="20" t="n">
        <v>0.14820818</v>
      </c>
    </row>
    <row r="33" spans="1:18">
      <c r="A33" s="15" t="s">
        <v>591</v>
      </c>
      <c r="B33" s="17" t="n">
        <v>7325</v>
      </c>
      <c r="C33" s="18">
        <f>(5798.0/B33*100)</f>
        <v/>
      </c>
      <c r="D33" s="19" t="n">
        <v>1527</v>
      </c>
      <c r="E33" s="18" t="n">
        <v>69.79783805</v>
      </c>
      <c r="F33" s="20" t="n">
        <v>1.46269759</v>
      </c>
      <c r="G33" s="18" t="n">
        <v>28.41634647</v>
      </c>
      <c r="H33" s="20" t="n">
        <v>1.43681199</v>
      </c>
      <c r="I33" s="18" t="n">
        <v>0</v>
      </c>
      <c r="J33" s="20" t="n">
        <v>0</v>
      </c>
      <c r="K33" s="18" t="n">
        <v>0.33334247</v>
      </c>
      <c r="L33" s="20" t="n">
        <v>0.18728874</v>
      </c>
      <c r="M33" s="18" t="n">
        <v>0.22150562</v>
      </c>
      <c r="N33" s="20" t="n">
        <v>0.16694261</v>
      </c>
      <c r="O33" s="18" t="n">
        <v>0</v>
      </c>
      <c r="P33" s="20" t="n">
        <v>0</v>
      </c>
      <c r="Q33" s="18" t="n">
        <v>1.2309674</v>
      </c>
      <c r="R33" s="20" t="n">
        <v>0.27058273</v>
      </c>
    </row>
    <row r="34" spans="1:18">
      <c r="A34" s="15" t="s">
        <v>592</v>
      </c>
      <c r="B34" s="17" t="n">
        <v>6350</v>
      </c>
      <c r="C34" s="18">
        <f>(4998.0/B34*100)</f>
        <v/>
      </c>
      <c r="D34" s="19" t="n">
        <v>1352</v>
      </c>
      <c r="E34" s="18" t="n">
        <v>78.97261344</v>
      </c>
      <c r="F34" s="20" t="n">
        <v>1.18724478</v>
      </c>
      <c r="G34" s="18" t="n">
        <v>19.1725993</v>
      </c>
      <c r="H34" s="20" t="n">
        <v>1.17394288</v>
      </c>
      <c r="I34" s="18" t="n">
        <v>0</v>
      </c>
      <c r="J34" s="20" t="n">
        <v>0</v>
      </c>
      <c r="K34" s="18" t="n">
        <v>0.04701252</v>
      </c>
      <c r="L34" s="20" t="n">
        <v>0.04710422</v>
      </c>
      <c r="M34" s="18" t="n">
        <v>0.41704726</v>
      </c>
      <c r="N34" s="20" t="n">
        <v>0.1912683</v>
      </c>
      <c r="O34" s="18" t="n">
        <v>0</v>
      </c>
      <c r="P34" s="20" t="n">
        <v>0</v>
      </c>
      <c r="Q34" s="18" t="n">
        <v>1.39072747</v>
      </c>
      <c r="R34" s="20" t="n">
        <v>0.3977419</v>
      </c>
    </row>
    <row r="35" spans="1:18">
      <c r="A35" s="15" t="s">
        <v>593</v>
      </c>
      <c r="B35" s="17" t="n">
        <v>6406</v>
      </c>
      <c r="C35" s="18">
        <f>(4994.0/B35*100)</f>
        <v/>
      </c>
      <c r="D35" s="19" t="n">
        <v>1412</v>
      </c>
      <c r="E35" s="18" t="n">
        <v>74.92165331</v>
      </c>
      <c r="F35" s="20" t="n">
        <v>1.44960683</v>
      </c>
      <c r="G35" s="18" t="n">
        <v>23.37001494</v>
      </c>
      <c r="H35" s="20" t="n">
        <v>1.33201243</v>
      </c>
      <c r="I35" s="18" t="n">
        <v>0</v>
      </c>
      <c r="J35" s="20" t="n">
        <v>0</v>
      </c>
      <c r="K35" s="18" t="n">
        <v>0.1449836</v>
      </c>
      <c r="L35" s="20" t="n">
        <v>0.07418536000000001</v>
      </c>
      <c r="M35" s="18" t="n">
        <v>0.11985322</v>
      </c>
      <c r="N35" s="20" t="n">
        <v>0.11974772</v>
      </c>
      <c r="O35" s="18" t="n">
        <v>0</v>
      </c>
      <c r="P35" s="20" t="n">
        <v>0</v>
      </c>
      <c r="Q35" s="18" t="n">
        <v>1.44349494</v>
      </c>
      <c r="R35" s="20" t="n">
        <v>0.39852398</v>
      </c>
    </row>
    <row r="36" spans="1:18">
      <c r="A36" s="15" t="s">
        <v>594</v>
      </c>
      <c r="B36" s="17" t="n">
        <v>6736</v>
      </c>
      <c r="C36" s="18">
        <f>(5229.0/B36*100)</f>
        <v/>
      </c>
      <c r="D36" s="19" t="n">
        <v>1507</v>
      </c>
      <c r="E36" s="18" t="n">
        <v>72.74970912000001</v>
      </c>
      <c r="F36" s="20" t="n">
        <v>1.26397242</v>
      </c>
      <c r="G36" s="18" t="n">
        <v>24.50742476</v>
      </c>
      <c r="H36" s="20" t="n">
        <v>1.27437924</v>
      </c>
      <c r="I36" s="18" t="n">
        <v>0</v>
      </c>
      <c r="J36" s="20" t="n">
        <v>0</v>
      </c>
      <c r="K36" s="18" t="n">
        <v>0.31764795</v>
      </c>
      <c r="L36" s="20" t="n">
        <v>0.16810269</v>
      </c>
      <c r="M36" s="18" t="n">
        <v>0.07819647</v>
      </c>
      <c r="N36" s="20" t="n">
        <v>0.08530061999999999</v>
      </c>
      <c r="O36" s="18" t="n">
        <v>0</v>
      </c>
      <c r="P36" s="20" t="n">
        <v>0</v>
      </c>
      <c r="Q36" s="18" t="n">
        <v>2.3470217</v>
      </c>
      <c r="R36" s="20" t="n">
        <v>0.46565015</v>
      </c>
    </row>
    <row r="37" spans="1:18">
      <c r="A37" s="15" t="s">
        <v>595</v>
      </c>
      <c r="B37" s="17" t="n">
        <v>5458</v>
      </c>
      <c r="C37" s="18">
        <f>(4285.0/B37*100)</f>
        <v/>
      </c>
      <c r="D37" s="19" t="n">
        <v>1173</v>
      </c>
      <c r="E37" s="18" t="n">
        <v>73.50834331999999</v>
      </c>
      <c r="F37" s="20" t="n">
        <v>1.50780155</v>
      </c>
      <c r="G37" s="18" t="n">
        <v>22.55814121</v>
      </c>
      <c r="H37" s="20" t="n">
        <v>1.55536221</v>
      </c>
      <c r="I37" s="18" t="n">
        <v>0</v>
      </c>
      <c r="J37" s="20" t="n">
        <v>0</v>
      </c>
      <c r="K37" s="18" t="n">
        <v>0.63414713</v>
      </c>
      <c r="L37" s="20" t="n">
        <v>0.24519176</v>
      </c>
      <c r="M37" s="18" t="n">
        <v>0</v>
      </c>
      <c r="N37" s="20" t="n">
        <v>0</v>
      </c>
      <c r="O37" s="18" t="n">
        <v>0</v>
      </c>
      <c r="P37" s="20" t="n">
        <v>0</v>
      </c>
      <c r="Q37" s="18" t="n">
        <v>3.29936834</v>
      </c>
      <c r="R37" s="20" t="n">
        <v>0.63252897</v>
      </c>
    </row>
    <row r="38" spans="1:18">
      <c r="A38" s="15" t="s">
        <v>596</v>
      </c>
      <c r="B38" s="17" t="n">
        <v>5860</v>
      </c>
      <c r="C38" s="18">
        <f>(4552.0/B38*100)</f>
        <v/>
      </c>
      <c r="D38" s="19" t="n">
        <v>1308</v>
      </c>
      <c r="E38" s="18" t="n">
        <v>74.17016531</v>
      </c>
      <c r="F38" s="20" t="n">
        <v>1.37717367</v>
      </c>
      <c r="G38" s="18" t="n">
        <v>22.20470792</v>
      </c>
      <c r="H38" s="20" t="n">
        <v>1.3933132</v>
      </c>
      <c r="I38" s="18" t="n">
        <v>0</v>
      </c>
      <c r="J38" s="20" t="n">
        <v>0</v>
      </c>
      <c r="K38" s="18" t="n">
        <v>0.38125102</v>
      </c>
      <c r="L38" s="20" t="n">
        <v>0.20924417</v>
      </c>
      <c r="M38" s="18" t="n">
        <v>1.89869304</v>
      </c>
      <c r="N38" s="20" t="n">
        <v>0.37168391</v>
      </c>
      <c r="O38" s="18" t="n">
        <v>0</v>
      </c>
      <c r="P38" s="20" t="n">
        <v>0</v>
      </c>
      <c r="Q38" s="18" t="n">
        <v>1.34518272</v>
      </c>
      <c r="R38" s="20" t="n">
        <v>0.34339934</v>
      </c>
    </row>
    <row r="39" spans="1:18">
      <c r="A39" s="15" t="s">
        <v>597</v>
      </c>
      <c r="B39" s="17" t="n">
        <v>5895</v>
      </c>
      <c r="C39" s="18">
        <f>(4579.0/B39*100)</f>
        <v/>
      </c>
      <c r="D39" s="19" t="n">
        <v>1316</v>
      </c>
      <c r="E39" s="18" t="n">
        <v>49.68982244</v>
      </c>
      <c r="F39" s="20" t="n">
        <v>1.43757649</v>
      </c>
      <c r="G39" s="18" t="n">
        <v>20.65277998</v>
      </c>
      <c r="H39" s="20" t="n">
        <v>1.07448636</v>
      </c>
      <c r="I39" s="18" t="n">
        <v>0</v>
      </c>
      <c r="J39" s="20" t="n">
        <v>0</v>
      </c>
      <c r="K39" s="18" t="n">
        <v>0</v>
      </c>
      <c r="L39" s="20" t="n">
        <v>0</v>
      </c>
      <c r="M39" s="18" t="n">
        <v>0</v>
      </c>
      <c r="N39" s="20" t="n">
        <v>0</v>
      </c>
      <c r="O39" s="18" t="n">
        <v>0</v>
      </c>
      <c r="P39" s="20" t="n">
        <v>0</v>
      </c>
      <c r="Q39" s="18" t="n">
        <v>29.65739758</v>
      </c>
      <c r="R39" s="20" t="n">
        <v>1.46934096</v>
      </c>
    </row>
    <row r="40" spans="1:18">
      <c r="A40" s="15" t="s">
        <v>598</v>
      </c>
      <c r="B40" s="17" t="n">
        <v>14157</v>
      </c>
      <c r="C40" s="18">
        <f>(11152.0/B40*100)</f>
        <v/>
      </c>
      <c r="D40" s="19" t="n">
        <v>3005</v>
      </c>
      <c r="E40" s="18" t="n">
        <v>61.57624882</v>
      </c>
      <c r="F40" s="20" t="n">
        <v>1.47273861</v>
      </c>
      <c r="G40" s="18" t="n">
        <v>35.77118368</v>
      </c>
      <c r="H40" s="20" t="n">
        <v>1.51032628</v>
      </c>
      <c r="I40" s="18" t="n">
        <v>0</v>
      </c>
      <c r="J40" s="20" t="n">
        <v>0</v>
      </c>
      <c r="K40" s="18" t="n">
        <v>0.07742265</v>
      </c>
      <c r="L40" s="20" t="n">
        <v>0.02727769</v>
      </c>
      <c r="M40" s="18" t="n">
        <v>0</v>
      </c>
      <c r="N40" s="20" t="n">
        <v>0</v>
      </c>
      <c r="O40" s="18" t="n">
        <v>0</v>
      </c>
      <c r="P40" s="20" t="n">
        <v>0</v>
      </c>
      <c r="Q40" s="18" t="n">
        <v>2.57514485</v>
      </c>
      <c r="R40" s="20" t="n">
        <v>0.4252672</v>
      </c>
    </row>
    <row r="41" spans="1:18">
      <c r="A41" s="15" t="s">
        <v>599</v>
      </c>
      <c r="B41" s="17" t="n">
        <v>5712</v>
      </c>
      <c r="C41" s="18">
        <f>(4424.0/B41*100)</f>
        <v/>
      </c>
      <c r="D41" s="19" t="n">
        <v>1288</v>
      </c>
      <c r="E41" s="18" t="n">
        <v>69.12503907</v>
      </c>
      <c r="F41" s="20" t="n">
        <v>1.55397354</v>
      </c>
      <c r="G41" s="18" t="n">
        <v>29.8898165</v>
      </c>
      <c r="H41" s="20" t="n">
        <v>1.58373244</v>
      </c>
      <c r="I41" s="18" t="n">
        <v>0</v>
      </c>
      <c r="J41" s="20" t="n">
        <v>0</v>
      </c>
      <c r="K41" s="18" t="n">
        <v>0.32120607</v>
      </c>
      <c r="L41" s="20" t="n">
        <v>0.19458384</v>
      </c>
      <c r="M41" s="18" t="n">
        <v>0</v>
      </c>
      <c r="N41" s="20" t="n">
        <v>0</v>
      </c>
      <c r="O41" s="18" t="n">
        <v>0</v>
      </c>
      <c r="P41" s="20" t="n">
        <v>0</v>
      </c>
      <c r="Q41" s="18" t="n">
        <v>0.6639383599999999</v>
      </c>
      <c r="R41" s="20" t="n">
        <v>0.24451799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(18991.0/B46*100)</f>
        <v/>
      </c>
      <c r="D46" s="19" t="n">
        <v>4150</v>
      </c>
      <c r="E46" s="18" t="n">
        <v>85.3844749</v>
      </c>
      <c r="F46" s="20" t="n">
        <v>0.78451468</v>
      </c>
      <c r="G46" s="18" t="n">
        <v>8.313660069999999</v>
      </c>
      <c r="H46" s="20" t="n">
        <v>0.6041813</v>
      </c>
      <c r="I46" s="18" t="n">
        <v>0</v>
      </c>
      <c r="J46" s="20" t="n">
        <v>0</v>
      </c>
      <c r="K46" s="18" t="n">
        <v>1.0980638</v>
      </c>
      <c r="L46" s="20" t="n">
        <v>0.27991698</v>
      </c>
      <c r="M46" s="18" t="n">
        <v>0.31028873</v>
      </c>
      <c r="N46" s="20" t="n">
        <v>0.09506882</v>
      </c>
      <c r="O46" s="18" t="n">
        <v>0</v>
      </c>
      <c r="P46" s="20" t="n">
        <v>0</v>
      </c>
      <c r="Q46" s="18" t="n">
        <v>4.8935125</v>
      </c>
      <c r="R46" s="20" t="n">
        <v>0.52661473</v>
      </c>
    </row>
    <row r="47" spans="1:18">
      <c r="A47" s="15" t="s">
        <v>606</v>
      </c>
      <c r="B47" s="17" t="n">
        <v>5928</v>
      </c>
      <c r="C47" s="18">
        <f>(4674.0/B47*100)</f>
        <v/>
      </c>
      <c r="D47" s="19" t="n">
        <v>1254</v>
      </c>
      <c r="E47" s="18" t="n">
        <v>79.48382305</v>
      </c>
      <c r="F47" s="20" t="n">
        <v>1.38672203</v>
      </c>
      <c r="G47" s="18" t="n">
        <v>18.22863563</v>
      </c>
      <c r="H47" s="20" t="n">
        <v>1.34028437</v>
      </c>
      <c r="I47" s="18" t="n">
        <v>0</v>
      </c>
      <c r="J47" s="20" t="n">
        <v>0</v>
      </c>
      <c r="K47" s="18" t="n">
        <v>0.15423166</v>
      </c>
      <c r="L47" s="20" t="n">
        <v>0.10889641</v>
      </c>
      <c r="M47" s="18" t="n">
        <v>0.15597863</v>
      </c>
      <c r="N47" s="20" t="n">
        <v>0.10877642</v>
      </c>
      <c r="O47" s="18" t="n">
        <v>0</v>
      </c>
      <c r="P47" s="20" t="n">
        <v>0</v>
      </c>
      <c r="Q47" s="18" t="n">
        <v>1.97733104</v>
      </c>
      <c r="R47" s="20" t="n">
        <v>0.42560575</v>
      </c>
    </row>
    <row r="48" spans="1:18">
      <c r="A48" s="15" t="s">
        <v>607</v>
      </c>
      <c r="B48" s="17" t="n">
        <v>9841</v>
      </c>
      <c r="C48" s="18">
        <f>(7672.0/B48*100)</f>
        <v/>
      </c>
      <c r="D48" s="19" t="n">
        <v>2169</v>
      </c>
      <c r="E48" s="18" t="n">
        <v>62.09894045</v>
      </c>
      <c r="F48" s="20" t="n">
        <v>1.59135969</v>
      </c>
      <c r="G48" s="18" t="n">
        <v>36.98836821</v>
      </c>
      <c r="H48" s="20" t="n">
        <v>1.56393683</v>
      </c>
      <c r="I48" s="18" t="n">
        <v>0</v>
      </c>
      <c r="J48" s="20" t="n">
        <v>0</v>
      </c>
      <c r="K48" s="18" t="n">
        <v>0.65754525</v>
      </c>
      <c r="L48" s="20" t="n">
        <v>0.24242668</v>
      </c>
      <c r="M48" s="18" t="n">
        <v>0</v>
      </c>
      <c r="N48" s="20" t="n">
        <v>0</v>
      </c>
      <c r="O48" s="18" t="n">
        <v>0</v>
      </c>
      <c r="P48" s="20" t="n">
        <v>0</v>
      </c>
      <c r="Q48" s="18" t="n">
        <v>0.2551461</v>
      </c>
      <c r="R48" s="20" t="n">
        <v>0.13905139</v>
      </c>
    </row>
    <row r="49" spans="1:18">
      <c r="A49" s="15" t="s">
        <v>608</v>
      </c>
      <c r="B49" s="17" t="n">
        <v>11795</v>
      </c>
      <c r="C49" s="18">
        <f>(9308.0/B49*100)</f>
        <v/>
      </c>
      <c r="D49" s="19" t="n">
        <v>2487</v>
      </c>
      <c r="E49" s="18" t="n">
        <v>85.52582678</v>
      </c>
      <c r="F49" s="20" t="n">
        <v>0.90580765</v>
      </c>
      <c r="G49" s="18" t="n">
        <v>11.21606361</v>
      </c>
      <c r="H49" s="20" t="n">
        <v>0.85196216</v>
      </c>
      <c r="I49" s="18" t="n">
        <v>0</v>
      </c>
      <c r="J49" s="20" t="n">
        <v>0</v>
      </c>
      <c r="K49" s="18" t="n">
        <v>1.9772512</v>
      </c>
      <c r="L49" s="20" t="n">
        <v>0.4928139</v>
      </c>
      <c r="M49" s="18" t="n">
        <v>0.14024985</v>
      </c>
      <c r="N49" s="20" t="n">
        <v>0.07064681</v>
      </c>
      <c r="O49" s="18" t="n">
        <v>0</v>
      </c>
      <c r="P49" s="20" t="n">
        <v>0</v>
      </c>
      <c r="Q49" s="18" t="n">
        <v>1.14060856</v>
      </c>
      <c r="R49" s="20" t="n">
        <v>0.29475544</v>
      </c>
    </row>
    <row r="50" spans="1:18">
      <c r="A50" s="15" t="s">
        <v>609</v>
      </c>
      <c r="B50" s="17" t="n">
        <v>6866</v>
      </c>
      <c r="C50" s="18">
        <f>(5545.0/B50*100)</f>
        <v/>
      </c>
      <c r="D50" s="19" t="n">
        <v>1321</v>
      </c>
      <c r="E50" s="18" t="n">
        <v>83.36633396000001</v>
      </c>
      <c r="F50" s="20" t="n">
        <v>1.07244609</v>
      </c>
      <c r="G50" s="18" t="n">
        <v>14.47339738</v>
      </c>
      <c r="H50" s="20" t="n">
        <v>0.96885629</v>
      </c>
      <c r="I50" s="18" t="n">
        <v>0</v>
      </c>
      <c r="J50" s="20" t="n">
        <v>0</v>
      </c>
      <c r="K50" s="18" t="n">
        <v>0.39556798</v>
      </c>
      <c r="L50" s="20" t="n">
        <v>0.18344603</v>
      </c>
      <c r="M50" s="18" t="n">
        <v>0.07254917</v>
      </c>
      <c r="N50" s="20" t="n">
        <v>0.07214953</v>
      </c>
      <c r="O50" s="18" t="n">
        <v>0</v>
      </c>
      <c r="P50" s="20" t="n">
        <v>0</v>
      </c>
      <c r="Q50" s="18" t="n">
        <v>1.69215152</v>
      </c>
      <c r="R50" s="20" t="n">
        <v>0.33799739</v>
      </c>
    </row>
    <row r="51" spans="1:18">
      <c r="A51" s="15" t="s">
        <v>610</v>
      </c>
      <c r="B51" s="17" t="n">
        <v>5809</v>
      </c>
      <c r="C51" s="18">
        <f>(4526.0/B51*100)</f>
        <v/>
      </c>
      <c r="D51" s="19" t="n">
        <v>1283</v>
      </c>
      <c r="E51" s="18" t="n">
        <v>71.79614413</v>
      </c>
      <c r="F51" s="20" t="n">
        <v>1.4169316</v>
      </c>
      <c r="G51" s="18" t="n">
        <v>25.81457562</v>
      </c>
      <c r="H51" s="20" t="n">
        <v>1.42095551</v>
      </c>
      <c r="I51" s="18" t="n">
        <v>0</v>
      </c>
      <c r="J51" s="20" t="n">
        <v>0</v>
      </c>
      <c r="K51" s="18" t="n">
        <v>0.07147926</v>
      </c>
      <c r="L51" s="20" t="n">
        <v>0.07120613000000001</v>
      </c>
      <c r="M51" s="18" t="n">
        <v>0</v>
      </c>
      <c r="N51" s="20" t="n">
        <v>0</v>
      </c>
      <c r="O51" s="18" t="n">
        <v>0</v>
      </c>
      <c r="P51" s="20" t="n">
        <v>0</v>
      </c>
      <c r="Q51" s="18" t="n">
        <v>2.31780099</v>
      </c>
      <c r="R51" s="20" t="n">
        <v>0.42807629</v>
      </c>
    </row>
    <row r="52" spans="1:18">
      <c r="A52" s="15" t="s">
        <v>611</v>
      </c>
      <c r="B52" s="17" t="n">
        <v>5571</v>
      </c>
      <c r="C52" s="18">
        <f>(4335.0/B52*100)</f>
        <v/>
      </c>
      <c r="D52" s="19" t="n">
        <v>1236</v>
      </c>
      <c r="E52" s="18" t="n">
        <v>80.6402827</v>
      </c>
      <c r="F52" s="20" t="n">
        <v>1.20656914</v>
      </c>
      <c r="G52" s="18" t="n">
        <v>16.55078481</v>
      </c>
      <c r="H52" s="20" t="n">
        <v>1.13408278</v>
      </c>
      <c r="I52" s="18" t="n">
        <v>0</v>
      </c>
      <c r="J52" s="20" t="n">
        <v>0</v>
      </c>
      <c r="K52" s="18" t="n">
        <v>0.33003271</v>
      </c>
      <c r="L52" s="20" t="n">
        <v>0.14796581</v>
      </c>
      <c r="M52" s="18" t="n">
        <v>0</v>
      </c>
      <c r="N52" s="20" t="n">
        <v>0</v>
      </c>
      <c r="O52" s="18" t="n">
        <v>0</v>
      </c>
      <c r="P52" s="20" t="n">
        <v>0</v>
      </c>
      <c r="Q52" s="18" t="n">
        <v>2.47889978</v>
      </c>
      <c r="R52" s="20" t="n">
        <v>0.5107620899999999</v>
      </c>
    </row>
    <row r="53" spans="1:18">
      <c r="A53" s="15" t="s">
        <v>612</v>
      </c>
      <c r="B53" s="17" t="n">
        <v>4740</v>
      </c>
      <c r="C53" s="18">
        <f>(3706.0/B53*100)</f>
        <v/>
      </c>
      <c r="D53" s="19" t="n">
        <v>1034</v>
      </c>
      <c r="E53" s="18" t="n">
        <v>81.67209081999999</v>
      </c>
      <c r="F53" s="20" t="n">
        <v>1.34984785</v>
      </c>
      <c r="G53" s="18" t="n">
        <v>0.9582120200000001</v>
      </c>
      <c r="H53" s="20" t="n">
        <v>0.37683578</v>
      </c>
      <c r="I53" s="18" t="n">
        <v>0</v>
      </c>
      <c r="J53" s="20" t="n">
        <v>0</v>
      </c>
      <c r="K53" s="18" t="n">
        <v>12.46768038</v>
      </c>
      <c r="L53" s="20" t="n">
        <v>1.09615475</v>
      </c>
      <c r="M53" s="18" t="n">
        <v>0.68910684</v>
      </c>
      <c r="N53" s="20" t="n">
        <v>0.5698214</v>
      </c>
      <c r="O53" s="18" t="n">
        <v>0</v>
      </c>
      <c r="P53" s="20" t="n">
        <v>0</v>
      </c>
      <c r="Q53" s="18" t="n">
        <v>4.21290995</v>
      </c>
      <c r="R53" s="20" t="n">
        <v>0.7612696799999999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(4120.0/B55*100)</f>
        <v/>
      </c>
      <c r="D55" s="19" t="n">
        <v>1239</v>
      </c>
      <c r="E55" s="18" t="n">
        <v>63.58845269</v>
      </c>
      <c r="F55" s="20" t="n">
        <v>1.23098628</v>
      </c>
      <c r="G55" s="18" t="n">
        <v>35.75592886</v>
      </c>
      <c r="H55" s="20" t="n">
        <v>1.2642945</v>
      </c>
      <c r="I55" s="18" t="n">
        <v>0</v>
      </c>
      <c r="J55" s="20" t="n">
        <v>0</v>
      </c>
      <c r="K55" s="18" t="n">
        <v>0.16017576</v>
      </c>
      <c r="L55" s="20" t="n">
        <v>0.113768</v>
      </c>
      <c r="M55" s="18" t="n">
        <v>0.10044345</v>
      </c>
      <c r="N55" s="20" t="n">
        <v>0.11090448</v>
      </c>
      <c r="O55" s="18" t="n">
        <v>0</v>
      </c>
      <c r="P55" s="20" t="n">
        <v>0</v>
      </c>
      <c r="Q55" s="18" t="n">
        <v>0.39499925</v>
      </c>
      <c r="R55" s="20" t="n">
        <v>0.18007463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(5065.0/B61*100)</f>
        <v/>
      </c>
      <c r="D61" s="19" t="n">
        <v>1460</v>
      </c>
      <c r="E61" s="18" t="n">
        <v>78.52081089000001</v>
      </c>
      <c r="F61" s="20" t="n">
        <v>1.22206784</v>
      </c>
      <c r="G61" s="18" t="n">
        <v>20.44337811</v>
      </c>
      <c r="H61" s="20" t="n">
        <v>1.17166749</v>
      </c>
      <c r="I61" s="18" t="n">
        <v>0</v>
      </c>
      <c r="J61" s="20" t="n">
        <v>0</v>
      </c>
      <c r="K61" s="18" t="n">
        <v>0.1334961</v>
      </c>
      <c r="L61" s="20" t="n">
        <v>0.09095295</v>
      </c>
      <c r="M61" s="18" t="n">
        <v>0</v>
      </c>
      <c r="N61" s="20" t="n">
        <v>0</v>
      </c>
      <c r="O61" s="18" t="n">
        <v>0</v>
      </c>
      <c r="P61" s="20" t="n">
        <v>0</v>
      </c>
      <c r="Q61" s="18" t="n">
        <v>0.9023149</v>
      </c>
      <c r="R61" s="20" t="n">
        <v>0.26273084</v>
      </c>
    </row>
    <row r="62" spans="1:18">
      <c r="A62" s="15" t="s">
        <v>622</v>
      </c>
      <c r="B62" s="17" t="n">
        <v>4476</v>
      </c>
      <c r="C62" s="18">
        <f>(3476.0/B62*100)</f>
        <v/>
      </c>
      <c r="D62" s="19" t="n">
        <v>1000</v>
      </c>
      <c r="E62" s="18" t="n">
        <v>58.0247739</v>
      </c>
      <c r="F62" s="20" t="n">
        <v>1.43730571</v>
      </c>
      <c r="G62" s="18" t="n">
        <v>41.87597962</v>
      </c>
      <c r="H62" s="20" t="n">
        <v>1.44704979</v>
      </c>
      <c r="I62" s="18" t="n">
        <v>0</v>
      </c>
      <c r="J62" s="20" t="n">
        <v>0</v>
      </c>
      <c r="K62" s="18" t="n">
        <v>0</v>
      </c>
      <c r="L62" s="20" t="n">
        <v>0</v>
      </c>
      <c r="M62" s="18" t="n">
        <v>0</v>
      </c>
      <c r="N62" s="20" t="n">
        <v>0</v>
      </c>
      <c r="O62" s="18" t="n">
        <v>0</v>
      </c>
      <c r="P62" s="20" t="n">
        <v>0</v>
      </c>
      <c r="Q62" s="18" t="n">
        <v>0.09924647</v>
      </c>
      <c r="R62" s="20" t="n">
        <v>0.09919578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(4447.0/B67*100)</f>
        <v/>
      </c>
      <c r="D67" s="19" t="n">
        <v>1218</v>
      </c>
      <c r="E67" s="18" t="n">
        <v>71.78994711999999</v>
      </c>
      <c r="F67" s="20" t="n">
        <v>1.25394267</v>
      </c>
      <c r="G67" s="18" t="n">
        <v>20.47025378</v>
      </c>
      <c r="H67" s="20" t="n">
        <v>1.06248039</v>
      </c>
      <c r="I67" s="18" t="n">
        <v>0</v>
      </c>
      <c r="J67" s="20" t="n">
        <v>0</v>
      </c>
      <c r="K67" s="18" t="n">
        <v>0.61949765</v>
      </c>
      <c r="L67" s="20" t="n">
        <v>0.22928324</v>
      </c>
      <c r="M67" s="18" t="n">
        <v>0.43925096</v>
      </c>
      <c r="N67" s="20" t="n">
        <v>0.17072746</v>
      </c>
      <c r="O67" s="18" t="n">
        <v>0</v>
      </c>
      <c r="P67" s="20" t="n">
        <v>0</v>
      </c>
      <c r="Q67" s="18" t="n">
        <v>6.68105049</v>
      </c>
      <c r="R67" s="20" t="n">
        <v>0.69923327</v>
      </c>
    </row>
    <row r="68" spans="1:18">
      <c r="A68" s="15" t="s">
        <v>628</v>
      </c>
      <c r="B68" s="17" t="n">
        <v>6971</v>
      </c>
      <c r="C68" s="18">
        <f>(5617.0/B68*100)</f>
        <v/>
      </c>
      <c r="D68" s="19" t="n">
        <v>1354</v>
      </c>
      <c r="E68" s="18" t="n">
        <v>92.88580546</v>
      </c>
      <c r="F68" s="20" t="n">
        <v>0.67823329</v>
      </c>
      <c r="G68" s="18" t="n">
        <v>5.44491511</v>
      </c>
      <c r="H68" s="20" t="n">
        <v>0.6288540500000001</v>
      </c>
      <c r="I68" s="18" t="n">
        <v>0</v>
      </c>
      <c r="J68" s="20" t="n">
        <v>0</v>
      </c>
      <c r="K68" s="18" t="n">
        <v>0.31987747</v>
      </c>
      <c r="L68" s="20" t="n">
        <v>0.18860784</v>
      </c>
      <c r="M68" s="18" t="n">
        <v>0.0749137</v>
      </c>
      <c r="N68" s="20" t="n">
        <v>0.07511173</v>
      </c>
      <c r="O68" s="18" t="n">
        <v>0</v>
      </c>
      <c r="P68" s="20" t="n">
        <v>0</v>
      </c>
      <c r="Q68" s="18" t="n">
        <v>1.27448826</v>
      </c>
      <c r="R68" s="20" t="n">
        <v>0.31859965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(9368.0/B70*100)</f>
        <v/>
      </c>
      <c r="D70" s="19" t="n">
        <v>2715</v>
      </c>
      <c r="E70" s="18" t="n">
        <v>81.20124231</v>
      </c>
      <c r="F70" s="20" t="n">
        <v>0.7333065600000001</v>
      </c>
      <c r="G70" s="18" t="n">
        <v>13.80294947</v>
      </c>
      <c r="H70" s="20" t="n">
        <v>0.70417707</v>
      </c>
      <c r="I70" s="18" t="n">
        <v>0</v>
      </c>
      <c r="J70" s="20" t="n">
        <v>0</v>
      </c>
      <c r="K70" s="18" t="n">
        <v>2.12718024</v>
      </c>
      <c r="L70" s="20" t="n">
        <v>0.27374283</v>
      </c>
      <c r="M70" s="18" t="n">
        <v>0.07156622</v>
      </c>
      <c r="N70" s="20" t="n">
        <v>0.05043188</v>
      </c>
      <c r="O70" s="18" t="n">
        <v>0</v>
      </c>
      <c r="P70" s="20" t="n">
        <v>0</v>
      </c>
      <c r="Q70" s="18" t="n">
        <v>2.79706176</v>
      </c>
      <c r="R70" s="20" t="n">
        <v>0.29657791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(4821.0/B72*100)</f>
        <v/>
      </c>
      <c r="D72" s="19" t="n">
        <v>1215</v>
      </c>
      <c r="E72" s="18" t="n">
        <v>71.10326544999999</v>
      </c>
      <c r="F72" s="20" t="n">
        <v>1.82923167</v>
      </c>
      <c r="G72" s="18" t="n">
        <v>27.68739845</v>
      </c>
      <c r="H72" s="20" t="n">
        <v>1.81534355</v>
      </c>
      <c r="I72" s="18" t="n">
        <v>0</v>
      </c>
      <c r="J72" s="20" t="n">
        <v>0</v>
      </c>
      <c r="K72" s="18" t="n">
        <v>0.43356839</v>
      </c>
      <c r="L72" s="20" t="n">
        <v>0.20262608</v>
      </c>
      <c r="M72" s="18" t="n">
        <v>0.10055065</v>
      </c>
      <c r="N72" s="20" t="n">
        <v>0.10152802</v>
      </c>
      <c r="O72" s="18" t="n">
        <v>0</v>
      </c>
      <c r="P72" s="20" t="n">
        <v>0</v>
      </c>
      <c r="Q72" s="18" t="n">
        <v>0.67521705</v>
      </c>
      <c r="R72" s="20" t="n">
        <v>0.27072307</v>
      </c>
    </row>
    <row r="73" spans="1:18">
      <c r="A73" s="15" t="s">
        <v>633</v>
      </c>
      <c r="B73" s="17" t="n">
        <v>6115</v>
      </c>
      <c r="C73" s="18">
        <f>(4779.0/B73*100)</f>
        <v/>
      </c>
      <c r="D73" s="19" t="n">
        <v>1336</v>
      </c>
      <c r="E73" s="18" t="n">
        <v>63.1421826</v>
      </c>
      <c r="F73" s="20" t="n">
        <v>1.33757187</v>
      </c>
      <c r="G73" s="18" t="n">
        <v>35.91168564</v>
      </c>
      <c r="H73" s="20" t="n">
        <v>1.36109706</v>
      </c>
      <c r="I73" s="18" t="n">
        <v>0</v>
      </c>
      <c r="J73" s="20" t="n">
        <v>0</v>
      </c>
      <c r="K73" s="18" t="n">
        <v>0.16034492</v>
      </c>
      <c r="L73" s="20" t="n">
        <v>0.11332661</v>
      </c>
      <c r="M73" s="18" t="n">
        <v>0</v>
      </c>
      <c r="N73" s="20" t="n">
        <v>0</v>
      </c>
      <c r="O73" s="18" t="n">
        <v>0</v>
      </c>
      <c r="P73" s="20" t="n">
        <v>0</v>
      </c>
      <c r="Q73" s="18" t="n">
        <v>0.78578685</v>
      </c>
      <c r="R73" s="20" t="n">
        <v>0.28364032</v>
      </c>
    </row>
    <row r="74" spans="1:18">
      <c r="A74" s="15" t="s">
        <v>634</v>
      </c>
      <c r="B74" s="17" t="n">
        <v>7708</v>
      </c>
      <c r="C74" s="18">
        <f>(5967.0/B74*100)</f>
        <v/>
      </c>
      <c r="D74" s="19" t="n">
        <v>1741</v>
      </c>
      <c r="E74" s="18" t="n">
        <v>55.26317757</v>
      </c>
      <c r="F74" s="20" t="n">
        <v>1.29163995</v>
      </c>
      <c r="G74" s="18" t="n">
        <v>44.59638561</v>
      </c>
      <c r="H74" s="20" t="n">
        <v>1.2903072</v>
      </c>
      <c r="I74" s="18" t="n">
        <v>0</v>
      </c>
      <c r="J74" s="20" t="n">
        <v>0</v>
      </c>
      <c r="K74" s="18" t="n">
        <v>0</v>
      </c>
      <c r="L74" s="20" t="n">
        <v>0</v>
      </c>
      <c r="M74" s="18" t="n">
        <v>0</v>
      </c>
      <c r="N74" s="20" t="n">
        <v>0</v>
      </c>
      <c r="O74" s="18" t="n">
        <v>0</v>
      </c>
      <c r="P74" s="20" t="n">
        <v>0</v>
      </c>
      <c r="Q74" s="18" t="n">
        <v>0.14043682</v>
      </c>
      <c r="R74" s="20" t="n">
        <v>0.07556701</v>
      </c>
    </row>
    <row r="75" spans="1:18">
      <c r="A75" s="15" t="s">
        <v>635</v>
      </c>
      <c r="B75" s="17" t="n">
        <v>8249</v>
      </c>
      <c r="C75" s="18">
        <f>(6508.0/B75*100)</f>
        <v/>
      </c>
      <c r="D75" s="19" t="n">
        <v>1741</v>
      </c>
      <c r="E75" s="18" t="n">
        <v>79.41629493000001</v>
      </c>
      <c r="F75" s="20" t="n">
        <v>1.3486214</v>
      </c>
      <c r="G75" s="18" t="n">
        <v>19.65586905</v>
      </c>
      <c r="H75" s="20" t="n">
        <v>1.32465643</v>
      </c>
      <c r="I75" s="18" t="n">
        <v>0</v>
      </c>
      <c r="J75" s="20" t="n">
        <v>0</v>
      </c>
      <c r="K75" s="18" t="n">
        <v>0.02946366</v>
      </c>
      <c r="L75" s="20" t="n">
        <v>0.02951804</v>
      </c>
      <c r="M75" s="18" t="n">
        <v>0.53085233</v>
      </c>
      <c r="N75" s="20" t="n">
        <v>0.21099089</v>
      </c>
      <c r="O75" s="18" t="n">
        <v>0</v>
      </c>
      <c r="P75" s="20" t="n">
        <v>0</v>
      </c>
      <c r="Q75" s="18" t="n">
        <v>0.36752002</v>
      </c>
      <c r="R75" s="20" t="n">
        <v>0.1412711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(4334.0/B77*100)</f>
        <v/>
      </c>
      <c r="D77" s="19" t="n">
        <v>1041</v>
      </c>
      <c r="E77" s="18" t="n">
        <v>89.8386342</v>
      </c>
      <c r="F77" s="20" t="n">
        <v>1.20264393</v>
      </c>
      <c r="G77" s="18" t="n">
        <v>2.42748799</v>
      </c>
      <c r="H77" s="20" t="n">
        <v>0.63221945</v>
      </c>
      <c r="I77" s="18" t="n">
        <v>0</v>
      </c>
      <c r="J77" s="20" t="n">
        <v>0</v>
      </c>
      <c r="K77" s="18" t="n">
        <v>2.93601695</v>
      </c>
      <c r="L77" s="20" t="n">
        <v>0.67905109</v>
      </c>
      <c r="M77" s="18" t="n">
        <v>0.72400578</v>
      </c>
      <c r="N77" s="20" t="n">
        <v>0.3057533</v>
      </c>
      <c r="O77" s="18" t="n">
        <v>0</v>
      </c>
      <c r="P77" s="20" t="n">
        <v>0</v>
      </c>
      <c r="Q77" s="18" t="n">
        <v>4.07385508</v>
      </c>
      <c r="R77" s="20" t="n">
        <v>0.62856987</v>
      </c>
    </row>
    <row r="78" spans="1:18">
      <c r="A78" s="15" t="s">
        <v>638</v>
      </c>
      <c r="B78" s="17" t="n">
        <v>14167</v>
      </c>
      <c r="C78" s="18">
        <f>(11115.0/B78*100)</f>
        <v/>
      </c>
      <c r="D78" s="19" t="n">
        <v>3052</v>
      </c>
      <c r="E78" s="18" t="n">
        <v>82.52881757</v>
      </c>
      <c r="F78" s="20" t="n">
        <v>0.93661872</v>
      </c>
      <c r="G78" s="18" t="n">
        <v>15.09597846</v>
      </c>
      <c r="H78" s="20" t="n">
        <v>0.87772093</v>
      </c>
      <c r="I78" s="18" t="n">
        <v>0</v>
      </c>
      <c r="J78" s="20" t="n">
        <v>0</v>
      </c>
      <c r="K78" s="18" t="n">
        <v>0.92974091</v>
      </c>
      <c r="L78" s="20" t="n">
        <v>0.21244458</v>
      </c>
      <c r="M78" s="18" t="n">
        <v>0.07195279</v>
      </c>
      <c r="N78" s="20" t="n">
        <v>0.05194968</v>
      </c>
      <c r="O78" s="18" t="n">
        <v>0</v>
      </c>
      <c r="P78" s="20" t="n">
        <v>0</v>
      </c>
      <c r="Q78" s="18" t="n">
        <v>1.37351027</v>
      </c>
      <c r="R78" s="20" t="n">
        <v>0.27369683</v>
      </c>
    </row>
    <row r="79" spans="1:18">
      <c r="A79" s="15" t="s">
        <v>639</v>
      </c>
      <c r="B79" s="17" t="n">
        <v>6062</v>
      </c>
      <c r="C79" s="18">
        <f>(4765.0/B79*100)</f>
        <v/>
      </c>
      <c r="D79" s="19" t="n">
        <v>1297</v>
      </c>
      <c r="E79" s="18" t="n">
        <v>76.44156776</v>
      </c>
      <c r="F79" s="20" t="n">
        <v>1.20027726</v>
      </c>
      <c r="G79" s="18" t="n">
        <v>17.60217784</v>
      </c>
      <c r="H79" s="20" t="n">
        <v>1.16665131</v>
      </c>
      <c r="I79" s="18" t="n">
        <v>0</v>
      </c>
      <c r="J79" s="20" t="n">
        <v>0</v>
      </c>
      <c r="K79" s="18" t="n">
        <v>0.82898094</v>
      </c>
      <c r="L79" s="20" t="n">
        <v>0.26235591</v>
      </c>
      <c r="M79" s="18" t="n">
        <v>0.06251294</v>
      </c>
      <c r="N79" s="20" t="n">
        <v>0.06917937</v>
      </c>
      <c r="O79" s="18" t="n">
        <v>0</v>
      </c>
      <c r="P79" s="20" t="n">
        <v>0</v>
      </c>
      <c r="Q79" s="18" t="n">
        <v>5.06476052</v>
      </c>
      <c r="R79" s="20" t="n">
        <v>0.60773428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(25213.0/B82*100)</f>
        <v/>
      </c>
      <c r="D82" s="19" t="n">
        <v>7117</v>
      </c>
      <c r="E82" s="18" t="n">
        <v>72.83293897999999</v>
      </c>
      <c r="F82" s="20" t="n">
        <v>0.76302166</v>
      </c>
      <c r="G82" s="18" t="n">
        <v>24.89453663</v>
      </c>
      <c r="H82" s="20" t="n">
        <v>0.72589633</v>
      </c>
      <c r="I82" s="18" t="n">
        <v>0</v>
      </c>
      <c r="J82" s="20" t="n">
        <v>0</v>
      </c>
      <c r="K82" s="18" t="n">
        <v>0.22859493</v>
      </c>
      <c r="L82" s="20" t="n">
        <v>0.09007471</v>
      </c>
      <c r="M82" s="18" t="n">
        <v>0.07307946</v>
      </c>
      <c r="N82" s="20" t="n">
        <v>0.07243798999999999</v>
      </c>
      <c r="O82" s="18" t="n">
        <v>0</v>
      </c>
      <c r="P82" s="20" t="n">
        <v>0</v>
      </c>
      <c r="Q82" s="18" t="n">
        <v>1.97085</v>
      </c>
      <c r="R82" s="20" t="n">
        <v>0.29355412</v>
      </c>
    </row>
    <row r="83" spans="1:18">
      <c r="A83" s="15" t="s">
        <v>643</v>
      </c>
      <c r="B83" s="17" t="n">
        <v>1652</v>
      </c>
      <c r="C83" s="18">
        <f>(1290.0/B83*100)</f>
        <v/>
      </c>
      <c r="D83" s="19" t="n">
        <v>362</v>
      </c>
      <c r="E83" s="18" t="n">
        <v>65.15755983</v>
      </c>
      <c r="F83" s="20" t="n">
        <v>3.35643588</v>
      </c>
      <c r="G83" s="18" t="n">
        <v>33.88960061</v>
      </c>
      <c r="H83" s="20" t="n">
        <v>3.29466146</v>
      </c>
      <c r="I83" s="18" t="n">
        <v>0</v>
      </c>
      <c r="J83" s="20" t="n">
        <v>0</v>
      </c>
      <c r="K83" s="18" t="n">
        <v>0.31393569</v>
      </c>
      <c r="L83" s="20" t="n">
        <v>0.32860548</v>
      </c>
      <c r="M83" s="18" t="n">
        <v>0</v>
      </c>
      <c r="N83" s="20" t="n">
        <v>0</v>
      </c>
      <c r="O83" s="18" t="n">
        <v>0</v>
      </c>
      <c r="P83" s="20" t="n">
        <v>0</v>
      </c>
      <c r="Q83" s="18" t="n">
        <v>0.63890387</v>
      </c>
      <c r="R83" s="20" t="n">
        <v>0.46173022</v>
      </c>
    </row>
    <row r="84" spans="1:18">
      <c r="A84" s="23" t="s">
        <v>644</v>
      </c>
      <c r="B84" s="24" t="n">
        <v>1887</v>
      </c>
      <c r="C84" s="25">
        <f>(1494.0/B84*100)</f>
        <v/>
      </c>
      <c r="D84" s="19" t="n">
        <v>393</v>
      </c>
      <c r="E84" s="18" t="n">
        <v>72.49567647000001</v>
      </c>
      <c r="F84" s="20" t="n">
        <v>2.56183438</v>
      </c>
      <c r="G84" s="18" t="n">
        <v>26.41448237</v>
      </c>
      <c r="H84" s="20" t="n">
        <v>2.71476147</v>
      </c>
      <c r="I84" s="18" t="n">
        <v>0</v>
      </c>
      <c r="J84" s="20" t="n">
        <v>0</v>
      </c>
      <c r="K84" s="18" t="n">
        <v>0</v>
      </c>
      <c r="L84" s="20" t="n">
        <v>0</v>
      </c>
      <c r="M84" s="18" t="n">
        <v>0</v>
      </c>
      <c r="N84" s="20" t="n">
        <v>0</v>
      </c>
      <c r="O84" s="18" t="n">
        <v>0</v>
      </c>
      <c r="P84" s="20" t="n">
        <v>0</v>
      </c>
      <c r="Q84" s="18" t="n">
        <v>1.08984116</v>
      </c>
      <c r="R84" s="20" t="n">
        <v>0.66567141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807</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(11366.0/B7*100)</f>
        <v/>
      </c>
      <c r="D7" s="19" t="n">
        <v>3164</v>
      </c>
      <c r="E7" s="18" t="n">
        <v>30.86387278</v>
      </c>
      <c r="F7" s="20" t="n">
        <v>0.88039988</v>
      </c>
      <c r="G7" s="18" t="n">
        <v>19.91677915</v>
      </c>
      <c r="H7" s="20" t="n">
        <v>0.7608401</v>
      </c>
      <c r="I7" s="18" t="n">
        <v>47.54524867</v>
      </c>
      <c r="J7" s="20" t="n">
        <v>1.04632747</v>
      </c>
      <c r="K7" s="18" t="n">
        <v>0</v>
      </c>
      <c r="L7" s="20" t="n">
        <v>0</v>
      </c>
      <c r="M7" s="18" t="n">
        <v>0.23235322</v>
      </c>
      <c r="N7" s="20" t="n">
        <v>0.10676957</v>
      </c>
      <c r="O7" s="18" t="n">
        <v>0</v>
      </c>
      <c r="P7" s="20" t="n">
        <v>0</v>
      </c>
      <c r="Q7" s="18" t="n">
        <v>0</v>
      </c>
      <c r="R7" s="20" t="n">
        <v>0</v>
      </c>
      <c r="S7" s="18" t="n">
        <v>1.44174618</v>
      </c>
      <c r="T7" s="20" t="n">
        <v>0.26761034</v>
      </c>
    </row>
    <row r="8" spans="1:20">
      <c r="A8" s="15" t="s">
        <v>566</v>
      </c>
      <c r="B8" s="17" t="n">
        <v>7007</v>
      </c>
      <c r="C8" s="18">
        <f>(5499.0/B8*100)</f>
        <v/>
      </c>
      <c r="D8" s="19" t="n">
        <v>1508</v>
      </c>
      <c r="E8" s="18" t="n">
        <v>35.9701286</v>
      </c>
      <c r="F8" s="20" t="n">
        <v>1.23245643</v>
      </c>
      <c r="G8" s="18" t="n">
        <v>22.19228218</v>
      </c>
      <c r="H8" s="20" t="n">
        <v>1.14825499</v>
      </c>
      <c r="I8" s="18" t="n">
        <v>40.73459393</v>
      </c>
      <c r="J8" s="20" t="n">
        <v>1.31837897</v>
      </c>
      <c r="K8" s="18" t="n">
        <v>0</v>
      </c>
      <c r="L8" s="20" t="n">
        <v>0</v>
      </c>
      <c r="M8" s="18" t="n">
        <v>0.07756858</v>
      </c>
      <c r="N8" s="20" t="n">
        <v>0.07550732</v>
      </c>
      <c r="O8" s="18" t="n">
        <v>0</v>
      </c>
      <c r="P8" s="20" t="n">
        <v>0</v>
      </c>
      <c r="Q8" s="18" t="n">
        <v>0</v>
      </c>
      <c r="R8" s="20" t="n">
        <v>0</v>
      </c>
      <c r="S8" s="18" t="n">
        <v>1.0254267</v>
      </c>
      <c r="T8" s="20" t="n">
        <v>0.36718405</v>
      </c>
    </row>
    <row r="9" spans="1:20">
      <c r="A9" s="15" t="s">
        <v>567</v>
      </c>
      <c r="B9" s="17" t="n">
        <v>9651</v>
      </c>
      <c r="C9" s="18">
        <f>(7600.0/B9*100)</f>
        <v/>
      </c>
      <c r="D9" s="19" t="n">
        <v>2051</v>
      </c>
      <c r="E9" s="18" t="n">
        <v>32.7049576</v>
      </c>
      <c r="F9" s="20" t="n">
        <v>1.24616721</v>
      </c>
      <c r="G9" s="18" t="n">
        <v>19.72225471</v>
      </c>
      <c r="H9" s="20" t="n">
        <v>0.94714046</v>
      </c>
      <c r="I9" s="18" t="n">
        <v>46.14066477</v>
      </c>
      <c r="J9" s="20" t="n">
        <v>1.15435067</v>
      </c>
      <c r="K9" s="18" t="n">
        <v>0</v>
      </c>
      <c r="L9" s="20" t="n">
        <v>0</v>
      </c>
      <c r="M9" s="18" t="n">
        <v>0.34488632</v>
      </c>
      <c r="N9" s="20" t="n">
        <v>0.13217394</v>
      </c>
      <c r="O9" s="18" t="n">
        <v>0</v>
      </c>
      <c r="P9" s="20" t="n">
        <v>0</v>
      </c>
      <c r="Q9" s="18" t="n">
        <v>0</v>
      </c>
      <c r="R9" s="20" t="n">
        <v>0</v>
      </c>
      <c r="S9" s="18" t="n">
        <v>1.08723659</v>
      </c>
      <c r="T9" s="20" t="n">
        <v>0.24743803</v>
      </c>
    </row>
    <row r="10" spans="1:20">
      <c r="A10" s="15" t="s">
        <v>568</v>
      </c>
      <c r="B10" s="17" t="n">
        <v>20058</v>
      </c>
      <c r="C10" s="18">
        <f>(15656.0/B10*100)</f>
        <v/>
      </c>
      <c r="D10" s="19" t="n">
        <v>4402</v>
      </c>
      <c r="E10" s="18" t="n">
        <v>25.68136515</v>
      </c>
      <c r="F10" s="20" t="n">
        <v>0.87564842</v>
      </c>
      <c r="G10" s="18" t="n">
        <v>19.73092417</v>
      </c>
      <c r="H10" s="20" t="n">
        <v>0.84150387</v>
      </c>
      <c r="I10" s="18" t="n">
        <v>53.82141668</v>
      </c>
      <c r="J10" s="20" t="n">
        <v>0.99680176</v>
      </c>
      <c r="K10" s="18" t="n">
        <v>0</v>
      </c>
      <c r="L10" s="20" t="n">
        <v>0</v>
      </c>
      <c r="M10" s="18" t="n">
        <v>0.46731452</v>
      </c>
      <c r="N10" s="20" t="n">
        <v>0.15463651</v>
      </c>
      <c r="O10" s="18" t="n">
        <v>0</v>
      </c>
      <c r="P10" s="20" t="n">
        <v>0</v>
      </c>
      <c r="Q10" s="18" t="n">
        <v>0</v>
      </c>
      <c r="R10" s="20" t="n">
        <v>0</v>
      </c>
      <c r="S10" s="18" t="n">
        <v>0.29897948</v>
      </c>
      <c r="T10" s="20" t="n">
        <v>0.11163888</v>
      </c>
    </row>
    <row r="11" spans="1:20">
      <c r="A11" s="15" t="s">
        <v>569</v>
      </c>
      <c r="B11" s="17" t="n">
        <v>7053</v>
      </c>
      <c r="C11" s="18">
        <f>(5589.0/B11*100)</f>
        <v/>
      </c>
      <c r="D11" s="19" t="n">
        <v>1464</v>
      </c>
      <c r="E11" s="18" t="n">
        <v>43.76508258</v>
      </c>
      <c r="F11" s="20" t="n">
        <v>1.57120028</v>
      </c>
      <c r="G11" s="18" t="n">
        <v>22.77207119</v>
      </c>
      <c r="H11" s="20" t="n">
        <v>1.28103154</v>
      </c>
      <c r="I11" s="18" t="n">
        <v>30.79967235</v>
      </c>
      <c r="J11" s="20" t="n">
        <v>1.68679984</v>
      </c>
      <c r="K11" s="18" t="n">
        <v>0</v>
      </c>
      <c r="L11" s="20" t="n">
        <v>0</v>
      </c>
      <c r="M11" s="18" t="n">
        <v>1.60053512</v>
      </c>
      <c r="N11" s="20" t="n">
        <v>0.50859259</v>
      </c>
      <c r="O11" s="18" t="n">
        <v>0</v>
      </c>
      <c r="P11" s="20" t="n">
        <v>0</v>
      </c>
      <c r="Q11" s="18" t="n">
        <v>0</v>
      </c>
      <c r="R11" s="20" t="n">
        <v>0</v>
      </c>
      <c r="S11" s="18" t="n">
        <v>1.06263876</v>
      </c>
      <c r="T11" s="20" t="n">
        <v>0.29717406</v>
      </c>
    </row>
    <row r="12" spans="1:20">
      <c r="A12" s="15" t="s">
        <v>570</v>
      </c>
      <c r="B12" s="17" t="n">
        <v>6894</v>
      </c>
      <c r="C12" s="18">
        <f>(5379.0/B12*100)</f>
        <v/>
      </c>
      <c r="D12" s="19" t="n">
        <v>1515</v>
      </c>
      <c r="E12" s="18" t="n">
        <v>29.36856435</v>
      </c>
      <c r="F12" s="20" t="n">
        <v>1.38041326</v>
      </c>
      <c r="G12" s="18" t="n">
        <v>23.67485453</v>
      </c>
      <c r="H12" s="20" t="n">
        <v>1.23750672</v>
      </c>
      <c r="I12" s="18" t="n">
        <v>46.19618199</v>
      </c>
      <c r="J12" s="20" t="n">
        <v>1.51840272</v>
      </c>
      <c r="K12" s="18" t="n">
        <v>0</v>
      </c>
      <c r="L12" s="20" t="n">
        <v>0</v>
      </c>
      <c r="M12" s="18" t="n">
        <v>0.32771398</v>
      </c>
      <c r="N12" s="20" t="n">
        <v>0.17994987</v>
      </c>
      <c r="O12" s="18" t="n">
        <v>0</v>
      </c>
      <c r="P12" s="20" t="n">
        <v>0</v>
      </c>
      <c r="Q12" s="18" t="n">
        <v>0</v>
      </c>
      <c r="R12" s="20" t="n">
        <v>0</v>
      </c>
      <c r="S12" s="18" t="n">
        <v>0.43268515</v>
      </c>
      <c r="T12" s="20" t="n">
        <v>0.17573698</v>
      </c>
    </row>
    <row r="13" spans="1:20">
      <c r="A13" s="15" t="s">
        <v>571</v>
      </c>
      <c r="B13" s="17" t="n">
        <v>7161</v>
      </c>
      <c r="C13" s="18">
        <f>(5632.0/B13*100)</f>
        <v/>
      </c>
      <c r="D13" s="19" t="n">
        <v>1529</v>
      </c>
      <c r="E13" s="18" t="n">
        <v>34.0714791</v>
      </c>
      <c r="F13" s="20" t="n">
        <v>1.62168901</v>
      </c>
      <c r="G13" s="18" t="n">
        <v>18.19567467</v>
      </c>
      <c r="H13" s="20" t="n">
        <v>1.26945922</v>
      </c>
      <c r="I13" s="18" t="n">
        <v>46.74321755</v>
      </c>
      <c r="J13" s="20" t="n">
        <v>1.63215367</v>
      </c>
      <c r="K13" s="18" t="n">
        <v>0</v>
      </c>
      <c r="L13" s="20" t="n">
        <v>0</v>
      </c>
      <c r="M13" s="18" t="n">
        <v>0.225592</v>
      </c>
      <c r="N13" s="20" t="n">
        <v>0.10767895</v>
      </c>
      <c r="O13" s="18" t="n">
        <v>0</v>
      </c>
      <c r="P13" s="20" t="n">
        <v>0</v>
      </c>
      <c r="Q13" s="18" t="n">
        <v>0</v>
      </c>
      <c r="R13" s="20" t="n">
        <v>0</v>
      </c>
      <c r="S13" s="18" t="n">
        <v>0.76403668</v>
      </c>
      <c r="T13" s="20" t="n">
        <v>0.29620852</v>
      </c>
    </row>
    <row r="14" spans="1:20">
      <c r="A14" s="15" t="s">
        <v>572</v>
      </c>
      <c r="B14" s="17" t="n">
        <v>5587</v>
      </c>
      <c r="C14" s="18">
        <f>(4403.0/B14*100)</f>
        <v/>
      </c>
      <c r="D14" s="19" t="n">
        <v>1184</v>
      </c>
      <c r="E14" s="18" t="n">
        <v>26.60363944</v>
      </c>
      <c r="F14" s="20" t="n">
        <v>1.29907372</v>
      </c>
      <c r="G14" s="18" t="n">
        <v>18.7070551</v>
      </c>
      <c r="H14" s="20" t="n">
        <v>1.19182449</v>
      </c>
      <c r="I14" s="18" t="n">
        <v>53.9825703</v>
      </c>
      <c r="J14" s="20" t="n">
        <v>1.62988785</v>
      </c>
      <c r="K14" s="18" t="n">
        <v>0</v>
      </c>
      <c r="L14" s="20" t="n">
        <v>0</v>
      </c>
      <c r="M14" s="18" t="n">
        <v>0.45258382</v>
      </c>
      <c r="N14" s="20" t="n">
        <v>0.1663871</v>
      </c>
      <c r="O14" s="18" t="n">
        <v>0</v>
      </c>
      <c r="P14" s="20" t="n">
        <v>0</v>
      </c>
      <c r="Q14" s="18" t="n">
        <v>0</v>
      </c>
      <c r="R14" s="20" t="n">
        <v>0</v>
      </c>
      <c r="S14" s="18" t="n">
        <v>0.25415133</v>
      </c>
      <c r="T14" s="20" t="n">
        <v>0.20367037</v>
      </c>
    </row>
    <row r="15" spans="1:20">
      <c r="A15" s="15" t="s">
        <v>573</v>
      </c>
      <c r="B15" s="17" t="n">
        <v>5882</v>
      </c>
      <c r="C15" s="18">
        <f>(4626.0/B15*100)</f>
        <v/>
      </c>
      <c r="D15" s="19" t="n">
        <v>1256</v>
      </c>
      <c r="E15" s="18" t="n">
        <v>32.25615961</v>
      </c>
      <c r="F15" s="20" t="n">
        <v>1.39599783</v>
      </c>
      <c r="G15" s="18" t="n">
        <v>25.36762891</v>
      </c>
      <c r="H15" s="20" t="n">
        <v>1.30467369</v>
      </c>
      <c r="I15" s="18" t="n">
        <v>41.84492991</v>
      </c>
      <c r="J15" s="20" t="n">
        <v>1.67970214</v>
      </c>
      <c r="K15" s="18" t="n">
        <v>0</v>
      </c>
      <c r="L15" s="20" t="n">
        <v>0</v>
      </c>
      <c r="M15" s="18" t="n">
        <v>0.18529172</v>
      </c>
      <c r="N15" s="20" t="n">
        <v>0.14083428</v>
      </c>
      <c r="O15" s="18" t="n">
        <v>0</v>
      </c>
      <c r="P15" s="20" t="n">
        <v>0</v>
      </c>
      <c r="Q15" s="18" t="n">
        <v>0</v>
      </c>
      <c r="R15" s="20" t="n">
        <v>0</v>
      </c>
      <c r="S15" s="18" t="n">
        <v>0.34598985</v>
      </c>
      <c r="T15" s="20" t="n">
        <v>0.18027291</v>
      </c>
    </row>
    <row r="16" spans="1:20">
      <c r="A16" s="15" t="s">
        <v>574</v>
      </c>
      <c r="B16" s="17" t="n">
        <v>6108</v>
      </c>
      <c r="C16" s="18">
        <f>(4815.0/B16*100)</f>
        <v/>
      </c>
      <c r="D16" s="19" t="n">
        <v>1293</v>
      </c>
      <c r="E16" s="18" t="n">
        <v>35.84744666</v>
      </c>
      <c r="F16" s="20" t="n">
        <v>1.3046773</v>
      </c>
      <c r="G16" s="18" t="n">
        <v>18.73118669</v>
      </c>
      <c r="H16" s="20" t="n">
        <v>1.00747061</v>
      </c>
      <c r="I16" s="18" t="n">
        <v>43.34436373</v>
      </c>
      <c r="J16" s="20" t="n">
        <v>1.36988264</v>
      </c>
      <c r="K16" s="18" t="n">
        <v>0</v>
      </c>
      <c r="L16" s="20" t="n">
        <v>0</v>
      </c>
      <c r="M16" s="18" t="n">
        <v>0.78643186</v>
      </c>
      <c r="N16" s="20" t="n">
        <v>0.22930674</v>
      </c>
      <c r="O16" s="18" t="n">
        <v>0</v>
      </c>
      <c r="P16" s="20" t="n">
        <v>0</v>
      </c>
      <c r="Q16" s="18" t="n">
        <v>0</v>
      </c>
      <c r="R16" s="20" t="n">
        <v>0</v>
      </c>
      <c r="S16" s="18" t="n">
        <v>1.29057105</v>
      </c>
      <c r="T16" s="20" t="n">
        <v>0.38215137</v>
      </c>
    </row>
    <row r="17" spans="1:20">
      <c r="A17" s="15" t="s">
        <v>575</v>
      </c>
      <c r="B17" s="17" t="n">
        <v>6504</v>
      </c>
      <c r="C17" s="18">
        <f>(5066.0/B17*100)</f>
        <v/>
      </c>
      <c r="D17" s="19" t="n">
        <v>1438</v>
      </c>
      <c r="E17" s="18" t="n">
        <v>34.82401185</v>
      </c>
      <c r="F17" s="20" t="n">
        <v>1.25902897</v>
      </c>
      <c r="G17" s="18" t="n">
        <v>22.38641528</v>
      </c>
      <c r="H17" s="20" t="n">
        <v>1.1824554</v>
      </c>
      <c r="I17" s="18" t="n">
        <v>41.98374317</v>
      </c>
      <c r="J17" s="20" t="n">
        <v>1.48463945</v>
      </c>
      <c r="K17" s="18" t="n">
        <v>0</v>
      </c>
      <c r="L17" s="20" t="n">
        <v>0</v>
      </c>
      <c r="M17" s="18" t="n">
        <v>0.28203052</v>
      </c>
      <c r="N17" s="20" t="n">
        <v>0.11497608</v>
      </c>
      <c r="O17" s="18" t="n">
        <v>0</v>
      </c>
      <c r="P17" s="20" t="n">
        <v>0</v>
      </c>
      <c r="Q17" s="18" t="n">
        <v>0</v>
      </c>
      <c r="R17" s="20" t="n">
        <v>0</v>
      </c>
      <c r="S17" s="18" t="n">
        <v>0.52379917</v>
      </c>
      <c r="T17" s="20" t="n">
        <v>0.15234398</v>
      </c>
    </row>
    <row r="18" spans="1:20">
      <c r="A18" s="15" t="s">
        <v>576</v>
      </c>
      <c r="B18" s="17" t="n">
        <v>5532</v>
      </c>
      <c r="C18" s="18">
        <f>(4325.0/B18*100)</f>
        <v/>
      </c>
      <c r="D18" s="19" t="n">
        <v>1207</v>
      </c>
      <c r="E18" s="18" t="n">
        <v>46.53258418</v>
      </c>
      <c r="F18" s="20" t="n">
        <v>1.95884333</v>
      </c>
      <c r="G18" s="18" t="n">
        <v>17.25862845</v>
      </c>
      <c r="H18" s="20" t="n">
        <v>1.10695108</v>
      </c>
      <c r="I18" s="18" t="n">
        <v>34.15642279</v>
      </c>
      <c r="J18" s="20" t="n">
        <v>1.909469</v>
      </c>
      <c r="K18" s="18" t="n">
        <v>0</v>
      </c>
      <c r="L18" s="20" t="n">
        <v>0</v>
      </c>
      <c r="M18" s="18" t="n">
        <v>0.8879741799999999</v>
      </c>
      <c r="N18" s="20" t="n">
        <v>0.31874767</v>
      </c>
      <c r="O18" s="18" t="n">
        <v>0</v>
      </c>
      <c r="P18" s="20" t="n">
        <v>0</v>
      </c>
      <c r="Q18" s="18" t="n">
        <v>0</v>
      </c>
      <c r="R18" s="20" t="n">
        <v>0</v>
      </c>
      <c r="S18" s="18" t="n">
        <v>1.16439039</v>
      </c>
      <c r="T18" s="20" t="n">
        <v>0.37119036</v>
      </c>
    </row>
    <row r="19" spans="1:20">
      <c r="A19" s="15" t="s">
        <v>577</v>
      </c>
      <c r="B19" s="17" t="n">
        <v>5658</v>
      </c>
      <c r="C19" s="18">
        <f>(4420.0/B19*100)</f>
        <v/>
      </c>
      <c r="D19" s="19" t="n">
        <v>1238</v>
      </c>
      <c r="E19" s="18" t="n">
        <v>44.43154471</v>
      </c>
      <c r="F19" s="20" t="n">
        <v>1.79282117</v>
      </c>
      <c r="G19" s="18" t="n">
        <v>19.91580726</v>
      </c>
      <c r="H19" s="20" t="n">
        <v>1.13021098</v>
      </c>
      <c r="I19" s="18" t="n">
        <v>35.29125524</v>
      </c>
      <c r="J19" s="20" t="n">
        <v>1.58509454</v>
      </c>
      <c r="K19" s="18" t="n">
        <v>0</v>
      </c>
      <c r="L19" s="20" t="n">
        <v>0</v>
      </c>
      <c r="M19" s="18" t="n">
        <v>0.13217611</v>
      </c>
      <c r="N19" s="20" t="n">
        <v>0.0797998</v>
      </c>
      <c r="O19" s="18" t="n">
        <v>0</v>
      </c>
      <c r="P19" s="20" t="n">
        <v>0</v>
      </c>
      <c r="Q19" s="18" t="n">
        <v>0</v>
      </c>
      <c r="R19" s="20" t="n">
        <v>0</v>
      </c>
      <c r="S19" s="18" t="n">
        <v>0.22921667</v>
      </c>
      <c r="T19" s="20" t="n">
        <v>0.16023149</v>
      </c>
    </row>
    <row r="20" spans="1:20">
      <c r="A20" s="15" t="s">
        <v>578</v>
      </c>
      <c r="B20" s="17" t="n">
        <v>3371</v>
      </c>
      <c r="C20" s="18">
        <f>(2628.0/B20*100)</f>
        <v/>
      </c>
      <c r="D20" s="19" t="n">
        <v>743</v>
      </c>
      <c r="E20" s="18" t="n">
        <v>49.50373702</v>
      </c>
      <c r="F20" s="20" t="n">
        <v>1.9174672</v>
      </c>
      <c r="G20" s="18" t="n">
        <v>27.48301415</v>
      </c>
      <c r="H20" s="20" t="n">
        <v>1.73854405</v>
      </c>
      <c r="I20" s="18" t="n">
        <v>21.2699551</v>
      </c>
      <c r="J20" s="20" t="n">
        <v>1.53103822</v>
      </c>
      <c r="K20" s="18" t="n">
        <v>0</v>
      </c>
      <c r="L20" s="20" t="n">
        <v>0</v>
      </c>
      <c r="M20" s="18" t="n">
        <v>0.15342309</v>
      </c>
      <c r="N20" s="20" t="n">
        <v>0.1562596</v>
      </c>
      <c r="O20" s="18" t="n">
        <v>0</v>
      </c>
      <c r="P20" s="20" t="n">
        <v>0</v>
      </c>
      <c r="Q20" s="18" t="n">
        <v>0</v>
      </c>
      <c r="R20" s="20" t="n">
        <v>0</v>
      </c>
      <c r="S20" s="18" t="n">
        <v>1.58987065</v>
      </c>
      <c r="T20" s="20" t="n">
        <v>0.37933891</v>
      </c>
    </row>
    <row r="21" spans="1:20">
      <c r="A21" s="15" t="s">
        <v>579</v>
      </c>
      <c r="B21" s="17" t="n">
        <v>5741</v>
      </c>
      <c r="C21" s="18">
        <f>(4461.0/B21*100)</f>
        <v/>
      </c>
      <c r="D21" s="19" t="n">
        <v>1280</v>
      </c>
      <c r="E21" s="18" t="n">
        <v>35.38366151</v>
      </c>
      <c r="F21" s="20" t="n">
        <v>1.49276236</v>
      </c>
      <c r="G21" s="18" t="n">
        <v>27.44556953</v>
      </c>
      <c r="H21" s="20" t="n">
        <v>1.4572837</v>
      </c>
      <c r="I21" s="18" t="n">
        <v>37.0343637</v>
      </c>
      <c r="J21" s="20" t="n">
        <v>1.37883076</v>
      </c>
      <c r="K21" s="18" t="n">
        <v>0</v>
      </c>
      <c r="L21" s="20" t="n">
        <v>0</v>
      </c>
      <c r="M21" s="18" t="n">
        <v>0.13640526</v>
      </c>
      <c r="N21" s="20" t="n">
        <v>0.09693255000000001</v>
      </c>
      <c r="O21" s="18" t="n">
        <v>0</v>
      </c>
      <c r="P21" s="20" t="n">
        <v>0</v>
      </c>
      <c r="Q21" s="18" t="n">
        <v>0</v>
      </c>
      <c r="R21" s="20" t="n">
        <v>0</v>
      </c>
      <c r="S21" s="18" t="n">
        <v>0</v>
      </c>
      <c r="T21" s="20" t="n">
        <v>0</v>
      </c>
    </row>
    <row r="22" spans="1:20">
      <c r="A22" s="15" t="s">
        <v>580</v>
      </c>
      <c r="B22" s="17" t="n">
        <v>6598</v>
      </c>
      <c r="C22" s="18">
        <f>(5139.0/B22*100)</f>
        <v/>
      </c>
      <c r="D22" s="19" t="n">
        <v>1459</v>
      </c>
      <c r="E22" s="18" t="n">
        <v>40.44719854</v>
      </c>
      <c r="F22" s="20" t="n">
        <v>1.50438032</v>
      </c>
      <c r="G22" s="18" t="n">
        <v>22.58364396</v>
      </c>
      <c r="H22" s="20" t="n">
        <v>1.07243509</v>
      </c>
      <c r="I22" s="18" t="n">
        <v>34.99284008</v>
      </c>
      <c r="J22" s="20" t="n">
        <v>1.26764375</v>
      </c>
      <c r="K22" s="18" t="n">
        <v>0</v>
      </c>
      <c r="L22" s="20" t="n">
        <v>0</v>
      </c>
      <c r="M22" s="18" t="n">
        <v>0.80156704</v>
      </c>
      <c r="N22" s="20" t="n">
        <v>0.28274758</v>
      </c>
      <c r="O22" s="18" t="n">
        <v>0</v>
      </c>
      <c r="P22" s="20" t="n">
        <v>0</v>
      </c>
      <c r="Q22" s="18" t="n">
        <v>0</v>
      </c>
      <c r="R22" s="20" t="n">
        <v>0</v>
      </c>
      <c r="S22" s="18" t="n">
        <v>1.17475039</v>
      </c>
      <c r="T22" s="20" t="n">
        <v>0.33895972</v>
      </c>
    </row>
    <row r="23" spans="1:20">
      <c r="A23" s="15" t="s">
        <v>581</v>
      </c>
      <c r="B23" s="17" t="n">
        <v>11583</v>
      </c>
      <c r="C23" s="18">
        <f>(9002.0/B23*100)</f>
        <v/>
      </c>
      <c r="D23" s="19" t="n">
        <v>2581</v>
      </c>
      <c r="E23" s="18" t="n">
        <v>31.48703165</v>
      </c>
      <c r="F23" s="20" t="n">
        <v>1.23390643</v>
      </c>
      <c r="G23" s="18" t="n">
        <v>16.99409114</v>
      </c>
      <c r="H23" s="20" t="n">
        <v>1.13770328</v>
      </c>
      <c r="I23" s="18" t="n">
        <v>50.8642144</v>
      </c>
      <c r="J23" s="20" t="n">
        <v>1.35926071</v>
      </c>
      <c r="K23" s="18" t="n">
        <v>0</v>
      </c>
      <c r="L23" s="20" t="n">
        <v>0</v>
      </c>
      <c r="M23" s="18" t="n">
        <v>0.31305311</v>
      </c>
      <c r="N23" s="20" t="n">
        <v>0.15104895</v>
      </c>
      <c r="O23" s="18" t="n">
        <v>0</v>
      </c>
      <c r="P23" s="20" t="n">
        <v>0</v>
      </c>
      <c r="Q23" s="18" t="n">
        <v>0</v>
      </c>
      <c r="R23" s="20" t="n">
        <v>0</v>
      </c>
      <c r="S23" s="18" t="n">
        <v>0.3416097</v>
      </c>
      <c r="T23" s="20" t="n">
        <v>0.1681584</v>
      </c>
    </row>
    <row r="24" spans="1:20">
      <c r="A24" s="15" t="s">
        <v>582</v>
      </c>
      <c r="B24" s="17" t="n">
        <v>6647</v>
      </c>
      <c r="C24" s="18">
        <f>(5149.0/B24*100)</f>
        <v/>
      </c>
      <c r="D24" s="19" t="n">
        <v>1498</v>
      </c>
      <c r="E24" s="18" t="n">
        <v>24.56852088</v>
      </c>
      <c r="F24" s="20" t="n">
        <v>1.34363333</v>
      </c>
      <c r="G24" s="18" t="n">
        <v>25.4770753</v>
      </c>
      <c r="H24" s="20" t="n">
        <v>1.08490757</v>
      </c>
      <c r="I24" s="18" t="n">
        <v>49.15786134</v>
      </c>
      <c r="J24" s="20" t="n">
        <v>1.62910182</v>
      </c>
      <c r="K24" s="18" t="n">
        <v>0</v>
      </c>
      <c r="L24" s="20" t="n">
        <v>0</v>
      </c>
      <c r="M24" s="18" t="n">
        <v>0.19306806</v>
      </c>
      <c r="N24" s="20" t="n">
        <v>0.11220345</v>
      </c>
      <c r="O24" s="18" t="n">
        <v>0</v>
      </c>
      <c r="P24" s="20" t="n">
        <v>0</v>
      </c>
      <c r="Q24" s="18" t="n">
        <v>0</v>
      </c>
      <c r="R24" s="20" t="n">
        <v>0</v>
      </c>
      <c r="S24" s="18" t="n">
        <v>0.60347442</v>
      </c>
      <c r="T24" s="20" t="n">
        <v>0.20170199</v>
      </c>
    </row>
    <row r="25" spans="1:20">
      <c r="A25" s="15" t="s">
        <v>583</v>
      </c>
      <c r="B25" s="17" t="n">
        <v>5581</v>
      </c>
      <c r="C25" s="18">
        <f>(4330.0/B25*100)</f>
        <v/>
      </c>
      <c r="D25" s="19" t="n">
        <v>1251</v>
      </c>
      <c r="E25" s="18" t="n">
        <v>40.93083232</v>
      </c>
      <c r="F25" s="20" t="n">
        <v>1.61640579</v>
      </c>
      <c r="G25" s="18" t="n">
        <v>21.10582072</v>
      </c>
      <c r="H25" s="20" t="n">
        <v>1.4291132</v>
      </c>
      <c r="I25" s="18" t="n">
        <v>37.07344686</v>
      </c>
      <c r="J25" s="20" t="n">
        <v>1.54583817</v>
      </c>
      <c r="K25" s="18" t="n">
        <v>0</v>
      </c>
      <c r="L25" s="20" t="n">
        <v>0</v>
      </c>
      <c r="M25" s="18" t="n">
        <v>0.31084288</v>
      </c>
      <c r="N25" s="20" t="n">
        <v>0.15513916</v>
      </c>
      <c r="O25" s="18" t="n">
        <v>0</v>
      </c>
      <c r="P25" s="20" t="n">
        <v>0</v>
      </c>
      <c r="Q25" s="18" t="n">
        <v>0</v>
      </c>
      <c r="R25" s="20" t="n">
        <v>0</v>
      </c>
      <c r="S25" s="18" t="n">
        <v>0.57905722</v>
      </c>
      <c r="T25" s="20" t="n">
        <v>0.22179485</v>
      </c>
    </row>
    <row r="26" spans="1:20">
      <c r="A26" s="15" t="s">
        <v>584</v>
      </c>
      <c r="B26" s="17" t="n">
        <v>4869</v>
      </c>
      <c r="C26" s="18">
        <f>(3806.0/B26*100)</f>
        <v/>
      </c>
      <c r="D26" s="19" t="n">
        <v>1063</v>
      </c>
      <c r="E26" s="18" t="n">
        <v>38.20139753</v>
      </c>
      <c r="F26" s="20" t="n">
        <v>1.50458241</v>
      </c>
      <c r="G26" s="18" t="n">
        <v>18.80796723</v>
      </c>
      <c r="H26" s="20" t="n">
        <v>1.20462036</v>
      </c>
      <c r="I26" s="18" t="n">
        <v>42.9019427</v>
      </c>
      <c r="J26" s="20" t="n">
        <v>1.6760276</v>
      </c>
      <c r="K26" s="18" t="n">
        <v>0</v>
      </c>
      <c r="L26" s="20" t="n">
        <v>0</v>
      </c>
      <c r="M26" s="18" t="n">
        <v>0.08869254</v>
      </c>
      <c r="N26" s="20" t="n">
        <v>0.08643686</v>
      </c>
      <c r="O26" s="18" t="n">
        <v>0</v>
      </c>
      <c r="P26" s="20" t="n">
        <v>0</v>
      </c>
      <c r="Q26" s="18" t="n">
        <v>0</v>
      </c>
      <c r="R26" s="20" t="n">
        <v>0</v>
      </c>
      <c r="S26" s="18" t="n">
        <v>0</v>
      </c>
      <c r="T26" s="20" t="n">
        <v>0</v>
      </c>
    </row>
    <row r="27" spans="1:20">
      <c r="A27" s="15" t="s">
        <v>585</v>
      </c>
      <c r="B27" s="17" t="n">
        <v>5299</v>
      </c>
      <c r="C27" s="18">
        <f>(4108.0/B27*100)</f>
        <v/>
      </c>
      <c r="D27" s="19" t="n">
        <v>1191</v>
      </c>
      <c r="E27" s="18" t="n">
        <v>37.84433793</v>
      </c>
      <c r="F27" s="20" t="n">
        <v>1.50718124</v>
      </c>
      <c r="G27" s="18" t="n">
        <v>21.37458771</v>
      </c>
      <c r="H27" s="20" t="n">
        <v>1.02125478</v>
      </c>
      <c r="I27" s="18" t="n">
        <v>40.02350477</v>
      </c>
      <c r="J27" s="20" t="n">
        <v>1.53516775</v>
      </c>
      <c r="K27" s="18" t="n">
        <v>0</v>
      </c>
      <c r="L27" s="20" t="n">
        <v>0</v>
      </c>
      <c r="M27" s="18" t="n">
        <v>0.24491974</v>
      </c>
      <c r="N27" s="20" t="n">
        <v>0.14135626</v>
      </c>
      <c r="O27" s="18" t="n">
        <v>0</v>
      </c>
      <c r="P27" s="20" t="n">
        <v>0</v>
      </c>
      <c r="Q27" s="18" t="n">
        <v>0</v>
      </c>
      <c r="R27" s="20" t="n">
        <v>0</v>
      </c>
      <c r="S27" s="18" t="n">
        <v>0.51264985</v>
      </c>
      <c r="T27" s="20" t="n">
        <v>0.20894204</v>
      </c>
    </row>
    <row r="28" spans="1:20">
      <c r="A28" s="15" t="s">
        <v>586</v>
      </c>
      <c r="B28" s="17" t="n">
        <v>7568</v>
      </c>
      <c r="C28" s="18">
        <f>(6042.0/B28*100)</f>
        <v/>
      </c>
      <c r="D28" s="19" t="n">
        <v>1526</v>
      </c>
      <c r="E28" s="18" t="n">
        <v>53.17417867</v>
      </c>
      <c r="F28" s="20" t="n">
        <v>1.54468561</v>
      </c>
      <c r="G28" s="18" t="n">
        <v>15.83358895</v>
      </c>
      <c r="H28" s="20" t="n">
        <v>1.05150367</v>
      </c>
      <c r="I28" s="18" t="n">
        <v>29.84986874</v>
      </c>
      <c r="J28" s="20" t="n">
        <v>1.46011854</v>
      </c>
      <c r="K28" s="18" t="n">
        <v>0</v>
      </c>
      <c r="L28" s="20" t="n">
        <v>0</v>
      </c>
      <c r="M28" s="18" t="n">
        <v>0.9388772399999999</v>
      </c>
      <c r="N28" s="20" t="n">
        <v>0.2304654</v>
      </c>
      <c r="O28" s="18" t="n">
        <v>0</v>
      </c>
      <c r="P28" s="20" t="n">
        <v>0</v>
      </c>
      <c r="Q28" s="18" t="n">
        <v>0</v>
      </c>
      <c r="R28" s="20" t="n">
        <v>0</v>
      </c>
      <c r="S28" s="18" t="n">
        <v>0.2034864</v>
      </c>
      <c r="T28" s="20" t="n">
        <v>0.10238805</v>
      </c>
    </row>
    <row r="29" spans="1:20">
      <c r="A29" s="15" t="s">
        <v>587</v>
      </c>
      <c r="B29" s="17" t="n">
        <v>5385</v>
      </c>
      <c r="C29" s="18">
        <f>(4224.0/B29*100)</f>
        <v/>
      </c>
      <c r="D29" s="19" t="n">
        <v>1161</v>
      </c>
      <c r="E29" s="18" t="n">
        <v>31.22660865</v>
      </c>
      <c r="F29" s="20" t="n">
        <v>1.52784353</v>
      </c>
      <c r="G29" s="18" t="n">
        <v>23.45801916</v>
      </c>
      <c r="H29" s="20" t="n">
        <v>1.15567482</v>
      </c>
      <c r="I29" s="18" t="n">
        <v>44.75651225</v>
      </c>
      <c r="J29" s="20" t="n">
        <v>1.45374128</v>
      </c>
      <c r="K29" s="18" t="n">
        <v>0</v>
      </c>
      <c r="L29" s="20" t="n">
        <v>0</v>
      </c>
      <c r="M29" s="18" t="n">
        <v>0.31909367</v>
      </c>
      <c r="N29" s="20" t="n">
        <v>0.15878757</v>
      </c>
      <c r="O29" s="18" t="n">
        <v>0</v>
      </c>
      <c r="P29" s="20" t="n">
        <v>0</v>
      </c>
      <c r="Q29" s="18" t="n">
        <v>0</v>
      </c>
      <c r="R29" s="20" t="n">
        <v>0</v>
      </c>
      <c r="S29" s="18" t="n">
        <v>0.23976627</v>
      </c>
      <c r="T29" s="20" t="n">
        <v>0.14386732</v>
      </c>
    </row>
    <row r="30" spans="1:20">
      <c r="A30" s="15" t="s">
        <v>588</v>
      </c>
      <c r="B30" s="17" t="n">
        <v>4520</v>
      </c>
      <c r="C30" s="18">
        <f>(3585.0/B30*100)</f>
        <v/>
      </c>
      <c r="D30" s="19" t="n">
        <v>935</v>
      </c>
      <c r="E30" s="18" t="n">
        <v>26.06498368</v>
      </c>
      <c r="F30" s="20" t="n">
        <v>1.62802422</v>
      </c>
      <c r="G30" s="18" t="n">
        <v>24.40584505</v>
      </c>
      <c r="H30" s="20" t="n">
        <v>1.5742055</v>
      </c>
      <c r="I30" s="18" t="n">
        <v>48.12788079</v>
      </c>
      <c r="J30" s="20" t="n">
        <v>1.92057086</v>
      </c>
      <c r="K30" s="18" t="n">
        <v>0</v>
      </c>
      <c r="L30" s="20" t="n">
        <v>0</v>
      </c>
      <c r="M30" s="18" t="n">
        <v>0.24708426</v>
      </c>
      <c r="N30" s="20" t="n">
        <v>0.16600568</v>
      </c>
      <c r="O30" s="18" t="n">
        <v>0</v>
      </c>
      <c r="P30" s="20" t="n">
        <v>0</v>
      </c>
      <c r="Q30" s="18" t="n">
        <v>0</v>
      </c>
      <c r="R30" s="20" t="n">
        <v>0</v>
      </c>
      <c r="S30" s="18" t="n">
        <v>1.15420621</v>
      </c>
      <c r="T30" s="20" t="n">
        <v>0.55881384</v>
      </c>
    </row>
    <row r="31" spans="1:20">
      <c r="A31" s="15" t="s">
        <v>589</v>
      </c>
      <c r="B31" s="17" t="n">
        <v>5456</v>
      </c>
      <c r="C31" s="18">
        <f>(4287.0/B31*100)</f>
        <v/>
      </c>
      <c r="D31" s="19" t="n">
        <v>1169</v>
      </c>
      <c r="E31" s="18" t="n">
        <v>33.45844865</v>
      </c>
      <c r="F31" s="20" t="n">
        <v>1.50957879</v>
      </c>
      <c r="G31" s="18" t="n">
        <v>16.28338261</v>
      </c>
      <c r="H31" s="20" t="n">
        <v>1.24053917</v>
      </c>
      <c r="I31" s="18" t="n">
        <v>48.39506781</v>
      </c>
      <c r="J31" s="20" t="n">
        <v>1.47825253</v>
      </c>
      <c r="K31" s="18" t="n">
        <v>0</v>
      </c>
      <c r="L31" s="20" t="n">
        <v>0</v>
      </c>
      <c r="M31" s="18" t="n">
        <v>0.8119551699999999</v>
      </c>
      <c r="N31" s="20" t="n">
        <v>0.24766261</v>
      </c>
      <c r="O31" s="18" t="n">
        <v>0</v>
      </c>
      <c r="P31" s="20" t="n">
        <v>0</v>
      </c>
      <c r="Q31" s="18" t="n">
        <v>0</v>
      </c>
      <c r="R31" s="20" t="n">
        <v>0</v>
      </c>
      <c r="S31" s="18" t="n">
        <v>1.05114576</v>
      </c>
      <c r="T31" s="20" t="n">
        <v>0.23653805</v>
      </c>
    </row>
    <row r="32" spans="1:20">
      <c r="A32" s="15" t="s">
        <v>590</v>
      </c>
      <c r="B32" s="17" t="n">
        <v>4478</v>
      </c>
      <c r="C32" s="18">
        <f>(3520.0/B32*100)</f>
        <v/>
      </c>
      <c r="D32" s="19" t="n">
        <v>958</v>
      </c>
      <c r="E32" s="18" t="n">
        <v>29.16155092</v>
      </c>
      <c r="F32" s="20" t="n">
        <v>1.51749127</v>
      </c>
      <c r="G32" s="18" t="n">
        <v>21.68497107</v>
      </c>
      <c r="H32" s="20" t="n">
        <v>1.48840059</v>
      </c>
      <c r="I32" s="18" t="n">
        <v>48.86770405</v>
      </c>
      <c r="J32" s="20" t="n">
        <v>1.93981018</v>
      </c>
      <c r="K32" s="18" t="n">
        <v>0</v>
      </c>
      <c r="L32" s="20" t="n">
        <v>0</v>
      </c>
      <c r="M32" s="18" t="n">
        <v>0.09292221000000001</v>
      </c>
      <c r="N32" s="20" t="n">
        <v>0.09280296</v>
      </c>
      <c r="O32" s="18" t="n">
        <v>0</v>
      </c>
      <c r="P32" s="20" t="n">
        <v>0</v>
      </c>
      <c r="Q32" s="18" t="n">
        <v>0</v>
      </c>
      <c r="R32" s="20" t="n">
        <v>0</v>
      </c>
      <c r="S32" s="18" t="n">
        <v>0.19285174</v>
      </c>
      <c r="T32" s="20" t="n">
        <v>0.13744819</v>
      </c>
    </row>
    <row r="33" spans="1:20">
      <c r="A33" s="15" t="s">
        <v>591</v>
      </c>
      <c r="B33" s="17" t="n">
        <v>7325</v>
      </c>
      <c r="C33" s="18">
        <f>(5810.0/B33*100)</f>
        <v/>
      </c>
      <c r="D33" s="19" t="n">
        <v>1515</v>
      </c>
      <c r="E33" s="18" t="n">
        <v>33.42573001</v>
      </c>
      <c r="F33" s="20" t="n">
        <v>1.55306779</v>
      </c>
      <c r="G33" s="18" t="n">
        <v>24.97584997</v>
      </c>
      <c r="H33" s="20" t="n">
        <v>1.35526053</v>
      </c>
      <c r="I33" s="18" t="n">
        <v>40.90121114</v>
      </c>
      <c r="J33" s="20" t="n">
        <v>1.49054758</v>
      </c>
      <c r="K33" s="18" t="n">
        <v>0</v>
      </c>
      <c r="L33" s="20" t="n">
        <v>0</v>
      </c>
      <c r="M33" s="18" t="n">
        <v>0.49067758</v>
      </c>
      <c r="N33" s="20" t="n">
        <v>0.21988883</v>
      </c>
      <c r="O33" s="18" t="n">
        <v>0</v>
      </c>
      <c r="P33" s="20" t="n">
        <v>0</v>
      </c>
      <c r="Q33" s="18" t="n">
        <v>0</v>
      </c>
      <c r="R33" s="20" t="n">
        <v>0</v>
      </c>
      <c r="S33" s="18" t="n">
        <v>0.2065313</v>
      </c>
      <c r="T33" s="20" t="n">
        <v>0.09753769</v>
      </c>
    </row>
    <row r="34" spans="1:20">
      <c r="A34" s="15" t="s">
        <v>592</v>
      </c>
      <c r="B34" s="17" t="n">
        <v>6350</v>
      </c>
      <c r="C34" s="18">
        <f>(5004.0/B34*100)</f>
        <v/>
      </c>
      <c r="D34" s="19" t="n">
        <v>1346</v>
      </c>
      <c r="E34" s="18" t="n">
        <v>39.95771535</v>
      </c>
      <c r="F34" s="20" t="n">
        <v>1.55451572</v>
      </c>
      <c r="G34" s="18" t="n">
        <v>20.18891826</v>
      </c>
      <c r="H34" s="20" t="n">
        <v>1.28646825</v>
      </c>
      <c r="I34" s="18" t="n">
        <v>39.19428921</v>
      </c>
      <c r="J34" s="20" t="n">
        <v>1.5617744</v>
      </c>
      <c r="K34" s="18" t="n">
        <v>0</v>
      </c>
      <c r="L34" s="20" t="n">
        <v>0</v>
      </c>
      <c r="M34" s="18" t="n">
        <v>0.12593045</v>
      </c>
      <c r="N34" s="20" t="n">
        <v>0.12102523</v>
      </c>
      <c r="O34" s="18" t="n">
        <v>0</v>
      </c>
      <c r="P34" s="20" t="n">
        <v>0</v>
      </c>
      <c r="Q34" s="18" t="n">
        <v>0</v>
      </c>
      <c r="R34" s="20" t="n">
        <v>0</v>
      </c>
      <c r="S34" s="18" t="n">
        <v>0.53314672</v>
      </c>
      <c r="T34" s="20" t="n">
        <v>0.22194511</v>
      </c>
    </row>
    <row r="35" spans="1:20">
      <c r="A35" s="15" t="s">
        <v>593</v>
      </c>
      <c r="B35" s="17" t="n">
        <v>6406</v>
      </c>
      <c r="C35" s="18">
        <f>(4993.0/B35*100)</f>
        <v/>
      </c>
      <c r="D35" s="19" t="n">
        <v>1413</v>
      </c>
      <c r="E35" s="18" t="n">
        <v>27.82662658</v>
      </c>
      <c r="F35" s="20" t="n">
        <v>1.4312924</v>
      </c>
      <c r="G35" s="18" t="n">
        <v>21.8777</v>
      </c>
      <c r="H35" s="20" t="n">
        <v>1.32272802</v>
      </c>
      <c r="I35" s="18" t="n">
        <v>49.73231977</v>
      </c>
      <c r="J35" s="20" t="n">
        <v>1.61388774</v>
      </c>
      <c r="K35" s="18" t="n">
        <v>0</v>
      </c>
      <c r="L35" s="20" t="n">
        <v>0</v>
      </c>
      <c r="M35" s="18" t="n">
        <v>0.33727069</v>
      </c>
      <c r="N35" s="20" t="n">
        <v>0.20968148</v>
      </c>
      <c r="O35" s="18" t="n">
        <v>0</v>
      </c>
      <c r="P35" s="20" t="n">
        <v>0</v>
      </c>
      <c r="Q35" s="18" t="n">
        <v>0</v>
      </c>
      <c r="R35" s="20" t="n">
        <v>0</v>
      </c>
      <c r="S35" s="18" t="n">
        <v>0.22608296</v>
      </c>
      <c r="T35" s="20" t="n">
        <v>0.09175775</v>
      </c>
    </row>
    <row r="36" spans="1:20">
      <c r="A36" s="15" t="s">
        <v>594</v>
      </c>
      <c r="B36" s="17" t="n">
        <v>6736</v>
      </c>
      <c r="C36" s="18">
        <f>(5243.0/B36*100)</f>
        <v/>
      </c>
      <c r="D36" s="19" t="n">
        <v>1493</v>
      </c>
      <c r="E36" s="18" t="n">
        <v>32.42236027</v>
      </c>
      <c r="F36" s="20" t="n">
        <v>1.32630736</v>
      </c>
      <c r="G36" s="18" t="n">
        <v>21.17728967</v>
      </c>
      <c r="H36" s="20" t="n">
        <v>0.99450448</v>
      </c>
      <c r="I36" s="18" t="n">
        <v>45.25560409</v>
      </c>
      <c r="J36" s="20" t="n">
        <v>1.49882519</v>
      </c>
      <c r="K36" s="18" t="n">
        <v>0</v>
      </c>
      <c r="L36" s="20" t="n">
        <v>0</v>
      </c>
      <c r="M36" s="18" t="n">
        <v>0.47044991</v>
      </c>
      <c r="N36" s="20" t="n">
        <v>0.21331688</v>
      </c>
      <c r="O36" s="18" t="n">
        <v>0</v>
      </c>
      <c r="P36" s="20" t="n">
        <v>0</v>
      </c>
      <c r="Q36" s="18" t="n">
        <v>0</v>
      </c>
      <c r="R36" s="20" t="n">
        <v>0</v>
      </c>
      <c r="S36" s="18" t="n">
        <v>0.67429605</v>
      </c>
      <c r="T36" s="20" t="n">
        <v>0.24501651</v>
      </c>
    </row>
    <row r="37" spans="1:20">
      <c r="A37" s="15" t="s">
        <v>595</v>
      </c>
      <c r="B37" s="17" t="n">
        <v>5458</v>
      </c>
      <c r="C37" s="18">
        <f>(4308.0/B37*100)</f>
        <v/>
      </c>
      <c r="D37" s="19" t="n">
        <v>1150</v>
      </c>
      <c r="E37" s="18" t="n">
        <v>39.78650432</v>
      </c>
      <c r="F37" s="20" t="n">
        <v>1.66118833</v>
      </c>
      <c r="G37" s="18" t="n">
        <v>22.24451032</v>
      </c>
      <c r="H37" s="20" t="n">
        <v>1.34193814</v>
      </c>
      <c r="I37" s="18" t="n">
        <v>35.68635657</v>
      </c>
      <c r="J37" s="20" t="n">
        <v>1.48374817</v>
      </c>
      <c r="K37" s="18" t="n">
        <v>0</v>
      </c>
      <c r="L37" s="20" t="n">
        <v>0</v>
      </c>
      <c r="M37" s="18" t="n">
        <v>0.72541683</v>
      </c>
      <c r="N37" s="20" t="n">
        <v>0.26187581</v>
      </c>
      <c r="O37" s="18" t="n">
        <v>0</v>
      </c>
      <c r="P37" s="20" t="n">
        <v>0</v>
      </c>
      <c r="Q37" s="18" t="n">
        <v>0</v>
      </c>
      <c r="R37" s="20" t="n">
        <v>0</v>
      </c>
      <c r="S37" s="18" t="n">
        <v>1.55721196</v>
      </c>
      <c r="T37" s="20" t="n">
        <v>0.38798346</v>
      </c>
    </row>
    <row r="38" spans="1:20">
      <c r="A38" s="15" t="s">
        <v>596</v>
      </c>
      <c r="B38" s="17" t="n">
        <v>5860</v>
      </c>
      <c r="C38" s="18">
        <f>(4560.0/B38*100)</f>
        <v/>
      </c>
      <c r="D38" s="19" t="n">
        <v>1300</v>
      </c>
      <c r="E38" s="18" t="n">
        <v>33.92817726</v>
      </c>
      <c r="F38" s="20" t="n">
        <v>1.61982031</v>
      </c>
      <c r="G38" s="18" t="n">
        <v>25.78652171</v>
      </c>
      <c r="H38" s="20" t="n">
        <v>1.19133276</v>
      </c>
      <c r="I38" s="18" t="n">
        <v>38.95133782</v>
      </c>
      <c r="J38" s="20" t="n">
        <v>1.40637674</v>
      </c>
      <c r="K38" s="18" t="n">
        <v>0</v>
      </c>
      <c r="L38" s="20" t="n">
        <v>0</v>
      </c>
      <c r="M38" s="18" t="n">
        <v>0.39069907</v>
      </c>
      <c r="N38" s="20" t="n">
        <v>0.21082863</v>
      </c>
      <c r="O38" s="18" t="n">
        <v>0</v>
      </c>
      <c r="P38" s="20" t="n">
        <v>0</v>
      </c>
      <c r="Q38" s="18" t="n">
        <v>0</v>
      </c>
      <c r="R38" s="20" t="n">
        <v>0</v>
      </c>
      <c r="S38" s="18" t="n">
        <v>0.94326415</v>
      </c>
      <c r="T38" s="20" t="n">
        <v>0.27653354</v>
      </c>
    </row>
    <row r="39" spans="1:20">
      <c r="A39" s="15" t="s">
        <v>597</v>
      </c>
      <c r="B39" s="17" t="n">
        <v>5895</v>
      </c>
      <c r="C39" s="18">
        <f>(4581.0/B39*100)</f>
        <v/>
      </c>
      <c r="D39" s="19" t="n">
        <v>1314</v>
      </c>
      <c r="E39" s="18" t="n">
        <v>44.25765111</v>
      </c>
      <c r="F39" s="20" t="n">
        <v>1.7967413</v>
      </c>
      <c r="G39" s="18" t="n">
        <v>20.57893279</v>
      </c>
      <c r="H39" s="20" t="n">
        <v>1.13737138</v>
      </c>
      <c r="I39" s="18" t="n">
        <v>34.39081585</v>
      </c>
      <c r="J39" s="20" t="n">
        <v>1.69213708</v>
      </c>
      <c r="K39" s="18" t="n">
        <v>0</v>
      </c>
      <c r="L39" s="20" t="n">
        <v>0</v>
      </c>
      <c r="M39" s="18" t="n">
        <v>0</v>
      </c>
      <c r="N39" s="20" t="n">
        <v>0</v>
      </c>
      <c r="O39" s="18" t="n">
        <v>0</v>
      </c>
      <c r="P39" s="20" t="n">
        <v>0</v>
      </c>
      <c r="Q39" s="18" t="n">
        <v>0</v>
      </c>
      <c r="R39" s="20" t="n">
        <v>0</v>
      </c>
      <c r="S39" s="18" t="n">
        <v>0.77260024</v>
      </c>
      <c r="T39" s="20" t="n">
        <v>0.31310226</v>
      </c>
    </row>
    <row r="40" spans="1:20">
      <c r="A40" s="15" t="s">
        <v>598</v>
      </c>
      <c r="B40" s="17" t="n">
        <v>14157</v>
      </c>
      <c r="C40" s="18">
        <f>(11155.0/B40*100)</f>
        <v/>
      </c>
      <c r="D40" s="19" t="n">
        <v>3002</v>
      </c>
      <c r="E40" s="18" t="n">
        <v>28.6769996</v>
      </c>
      <c r="F40" s="20" t="n">
        <v>1.36202943</v>
      </c>
      <c r="G40" s="18" t="n">
        <v>22.63156559</v>
      </c>
      <c r="H40" s="20" t="n">
        <v>1.17387311</v>
      </c>
      <c r="I40" s="18" t="n">
        <v>47.83947602</v>
      </c>
      <c r="J40" s="20" t="n">
        <v>1.53811734</v>
      </c>
      <c r="K40" s="18" t="n">
        <v>0</v>
      </c>
      <c r="L40" s="20" t="n">
        <v>0</v>
      </c>
      <c r="M40" s="18" t="n">
        <v>0.20328861</v>
      </c>
      <c r="N40" s="20" t="n">
        <v>0.11353746</v>
      </c>
      <c r="O40" s="18" t="n">
        <v>0</v>
      </c>
      <c r="P40" s="20" t="n">
        <v>0</v>
      </c>
      <c r="Q40" s="18" t="n">
        <v>0</v>
      </c>
      <c r="R40" s="20" t="n">
        <v>0</v>
      </c>
      <c r="S40" s="18" t="n">
        <v>0.64867017</v>
      </c>
      <c r="T40" s="20" t="n">
        <v>0.18579221</v>
      </c>
    </row>
    <row r="41" spans="1:20">
      <c r="A41" s="15" t="s">
        <v>599</v>
      </c>
      <c r="B41" s="17" t="n">
        <v>5712</v>
      </c>
      <c r="C41" s="18">
        <f>(4429.0/B41*100)</f>
        <v/>
      </c>
      <c r="D41" s="19" t="n">
        <v>1283</v>
      </c>
      <c r="E41" s="18" t="n">
        <v>32.95173444</v>
      </c>
      <c r="F41" s="20" t="n">
        <v>1.66778919</v>
      </c>
      <c r="G41" s="18" t="n">
        <v>15.56053239</v>
      </c>
      <c r="H41" s="20" t="n">
        <v>0.94712</v>
      </c>
      <c r="I41" s="18" t="n">
        <v>50.81660446</v>
      </c>
      <c r="J41" s="20" t="n">
        <v>1.67094058</v>
      </c>
      <c r="K41" s="18" t="n">
        <v>0</v>
      </c>
      <c r="L41" s="20" t="n">
        <v>0</v>
      </c>
      <c r="M41" s="18" t="n">
        <v>0.40727102</v>
      </c>
      <c r="N41" s="20" t="n">
        <v>0.21036915</v>
      </c>
      <c r="O41" s="18" t="n">
        <v>0</v>
      </c>
      <c r="P41" s="20" t="n">
        <v>0</v>
      </c>
      <c r="Q41" s="18" t="n">
        <v>0</v>
      </c>
      <c r="R41" s="20" t="n">
        <v>0</v>
      </c>
      <c r="S41" s="18" t="n">
        <v>0.26385769</v>
      </c>
      <c r="T41" s="20" t="n">
        <v>0.13265026</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(19114.0/B46*100)</f>
        <v/>
      </c>
      <c r="D46" s="19" t="n">
        <v>4027</v>
      </c>
      <c r="E46" s="18" t="n">
        <v>62.39195463</v>
      </c>
      <c r="F46" s="20" t="n">
        <v>1.15330619</v>
      </c>
      <c r="G46" s="18" t="n">
        <v>14.80920336</v>
      </c>
      <c r="H46" s="20" t="n">
        <v>0.81507487</v>
      </c>
      <c r="I46" s="18" t="n">
        <v>19.15941343</v>
      </c>
      <c r="J46" s="20" t="n">
        <v>0.7828409200000001</v>
      </c>
      <c r="K46" s="18" t="n">
        <v>0</v>
      </c>
      <c r="L46" s="20" t="n">
        <v>0</v>
      </c>
      <c r="M46" s="18" t="n">
        <v>1.48312041</v>
      </c>
      <c r="N46" s="20" t="n">
        <v>0.31165625</v>
      </c>
      <c r="O46" s="18" t="n">
        <v>0</v>
      </c>
      <c r="P46" s="20" t="n">
        <v>0</v>
      </c>
      <c r="Q46" s="18" t="n">
        <v>0</v>
      </c>
      <c r="R46" s="20" t="n">
        <v>0</v>
      </c>
      <c r="S46" s="18" t="n">
        <v>2.15630817</v>
      </c>
      <c r="T46" s="20" t="n">
        <v>0.30152476</v>
      </c>
    </row>
    <row r="47" spans="1:20">
      <c r="A47" s="15" t="s">
        <v>606</v>
      </c>
      <c r="B47" s="17" t="n">
        <v>5928</v>
      </c>
      <c r="C47" s="18">
        <f>(4678.0/B47*100)</f>
        <v/>
      </c>
      <c r="D47" s="19" t="n">
        <v>1250</v>
      </c>
      <c r="E47" s="18" t="n">
        <v>46.33634064</v>
      </c>
      <c r="F47" s="20" t="n">
        <v>1.73455374</v>
      </c>
      <c r="G47" s="18" t="n">
        <v>20.80202727</v>
      </c>
      <c r="H47" s="20" t="n">
        <v>1.14157649</v>
      </c>
      <c r="I47" s="18" t="n">
        <v>31.4005129</v>
      </c>
      <c r="J47" s="20" t="n">
        <v>1.84341326</v>
      </c>
      <c r="K47" s="18" t="n">
        <v>0</v>
      </c>
      <c r="L47" s="20" t="n">
        <v>0</v>
      </c>
      <c r="M47" s="18" t="n">
        <v>0.15474102</v>
      </c>
      <c r="N47" s="20" t="n">
        <v>0.10926958</v>
      </c>
      <c r="O47" s="18" t="n">
        <v>0</v>
      </c>
      <c r="P47" s="20" t="n">
        <v>0</v>
      </c>
      <c r="Q47" s="18" t="n">
        <v>0</v>
      </c>
      <c r="R47" s="20" t="n">
        <v>0</v>
      </c>
      <c r="S47" s="18" t="n">
        <v>1.30637816</v>
      </c>
      <c r="T47" s="20" t="n">
        <v>0.37948661</v>
      </c>
    </row>
    <row r="48" spans="1:20">
      <c r="A48" s="15" t="s">
        <v>607</v>
      </c>
      <c r="B48" s="17" t="n">
        <v>9841</v>
      </c>
      <c r="C48" s="18">
        <f>(7677.0/B48*100)</f>
        <v/>
      </c>
      <c r="D48" s="19" t="n">
        <v>2164</v>
      </c>
      <c r="E48" s="18" t="n">
        <v>21.71681332</v>
      </c>
      <c r="F48" s="20" t="n">
        <v>1.22319227</v>
      </c>
      <c r="G48" s="18" t="n">
        <v>21.08574409</v>
      </c>
      <c r="H48" s="20" t="n">
        <v>1.53299807</v>
      </c>
      <c r="I48" s="18" t="n">
        <v>56.07314076</v>
      </c>
      <c r="J48" s="20" t="n">
        <v>1.9043166</v>
      </c>
      <c r="K48" s="18" t="n">
        <v>0</v>
      </c>
      <c r="L48" s="20" t="n">
        <v>0</v>
      </c>
      <c r="M48" s="18" t="n">
        <v>0.7339223</v>
      </c>
      <c r="N48" s="20" t="n">
        <v>0.25433472</v>
      </c>
      <c r="O48" s="18" t="n">
        <v>0</v>
      </c>
      <c r="P48" s="20" t="n">
        <v>0</v>
      </c>
      <c r="Q48" s="18" t="n">
        <v>0</v>
      </c>
      <c r="R48" s="20" t="n">
        <v>0</v>
      </c>
      <c r="S48" s="18" t="n">
        <v>0.39037953</v>
      </c>
      <c r="T48" s="20" t="n">
        <v>0.17713785</v>
      </c>
    </row>
    <row r="49" spans="1:20">
      <c r="A49" s="15" t="s">
        <v>608</v>
      </c>
      <c r="B49" s="17" t="n">
        <v>11795</v>
      </c>
      <c r="C49" s="18">
        <f>(9332.0/B49*100)</f>
        <v/>
      </c>
      <c r="D49" s="19" t="n">
        <v>2463</v>
      </c>
      <c r="E49" s="18" t="n">
        <v>50.69394828</v>
      </c>
      <c r="F49" s="20" t="n">
        <v>1.58970862</v>
      </c>
      <c r="G49" s="18" t="n">
        <v>17.44743201</v>
      </c>
      <c r="H49" s="20" t="n">
        <v>0.82393972</v>
      </c>
      <c r="I49" s="18" t="n">
        <v>29.34791869</v>
      </c>
      <c r="J49" s="20" t="n">
        <v>1.43465399</v>
      </c>
      <c r="K49" s="18" t="n">
        <v>0</v>
      </c>
      <c r="L49" s="20" t="n">
        <v>0</v>
      </c>
      <c r="M49" s="18" t="n">
        <v>2.2110313</v>
      </c>
      <c r="N49" s="20" t="n">
        <v>0.52729472</v>
      </c>
      <c r="O49" s="18" t="n">
        <v>0</v>
      </c>
      <c r="P49" s="20" t="n">
        <v>0</v>
      </c>
      <c r="Q49" s="18" t="n">
        <v>0</v>
      </c>
      <c r="R49" s="20" t="n">
        <v>0</v>
      </c>
      <c r="S49" s="18" t="n">
        <v>0.29966973</v>
      </c>
      <c r="T49" s="20" t="n">
        <v>0.13330662</v>
      </c>
    </row>
    <row r="50" spans="1:20">
      <c r="A50" s="15" t="s">
        <v>609</v>
      </c>
      <c r="B50" s="17" t="n">
        <v>6866</v>
      </c>
      <c r="C50" s="18">
        <f>(5564.0/B50*100)</f>
        <v/>
      </c>
      <c r="D50" s="19" t="n">
        <v>1302</v>
      </c>
      <c r="E50" s="18" t="n">
        <v>51.15066711</v>
      </c>
      <c r="F50" s="20" t="n">
        <v>1.28364796</v>
      </c>
      <c r="G50" s="18" t="n">
        <v>21.59202378</v>
      </c>
      <c r="H50" s="20" t="n">
        <v>1.09132852</v>
      </c>
      <c r="I50" s="18" t="n">
        <v>25.79398013</v>
      </c>
      <c r="J50" s="20" t="n">
        <v>1.24560352</v>
      </c>
      <c r="K50" s="18" t="n">
        <v>0</v>
      </c>
      <c r="L50" s="20" t="n">
        <v>0</v>
      </c>
      <c r="M50" s="18" t="n">
        <v>0.53306292</v>
      </c>
      <c r="N50" s="20" t="n">
        <v>0.23515864</v>
      </c>
      <c r="O50" s="18" t="n">
        <v>0</v>
      </c>
      <c r="P50" s="20" t="n">
        <v>0</v>
      </c>
      <c r="Q50" s="18" t="n">
        <v>0</v>
      </c>
      <c r="R50" s="20" t="n">
        <v>0</v>
      </c>
      <c r="S50" s="18" t="n">
        <v>0.93026606</v>
      </c>
      <c r="T50" s="20" t="n">
        <v>0.3181157</v>
      </c>
    </row>
    <row r="51" spans="1:20">
      <c r="A51" s="15" t="s">
        <v>610</v>
      </c>
      <c r="B51" s="17" t="n">
        <v>5809</v>
      </c>
      <c r="C51" s="18">
        <f>(4531.0/B51*100)</f>
        <v/>
      </c>
      <c r="D51" s="19" t="n">
        <v>1278</v>
      </c>
      <c r="E51" s="18" t="n">
        <v>49.44613819</v>
      </c>
      <c r="F51" s="20" t="n">
        <v>1.36770186</v>
      </c>
      <c r="G51" s="18" t="n">
        <v>13.7689647</v>
      </c>
      <c r="H51" s="20" t="n">
        <v>0.92407072</v>
      </c>
      <c r="I51" s="18" t="n">
        <v>36.20575754</v>
      </c>
      <c r="J51" s="20" t="n">
        <v>1.43835501</v>
      </c>
      <c r="K51" s="18" t="n">
        <v>0</v>
      </c>
      <c r="L51" s="20" t="n">
        <v>0</v>
      </c>
      <c r="M51" s="18" t="n">
        <v>0.07176834</v>
      </c>
      <c r="N51" s="20" t="n">
        <v>0.07149229999999999</v>
      </c>
      <c r="O51" s="18" t="n">
        <v>0</v>
      </c>
      <c r="P51" s="20" t="n">
        <v>0</v>
      </c>
      <c r="Q51" s="18" t="n">
        <v>0</v>
      </c>
      <c r="R51" s="20" t="n">
        <v>0</v>
      </c>
      <c r="S51" s="18" t="n">
        <v>0.50737122</v>
      </c>
      <c r="T51" s="20" t="n">
        <v>0.199395</v>
      </c>
    </row>
    <row r="52" spans="1:20">
      <c r="A52" s="15" t="s">
        <v>611</v>
      </c>
      <c r="B52" s="17" t="n">
        <v>5571</v>
      </c>
      <c r="C52" s="18">
        <f>(4338.0/B52*100)</f>
        <v/>
      </c>
      <c r="D52" s="19" t="n">
        <v>1233</v>
      </c>
      <c r="E52" s="18" t="n">
        <v>54.00635942</v>
      </c>
      <c r="F52" s="20" t="n">
        <v>1.51099938</v>
      </c>
      <c r="G52" s="18" t="n">
        <v>19.51692147</v>
      </c>
      <c r="H52" s="20" t="n">
        <v>1.24670456</v>
      </c>
      <c r="I52" s="18" t="n">
        <v>24.99835908</v>
      </c>
      <c r="J52" s="20" t="n">
        <v>1.2983735</v>
      </c>
      <c r="K52" s="18" t="n">
        <v>0</v>
      </c>
      <c r="L52" s="20" t="n">
        <v>0</v>
      </c>
      <c r="M52" s="18" t="n">
        <v>0.33086471</v>
      </c>
      <c r="N52" s="20" t="n">
        <v>0.14833836</v>
      </c>
      <c r="O52" s="18" t="n">
        <v>0</v>
      </c>
      <c r="P52" s="20" t="n">
        <v>0</v>
      </c>
      <c r="Q52" s="18" t="n">
        <v>0</v>
      </c>
      <c r="R52" s="20" t="n">
        <v>0</v>
      </c>
      <c r="S52" s="18" t="n">
        <v>1.14749531</v>
      </c>
      <c r="T52" s="20" t="n">
        <v>0.32095087</v>
      </c>
    </row>
    <row r="53" spans="1:20">
      <c r="A53" s="15" t="s">
        <v>612</v>
      </c>
      <c r="B53" s="17" t="n">
        <v>4740</v>
      </c>
      <c r="C53" s="18">
        <f>(3708.0/B53*100)</f>
        <v/>
      </c>
      <c r="D53" s="19" t="n">
        <v>1032</v>
      </c>
      <c r="E53" s="18" t="n">
        <v>53.40789766</v>
      </c>
      <c r="F53" s="20" t="n">
        <v>1.86350807</v>
      </c>
      <c r="G53" s="18" t="n">
        <v>13.01638944</v>
      </c>
      <c r="H53" s="20" t="n">
        <v>1.19882761</v>
      </c>
      <c r="I53" s="18" t="n">
        <v>16.2769002</v>
      </c>
      <c r="J53" s="20" t="n">
        <v>1.29296006</v>
      </c>
      <c r="K53" s="18" t="n">
        <v>0</v>
      </c>
      <c r="L53" s="20" t="n">
        <v>0</v>
      </c>
      <c r="M53" s="18" t="n">
        <v>14.26439689</v>
      </c>
      <c r="N53" s="20" t="n">
        <v>1.18486867</v>
      </c>
      <c r="O53" s="18" t="n">
        <v>0</v>
      </c>
      <c r="P53" s="20" t="n">
        <v>0</v>
      </c>
      <c r="Q53" s="18" t="n">
        <v>0</v>
      </c>
      <c r="R53" s="20" t="n">
        <v>0</v>
      </c>
      <c r="S53" s="18" t="n">
        <v>3.03441582</v>
      </c>
      <c r="T53" s="20" t="n">
        <v>0.64765302</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(4123.0/B55*100)</f>
        <v/>
      </c>
      <c r="D55" s="19" t="n">
        <v>1236</v>
      </c>
      <c r="E55" s="18" t="n">
        <v>20.58620433</v>
      </c>
      <c r="F55" s="20" t="n">
        <v>1.41697663</v>
      </c>
      <c r="G55" s="18" t="n">
        <v>33.9344461</v>
      </c>
      <c r="H55" s="20" t="n">
        <v>1.54180208</v>
      </c>
      <c r="I55" s="18" t="n">
        <v>45.22439914</v>
      </c>
      <c r="J55" s="20" t="n">
        <v>1.58678042</v>
      </c>
      <c r="K55" s="18" t="n">
        <v>0</v>
      </c>
      <c r="L55" s="20" t="n">
        <v>0</v>
      </c>
      <c r="M55" s="18" t="n">
        <v>0.16055468</v>
      </c>
      <c r="N55" s="20" t="n">
        <v>0.11410057</v>
      </c>
      <c r="O55" s="18" t="n">
        <v>0</v>
      </c>
      <c r="P55" s="20" t="n">
        <v>0</v>
      </c>
      <c r="Q55" s="18" t="n">
        <v>0</v>
      </c>
      <c r="R55" s="20" t="n">
        <v>0</v>
      </c>
      <c r="S55" s="18" t="n">
        <v>0.09439575</v>
      </c>
      <c r="T55" s="20" t="n">
        <v>0.10764882</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(5068.0/B61*100)</f>
        <v/>
      </c>
      <c r="D61" s="19" t="n">
        <v>1457</v>
      </c>
      <c r="E61" s="18" t="n">
        <v>38.13556838</v>
      </c>
      <c r="F61" s="20" t="n">
        <v>1.56105488</v>
      </c>
      <c r="G61" s="18" t="n">
        <v>30.64685276</v>
      </c>
      <c r="H61" s="20" t="n">
        <v>1.3503981</v>
      </c>
      <c r="I61" s="18" t="n">
        <v>30.46945396</v>
      </c>
      <c r="J61" s="20" t="n">
        <v>1.19232455</v>
      </c>
      <c r="K61" s="18" t="n">
        <v>0</v>
      </c>
      <c r="L61" s="20" t="n">
        <v>0</v>
      </c>
      <c r="M61" s="18" t="n">
        <v>0.2524356</v>
      </c>
      <c r="N61" s="20" t="n">
        <v>0.15079238</v>
      </c>
      <c r="O61" s="18" t="n">
        <v>0</v>
      </c>
      <c r="P61" s="20" t="n">
        <v>0</v>
      </c>
      <c r="Q61" s="18" t="n">
        <v>0</v>
      </c>
      <c r="R61" s="20" t="n">
        <v>0</v>
      </c>
      <c r="S61" s="18" t="n">
        <v>0.49568929</v>
      </c>
      <c r="T61" s="20" t="n">
        <v>0.1891788</v>
      </c>
    </row>
    <row r="62" spans="1:20">
      <c r="A62" s="15" t="s">
        <v>622</v>
      </c>
      <c r="B62" s="17" t="n">
        <v>4476</v>
      </c>
      <c r="C62" s="18">
        <f>(3479.0/B62*100)</f>
        <v/>
      </c>
      <c r="D62" s="19" t="n">
        <v>997</v>
      </c>
      <c r="E62" s="18" t="n">
        <v>22.21757615</v>
      </c>
      <c r="F62" s="20" t="n">
        <v>1.4497023</v>
      </c>
      <c r="G62" s="18" t="n">
        <v>30.45706077</v>
      </c>
      <c r="H62" s="20" t="n">
        <v>1.31485009</v>
      </c>
      <c r="I62" s="18" t="n">
        <v>47.32536308</v>
      </c>
      <c r="J62" s="20" t="n">
        <v>1.38813341</v>
      </c>
      <c r="K62" s="18" t="n">
        <v>0</v>
      </c>
      <c r="L62" s="20" t="n">
        <v>0</v>
      </c>
      <c r="M62" s="18" t="n">
        <v>0</v>
      </c>
      <c r="N62" s="20" t="n">
        <v>0</v>
      </c>
      <c r="O62" s="18" t="n">
        <v>0</v>
      </c>
      <c r="P62" s="20" t="n">
        <v>0</v>
      </c>
      <c r="Q62" s="18" t="n">
        <v>0</v>
      </c>
      <c r="R62" s="20" t="n">
        <v>0</v>
      </c>
      <c r="S62" s="18" t="n">
        <v>0</v>
      </c>
      <c r="T62" s="20" t="n">
        <v>0</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(4454.0/B67*100)</f>
        <v/>
      </c>
      <c r="D67" s="19" t="n">
        <v>1211</v>
      </c>
      <c r="E67" s="18" t="n">
        <v>56.34845261</v>
      </c>
      <c r="F67" s="20" t="n">
        <v>1.40038038</v>
      </c>
      <c r="G67" s="18" t="n">
        <v>11.64356063</v>
      </c>
      <c r="H67" s="20" t="n">
        <v>0.9393348</v>
      </c>
      <c r="I67" s="18" t="n">
        <v>28.91435175</v>
      </c>
      <c r="J67" s="20" t="n">
        <v>1.37638947</v>
      </c>
      <c r="K67" s="18" t="n">
        <v>0</v>
      </c>
      <c r="L67" s="20" t="n">
        <v>0</v>
      </c>
      <c r="M67" s="18" t="n">
        <v>0.62307278</v>
      </c>
      <c r="N67" s="20" t="n">
        <v>0.23060702</v>
      </c>
      <c r="O67" s="18" t="n">
        <v>0</v>
      </c>
      <c r="P67" s="20" t="n">
        <v>0</v>
      </c>
      <c r="Q67" s="18" t="n">
        <v>0</v>
      </c>
      <c r="R67" s="20" t="n">
        <v>0</v>
      </c>
      <c r="S67" s="18" t="n">
        <v>2.47056222</v>
      </c>
      <c r="T67" s="20" t="n">
        <v>0.46288191</v>
      </c>
    </row>
    <row r="68" spans="1:20">
      <c r="A68" s="15" t="s">
        <v>628</v>
      </c>
      <c r="B68" s="17" t="n">
        <v>6971</v>
      </c>
      <c r="C68" s="18">
        <f>(5654.0/B68*100)</f>
        <v/>
      </c>
      <c r="D68" s="19" t="n">
        <v>1317</v>
      </c>
      <c r="E68" s="18" t="n">
        <v>55.84286629</v>
      </c>
      <c r="F68" s="20" t="n">
        <v>1.67051976</v>
      </c>
      <c r="G68" s="18" t="n">
        <v>20.63144657</v>
      </c>
      <c r="H68" s="20" t="n">
        <v>1.30231026</v>
      </c>
      <c r="I68" s="18" t="n">
        <v>21.91409263</v>
      </c>
      <c r="J68" s="20" t="n">
        <v>1.36275406</v>
      </c>
      <c r="K68" s="18" t="n">
        <v>0</v>
      </c>
      <c r="L68" s="20" t="n">
        <v>0</v>
      </c>
      <c r="M68" s="18" t="n">
        <v>0.40212439</v>
      </c>
      <c r="N68" s="20" t="n">
        <v>0.20787643</v>
      </c>
      <c r="O68" s="18" t="n">
        <v>0</v>
      </c>
      <c r="P68" s="20" t="n">
        <v>0</v>
      </c>
      <c r="Q68" s="18" t="n">
        <v>0</v>
      </c>
      <c r="R68" s="20" t="n">
        <v>0</v>
      </c>
      <c r="S68" s="18" t="n">
        <v>1.20947011</v>
      </c>
      <c r="T68" s="20" t="n">
        <v>0.31654844</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(9373.0/B70*100)</f>
        <v/>
      </c>
      <c r="D70" s="19" t="n">
        <v>2710</v>
      </c>
      <c r="E70" s="18" t="n">
        <v>46.87131587</v>
      </c>
      <c r="F70" s="20" t="n">
        <v>0.99715943</v>
      </c>
      <c r="G70" s="18" t="n">
        <v>19.350627</v>
      </c>
      <c r="H70" s="20" t="n">
        <v>0.79311549</v>
      </c>
      <c r="I70" s="18" t="n">
        <v>30.23437613</v>
      </c>
      <c r="J70" s="20" t="n">
        <v>0.90212942</v>
      </c>
      <c r="K70" s="18" t="n">
        <v>0</v>
      </c>
      <c r="L70" s="20" t="n">
        <v>0</v>
      </c>
      <c r="M70" s="18" t="n">
        <v>2.37645154</v>
      </c>
      <c r="N70" s="20" t="n">
        <v>0.29150839</v>
      </c>
      <c r="O70" s="18" t="n">
        <v>0</v>
      </c>
      <c r="P70" s="20" t="n">
        <v>0</v>
      </c>
      <c r="Q70" s="18" t="n">
        <v>0</v>
      </c>
      <c r="R70" s="20" t="n">
        <v>0</v>
      </c>
      <c r="S70" s="18" t="n">
        <v>1.16722946</v>
      </c>
      <c r="T70" s="20" t="n">
        <v>0.20272116</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(4830.0/B72*100)</f>
        <v/>
      </c>
      <c r="D72" s="19" t="n">
        <v>1206</v>
      </c>
      <c r="E72" s="18" t="n">
        <v>37.80428541</v>
      </c>
      <c r="F72" s="20" t="n">
        <v>1.71150186</v>
      </c>
      <c r="G72" s="18" t="n">
        <v>20.77840378</v>
      </c>
      <c r="H72" s="20" t="n">
        <v>1.12269551</v>
      </c>
      <c r="I72" s="18" t="n">
        <v>40.32551177</v>
      </c>
      <c r="J72" s="20" t="n">
        <v>1.59427375</v>
      </c>
      <c r="K72" s="18" t="n">
        <v>0</v>
      </c>
      <c r="L72" s="20" t="n">
        <v>0</v>
      </c>
      <c r="M72" s="18" t="n">
        <v>0.43728568</v>
      </c>
      <c r="N72" s="20" t="n">
        <v>0.20442898</v>
      </c>
      <c r="O72" s="18" t="n">
        <v>0</v>
      </c>
      <c r="P72" s="20" t="n">
        <v>0</v>
      </c>
      <c r="Q72" s="18" t="n">
        <v>0</v>
      </c>
      <c r="R72" s="20" t="n">
        <v>0</v>
      </c>
      <c r="S72" s="18" t="n">
        <v>0.65451335</v>
      </c>
      <c r="T72" s="20" t="n">
        <v>0.30154135</v>
      </c>
    </row>
    <row r="73" spans="1:20">
      <c r="A73" s="15" t="s">
        <v>633</v>
      </c>
      <c r="B73" s="17" t="n">
        <v>6115</v>
      </c>
      <c r="C73" s="18">
        <f>(4782.0/B73*100)</f>
        <v/>
      </c>
      <c r="D73" s="19" t="n">
        <v>1333</v>
      </c>
      <c r="E73" s="18" t="n">
        <v>14.44570163</v>
      </c>
      <c r="F73" s="20" t="n">
        <v>0.8515138</v>
      </c>
      <c r="G73" s="18" t="n">
        <v>14.72817035</v>
      </c>
      <c r="H73" s="20" t="n">
        <v>1.08056184</v>
      </c>
      <c r="I73" s="18" t="n">
        <v>70.43685404</v>
      </c>
      <c r="J73" s="20" t="n">
        <v>1.37439003</v>
      </c>
      <c r="K73" s="18" t="n">
        <v>0</v>
      </c>
      <c r="L73" s="20" t="n">
        <v>0</v>
      </c>
      <c r="M73" s="18" t="n">
        <v>0.16071549</v>
      </c>
      <c r="N73" s="20" t="n">
        <v>0.11358951</v>
      </c>
      <c r="O73" s="18" t="n">
        <v>0</v>
      </c>
      <c r="P73" s="20" t="n">
        <v>0</v>
      </c>
      <c r="Q73" s="18" t="n">
        <v>0</v>
      </c>
      <c r="R73" s="20" t="n">
        <v>0</v>
      </c>
      <c r="S73" s="18" t="n">
        <v>0.22855849</v>
      </c>
      <c r="T73" s="20" t="n">
        <v>0.13005096</v>
      </c>
    </row>
    <row r="74" spans="1:20">
      <c r="A74" s="15" t="s">
        <v>634</v>
      </c>
      <c r="B74" s="17" t="n">
        <v>7708</v>
      </c>
      <c r="C74" s="18">
        <f>(5969.0/B74*100)</f>
        <v/>
      </c>
      <c r="D74" s="19" t="n">
        <v>1739</v>
      </c>
      <c r="E74" s="18" t="n">
        <v>24.81902541</v>
      </c>
      <c r="F74" s="20" t="n">
        <v>1.23675895</v>
      </c>
      <c r="G74" s="18" t="n">
        <v>21.68231669</v>
      </c>
      <c r="H74" s="20" t="n">
        <v>1.17265772</v>
      </c>
      <c r="I74" s="18" t="n">
        <v>53.09893495</v>
      </c>
      <c r="J74" s="20" t="n">
        <v>1.5252291</v>
      </c>
      <c r="K74" s="18" t="n">
        <v>0</v>
      </c>
      <c r="L74" s="20" t="n">
        <v>0</v>
      </c>
      <c r="M74" s="18" t="n">
        <v>0.12263254</v>
      </c>
      <c r="N74" s="20" t="n">
        <v>0.08897394</v>
      </c>
      <c r="O74" s="18" t="n">
        <v>0</v>
      </c>
      <c r="P74" s="20" t="n">
        <v>0</v>
      </c>
      <c r="Q74" s="18" t="n">
        <v>0</v>
      </c>
      <c r="R74" s="20" t="n">
        <v>0</v>
      </c>
      <c r="S74" s="18" t="n">
        <v>0.27709041</v>
      </c>
      <c r="T74" s="20" t="n">
        <v>0.11299117</v>
      </c>
    </row>
    <row r="75" spans="1:20">
      <c r="A75" s="15" t="s">
        <v>635</v>
      </c>
      <c r="B75" s="17" t="n">
        <v>8249</v>
      </c>
      <c r="C75" s="18">
        <f>(6524.0/B75*100)</f>
        <v/>
      </c>
      <c r="D75" s="19" t="n">
        <v>1725</v>
      </c>
      <c r="E75" s="18" t="n">
        <v>48.45291751</v>
      </c>
      <c r="F75" s="20" t="n">
        <v>1.54743551</v>
      </c>
      <c r="G75" s="18" t="n">
        <v>21.21264292</v>
      </c>
      <c r="H75" s="20" t="n">
        <v>1.16715923</v>
      </c>
      <c r="I75" s="18" t="n">
        <v>29.92671144</v>
      </c>
      <c r="J75" s="20" t="n">
        <v>1.51771132</v>
      </c>
      <c r="K75" s="18" t="n">
        <v>0</v>
      </c>
      <c r="L75" s="20" t="n">
        <v>0</v>
      </c>
      <c r="M75" s="18" t="n">
        <v>0.02979715</v>
      </c>
      <c r="N75" s="20" t="n">
        <v>0.0298572</v>
      </c>
      <c r="O75" s="18" t="n">
        <v>0</v>
      </c>
      <c r="P75" s="20" t="n">
        <v>0</v>
      </c>
      <c r="Q75" s="18" t="n">
        <v>0</v>
      </c>
      <c r="R75" s="20" t="n">
        <v>0</v>
      </c>
      <c r="S75" s="18" t="n">
        <v>0.37793099</v>
      </c>
      <c r="T75" s="20" t="n">
        <v>0.15352469</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(4345.0/B77*100)</f>
        <v/>
      </c>
      <c r="D77" s="19" t="n">
        <v>1030</v>
      </c>
      <c r="E77" s="18" t="n">
        <v>51.24846326</v>
      </c>
      <c r="F77" s="20" t="n">
        <v>1.54222019</v>
      </c>
      <c r="G77" s="18" t="n">
        <v>19.8992756</v>
      </c>
      <c r="H77" s="20" t="n">
        <v>1.14197139</v>
      </c>
      <c r="I77" s="18" t="n">
        <v>23.14012525</v>
      </c>
      <c r="J77" s="20" t="n">
        <v>1.6147742</v>
      </c>
      <c r="K77" s="18" t="n">
        <v>0</v>
      </c>
      <c r="L77" s="20" t="n">
        <v>0</v>
      </c>
      <c r="M77" s="18" t="n">
        <v>3.31586079</v>
      </c>
      <c r="N77" s="20" t="n">
        <v>0.70643841</v>
      </c>
      <c r="O77" s="18" t="n">
        <v>0</v>
      </c>
      <c r="P77" s="20" t="n">
        <v>0</v>
      </c>
      <c r="Q77" s="18" t="n">
        <v>0</v>
      </c>
      <c r="R77" s="20" t="n">
        <v>0</v>
      </c>
      <c r="S77" s="18" t="n">
        <v>2.3962751</v>
      </c>
      <c r="T77" s="20" t="n">
        <v>0.63436606</v>
      </c>
    </row>
    <row r="78" spans="1:20">
      <c r="A78" s="15" t="s">
        <v>638</v>
      </c>
      <c r="B78" s="17" t="n">
        <v>14167</v>
      </c>
      <c r="C78" s="18">
        <f>(11121.0/B78*100)</f>
        <v/>
      </c>
      <c r="D78" s="19" t="n">
        <v>3046</v>
      </c>
      <c r="E78" s="18" t="n">
        <v>43.74879059</v>
      </c>
      <c r="F78" s="20" t="n">
        <v>1.18605646</v>
      </c>
      <c r="G78" s="18" t="n">
        <v>19.81213587</v>
      </c>
      <c r="H78" s="20" t="n">
        <v>0.87157733</v>
      </c>
      <c r="I78" s="18" t="n">
        <v>34.36965668</v>
      </c>
      <c r="J78" s="20" t="n">
        <v>1.27878827</v>
      </c>
      <c r="K78" s="18" t="n">
        <v>0</v>
      </c>
      <c r="L78" s="20" t="n">
        <v>0</v>
      </c>
      <c r="M78" s="18" t="n">
        <v>1.0577133</v>
      </c>
      <c r="N78" s="20" t="n">
        <v>0.25992128</v>
      </c>
      <c r="O78" s="18" t="n">
        <v>0</v>
      </c>
      <c r="P78" s="20" t="n">
        <v>0</v>
      </c>
      <c r="Q78" s="18" t="n">
        <v>0</v>
      </c>
      <c r="R78" s="20" t="n">
        <v>0</v>
      </c>
      <c r="S78" s="18" t="n">
        <v>1.01170356</v>
      </c>
      <c r="T78" s="20" t="n">
        <v>0.286451</v>
      </c>
    </row>
    <row r="79" spans="1:20">
      <c r="A79" s="15" t="s">
        <v>639</v>
      </c>
      <c r="B79" s="17" t="n">
        <v>6062</v>
      </c>
      <c r="C79" s="18">
        <f>(4784.0/B79*100)</f>
        <v/>
      </c>
      <c r="D79" s="19" t="n">
        <v>1278</v>
      </c>
      <c r="E79" s="18" t="n">
        <v>51.69253912</v>
      </c>
      <c r="F79" s="20" t="n">
        <v>1.51326078</v>
      </c>
      <c r="G79" s="18" t="n">
        <v>20.9195389</v>
      </c>
      <c r="H79" s="20" t="n">
        <v>1.19434308</v>
      </c>
      <c r="I79" s="18" t="n">
        <v>25.30227555</v>
      </c>
      <c r="J79" s="20" t="n">
        <v>1.24727536</v>
      </c>
      <c r="K79" s="18" t="n">
        <v>0</v>
      </c>
      <c r="L79" s="20" t="n">
        <v>0</v>
      </c>
      <c r="M79" s="18" t="n">
        <v>1.19368893</v>
      </c>
      <c r="N79" s="20" t="n">
        <v>0.34104755</v>
      </c>
      <c r="O79" s="18" t="n">
        <v>0</v>
      </c>
      <c r="P79" s="20" t="n">
        <v>0</v>
      </c>
      <c r="Q79" s="18" t="n">
        <v>0</v>
      </c>
      <c r="R79" s="20" t="n">
        <v>0</v>
      </c>
      <c r="S79" s="18" t="n">
        <v>0.89195749</v>
      </c>
      <c r="T79" s="20" t="n">
        <v>0.2524402</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(25256.0/B82*100)</f>
        <v/>
      </c>
      <c r="D82" s="19" t="n">
        <v>7074</v>
      </c>
      <c r="E82" s="18" t="n">
        <v>32.66909782</v>
      </c>
      <c r="F82" s="20" t="n">
        <v>0.8511614199999999</v>
      </c>
      <c r="G82" s="18" t="n">
        <v>21.61945015</v>
      </c>
      <c r="H82" s="20" t="n">
        <v>0.6807773499999999</v>
      </c>
      <c r="I82" s="18" t="n">
        <v>44.92698511</v>
      </c>
      <c r="J82" s="20" t="n">
        <v>0.90440121</v>
      </c>
      <c r="K82" s="18" t="n">
        <v>0</v>
      </c>
      <c r="L82" s="20" t="n">
        <v>0</v>
      </c>
      <c r="M82" s="18" t="n">
        <v>0.29795191</v>
      </c>
      <c r="N82" s="20" t="n">
        <v>0.09812007</v>
      </c>
      <c r="O82" s="18" t="n">
        <v>0</v>
      </c>
      <c r="P82" s="20" t="n">
        <v>0</v>
      </c>
      <c r="Q82" s="18" t="n">
        <v>0</v>
      </c>
      <c r="R82" s="20" t="n">
        <v>0</v>
      </c>
      <c r="S82" s="18" t="n">
        <v>0.48651501</v>
      </c>
      <c r="T82" s="20" t="n">
        <v>0.12021833</v>
      </c>
    </row>
    <row r="83" spans="1:20">
      <c r="A83" s="15" t="s">
        <v>643</v>
      </c>
      <c r="B83" s="17" t="n">
        <v>1652</v>
      </c>
      <c r="C83" s="18">
        <f>(1290.0/B83*100)</f>
        <v/>
      </c>
      <c r="D83" s="19" t="n">
        <v>362</v>
      </c>
      <c r="E83" s="18" t="n">
        <v>28.16864251</v>
      </c>
      <c r="F83" s="20" t="n">
        <v>2.60770482</v>
      </c>
      <c r="G83" s="18" t="n">
        <v>17.84501792</v>
      </c>
      <c r="H83" s="20" t="n">
        <v>2.53115175</v>
      </c>
      <c r="I83" s="18" t="n">
        <v>53.67240388</v>
      </c>
      <c r="J83" s="20" t="n">
        <v>2.99075285</v>
      </c>
      <c r="K83" s="18" t="n">
        <v>0</v>
      </c>
      <c r="L83" s="20" t="n">
        <v>0</v>
      </c>
      <c r="M83" s="18" t="n">
        <v>0.31393569</v>
      </c>
      <c r="N83" s="20" t="n">
        <v>0.32860548</v>
      </c>
      <c r="O83" s="18" t="n">
        <v>0</v>
      </c>
      <c r="P83" s="20" t="n">
        <v>0</v>
      </c>
      <c r="Q83" s="18" t="n">
        <v>0</v>
      </c>
      <c r="R83" s="20" t="n">
        <v>0</v>
      </c>
      <c r="S83" s="18" t="n">
        <v>0</v>
      </c>
      <c r="T83" s="20" t="n">
        <v>0</v>
      </c>
    </row>
    <row r="84" spans="1:20">
      <c r="A84" s="23" t="s">
        <v>644</v>
      </c>
      <c r="B84" s="24" t="n">
        <v>1887</v>
      </c>
      <c r="C84" s="25">
        <f>(1494.0/B84*100)</f>
        <v/>
      </c>
      <c r="D84" s="19" t="n">
        <v>393</v>
      </c>
      <c r="E84" s="18" t="n">
        <v>24.78033146</v>
      </c>
      <c r="F84" s="20" t="n">
        <v>2.77879931</v>
      </c>
      <c r="G84" s="18" t="n">
        <v>19.07901105</v>
      </c>
      <c r="H84" s="20" t="n">
        <v>1.6726527</v>
      </c>
      <c r="I84" s="18" t="n">
        <v>56.14065749</v>
      </c>
      <c r="J84" s="20" t="n">
        <v>2.65217308</v>
      </c>
      <c r="K84" s="18" t="n">
        <v>0</v>
      </c>
      <c r="L84" s="20" t="n">
        <v>0</v>
      </c>
      <c r="M84" s="18" t="n">
        <v>0</v>
      </c>
      <c r="N84" s="20" t="n">
        <v>0</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(11367.0/B7*100)</f>
        <v/>
      </c>
      <c r="D7" s="19" t="n">
        <v>3163</v>
      </c>
      <c r="E7" s="18" t="n">
        <v>41.44266511</v>
      </c>
      <c r="F7" s="20" t="n">
        <v>1.16360327</v>
      </c>
      <c r="G7" s="18" t="n">
        <v>57.0308364</v>
      </c>
      <c r="H7" s="20" t="n">
        <v>1.12095795</v>
      </c>
      <c r="I7" s="18" t="n">
        <v>0</v>
      </c>
      <c r="J7" s="20" t="n">
        <v>0</v>
      </c>
      <c r="K7" s="18" t="n">
        <v>0.24357982</v>
      </c>
      <c r="L7" s="20" t="n">
        <v>0.10746643</v>
      </c>
      <c r="M7" s="18" t="n">
        <v>0</v>
      </c>
      <c r="N7" s="20" t="n">
        <v>0</v>
      </c>
      <c r="O7" s="18" t="n">
        <v>0</v>
      </c>
      <c r="P7" s="20" t="n">
        <v>0</v>
      </c>
      <c r="Q7" s="18" t="n">
        <v>1.28291867</v>
      </c>
      <c r="R7" s="20" t="n">
        <v>0.23448202</v>
      </c>
    </row>
    <row r="8" spans="1:18">
      <c r="A8" s="15" t="s">
        <v>566</v>
      </c>
      <c r="B8" s="17" t="n">
        <v>7007</v>
      </c>
      <c r="C8" s="18">
        <f>(5500.0/B8*100)</f>
        <v/>
      </c>
      <c r="D8" s="19" t="n">
        <v>1507</v>
      </c>
      <c r="E8" s="18" t="n">
        <v>37.21047953</v>
      </c>
      <c r="F8" s="20" t="n">
        <v>1.18983791</v>
      </c>
      <c r="G8" s="18" t="n">
        <v>61.53501845</v>
      </c>
      <c r="H8" s="20" t="n">
        <v>1.24318921</v>
      </c>
      <c r="I8" s="18" t="n">
        <v>0</v>
      </c>
      <c r="J8" s="20" t="n">
        <v>0</v>
      </c>
      <c r="K8" s="18" t="n">
        <v>0.1731385</v>
      </c>
      <c r="L8" s="20" t="n">
        <v>0.12196764</v>
      </c>
      <c r="M8" s="18" t="n">
        <v>0</v>
      </c>
      <c r="N8" s="20" t="n">
        <v>0</v>
      </c>
      <c r="O8" s="18" t="n">
        <v>0</v>
      </c>
      <c r="P8" s="20" t="n">
        <v>0</v>
      </c>
      <c r="Q8" s="18" t="n">
        <v>1.08136352</v>
      </c>
      <c r="R8" s="20" t="n">
        <v>0.38932355</v>
      </c>
    </row>
    <row r="9" spans="1:18">
      <c r="A9" s="15" t="s">
        <v>567</v>
      </c>
      <c r="B9" s="17" t="n">
        <v>9651</v>
      </c>
      <c r="C9" s="18">
        <f>(7608.0/B9*100)</f>
        <v/>
      </c>
      <c r="D9" s="19" t="n">
        <v>2043</v>
      </c>
      <c r="E9" s="18" t="n">
        <v>42.75911094</v>
      </c>
      <c r="F9" s="20" t="n">
        <v>1.07295823</v>
      </c>
      <c r="G9" s="18" t="n">
        <v>55.49565751</v>
      </c>
      <c r="H9" s="20" t="n">
        <v>1.08785781</v>
      </c>
      <c r="I9" s="18" t="n">
        <v>0</v>
      </c>
      <c r="J9" s="20" t="n">
        <v>0</v>
      </c>
      <c r="K9" s="18" t="n">
        <v>0.59842525</v>
      </c>
      <c r="L9" s="20" t="n">
        <v>0.18420001</v>
      </c>
      <c r="M9" s="18" t="n">
        <v>0</v>
      </c>
      <c r="N9" s="20" t="n">
        <v>0</v>
      </c>
      <c r="O9" s="18" t="n">
        <v>0</v>
      </c>
      <c r="P9" s="20" t="n">
        <v>0</v>
      </c>
      <c r="Q9" s="18" t="n">
        <v>1.1468063</v>
      </c>
      <c r="R9" s="20" t="n">
        <v>0.27417884</v>
      </c>
    </row>
    <row r="10" spans="1:18">
      <c r="A10" s="15" t="s">
        <v>568</v>
      </c>
      <c r="B10" s="17" t="n">
        <v>20058</v>
      </c>
      <c r="C10" s="18">
        <f>(15658.0/B10*100)</f>
        <v/>
      </c>
      <c r="D10" s="19" t="n">
        <v>4400</v>
      </c>
      <c r="E10" s="18" t="n">
        <v>32.57106509</v>
      </c>
      <c r="F10" s="20" t="n">
        <v>0.96370557</v>
      </c>
      <c r="G10" s="18" t="n">
        <v>66.51699248</v>
      </c>
      <c r="H10" s="20" t="n">
        <v>0.99745629</v>
      </c>
      <c r="I10" s="18" t="n">
        <v>0</v>
      </c>
      <c r="J10" s="20" t="n">
        <v>0</v>
      </c>
      <c r="K10" s="18" t="n">
        <v>0.6214552800000001</v>
      </c>
      <c r="L10" s="20" t="n">
        <v>0.18096082</v>
      </c>
      <c r="M10" s="18" t="n">
        <v>0</v>
      </c>
      <c r="N10" s="20" t="n">
        <v>0</v>
      </c>
      <c r="O10" s="18" t="n">
        <v>0</v>
      </c>
      <c r="P10" s="20" t="n">
        <v>0</v>
      </c>
      <c r="Q10" s="18" t="n">
        <v>0.29048715</v>
      </c>
      <c r="R10" s="20" t="n">
        <v>0.11106025</v>
      </c>
    </row>
    <row r="11" spans="1:18">
      <c r="A11" s="15" t="s">
        <v>569</v>
      </c>
      <c r="B11" s="17" t="n">
        <v>7053</v>
      </c>
      <c r="C11" s="18">
        <f>(5590.0/B11*100)</f>
        <v/>
      </c>
      <c r="D11" s="19" t="n">
        <v>1463</v>
      </c>
      <c r="E11" s="18" t="n">
        <v>40.10545066</v>
      </c>
      <c r="F11" s="20" t="n">
        <v>1.46082994</v>
      </c>
      <c r="G11" s="18" t="n">
        <v>56.37804893</v>
      </c>
      <c r="H11" s="20" t="n">
        <v>1.5432454</v>
      </c>
      <c r="I11" s="18" t="n">
        <v>0</v>
      </c>
      <c r="J11" s="20" t="n">
        <v>0</v>
      </c>
      <c r="K11" s="18" t="n">
        <v>1.87196633</v>
      </c>
      <c r="L11" s="20" t="n">
        <v>0.52886243</v>
      </c>
      <c r="M11" s="18" t="n">
        <v>0</v>
      </c>
      <c r="N11" s="20" t="n">
        <v>0</v>
      </c>
      <c r="O11" s="18" t="n">
        <v>0</v>
      </c>
      <c r="P11" s="20" t="n">
        <v>0</v>
      </c>
      <c r="Q11" s="18" t="n">
        <v>1.64453408</v>
      </c>
      <c r="R11" s="20" t="n">
        <v>0.41750456</v>
      </c>
    </row>
    <row r="12" spans="1:18">
      <c r="A12" s="15" t="s">
        <v>570</v>
      </c>
      <c r="B12" s="17" t="n">
        <v>6894</v>
      </c>
      <c r="C12" s="18">
        <f>(5382.0/B12*100)</f>
        <v/>
      </c>
      <c r="D12" s="19" t="n">
        <v>1512</v>
      </c>
      <c r="E12" s="18" t="n">
        <v>58.7493193</v>
      </c>
      <c r="F12" s="20" t="n">
        <v>1.25208597</v>
      </c>
      <c r="G12" s="18" t="n">
        <v>40.06882932</v>
      </c>
      <c r="H12" s="20" t="n">
        <v>1.28146579</v>
      </c>
      <c r="I12" s="18" t="n">
        <v>0</v>
      </c>
      <c r="J12" s="20" t="n">
        <v>0</v>
      </c>
      <c r="K12" s="18" t="n">
        <v>0.35851287</v>
      </c>
      <c r="L12" s="20" t="n">
        <v>0.18279659</v>
      </c>
      <c r="M12" s="18" t="n">
        <v>0</v>
      </c>
      <c r="N12" s="20" t="n">
        <v>0</v>
      </c>
      <c r="O12" s="18" t="n">
        <v>0</v>
      </c>
      <c r="P12" s="20" t="n">
        <v>0</v>
      </c>
      <c r="Q12" s="18" t="n">
        <v>0.82333851</v>
      </c>
      <c r="R12" s="20" t="n">
        <v>0.25426117</v>
      </c>
    </row>
    <row r="13" spans="1:18">
      <c r="A13" s="15" t="s">
        <v>571</v>
      </c>
      <c r="B13" s="17" t="n">
        <v>7161</v>
      </c>
      <c r="C13" s="18">
        <f>(5636.0/B13*100)</f>
        <v/>
      </c>
      <c r="D13" s="19" t="n">
        <v>1525</v>
      </c>
      <c r="E13" s="18" t="n">
        <v>40.52403433</v>
      </c>
      <c r="F13" s="20" t="n">
        <v>1.7507563</v>
      </c>
      <c r="G13" s="18" t="n">
        <v>58.52127311</v>
      </c>
      <c r="H13" s="20" t="n">
        <v>1.76578506</v>
      </c>
      <c r="I13" s="18" t="n">
        <v>0</v>
      </c>
      <c r="J13" s="20" t="n">
        <v>0</v>
      </c>
      <c r="K13" s="18" t="n">
        <v>0.22618666</v>
      </c>
      <c r="L13" s="20" t="n">
        <v>0.10796742</v>
      </c>
      <c r="M13" s="18" t="n">
        <v>0</v>
      </c>
      <c r="N13" s="20" t="n">
        <v>0</v>
      </c>
      <c r="O13" s="18" t="n">
        <v>0</v>
      </c>
      <c r="P13" s="20" t="n">
        <v>0</v>
      </c>
      <c r="Q13" s="18" t="n">
        <v>0.7285059</v>
      </c>
      <c r="R13" s="20" t="n">
        <v>0.24032544</v>
      </c>
    </row>
    <row r="14" spans="1:18">
      <c r="A14" s="15" t="s">
        <v>572</v>
      </c>
      <c r="B14" s="17" t="n">
        <v>5587</v>
      </c>
      <c r="C14" s="18">
        <f>(4406.0/B14*100)</f>
        <v/>
      </c>
      <c r="D14" s="19" t="n">
        <v>1181</v>
      </c>
      <c r="E14" s="18" t="n">
        <v>46.49084575</v>
      </c>
      <c r="F14" s="20" t="n">
        <v>1.87683264</v>
      </c>
      <c r="G14" s="18" t="n">
        <v>52.65965123</v>
      </c>
      <c r="H14" s="20" t="n">
        <v>1.88403237</v>
      </c>
      <c r="I14" s="18" t="n">
        <v>0</v>
      </c>
      <c r="J14" s="20" t="n">
        <v>0</v>
      </c>
      <c r="K14" s="18" t="n">
        <v>0.45358134</v>
      </c>
      <c r="L14" s="20" t="n">
        <v>0.16676379</v>
      </c>
      <c r="M14" s="18" t="n">
        <v>0</v>
      </c>
      <c r="N14" s="20" t="n">
        <v>0</v>
      </c>
      <c r="O14" s="18" t="n">
        <v>0</v>
      </c>
      <c r="P14" s="20" t="n">
        <v>0</v>
      </c>
      <c r="Q14" s="18" t="n">
        <v>0.39592167</v>
      </c>
      <c r="R14" s="20" t="n">
        <v>0.22911927</v>
      </c>
    </row>
    <row r="15" spans="1:18">
      <c r="A15" s="15" t="s">
        <v>573</v>
      </c>
      <c r="B15" s="17" t="n">
        <v>5882</v>
      </c>
      <c r="C15" s="18">
        <f>(4626.0/B15*100)</f>
        <v/>
      </c>
      <c r="D15" s="19" t="n">
        <v>1256</v>
      </c>
      <c r="E15" s="18" t="n">
        <v>33.75012621</v>
      </c>
      <c r="F15" s="20" t="n">
        <v>1.31537724</v>
      </c>
      <c r="G15" s="18" t="n">
        <v>65.66225034</v>
      </c>
      <c r="H15" s="20" t="n">
        <v>1.30529673</v>
      </c>
      <c r="I15" s="18" t="n">
        <v>0</v>
      </c>
      <c r="J15" s="20" t="n">
        <v>0</v>
      </c>
      <c r="K15" s="18" t="n">
        <v>0.18529172</v>
      </c>
      <c r="L15" s="20" t="n">
        <v>0.14083428</v>
      </c>
      <c r="M15" s="18" t="n">
        <v>0</v>
      </c>
      <c r="N15" s="20" t="n">
        <v>0</v>
      </c>
      <c r="O15" s="18" t="n">
        <v>0</v>
      </c>
      <c r="P15" s="20" t="n">
        <v>0</v>
      </c>
      <c r="Q15" s="18" t="n">
        <v>0.40233174</v>
      </c>
      <c r="R15" s="20" t="n">
        <v>0.18561409</v>
      </c>
    </row>
    <row r="16" spans="1:18">
      <c r="A16" s="15" t="s">
        <v>574</v>
      </c>
      <c r="B16" s="17" t="n">
        <v>6108</v>
      </c>
      <c r="C16" s="18">
        <f>(4815.0/B16*100)</f>
        <v/>
      </c>
      <c r="D16" s="19" t="n">
        <v>1293</v>
      </c>
      <c r="E16" s="18" t="n">
        <v>35.72714277</v>
      </c>
      <c r="F16" s="20" t="n">
        <v>1.23600003</v>
      </c>
      <c r="G16" s="18" t="n">
        <v>61.79480088</v>
      </c>
      <c r="H16" s="20" t="n">
        <v>1.30817495</v>
      </c>
      <c r="I16" s="18" t="n">
        <v>0</v>
      </c>
      <c r="J16" s="20" t="n">
        <v>0</v>
      </c>
      <c r="K16" s="18" t="n">
        <v>0.9332918100000001</v>
      </c>
      <c r="L16" s="20" t="n">
        <v>0.25195208</v>
      </c>
      <c r="M16" s="18" t="n">
        <v>0</v>
      </c>
      <c r="N16" s="20" t="n">
        <v>0</v>
      </c>
      <c r="O16" s="18" t="n">
        <v>0</v>
      </c>
      <c r="P16" s="20" t="n">
        <v>0</v>
      </c>
      <c r="Q16" s="18" t="n">
        <v>1.54476454</v>
      </c>
      <c r="R16" s="20" t="n">
        <v>0.36003403</v>
      </c>
    </row>
    <row r="17" spans="1:18">
      <c r="A17" s="15" t="s">
        <v>575</v>
      </c>
      <c r="B17" s="17" t="n">
        <v>6504</v>
      </c>
      <c r="C17" s="18">
        <f>(5069.0/B17*100)</f>
        <v/>
      </c>
      <c r="D17" s="19" t="n">
        <v>1435</v>
      </c>
      <c r="E17" s="18" t="n">
        <v>37.05763846</v>
      </c>
      <c r="F17" s="20" t="n">
        <v>1.47256995</v>
      </c>
      <c r="G17" s="18" t="n">
        <v>61.91111619</v>
      </c>
      <c r="H17" s="20" t="n">
        <v>1.48476549</v>
      </c>
      <c r="I17" s="18" t="n">
        <v>0</v>
      </c>
      <c r="J17" s="20" t="n">
        <v>0</v>
      </c>
      <c r="K17" s="18" t="n">
        <v>0.2827446</v>
      </c>
      <c r="L17" s="20" t="n">
        <v>0.11525639</v>
      </c>
      <c r="M17" s="18" t="n">
        <v>0</v>
      </c>
      <c r="N17" s="20" t="n">
        <v>0</v>
      </c>
      <c r="O17" s="18" t="n">
        <v>0</v>
      </c>
      <c r="P17" s="20" t="n">
        <v>0</v>
      </c>
      <c r="Q17" s="18" t="n">
        <v>0.74850075</v>
      </c>
      <c r="R17" s="20" t="n">
        <v>0.22783845</v>
      </c>
    </row>
    <row r="18" spans="1:18">
      <c r="A18" s="15" t="s">
        <v>576</v>
      </c>
      <c r="B18" s="17" t="n">
        <v>5532</v>
      </c>
      <c r="C18" s="18">
        <f>(4325.0/B18*100)</f>
        <v/>
      </c>
      <c r="D18" s="19" t="n">
        <v>1207</v>
      </c>
      <c r="E18" s="18" t="n">
        <v>62.25400295</v>
      </c>
      <c r="F18" s="20" t="n">
        <v>1.61825409</v>
      </c>
      <c r="G18" s="18" t="n">
        <v>35.10814571</v>
      </c>
      <c r="H18" s="20" t="n">
        <v>1.54884475</v>
      </c>
      <c r="I18" s="18" t="n">
        <v>0</v>
      </c>
      <c r="J18" s="20" t="n">
        <v>0</v>
      </c>
      <c r="K18" s="18" t="n">
        <v>1.11050208</v>
      </c>
      <c r="L18" s="20" t="n">
        <v>0.32797413</v>
      </c>
      <c r="M18" s="18" t="n">
        <v>0</v>
      </c>
      <c r="N18" s="20" t="n">
        <v>0</v>
      </c>
      <c r="O18" s="18" t="n">
        <v>0</v>
      </c>
      <c r="P18" s="20" t="n">
        <v>0</v>
      </c>
      <c r="Q18" s="18" t="n">
        <v>1.52734926</v>
      </c>
      <c r="R18" s="20" t="n">
        <v>0.39258377</v>
      </c>
    </row>
    <row r="19" spans="1:18">
      <c r="A19" s="15" t="s">
        <v>577</v>
      </c>
      <c r="B19" s="17" t="n">
        <v>5658</v>
      </c>
      <c r="C19" s="18">
        <f>(4422.0/B19*100)</f>
        <v/>
      </c>
      <c r="D19" s="19" t="n">
        <v>1236</v>
      </c>
      <c r="E19" s="18" t="n">
        <v>50.87436275</v>
      </c>
      <c r="F19" s="20" t="n">
        <v>1.90359386</v>
      </c>
      <c r="G19" s="18" t="n">
        <v>48.29878691</v>
      </c>
      <c r="H19" s="20" t="n">
        <v>1.91130503</v>
      </c>
      <c r="I19" s="18" t="n">
        <v>0</v>
      </c>
      <c r="J19" s="20" t="n">
        <v>0</v>
      </c>
      <c r="K19" s="18" t="n">
        <v>0.19344245</v>
      </c>
      <c r="L19" s="20" t="n">
        <v>0.10085211</v>
      </c>
      <c r="M19" s="18" t="n">
        <v>0</v>
      </c>
      <c r="N19" s="20" t="n">
        <v>0</v>
      </c>
      <c r="O19" s="18" t="n">
        <v>0</v>
      </c>
      <c r="P19" s="20" t="n">
        <v>0</v>
      </c>
      <c r="Q19" s="18" t="n">
        <v>0.63340789</v>
      </c>
      <c r="R19" s="20" t="n">
        <v>0.26967702</v>
      </c>
    </row>
    <row r="20" spans="1:18">
      <c r="A20" s="15" t="s">
        <v>578</v>
      </c>
      <c r="B20" s="17" t="n">
        <v>3371</v>
      </c>
      <c r="C20" s="18">
        <f>(2630.0/B20*100)</f>
        <v/>
      </c>
      <c r="D20" s="19" t="n">
        <v>741</v>
      </c>
      <c r="E20" s="18" t="n">
        <v>39.68690913</v>
      </c>
      <c r="F20" s="20" t="n">
        <v>1.74505251</v>
      </c>
      <c r="G20" s="18" t="n">
        <v>58.31584283</v>
      </c>
      <c r="H20" s="20" t="n">
        <v>1.84073166</v>
      </c>
      <c r="I20" s="18" t="n">
        <v>0</v>
      </c>
      <c r="J20" s="20" t="n">
        <v>0</v>
      </c>
      <c r="K20" s="18" t="n">
        <v>0.29926374</v>
      </c>
      <c r="L20" s="20" t="n">
        <v>0.21584336</v>
      </c>
      <c r="M20" s="18" t="n">
        <v>0</v>
      </c>
      <c r="N20" s="20" t="n">
        <v>0</v>
      </c>
      <c r="O20" s="18" t="n">
        <v>0</v>
      </c>
      <c r="P20" s="20" t="n">
        <v>0</v>
      </c>
      <c r="Q20" s="18" t="n">
        <v>1.69798431</v>
      </c>
      <c r="R20" s="20" t="n">
        <v>0.41818119</v>
      </c>
    </row>
    <row r="21" spans="1:18">
      <c r="A21" s="15" t="s">
        <v>579</v>
      </c>
      <c r="B21" s="17" t="n">
        <v>5741</v>
      </c>
      <c r="C21" s="18">
        <f>(4463.0/B21*100)</f>
        <v/>
      </c>
      <c r="D21" s="19" t="n">
        <v>1278</v>
      </c>
      <c r="E21" s="18" t="n">
        <v>37.17050561</v>
      </c>
      <c r="F21" s="20" t="n">
        <v>1.54676547</v>
      </c>
      <c r="G21" s="18" t="n">
        <v>62.55121259</v>
      </c>
      <c r="H21" s="20" t="n">
        <v>1.5417895</v>
      </c>
      <c r="I21" s="18" t="n">
        <v>0</v>
      </c>
      <c r="J21" s="20" t="n">
        <v>0</v>
      </c>
      <c r="K21" s="18" t="n">
        <v>0.136586</v>
      </c>
      <c r="L21" s="20" t="n">
        <v>0.09705042</v>
      </c>
      <c r="M21" s="18" t="n">
        <v>0</v>
      </c>
      <c r="N21" s="20" t="n">
        <v>0</v>
      </c>
      <c r="O21" s="18" t="n">
        <v>0</v>
      </c>
      <c r="P21" s="20" t="n">
        <v>0</v>
      </c>
      <c r="Q21" s="18" t="n">
        <v>0.1416958</v>
      </c>
      <c r="R21" s="20" t="n">
        <v>0.12344808</v>
      </c>
    </row>
    <row r="22" spans="1:18">
      <c r="A22" s="15" t="s">
        <v>580</v>
      </c>
      <c r="B22" s="17" t="n">
        <v>6598</v>
      </c>
      <c r="C22" s="18">
        <f>(5143.0/B22*100)</f>
        <v/>
      </c>
      <c r="D22" s="19" t="n">
        <v>1455</v>
      </c>
      <c r="E22" s="18" t="n">
        <v>54.9099679</v>
      </c>
      <c r="F22" s="20" t="n">
        <v>1.46897774</v>
      </c>
      <c r="G22" s="18" t="n">
        <v>42.46664008</v>
      </c>
      <c r="H22" s="20" t="n">
        <v>1.57990937</v>
      </c>
      <c r="I22" s="18" t="n">
        <v>0</v>
      </c>
      <c r="J22" s="20" t="n">
        <v>0</v>
      </c>
      <c r="K22" s="18" t="n">
        <v>0.93670148</v>
      </c>
      <c r="L22" s="20" t="n">
        <v>0.29629882</v>
      </c>
      <c r="M22" s="18" t="n">
        <v>0</v>
      </c>
      <c r="N22" s="20" t="n">
        <v>0</v>
      </c>
      <c r="O22" s="18" t="n">
        <v>0</v>
      </c>
      <c r="P22" s="20" t="n">
        <v>0</v>
      </c>
      <c r="Q22" s="18" t="n">
        <v>1.68669054</v>
      </c>
      <c r="R22" s="20" t="n">
        <v>0.33471396</v>
      </c>
    </row>
    <row r="23" spans="1:18">
      <c r="A23" s="15" t="s">
        <v>581</v>
      </c>
      <c r="B23" s="17" t="n">
        <v>11583</v>
      </c>
      <c r="C23" s="18">
        <f>(9005.0/B23*100)</f>
        <v/>
      </c>
      <c r="D23" s="19" t="n">
        <v>2578</v>
      </c>
      <c r="E23" s="18" t="n">
        <v>53.80578655</v>
      </c>
      <c r="F23" s="20" t="n">
        <v>1.31708502</v>
      </c>
      <c r="G23" s="18" t="n">
        <v>44.73580888</v>
      </c>
      <c r="H23" s="20" t="n">
        <v>1.32534704</v>
      </c>
      <c r="I23" s="18" t="n">
        <v>0</v>
      </c>
      <c r="J23" s="20" t="n">
        <v>0</v>
      </c>
      <c r="K23" s="18" t="n">
        <v>0.51602629</v>
      </c>
      <c r="L23" s="20" t="n">
        <v>0.18446738</v>
      </c>
      <c r="M23" s="18" t="n">
        <v>0</v>
      </c>
      <c r="N23" s="20" t="n">
        <v>0</v>
      </c>
      <c r="O23" s="18" t="n">
        <v>0</v>
      </c>
      <c r="P23" s="20" t="n">
        <v>0</v>
      </c>
      <c r="Q23" s="18" t="n">
        <v>0.94237828</v>
      </c>
      <c r="R23" s="20" t="n">
        <v>0.24484454</v>
      </c>
    </row>
    <row r="24" spans="1:18">
      <c r="A24" s="15" t="s">
        <v>582</v>
      </c>
      <c r="B24" s="17" t="n">
        <v>6647</v>
      </c>
      <c r="C24" s="18">
        <f>(5149.0/B24*100)</f>
        <v/>
      </c>
      <c r="D24" s="19" t="n">
        <v>1498</v>
      </c>
      <c r="E24" s="18" t="n">
        <v>23.8178206</v>
      </c>
      <c r="F24" s="20" t="n">
        <v>1.20546788</v>
      </c>
      <c r="G24" s="18" t="n">
        <v>75.54969582</v>
      </c>
      <c r="H24" s="20" t="n">
        <v>1.25524403</v>
      </c>
      <c r="I24" s="18" t="n">
        <v>0</v>
      </c>
      <c r="J24" s="20" t="n">
        <v>0</v>
      </c>
      <c r="K24" s="18" t="n">
        <v>0.19306806</v>
      </c>
      <c r="L24" s="20" t="n">
        <v>0.11220345</v>
      </c>
      <c r="M24" s="18" t="n">
        <v>0</v>
      </c>
      <c r="N24" s="20" t="n">
        <v>0</v>
      </c>
      <c r="O24" s="18" t="n">
        <v>0</v>
      </c>
      <c r="P24" s="20" t="n">
        <v>0</v>
      </c>
      <c r="Q24" s="18" t="n">
        <v>0.43941553</v>
      </c>
      <c r="R24" s="20" t="n">
        <v>0.18003623</v>
      </c>
    </row>
    <row r="25" spans="1:18">
      <c r="A25" s="15" t="s">
        <v>583</v>
      </c>
      <c r="B25" s="17" t="n">
        <v>5581</v>
      </c>
      <c r="C25" s="18">
        <f>(4330.0/B25*100)</f>
        <v/>
      </c>
      <c r="D25" s="19" t="n">
        <v>1251</v>
      </c>
      <c r="E25" s="18" t="n">
        <v>38.58894337</v>
      </c>
      <c r="F25" s="20" t="n">
        <v>1.51208827</v>
      </c>
      <c r="G25" s="18" t="n">
        <v>60.70561674</v>
      </c>
      <c r="H25" s="20" t="n">
        <v>1.50873129</v>
      </c>
      <c r="I25" s="18" t="n">
        <v>0</v>
      </c>
      <c r="J25" s="20" t="n">
        <v>0</v>
      </c>
      <c r="K25" s="18" t="n">
        <v>0.31084288</v>
      </c>
      <c r="L25" s="20" t="n">
        <v>0.15513916</v>
      </c>
      <c r="M25" s="18" t="n">
        <v>0</v>
      </c>
      <c r="N25" s="20" t="n">
        <v>0</v>
      </c>
      <c r="O25" s="18" t="n">
        <v>0</v>
      </c>
      <c r="P25" s="20" t="n">
        <v>0</v>
      </c>
      <c r="Q25" s="18" t="n">
        <v>0.39459702</v>
      </c>
      <c r="R25" s="20" t="n">
        <v>0.17788991</v>
      </c>
    </row>
    <row r="26" spans="1:18">
      <c r="A26" s="15" t="s">
        <v>584</v>
      </c>
      <c r="B26" s="17" t="n">
        <v>4869</v>
      </c>
      <c r="C26" s="18">
        <f>(3807.0/B26*100)</f>
        <v/>
      </c>
      <c r="D26" s="19" t="n">
        <v>1062</v>
      </c>
      <c r="E26" s="18" t="n">
        <v>57.07134612</v>
      </c>
      <c r="F26" s="20" t="n">
        <v>1.52215336</v>
      </c>
      <c r="G26" s="18" t="n">
        <v>42.45320226</v>
      </c>
      <c r="H26" s="20" t="n">
        <v>1.50803649</v>
      </c>
      <c r="I26" s="18" t="n">
        <v>0</v>
      </c>
      <c r="J26" s="20" t="n">
        <v>0</v>
      </c>
      <c r="K26" s="18" t="n">
        <v>0.08879885999999999</v>
      </c>
      <c r="L26" s="20" t="n">
        <v>0.08654111</v>
      </c>
      <c r="M26" s="18" t="n">
        <v>0</v>
      </c>
      <c r="N26" s="20" t="n">
        <v>0</v>
      </c>
      <c r="O26" s="18" t="n">
        <v>0</v>
      </c>
      <c r="P26" s="20" t="n">
        <v>0</v>
      </c>
      <c r="Q26" s="18" t="n">
        <v>0.38665276</v>
      </c>
      <c r="R26" s="20" t="n">
        <v>0.17661489</v>
      </c>
    </row>
    <row r="27" spans="1:18">
      <c r="A27" s="15" t="s">
        <v>585</v>
      </c>
      <c r="B27" s="17" t="n">
        <v>5299</v>
      </c>
      <c r="C27" s="18">
        <f>(4108.0/B27*100)</f>
        <v/>
      </c>
      <c r="D27" s="19" t="n">
        <v>1191</v>
      </c>
      <c r="E27" s="18" t="n">
        <v>47.47018327</v>
      </c>
      <c r="F27" s="20" t="n">
        <v>1.50478897</v>
      </c>
      <c r="G27" s="18" t="n">
        <v>51.33965775</v>
      </c>
      <c r="H27" s="20" t="n">
        <v>1.52547838</v>
      </c>
      <c r="I27" s="18" t="n">
        <v>0</v>
      </c>
      <c r="J27" s="20" t="n">
        <v>0</v>
      </c>
      <c r="K27" s="18" t="n">
        <v>0.24491974</v>
      </c>
      <c r="L27" s="20" t="n">
        <v>0.14135626</v>
      </c>
      <c r="M27" s="18" t="n">
        <v>0</v>
      </c>
      <c r="N27" s="20" t="n">
        <v>0</v>
      </c>
      <c r="O27" s="18" t="n">
        <v>0</v>
      </c>
      <c r="P27" s="20" t="n">
        <v>0</v>
      </c>
      <c r="Q27" s="18" t="n">
        <v>0.94523924</v>
      </c>
      <c r="R27" s="20" t="n">
        <v>0.28712965</v>
      </c>
    </row>
    <row r="28" spans="1:18">
      <c r="A28" s="15" t="s">
        <v>586</v>
      </c>
      <c r="B28" s="17" t="n">
        <v>7568</v>
      </c>
      <c r="C28" s="18">
        <f>(6048.0/B28*100)</f>
        <v/>
      </c>
      <c r="D28" s="19" t="n">
        <v>1520</v>
      </c>
      <c r="E28" s="18" t="n">
        <v>45.06630612</v>
      </c>
      <c r="F28" s="20" t="n">
        <v>1.37870202</v>
      </c>
      <c r="G28" s="18" t="n">
        <v>53.32958148</v>
      </c>
      <c r="H28" s="20" t="n">
        <v>1.33017935</v>
      </c>
      <c r="I28" s="18" t="n">
        <v>0</v>
      </c>
      <c r="J28" s="20" t="n">
        <v>0</v>
      </c>
      <c r="K28" s="18" t="n">
        <v>1.11844793</v>
      </c>
      <c r="L28" s="20" t="n">
        <v>0.27415203</v>
      </c>
      <c r="M28" s="18" t="n">
        <v>0</v>
      </c>
      <c r="N28" s="20" t="n">
        <v>0</v>
      </c>
      <c r="O28" s="18" t="n">
        <v>0</v>
      </c>
      <c r="P28" s="20" t="n">
        <v>0</v>
      </c>
      <c r="Q28" s="18" t="n">
        <v>0.48566447</v>
      </c>
      <c r="R28" s="20" t="n">
        <v>0.1914336</v>
      </c>
    </row>
    <row r="29" spans="1:18">
      <c r="A29" s="15" t="s">
        <v>587</v>
      </c>
      <c r="B29" s="17" t="n">
        <v>5385</v>
      </c>
      <c r="C29" s="18">
        <f>(4224.0/B29*100)</f>
        <v/>
      </c>
      <c r="D29" s="19" t="n">
        <v>1161</v>
      </c>
      <c r="E29" s="18" t="n">
        <v>53.91207112</v>
      </c>
      <c r="F29" s="20" t="n">
        <v>1.52368765</v>
      </c>
      <c r="G29" s="18" t="n">
        <v>45.38935863</v>
      </c>
      <c r="H29" s="20" t="n">
        <v>1.49717454</v>
      </c>
      <c r="I29" s="18" t="n">
        <v>0</v>
      </c>
      <c r="J29" s="20" t="n">
        <v>0</v>
      </c>
      <c r="K29" s="18" t="n">
        <v>0.31909367</v>
      </c>
      <c r="L29" s="20" t="n">
        <v>0.15878757</v>
      </c>
      <c r="M29" s="18" t="n">
        <v>0</v>
      </c>
      <c r="N29" s="20" t="n">
        <v>0</v>
      </c>
      <c r="O29" s="18" t="n">
        <v>0</v>
      </c>
      <c r="P29" s="20" t="n">
        <v>0</v>
      </c>
      <c r="Q29" s="18" t="n">
        <v>0.37947657</v>
      </c>
      <c r="R29" s="20" t="n">
        <v>0.17090851</v>
      </c>
    </row>
    <row r="30" spans="1:18">
      <c r="A30" s="15" t="s">
        <v>588</v>
      </c>
      <c r="B30" s="17" t="n">
        <v>4520</v>
      </c>
      <c r="C30" s="18">
        <f>(3586.0/B30*100)</f>
        <v/>
      </c>
      <c r="D30" s="19" t="n">
        <v>934</v>
      </c>
      <c r="E30" s="18" t="n">
        <v>42.23457498</v>
      </c>
      <c r="F30" s="20" t="n">
        <v>1.59596122</v>
      </c>
      <c r="G30" s="18" t="n">
        <v>56.16965131</v>
      </c>
      <c r="H30" s="20" t="n">
        <v>1.67197442</v>
      </c>
      <c r="I30" s="18" t="n">
        <v>0</v>
      </c>
      <c r="J30" s="20" t="n">
        <v>0</v>
      </c>
      <c r="K30" s="18" t="n">
        <v>0.24753688</v>
      </c>
      <c r="L30" s="20" t="n">
        <v>0.16631458</v>
      </c>
      <c r="M30" s="18" t="n">
        <v>0</v>
      </c>
      <c r="N30" s="20" t="n">
        <v>0</v>
      </c>
      <c r="O30" s="18" t="n">
        <v>0</v>
      </c>
      <c r="P30" s="20" t="n">
        <v>0</v>
      </c>
      <c r="Q30" s="18" t="n">
        <v>1.34823683</v>
      </c>
      <c r="R30" s="20" t="n">
        <v>0.39203023</v>
      </c>
    </row>
    <row r="31" spans="1:18">
      <c r="A31" s="15" t="s">
        <v>589</v>
      </c>
      <c r="B31" s="17" t="n">
        <v>5456</v>
      </c>
      <c r="C31" s="18">
        <f>(4287.0/B31*100)</f>
        <v/>
      </c>
      <c r="D31" s="19" t="n">
        <v>1169</v>
      </c>
      <c r="E31" s="18" t="n">
        <v>33.49941906</v>
      </c>
      <c r="F31" s="20" t="n">
        <v>1.45799598</v>
      </c>
      <c r="G31" s="18" t="n">
        <v>63.73211865</v>
      </c>
      <c r="H31" s="20" t="n">
        <v>1.50542759</v>
      </c>
      <c r="I31" s="18" t="n">
        <v>0</v>
      </c>
      <c r="J31" s="20" t="n">
        <v>0</v>
      </c>
      <c r="K31" s="18" t="n">
        <v>0.98819144</v>
      </c>
      <c r="L31" s="20" t="n">
        <v>0.30350898</v>
      </c>
      <c r="M31" s="18" t="n">
        <v>0</v>
      </c>
      <c r="N31" s="20" t="n">
        <v>0</v>
      </c>
      <c r="O31" s="18" t="n">
        <v>0</v>
      </c>
      <c r="P31" s="20" t="n">
        <v>0</v>
      </c>
      <c r="Q31" s="18" t="n">
        <v>1.78027085</v>
      </c>
      <c r="R31" s="20" t="n">
        <v>0.42102771</v>
      </c>
    </row>
    <row r="32" spans="1:18">
      <c r="A32" s="15" t="s">
        <v>590</v>
      </c>
      <c r="B32" s="17" t="n">
        <v>4478</v>
      </c>
      <c r="C32" s="18">
        <f>(3520.0/B32*100)</f>
        <v/>
      </c>
      <c r="D32" s="19" t="n">
        <v>958</v>
      </c>
      <c r="E32" s="18" t="n">
        <v>54.98479241</v>
      </c>
      <c r="F32" s="20" t="n">
        <v>1.55399753</v>
      </c>
      <c r="G32" s="18" t="n">
        <v>44.65047722</v>
      </c>
      <c r="H32" s="20" t="n">
        <v>1.55226819</v>
      </c>
      <c r="I32" s="18" t="n">
        <v>0</v>
      </c>
      <c r="J32" s="20" t="n">
        <v>0</v>
      </c>
      <c r="K32" s="18" t="n">
        <v>0.09292221000000001</v>
      </c>
      <c r="L32" s="20" t="n">
        <v>0.09280296</v>
      </c>
      <c r="M32" s="18" t="n">
        <v>0</v>
      </c>
      <c r="N32" s="20" t="n">
        <v>0</v>
      </c>
      <c r="O32" s="18" t="n">
        <v>0</v>
      </c>
      <c r="P32" s="20" t="n">
        <v>0</v>
      </c>
      <c r="Q32" s="18" t="n">
        <v>0.27180816</v>
      </c>
      <c r="R32" s="20" t="n">
        <v>0.15850298</v>
      </c>
    </row>
    <row r="33" spans="1:18">
      <c r="A33" s="15" t="s">
        <v>591</v>
      </c>
      <c r="B33" s="17" t="n">
        <v>7325</v>
      </c>
      <c r="C33" s="18">
        <f>(5813.0/B33*100)</f>
        <v/>
      </c>
      <c r="D33" s="19" t="n">
        <v>1512</v>
      </c>
      <c r="E33" s="18" t="n">
        <v>40.39840829</v>
      </c>
      <c r="F33" s="20" t="n">
        <v>1.6702205</v>
      </c>
      <c r="G33" s="18" t="n">
        <v>58.63129448</v>
      </c>
      <c r="H33" s="20" t="n">
        <v>1.64595526</v>
      </c>
      <c r="I33" s="18" t="n">
        <v>0</v>
      </c>
      <c r="J33" s="20" t="n">
        <v>0</v>
      </c>
      <c r="K33" s="18" t="n">
        <v>0.5799968</v>
      </c>
      <c r="L33" s="20" t="n">
        <v>0.22652506</v>
      </c>
      <c r="M33" s="18" t="n">
        <v>0</v>
      </c>
      <c r="N33" s="20" t="n">
        <v>0</v>
      </c>
      <c r="O33" s="18" t="n">
        <v>0</v>
      </c>
      <c r="P33" s="20" t="n">
        <v>0</v>
      </c>
      <c r="Q33" s="18" t="n">
        <v>0.39030043</v>
      </c>
      <c r="R33" s="20" t="n">
        <v>0.18239339</v>
      </c>
    </row>
    <row r="34" spans="1:18">
      <c r="A34" s="15" t="s">
        <v>592</v>
      </c>
      <c r="B34" s="17" t="n">
        <v>6350</v>
      </c>
      <c r="C34" s="18">
        <f>(5008.0/B34*100)</f>
        <v/>
      </c>
      <c r="D34" s="19" t="n">
        <v>1342</v>
      </c>
      <c r="E34" s="18" t="n">
        <v>51.1063611</v>
      </c>
      <c r="F34" s="20" t="n">
        <v>1.52446869</v>
      </c>
      <c r="G34" s="18" t="n">
        <v>48.310167</v>
      </c>
      <c r="H34" s="20" t="n">
        <v>1.53572494</v>
      </c>
      <c r="I34" s="18" t="n">
        <v>0</v>
      </c>
      <c r="J34" s="20" t="n">
        <v>0</v>
      </c>
      <c r="K34" s="18" t="n">
        <v>0.21826241</v>
      </c>
      <c r="L34" s="20" t="n">
        <v>0.1610061</v>
      </c>
      <c r="M34" s="18" t="n">
        <v>0</v>
      </c>
      <c r="N34" s="20" t="n">
        <v>0</v>
      </c>
      <c r="O34" s="18" t="n">
        <v>0</v>
      </c>
      <c r="P34" s="20" t="n">
        <v>0</v>
      </c>
      <c r="Q34" s="18" t="n">
        <v>0.36520949</v>
      </c>
      <c r="R34" s="20" t="n">
        <v>0.17265568</v>
      </c>
    </row>
    <row r="35" spans="1:18">
      <c r="A35" s="15" t="s">
        <v>593</v>
      </c>
      <c r="B35" s="17" t="n">
        <v>6406</v>
      </c>
      <c r="C35" s="18">
        <f>(4994.0/B35*100)</f>
        <v/>
      </c>
      <c r="D35" s="19" t="n">
        <v>1412</v>
      </c>
      <c r="E35" s="18" t="n">
        <v>40.06046555</v>
      </c>
      <c r="F35" s="20" t="n">
        <v>1.52783375</v>
      </c>
      <c r="G35" s="18" t="n">
        <v>59.25564343</v>
      </c>
      <c r="H35" s="20" t="n">
        <v>1.57077613</v>
      </c>
      <c r="I35" s="18" t="n">
        <v>0</v>
      </c>
      <c r="J35" s="20" t="n">
        <v>0</v>
      </c>
      <c r="K35" s="18" t="n">
        <v>0.40244942</v>
      </c>
      <c r="L35" s="20" t="n">
        <v>0.21986487</v>
      </c>
      <c r="M35" s="18" t="n">
        <v>0</v>
      </c>
      <c r="N35" s="20" t="n">
        <v>0</v>
      </c>
      <c r="O35" s="18" t="n">
        <v>0</v>
      </c>
      <c r="P35" s="20" t="n">
        <v>0</v>
      </c>
      <c r="Q35" s="18" t="n">
        <v>0.2814416</v>
      </c>
      <c r="R35" s="20" t="n">
        <v>0.12435082</v>
      </c>
    </row>
    <row r="36" spans="1:18">
      <c r="A36" s="15" t="s">
        <v>594</v>
      </c>
      <c r="B36" s="17" t="n">
        <v>6736</v>
      </c>
      <c r="C36" s="18">
        <f>(5248.0/B36*100)</f>
        <v/>
      </c>
      <c r="D36" s="19" t="n">
        <v>1488</v>
      </c>
      <c r="E36" s="18" t="n">
        <v>36.21726481</v>
      </c>
      <c r="F36" s="20" t="n">
        <v>1.37571441</v>
      </c>
      <c r="G36" s="18" t="n">
        <v>61.95600094</v>
      </c>
      <c r="H36" s="20" t="n">
        <v>1.42333372</v>
      </c>
      <c r="I36" s="18" t="n">
        <v>0</v>
      </c>
      <c r="J36" s="20" t="n">
        <v>0</v>
      </c>
      <c r="K36" s="18" t="n">
        <v>0.47211056</v>
      </c>
      <c r="L36" s="20" t="n">
        <v>0.21404797</v>
      </c>
      <c r="M36" s="18" t="n">
        <v>0</v>
      </c>
      <c r="N36" s="20" t="n">
        <v>0</v>
      </c>
      <c r="O36" s="18" t="n">
        <v>0</v>
      </c>
      <c r="P36" s="20" t="n">
        <v>0</v>
      </c>
      <c r="Q36" s="18" t="n">
        <v>1.35462369</v>
      </c>
      <c r="R36" s="20" t="n">
        <v>0.36005361</v>
      </c>
    </row>
    <row r="37" spans="1:18">
      <c r="A37" s="15" t="s">
        <v>595</v>
      </c>
      <c r="B37" s="17" t="n">
        <v>5458</v>
      </c>
      <c r="C37" s="18">
        <f>(4301.0/B37*100)</f>
        <v/>
      </c>
      <c r="D37" s="19" t="n">
        <v>1157</v>
      </c>
      <c r="E37" s="18" t="n">
        <v>35.17401779</v>
      </c>
      <c r="F37" s="20" t="n">
        <v>1.66646596</v>
      </c>
      <c r="G37" s="18" t="n">
        <v>61.83909464</v>
      </c>
      <c r="H37" s="20" t="n">
        <v>1.85617179</v>
      </c>
      <c r="I37" s="18" t="n">
        <v>0</v>
      </c>
      <c r="J37" s="20" t="n">
        <v>0</v>
      </c>
      <c r="K37" s="18" t="n">
        <v>1.04865136</v>
      </c>
      <c r="L37" s="20" t="n">
        <v>0.38525997</v>
      </c>
      <c r="M37" s="18" t="n">
        <v>0</v>
      </c>
      <c r="N37" s="20" t="n">
        <v>0</v>
      </c>
      <c r="O37" s="18" t="n">
        <v>0</v>
      </c>
      <c r="P37" s="20" t="n">
        <v>0</v>
      </c>
      <c r="Q37" s="18" t="n">
        <v>1.93823621</v>
      </c>
      <c r="R37" s="20" t="n">
        <v>0.53758012</v>
      </c>
    </row>
    <row r="38" spans="1:18">
      <c r="A38" s="15" t="s">
        <v>596</v>
      </c>
      <c r="B38" s="17" t="n">
        <v>5860</v>
      </c>
      <c r="C38" s="18">
        <f>(4560.0/B38*100)</f>
        <v/>
      </c>
      <c r="D38" s="19" t="n">
        <v>1300</v>
      </c>
      <c r="E38" s="18" t="n">
        <v>36.15421273</v>
      </c>
      <c r="F38" s="20" t="n">
        <v>1.68889434</v>
      </c>
      <c r="G38" s="18" t="n">
        <v>62.32966666</v>
      </c>
      <c r="H38" s="20" t="n">
        <v>1.75002071</v>
      </c>
      <c r="I38" s="18" t="n">
        <v>0</v>
      </c>
      <c r="J38" s="20" t="n">
        <v>0</v>
      </c>
      <c r="K38" s="18" t="n">
        <v>0.39069907</v>
      </c>
      <c r="L38" s="20" t="n">
        <v>0.21082863</v>
      </c>
      <c r="M38" s="18" t="n">
        <v>0</v>
      </c>
      <c r="N38" s="20" t="n">
        <v>0</v>
      </c>
      <c r="O38" s="18" t="n">
        <v>0</v>
      </c>
      <c r="P38" s="20" t="n">
        <v>0</v>
      </c>
      <c r="Q38" s="18" t="n">
        <v>1.12542153</v>
      </c>
      <c r="R38" s="20" t="n">
        <v>0.29879603</v>
      </c>
    </row>
    <row r="39" spans="1:18">
      <c r="A39" s="15" t="s">
        <v>597</v>
      </c>
      <c r="B39" s="17" t="n">
        <v>5895</v>
      </c>
      <c r="C39" s="18">
        <f>(4582.0/B39*100)</f>
        <v/>
      </c>
      <c r="D39" s="19" t="n">
        <v>1313</v>
      </c>
      <c r="E39" s="18" t="n">
        <v>58.44629904</v>
      </c>
      <c r="F39" s="20" t="n">
        <v>1.829697</v>
      </c>
      <c r="G39" s="18" t="n">
        <v>40.74425737</v>
      </c>
      <c r="H39" s="20" t="n">
        <v>1.8017519</v>
      </c>
      <c r="I39" s="18" t="n">
        <v>0</v>
      </c>
      <c r="J39" s="20" t="n">
        <v>0</v>
      </c>
      <c r="K39" s="18" t="n">
        <v>0</v>
      </c>
      <c r="L39" s="20" t="n">
        <v>0</v>
      </c>
      <c r="M39" s="18" t="n">
        <v>0</v>
      </c>
      <c r="N39" s="20" t="n">
        <v>0</v>
      </c>
      <c r="O39" s="18" t="n">
        <v>0</v>
      </c>
      <c r="P39" s="20" t="n">
        <v>0</v>
      </c>
      <c r="Q39" s="18" t="n">
        <v>0.8094435800000001</v>
      </c>
      <c r="R39" s="20" t="n">
        <v>0.28670249</v>
      </c>
    </row>
    <row r="40" spans="1:18">
      <c r="A40" s="15" t="s">
        <v>598</v>
      </c>
      <c r="B40" s="17" t="n">
        <v>14157</v>
      </c>
      <c r="C40" s="18">
        <f>(11157.0/B40*100)</f>
        <v/>
      </c>
      <c r="D40" s="19" t="n">
        <v>3000</v>
      </c>
      <c r="E40" s="18" t="n">
        <v>44.80862239</v>
      </c>
      <c r="F40" s="20" t="n">
        <v>1.64241033</v>
      </c>
      <c r="G40" s="18" t="n">
        <v>53.99877691</v>
      </c>
      <c r="H40" s="20" t="n">
        <v>1.6105695</v>
      </c>
      <c r="I40" s="18" t="n">
        <v>0</v>
      </c>
      <c r="J40" s="20" t="n">
        <v>0</v>
      </c>
      <c r="K40" s="18" t="n">
        <v>0.32489588</v>
      </c>
      <c r="L40" s="20" t="n">
        <v>0.20241923</v>
      </c>
      <c r="M40" s="18" t="n">
        <v>0</v>
      </c>
      <c r="N40" s="20" t="n">
        <v>0</v>
      </c>
      <c r="O40" s="18" t="n">
        <v>0</v>
      </c>
      <c r="P40" s="20" t="n">
        <v>0</v>
      </c>
      <c r="Q40" s="18" t="n">
        <v>0.86770482</v>
      </c>
      <c r="R40" s="20" t="n">
        <v>0.24427433</v>
      </c>
    </row>
    <row r="41" spans="1:18">
      <c r="A41" s="15" t="s">
        <v>599</v>
      </c>
      <c r="B41" s="17" t="n">
        <v>5712</v>
      </c>
      <c r="C41" s="18">
        <f>(4430.0/B41*100)</f>
        <v/>
      </c>
      <c r="D41" s="19" t="n">
        <v>1282</v>
      </c>
      <c r="E41" s="18" t="n">
        <v>47.79550498</v>
      </c>
      <c r="F41" s="20" t="n">
        <v>1.46845116</v>
      </c>
      <c r="G41" s="18" t="n">
        <v>51.50576759</v>
      </c>
      <c r="H41" s="20" t="n">
        <v>1.49218712</v>
      </c>
      <c r="I41" s="18" t="n">
        <v>0</v>
      </c>
      <c r="J41" s="20" t="n">
        <v>0</v>
      </c>
      <c r="K41" s="18" t="n">
        <v>0.40752215</v>
      </c>
      <c r="L41" s="20" t="n">
        <v>0.21049617</v>
      </c>
      <c r="M41" s="18" t="n">
        <v>0</v>
      </c>
      <c r="N41" s="20" t="n">
        <v>0</v>
      </c>
      <c r="O41" s="18" t="n">
        <v>0</v>
      </c>
      <c r="P41" s="20" t="n">
        <v>0</v>
      </c>
      <c r="Q41" s="18" t="n">
        <v>0.29120527</v>
      </c>
      <c r="R41" s="20" t="n">
        <v>0.14684084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(19174.0/B46*100)</f>
        <v/>
      </c>
      <c r="D46" s="19" t="n">
        <v>3967</v>
      </c>
      <c r="E46" s="18" t="n">
        <v>58.03255913</v>
      </c>
      <c r="F46" s="20" t="n">
        <v>1.1713657</v>
      </c>
      <c r="G46" s="18" t="n">
        <v>37.99855483</v>
      </c>
      <c r="H46" s="20" t="n">
        <v>1.18934688</v>
      </c>
      <c r="I46" s="18" t="n">
        <v>0</v>
      </c>
      <c r="J46" s="20" t="n">
        <v>0</v>
      </c>
      <c r="K46" s="18" t="n">
        <v>1.80988245</v>
      </c>
      <c r="L46" s="20" t="n">
        <v>0.34375002</v>
      </c>
      <c r="M46" s="18" t="n">
        <v>0</v>
      </c>
      <c r="N46" s="20" t="n">
        <v>0</v>
      </c>
      <c r="O46" s="18" t="n">
        <v>0</v>
      </c>
      <c r="P46" s="20" t="n">
        <v>0</v>
      </c>
      <c r="Q46" s="18" t="n">
        <v>2.15900359</v>
      </c>
      <c r="R46" s="20" t="n">
        <v>0.32287718</v>
      </c>
    </row>
    <row r="47" spans="1:18">
      <c r="A47" s="15" t="s">
        <v>606</v>
      </c>
      <c r="B47" s="17" t="n">
        <v>5928</v>
      </c>
      <c r="C47" s="18">
        <f>(4682.0/B47*100)</f>
        <v/>
      </c>
      <c r="D47" s="19" t="n">
        <v>1246</v>
      </c>
      <c r="E47" s="18" t="n">
        <v>55.43993298</v>
      </c>
      <c r="F47" s="20" t="n">
        <v>1.32352109</v>
      </c>
      <c r="G47" s="18" t="n">
        <v>42.55010398</v>
      </c>
      <c r="H47" s="20" t="n">
        <v>1.38546501</v>
      </c>
      <c r="I47" s="18" t="n">
        <v>0</v>
      </c>
      <c r="J47" s="20" t="n">
        <v>0</v>
      </c>
      <c r="K47" s="18" t="n">
        <v>0.31719805</v>
      </c>
      <c r="L47" s="20" t="n">
        <v>0.16564607</v>
      </c>
      <c r="M47" s="18" t="n">
        <v>0</v>
      </c>
      <c r="N47" s="20" t="n">
        <v>0</v>
      </c>
      <c r="O47" s="18" t="n">
        <v>0</v>
      </c>
      <c r="P47" s="20" t="n">
        <v>0</v>
      </c>
      <c r="Q47" s="18" t="n">
        <v>1.692765</v>
      </c>
      <c r="R47" s="20" t="n">
        <v>0.39867884</v>
      </c>
    </row>
    <row r="48" spans="1:18">
      <c r="A48" s="15" t="s">
        <v>607</v>
      </c>
      <c r="B48" s="17" t="n">
        <v>9841</v>
      </c>
      <c r="C48" s="18">
        <f>(7679.0/B48*100)</f>
        <v/>
      </c>
      <c r="D48" s="19" t="n">
        <v>2162</v>
      </c>
      <c r="E48" s="18" t="n">
        <v>39.41801243</v>
      </c>
      <c r="F48" s="20" t="n">
        <v>1.34730337</v>
      </c>
      <c r="G48" s="18" t="n">
        <v>59.73359842</v>
      </c>
      <c r="H48" s="20" t="n">
        <v>1.34788673</v>
      </c>
      <c r="I48" s="18" t="n">
        <v>0</v>
      </c>
      <c r="J48" s="20" t="n">
        <v>0</v>
      </c>
      <c r="K48" s="18" t="n">
        <v>0.74844238</v>
      </c>
      <c r="L48" s="20" t="n">
        <v>0.25499847</v>
      </c>
      <c r="M48" s="18" t="n">
        <v>0</v>
      </c>
      <c r="N48" s="20" t="n">
        <v>0</v>
      </c>
      <c r="O48" s="18" t="n">
        <v>0</v>
      </c>
      <c r="P48" s="20" t="n">
        <v>0</v>
      </c>
      <c r="Q48" s="18" t="n">
        <v>0.09994678</v>
      </c>
      <c r="R48" s="20" t="n">
        <v>0.0764845</v>
      </c>
    </row>
    <row r="49" spans="1:18">
      <c r="A49" s="15" t="s">
        <v>608</v>
      </c>
      <c r="B49" s="17" t="n">
        <v>11795</v>
      </c>
      <c r="C49" s="18">
        <f>(9337.0/B49*100)</f>
        <v/>
      </c>
      <c r="D49" s="19" t="n">
        <v>2458</v>
      </c>
      <c r="E49" s="18" t="n">
        <v>50.59832358</v>
      </c>
      <c r="F49" s="20" t="n">
        <v>1.4622294</v>
      </c>
      <c r="G49" s="18" t="n">
        <v>46.49702039</v>
      </c>
      <c r="H49" s="20" t="n">
        <v>1.51843201</v>
      </c>
      <c r="I49" s="18" t="n">
        <v>0</v>
      </c>
      <c r="J49" s="20" t="n">
        <v>0</v>
      </c>
      <c r="K49" s="18" t="n">
        <v>2.26626817</v>
      </c>
      <c r="L49" s="20" t="n">
        <v>0.53111746</v>
      </c>
      <c r="M49" s="18" t="n">
        <v>0</v>
      </c>
      <c r="N49" s="20" t="n">
        <v>0</v>
      </c>
      <c r="O49" s="18" t="n">
        <v>0</v>
      </c>
      <c r="P49" s="20" t="n">
        <v>0</v>
      </c>
      <c r="Q49" s="18" t="n">
        <v>0.63838786</v>
      </c>
      <c r="R49" s="20" t="n">
        <v>0.22150893</v>
      </c>
    </row>
    <row r="50" spans="1:18">
      <c r="A50" s="15" t="s">
        <v>609</v>
      </c>
      <c r="B50" s="17" t="n">
        <v>6866</v>
      </c>
      <c r="C50" s="18">
        <f>(5566.0/B50*100)</f>
        <v/>
      </c>
      <c r="D50" s="19" t="n">
        <v>1300</v>
      </c>
      <c r="E50" s="18" t="n">
        <v>50.0071553</v>
      </c>
      <c r="F50" s="20" t="n">
        <v>1.70827148</v>
      </c>
      <c r="G50" s="18" t="n">
        <v>48.64456787</v>
      </c>
      <c r="H50" s="20" t="n">
        <v>1.72691536</v>
      </c>
      <c r="I50" s="18" t="n">
        <v>0</v>
      </c>
      <c r="J50" s="20" t="n">
        <v>0</v>
      </c>
      <c r="K50" s="18" t="n">
        <v>0.53423485</v>
      </c>
      <c r="L50" s="20" t="n">
        <v>0.23562145</v>
      </c>
      <c r="M50" s="18" t="n">
        <v>0</v>
      </c>
      <c r="N50" s="20" t="n">
        <v>0</v>
      </c>
      <c r="O50" s="18" t="n">
        <v>0</v>
      </c>
      <c r="P50" s="20" t="n">
        <v>0</v>
      </c>
      <c r="Q50" s="18" t="n">
        <v>0.8140419800000001</v>
      </c>
      <c r="R50" s="20" t="n">
        <v>0.28903669</v>
      </c>
    </row>
    <row r="51" spans="1:18">
      <c r="A51" s="15" t="s">
        <v>610</v>
      </c>
      <c r="B51" s="17" t="n">
        <v>5809</v>
      </c>
      <c r="C51" s="18">
        <f>(4531.0/B51*100)</f>
        <v/>
      </c>
      <c r="D51" s="19" t="n">
        <v>1278</v>
      </c>
      <c r="E51" s="18" t="n">
        <v>60.81132846</v>
      </c>
      <c r="F51" s="20" t="n">
        <v>1.30248378</v>
      </c>
      <c r="G51" s="18" t="n">
        <v>38.29037988</v>
      </c>
      <c r="H51" s="20" t="n">
        <v>1.30731498</v>
      </c>
      <c r="I51" s="18" t="n">
        <v>0</v>
      </c>
      <c r="J51" s="20" t="n">
        <v>0</v>
      </c>
      <c r="K51" s="18" t="n">
        <v>0.07176834</v>
      </c>
      <c r="L51" s="20" t="n">
        <v>0.07149229999999999</v>
      </c>
      <c r="M51" s="18" t="n">
        <v>0</v>
      </c>
      <c r="N51" s="20" t="n">
        <v>0</v>
      </c>
      <c r="O51" s="18" t="n">
        <v>0</v>
      </c>
      <c r="P51" s="20" t="n">
        <v>0</v>
      </c>
      <c r="Q51" s="18" t="n">
        <v>0.82652332</v>
      </c>
      <c r="R51" s="20" t="n">
        <v>0.26882789</v>
      </c>
    </row>
    <row r="52" spans="1:18">
      <c r="A52" s="15" t="s">
        <v>611</v>
      </c>
      <c r="B52" s="17" t="n">
        <v>5571</v>
      </c>
      <c r="C52" s="18">
        <f>(4339.0/B52*100)</f>
        <v/>
      </c>
      <c r="D52" s="19" t="n">
        <v>1232</v>
      </c>
      <c r="E52" s="18" t="n">
        <v>56.89415207</v>
      </c>
      <c r="F52" s="20" t="n">
        <v>1.52921289</v>
      </c>
      <c r="G52" s="18" t="n">
        <v>41.31520794</v>
      </c>
      <c r="H52" s="20" t="n">
        <v>1.54101887</v>
      </c>
      <c r="I52" s="18" t="n">
        <v>0</v>
      </c>
      <c r="J52" s="20" t="n">
        <v>0</v>
      </c>
      <c r="K52" s="18" t="n">
        <v>0.42906412</v>
      </c>
      <c r="L52" s="20" t="n">
        <v>0.17860108</v>
      </c>
      <c r="M52" s="18" t="n">
        <v>0</v>
      </c>
      <c r="N52" s="20" t="n">
        <v>0</v>
      </c>
      <c r="O52" s="18" t="n">
        <v>0</v>
      </c>
      <c r="P52" s="20" t="n">
        <v>0</v>
      </c>
      <c r="Q52" s="18" t="n">
        <v>1.36157587</v>
      </c>
      <c r="R52" s="20" t="n">
        <v>0.36296544</v>
      </c>
    </row>
    <row r="53" spans="1:18">
      <c r="A53" s="15" t="s">
        <v>612</v>
      </c>
      <c r="B53" s="17" t="n">
        <v>4740</v>
      </c>
      <c r="C53" s="18">
        <f>(3708.0/B53*100)</f>
        <v/>
      </c>
      <c r="D53" s="19" t="n">
        <v>1032</v>
      </c>
      <c r="E53" s="18" t="n">
        <v>59.87895287</v>
      </c>
      <c r="F53" s="20" t="n">
        <v>1.79543594</v>
      </c>
      <c r="G53" s="18" t="n">
        <v>21.23081956</v>
      </c>
      <c r="H53" s="20" t="n">
        <v>1.56883155</v>
      </c>
      <c r="I53" s="18" t="n">
        <v>0</v>
      </c>
      <c r="J53" s="20" t="n">
        <v>0</v>
      </c>
      <c r="K53" s="18" t="n">
        <v>15.72864446</v>
      </c>
      <c r="L53" s="20" t="n">
        <v>1.26887897</v>
      </c>
      <c r="M53" s="18" t="n">
        <v>0</v>
      </c>
      <c r="N53" s="20" t="n">
        <v>0</v>
      </c>
      <c r="O53" s="18" t="n">
        <v>0</v>
      </c>
      <c r="P53" s="20" t="n">
        <v>0</v>
      </c>
      <c r="Q53" s="18" t="n">
        <v>3.16158312</v>
      </c>
      <c r="R53" s="20" t="n">
        <v>0.48992732</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(4125.0/B55*100)</f>
        <v/>
      </c>
      <c r="D55" s="19" t="n">
        <v>1234</v>
      </c>
      <c r="E55" s="18" t="n">
        <v>28.36080465</v>
      </c>
      <c r="F55" s="20" t="n">
        <v>1.37541824</v>
      </c>
      <c r="G55" s="18" t="n">
        <v>71.38391008000001</v>
      </c>
      <c r="H55" s="20" t="n">
        <v>1.38152439</v>
      </c>
      <c r="I55" s="18" t="n">
        <v>0</v>
      </c>
      <c r="J55" s="20" t="n">
        <v>0</v>
      </c>
      <c r="K55" s="18" t="n">
        <v>0.16076555</v>
      </c>
      <c r="L55" s="20" t="n">
        <v>0.11424968</v>
      </c>
      <c r="M55" s="18" t="n">
        <v>0</v>
      </c>
      <c r="N55" s="20" t="n">
        <v>0</v>
      </c>
      <c r="O55" s="18" t="n">
        <v>0</v>
      </c>
      <c r="P55" s="20" t="n">
        <v>0</v>
      </c>
      <c r="Q55" s="18" t="n">
        <v>0.09451973</v>
      </c>
      <c r="R55" s="20" t="n">
        <v>0.10779267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(5068.0/B61*100)</f>
        <v/>
      </c>
      <c r="D61" s="19" t="n">
        <v>1457</v>
      </c>
      <c r="E61" s="18" t="n">
        <v>58.34521087</v>
      </c>
      <c r="F61" s="20" t="n">
        <v>1.49613212</v>
      </c>
      <c r="G61" s="18" t="n">
        <v>40.76542157</v>
      </c>
      <c r="H61" s="20" t="n">
        <v>1.45936408</v>
      </c>
      <c r="I61" s="18" t="n">
        <v>0</v>
      </c>
      <c r="J61" s="20" t="n">
        <v>0</v>
      </c>
      <c r="K61" s="18" t="n">
        <v>0.2797809</v>
      </c>
      <c r="L61" s="20" t="n">
        <v>0.15336886</v>
      </c>
      <c r="M61" s="18" t="n">
        <v>0</v>
      </c>
      <c r="N61" s="20" t="n">
        <v>0</v>
      </c>
      <c r="O61" s="18" t="n">
        <v>0</v>
      </c>
      <c r="P61" s="20" t="n">
        <v>0</v>
      </c>
      <c r="Q61" s="18" t="n">
        <v>0.6095866599999999</v>
      </c>
      <c r="R61" s="20" t="n">
        <v>0.21060615</v>
      </c>
    </row>
    <row r="62" spans="1:18">
      <c r="A62" s="15" t="s">
        <v>622</v>
      </c>
      <c r="B62" s="17" t="n">
        <v>4476</v>
      </c>
      <c r="C62" s="18">
        <f>(3479.0/B62*100)</f>
        <v/>
      </c>
      <c r="D62" s="19" t="n">
        <v>997</v>
      </c>
      <c r="E62" s="18" t="n">
        <v>29.67280579</v>
      </c>
      <c r="F62" s="20" t="n">
        <v>1.36146349</v>
      </c>
      <c r="G62" s="18" t="n">
        <v>70.32719421</v>
      </c>
      <c r="H62" s="20" t="n">
        <v>1.36146349</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(4460.0/B67*100)</f>
        <v/>
      </c>
      <c r="D67" s="19" t="n">
        <v>1205</v>
      </c>
      <c r="E67" s="18" t="n">
        <v>68.95095223</v>
      </c>
      <c r="F67" s="20" t="n">
        <v>1.35060572</v>
      </c>
      <c r="G67" s="18" t="n">
        <v>26.74227518</v>
      </c>
      <c r="H67" s="20" t="n">
        <v>1.29024137</v>
      </c>
      <c r="I67" s="18" t="n">
        <v>0</v>
      </c>
      <c r="J67" s="20" t="n">
        <v>0</v>
      </c>
      <c r="K67" s="18" t="n">
        <v>0.77900921</v>
      </c>
      <c r="L67" s="20" t="n">
        <v>0.25465142</v>
      </c>
      <c r="M67" s="18" t="n">
        <v>0</v>
      </c>
      <c r="N67" s="20" t="n">
        <v>0</v>
      </c>
      <c r="O67" s="18" t="n">
        <v>0</v>
      </c>
      <c r="P67" s="20" t="n">
        <v>0</v>
      </c>
      <c r="Q67" s="18" t="n">
        <v>3.52776338</v>
      </c>
      <c r="R67" s="20" t="n">
        <v>0.50326762</v>
      </c>
    </row>
    <row r="68" spans="1:18">
      <c r="A68" s="15" t="s">
        <v>628</v>
      </c>
      <c r="B68" s="17" t="n">
        <v>6971</v>
      </c>
      <c r="C68" s="18">
        <f>(5665.0/B68*100)</f>
        <v/>
      </c>
      <c r="D68" s="19" t="n">
        <v>1306</v>
      </c>
      <c r="E68" s="18" t="n">
        <v>54.05769536</v>
      </c>
      <c r="F68" s="20" t="n">
        <v>1.57000759</v>
      </c>
      <c r="G68" s="18" t="n">
        <v>45.08159033</v>
      </c>
      <c r="H68" s="20" t="n">
        <v>1.60815188</v>
      </c>
      <c r="I68" s="18" t="n">
        <v>0</v>
      </c>
      <c r="J68" s="20" t="n">
        <v>0</v>
      </c>
      <c r="K68" s="18" t="n">
        <v>0.40550678</v>
      </c>
      <c r="L68" s="20" t="n">
        <v>0.20952585</v>
      </c>
      <c r="M68" s="18" t="n">
        <v>0</v>
      </c>
      <c r="N68" s="20" t="n">
        <v>0</v>
      </c>
      <c r="O68" s="18" t="n">
        <v>0</v>
      </c>
      <c r="P68" s="20" t="n">
        <v>0</v>
      </c>
      <c r="Q68" s="18" t="n">
        <v>0.45520754</v>
      </c>
      <c r="R68" s="20" t="n">
        <v>0.18675714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(9371.0/B70*100)</f>
        <v/>
      </c>
      <c r="D70" s="19" t="n">
        <v>2712</v>
      </c>
      <c r="E70" s="18" t="n">
        <v>60.15799129</v>
      </c>
      <c r="F70" s="20" t="n">
        <v>0.94488226</v>
      </c>
      <c r="G70" s="18" t="n">
        <v>35.38366974</v>
      </c>
      <c r="H70" s="20" t="n">
        <v>0.93163547</v>
      </c>
      <c r="I70" s="18" t="n">
        <v>0</v>
      </c>
      <c r="J70" s="20" t="n">
        <v>0</v>
      </c>
      <c r="K70" s="18" t="n">
        <v>2.66739682</v>
      </c>
      <c r="L70" s="20" t="n">
        <v>0.30541971</v>
      </c>
      <c r="M70" s="18" t="n">
        <v>0</v>
      </c>
      <c r="N70" s="20" t="n">
        <v>0</v>
      </c>
      <c r="O70" s="18" t="n">
        <v>0</v>
      </c>
      <c r="P70" s="20" t="n">
        <v>0</v>
      </c>
      <c r="Q70" s="18" t="n">
        <v>1.79094214</v>
      </c>
      <c r="R70" s="20" t="n">
        <v>0.27625188</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(4835.0/B72*100)</f>
        <v/>
      </c>
      <c r="D72" s="19" t="n">
        <v>1201</v>
      </c>
      <c r="E72" s="18" t="n">
        <v>59.79628797</v>
      </c>
      <c r="F72" s="20" t="n">
        <v>1.55015741</v>
      </c>
      <c r="G72" s="18" t="n">
        <v>38.98606597</v>
      </c>
      <c r="H72" s="20" t="n">
        <v>1.60720802</v>
      </c>
      <c r="I72" s="18" t="n">
        <v>0</v>
      </c>
      <c r="J72" s="20" t="n">
        <v>0</v>
      </c>
      <c r="K72" s="18" t="n">
        <v>0.61866729</v>
      </c>
      <c r="L72" s="20" t="n">
        <v>0.24500018</v>
      </c>
      <c r="M72" s="18" t="n">
        <v>0</v>
      </c>
      <c r="N72" s="20" t="n">
        <v>0</v>
      </c>
      <c r="O72" s="18" t="n">
        <v>0</v>
      </c>
      <c r="P72" s="20" t="n">
        <v>0</v>
      </c>
      <c r="Q72" s="18" t="n">
        <v>0.59897877</v>
      </c>
      <c r="R72" s="20" t="n">
        <v>0.26852357</v>
      </c>
    </row>
    <row r="73" spans="1:18">
      <c r="A73" s="15" t="s">
        <v>633</v>
      </c>
      <c r="B73" s="17" t="n">
        <v>6115</v>
      </c>
      <c r="C73" s="18">
        <f>(4781.0/B73*100)</f>
        <v/>
      </c>
      <c r="D73" s="19" t="n">
        <v>1334</v>
      </c>
      <c r="E73" s="18" t="n">
        <v>26.66029448</v>
      </c>
      <c r="F73" s="20" t="n">
        <v>1.33104579</v>
      </c>
      <c r="G73" s="18" t="n">
        <v>72.72769638</v>
      </c>
      <c r="H73" s="20" t="n">
        <v>1.32851934</v>
      </c>
      <c r="I73" s="18" t="n">
        <v>0</v>
      </c>
      <c r="J73" s="20" t="n">
        <v>0</v>
      </c>
      <c r="K73" s="18" t="n">
        <v>0.24774501</v>
      </c>
      <c r="L73" s="20" t="n">
        <v>0.14290482</v>
      </c>
      <c r="M73" s="18" t="n">
        <v>0</v>
      </c>
      <c r="N73" s="20" t="n">
        <v>0</v>
      </c>
      <c r="O73" s="18" t="n">
        <v>0</v>
      </c>
      <c r="P73" s="20" t="n">
        <v>0</v>
      </c>
      <c r="Q73" s="18" t="n">
        <v>0.36426412</v>
      </c>
      <c r="R73" s="20" t="n">
        <v>0.16870081</v>
      </c>
    </row>
    <row r="74" spans="1:18">
      <c r="A74" s="15" t="s">
        <v>634</v>
      </c>
      <c r="B74" s="17" t="n">
        <v>7708</v>
      </c>
      <c r="C74" s="18">
        <f>(5967.0/B74*100)</f>
        <v/>
      </c>
      <c r="D74" s="19" t="n">
        <v>1741</v>
      </c>
      <c r="E74" s="18" t="n">
        <v>28.13544875</v>
      </c>
      <c r="F74" s="20" t="n">
        <v>1.14687133</v>
      </c>
      <c r="G74" s="18" t="n">
        <v>71.57582888</v>
      </c>
      <c r="H74" s="20" t="n">
        <v>1.16516382</v>
      </c>
      <c r="I74" s="18" t="n">
        <v>0</v>
      </c>
      <c r="J74" s="20" t="n">
        <v>0</v>
      </c>
      <c r="K74" s="18" t="n">
        <v>0.12250395</v>
      </c>
      <c r="L74" s="20" t="n">
        <v>0.08888101</v>
      </c>
      <c r="M74" s="18" t="n">
        <v>0</v>
      </c>
      <c r="N74" s="20" t="n">
        <v>0</v>
      </c>
      <c r="O74" s="18" t="n">
        <v>0</v>
      </c>
      <c r="P74" s="20" t="n">
        <v>0</v>
      </c>
      <c r="Q74" s="18" t="n">
        <v>0.16621841</v>
      </c>
      <c r="R74" s="20" t="n">
        <v>0.08000224</v>
      </c>
    </row>
    <row r="75" spans="1:18">
      <c r="A75" s="15" t="s">
        <v>635</v>
      </c>
      <c r="B75" s="17" t="n">
        <v>8249</v>
      </c>
      <c r="C75" s="18">
        <f>(6530.0/B75*100)</f>
        <v/>
      </c>
      <c r="D75" s="19" t="n">
        <v>1719</v>
      </c>
      <c r="E75" s="18" t="n">
        <v>62.43877808</v>
      </c>
      <c r="F75" s="20" t="n">
        <v>1.55449227</v>
      </c>
      <c r="G75" s="18" t="n">
        <v>37.37362504</v>
      </c>
      <c r="H75" s="20" t="n">
        <v>1.55688776</v>
      </c>
      <c r="I75" s="18" t="n">
        <v>0</v>
      </c>
      <c r="J75" s="20" t="n">
        <v>0</v>
      </c>
      <c r="K75" s="18" t="n">
        <v>0.02989303</v>
      </c>
      <c r="L75" s="20" t="n">
        <v>0.02995367</v>
      </c>
      <c r="M75" s="18" t="n">
        <v>0</v>
      </c>
      <c r="N75" s="20" t="n">
        <v>0</v>
      </c>
      <c r="O75" s="18" t="n">
        <v>0</v>
      </c>
      <c r="P75" s="20" t="n">
        <v>0</v>
      </c>
      <c r="Q75" s="18" t="n">
        <v>0.15770385</v>
      </c>
      <c r="R75" s="20" t="n">
        <v>0.09040121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(4352.0/B77*100)</f>
        <v/>
      </c>
      <c r="D77" s="19" t="n">
        <v>1023</v>
      </c>
      <c r="E77" s="18" t="n">
        <v>64.79757668000001</v>
      </c>
      <c r="F77" s="20" t="n">
        <v>1.49646425</v>
      </c>
      <c r="G77" s="18" t="n">
        <v>29.37226786</v>
      </c>
      <c r="H77" s="20" t="n">
        <v>1.52293031</v>
      </c>
      <c r="I77" s="18" t="n">
        <v>0</v>
      </c>
      <c r="J77" s="20" t="n">
        <v>0</v>
      </c>
      <c r="K77" s="18" t="n">
        <v>3.44918149</v>
      </c>
      <c r="L77" s="20" t="n">
        <v>0.72249659</v>
      </c>
      <c r="M77" s="18" t="n">
        <v>0</v>
      </c>
      <c r="N77" s="20" t="n">
        <v>0</v>
      </c>
      <c r="O77" s="18" t="n">
        <v>0</v>
      </c>
      <c r="P77" s="20" t="n">
        <v>0</v>
      </c>
      <c r="Q77" s="18" t="n">
        <v>2.38097398</v>
      </c>
      <c r="R77" s="20" t="n">
        <v>0.53576778</v>
      </c>
    </row>
    <row r="78" spans="1:18">
      <c r="A78" s="15" t="s">
        <v>638</v>
      </c>
      <c r="B78" s="17" t="n">
        <v>14167</v>
      </c>
      <c r="C78" s="18">
        <f>(11122.0/B78*100)</f>
        <v/>
      </c>
      <c r="D78" s="19" t="n">
        <v>3045</v>
      </c>
      <c r="E78" s="18" t="n">
        <v>52.427164</v>
      </c>
      <c r="F78" s="20" t="n">
        <v>1.47493881</v>
      </c>
      <c r="G78" s="18" t="n">
        <v>44.88239791</v>
      </c>
      <c r="H78" s="20" t="n">
        <v>1.54203143</v>
      </c>
      <c r="I78" s="18" t="n">
        <v>0</v>
      </c>
      <c r="J78" s="20" t="n">
        <v>0</v>
      </c>
      <c r="K78" s="18" t="n">
        <v>1.28358557</v>
      </c>
      <c r="L78" s="20" t="n">
        <v>0.28604728</v>
      </c>
      <c r="M78" s="18" t="n">
        <v>0</v>
      </c>
      <c r="N78" s="20" t="n">
        <v>0</v>
      </c>
      <c r="O78" s="18" t="n">
        <v>0</v>
      </c>
      <c r="P78" s="20" t="n">
        <v>0</v>
      </c>
      <c r="Q78" s="18" t="n">
        <v>1.40685252</v>
      </c>
      <c r="R78" s="20" t="n">
        <v>0.26936492</v>
      </c>
    </row>
    <row r="79" spans="1:18">
      <c r="A79" s="15" t="s">
        <v>639</v>
      </c>
      <c r="B79" s="17" t="n">
        <v>6062</v>
      </c>
      <c r="C79" s="18">
        <f>(4788.0/B79*100)</f>
        <v/>
      </c>
      <c r="D79" s="19" t="n">
        <v>1274</v>
      </c>
      <c r="E79" s="18" t="n">
        <v>55.55672406</v>
      </c>
      <c r="F79" s="20" t="n">
        <v>1.26837621</v>
      </c>
      <c r="G79" s="18" t="n">
        <v>40.80322986</v>
      </c>
      <c r="H79" s="20" t="n">
        <v>1.28608817</v>
      </c>
      <c r="I79" s="18" t="n">
        <v>0</v>
      </c>
      <c r="J79" s="20" t="n">
        <v>0</v>
      </c>
      <c r="K79" s="18" t="n">
        <v>1.55739284</v>
      </c>
      <c r="L79" s="20" t="n">
        <v>0.36423958</v>
      </c>
      <c r="M79" s="18" t="n">
        <v>0</v>
      </c>
      <c r="N79" s="20" t="n">
        <v>0</v>
      </c>
      <c r="O79" s="18" t="n">
        <v>0</v>
      </c>
      <c r="P79" s="20" t="n">
        <v>0</v>
      </c>
      <c r="Q79" s="18" t="n">
        <v>2.08265324</v>
      </c>
      <c r="R79" s="20" t="n">
        <v>0.42610148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(25277.0/B82*100)</f>
        <v/>
      </c>
      <c r="D82" s="19" t="n">
        <v>7053</v>
      </c>
      <c r="E82" s="18" t="n">
        <v>36.99260862</v>
      </c>
      <c r="F82" s="20" t="n">
        <v>0.8780098200000001</v>
      </c>
      <c r="G82" s="18" t="n">
        <v>61.59381346</v>
      </c>
      <c r="H82" s="20" t="n">
        <v>0.90335231</v>
      </c>
      <c r="I82" s="18" t="n">
        <v>0</v>
      </c>
      <c r="J82" s="20" t="n">
        <v>0</v>
      </c>
      <c r="K82" s="18" t="n">
        <v>0.33557526</v>
      </c>
      <c r="L82" s="20" t="n">
        <v>0.09798791</v>
      </c>
      <c r="M82" s="18" t="n">
        <v>0</v>
      </c>
      <c r="N82" s="20" t="n">
        <v>0</v>
      </c>
      <c r="O82" s="18" t="n">
        <v>0</v>
      </c>
      <c r="P82" s="20" t="n">
        <v>0</v>
      </c>
      <c r="Q82" s="18" t="n">
        <v>1.07800266</v>
      </c>
      <c r="R82" s="20" t="n">
        <v>0.20199474</v>
      </c>
    </row>
    <row r="83" spans="1:18">
      <c r="A83" s="15" t="s">
        <v>643</v>
      </c>
      <c r="B83" s="17" t="n">
        <v>1652</v>
      </c>
      <c r="C83" s="18">
        <f>(1291.0/B83*100)</f>
        <v/>
      </c>
      <c r="D83" s="19" t="n">
        <v>361</v>
      </c>
      <c r="E83" s="18" t="n">
        <v>48.30781877</v>
      </c>
      <c r="F83" s="20" t="n">
        <v>2.30604163</v>
      </c>
      <c r="G83" s="18" t="n">
        <v>51.09437891</v>
      </c>
      <c r="H83" s="20" t="n">
        <v>2.32173524</v>
      </c>
      <c r="I83" s="18" t="n">
        <v>0</v>
      </c>
      <c r="J83" s="20" t="n">
        <v>0</v>
      </c>
      <c r="K83" s="18" t="n">
        <v>0.59780232</v>
      </c>
      <c r="L83" s="20" t="n">
        <v>0.42916182</v>
      </c>
      <c r="M83" s="18" t="n">
        <v>0</v>
      </c>
      <c r="N83" s="20" t="n">
        <v>0</v>
      </c>
      <c r="O83" s="18" t="n">
        <v>0</v>
      </c>
      <c r="P83" s="20" t="n">
        <v>0</v>
      </c>
      <c r="Q83" s="18" t="n">
        <v>0</v>
      </c>
      <c r="R83" s="20" t="n">
        <v>0</v>
      </c>
    </row>
    <row r="84" spans="1:18">
      <c r="A84" s="23" t="s">
        <v>644</v>
      </c>
      <c r="B84" s="24" t="n">
        <v>1887</v>
      </c>
      <c r="C84" s="25">
        <f>(1494.0/B84*100)</f>
        <v/>
      </c>
      <c r="D84" s="19" t="n">
        <v>393</v>
      </c>
      <c r="E84" s="18" t="n">
        <v>43.84860206</v>
      </c>
      <c r="F84" s="20" t="n">
        <v>3.10811045</v>
      </c>
      <c r="G84" s="18" t="n">
        <v>55.3050427</v>
      </c>
      <c r="H84" s="20" t="n">
        <v>3.29405064</v>
      </c>
      <c r="I84" s="18" t="n">
        <v>0</v>
      </c>
      <c r="J84" s="20" t="n">
        <v>0</v>
      </c>
      <c r="K84" s="18" t="n">
        <v>0</v>
      </c>
      <c r="L84" s="20" t="n">
        <v>0</v>
      </c>
      <c r="M84" s="18" t="n">
        <v>0</v>
      </c>
      <c r="N84" s="20" t="n">
        <v>0</v>
      </c>
      <c r="O84" s="18" t="n">
        <v>0</v>
      </c>
      <c r="P84" s="20" t="n">
        <v>0</v>
      </c>
      <c r="Q84" s="18" t="n">
        <v>0.84635524</v>
      </c>
      <c r="R84" s="20" t="n">
        <v>0.48428081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809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(11399.0/B7*100)</f>
        <v/>
      </c>
      <c r="D7" s="19" t="n">
        <v>3131</v>
      </c>
      <c r="E7" s="18" t="n">
        <v>30.66027804</v>
      </c>
      <c r="F7" s="20" t="n">
        <v>0.90335828</v>
      </c>
      <c r="G7" s="18" t="n">
        <v>58.6278635</v>
      </c>
      <c r="H7" s="20" t="n">
        <v>1.03277646</v>
      </c>
      <c r="I7" s="18" t="n">
        <v>0</v>
      </c>
      <c r="J7" s="20" t="n">
        <v>0</v>
      </c>
      <c r="K7" s="18" t="n">
        <v>0.25753175</v>
      </c>
      <c r="L7" s="20" t="n">
        <v>0.1090876</v>
      </c>
      <c r="M7" s="18" t="n">
        <v>0.09173597</v>
      </c>
      <c r="N7" s="20" t="n">
        <v>0.05516235</v>
      </c>
      <c r="O7" s="18" t="n">
        <v>0</v>
      </c>
      <c r="P7" s="20" t="n">
        <v>0</v>
      </c>
      <c r="Q7" s="18" t="n">
        <v>10.36259073</v>
      </c>
      <c r="R7" s="20" t="n">
        <v>0.58588384</v>
      </c>
    </row>
    <row r="8" spans="1:18">
      <c r="A8" s="15" t="s">
        <v>566</v>
      </c>
      <c r="B8" s="17" t="n">
        <v>7007</v>
      </c>
      <c r="C8" s="18">
        <f>(5508.0/B8*100)</f>
        <v/>
      </c>
      <c r="D8" s="19" t="n">
        <v>1499</v>
      </c>
      <c r="E8" s="18" t="n">
        <v>28.71241952</v>
      </c>
      <c r="F8" s="20" t="n">
        <v>1.27674805</v>
      </c>
      <c r="G8" s="18" t="n">
        <v>50.01355924</v>
      </c>
      <c r="H8" s="20" t="n">
        <v>1.36259066</v>
      </c>
      <c r="I8" s="18" t="n">
        <v>0</v>
      </c>
      <c r="J8" s="20" t="n">
        <v>0</v>
      </c>
      <c r="K8" s="18" t="n">
        <v>0.28276394</v>
      </c>
      <c r="L8" s="20" t="n">
        <v>0.13826373</v>
      </c>
      <c r="M8" s="18" t="n">
        <v>0</v>
      </c>
      <c r="N8" s="20" t="n">
        <v>0</v>
      </c>
      <c r="O8" s="18" t="n">
        <v>0</v>
      </c>
      <c r="P8" s="20" t="n">
        <v>0</v>
      </c>
      <c r="Q8" s="18" t="n">
        <v>20.99125729</v>
      </c>
      <c r="R8" s="20" t="n">
        <v>1.20467757</v>
      </c>
    </row>
    <row r="9" spans="1:18">
      <c r="A9" s="15" t="s">
        <v>567</v>
      </c>
      <c r="B9" s="17" t="n">
        <v>9651</v>
      </c>
      <c r="C9" s="18">
        <f>(7628.0/B9*100)</f>
        <v/>
      </c>
      <c r="D9" s="19" t="n">
        <v>2023</v>
      </c>
      <c r="E9" s="18" t="n">
        <v>26.09046849</v>
      </c>
      <c r="F9" s="20" t="n">
        <v>1.07690342</v>
      </c>
      <c r="G9" s="18" t="n">
        <v>58.33865285</v>
      </c>
      <c r="H9" s="20" t="n">
        <v>1.2631228</v>
      </c>
      <c r="I9" s="18" t="n">
        <v>0</v>
      </c>
      <c r="J9" s="20" t="n">
        <v>0</v>
      </c>
      <c r="K9" s="18" t="n">
        <v>0.74067123</v>
      </c>
      <c r="L9" s="20" t="n">
        <v>0.21325732</v>
      </c>
      <c r="M9" s="18" t="n">
        <v>0.41910648</v>
      </c>
      <c r="N9" s="20" t="n">
        <v>0.15518726</v>
      </c>
      <c r="O9" s="18" t="n">
        <v>0</v>
      </c>
      <c r="P9" s="20" t="n">
        <v>0</v>
      </c>
      <c r="Q9" s="18" t="n">
        <v>14.41110094</v>
      </c>
      <c r="R9" s="20" t="n">
        <v>0.83767461</v>
      </c>
    </row>
    <row r="10" spans="1:18">
      <c r="A10" s="15" t="s">
        <v>568</v>
      </c>
      <c r="B10" s="17" t="n">
        <v>20058</v>
      </c>
      <c r="C10" s="18">
        <f>(15676.0/B10*100)</f>
        <v/>
      </c>
      <c r="D10" s="19" t="n">
        <v>4382</v>
      </c>
      <c r="E10" s="18" t="n">
        <v>26.59676024</v>
      </c>
      <c r="F10" s="20" t="n">
        <v>0.89651039</v>
      </c>
      <c r="G10" s="18" t="n">
        <v>67.50051795</v>
      </c>
      <c r="H10" s="20" t="n">
        <v>0.97369991</v>
      </c>
      <c r="I10" s="18" t="n">
        <v>0</v>
      </c>
      <c r="J10" s="20" t="n">
        <v>0</v>
      </c>
      <c r="K10" s="18" t="n">
        <v>0.64440497</v>
      </c>
      <c r="L10" s="20" t="n">
        <v>0.1830391</v>
      </c>
      <c r="M10" s="18" t="n">
        <v>0.01042819</v>
      </c>
      <c r="N10" s="20" t="n">
        <v>0.008875279999999999</v>
      </c>
      <c r="O10" s="18" t="n">
        <v>0</v>
      </c>
      <c r="P10" s="20" t="n">
        <v>0</v>
      </c>
      <c r="Q10" s="18" t="n">
        <v>5.24788865</v>
      </c>
      <c r="R10" s="20" t="n">
        <v>0.5228180100000001</v>
      </c>
    </row>
    <row r="11" spans="1:18">
      <c r="A11" s="15" t="s">
        <v>569</v>
      </c>
      <c r="B11" s="17" t="n">
        <v>7053</v>
      </c>
      <c r="C11" s="18">
        <f>(5613.0/B11*100)</f>
        <v/>
      </c>
      <c r="D11" s="19" t="n">
        <v>1440</v>
      </c>
      <c r="E11" s="18" t="n">
        <v>43.53191643</v>
      </c>
      <c r="F11" s="20" t="n">
        <v>1.53206138</v>
      </c>
      <c r="G11" s="18" t="n">
        <v>36.58847861</v>
      </c>
      <c r="H11" s="20" t="n">
        <v>1.74914301</v>
      </c>
      <c r="I11" s="18" t="n">
        <v>0</v>
      </c>
      <c r="J11" s="20" t="n">
        <v>0</v>
      </c>
      <c r="K11" s="18" t="n">
        <v>2.05211874</v>
      </c>
      <c r="L11" s="20" t="n">
        <v>0.54621169</v>
      </c>
      <c r="M11" s="18" t="n">
        <v>0.03001039</v>
      </c>
      <c r="N11" s="20" t="n">
        <v>0.0327817</v>
      </c>
      <c r="O11" s="18" t="n">
        <v>0</v>
      </c>
      <c r="P11" s="20" t="n">
        <v>0</v>
      </c>
      <c r="Q11" s="18" t="n">
        <v>17.79747582</v>
      </c>
      <c r="R11" s="20" t="n">
        <v>1.28265781</v>
      </c>
    </row>
    <row r="12" spans="1:18">
      <c r="A12" s="15" t="s">
        <v>570</v>
      </c>
      <c r="B12" s="17" t="n">
        <v>6894</v>
      </c>
      <c r="C12" s="18">
        <f>(5389.0/B12*100)</f>
        <v/>
      </c>
      <c r="D12" s="19" t="n">
        <v>1505</v>
      </c>
      <c r="E12" s="18" t="n">
        <v>29.41791248</v>
      </c>
      <c r="F12" s="20" t="n">
        <v>1.4537006</v>
      </c>
      <c r="G12" s="18" t="n">
        <v>49.93665924</v>
      </c>
      <c r="H12" s="20" t="n">
        <v>1.70891831</v>
      </c>
      <c r="I12" s="18" t="n">
        <v>0</v>
      </c>
      <c r="J12" s="20" t="n">
        <v>0</v>
      </c>
      <c r="K12" s="18" t="n">
        <v>0.36070549</v>
      </c>
      <c r="L12" s="20" t="n">
        <v>0.18395854</v>
      </c>
      <c r="M12" s="18" t="n">
        <v>0.06432675</v>
      </c>
      <c r="N12" s="20" t="n">
        <v>0.05788382</v>
      </c>
      <c r="O12" s="18" t="n">
        <v>0</v>
      </c>
      <c r="P12" s="20" t="n">
        <v>0</v>
      </c>
      <c r="Q12" s="18" t="n">
        <v>20.22039604</v>
      </c>
      <c r="R12" s="20" t="n">
        <v>1.30204541</v>
      </c>
    </row>
    <row r="13" spans="1:18">
      <c r="A13" s="15" t="s">
        <v>571</v>
      </c>
      <c r="B13" s="17" t="n">
        <v>7161</v>
      </c>
      <c r="C13" s="18">
        <f>(5641.0/B13*100)</f>
        <v/>
      </c>
      <c r="D13" s="19" t="n">
        <v>1520</v>
      </c>
      <c r="E13" s="18" t="n">
        <v>30.18194347</v>
      </c>
      <c r="F13" s="20" t="n">
        <v>1.34077209</v>
      </c>
      <c r="G13" s="18" t="n">
        <v>54.38511848</v>
      </c>
      <c r="H13" s="20" t="n">
        <v>1.89411265</v>
      </c>
      <c r="I13" s="18" t="n">
        <v>0</v>
      </c>
      <c r="J13" s="20" t="n">
        <v>0</v>
      </c>
      <c r="K13" s="18" t="n">
        <v>0.25743755</v>
      </c>
      <c r="L13" s="20" t="n">
        <v>0.11020274</v>
      </c>
      <c r="M13" s="18" t="n">
        <v>0.01870437</v>
      </c>
      <c r="N13" s="20" t="n">
        <v>0.02008307</v>
      </c>
      <c r="O13" s="18" t="n">
        <v>0</v>
      </c>
      <c r="P13" s="20" t="n">
        <v>0</v>
      </c>
      <c r="Q13" s="18" t="n">
        <v>15.15679613</v>
      </c>
      <c r="R13" s="20" t="n">
        <v>1.23435462</v>
      </c>
    </row>
    <row r="14" spans="1:18">
      <c r="A14" s="15" t="s">
        <v>572</v>
      </c>
      <c r="B14" s="17" t="n">
        <v>5587</v>
      </c>
      <c r="C14" s="18">
        <f>(4407.0/B14*100)</f>
        <v/>
      </c>
      <c r="D14" s="19" t="n">
        <v>1180</v>
      </c>
      <c r="E14" s="18" t="n">
        <v>26.95968992</v>
      </c>
      <c r="F14" s="20" t="n">
        <v>1.67933025</v>
      </c>
      <c r="G14" s="18" t="n">
        <v>63.67063815</v>
      </c>
      <c r="H14" s="20" t="n">
        <v>1.82890844</v>
      </c>
      <c r="I14" s="18" t="n">
        <v>0</v>
      </c>
      <c r="J14" s="20" t="n">
        <v>0</v>
      </c>
      <c r="K14" s="18" t="n">
        <v>0.53402187</v>
      </c>
      <c r="L14" s="20" t="n">
        <v>0.18478941</v>
      </c>
      <c r="M14" s="18" t="n">
        <v>0</v>
      </c>
      <c r="N14" s="20" t="n">
        <v>0</v>
      </c>
      <c r="O14" s="18" t="n">
        <v>0</v>
      </c>
      <c r="P14" s="20" t="n">
        <v>0</v>
      </c>
      <c r="Q14" s="18" t="n">
        <v>8.835650060000001</v>
      </c>
      <c r="R14" s="20" t="n">
        <v>0.93208829</v>
      </c>
    </row>
    <row r="15" spans="1:18">
      <c r="A15" s="15" t="s">
        <v>573</v>
      </c>
      <c r="B15" s="17" t="n">
        <v>5882</v>
      </c>
      <c r="C15" s="18">
        <f>(4633.0/B15*100)</f>
        <v/>
      </c>
      <c r="D15" s="19" t="n">
        <v>1249</v>
      </c>
      <c r="E15" s="18" t="n">
        <v>27.29050865</v>
      </c>
      <c r="F15" s="20" t="n">
        <v>1.29331206</v>
      </c>
      <c r="G15" s="18" t="n">
        <v>59.8542598</v>
      </c>
      <c r="H15" s="20" t="n">
        <v>1.70928783</v>
      </c>
      <c r="I15" s="18" t="n">
        <v>0</v>
      </c>
      <c r="J15" s="20" t="n">
        <v>0</v>
      </c>
      <c r="K15" s="18" t="n">
        <v>0.27929036</v>
      </c>
      <c r="L15" s="20" t="n">
        <v>0.17390994</v>
      </c>
      <c r="M15" s="18" t="n">
        <v>0.09837938</v>
      </c>
      <c r="N15" s="20" t="n">
        <v>0.09826884</v>
      </c>
      <c r="O15" s="18" t="n">
        <v>0</v>
      </c>
      <c r="P15" s="20" t="n">
        <v>0</v>
      </c>
      <c r="Q15" s="18" t="n">
        <v>12.47756181</v>
      </c>
      <c r="R15" s="20" t="n">
        <v>0.98320782</v>
      </c>
    </row>
    <row r="16" spans="1:18">
      <c r="A16" s="15" t="s">
        <v>574</v>
      </c>
      <c r="B16" s="17" t="n">
        <v>6108</v>
      </c>
      <c r="C16" s="18">
        <f>(4823.0/B16*100)</f>
        <v/>
      </c>
      <c r="D16" s="19" t="n">
        <v>1285</v>
      </c>
      <c r="E16" s="18" t="n">
        <v>28.87788503</v>
      </c>
      <c r="F16" s="20" t="n">
        <v>1.22741352</v>
      </c>
      <c r="G16" s="18" t="n">
        <v>44.69392843</v>
      </c>
      <c r="H16" s="20" t="n">
        <v>1.3075526</v>
      </c>
      <c r="I16" s="18" t="n">
        <v>0</v>
      </c>
      <c r="J16" s="20" t="n">
        <v>0</v>
      </c>
      <c r="K16" s="18" t="n">
        <v>1.00672368</v>
      </c>
      <c r="L16" s="20" t="n">
        <v>0.26209518</v>
      </c>
      <c r="M16" s="18" t="n">
        <v>0</v>
      </c>
      <c r="N16" s="20" t="n">
        <v>0</v>
      </c>
      <c r="O16" s="18" t="n">
        <v>0</v>
      </c>
      <c r="P16" s="20" t="n">
        <v>0</v>
      </c>
      <c r="Q16" s="18" t="n">
        <v>25.42146285</v>
      </c>
      <c r="R16" s="20" t="n">
        <v>1.12013439</v>
      </c>
    </row>
    <row r="17" spans="1:18">
      <c r="A17" s="15" t="s">
        <v>575</v>
      </c>
      <c r="B17" s="17" t="n">
        <v>6504</v>
      </c>
      <c r="C17" s="18">
        <f>(5081.0/B17*100)</f>
        <v/>
      </c>
      <c r="D17" s="19" t="n">
        <v>1423</v>
      </c>
      <c r="E17" s="18" t="n">
        <v>27.78359023</v>
      </c>
      <c r="F17" s="20" t="n">
        <v>1.28081898</v>
      </c>
      <c r="G17" s="18" t="n">
        <v>54.19645327</v>
      </c>
      <c r="H17" s="20" t="n">
        <v>1.48127449</v>
      </c>
      <c r="I17" s="18" t="n">
        <v>0</v>
      </c>
      <c r="J17" s="20" t="n">
        <v>0</v>
      </c>
      <c r="K17" s="18" t="n">
        <v>0.35384053</v>
      </c>
      <c r="L17" s="20" t="n">
        <v>0.13610254</v>
      </c>
      <c r="M17" s="18" t="n">
        <v>0</v>
      </c>
      <c r="N17" s="20" t="n">
        <v>0</v>
      </c>
      <c r="O17" s="18" t="n">
        <v>0</v>
      </c>
      <c r="P17" s="20" t="n">
        <v>0</v>
      </c>
      <c r="Q17" s="18" t="n">
        <v>17.66611596</v>
      </c>
      <c r="R17" s="20" t="n">
        <v>1.18728575</v>
      </c>
    </row>
    <row r="18" spans="1:18">
      <c r="A18" s="15" t="s">
        <v>576</v>
      </c>
      <c r="B18" s="17" t="n">
        <v>5532</v>
      </c>
      <c r="C18" s="18">
        <f>(4331.0/B18*100)</f>
        <v/>
      </c>
      <c r="D18" s="19" t="n">
        <v>1201</v>
      </c>
      <c r="E18" s="18" t="n">
        <v>38.90919647</v>
      </c>
      <c r="F18" s="20" t="n">
        <v>1.40349413</v>
      </c>
      <c r="G18" s="18" t="n">
        <v>41.55355107</v>
      </c>
      <c r="H18" s="20" t="n">
        <v>1.91322226</v>
      </c>
      <c r="I18" s="18" t="n">
        <v>0</v>
      </c>
      <c r="J18" s="20" t="n">
        <v>0</v>
      </c>
      <c r="K18" s="18" t="n">
        <v>1.28179288</v>
      </c>
      <c r="L18" s="20" t="n">
        <v>0.34910057</v>
      </c>
      <c r="M18" s="18" t="n">
        <v>0</v>
      </c>
      <c r="N18" s="20" t="n">
        <v>0</v>
      </c>
      <c r="O18" s="18" t="n">
        <v>0</v>
      </c>
      <c r="P18" s="20" t="n">
        <v>0</v>
      </c>
      <c r="Q18" s="18" t="n">
        <v>18.25545958</v>
      </c>
      <c r="R18" s="20" t="n">
        <v>1.56230907</v>
      </c>
    </row>
    <row r="19" spans="1:18">
      <c r="A19" s="15" t="s">
        <v>577</v>
      </c>
      <c r="B19" s="17" t="n">
        <v>5658</v>
      </c>
      <c r="C19" s="18">
        <f>(4429.0/B19*100)</f>
        <v/>
      </c>
      <c r="D19" s="19" t="n">
        <v>1229</v>
      </c>
      <c r="E19" s="18" t="n">
        <v>38.50470991</v>
      </c>
      <c r="F19" s="20" t="n">
        <v>1.24168387</v>
      </c>
      <c r="G19" s="18" t="n">
        <v>41.83547274</v>
      </c>
      <c r="H19" s="20" t="n">
        <v>1.41623972</v>
      </c>
      <c r="I19" s="18" t="n">
        <v>0</v>
      </c>
      <c r="J19" s="20" t="n">
        <v>0</v>
      </c>
      <c r="K19" s="18" t="n">
        <v>0.19467292</v>
      </c>
      <c r="L19" s="20" t="n">
        <v>0.1014804</v>
      </c>
      <c r="M19" s="18" t="n">
        <v>0.07022935</v>
      </c>
      <c r="N19" s="20" t="n">
        <v>0.0702271</v>
      </c>
      <c r="O19" s="18" t="n">
        <v>0</v>
      </c>
      <c r="P19" s="20" t="n">
        <v>0</v>
      </c>
      <c r="Q19" s="18" t="n">
        <v>19.39491509</v>
      </c>
      <c r="R19" s="20" t="n">
        <v>1.31684943</v>
      </c>
    </row>
    <row r="20" spans="1:18">
      <c r="A20" s="15" t="s">
        <v>578</v>
      </c>
      <c r="B20" s="17" t="n">
        <v>3371</v>
      </c>
      <c r="C20" s="18">
        <f>(2634.0/B20*100)</f>
        <v/>
      </c>
      <c r="D20" s="19" t="n">
        <v>737</v>
      </c>
      <c r="E20" s="18" t="n">
        <v>42.39454164</v>
      </c>
      <c r="F20" s="20" t="n">
        <v>1.89868364</v>
      </c>
      <c r="G20" s="18" t="n">
        <v>37.61407267</v>
      </c>
      <c r="H20" s="20" t="n">
        <v>1.81350969</v>
      </c>
      <c r="I20" s="18" t="n">
        <v>0</v>
      </c>
      <c r="J20" s="20" t="n">
        <v>0</v>
      </c>
      <c r="K20" s="18" t="n">
        <v>0.46353132</v>
      </c>
      <c r="L20" s="20" t="n">
        <v>0.2674481</v>
      </c>
      <c r="M20" s="18" t="n">
        <v>0.20979795</v>
      </c>
      <c r="N20" s="20" t="n">
        <v>0.21359822</v>
      </c>
      <c r="O20" s="18" t="n">
        <v>0</v>
      </c>
      <c r="P20" s="20" t="n">
        <v>0</v>
      </c>
      <c r="Q20" s="18" t="n">
        <v>19.31805642</v>
      </c>
      <c r="R20" s="20" t="n">
        <v>1.26341272</v>
      </c>
    </row>
    <row r="21" spans="1:18">
      <c r="A21" s="15" t="s">
        <v>579</v>
      </c>
      <c r="B21" s="17" t="n">
        <v>5741</v>
      </c>
      <c r="C21" s="18">
        <f>(4466.0/B21*100)</f>
        <v/>
      </c>
      <c r="D21" s="19" t="n">
        <v>1275</v>
      </c>
      <c r="E21" s="18" t="n">
        <v>23.15556133</v>
      </c>
      <c r="F21" s="20" t="n">
        <v>1.33865418</v>
      </c>
      <c r="G21" s="18" t="n">
        <v>70.12324148</v>
      </c>
      <c r="H21" s="20" t="n">
        <v>1.40179668</v>
      </c>
      <c r="I21" s="18" t="n">
        <v>0</v>
      </c>
      <c r="J21" s="20" t="n">
        <v>0</v>
      </c>
      <c r="K21" s="18" t="n">
        <v>0.20174208</v>
      </c>
      <c r="L21" s="20" t="n">
        <v>0.10752108</v>
      </c>
      <c r="M21" s="18" t="n">
        <v>0</v>
      </c>
      <c r="N21" s="20" t="n">
        <v>0</v>
      </c>
      <c r="O21" s="18" t="n">
        <v>0</v>
      </c>
      <c r="P21" s="20" t="n">
        <v>0</v>
      </c>
      <c r="Q21" s="18" t="n">
        <v>6.51945511</v>
      </c>
      <c r="R21" s="20" t="n">
        <v>0.74014538</v>
      </c>
    </row>
    <row r="22" spans="1:18">
      <c r="A22" s="15" t="s">
        <v>580</v>
      </c>
      <c r="B22" s="17" t="n">
        <v>6598</v>
      </c>
      <c r="C22" s="18">
        <f>(5153.0/B22*100)</f>
        <v/>
      </c>
      <c r="D22" s="19" t="n">
        <v>1445</v>
      </c>
      <c r="E22" s="18" t="n">
        <v>40.41096865</v>
      </c>
      <c r="F22" s="20" t="n">
        <v>1.45593025</v>
      </c>
      <c r="G22" s="18" t="n">
        <v>37.85422467</v>
      </c>
      <c r="H22" s="20" t="n">
        <v>1.55695827</v>
      </c>
      <c r="I22" s="18" t="n">
        <v>0</v>
      </c>
      <c r="J22" s="20" t="n">
        <v>0</v>
      </c>
      <c r="K22" s="18" t="n">
        <v>1.13908723</v>
      </c>
      <c r="L22" s="20" t="n">
        <v>0.31429926</v>
      </c>
      <c r="M22" s="18" t="n">
        <v>0</v>
      </c>
      <c r="N22" s="20" t="n">
        <v>0</v>
      </c>
      <c r="O22" s="18" t="n">
        <v>0</v>
      </c>
      <c r="P22" s="20" t="n">
        <v>0</v>
      </c>
      <c r="Q22" s="18" t="n">
        <v>20.59571946</v>
      </c>
      <c r="R22" s="20" t="n">
        <v>1.44237551</v>
      </c>
    </row>
    <row r="23" spans="1:18">
      <c r="A23" s="15" t="s">
        <v>581</v>
      </c>
      <c r="B23" s="17" t="n">
        <v>11583</v>
      </c>
      <c r="C23" s="18">
        <f>(9017.0/B23*100)</f>
        <v/>
      </c>
      <c r="D23" s="19" t="n">
        <v>2566</v>
      </c>
      <c r="E23" s="18" t="n">
        <v>27.03714804</v>
      </c>
      <c r="F23" s="20" t="n">
        <v>1.27347507</v>
      </c>
      <c r="G23" s="18" t="n">
        <v>49.97694625</v>
      </c>
      <c r="H23" s="20" t="n">
        <v>1.46216673</v>
      </c>
      <c r="I23" s="18" t="n">
        <v>0</v>
      </c>
      <c r="J23" s="20" t="n">
        <v>0</v>
      </c>
      <c r="K23" s="18" t="n">
        <v>0.6366493</v>
      </c>
      <c r="L23" s="20" t="n">
        <v>0.19980965</v>
      </c>
      <c r="M23" s="18" t="n">
        <v>0.09571933000000001</v>
      </c>
      <c r="N23" s="20" t="n">
        <v>0.09875114</v>
      </c>
      <c r="O23" s="18" t="n">
        <v>0</v>
      </c>
      <c r="P23" s="20" t="n">
        <v>0</v>
      </c>
      <c r="Q23" s="18" t="n">
        <v>22.25353708</v>
      </c>
      <c r="R23" s="20" t="n">
        <v>1.45809246</v>
      </c>
    </row>
    <row r="24" spans="1:18">
      <c r="A24" s="15" t="s">
        <v>582</v>
      </c>
      <c r="B24" s="17" t="n">
        <v>6647</v>
      </c>
      <c r="C24" s="18">
        <f>(5168.0/B24*100)</f>
        <v/>
      </c>
      <c r="D24" s="19" t="n">
        <v>1479</v>
      </c>
      <c r="E24" s="18" t="n">
        <v>18.73755475</v>
      </c>
      <c r="F24" s="20" t="n">
        <v>1.11903643</v>
      </c>
      <c r="G24" s="18" t="n">
        <v>73.82307167</v>
      </c>
      <c r="H24" s="20" t="n">
        <v>1.33754105</v>
      </c>
      <c r="I24" s="18" t="n">
        <v>0</v>
      </c>
      <c r="J24" s="20" t="n">
        <v>0</v>
      </c>
      <c r="K24" s="18" t="n">
        <v>0.19560934</v>
      </c>
      <c r="L24" s="20" t="n">
        <v>0.11365452</v>
      </c>
      <c r="M24" s="18" t="n">
        <v>0</v>
      </c>
      <c r="N24" s="20" t="n">
        <v>0</v>
      </c>
      <c r="O24" s="18" t="n">
        <v>0</v>
      </c>
      <c r="P24" s="20" t="n">
        <v>0</v>
      </c>
      <c r="Q24" s="18" t="n">
        <v>7.24376425</v>
      </c>
      <c r="R24" s="20" t="n">
        <v>0.8583580200000001</v>
      </c>
    </row>
    <row r="25" spans="1:18">
      <c r="A25" s="15" t="s">
        <v>583</v>
      </c>
      <c r="B25" s="17" t="n">
        <v>5581</v>
      </c>
      <c r="C25" s="18">
        <f>(4330.0/B25*100)</f>
        <v/>
      </c>
      <c r="D25" s="19" t="n">
        <v>1251</v>
      </c>
      <c r="E25" s="18" t="n">
        <v>30.10339773</v>
      </c>
      <c r="F25" s="20" t="n">
        <v>1.60530845</v>
      </c>
      <c r="G25" s="18" t="n">
        <v>59.43419812</v>
      </c>
      <c r="H25" s="20" t="n">
        <v>1.66283297</v>
      </c>
      <c r="I25" s="18" t="n">
        <v>0</v>
      </c>
      <c r="J25" s="20" t="n">
        <v>0</v>
      </c>
      <c r="K25" s="18" t="n">
        <v>0.45299233</v>
      </c>
      <c r="L25" s="20" t="n">
        <v>0.21546079</v>
      </c>
      <c r="M25" s="18" t="n">
        <v>0</v>
      </c>
      <c r="N25" s="20" t="n">
        <v>0</v>
      </c>
      <c r="O25" s="18" t="n">
        <v>0</v>
      </c>
      <c r="P25" s="20" t="n">
        <v>0</v>
      </c>
      <c r="Q25" s="18" t="n">
        <v>10.00941181</v>
      </c>
      <c r="R25" s="20" t="n">
        <v>0.82021431</v>
      </c>
    </row>
    <row r="26" spans="1:18">
      <c r="A26" s="15" t="s">
        <v>584</v>
      </c>
      <c r="B26" s="17" t="n">
        <v>4869</v>
      </c>
      <c r="C26" s="18">
        <f>(3809.0/B26*100)</f>
        <v/>
      </c>
      <c r="D26" s="19" t="n">
        <v>1060</v>
      </c>
      <c r="E26" s="18" t="n">
        <v>54.63575716</v>
      </c>
      <c r="F26" s="20" t="n">
        <v>1.90167518</v>
      </c>
      <c r="G26" s="18" t="n">
        <v>33.06481787</v>
      </c>
      <c r="H26" s="20" t="n">
        <v>1.75377191</v>
      </c>
      <c r="I26" s="18" t="n">
        <v>0</v>
      </c>
      <c r="J26" s="20" t="n">
        <v>0</v>
      </c>
      <c r="K26" s="18" t="n">
        <v>0.08902177</v>
      </c>
      <c r="L26" s="20" t="n">
        <v>0.08675553</v>
      </c>
      <c r="M26" s="18" t="n">
        <v>0.14125648</v>
      </c>
      <c r="N26" s="20" t="n">
        <v>0.10031346</v>
      </c>
      <c r="O26" s="18" t="n">
        <v>0</v>
      </c>
      <c r="P26" s="20" t="n">
        <v>0</v>
      </c>
      <c r="Q26" s="18" t="n">
        <v>12.06914673</v>
      </c>
      <c r="R26" s="20" t="n">
        <v>1.09302351</v>
      </c>
    </row>
    <row r="27" spans="1:18">
      <c r="A27" s="15" t="s">
        <v>585</v>
      </c>
      <c r="B27" s="17" t="n">
        <v>5299</v>
      </c>
      <c r="C27" s="18">
        <f>(4121.0/B27*100)</f>
        <v/>
      </c>
      <c r="D27" s="19" t="n">
        <v>1178</v>
      </c>
      <c r="E27" s="18" t="n">
        <v>37.30661582</v>
      </c>
      <c r="F27" s="20" t="n">
        <v>1.394676</v>
      </c>
      <c r="G27" s="18" t="n">
        <v>41.8124102</v>
      </c>
      <c r="H27" s="20" t="n">
        <v>1.40678711</v>
      </c>
      <c r="I27" s="18" t="n">
        <v>0</v>
      </c>
      <c r="J27" s="20" t="n">
        <v>0</v>
      </c>
      <c r="K27" s="18" t="n">
        <v>0.24763002</v>
      </c>
      <c r="L27" s="20" t="n">
        <v>0.14305807</v>
      </c>
      <c r="M27" s="18" t="n">
        <v>0</v>
      </c>
      <c r="N27" s="20" t="n">
        <v>0</v>
      </c>
      <c r="O27" s="18" t="n">
        <v>0</v>
      </c>
      <c r="P27" s="20" t="n">
        <v>0</v>
      </c>
      <c r="Q27" s="18" t="n">
        <v>20.63334396</v>
      </c>
      <c r="R27" s="20" t="n">
        <v>1.0097553</v>
      </c>
    </row>
    <row r="28" spans="1:18">
      <c r="A28" s="15" t="s">
        <v>586</v>
      </c>
      <c r="B28" s="17" t="n">
        <v>7568</v>
      </c>
      <c r="C28" s="18">
        <f>(6079.0/B28*100)</f>
        <v/>
      </c>
      <c r="D28" s="19" t="n">
        <v>1489</v>
      </c>
      <c r="E28" s="18" t="n">
        <v>65.55171378</v>
      </c>
      <c r="F28" s="20" t="n">
        <v>1.4562734</v>
      </c>
      <c r="G28" s="18" t="n">
        <v>27.58291575</v>
      </c>
      <c r="H28" s="20" t="n">
        <v>1.30524747</v>
      </c>
      <c r="I28" s="18" t="n">
        <v>0</v>
      </c>
      <c r="J28" s="20" t="n">
        <v>0</v>
      </c>
      <c r="K28" s="18" t="n">
        <v>1.21777718</v>
      </c>
      <c r="L28" s="20" t="n">
        <v>0.31533524</v>
      </c>
      <c r="M28" s="18" t="n">
        <v>0.17088488</v>
      </c>
      <c r="N28" s="20" t="n">
        <v>0.12894462</v>
      </c>
      <c r="O28" s="18" t="n">
        <v>0</v>
      </c>
      <c r="P28" s="20" t="n">
        <v>0</v>
      </c>
      <c r="Q28" s="18" t="n">
        <v>5.47670841</v>
      </c>
      <c r="R28" s="20" t="n">
        <v>0.7931159800000001</v>
      </c>
    </row>
    <row r="29" spans="1:18">
      <c r="A29" s="15" t="s">
        <v>587</v>
      </c>
      <c r="B29" s="17" t="n">
        <v>5385</v>
      </c>
      <c r="C29" s="18">
        <f>(4224.0/B29*100)</f>
        <v/>
      </c>
      <c r="D29" s="19" t="n">
        <v>1161</v>
      </c>
      <c r="E29" s="18" t="n">
        <v>36.06790982</v>
      </c>
      <c r="F29" s="20" t="n">
        <v>1.65037619</v>
      </c>
      <c r="G29" s="18" t="n">
        <v>57.06707508</v>
      </c>
      <c r="H29" s="20" t="n">
        <v>1.60453077</v>
      </c>
      <c r="I29" s="18" t="n">
        <v>0</v>
      </c>
      <c r="J29" s="20" t="n">
        <v>0</v>
      </c>
      <c r="K29" s="18" t="n">
        <v>0.31909367</v>
      </c>
      <c r="L29" s="20" t="n">
        <v>0.15878757</v>
      </c>
      <c r="M29" s="18" t="n">
        <v>0</v>
      </c>
      <c r="N29" s="20" t="n">
        <v>0</v>
      </c>
      <c r="O29" s="18" t="n">
        <v>0</v>
      </c>
      <c r="P29" s="20" t="n">
        <v>0</v>
      </c>
      <c r="Q29" s="18" t="n">
        <v>6.54592142</v>
      </c>
      <c r="R29" s="20" t="n">
        <v>0.9838484199999999</v>
      </c>
    </row>
    <row r="30" spans="1:18">
      <c r="A30" s="15" t="s">
        <v>588</v>
      </c>
      <c r="B30" s="17" t="n">
        <v>4520</v>
      </c>
      <c r="C30" s="18">
        <f>(3593.0/B30*100)</f>
        <v/>
      </c>
      <c r="D30" s="19" t="n">
        <v>927</v>
      </c>
      <c r="E30" s="18" t="n">
        <v>27.56162039</v>
      </c>
      <c r="F30" s="20" t="n">
        <v>1.57600142</v>
      </c>
      <c r="G30" s="18" t="n">
        <v>57.37521112</v>
      </c>
      <c r="H30" s="20" t="n">
        <v>1.86335059</v>
      </c>
      <c r="I30" s="18" t="n">
        <v>0</v>
      </c>
      <c r="J30" s="20" t="n">
        <v>0</v>
      </c>
      <c r="K30" s="18" t="n">
        <v>0.34134199</v>
      </c>
      <c r="L30" s="20" t="n">
        <v>0.19313361</v>
      </c>
      <c r="M30" s="18" t="n">
        <v>0</v>
      </c>
      <c r="N30" s="20" t="n">
        <v>0</v>
      </c>
      <c r="O30" s="18" t="n">
        <v>0</v>
      </c>
      <c r="P30" s="20" t="n">
        <v>0</v>
      </c>
      <c r="Q30" s="18" t="n">
        <v>14.7218265</v>
      </c>
      <c r="R30" s="20" t="n">
        <v>1.25743721</v>
      </c>
    </row>
    <row r="31" spans="1:18">
      <c r="A31" s="15" t="s">
        <v>589</v>
      </c>
      <c r="B31" s="17" t="n">
        <v>5456</v>
      </c>
      <c r="C31" s="18">
        <f>(4298.0/B31*100)</f>
        <v/>
      </c>
      <c r="D31" s="19" t="n">
        <v>1158</v>
      </c>
      <c r="E31" s="18" t="n">
        <v>30.26642093</v>
      </c>
      <c r="F31" s="20" t="n">
        <v>1.56890604</v>
      </c>
      <c r="G31" s="18" t="n">
        <v>50.33075117</v>
      </c>
      <c r="H31" s="20" t="n">
        <v>1.66093963</v>
      </c>
      <c r="I31" s="18" t="n">
        <v>0</v>
      </c>
      <c r="J31" s="20" t="n">
        <v>0</v>
      </c>
      <c r="K31" s="18" t="n">
        <v>1.16002259</v>
      </c>
      <c r="L31" s="20" t="n">
        <v>0.32313071</v>
      </c>
      <c r="M31" s="18" t="n">
        <v>0.07288575999999999</v>
      </c>
      <c r="N31" s="20" t="n">
        <v>0.08595066</v>
      </c>
      <c r="O31" s="18" t="n">
        <v>0</v>
      </c>
      <c r="P31" s="20" t="n">
        <v>0</v>
      </c>
      <c r="Q31" s="18" t="n">
        <v>18.16991954</v>
      </c>
      <c r="R31" s="20" t="n">
        <v>1.05240661</v>
      </c>
    </row>
    <row r="32" spans="1:18">
      <c r="A32" s="15" t="s">
        <v>590</v>
      </c>
      <c r="B32" s="17" t="n">
        <v>4478</v>
      </c>
      <c r="C32" s="18">
        <f>(3522.0/B32*100)</f>
        <v/>
      </c>
      <c r="D32" s="19" t="n">
        <v>956</v>
      </c>
      <c r="E32" s="18" t="n">
        <v>26.96479587</v>
      </c>
      <c r="F32" s="20" t="n">
        <v>1.58233578</v>
      </c>
      <c r="G32" s="18" t="n">
        <v>57.77239852</v>
      </c>
      <c r="H32" s="20" t="n">
        <v>1.86635064</v>
      </c>
      <c r="I32" s="18" t="n">
        <v>0</v>
      </c>
      <c r="J32" s="20" t="n">
        <v>0</v>
      </c>
      <c r="K32" s="18" t="n">
        <v>0.29805201</v>
      </c>
      <c r="L32" s="20" t="n">
        <v>0.16946648</v>
      </c>
      <c r="M32" s="18" t="n">
        <v>0</v>
      </c>
      <c r="N32" s="20" t="n">
        <v>0</v>
      </c>
      <c r="O32" s="18" t="n">
        <v>0</v>
      </c>
      <c r="P32" s="20" t="n">
        <v>0</v>
      </c>
      <c r="Q32" s="18" t="n">
        <v>14.96475361</v>
      </c>
      <c r="R32" s="20" t="n">
        <v>1.13146358</v>
      </c>
    </row>
    <row r="33" spans="1:18">
      <c r="A33" s="15" t="s">
        <v>591</v>
      </c>
      <c r="B33" s="17" t="n">
        <v>7325</v>
      </c>
      <c r="C33" s="18">
        <f>(5854.0/B33*100)</f>
        <v/>
      </c>
      <c r="D33" s="19" t="n">
        <v>1471</v>
      </c>
      <c r="E33" s="18" t="n">
        <v>29.30613353</v>
      </c>
      <c r="F33" s="20" t="n">
        <v>1.48461582</v>
      </c>
      <c r="G33" s="18" t="n">
        <v>54.54595543</v>
      </c>
      <c r="H33" s="20" t="n">
        <v>1.69577449</v>
      </c>
      <c r="I33" s="18" t="n">
        <v>0</v>
      </c>
      <c r="J33" s="20" t="n">
        <v>0</v>
      </c>
      <c r="K33" s="18" t="n">
        <v>0.62021843</v>
      </c>
      <c r="L33" s="20" t="n">
        <v>0.23517726</v>
      </c>
      <c r="M33" s="18" t="n">
        <v>0.23262726</v>
      </c>
      <c r="N33" s="20" t="n">
        <v>0.17541553</v>
      </c>
      <c r="O33" s="18" t="n">
        <v>0</v>
      </c>
      <c r="P33" s="20" t="n">
        <v>0</v>
      </c>
      <c r="Q33" s="18" t="n">
        <v>15.29506535</v>
      </c>
      <c r="R33" s="20" t="n">
        <v>0.98061372</v>
      </c>
    </row>
    <row r="34" spans="1:18">
      <c r="A34" s="15" t="s">
        <v>592</v>
      </c>
      <c r="B34" s="17" t="n">
        <v>6350</v>
      </c>
      <c r="C34" s="18">
        <f>(5018.0/B34*100)</f>
        <v/>
      </c>
      <c r="D34" s="19" t="n">
        <v>1332</v>
      </c>
      <c r="E34" s="18" t="n">
        <v>42.45388513</v>
      </c>
      <c r="F34" s="20" t="n">
        <v>1.42938211</v>
      </c>
      <c r="G34" s="18" t="n">
        <v>33.56976472</v>
      </c>
      <c r="H34" s="20" t="n">
        <v>1.5529641</v>
      </c>
      <c r="I34" s="18" t="n">
        <v>0</v>
      </c>
      <c r="J34" s="20" t="n">
        <v>0</v>
      </c>
      <c r="K34" s="18" t="n">
        <v>0.220135</v>
      </c>
      <c r="L34" s="20" t="n">
        <v>0.16226663</v>
      </c>
      <c r="M34" s="18" t="n">
        <v>0.43420327</v>
      </c>
      <c r="N34" s="20" t="n">
        <v>0.19610158</v>
      </c>
      <c r="O34" s="18" t="n">
        <v>0</v>
      </c>
      <c r="P34" s="20" t="n">
        <v>0</v>
      </c>
      <c r="Q34" s="18" t="n">
        <v>23.32201188</v>
      </c>
      <c r="R34" s="20" t="n">
        <v>1.25685484</v>
      </c>
    </row>
    <row r="35" spans="1:18">
      <c r="A35" s="15" t="s">
        <v>593</v>
      </c>
      <c r="B35" s="17" t="n">
        <v>6406</v>
      </c>
      <c r="C35" s="18">
        <f>(4998.0/B35*100)</f>
        <v/>
      </c>
      <c r="D35" s="19" t="n">
        <v>1408</v>
      </c>
      <c r="E35" s="18" t="n">
        <v>25.10648179</v>
      </c>
      <c r="F35" s="20" t="n">
        <v>1.28004161</v>
      </c>
      <c r="G35" s="18" t="n">
        <v>63.19580627</v>
      </c>
      <c r="H35" s="20" t="n">
        <v>1.39296528</v>
      </c>
      <c r="I35" s="18" t="n">
        <v>0</v>
      </c>
      <c r="J35" s="20" t="n">
        <v>0</v>
      </c>
      <c r="K35" s="18" t="n">
        <v>0.55731949</v>
      </c>
      <c r="L35" s="20" t="n">
        <v>0.23827258</v>
      </c>
      <c r="M35" s="18" t="n">
        <v>0.12000911</v>
      </c>
      <c r="N35" s="20" t="n">
        <v>0.11990415</v>
      </c>
      <c r="O35" s="18" t="n">
        <v>0</v>
      </c>
      <c r="P35" s="20" t="n">
        <v>0</v>
      </c>
      <c r="Q35" s="18" t="n">
        <v>11.02038334</v>
      </c>
      <c r="R35" s="20" t="n">
        <v>0.8923417300000001</v>
      </c>
    </row>
    <row r="36" spans="1:18">
      <c r="A36" s="15" t="s">
        <v>594</v>
      </c>
      <c r="B36" s="17" t="n">
        <v>6736</v>
      </c>
      <c r="C36" s="18">
        <f>(5266.0/B36*100)</f>
        <v/>
      </c>
      <c r="D36" s="19" t="n">
        <v>1470</v>
      </c>
      <c r="E36" s="18" t="n">
        <v>34.82423508</v>
      </c>
      <c r="F36" s="20" t="n">
        <v>1.36508841</v>
      </c>
      <c r="G36" s="18" t="n">
        <v>49.81854209</v>
      </c>
      <c r="H36" s="20" t="n">
        <v>1.54486569</v>
      </c>
      <c r="I36" s="18" t="n">
        <v>0</v>
      </c>
      <c r="J36" s="20" t="n">
        <v>0</v>
      </c>
      <c r="K36" s="18" t="n">
        <v>0.53628393</v>
      </c>
      <c r="L36" s="20" t="n">
        <v>0.23899751</v>
      </c>
      <c r="M36" s="18" t="n">
        <v>0.08017228</v>
      </c>
      <c r="N36" s="20" t="n">
        <v>0.08748999</v>
      </c>
      <c r="O36" s="18" t="n">
        <v>0</v>
      </c>
      <c r="P36" s="20" t="n">
        <v>0</v>
      </c>
      <c r="Q36" s="18" t="n">
        <v>14.74076661</v>
      </c>
      <c r="R36" s="20" t="n">
        <v>1.04064698</v>
      </c>
    </row>
    <row r="37" spans="1:18">
      <c r="A37" s="15" t="s">
        <v>595</v>
      </c>
      <c r="B37" s="17" t="n">
        <v>5458</v>
      </c>
      <c r="C37" s="18">
        <f>(4313.0/B37*100)</f>
        <v/>
      </c>
      <c r="D37" s="19" t="n">
        <v>1145</v>
      </c>
      <c r="E37" s="18" t="n">
        <v>20.81095378</v>
      </c>
      <c r="F37" s="20" t="n">
        <v>1.33009998</v>
      </c>
      <c r="G37" s="18" t="n">
        <v>56.0949759</v>
      </c>
      <c r="H37" s="20" t="n">
        <v>1.75309266</v>
      </c>
      <c r="I37" s="18" t="n">
        <v>0</v>
      </c>
      <c r="J37" s="20" t="n">
        <v>0</v>
      </c>
      <c r="K37" s="18" t="n">
        <v>1.21131668</v>
      </c>
      <c r="L37" s="20" t="n">
        <v>0.40347545</v>
      </c>
      <c r="M37" s="18" t="n">
        <v>0.07322835</v>
      </c>
      <c r="N37" s="20" t="n">
        <v>0.07339656999999999</v>
      </c>
      <c r="O37" s="18" t="n">
        <v>0</v>
      </c>
      <c r="P37" s="20" t="n">
        <v>0</v>
      </c>
      <c r="Q37" s="18" t="n">
        <v>21.80952529</v>
      </c>
      <c r="R37" s="20" t="n">
        <v>1.58416213</v>
      </c>
    </row>
    <row r="38" spans="1:18">
      <c r="A38" s="15" t="s">
        <v>596</v>
      </c>
      <c r="B38" s="17" t="n">
        <v>5860</v>
      </c>
      <c r="C38" s="18">
        <f>(4565.0/B38*100)</f>
        <v/>
      </c>
      <c r="D38" s="19" t="n">
        <v>1295</v>
      </c>
      <c r="E38" s="18" t="n">
        <v>29.93878211</v>
      </c>
      <c r="F38" s="20" t="n">
        <v>1.45113755</v>
      </c>
      <c r="G38" s="18" t="n">
        <v>51.00459505</v>
      </c>
      <c r="H38" s="20" t="n">
        <v>1.74195113</v>
      </c>
      <c r="I38" s="18" t="n">
        <v>0</v>
      </c>
      <c r="J38" s="20" t="n">
        <v>0</v>
      </c>
      <c r="K38" s="18" t="n">
        <v>0.68726056</v>
      </c>
      <c r="L38" s="20" t="n">
        <v>0.27711434</v>
      </c>
      <c r="M38" s="18" t="n">
        <v>1.97969741</v>
      </c>
      <c r="N38" s="20" t="n">
        <v>0.38860786</v>
      </c>
      <c r="O38" s="18" t="n">
        <v>0</v>
      </c>
      <c r="P38" s="20" t="n">
        <v>0</v>
      </c>
      <c r="Q38" s="18" t="n">
        <v>16.38966485</v>
      </c>
      <c r="R38" s="20" t="n">
        <v>1.29638413</v>
      </c>
    </row>
    <row r="39" spans="1:18">
      <c r="A39" s="15" t="s">
        <v>597</v>
      </c>
      <c r="B39" s="17" t="n">
        <v>5895</v>
      </c>
      <c r="C39" s="18">
        <f>(4579.0/B39*100)</f>
        <v/>
      </c>
      <c r="D39" s="19" t="n">
        <v>1316</v>
      </c>
      <c r="E39" s="18" t="n">
        <v>33.24862334</v>
      </c>
      <c r="F39" s="20" t="n">
        <v>1.62716947</v>
      </c>
      <c r="G39" s="18" t="n">
        <v>52.33544876</v>
      </c>
      <c r="H39" s="20" t="n">
        <v>1.85429052</v>
      </c>
      <c r="I39" s="18" t="n">
        <v>0</v>
      </c>
      <c r="J39" s="20" t="n">
        <v>0</v>
      </c>
      <c r="K39" s="18" t="n">
        <v>0.28291972</v>
      </c>
      <c r="L39" s="20" t="n">
        <v>0.14649518</v>
      </c>
      <c r="M39" s="18" t="n">
        <v>0</v>
      </c>
      <c r="N39" s="20" t="n">
        <v>0</v>
      </c>
      <c r="O39" s="18" t="n">
        <v>0</v>
      </c>
      <c r="P39" s="20" t="n">
        <v>0</v>
      </c>
      <c r="Q39" s="18" t="n">
        <v>14.13300818</v>
      </c>
      <c r="R39" s="20" t="n">
        <v>1.22780948</v>
      </c>
    </row>
    <row r="40" spans="1:18">
      <c r="A40" s="15" t="s">
        <v>598</v>
      </c>
      <c r="B40" s="17" t="n">
        <v>14157</v>
      </c>
      <c r="C40" s="18">
        <f>(11163.0/B40*100)</f>
        <v/>
      </c>
      <c r="D40" s="19" t="n">
        <v>2994</v>
      </c>
      <c r="E40" s="18" t="n">
        <v>18.728563</v>
      </c>
      <c r="F40" s="20" t="n">
        <v>1.25793036</v>
      </c>
      <c r="G40" s="18" t="n">
        <v>69.63036518</v>
      </c>
      <c r="H40" s="20" t="n">
        <v>1.45336198</v>
      </c>
      <c r="I40" s="18" t="n">
        <v>0</v>
      </c>
      <c r="J40" s="20" t="n">
        <v>0</v>
      </c>
      <c r="K40" s="18" t="n">
        <v>0.3971703</v>
      </c>
      <c r="L40" s="20" t="n">
        <v>0.21439856</v>
      </c>
      <c r="M40" s="18" t="n">
        <v>0</v>
      </c>
      <c r="N40" s="20" t="n">
        <v>0</v>
      </c>
      <c r="O40" s="18" t="n">
        <v>0</v>
      </c>
      <c r="P40" s="20" t="n">
        <v>0</v>
      </c>
      <c r="Q40" s="18" t="n">
        <v>11.24390153</v>
      </c>
      <c r="R40" s="20" t="n">
        <v>0.93456166</v>
      </c>
    </row>
    <row r="41" spans="1:18">
      <c r="A41" s="15" t="s">
        <v>599</v>
      </c>
      <c r="B41" s="17" t="n">
        <v>5712</v>
      </c>
      <c r="C41" s="18">
        <f>(4451.0/B41*100)</f>
        <v/>
      </c>
      <c r="D41" s="19" t="n">
        <v>1261</v>
      </c>
      <c r="E41" s="18" t="n">
        <v>35.13584368</v>
      </c>
      <c r="F41" s="20" t="n">
        <v>1.39094317</v>
      </c>
      <c r="G41" s="18" t="n">
        <v>59.12390915</v>
      </c>
      <c r="H41" s="20" t="n">
        <v>1.71835164</v>
      </c>
      <c r="I41" s="18" t="n">
        <v>0</v>
      </c>
      <c r="J41" s="20" t="n">
        <v>0</v>
      </c>
      <c r="K41" s="18" t="n">
        <v>0.50296224</v>
      </c>
      <c r="L41" s="20" t="n">
        <v>0.23319034</v>
      </c>
      <c r="M41" s="18" t="n">
        <v>0</v>
      </c>
      <c r="N41" s="20" t="n">
        <v>0</v>
      </c>
      <c r="O41" s="18" t="n">
        <v>0</v>
      </c>
      <c r="P41" s="20" t="n">
        <v>0</v>
      </c>
      <c r="Q41" s="18" t="n">
        <v>5.23728493</v>
      </c>
      <c r="R41" s="20" t="n">
        <v>0.75928143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(19403.0/B46*100)</f>
        <v/>
      </c>
      <c r="D46" s="19" t="n">
        <v>3738</v>
      </c>
      <c r="E46" s="18" t="n">
        <v>40.45815441</v>
      </c>
      <c r="F46" s="20" t="n">
        <v>1.14472145</v>
      </c>
      <c r="G46" s="18" t="n">
        <v>30.19798658</v>
      </c>
      <c r="H46" s="20" t="n">
        <v>1.25086701</v>
      </c>
      <c r="I46" s="18" t="n">
        <v>0</v>
      </c>
      <c r="J46" s="20" t="n">
        <v>0</v>
      </c>
      <c r="K46" s="18" t="n">
        <v>2.2829475</v>
      </c>
      <c r="L46" s="20" t="n">
        <v>0.36238192</v>
      </c>
      <c r="M46" s="18" t="n">
        <v>0.31605388</v>
      </c>
      <c r="N46" s="20" t="n">
        <v>0.09558556999999999</v>
      </c>
      <c r="O46" s="18" t="n">
        <v>0</v>
      </c>
      <c r="P46" s="20" t="n">
        <v>0</v>
      </c>
      <c r="Q46" s="18" t="n">
        <v>26.74485762</v>
      </c>
      <c r="R46" s="20" t="n">
        <v>1.0279849</v>
      </c>
    </row>
    <row r="47" spans="1:18">
      <c r="A47" s="15" t="s">
        <v>606</v>
      </c>
      <c r="B47" s="17" t="n">
        <v>5928</v>
      </c>
      <c r="C47" s="18">
        <f>(4700.0/B47*100)</f>
        <v/>
      </c>
      <c r="D47" s="19" t="n">
        <v>1228</v>
      </c>
      <c r="E47" s="18" t="n">
        <v>44.47403507</v>
      </c>
      <c r="F47" s="20" t="n">
        <v>1.60169805</v>
      </c>
      <c r="G47" s="18" t="n">
        <v>26.40129282</v>
      </c>
      <c r="H47" s="20" t="n">
        <v>1.56241492</v>
      </c>
      <c r="I47" s="18" t="n">
        <v>0</v>
      </c>
      <c r="J47" s="20" t="n">
        <v>0</v>
      </c>
      <c r="K47" s="18" t="n">
        <v>0.56535416</v>
      </c>
      <c r="L47" s="20" t="n">
        <v>0.24964686</v>
      </c>
      <c r="M47" s="18" t="n">
        <v>0.1593892</v>
      </c>
      <c r="N47" s="20" t="n">
        <v>0.11098824</v>
      </c>
      <c r="O47" s="18" t="n">
        <v>0</v>
      </c>
      <c r="P47" s="20" t="n">
        <v>0</v>
      </c>
      <c r="Q47" s="18" t="n">
        <v>28.39992876</v>
      </c>
      <c r="R47" s="20" t="n">
        <v>1.65854926</v>
      </c>
    </row>
    <row r="48" spans="1:18">
      <c r="A48" s="15" t="s">
        <v>607</v>
      </c>
      <c r="B48" s="17" t="n">
        <v>9841</v>
      </c>
      <c r="C48" s="18">
        <f>(7685.0/B48*100)</f>
        <v/>
      </c>
      <c r="D48" s="19" t="n">
        <v>2156</v>
      </c>
      <c r="E48" s="18" t="n">
        <v>18.60829538</v>
      </c>
      <c r="F48" s="20" t="n">
        <v>0.97766972</v>
      </c>
      <c r="G48" s="18" t="n">
        <v>73.26826799</v>
      </c>
      <c r="H48" s="20" t="n">
        <v>1.3931824</v>
      </c>
      <c r="I48" s="18" t="n">
        <v>0</v>
      </c>
      <c r="J48" s="20" t="n">
        <v>0</v>
      </c>
      <c r="K48" s="18" t="n">
        <v>1.06494195</v>
      </c>
      <c r="L48" s="20" t="n">
        <v>0.32568651</v>
      </c>
      <c r="M48" s="18" t="n">
        <v>0</v>
      </c>
      <c r="N48" s="20" t="n">
        <v>0</v>
      </c>
      <c r="O48" s="18" t="n">
        <v>0</v>
      </c>
      <c r="P48" s="20" t="n">
        <v>0</v>
      </c>
      <c r="Q48" s="18" t="n">
        <v>7.05849468</v>
      </c>
      <c r="R48" s="20" t="n">
        <v>0.83517972</v>
      </c>
    </row>
    <row r="49" spans="1:18">
      <c r="A49" s="15" t="s">
        <v>608</v>
      </c>
      <c r="B49" s="17" t="n">
        <v>11795</v>
      </c>
      <c r="C49" s="18">
        <f>(9366.0/B49*100)</f>
        <v/>
      </c>
      <c r="D49" s="19" t="n">
        <v>2429</v>
      </c>
      <c r="E49" s="18" t="n">
        <v>64.13149215</v>
      </c>
      <c r="F49" s="20" t="n">
        <v>1.18300468</v>
      </c>
      <c r="G49" s="18" t="n">
        <v>25.04367422</v>
      </c>
      <c r="H49" s="20" t="n">
        <v>1.13373334</v>
      </c>
      <c r="I49" s="18" t="n">
        <v>0</v>
      </c>
      <c r="J49" s="20" t="n">
        <v>0</v>
      </c>
      <c r="K49" s="18" t="n">
        <v>2.99532606</v>
      </c>
      <c r="L49" s="20" t="n">
        <v>0.61948265</v>
      </c>
      <c r="M49" s="18" t="n">
        <v>0.13278288</v>
      </c>
      <c r="N49" s="20" t="n">
        <v>0.07016057000000001</v>
      </c>
      <c r="O49" s="18" t="n">
        <v>0</v>
      </c>
      <c r="P49" s="20" t="n">
        <v>0</v>
      </c>
      <c r="Q49" s="18" t="n">
        <v>7.69672468</v>
      </c>
      <c r="R49" s="20" t="n">
        <v>0.71933204</v>
      </c>
    </row>
    <row r="50" spans="1:18">
      <c r="A50" s="15" t="s">
        <v>609</v>
      </c>
      <c r="B50" s="17" t="n">
        <v>6866</v>
      </c>
      <c r="C50" s="18">
        <f>(5591.0/B50*100)</f>
        <v/>
      </c>
      <c r="D50" s="19" t="n">
        <v>1275</v>
      </c>
      <c r="E50" s="18" t="n">
        <v>65.05145894</v>
      </c>
      <c r="F50" s="20" t="n">
        <v>1.41062735</v>
      </c>
      <c r="G50" s="18" t="n">
        <v>26.00722187</v>
      </c>
      <c r="H50" s="20" t="n">
        <v>1.52041702</v>
      </c>
      <c r="I50" s="18" t="n">
        <v>0</v>
      </c>
      <c r="J50" s="20" t="n">
        <v>0</v>
      </c>
      <c r="K50" s="18" t="n">
        <v>0.63339712</v>
      </c>
      <c r="L50" s="20" t="n">
        <v>0.25422037</v>
      </c>
      <c r="M50" s="18" t="n">
        <v>0.07530782</v>
      </c>
      <c r="N50" s="20" t="n">
        <v>0.07494372000000001</v>
      </c>
      <c r="O50" s="18" t="n">
        <v>0</v>
      </c>
      <c r="P50" s="20" t="n">
        <v>0</v>
      </c>
      <c r="Q50" s="18" t="n">
        <v>8.23261426</v>
      </c>
      <c r="R50" s="20" t="n">
        <v>0.77880613</v>
      </c>
    </row>
    <row r="51" spans="1:18">
      <c r="A51" s="15" t="s">
        <v>610</v>
      </c>
      <c r="B51" s="17" t="n">
        <v>5809</v>
      </c>
      <c r="C51" s="18">
        <f>(4540.0/B51*100)</f>
        <v/>
      </c>
      <c r="D51" s="19" t="n">
        <v>1269</v>
      </c>
      <c r="E51" s="18" t="n">
        <v>36.94311016</v>
      </c>
      <c r="F51" s="20" t="n">
        <v>1.45724742</v>
      </c>
      <c r="G51" s="18" t="n">
        <v>43.44153638</v>
      </c>
      <c r="H51" s="20" t="n">
        <v>1.62825015</v>
      </c>
      <c r="I51" s="18" t="n">
        <v>0</v>
      </c>
      <c r="J51" s="20" t="n">
        <v>0</v>
      </c>
      <c r="K51" s="18" t="n">
        <v>0.07230234000000001</v>
      </c>
      <c r="L51" s="20" t="n">
        <v>0.0720213</v>
      </c>
      <c r="M51" s="18" t="n">
        <v>0</v>
      </c>
      <c r="N51" s="20" t="n">
        <v>0</v>
      </c>
      <c r="O51" s="18" t="n">
        <v>0</v>
      </c>
      <c r="P51" s="20" t="n">
        <v>0</v>
      </c>
      <c r="Q51" s="18" t="n">
        <v>19.54305112</v>
      </c>
      <c r="R51" s="20" t="n">
        <v>1.1077351</v>
      </c>
    </row>
    <row r="52" spans="1:18">
      <c r="A52" s="15" t="s">
        <v>611</v>
      </c>
      <c r="B52" s="17" t="n">
        <v>5571</v>
      </c>
      <c r="C52" s="18">
        <f>(4341.0/B52*100)</f>
        <v/>
      </c>
      <c r="D52" s="19" t="n">
        <v>1230</v>
      </c>
      <c r="E52" s="18" t="n">
        <v>33.82874889</v>
      </c>
      <c r="F52" s="20" t="n">
        <v>1.47507329</v>
      </c>
      <c r="G52" s="18" t="n">
        <v>41.4048857</v>
      </c>
      <c r="H52" s="20" t="n">
        <v>1.40893371</v>
      </c>
      <c r="I52" s="18" t="n">
        <v>0</v>
      </c>
      <c r="J52" s="20" t="n">
        <v>0</v>
      </c>
      <c r="K52" s="18" t="n">
        <v>0.48950394</v>
      </c>
      <c r="L52" s="20" t="n">
        <v>0.18843499</v>
      </c>
      <c r="M52" s="18" t="n">
        <v>0</v>
      </c>
      <c r="N52" s="20" t="n">
        <v>0</v>
      </c>
      <c r="O52" s="18" t="n">
        <v>0</v>
      </c>
      <c r="P52" s="20" t="n">
        <v>0</v>
      </c>
      <c r="Q52" s="18" t="n">
        <v>24.27686147</v>
      </c>
      <c r="R52" s="20" t="n">
        <v>1.16795507</v>
      </c>
    </row>
    <row r="53" spans="1:18">
      <c r="A53" s="15" t="s">
        <v>612</v>
      </c>
      <c r="B53" s="17" t="n">
        <v>4740</v>
      </c>
      <c r="C53" s="18">
        <f>(3709.0/B53*100)</f>
        <v/>
      </c>
      <c r="D53" s="19" t="n">
        <v>1031</v>
      </c>
      <c r="E53" s="18" t="n">
        <v>50.48581436</v>
      </c>
      <c r="F53" s="20" t="n">
        <v>1.9853202</v>
      </c>
      <c r="G53" s="18" t="n">
        <v>10.65499702</v>
      </c>
      <c r="H53" s="20" t="n">
        <v>1.1387591</v>
      </c>
      <c r="I53" s="18" t="n">
        <v>0</v>
      </c>
      <c r="J53" s="20" t="n">
        <v>0</v>
      </c>
      <c r="K53" s="18" t="n">
        <v>17.1169037</v>
      </c>
      <c r="L53" s="20" t="n">
        <v>1.31169282</v>
      </c>
      <c r="M53" s="18" t="n">
        <v>0.69055259</v>
      </c>
      <c r="N53" s="20" t="n">
        <v>0.5703886</v>
      </c>
      <c r="O53" s="18" t="n">
        <v>0</v>
      </c>
      <c r="P53" s="20" t="n">
        <v>0</v>
      </c>
      <c r="Q53" s="18" t="n">
        <v>21.05173232</v>
      </c>
      <c r="R53" s="20" t="n">
        <v>1.39584815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(4127.0/B55*100)</f>
        <v/>
      </c>
      <c r="D55" s="19" t="n">
        <v>1232</v>
      </c>
      <c r="E55" s="18" t="n">
        <v>12.56807329</v>
      </c>
      <c r="F55" s="20" t="n">
        <v>0.90817739</v>
      </c>
      <c r="G55" s="18" t="n">
        <v>82.44715303</v>
      </c>
      <c r="H55" s="20" t="n">
        <v>1.13588816</v>
      </c>
      <c r="I55" s="18" t="n">
        <v>0</v>
      </c>
      <c r="J55" s="20" t="n">
        <v>0</v>
      </c>
      <c r="K55" s="18" t="n">
        <v>0.22838117</v>
      </c>
      <c r="L55" s="20" t="n">
        <v>0.1327019</v>
      </c>
      <c r="M55" s="18" t="n">
        <v>0.10105056</v>
      </c>
      <c r="N55" s="20" t="n">
        <v>0.11158</v>
      </c>
      <c r="O55" s="18" t="n">
        <v>0</v>
      </c>
      <c r="P55" s="20" t="n">
        <v>0</v>
      </c>
      <c r="Q55" s="18" t="n">
        <v>4.65534195</v>
      </c>
      <c r="R55" s="20" t="n">
        <v>0.72915883</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(5076.0/B61*100)</f>
        <v/>
      </c>
      <c r="D61" s="19" t="n">
        <v>1449</v>
      </c>
      <c r="E61" s="18" t="n">
        <v>41.57698781</v>
      </c>
      <c r="F61" s="20" t="n">
        <v>1.6184629</v>
      </c>
      <c r="G61" s="18" t="n">
        <v>43.80921679</v>
      </c>
      <c r="H61" s="20" t="n">
        <v>1.75357612</v>
      </c>
      <c r="I61" s="18" t="n">
        <v>0</v>
      </c>
      <c r="J61" s="20" t="n">
        <v>0</v>
      </c>
      <c r="K61" s="18" t="n">
        <v>0.49878315</v>
      </c>
      <c r="L61" s="20" t="n">
        <v>0.20069551</v>
      </c>
      <c r="M61" s="18" t="n">
        <v>0</v>
      </c>
      <c r="N61" s="20" t="n">
        <v>0</v>
      </c>
      <c r="O61" s="18" t="n">
        <v>0</v>
      </c>
      <c r="P61" s="20" t="n">
        <v>0</v>
      </c>
      <c r="Q61" s="18" t="n">
        <v>14.11501225</v>
      </c>
      <c r="R61" s="20" t="n">
        <v>1.14965137</v>
      </c>
    </row>
    <row r="62" spans="1:18">
      <c r="A62" s="15" t="s">
        <v>622</v>
      </c>
      <c r="B62" s="17" t="n">
        <v>4476</v>
      </c>
      <c r="C62" s="18">
        <f>(3496.0/B62*100)</f>
        <v/>
      </c>
      <c r="D62" s="19" t="n">
        <v>980</v>
      </c>
      <c r="E62" s="18" t="n">
        <v>20.9637924</v>
      </c>
      <c r="F62" s="20" t="n">
        <v>1.34005109</v>
      </c>
      <c r="G62" s="18" t="n">
        <v>75.86246755000001</v>
      </c>
      <c r="H62" s="20" t="n">
        <v>1.4155926</v>
      </c>
      <c r="I62" s="18" t="n">
        <v>0</v>
      </c>
      <c r="J62" s="20" t="n">
        <v>0</v>
      </c>
      <c r="K62" s="18" t="n">
        <v>0</v>
      </c>
      <c r="L62" s="20" t="n">
        <v>0</v>
      </c>
      <c r="M62" s="18" t="n">
        <v>0</v>
      </c>
      <c r="N62" s="20" t="n">
        <v>0</v>
      </c>
      <c r="O62" s="18" t="n">
        <v>0</v>
      </c>
      <c r="P62" s="20" t="n">
        <v>0</v>
      </c>
      <c r="Q62" s="18" t="n">
        <v>3.17374005</v>
      </c>
      <c r="R62" s="20" t="n">
        <v>0.5604808999999999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(4463.0/B67*100)</f>
        <v/>
      </c>
      <c r="D67" s="19" t="n">
        <v>1202</v>
      </c>
      <c r="E67" s="18" t="n">
        <v>28.3021137</v>
      </c>
      <c r="F67" s="20" t="n">
        <v>1.29930587</v>
      </c>
      <c r="G67" s="18" t="n">
        <v>27.56200347</v>
      </c>
      <c r="H67" s="20" t="n">
        <v>1.36836218</v>
      </c>
      <c r="I67" s="18" t="n">
        <v>0</v>
      </c>
      <c r="J67" s="20" t="n">
        <v>0</v>
      </c>
      <c r="K67" s="18" t="n">
        <v>1.1827492</v>
      </c>
      <c r="L67" s="20" t="n">
        <v>0.27845307</v>
      </c>
      <c r="M67" s="18" t="n">
        <v>0.36363119</v>
      </c>
      <c r="N67" s="20" t="n">
        <v>0.16229246</v>
      </c>
      <c r="O67" s="18" t="n">
        <v>0</v>
      </c>
      <c r="P67" s="20" t="n">
        <v>0</v>
      </c>
      <c r="Q67" s="18" t="n">
        <v>42.58950243</v>
      </c>
      <c r="R67" s="20" t="n">
        <v>1.31753073</v>
      </c>
    </row>
    <row r="68" spans="1:18">
      <c r="A68" s="15" t="s">
        <v>628</v>
      </c>
      <c r="B68" s="17" t="n">
        <v>6971</v>
      </c>
      <c r="C68" s="18">
        <f>(5712.0/B68*100)</f>
        <v/>
      </c>
      <c r="D68" s="19" t="n">
        <v>1259</v>
      </c>
      <c r="E68" s="18" t="n">
        <v>62.78388016</v>
      </c>
      <c r="F68" s="20" t="n">
        <v>1.57700623</v>
      </c>
      <c r="G68" s="18" t="n">
        <v>26.0504911</v>
      </c>
      <c r="H68" s="20" t="n">
        <v>1.45683914</v>
      </c>
      <c r="I68" s="18" t="n">
        <v>0</v>
      </c>
      <c r="J68" s="20" t="n">
        <v>0</v>
      </c>
      <c r="K68" s="18" t="n">
        <v>0.50190747</v>
      </c>
      <c r="L68" s="20" t="n">
        <v>0.2326734</v>
      </c>
      <c r="M68" s="18" t="n">
        <v>0</v>
      </c>
      <c r="N68" s="20" t="n">
        <v>0</v>
      </c>
      <c r="O68" s="18" t="n">
        <v>0</v>
      </c>
      <c r="P68" s="20" t="n">
        <v>0</v>
      </c>
      <c r="Q68" s="18" t="n">
        <v>10.66372126</v>
      </c>
      <c r="R68" s="20" t="n">
        <v>0.88394523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(9369.0/B70*100)</f>
        <v/>
      </c>
      <c r="D70" s="19" t="n">
        <v>2714</v>
      </c>
      <c r="E70" s="18" t="n">
        <v>36.13919926</v>
      </c>
      <c r="F70" s="20" t="n">
        <v>0.92183427</v>
      </c>
      <c r="G70" s="18" t="n">
        <v>43.34699725</v>
      </c>
      <c r="H70" s="20" t="n">
        <v>0.96766432</v>
      </c>
      <c r="I70" s="18" t="n">
        <v>0</v>
      </c>
      <c r="J70" s="20" t="n">
        <v>0</v>
      </c>
      <c r="K70" s="18" t="n">
        <v>3.34485685</v>
      </c>
      <c r="L70" s="20" t="n">
        <v>0.36110828</v>
      </c>
      <c r="M70" s="18" t="n">
        <v>0.03494228</v>
      </c>
      <c r="N70" s="20" t="n">
        <v>0.0348884</v>
      </c>
      <c r="O70" s="18" t="n">
        <v>0</v>
      </c>
      <c r="P70" s="20" t="n">
        <v>0</v>
      </c>
      <c r="Q70" s="18" t="n">
        <v>17.13400435</v>
      </c>
      <c r="R70" s="20" t="n">
        <v>0.68504993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(4850.0/B72*100)</f>
        <v/>
      </c>
      <c r="D72" s="19" t="n">
        <v>1186</v>
      </c>
      <c r="E72" s="18" t="n">
        <v>30.36389622</v>
      </c>
      <c r="F72" s="20" t="n">
        <v>1.67428103</v>
      </c>
      <c r="G72" s="18" t="n">
        <v>57.43154397</v>
      </c>
      <c r="H72" s="20" t="n">
        <v>1.94412422</v>
      </c>
      <c r="I72" s="18" t="n">
        <v>0</v>
      </c>
      <c r="J72" s="20" t="n">
        <v>0</v>
      </c>
      <c r="K72" s="18" t="n">
        <v>0.69107787</v>
      </c>
      <c r="L72" s="20" t="n">
        <v>0.25616364</v>
      </c>
      <c r="M72" s="18" t="n">
        <v>0</v>
      </c>
      <c r="N72" s="20" t="n">
        <v>0</v>
      </c>
      <c r="O72" s="18" t="n">
        <v>0</v>
      </c>
      <c r="P72" s="20" t="n">
        <v>0</v>
      </c>
      <c r="Q72" s="18" t="n">
        <v>11.51348194</v>
      </c>
      <c r="R72" s="20" t="n">
        <v>1.21170196</v>
      </c>
    </row>
    <row r="73" spans="1:18">
      <c r="A73" s="15" t="s">
        <v>633</v>
      </c>
      <c r="B73" s="17" t="n">
        <v>6115</v>
      </c>
      <c r="C73" s="18">
        <f>(4786.0/B73*100)</f>
        <v/>
      </c>
      <c r="D73" s="19" t="n">
        <v>1329</v>
      </c>
      <c r="E73" s="18" t="n">
        <v>12.99853128</v>
      </c>
      <c r="F73" s="20" t="n">
        <v>0.88276456</v>
      </c>
      <c r="G73" s="18" t="n">
        <v>83.25252865</v>
      </c>
      <c r="H73" s="20" t="n">
        <v>0.93233193</v>
      </c>
      <c r="I73" s="18" t="n">
        <v>0</v>
      </c>
      <c r="J73" s="20" t="n">
        <v>0</v>
      </c>
      <c r="K73" s="18" t="n">
        <v>0.24864295</v>
      </c>
      <c r="L73" s="20" t="n">
        <v>0.14341637</v>
      </c>
      <c r="M73" s="18" t="n">
        <v>0</v>
      </c>
      <c r="N73" s="20" t="n">
        <v>0</v>
      </c>
      <c r="O73" s="18" t="n">
        <v>0</v>
      </c>
      <c r="P73" s="20" t="n">
        <v>0</v>
      </c>
      <c r="Q73" s="18" t="n">
        <v>3.50029712</v>
      </c>
      <c r="R73" s="20" t="n">
        <v>0.5109003600000001</v>
      </c>
    </row>
    <row r="74" spans="1:18">
      <c r="A74" s="15" t="s">
        <v>634</v>
      </c>
      <c r="B74" s="17" t="n">
        <v>7708</v>
      </c>
      <c r="C74" s="18">
        <f>(5968.0/B74*100)</f>
        <v/>
      </c>
      <c r="D74" s="19" t="n">
        <v>1740</v>
      </c>
      <c r="E74" s="18" t="n">
        <v>19.26220505</v>
      </c>
      <c r="F74" s="20" t="n">
        <v>1.17792982</v>
      </c>
      <c r="G74" s="18" t="n">
        <v>73.64222542</v>
      </c>
      <c r="H74" s="20" t="n">
        <v>1.34278678</v>
      </c>
      <c r="I74" s="18" t="n">
        <v>0</v>
      </c>
      <c r="J74" s="20" t="n">
        <v>0</v>
      </c>
      <c r="K74" s="18" t="n">
        <v>0.1642899</v>
      </c>
      <c r="L74" s="20" t="n">
        <v>0.09803492</v>
      </c>
      <c r="M74" s="18" t="n">
        <v>0</v>
      </c>
      <c r="N74" s="20" t="n">
        <v>0</v>
      </c>
      <c r="O74" s="18" t="n">
        <v>0</v>
      </c>
      <c r="P74" s="20" t="n">
        <v>0</v>
      </c>
      <c r="Q74" s="18" t="n">
        <v>6.93127964</v>
      </c>
      <c r="R74" s="20" t="n">
        <v>0.65947416</v>
      </c>
    </row>
    <row r="75" spans="1:18">
      <c r="A75" s="15" t="s">
        <v>635</v>
      </c>
      <c r="B75" s="17" t="n">
        <v>8249</v>
      </c>
      <c r="C75" s="18">
        <f>(6561.0/B75*100)</f>
        <v/>
      </c>
      <c r="D75" s="19" t="n">
        <v>1688</v>
      </c>
      <c r="E75" s="18" t="n">
        <v>61.08284213</v>
      </c>
      <c r="F75" s="20" t="n">
        <v>1.53142559</v>
      </c>
      <c r="G75" s="18" t="n">
        <v>35.1818946</v>
      </c>
      <c r="H75" s="20" t="n">
        <v>1.57729621</v>
      </c>
      <c r="I75" s="18" t="n">
        <v>0</v>
      </c>
      <c r="J75" s="20" t="n">
        <v>0</v>
      </c>
      <c r="K75" s="18" t="n">
        <v>0.03043042</v>
      </c>
      <c r="L75" s="20" t="n">
        <v>0.03050021</v>
      </c>
      <c r="M75" s="18" t="n">
        <v>0.2608725</v>
      </c>
      <c r="N75" s="20" t="n">
        <v>0.1462025</v>
      </c>
      <c r="O75" s="18" t="n">
        <v>0</v>
      </c>
      <c r="P75" s="20" t="n">
        <v>0</v>
      </c>
      <c r="Q75" s="18" t="n">
        <v>3.44396036</v>
      </c>
      <c r="R75" s="20" t="n">
        <v>0.46656229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(4372.0/B77*100)</f>
        <v/>
      </c>
      <c r="D77" s="19" t="n">
        <v>1003</v>
      </c>
      <c r="E77" s="18" t="n">
        <v>38.9178765</v>
      </c>
      <c r="F77" s="20" t="n">
        <v>1.75015093</v>
      </c>
      <c r="G77" s="18" t="n">
        <v>24.92548137</v>
      </c>
      <c r="H77" s="20" t="n">
        <v>1.69386608</v>
      </c>
      <c r="I77" s="18" t="n">
        <v>0</v>
      </c>
      <c r="J77" s="20" t="n">
        <v>0</v>
      </c>
      <c r="K77" s="18" t="n">
        <v>4.62056877</v>
      </c>
      <c r="L77" s="20" t="n">
        <v>0.8424982600000001</v>
      </c>
      <c r="M77" s="18" t="n">
        <v>0.75020265</v>
      </c>
      <c r="N77" s="20" t="n">
        <v>0.31665964</v>
      </c>
      <c r="O77" s="18" t="n">
        <v>0</v>
      </c>
      <c r="P77" s="20" t="n">
        <v>0</v>
      </c>
      <c r="Q77" s="18" t="n">
        <v>30.78587071</v>
      </c>
      <c r="R77" s="20" t="n">
        <v>1.911871</v>
      </c>
    </row>
    <row r="78" spans="1:18">
      <c r="A78" s="15" t="s">
        <v>638</v>
      </c>
      <c r="B78" s="17" t="n">
        <v>14167</v>
      </c>
      <c r="C78" s="18">
        <f>(11127.0/B78*100)</f>
        <v/>
      </c>
      <c r="D78" s="19" t="n">
        <v>3040</v>
      </c>
      <c r="E78" s="18" t="n">
        <v>42.84831022</v>
      </c>
      <c r="F78" s="20" t="n">
        <v>1.08474942</v>
      </c>
      <c r="G78" s="18" t="n">
        <v>44.22819999</v>
      </c>
      <c r="H78" s="20" t="n">
        <v>1.22028229</v>
      </c>
      <c r="I78" s="18" t="n">
        <v>0</v>
      </c>
      <c r="J78" s="20" t="n">
        <v>0</v>
      </c>
      <c r="K78" s="18" t="n">
        <v>1.81665338</v>
      </c>
      <c r="L78" s="20" t="n">
        <v>0.32814209</v>
      </c>
      <c r="M78" s="18" t="n">
        <v>0.08312857</v>
      </c>
      <c r="N78" s="20" t="n">
        <v>0.05321954</v>
      </c>
      <c r="O78" s="18" t="n">
        <v>0</v>
      </c>
      <c r="P78" s="20" t="n">
        <v>0</v>
      </c>
      <c r="Q78" s="18" t="n">
        <v>11.02370784</v>
      </c>
      <c r="R78" s="20" t="n">
        <v>0.68936856</v>
      </c>
    </row>
    <row r="79" spans="1:18">
      <c r="A79" s="15" t="s">
        <v>639</v>
      </c>
      <c r="B79" s="17" t="n">
        <v>6062</v>
      </c>
      <c r="C79" s="18">
        <f>(4798.0/B79*100)</f>
        <v/>
      </c>
      <c r="D79" s="19" t="n">
        <v>1264</v>
      </c>
      <c r="E79" s="18" t="n">
        <v>34.37995819</v>
      </c>
      <c r="F79" s="20" t="n">
        <v>1.29604379</v>
      </c>
      <c r="G79" s="18" t="n">
        <v>30.27455277</v>
      </c>
      <c r="H79" s="20" t="n">
        <v>1.30446388</v>
      </c>
      <c r="I79" s="18" t="n">
        <v>0</v>
      </c>
      <c r="J79" s="20" t="n">
        <v>0</v>
      </c>
      <c r="K79" s="18" t="n">
        <v>1.85669223</v>
      </c>
      <c r="L79" s="20" t="n">
        <v>0.41092452</v>
      </c>
      <c r="M79" s="18" t="n">
        <v>0.06409561</v>
      </c>
      <c r="N79" s="20" t="n">
        <v>0.07099374999999999</v>
      </c>
      <c r="O79" s="18" t="n">
        <v>0</v>
      </c>
      <c r="P79" s="20" t="n">
        <v>0</v>
      </c>
      <c r="Q79" s="18" t="n">
        <v>33.4247012</v>
      </c>
      <c r="R79" s="20" t="n">
        <v>1.53987655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(25347.0/B82*100)</f>
        <v/>
      </c>
      <c r="D82" s="19" t="n">
        <v>6983</v>
      </c>
      <c r="E82" s="18" t="n">
        <v>33.6426951</v>
      </c>
      <c r="F82" s="20" t="n">
        <v>0.84541723</v>
      </c>
      <c r="G82" s="18" t="n">
        <v>52.02898685</v>
      </c>
      <c r="H82" s="20" t="n">
        <v>0.86923549</v>
      </c>
      <c r="I82" s="18" t="n">
        <v>0</v>
      </c>
      <c r="J82" s="20" t="n">
        <v>0</v>
      </c>
      <c r="K82" s="18" t="n">
        <v>0.4138938</v>
      </c>
      <c r="L82" s="20" t="n">
        <v>0.11738845</v>
      </c>
      <c r="M82" s="18" t="n">
        <v>0.06835023</v>
      </c>
      <c r="N82" s="20" t="n">
        <v>0.07388209</v>
      </c>
      <c r="O82" s="18" t="n">
        <v>0</v>
      </c>
      <c r="P82" s="20" t="n">
        <v>0</v>
      </c>
      <c r="Q82" s="18" t="n">
        <v>13.84607402</v>
      </c>
      <c r="R82" s="20" t="n">
        <v>0.56549976</v>
      </c>
    </row>
    <row r="83" spans="1:18">
      <c r="A83" s="15" t="s">
        <v>643</v>
      </c>
      <c r="B83" s="17" t="n">
        <v>1652</v>
      </c>
      <c r="C83" s="18">
        <f>(1294.0/B83*100)</f>
        <v/>
      </c>
      <c r="D83" s="19" t="n">
        <v>358</v>
      </c>
      <c r="E83" s="18" t="n">
        <v>24.34380374</v>
      </c>
      <c r="F83" s="20" t="n">
        <v>2.03791364</v>
      </c>
      <c r="G83" s="18" t="n">
        <v>72.32167708999999</v>
      </c>
      <c r="H83" s="20" t="n">
        <v>2.09584006</v>
      </c>
      <c r="I83" s="18" t="n">
        <v>0</v>
      </c>
      <c r="J83" s="20" t="n">
        <v>0</v>
      </c>
      <c r="K83" s="18" t="n">
        <v>0.95017763</v>
      </c>
      <c r="L83" s="20" t="n">
        <v>0.27288953</v>
      </c>
      <c r="M83" s="18" t="n">
        <v>0</v>
      </c>
      <c r="N83" s="20" t="n">
        <v>0</v>
      </c>
      <c r="O83" s="18" t="n">
        <v>0</v>
      </c>
      <c r="P83" s="20" t="n">
        <v>0</v>
      </c>
      <c r="Q83" s="18" t="n">
        <v>2.38434154</v>
      </c>
      <c r="R83" s="20" t="n">
        <v>0.7956597</v>
      </c>
    </row>
    <row r="84" spans="1:18">
      <c r="A84" s="23" t="s">
        <v>644</v>
      </c>
      <c r="B84" s="24" t="n">
        <v>1887</v>
      </c>
      <c r="C84" s="25">
        <f>(1495.0/B84*100)</f>
        <v/>
      </c>
      <c r="D84" s="19" t="n">
        <v>392</v>
      </c>
      <c r="E84" s="18" t="n">
        <v>30.52660069</v>
      </c>
      <c r="F84" s="20" t="n">
        <v>2.4669885</v>
      </c>
      <c r="G84" s="18" t="n">
        <v>65.38268309999999</v>
      </c>
      <c r="H84" s="20" t="n">
        <v>2.61470301</v>
      </c>
      <c r="I84" s="18" t="n">
        <v>0</v>
      </c>
      <c r="J84" s="20" t="n">
        <v>0</v>
      </c>
      <c r="K84" s="18" t="n">
        <v>0</v>
      </c>
      <c r="L84" s="20" t="n">
        <v>0</v>
      </c>
      <c r="M84" s="18" t="n">
        <v>0</v>
      </c>
      <c r="N84" s="20" t="n">
        <v>0</v>
      </c>
      <c r="O84" s="18" t="n">
        <v>0</v>
      </c>
      <c r="P84" s="20" t="n">
        <v>0</v>
      </c>
      <c r="Q84" s="18" t="n">
        <v>4.09071621</v>
      </c>
      <c r="R84" s="20" t="n">
        <v>1.05849972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(11399.0/B7*100)</f>
        <v/>
      </c>
      <c r="D7" s="19" t="n">
        <v>3131</v>
      </c>
      <c r="E7" s="18" t="n">
        <v>64.7911533</v>
      </c>
      <c r="F7" s="20" t="n">
        <v>1.01047397</v>
      </c>
      <c r="G7" s="18" t="n">
        <v>24.78695645</v>
      </c>
      <c r="H7" s="20" t="n">
        <v>0.89344044</v>
      </c>
      <c r="I7" s="18" t="n">
        <v>0</v>
      </c>
      <c r="J7" s="20" t="n">
        <v>0</v>
      </c>
      <c r="K7" s="18" t="n">
        <v>0.38231756</v>
      </c>
      <c r="L7" s="20" t="n">
        <v>0.11122326</v>
      </c>
      <c r="M7" s="18" t="n">
        <v>0.09173597</v>
      </c>
      <c r="N7" s="20" t="n">
        <v>0.05516235</v>
      </c>
      <c r="O7" s="18" t="n">
        <v>0</v>
      </c>
      <c r="P7" s="20" t="n">
        <v>0</v>
      </c>
      <c r="Q7" s="18" t="n">
        <v>9.94783672</v>
      </c>
      <c r="R7" s="20" t="n">
        <v>0.664839</v>
      </c>
    </row>
    <row r="8" spans="1:18">
      <c r="A8" s="15" t="s">
        <v>566</v>
      </c>
      <c r="B8" s="17" t="n">
        <v>7007</v>
      </c>
      <c r="C8" s="18">
        <f>(5508.0/B8*100)</f>
        <v/>
      </c>
      <c r="D8" s="19" t="n">
        <v>1499</v>
      </c>
      <c r="E8" s="18" t="n">
        <v>59.68854195</v>
      </c>
      <c r="F8" s="20" t="n">
        <v>1.83165732</v>
      </c>
      <c r="G8" s="18" t="n">
        <v>22.88964163</v>
      </c>
      <c r="H8" s="20" t="n">
        <v>1.26997719</v>
      </c>
      <c r="I8" s="18" t="n">
        <v>0</v>
      </c>
      <c r="J8" s="20" t="n">
        <v>0</v>
      </c>
      <c r="K8" s="18" t="n">
        <v>0.28276394</v>
      </c>
      <c r="L8" s="20" t="n">
        <v>0.13826373</v>
      </c>
      <c r="M8" s="18" t="n">
        <v>0</v>
      </c>
      <c r="N8" s="20" t="n">
        <v>0</v>
      </c>
      <c r="O8" s="18" t="n">
        <v>0</v>
      </c>
      <c r="P8" s="20" t="n">
        <v>0</v>
      </c>
      <c r="Q8" s="18" t="n">
        <v>17.13905247</v>
      </c>
      <c r="R8" s="20" t="n">
        <v>1.34793358</v>
      </c>
    </row>
    <row r="9" spans="1:18">
      <c r="A9" s="15" t="s">
        <v>567</v>
      </c>
      <c r="B9" s="17" t="n">
        <v>9651</v>
      </c>
      <c r="C9" s="18">
        <f>(7628.0/B9*100)</f>
        <v/>
      </c>
      <c r="D9" s="19" t="n">
        <v>2023</v>
      </c>
      <c r="E9" s="18" t="n">
        <v>62.69227866</v>
      </c>
      <c r="F9" s="20" t="n">
        <v>1.30975004</v>
      </c>
      <c r="G9" s="18" t="n">
        <v>25.11501986</v>
      </c>
      <c r="H9" s="20" t="n">
        <v>1.20512263</v>
      </c>
      <c r="I9" s="18" t="n">
        <v>0</v>
      </c>
      <c r="J9" s="20" t="n">
        <v>0</v>
      </c>
      <c r="K9" s="18" t="n">
        <v>0.8843104000000001</v>
      </c>
      <c r="L9" s="20" t="n">
        <v>0.22949165</v>
      </c>
      <c r="M9" s="18" t="n">
        <v>0.46256712</v>
      </c>
      <c r="N9" s="20" t="n">
        <v>0.16145193</v>
      </c>
      <c r="O9" s="18" t="n">
        <v>0</v>
      </c>
      <c r="P9" s="20" t="n">
        <v>0</v>
      </c>
      <c r="Q9" s="18" t="n">
        <v>10.84582396</v>
      </c>
      <c r="R9" s="20" t="n">
        <v>0.675972</v>
      </c>
    </row>
    <row r="10" spans="1:18">
      <c r="A10" s="15" t="s">
        <v>568</v>
      </c>
      <c r="B10" s="17" t="n">
        <v>20058</v>
      </c>
      <c r="C10" s="18">
        <f>(15675.0/B10*100)</f>
        <v/>
      </c>
      <c r="D10" s="19" t="n">
        <v>4383</v>
      </c>
      <c r="E10" s="18" t="n">
        <v>63.94855953</v>
      </c>
      <c r="F10" s="20" t="n">
        <v>1.1653376</v>
      </c>
      <c r="G10" s="18" t="n">
        <v>30.26676099</v>
      </c>
      <c r="H10" s="20" t="n">
        <v>0.99713603</v>
      </c>
      <c r="I10" s="18" t="n">
        <v>0</v>
      </c>
      <c r="J10" s="20" t="n">
        <v>0</v>
      </c>
      <c r="K10" s="18" t="n">
        <v>0.76748961</v>
      </c>
      <c r="L10" s="20" t="n">
        <v>0.22139409</v>
      </c>
      <c r="M10" s="18" t="n">
        <v>0.00186252</v>
      </c>
      <c r="N10" s="20" t="n">
        <v>0.00190896</v>
      </c>
      <c r="O10" s="18" t="n">
        <v>0</v>
      </c>
      <c r="P10" s="20" t="n">
        <v>0</v>
      </c>
      <c r="Q10" s="18" t="n">
        <v>5.01532736</v>
      </c>
      <c r="R10" s="20" t="n">
        <v>0.49218944</v>
      </c>
    </row>
    <row r="11" spans="1:18">
      <c r="A11" s="15" t="s">
        <v>569</v>
      </c>
      <c r="B11" s="17" t="n">
        <v>7053</v>
      </c>
      <c r="C11" s="18">
        <f>(5612.0/B11*100)</f>
        <v/>
      </c>
      <c r="D11" s="19" t="n">
        <v>1441</v>
      </c>
      <c r="E11" s="18" t="n">
        <v>76.83853506</v>
      </c>
      <c r="F11" s="20" t="n">
        <v>1.34783468</v>
      </c>
      <c r="G11" s="18" t="n">
        <v>5.72934072</v>
      </c>
      <c r="H11" s="20" t="n">
        <v>0.66553458</v>
      </c>
      <c r="I11" s="18" t="n">
        <v>0</v>
      </c>
      <c r="J11" s="20" t="n">
        <v>0</v>
      </c>
      <c r="K11" s="18" t="n">
        <v>2.15166027</v>
      </c>
      <c r="L11" s="20" t="n">
        <v>0.55742002</v>
      </c>
      <c r="M11" s="18" t="n">
        <v>0.02999562</v>
      </c>
      <c r="N11" s="20" t="n">
        <v>0.03276607</v>
      </c>
      <c r="O11" s="18" t="n">
        <v>0</v>
      </c>
      <c r="P11" s="20" t="n">
        <v>0</v>
      </c>
      <c r="Q11" s="18" t="n">
        <v>15.25046833</v>
      </c>
      <c r="R11" s="20" t="n">
        <v>1.15802183</v>
      </c>
    </row>
    <row r="12" spans="1:18">
      <c r="A12" s="15" t="s">
        <v>570</v>
      </c>
      <c r="B12" s="17" t="n">
        <v>6894</v>
      </c>
      <c r="C12" s="18">
        <f>(5389.0/B12*100)</f>
        <v/>
      </c>
      <c r="D12" s="19" t="n">
        <v>1505</v>
      </c>
      <c r="E12" s="18" t="n">
        <v>62.20945328</v>
      </c>
      <c r="F12" s="20" t="n">
        <v>1.56912915</v>
      </c>
      <c r="G12" s="18" t="n">
        <v>15.56524922</v>
      </c>
      <c r="H12" s="20" t="n">
        <v>1.09555281</v>
      </c>
      <c r="I12" s="18" t="n">
        <v>0</v>
      </c>
      <c r="J12" s="20" t="n">
        <v>0</v>
      </c>
      <c r="K12" s="18" t="n">
        <v>0.36070549</v>
      </c>
      <c r="L12" s="20" t="n">
        <v>0.18395854</v>
      </c>
      <c r="M12" s="18" t="n">
        <v>0.06432675</v>
      </c>
      <c r="N12" s="20" t="n">
        <v>0.05788382</v>
      </c>
      <c r="O12" s="18" t="n">
        <v>0</v>
      </c>
      <c r="P12" s="20" t="n">
        <v>0</v>
      </c>
      <c r="Q12" s="18" t="n">
        <v>21.80026526</v>
      </c>
      <c r="R12" s="20" t="n">
        <v>1.27795413</v>
      </c>
    </row>
    <row r="13" spans="1:18">
      <c r="A13" s="15" t="s">
        <v>571</v>
      </c>
      <c r="B13" s="17" t="n">
        <v>7161</v>
      </c>
      <c r="C13" s="18">
        <f>(5641.0/B13*100)</f>
        <v/>
      </c>
      <c r="D13" s="19" t="n">
        <v>1520</v>
      </c>
      <c r="E13" s="18" t="n">
        <v>44.51048874</v>
      </c>
      <c r="F13" s="20" t="n">
        <v>1.64600867</v>
      </c>
      <c r="G13" s="18" t="n">
        <v>43.69505054</v>
      </c>
      <c r="H13" s="20" t="n">
        <v>1.71405168</v>
      </c>
      <c r="I13" s="18" t="n">
        <v>0</v>
      </c>
      <c r="J13" s="20" t="n">
        <v>0</v>
      </c>
      <c r="K13" s="18" t="n">
        <v>0.46488592</v>
      </c>
      <c r="L13" s="20" t="n">
        <v>0.17044519</v>
      </c>
      <c r="M13" s="18" t="n">
        <v>0.01870437</v>
      </c>
      <c r="N13" s="20" t="n">
        <v>0.02008307</v>
      </c>
      <c r="O13" s="18" t="n">
        <v>0</v>
      </c>
      <c r="P13" s="20" t="n">
        <v>0</v>
      </c>
      <c r="Q13" s="18" t="n">
        <v>11.31087043</v>
      </c>
      <c r="R13" s="20" t="n">
        <v>1.08914898</v>
      </c>
    </row>
    <row r="14" spans="1:18">
      <c r="A14" s="15" t="s">
        <v>572</v>
      </c>
      <c r="B14" s="17" t="n">
        <v>5587</v>
      </c>
      <c r="C14" s="18">
        <f>(4407.0/B14*100)</f>
        <v/>
      </c>
      <c r="D14" s="19" t="n">
        <v>1180</v>
      </c>
      <c r="E14" s="18" t="n">
        <v>72.14308083</v>
      </c>
      <c r="F14" s="20" t="n">
        <v>1.42156789</v>
      </c>
      <c r="G14" s="18" t="n">
        <v>17.81838347</v>
      </c>
      <c r="H14" s="20" t="n">
        <v>1.33086006</v>
      </c>
      <c r="I14" s="18" t="n">
        <v>0</v>
      </c>
      <c r="J14" s="20" t="n">
        <v>0</v>
      </c>
      <c r="K14" s="18" t="n">
        <v>0.61691966</v>
      </c>
      <c r="L14" s="20" t="n">
        <v>0.20396978</v>
      </c>
      <c r="M14" s="18" t="n">
        <v>0</v>
      </c>
      <c r="N14" s="20" t="n">
        <v>0</v>
      </c>
      <c r="O14" s="18" t="n">
        <v>0</v>
      </c>
      <c r="P14" s="20" t="n">
        <v>0</v>
      </c>
      <c r="Q14" s="18" t="n">
        <v>9.42161604</v>
      </c>
      <c r="R14" s="20" t="n">
        <v>1.11130806</v>
      </c>
    </row>
    <row r="15" spans="1:18">
      <c r="A15" s="15" t="s">
        <v>573</v>
      </c>
      <c r="B15" s="17" t="n">
        <v>5882</v>
      </c>
      <c r="C15" s="18">
        <f>(4633.0/B15*100)</f>
        <v/>
      </c>
      <c r="D15" s="19" t="n">
        <v>1249</v>
      </c>
      <c r="E15" s="18" t="n">
        <v>49.50198338</v>
      </c>
      <c r="F15" s="20" t="n">
        <v>1.39506399</v>
      </c>
      <c r="G15" s="18" t="n">
        <v>40.96293511</v>
      </c>
      <c r="H15" s="20" t="n">
        <v>1.61793972</v>
      </c>
      <c r="I15" s="18" t="n">
        <v>0</v>
      </c>
      <c r="J15" s="20" t="n">
        <v>0</v>
      </c>
      <c r="K15" s="18" t="n">
        <v>0.27929036</v>
      </c>
      <c r="L15" s="20" t="n">
        <v>0.17390994</v>
      </c>
      <c r="M15" s="18" t="n">
        <v>0</v>
      </c>
      <c r="N15" s="20" t="n">
        <v>0</v>
      </c>
      <c r="O15" s="18" t="n">
        <v>0</v>
      </c>
      <c r="P15" s="20" t="n">
        <v>0</v>
      </c>
      <c r="Q15" s="18" t="n">
        <v>9.25579115</v>
      </c>
      <c r="R15" s="20" t="n">
        <v>0.99040704</v>
      </c>
    </row>
    <row r="16" spans="1:18">
      <c r="A16" s="15" t="s">
        <v>574</v>
      </c>
      <c r="B16" s="17" t="n">
        <v>6108</v>
      </c>
      <c r="C16" s="18">
        <f>(4823.0/B16*100)</f>
        <v/>
      </c>
      <c r="D16" s="19" t="n">
        <v>1285</v>
      </c>
      <c r="E16" s="18" t="n">
        <v>59.55636462</v>
      </c>
      <c r="F16" s="20" t="n">
        <v>1.41278637</v>
      </c>
      <c r="G16" s="18" t="n">
        <v>20.16566476</v>
      </c>
      <c r="H16" s="20" t="n">
        <v>1.18452241</v>
      </c>
      <c r="I16" s="18" t="n">
        <v>0</v>
      </c>
      <c r="J16" s="20" t="n">
        <v>0</v>
      </c>
      <c r="K16" s="18" t="n">
        <v>1.14843364</v>
      </c>
      <c r="L16" s="20" t="n">
        <v>0.26100431</v>
      </c>
      <c r="M16" s="18" t="n">
        <v>0.14352069</v>
      </c>
      <c r="N16" s="20" t="n">
        <v>0.10480215</v>
      </c>
      <c r="O16" s="18" t="n">
        <v>0</v>
      </c>
      <c r="P16" s="20" t="n">
        <v>0</v>
      </c>
      <c r="Q16" s="18" t="n">
        <v>18.9860163</v>
      </c>
      <c r="R16" s="20" t="n">
        <v>1.12154172</v>
      </c>
    </row>
    <row r="17" spans="1:18">
      <c r="A17" s="15" t="s">
        <v>575</v>
      </c>
      <c r="B17" s="17" t="n">
        <v>6504</v>
      </c>
      <c r="C17" s="18">
        <f>(5082.0/B17*100)</f>
        <v/>
      </c>
      <c r="D17" s="19" t="n">
        <v>1422</v>
      </c>
      <c r="E17" s="18" t="n">
        <v>63.05794921</v>
      </c>
      <c r="F17" s="20" t="n">
        <v>1.46636871</v>
      </c>
      <c r="G17" s="18" t="n">
        <v>21.8196443</v>
      </c>
      <c r="H17" s="20" t="n">
        <v>1.14107348</v>
      </c>
      <c r="I17" s="18" t="n">
        <v>0</v>
      </c>
      <c r="J17" s="20" t="n">
        <v>0</v>
      </c>
      <c r="K17" s="18" t="n">
        <v>0.4927529</v>
      </c>
      <c r="L17" s="20" t="n">
        <v>0.15778519</v>
      </c>
      <c r="M17" s="18" t="n">
        <v>0</v>
      </c>
      <c r="N17" s="20" t="n">
        <v>0</v>
      </c>
      <c r="O17" s="18" t="n">
        <v>0</v>
      </c>
      <c r="P17" s="20" t="n">
        <v>0</v>
      </c>
      <c r="Q17" s="18" t="n">
        <v>14.62965359</v>
      </c>
      <c r="R17" s="20" t="n">
        <v>1.03194943</v>
      </c>
    </row>
    <row r="18" spans="1:18">
      <c r="A18" s="15" t="s">
        <v>576</v>
      </c>
      <c r="B18" s="17" t="n">
        <v>5532</v>
      </c>
      <c r="C18" s="18">
        <f>(4331.0/B18*100)</f>
        <v/>
      </c>
      <c r="D18" s="19" t="n">
        <v>1201</v>
      </c>
      <c r="E18" s="18" t="n">
        <v>69.87366824</v>
      </c>
      <c r="F18" s="20" t="n">
        <v>1.55050542</v>
      </c>
      <c r="G18" s="18" t="n">
        <v>10.32385933</v>
      </c>
      <c r="H18" s="20" t="n">
        <v>0.97822091</v>
      </c>
      <c r="I18" s="18" t="n">
        <v>0</v>
      </c>
      <c r="J18" s="20" t="n">
        <v>0</v>
      </c>
      <c r="K18" s="18" t="n">
        <v>1.43708874</v>
      </c>
      <c r="L18" s="20" t="n">
        <v>0.43536372</v>
      </c>
      <c r="M18" s="18" t="n">
        <v>0</v>
      </c>
      <c r="N18" s="20" t="n">
        <v>0</v>
      </c>
      <c r="O18" s="18" t="n">
        <v>0</v>
      </c>
      <c r="P18" s="20" t="n">
        <v>0</v>
      </c>
      <c r="Q18" s="18" t="n">
        <v>18.36538369</v>
      </c>
      <c r="R18" s="20" t="n">
        <v>1.52915651</v>
      </c>
    </row>
    <row r="19" spans="1:18">
      <c r="A19" s="15" t="s">
        <v>577</v>
      </c>
      <c r="B19" s="17" t="n">
        <v>5658</v>
      </c>
      <c r="C19" s="18">
        <f>(4429.0/B19*100)</f>
        <v/>
      </c>
      <c r="D19" s="19" t="n">
        <v>1229</v>
      </c>
      <c r="E19" s="18" t="n">
        <v>70.08967754</v>
      </c>
      <c r="F19" s="20" t="n">
        <v>1.35238756</v>
      </c>
      <c r="G19" s="18" t="n">
        <v>12.89806579</v>
      </c>
      <c r="H19" s="20" t="n">
        <v>1.10514785</v>
      </c>
      <c r="I19" s="18" t="n">
        <v>0</v>
      </c>
      <c r="J19" s="20" t="n">
        <v>0</v>
      </c>
      <c r="K19" s="18" t="n">
        <v>0.19467292</v>
      </c>
      <c r="L19" s="20" t="n">
        <v>0.1014804</v>
      </c>
      <c r="M19" s="18" t="n">
        <v>0.07022935</v>
      </c>
      <c r="N19" s="20" t="n">
        <v>0.0702271</v>
      </c>
      <c r="O19" s="18" t="n">
        <v>0</v>
      </c>
      <c r="P19" s="20" t="n">
        <v>0</v>
      </c>
      <c r="Q19" s="18" t="n">
        <v>16.7473544</v>
      </c>
      <c r="R19" s="20" t="n">
        <v>1.26143361</v>
      </c>
    </row>
    <row r="20" spans="1:18">
      <c r="A20" s="15" t="s">
        <v>578</v>
      </c>
      <c r="B20" s="17" t="n">
        <v>3371</v>
      </c>
      <c r="C20" s="18">
        <f>(2634.0/B20*100)</f>
        <v/>
      </c>
      <c r="D20" s="19" t="n">
        <v>737</v>
      </c>
      <c r="E20" s="18" t="n">
        <v>67.66396072000001</v>
      </c>
      <c r="F20" s="20" t="n">
        <v>1.66201706</v>
      </c>
      <c r="G20" s="18" t="n">
        <v>16.21230117</v>
      </c>
      <c r="H20" s="20" t="n">
        <v>1.2373021</v>
      </c>
      <c r="I20" s="18" t="n">
        <v>0</v>
      </c>
      <c r="J20" s="20" t="n">
        <v>0</v>
      </c>
      <c r="K20" s="18" t="n">
        <v>0.59575731</v>
      </c>
      <c r="L20" s="20" t="n">
        <v>0.29917482</v>
      </c>
      <c r="M20" s="18" t="n">
        <v>0.20979795</v>
      </c>
      <c r="N20" s="20" t="n">
        <v>0.21359822</v>
      </c>
      <c r="O20" s="18" t="n">
        <v>0</v>
      </c>
      <c r="P20" s="20" t="n">
        <v>0</v>
      </c>
      <c r="Q20" s="18" t="n">
        <v>15.31818285</v>
      </c>
      <c r="R20" s="20" t="n">
        <v>1.20348918</v>
      </c>
    </row>
    <row r="21" spans="1:18">
      <c r="A21" s="15" t="s">
        <v>579</v>
      </c>
      <c r="B21" s="17" t="n">
        <v>5741</v>
      </c>
      <c r="C21" s="18">
        <f>(4466.0/B21*100)</f>
        <v/>
      </c>
      <c r="D21" s="19" t="n">
        <v>1275</v>
      </c>
      <c r="E21" s="18" t="n">
        <v>50.13341115</v>
      </c>
      <c r="F21" s="20" t="n">
        <v>1.48735044</v>
      </c>
      <c r="G21" s="18" t="n">
        <v>43.26013963</v>
      </c>
      <c r="H21" s="20" t="n">
        <v>1.52117445</v>
      </c>
      <c r="I21" s="18" t="n">
        <v>0</v>
      </c>
      <c r="J21" s="20" t="n">
        <v>0</v>
      </c>
      <c r="K21" s="18" t="n">
        <v>0.27193966</v>
      </c>
      <c r="L21" s="20" t="n">
        <v>0.14414013</v>
      </c>
      <c r="M21" s="18" t="n">
        <v>0</v>
      </c>
      <c r="N21" s="20" t="n">
        <v>0</v>
      </c>
      <c r="O21" s="18" t="n">
        <v>0</v>
      </c>
      <c r="P21" s="20" t="n">
        <v>0</v>
      </c>
      <c r="Q21" s="18" t="n">
        <v>6.33450956</v>
      </c>
      <c r="R21" s="20" t="n">
        <v>0.71477904</v>
      </c>
    </row>
    <row r="22" spans="1:18">
      <c r="A22" s="15" t="s">
        <v>580</v>
      </c>
      <c r="B22" s="17" t="n">
        <v>6598</v>
      </c>
      <c r="C22" s="18">
        <f>(5153.0/B22*100)</f>
        <v/>
      </c>
      <c r="D22" s="19" t="n">
        <v>1445</v>
      </c>
      <c r="E22" s="18" t="n">
        <v>70.10425269</v>
      </c>
      <c r="F22" s="20" t="n">
        <v>1.47728355</v>
      </c>
      <c r="G22" s="18" t="n">
        <v>7.22624906</v>
      </c>
      <c r="H22" s="20" t="n">
        <v>0.74501059</v>
      </c>
      <c r="I22" s="18" t="n">
        <v>0</v>
      </c>
      <c r="J22" s="20" t="n">
        <v>0</v>
      </c>
      <c r="K22" s="18" t="n">
        <v>1.13908723</v>
      </c>
      <c r="L22" s="20" t="n">
        <v>0.31429926</v>
      </c>
      <c r="M22" s="18" t="n">
        <v>0</v>
      </c>
      <c r="N22" s="20" t="n">
        <v>0</v>
      </c>
      <c r="O22" s="18" t="n">
        <v>0</v>
      </c>
      <c r="P22" s="20" t="n">
        <v>0</v>
      </c>
      <c r="Q22" s="18" t="n">
        <v>21.53041102</v>
      </c>
      <c r="R22" s="20" t="n">
        <v>1.42212607</v>
      </c>
    </row>
    <row r="23" spans="1:18">
      <c r="A23" s="15" t="s">
        <v>581</v>
      </c>
      <c r="B23" s="17" t="n">
        <v>11583</v>
      </c>
      <c r="C23" s="18">
        <f>(9016.0/B23*100)</f>
        <v/>
      </c>
      <c r="D23" s="19" t="n">
        <v>2567</v>
      </c>
      <c r="E23" s="18" t="n">
        <v>64.73312079</v>
      </c>
      <c r="F23" s="20" t="n">
        <v>1.57451913</v>
      </c>
      <c r="G23" s="18" t="n">
        <v>13.22346177</v>
      </c>
      <c r="H23" s="20" t="n">
        <v>1.01984236</v>
      </c>
      <c r="I23" s="18" t="n">
        <v>0</v>
      </c>
      <c r="J23" s="20" t="n">
        <v>0</v>
      </c>
      <c r="K23" s="18" t="n">
        <v>1.02695036</v>
      </c>
      <c r="L23" s="20" t="n">
        <v>0.36093882</v>
      </c>
      <c r="M23" s="18" t="n">
        <v>0.09564528</v>
      </c>
      <c r="N23" s="20" t="n">
        <v>0.09867317</v>
      </c>
      <c r="O23" s="18" t="n">
        <v>0</v>
      </c>
      <c r="P23" s="20" t="n">
        <v>0</v>
      </c>
      <c r="Q23" s="18" t="n">
        <v>20.9208218</v>
      </c>
      <c r="R23" s="20" t="n">
        <v>1.56712567</v>
      </c>
    </row>
    <row r="24" spans="1:18">
      <c r="A24" s="15" t="s">
        <v>582</v>
      </c>
      <c r="B24" s="17" t="n">
        <v>6647</v>
      </c>
      <c r="C24" s="18">
        <f>(5168.0/B24*100)</f>
        <v/>
      </c>
      <c r="D24" s="19" t="n">
        <v>1479</v>
      </c>
      <c r="E24" s="18" t="n">
        <v>43.26855221</v>
      </c>
      <c r="F24" s="20" t="n">
        <v>1.33427664</v>
      </c>
      <c r="G24" s="18" t="n">
        <v>46.84857575</v>
      </c>
      <c r="H24" s="20" t="n">
        <v>1.41945153</v>
      </c>
      <c r="I24" s="18" t="n">
        <v>0</v>
      </c>
      <c r="J24" s="20" t="n">
        <v>0</v>
      </c>
      <c r="K24" s="18" t="n">
        <v>0.33060145</v>
      </c>
      <c r="L24" s="20" t="n">
        <v>0.17504528</v>
      </c>
      <c r="M24" s="18" t="n">
        <v>0</v>
      </c>
      <c r="N24" s="20" t="n">
        <v>0</v>
      </c>
      <c r="O24" s="18" t="n">
        <v>0</v>
      </c>
      <c r="P24" s="20" t="n">
        <v>0</v>
      </c>
      <c r="Q24" s="18" t="n">
        <v>9.552270589999999</v>
      </c>
      <c r="R24" s="20" t="n">
        <v>0.83763054</v>
      </c>
    </row>
    <row r="25" spans="1:18">
      <c r="A25" s="15" t="s">
        <v>583</v>
      </c>
      <c r="B25" s="17" t="n">
        <v>5581</v>
      </c>
      <c r="C25" s="18">
        <f>(4331.0/B25*100)</f>
        <v/>
      </c>
      <c r="D25" s="19" t="n">
        <v>1250</v>
      </c>
      <c r="E25" s="18" t="n">
        <v>56.0083182</v>
      </c>
      <c r="F25" s="20" t="n">
        <v>1.59324191</v>
      </c>
      <c r="G25" s="18" t="n">
        <v>35.87096942</v>
      </c>
      <c r="H25" s="20" t="n">
        <v>1.51475413</v>
      </c>
      <c r="I25" s="18" t="n">
        <v>0</v>
      </c>
      <c r="J25" s="20" t="n">
        <v>0</v>
      </c>
      <c r="K25" s="18" t="n">
        <v>0.45335311</v>
      </c>
      <c r="L25" s="20" t="n">
        <v>0.21572378</v>
      </c>
      <c r="M25" s="18" t="n">
        <v>0</v>
      </c>
      <c r="N25" s="20" t="n">
        <v>0</v>
      </c>
      <c r="O25" s="18" t="n">
        <v>0</v>
      </c>
      <c r="P25" s="20" t="n">
        <v>0</v>
      </c>
      <c r="Q25" s="18" t="n">
        <v>7.66735927</v>
      </c>
      <c r="R25" s="20" t="n">
        <v>0.83405118</v>
      </c>
    </row>
    <row r="26" spans="1:18">
      <c r="A26" s="15" t="s">
        <v>584</v>
      </c>
      <c r="B26" s="17" t="n">
        <v>4869</v>
      </c>
      <c r="C26" s="18">
        <f>(3809.0/B26*100)</f>
        <v/>
      </c>
      <c r="D26" s="19" t="n">
        <v>1060</v>
      </c>
      <c r="E26" s="18" t="n">
        <v>73.9594872</v>
      </c>
      <c r="F26" s="20" t="n">
        <v>1.35048847</v>
      </c>
      <c r="G26" s="18" t="n">
        <v>14.26265518</v>
      </c>
      <c r="H26" s="20" t="n">
        <v>1.01026664</v>
      </c>
      <c r="I26" s="18" t="n">
        <v>0</v>
      </c>
      <c r="J26" s="20" t="n">
        <v>0</v>
      </c>
      <c r="K26" s="18" t="n">
        <v>0.08902177</v>
      </c>
      <c r="L26" s="20" t="n">
        <v>0.08675553</v>
      </c>
      <c r="M26" s="18" t="n">
        <v>0.14125648</v>
      </c>
      <c r="N26" s="20" t="n">
        <v>0.10031346</v>
      </c>
      <c r="O26" s="18" t="n">
        <v>0</v>
      </c>
      <c r="P26" s="20" t="n">
        <v>0</v>
      </c>
      <c r="Q26" s="18" t="n">
        <v>11.54757938</v>
      </c>
      <c r="R26" s="20" t="n">
        <v>0.97756086</v>
      </c>
    </row>
    <row r="27" spans="1:18">
      <c r="A27" s="15" t="s">
        <v>585</v>
      </c>
      <c r="B27" s="17" t="n">
        <v>5299</v>
      </c>
      <c r="C27" s="18">
        <f>(4121.0/B27*100)</f>
        <v/>
      </c>
      <c r="D27" s="19" t="n">
        <v>1178</v>
      </c>
      <c r="E27" s="18" t="n">
        <v>61.55580106</v>
      </c>
      <c r="F27" s="20" t="n">
        <v>1.31107449</v>
      </c>
      <c r="G27" s="18" t="n">
        <v>22.26392537</v>
      </c>
      <c r="H27" s="20" t="n">
        <v>1.14553595</v>
      </c>
      <c r="I27" s="18" t="n">
        <v>0</v>
      </c>
      <c r="J27" s="20" t="n">
        <v>0</v>
      </c>
      <c r="K27" s="18" t="n">
        <v>0.33071795</v>
      </c>
      <c r="L27" s="20" t="n">
        <v>0.16591958</v>
      </c>
      <c r="M27" s="18" t="n">
        <v>0</v>
      </c>
      <c r="N27" s="20" t="n">
        <v>0</v>
      </c>
      <c r="O27" s="18" t="n">
        <v>0</v>
      </c>
      <c r="P27" s="20" t="n">
        <v>0</v>
      </c>
      <c r="Q27" s="18" t="n">
        <v>15.84955561</v>
      </c>
      <c r="R27" s="20" t="n">
        <v>1.00027688</v>
      </c>
    </row>
    <row r="28" spans="1:18">
      <c r="A28" s="15" t="s">
        <v>586</v>
      </c>
      <c r="B28" s="17" t="n">
        <v>7568</v>
      </c>
      <c r="C28" s="18">
        <f>(6079.0/B28*100)</f>
        <v/>
      </c>
      <c r="D28" s="19" t="n">
        <v>1489</v>
      </c>
      <c r="E28" s="18" t="n">
        <v>86.52653647</v>
      </c>
      <c r="F28" s="20" t="n">
        <v>1.0584344</v>
      </c>
      <c r="G28" s="18" t="n">
        <v>7.9266583</v>
      </c>
      <c r="H28" s="20" t="n">
        <v>0.74020408</v>
      </c>
      <c r="I28" s="18" t="n">
        <v>0</v>
      </c>
      <c r="J28" s="20" t="n">
        <v>0</v>
      </c>
      <c r="K28" s="18" t="n">
        <v>1.43878411</v>
      </c>
      <c r="L28" s="20" t="n">
        <v>0.38457376</v>
      </c>
      <c r="M28" s="18" t="n">
        <v>0.17088488</v>
      </c>
      <c r="N28" s="20" t="n">
        <v>0.12894462</v>
      </c>
      <c r="O28" s="18" t="n">
        <v>0</v>
      </c>
      <c r="P28" s="20" t="n">
        <v>0</v>
      </c>
      <c r="Q28" s="18" t="n">
        <v>3.93713625</v>
      </c>
      <c r="R28" s="20" t="n">
        <v>0.63988794</v>
      </c>
    </row>
    <row r="29" spans="1:18">
      <c r="A29" s="15" t="s">
        <v>587</v>
      </c>
      <c r="B29" s="17" t="n">
        <v>5385</v>
      </c>
      <c r="C29" s="18">
        <f>(4224.0/B29*100)</f>
        <v/>
      </c>
      <c r="D29" s="19" t="n">
        <v>1161</v>
      </c>
      <c r="E29" s="18" t="n">
        <v>55.61651374</v>
      </c>
      <c r="F29" s="20" t="n">
        <v>1.52572527</v>
      </c>
      <c r="G29" s="18" t="n">
        <v>38.78445191</v>
      </c>
      <c r="H29" s="20" t="n">
        <v>1.51240652</v>
      </c>
      <c r="I29" s="18" t="n">
        <v>0</v>
      </c>
      <c r="J29" s="20" t="n">
        <v>0</v>
      </c>
      <c r="K29" s="18" t="n">
        <v>0.31909367</v>
      </c>
      <c r="L29" s="20" t="n">
        <v>0.15878757</v>
      </c>
      <c r="M29" s="18" t="n">
        <v>0</v>
      </c>
      <c r="N29" s="20" t="n">
        <v>0</v>
      </c>
      <c r="O29" s="18" t="n">
        <v>0</v>
      </c>
      <c r="P29" s="20" t="n">
        <v>0</v>
      </c>
      <c r="Q29" s="18" t="n">
        <v>5.27994068</v>
      </c>
      <c r="R29" s="20" t="n">
        <v>0.83200652</v>
      </c>
    </row>
    <row r="30" spans="1:18">
      <c r="A30" s="15" t="s">
        <v>588</v>
      </c>
      <c r="B30" s="17" t="n">
        <v>4520</v>
      </c>
      <c r="C30" s="18">
        <f>(3592.0/B30*100)</f>
        <v/>
      </c>
      <c r="D30" s="19" t="n">
        <v>928</v>
      </c>
      <c r="E30" s="18" t="n">
        <v>58.26609724</v>
      </c>
      <c r="F30" s="20" t="n">
        <v>1.81321783</v>
      </c>
      <c r="G30" s="18" t="n">
        <v>27.14044706</v>
      </c>
      <c r="H30" s="20" t="n">
        <v>1.53929811</v>
      </c>
      <c r="I30" s="18" t="n">
        <v>0</v>
      </c>
      <c r="J30" s="20" t="n">
        <v>0</v>
      </c>
      <c r="K30" s="18" t="n">
        <v>0.41148742</v>
      </c>
      <c r="L30" s="20" t="n">
        <v>0.20718227</v>
      </c>
      <c r="M30" s="18" t="n">
        <v>0</v>
      </c>
      <c r="N30" s="20" t="n">
        <v>0</v>
      </c>
      <c r="O30" s="18" t="n">
        <v>0</v>
      </c>
      <c r="P30" s="20" t="n">
        <v>0</v>
      </c>
      <c r="Q30" s="18" t="n">
        <v>14.18196828</v>
      </c>
      <c r="R30" s="20" t="n">
        <v>1.49541755</v>
      </c>
    </row>
    <row r="31" spans="1:18">
      <c r="A31" s="15" t="s">
        <v>589</v>
      </c>
      <c r="B31" s="17" t="n">
        <v>5456</v>
      </c>
      <c r="C31" s="18">
        <f>(4298.0/B31*100)</f>
        <v/>
      </c>
      <c r="D31" s="19" t="n">
        <v>1158</v>
      </c>
      <c r="E31" s="18" t="n">
        <v>42.99935585</v>
      </c>
      <c r="F31" s="20" t="n">
        <v>1.63525198</v>
      </c>
      <c r="G31" s="18" t="n">
        <v>39.9017481</v>
      </c>
      <c r="H31" s="20" t="n">
        <v>1.64200015</v>
      </c>
      <c r="I31" s="18" t="n">
        <v>0</v>
      </c>
      <c r="J31" s="20" t="n">
        <v>0</v>
      </c>
      <c r="K31" s="18" t="n">
        <v>1.24188897</v>
      </c>
      <c r="L31" s="20" t="n">
        <v>0.3317971</v>
      </c>
      <c r="M31" s="18" t="n">
        <v>0.07288575999999999</v>
      </c>
      <c r="N31" s="20" t="n">
        <v>0.08595066</v>
      </c>
      <c r="O31" s="18" t="n">
        <v>0</v>
      </c>
      <c r="P31" s="20" t="n">
        <v>0</v>
      </c>
      <c r="Q31" s="18" t="n">
        <v>15.78412132</v>
      </c>
      <c r="R31" s="20" t="n">
        <v>1.09626855</v>
      </c>
    </row>
    <row r="32" spans="1:18">
      <c r="A32" s="15" t="s">
        <v>590</v>
      </c>
      <c r="B32" s="17" t="n">
        <v>4478</v>
      </c>
      <c r="C32" s="18">
        <f>(3522.0/B32*100)</f>
        <v/>
      </c>
      <c r="D32" s="19" t="n">
        <v>956</v>
      </c>
      <c r="E32" s="18" t="n">
        <v>71.4411916</v>
      </c>
      <c r="F32" s="20" t="n">
        <v>1.48504917</v>
      </c>
      <c r="G32" s="18" t="n">
        <v>12.65655454</v>
      </c>
      <c r="H32" s="20" t="n">
        <v>1.1463168</v>
      </c>
      <c r="I32" s="18" t="n">
        <v>0</v>
      </c>
      <c r="J32" s="20" t="n">
        <v>0</v>
      </c>
      <c r="K32" s="18" t="n">
        <v>0.40050179</v>
      </c>
      <c r="L32" s="20" t="n">
        <v>0.19846996</v>
      </c>
      <c r="M32" s="18" t="n">
        <v>0</v>
      </c>
      <c r="N32" s="20" t="n">
        <v>0</v>
      </c>
      <c r="O32" s="18" t="n">
        <v>0</v>
      </c>
      <c r="P32" s="20" t="n">
        <v>0</v>
      </c>
      <c r="Q32" s="18" t="n">
        <v>15.50175206</v>
      </c>
      <c r="R32" s="20" t="n">
        <v>1.26868658</v>
      </c>
    </row>
    <row r="33" spans="1:18">
      <c r="A33" s="15" t="s">
        <v>591</v>
      </c>
      <c r="B33" s="17" t="n">
        <v>7325</v>
      </c>
      <c r="C33" s="18">
        <f>(5854.0/B33*100)</f>
        <v/>
      </c>
      <c r="D33" s="19" t="n">
        <v>1471</v>
      </c>
      <c r="E33" s="18" t="n">
        <v>62.37741645</v>
      </c>
      <c r="F33" s="20" t="n">
        <v>1.37220696</v>
      </c>
      <c r="G33" s="18" t="n">
        <v>23.5948391</v>
      </c>
      <c r="H33" s="20" t="n">
        <v>1.30353636</v>
      </c>
      <c r="I33" s="18" t="n">
        <v>0</v>
      </c>
      <c r="J33" s="20" t="n">
        <v>0</v>
      </c>
      <c r="K33" s="18" t="n">
        <v>0.63952581</v>
      </c>
      <c r="L33" s="20" t="n">
        <v>0.23590156</v>
      </c>
      <c r="M33" s="18" t="n">
        <v>0.3094143</v>
      </c>
      <c r="N33" s="20" t="n">
        <v>0.19123373</v>
      </c>
      <c r="O33" s="18" t="n">
        <v>0</v>
      </c>
      <c r="P33" s="20" t="n">
        <v>0</v>
      </c>
      <c r="Q33" s="18" t="n">
        <v>13.07880433</v>
      </c>
      <c r="R33" s="20" t="n">
        <v>0.98300405</v>
      </c>
    </row>
    <row r="34" spans="1:18">
      <c r="A34" s="15" t="s">
        <v>592</v>
      </c>
      <c r="B34" s="17" t="n">
        <v>6350</v>
      </c>
      <c r="C34" s="18">
        <f>(5017.0/B34*100)</f>
        <v/>
      </c>
      <c r="D34" s="19" t="n">
        <v>1333</v>
      </c>
      <c r="E34" s="18" t="n">
        <v>68.95293655</v>
      </c>
      <c r="F34" s="20" t="n">
        <v>1.4281479</v>
      </c>
      <c r="G34" s="18" t="n">
        <v>12.6972296</v>
      </c>
      <c r="H34" s="20" t="n">
        <v>1.12130611</v>
      </c>
      <c r="I34" s="18" t="n">
        <v>0</v>
      </c>
      <c r="J34" s="20" t="n">
        <v>0</v>
      </c>
      <c r="K34" s="18" t="n">
        <v>0.2199783</v>
      </c>
      <c r="L34" s="20" t="n">
        <v>0.16214901</v>
      </c>
      <c r="M34" s="18" t="n">
        <v>0.42325109</v>
      </c>
      <c r="N34" s="20" t="n">
        <v>0.19409034</v>
      </c>
      <c r="O34" s="18" t="n">
        <v>0</v>
      </c>
      <c r="P34" s="20" t="n">
        <v>0</v>
      </c>
      <c r="Q34" s="18" t="n">
        <v>17.70660446</v>
      </c>
      <c r="R34" s="20" t="n">
        <v>1.27007104</v>
      </c>
    </row>
    <row r="35" spans="1:18">
      <c r="A35" s="15" t="s">
        <v>593</v>
      </c>
      <c r="B35" s="17" t="n">
        <v>6406</v>
      </c>
      <c r="C35" s="18">
        <f>(4997.0/B35*100)</f>
        <v/>
      </c>
      <c r="D35" s="19" t="n">
        <v>1409</v>
      </c>
      <c r="E35" s="18" t="n">
        <v>63.35504143</v>
      </c>
      <c r="F35" s="20" t="n">
        <v>1.52196972</v>
      </c>
      <c r="G35" s="18" t="n">
        <v>24.22543901</v>
      </c>
      <c r="H35" s="20" t="n">
        <v>1.25020601</v>
      </c>
      <c r="I35" s="18" t="n">
        <v>0</v>
      </c>
      <c r="J35" s="20" t="n">
        <v>0</v>
      </c>
      <c r="K35" s="18" t="n">
        <v>0.55712351</v>
      </c>
      <c r="L35" s="20" t="n">
        <v>0.2381869</v>
      </c>
      <c r="M35" s="18" t="n">
        <v>0.11996691</v>
      </c>
      <c r="N35" s="20" t="n">
        <v>0.11986184</v>
      </c>
      <c r="O35" s="18" t="n">
        <v>0</v>
      </c>
      <c r="P35" s="20" t="n">
        <v>0</v>
      </c>
      <c r="Q35" s="18" t="n">
        <v>11.74242914</v>
      </c>
      <c r="R35" s="20" t="n">
        <v>0.92236904</v>
      </c>
    </row>
    <row r="36" spans="1:18">
      <c r="A36" s="15" t="s">
        <v>594</v>
      </c>
      <c r="B36" s="17" t="n">
        <v>6736</v>
      </c>
      <c r="C36" s="18">
        <f>(5266.0/B36*100)</f>
        <v/>
      </c>
      <c r="D36" s="19" t="n">
        <v>1470</v>
      </c>
      <c r="E36" s="18" t="n">
        <v>71.12566167999999</v>
      </c>
      <c r="F36" s="20" t="n">
        <v>1.22199156</v>
      </c>
      <c r="G36" s="18" t="n">
        <v>18.3940687</v>
      </c>
      <c r="H36" s="20" t="n">
        <v>1.05767647</v>
      </c>
      <c r="I36" s="18" t="n">
        <v>0</v>
      </c>
      <c r="J36" s="20" t="n">
        <v>0</v>
      </c>
      <c r="K36" s="18" t="n">
        <v>0.8154582500000001</v>
      </c>
      <c r="L36" s="20" t="n">
        <v>0.28203551</v>
      </c>
      <c r="M36" s="18" t="n">
        <v>0.08017228</v>
      </c>
      <c r="N36" s="20" t="n">
        <v>0.08748999</v>
      </c>
      <c r="O36" s="18" t="n">
        <v>0</v>
      </c>
      <c r="P36" s="20" t="n">
        <v>0</v>
      </c>
      <c r="Q36" s="18" t="n">
        <v>9.58463909</v>
      </c>
      <c r="R36" s="20" t="n">
        <v>0.86335828</v>
      </c>
    </row>
    <row r="37" spans="1:18">
      <c r="A37" s="15" t="s">
        <v>595</v>
      </c>
      <c r="B37" s="17" t="n">
        <v>5458</v>
      </c>
      <c r="C37" s="18">
        <f>(4313.0/B37*100)</f>
        <v/>
      </c>
      <c r="D37" s="19" t="n">
        <v>1145</v>
      </c>
      <c r="E37" s="18" t="n">
        <v>37.63581609</v>
      </c>
      <c r="F37" s="20" t="n">
        <v>1.68263579</v>
      </c>
      <c r="G37" s="18" t="n">
        <v>47.82771715</v>
      </c>
      <c r="H37" s="20" t="n">
        <v>1.83020226</v>
      </c>
      <c r="I37" s="18" t="n">
        <v>0</v>
      </c>
      <c r="J37" s="20" t="n">
        <v>0</v>
      </c>
      <c r="K37" s="18" t="n">
        <v>1.2938143</v>
      </c>
      <c r="L37" s="20" t="n">
        <v>0.41271017</v>
      </c>
      <c r="M37" s="18" t="n">
        <v>0.07322835</v>
      </c>
      <c r="N37" s="20" t="n">
        <v>0.07339656999999999</v>
      </c>
      <c r="O37" s="18" t="n">
        <v>0</v>
      </c>
      <c r="P37" s="20" t="n">
        <v>0</v>
      </c>
      <c r="Q37" s="18" t="n">
        <v>13.16942411</v>
      </c>
      <c r="R37" s="20" t="n">
        <v>1.41581602</v>
      </c>
    </row>
    <row r="38" spans="1:18">
      <c r="A38" s="15" t="s">
        <v>596</v>
      </c>
      <c r="B38" s="17" t="n">
        <v>5860</v>
      </c>
      <c r="C38" s="18">
        <f>(4565.0/B38*100)</f>
        <v/>
      </c>
      <c r="D38" s="19" t="n">
        <v>1295</v>
      </c>
      <c r="E38" s="18" t="n">
        <v>65.62099666</v>
      </c>
      <c r="F38" s="20" t="n">
        <v>1.3435639</v>
      </c>
      <c r="G38" s="18" t="n">
        <v>19.92281681</v>
      </c>
      <c r="H38" s="20" t="n">
        <v>1.16202434</v>
      </c>
      <c r="I38" s="18" t="n">
        <v>0</v>
      </c>
      <c r="J38" s="20" t="n">
        <v>0</v>
      </c>
      <c r="K38" s="18" t="n">
        <v>0.78809054</v>
      </c>
      <c r="L38" s="20" t="n">
        <v>0.28532114</v>
      </c>
      <c r="M38" s="18" t="n">
        <v>1.77613169</v>
      </c>
      <c r="N38" s="20" t="n">
        <v>0.36809261</v>
      </c>
      <c r="O38" s="18" t="n">
        <v>0</v>
      </c>
      <c r="P38" s="20" t="n">
        <v>0</v>
      </c>
      <c r="Q38" s="18" t="n">
        <v>11.89196429</v>
      </c>
      <c r="R38" s="20" t="n">
        <v>1.19710893</v>
      </c>
    </row>
    <row r="39" spans="1:18">
      <c r="A39" s="15" t="s">
        <v>597</v>
      </c>
      <c r="B39" s="17" t="n">
        <v>5895</v>
      </c>
      <c r="C39" s="18">
        <f>(4579.0/B39*100)</f>
        <v/>
      </c>
      <c r="D39" s="19" t="n">
        <v>1316</v>
      </c>
      <c r="E39" s="18" t="n">
        <v>82.36875016</v>
      </c>
      <c r="F39" s="20" t="n">
        <v>1.05579387</v>
      </c>
      <c r="G39" s="18" t="n">
        <v>5.00254728</v>
      </c>
      <c r="H39" s="20" t="n">
        <v>0.8971152100000001</v>
      </c>
      <c r="I39" s="18" t="n">
        <v>0</v>
      </c>
      <c r="J39" s="20" t="n">
        <v>0</v>
      </c>
      <c r="K39" s="18" t="n">
        <v>0.3846228</v>
      </c>
      <c r="L39" s="20" t="n">
        <v>0.17006622</v>
      </c>
      <c r="M39" s="18" t="n">
        <v>0</v>
      </c>
      <c r="N39" s="20" t="n">
        <v>0</v>
      </c>
      <c r="O39" s="18" t="n">
        <v>0</v>
      </c>
      <c r="P39" s="20" t="n">
        <v>0</v>
      </c>
      <c r="Q39" s="18" t="n">
        <v>12.24407976</v>
      </c>
      <c r="R39" s="20" t="n">
        <v>0.93834304</v>
      </c>
    </row>
    <row r="40" spans="1:18">
      <c r="A40" s="15" t="s">
        <v>598</v>
      </c>
      <c r="B40" s="17" t="n">
        <v>14157</v>
      </c>
      <c r="C40" s="18">
        <f>(11163.0/B40*100)</f>
        <v/>
      </c>
      <c r="D40" s="19" t="n">
        <v>2994</v>
      </c>
      <c r="E40" s="18" t="n">
        <v>41.08687736</v>
      </c>
      <c r="F40" s="20" t="n">
        <v>1.51894275</v>
      </c>
      <c r="G40" s="18" t="n">
        <v>48.20589347</v>
      </c>
      <c r="H40" s="20" t="n">
        <v>1.6080934</v>
      </c>
      <c r="I40" s="18" t="n">
        <v>0</v>
      </c>
      <c r="J40" s="20" t="n">
        <v>0</v>
      </c>
      <c r="K40" s="18" t="n">
        <v>0.41048709</v>
      </c>
      <c r="L40" s="20" t="n">
        <v>0.21451214</v>
      </c>
      <c r="M40" s="18" t="n">
        <v>0</v>
      </c>
      <c r="N40" s="20" t="n">
        <v>0</v>
      </c>
      <c r="O40" s="18" t="n">
        <v>0</v>
      </c>
      <c r="P40" s="20" t="n">
        <v>0</v>
      </c>
      <c r="Q40" s="18" t="n">
        <v>10.29674208</v>
      </c>
      <c r="R40" s="20" t="n">
        <v>0.97122444</v>
      </c>
    </row>
    <row r="41" spans="1:18">
      <c r="A41" s="15" t="s">
        <v>599</v>
      </c>
      <c r="B41" s="17" t="n">
        <v>5712</v>
      </c>
      <c r="C41" s="18">
        <f>(4451.0/B41*100)</f>
        <v/>
      </c>
      <c r="D41" s="19" t="n">
        <v>1261</v>
      </c>
      <c r="E41" s="18" t="n">
        <v>79.6274368</v>
      </c>
      <c r="F41" s="20" t="n">
        <v>1.28256245</v>
      </c>
      <c r="G41" s="18" t="n">
        <v>15.01567246</v>
      </c>
      <c r="H41" s="20" t="n">
        <v>1.11550536</v>
      </c>
      <c r="I41" s="18" t="n">
        <v>0</v>
      </c>
      <c r="J41" s="20" t="n">
        <v>0</v>
      </c>
      <c r="K41" s="18" t="n">
        <v>0.50296224</v>
      </c>
      <c r="L41" s="20" t="n">
        <v>0.23319034</v>
      </c>
      <c r="M41" s="18" t="n">
        <v>0</v>
      </c>
      <c r="N41" s="20" t="n">
        <v>0</v>
      </c>
      <c r="O41" s="18" t="n">
        <v>0</v>
      </c>
      <c r="P41" s="20" t="n">
        <v>0</v>
      </c>
      <c r="Q41" s="18" t="n">
        <v>4.8539285</v>
      </c>
      <c r="R41" s="20" t="n">
        <v>0.72405211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(19405.0/B46*100)</f>
        <v/>
      </c>
      <c r="D46" s="19" t="n">
        <v>3736</v>
      </c>
      <c r="E46" s="18" t="n">
        <v>62.57161529</v>
      </c>
      <c r="F46" s="20" t="n">
        <v>1.25349925</v>
      </c>
      <c r="G46" s="18" t="n">
        <v>11.83852349</v>
      </c>
      <c r="H46" s="20" t="n">
        <v>0.9096679</v>
      </c>
      <c r="I46" s="18" t="n">
        <v>0</v>
      </c>
      <c r="J46" s="20" t="n">
        <v>0</v>
      </c>
      <c r="K46" s="18" t="n">
        <v>2.39895428</v>
      </c>
      <c r="L46" s="20" t="n">
        <v>0.3632475</v>
      </c>
      <c r="M46" s="18" t="n">
        <v>0.31628249</v>
      </c>
      <c r="N46" s="20" t="n">
        <v>0.09570285000000001</v>
      </c>
      <c r="O46" s="18" t="n">
        <v>0</v>
      </c>
      <c r="P46" s="20" t="n">
        <v>0</v>
      </c>
      <c r="Q46" s="18" t="n">
        <v>22.87462445</v>
      </c>
      <c r="R46" s="20" t="n">
        <v>1.15892094</v>
      </c>
    </row>
    <row r="47" spans="1:18">
      <c r="A47" s="15" t="s">
        <v>606</v>
      </c>
      <c r="B47" s="17" t="n">
        <v>5928</v>
      </c>
      <c r="C47" s="18">
        <f>(4699.0/B47*100)</f>
        <v/>
      </c>
      <c r="D47" s="19" t="n">
        <v>1229</v>
      </c>
      <c r="E47" s="18" t="n">
        <v>59.58257668</v>
      </c>
      <c r="F47" s="20" t="n">
        <v>1.24449783</v>
      </c>
      <c r="G47" s="18" t="n">
        <v>10.94191677</v>
      </c>
      <c r="H47" s="20" t="n">
        <v>0.9431853</v>
      </c>
      <c r="I47" s="18" t="n">
        <v>0</v>
      </c>
      <c r="J47" s="20" t="n">
        <v>0</v>
      </c>
      <c r="K47" s="18" t="n">
        <v>0.6371825800000001</v>
      </c>
      <c r="L47" s="20" t="n">
        <v>0.25998857</v>
      </c>
      <c r="M47" s="18" t="n">
        <v>0.15926391</v>
      </c>
      <c r="N47" s="20" t="n">
        <v>0.11090306</v>
      </c>
      <c r="O47" s="18" t="n">
        <v>0</v>
      </c>
      <c r="P47" s="20" t="n">
        <v>0</v>
      </c>
      <c r="Q47" s="18" t="n">
        <v>28.67906006</v>
      </c>
      <c r="R47" s="20" t="n">
        <v>1.43069515</v>
      </c>
    </row>
    <row r="48" spans="1:18">
      <c r="A48" s="15" t="s">
        <v>607</v>
      </c>
      <c r="B48" s="17" t="n">
        <v>9841</v>
      </c>
      <c r="C48" s="18">
        <f>(7686.0/B48*100)</f>
        <v/>
      </c>
      <c r="D48" s="19" t="n">
        <v>2155</v>
      </c>
      <c r="E48" s="18" t="n">
        <v>43.90838179</v>
      </c>
      <c r="F48" s="20" t="n">
        <v>1.49395323</v>
      </c>
      <c r="G48" s="18" t="n">
        <v>46.90596289</v>
      </c>
      <c r="H48" s="20" t="n">
        <v>1.61963468</v>
      </c>
      <c r="I48" s="18" t="n">
        <v>0</v>
      </c>
      <c r="J48" s="20" t="n">
        <v>0</v>
      </c>
      <c r="K48" s="18" t="n">
        <v>1.06494646</v>
      </c>
      <c r="L48" s="20" t="n">
        <v>0.32568781</v>
      </c>
      <c r="M48" s="18" t="n">
        <v>0</v>
      </c>
      <c r="N48" s="20" t="n">
        <v>0</v>
      </c>
      <c r="O48" s="18" t="n">
        <v>0</v>
      </c>
      <c r="P48" s="20" t="n">
        <v>0</v>
      </c>
      <c r="Q48" s="18" t="n">
        <v>8.120708860000001</v>
      </c>
      <c r="R48" s="20" t="n">
        <v>0.93169729</v>
      </c>
    </row>
    <row r="49" spans="1:18">
      <c r="A49" s="15" t="s">
        <v>608</v>
      </c>
      <c r="B49" s="17" t="n">
        <v>11795</v>
      </c>
      <c r="C49" s="18">
        <f>(9366.0/B49*100)</f>
        <v/>
      </c>
      <c r="D49" s="19" t="n">
        <v>2429</v>
      </c>
      <c r="E49" s="18" t="n">
        <v>81.78106759000001</v>
      </c>
      <c r="F49" s="20" t="n">
        <v>1.1013952</v>
      </c>
      <c r="G49" s="18" t="n">
        <v>6.93417667</v>
      </c>
      <c r="H49" s="20" t="n">
        <v>0.81057588</v>
      </c>
      <c r="I49" s="18" t="n">
        <v>0</v>
      </c>
      <c r="J49" s="20" t="n">
        <v>0</v>
      </c>
      <c r="K49" s="18" t="n">
        <v>3.16410528</v>
      </c>
      <c r="L49" s="20" t="n">
        <v>0.63353601</v>
      </c>
      <c r="M49" s="18" t="n">
        <v>0.13278288</v>
      </c>
      <c r="N49" s="20" t="n">
        <v>0.07016057000000001</v>
      </c>
      <c r="O49" s="18" t="n">
        <v>0</v>
      </c>
      <c r="P49" s="20" t="n">
        <v>0</v>
      </c>
      <c r="Q49" s="18" t="n">
        <v>7.98786758</v>
      </c>
      <c r="R49" s="20" t="n">
        <v>0.73122911</v>
      </c>
    </row>
    <row r="50" spans="1:18">
      <c r="A50" s="15" t="s">
        <v>609</v>
      </c>
      <c r="B50" s="17" t="n">
        <v>6866</v>
      </c>
      <c r="C50" s="18">
        <f>(5591.0/B50*100)</f>
        <v/>
      </c>
      <c r="D50" s="19" t="n">
        <v>1275</v>
      </c>
      <c r="E50" s="18" t="n">
        <v>83.91713288</v>
      </c>
      <c r="F50" s="20" t="n">
        <v>1.19025839</v>
      </c>
      <c r="G50" s="18" t="n">
        <v>6.97345361</v>
      </c>
      <c r="H50" s="20" t="n">
        <v>0.75650032</v>
      </c>
      <c r="I50" s="18" t="n">
        <v>0</v>
      </c>
      <c r="J50" s="20" t="n">
        <v>0</v>
      </c>
      <c r="K50" s="18" t="n">
        <v>0.63339712</v>
      </c>
      <c r="L50" s="20" t="n">
        <v>0.25422037</v>
      </c>
      <c r="M50" s="18" t="n">
        <v>0.07530782</v>
      </c>
      <c r="N50" s="20" t="n">
        <v>0.07494372000000001</v>
      </c>
      <c r="O50" s="18" t="n">
        <v>0</v>
      </c>
      <c r="P50" s="20" t="n">
        <v>0</v>
      </c>
      <c r="Q50" s="18" t="n">
        <v>8.40070858</v>
      </c>
      <c r="R50" s="20" t="n">
        <v>0.78716337</v>
      </c>
    </row>
    <row r="51" spans="1:18">
      <c r="A51" s="15" t="s">
        <v>610</v>
      </c>
      <c r="B51" s="17" t="n">
        <v>5809</v>
      </c>
      <c r="C51" s="18">
        <f>(4540.0/B51*100)</f>
        <v/>
      </c>
      <c r="D51" s="19" t="n">
        <v>1269</v>
      </c>
      <c r="E51" s="18" t="n">
        <v>71.96543306</v>
      </c>
      <c r="F51" s="20" t="n">
        <v>1.30118588</v>
      </c>
      <c r="G51" s="18" t="n">
        <v>12.12615968</v>
      </c>
      <c r="H51" s="20" t="n">
        <v>0.96613354</v>
      </c>
      <c r="I51" s="18" t="n">
        <v>0</v>
      </c>
      <c r="J51" s="20" t="n">
        <v>0</v>
      </c>
      <c r="K51" s="18" t="n">
        <v>0.07230234000000001</v>
      </c>
      <c r="L51" s="20" t="n">
        <v>0.0720213</v>
      </c>
      <c r="M51" s="18" t="n">
        <v>0</v>
      </c>
      <c r="N51" s="20" t="n">
        <v>0</v>
      </c>
      <c r="O51" s="18" t="n">
        <v>0</v>
      </c>
      <c r="P51" s="20" t="n">
        <v>0</v>
      </c>
      <c r="Q51" s="18" t="n">
        <v>15.83610492</v>
      </c>
      <c r="R51" s="20" t="n">
        <v>1.06247185</v>
      </c>
    </row>
    <row r="52" spans="1:18">
      <c r="A52" s="15" t="s">
        <v>611</v>
      </c>
      <c r="B52" s="17" t="n">
        <v>5571</v>
      </c>
      <c r="C52" s="18">
        <f>(4341.0/B52*100)</f>
        <v/>
      </c>
      <c r="D52" s="19" t="n">
        <v>1230</v>
      </c>
      <c r="E52" s="18" t="n">
        <v>66.14018932</v>
      </c>
      <c r="F52" s="20" t="n">
        <v>1.45590177</v>
      </c>
      <c r="G52" s="18" t="n">
        <v>10.52860534</v>
      </c>
      <c r="H52" s="20" t="n">
        <v>0.91247462</v>
      </c>
      <c r="I52" s="18" t="n">
        <v>0</v>
      </c>
      <c r="J52" s="20" t="n">
        <v>0</v>
      </c>
      <c r="K52" s="18" t="n">
        <v>0.48950394</v>
      </c>
      <c r="L52" s="20" t="n">
        <v>0.18843499</v>
      </c>
      <c r="M52" s="18" t="n">
        <v>0</v>
      </c>
      <c r="N52" s="20" t="n">
        <v>0</v>
      </c>
      <c r="O52" s="18" t="n">
        <v>0</v>
      </c>
      <c r="P52" s="20" t="n">
        <v>0</v>
      </c>
      <c r="Q52" s="18" t="n">
        <v>22.84170141</v>
      </c>
      <c r="R52" s="20" t="n">
        <v>1.246921</v>
      </c>
    </row>
    <row r="53" spans="1:18">
      <c r="A53" s="15" t="s">
        <v>612</v>
      </c>
      <c r="B53" s="17" t="n">
        <v>4740</v>
      </c>
      <c r="C53" s="18">
        <f>(3710.0/B53*100)</f>
        <v/>
      </c>
      <c r="D53" s="19" t="n">
        <v>1030</v>
      </c>
      <c r="E53" s="18" t="n">
        <v>60.29668768</v>
      </c>
      <c r="F53" s="20" t="n">
        <v>1.76563474</v>
      </c>
      <c r="G53" s="18" t="n">
        <v>1.81809762</v>
      </c>
      <c r="H53" s="20" t="n">
        <v>0.43685879</v>
      </c>
      <c r="I53" s="18" t="n">
        <v>0</v>
      </c>
      <c r="J53" s="20" t="n">
        <v>0</v>
      </c>
      <c r="K53" s="18" t="n">
        <v>18.4459028</v>
      </c>
      <c r="L53" s="20" t="n">
        <v>1.44301617</v>
      </c>
      <c r="M53" s="18" t="n">
        <v>0.69117286</v>
      </c>
      <c r="N53" s="20" t="n">
        <v>0.57089274</v>
      </c>
      <c r="O53" s="18" t="n">
        <v>0</v>
      </c>
      <c r="P53" s="20" t="n">
        <v>0</v>
      </c>
      <c r="Q53" s="18" t="n">
        <v>18.74813904</v>
      </c>
      <c r="R53" s="20" t="n">
        <v>1.30490106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(4127.0/B55*100)</f>
        <v/>
      </c>
      <c r="D55" s="19" t="n">
        <v>1232</v>
      </c>
      <c r="E55" s="18" t="n">
        <v>50.30676979</v>
      </c>
      <c r="F55" s="20" t="n">
        <v>1.80669223</v>
      </c>
      <c r="G55" s="18" t="n">
        <v>45.069173</v>
      </c>
      <c r="H55" s="20" t="n">
        <v>1.76559973</v>
      </c>
      <c r="I55" s="18" t="n">
        <v>0</v>
      </c>
      <c r="J55" s="20" t="n">
        <v>0</v>
      </c>
      <c r="K55" s="18" t="n">
        <v>0.22838117</v>
      </c>
      <c r="L55" s="20" t="n">
        <v>0.1327019</v>
      </c>
      <c r="M55" s="18" t="n">
        <v>0.10105056</v>
      </c>
      <c r="N55" s="20" t="n">
        <v>0.11158</v>
      </c>
      <c r="O55" s="18" t="n">
        <v>0</v>
      </c>
      <c r="P55" s="20" t="n">
        <v>0</v>
      </c>
      <c r="Q55" s="18" t="n">
        <v>4.29462548</v>
      </c>
      <c r="R55" s="20" t="n">
        <v>0.60143831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(5076.0/B61*100)</f>
        <v/>
      </c>
      <c r="D61" s="19" t="n">
        <v>1449</v>
      </c>
      <c r="E61" s="18" t="n">
        <v>65.94682114</v>
      </c>
      <c r="F61" s="20" t="n">
        <v>1.47969394</v>
      </c>
      <c r="G61" s="18" t="n">
        <v>17.10214382</v>
      </c>
      <c r="H61" s="20" t="n">
        <v>1.12685647</v>
      </c>
      <c r="I61" s="18" t="n">
        <v>0</v>
      </c>
      <c r="J61" s="20" t="n">
        <v>0</v>
      </c>
      <c r="K61" s="18" t="n">
        <v>0.49878315</v>
      </c>
      <c r="L61" s="20" t="n">
        <v>0.20069551</v>
      </c>
      <c r="M61" s="18" t="n">
        <v>0.04981157</v>
      </c>
      <c r="N61" s="20" t="n">
        <v>0.05012753</v>
      </c>
      <c r="O61" s="18" t="n">
        <v>0</v>
      </c>
      <c r="P61" s="20" t="n">
        <v>0</v>
      </c>
      <c r="Q61" s="18" t="n">
        <v>16.40244032</v>
      </c>
      <c r="R61" s="20" t="n">
        <v>1.39833478</v>
      </c>
    </row>
    <row r="62" spans="1:18">
      <c r="A62" s="15" t="s">
        <v>622</v>
      </c>
      <c r="B62" s="17" t="n">
        <v>4476</v>
      </c>
      <c r="C62" s="18">
        <f>(3496.0/B62*100)</f>
        <v/>
      </c>
      <c r="D62" s="19" t="n">
        <v>980</v>
      </c>
      <c r="E62" s="18" t="n">
        <v>54.11452641</v>
      </c>
      <c r="F62" s="20" t="n">
        <v>1.8691078</v>
      </c>
      <c r="G62" s="18" t="n">
        <v>42.30298661</v>
      </c>
      <c r="H62" s="20" t="n">
        <v>1.76050871</v>
      </c>
      <c r="I62" s="18" t="n">
        <v>0</v>
      </c>
      <c r="J62" s="20" t="n">
        <v>0</v>
      </c>
      <c r="K62" s="18" t="n">
        <v>0</v>
      </c>
      <c r="L62" s="20" t="n">
        <v>0</v>
      </c>
      <c r="M62" s="18" t="n">
        <v>0</v>
      </c>
      <c r="N62" s="20" t="n">
        <v>0</v>
      </c>
      <c r="O62" s="18" t="n">
        <v>0</v>
      </c>
      <c r="P62" s="20" t="n">
        <v>0</v>
      </c>
      <c r="Q62" s="18" t="n">
        <v>3.58248697</v>
      </c>
      <c r="R62" s="20" t="n">
        <v>0.51858095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(4464.0/B67*100)</f>
        <v/>
      </c>
      <c r="D67" s="19" t="n">
        <v>1201</v>
      </c>
      <c r="E67" s="18" t="n">
        <v>54.87028117</v>
      </c>
      <c r="F67" s="20" t="n">
        <v>1.25126</v>
      </c>
      <c r="G67" s="18" t="n">
        <v>5.75876643</v>
      </c>
      <c r="H67" s="20" t="n">
        <v>0.71293691</v>
      </c>
      <c r="I67" s="18" t="n">
        <v>0</v>
      </c>
      <c r="J67" s="20" t="n">
        <v>0</v>
      </c>
      <c r="K67" s="18" t="n">
        <v>1.32674877</v>
      </c>
      <c r="L67" s="20" t="n">
        <v>0.2963261</v>
      </c>
      <c r="M67" s="18" t="n">
        <v>0.3638967</v>
      </c>
      <c r="N67" s="20" t="n">
        <v>0.16240981</v>
      </c>
      <c r="O67" s="18" t="n">
        <v>0</v>
      </c>
      <c r="P67" s="20" t="n">
        <v>0</v>
      </c>
      <c r="Q67" s="18" t="n">
        <v>37.68030692</v>
      </c>
      <c r="R67" s="20" t="n">
        <v>1.17936575</v>
      </c>
    </row>
    <row r="68" spans="1:18">
      <c r="A68" s="15" t="s">
        <v>628</v>
      </c>
      <c r="B68" s="17" t="n">
        <v>6971</v>
      </c>
      <c r="C68" s="18">
        <f>(5714.0/B68*100)</f>
        <v/>
      </c>
      <c r="D68" s="19" t="n">
        <v>1257</v>
      </c>
      <c r="E68" s="18" t="n">
        <v>82.75568234000001</v>
      </c>
      <c r="F68" s="20" t="n">
        <v>1.11891522</v>
      </c>
      <c r="G68" s="18" t="n">
        <v>6.38599631</v>
      </c>
      <c r="H68" s="20" t="n">
        <v>0.6002759600000001</v>
      </c>
      <c r="I68" s="18" t="n">
        <v>0</v>
      </c>
      <c r="J68" s="20" t="n">
        <v>0</v>
      </c>
      <c r="K68" s="18" t="n">
        <v>0.5774794600000001</v>
      </c>
      <c r="L68" s="20" t="n">
        <v>0.28460568</v>
      </c>
      <c r="M68" s="18" t="n">
        <v>0</v>
      </c>
      <c r="N68" s="20" t="n">
        <v>0</v>
      </c>
      <c r="O68" s="18" t="n">
        <v>0</v>
      </c>
      <c r="P68" s="20" t="n">
        <v>0</v>
      </c>
      <c r="Q68" s="18" t="n">
        <v>10.28084189</v>
      </c>
      <c r="R68" s="20" t="n">
        <v>1.00447677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(9370.0/B70*100)</f>
        <v/>
      </c>
      <c r="D70" s="19" t="n">
        <v>2713</v>
      </c>
      <c r="E70" s="18" t="n">
        <v>59.37901771</v>
      </c>
      <c r="F70" s="20" t="n">
        <v>0.93643096</v>
      </c>
      <c r="G70" s="18" t="n">
        <v>20.68670157</v>
      </c>
      <c r="H70" s="20" t="n">
        <v>0.74984878</v>
      </c>
      <c r="I70" s="18" t="n">
        <v>0</v>
      </c>
      <c r="J70" s="20" t="n">
        <v>0</v>
      </c>
      <c r="K70" s="18" t="n">
        <v>3.56526741</v>
      </c>
      <c r="L70" s="20" t="n">
        <v>0.37737081</v>
      </c>
      <c r="M70" s="18" t="n">
        <v>0.07018684</v>
      </c>
      <c r="N70" s="20" t="n">
        <v>0.04927662</v>
      </c>
      <c r="O70" s="18" t="n">
        <v>0</v>
      </c>
      <c r="P70" s="20" t="n">
        <v>0</v>
      </c>
      <c r="Q70" s="18" t="n">
        <v>16.29882648</v>
      </c>
      <c r="R70" s="20" t="n">
        <v>0.61543363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(4853.0/B72*100)</f>
        <v/>
      </c>
      <c r="D72" s="19" t="n">
        <v>1183</v>
      </c>
      <c r="E72" s="18" t="n">
        <v>74.23156358999999</v>
      </c>
      <c r="F72" s="20" t="n">
        <v>1.58441433</v>
      </c>
      <c r="G72" s="18" t="n">
        <v>9.894365280000001</v>
      </c>
      <c r="H72" s="20" t="n">
        <v>1.62088462</v>
      </c>
      <c r="I72" s="18" t="n">
        <v>0</v>
      </c>
      <c r="J72" s="20" t="n">
        <v>0</v>
      </c>
      <c r="K72" s="18" t="n">
        <v>0.69263502</v>
      </c>
      <c r="L72" s="20" t="n">
        <v>0.25675423</v>
      </c>
      <c r="M72" s="18" t="n">
        <v>0</v>
      </c>
      <c r="N72" s="20" t="n">
        <v>0</v>
      </c>
      <c r="O72" s="18" t="n">
        <v>0</v>
      </c>
      <c r="P72" s="20" t="n">
        <v>0</v>
      </c>
      <c r="Q72" s="18" t="n">
        <v>15.18143611</v>
      </c>
      <c r="R72" s="20" t="n">
        <v>1.61745878</v>
      </c>
    </row>
    <row r="73" spans="1:18">
      <c r="A73" s="15" t="s">
        <v>633</v>
      </c>
      <c r="B73" s="17" t="n">
        <v>6115</v>
      </c>
      <c r="C73" s="18">
        <f>(4786.0/B73*100)</f>
        <v/>
      </c>
      <c r="D73" s="19" t="n">
        <v>1329</v>
      </c>
      <c r="E73" s="18" t="n">
        <v>37.90630125</v>
      </c>
      <c r="F73" s="20" t="n">
        <v>1.18302145</v>
      </c>
      <c r="G73" s="18" t="n">
        <v>58.43505323</v>
      </c>
      <c r="H73" s="20" t="n">
        <v>1.16263716</v>
      </c>
      <c r="I73" s="18" t="n">
        <v>0</v>
      </c>
      <c r="J73" s="20" t="n">
        <v>0</v>
      </c>
      <c r="K73" s="18" t="n">
        <v>0.24864295</v>
      </c>
      <c r="L73" s="20" t="n">
        <v>0.14341637</v>
      </c>
      <c r="M73" s="18" t="n">
        <v>0</v>
      </c>
      <c r="N73" s="20" t="n">
        <v>0</v>
      </c>
      <c r="O73" s="18" t="n">
        <v>0</v>
      </c>
      <c r="P73" s="20" t="n">
        <v>0</v>
      </c>
      <c r="Q73" s="18" t="n">
        <v>3.41000257</v>
      </c>
      <c r="R73" s="20" t="n">
        <v>0.49464552</v>
      </c>
    </row>
    <row r="74" spans="1:18">
      <c r="A74" s="15" t="s">
        <v>634</v>
      </c>
      <c r="B74" s="17" t="n">
        <v>7708</v>
      </c>
      <c r="C74" s="18">
        <f>(5969.0/B74*100)</f>
        <v/>
      </c>
      <c r="D74" s="19" t="n">
        <v>1739</v>
      </c>
      <c r="E74" s="18" t="n">
        <v>49.0321132</v>
      </c>
      <c r="F74" s="20" t="n">
        <v>1.25803625</v>
      </c>
      <c r="G74" s="18" t="n">
        <v>44.40916052</v>
      </c>
      <c r="H74" s="20" t="n">
        <v>1.20459836</v>
      </c>
      <c r="I74" s="18" t="n">
        <v>0</v>
      </c>
      <c r="J74" s="20" t="n">
        <v>0</v>
      </c>
      <c r="K74" s="18" t="n">
        <v>0.23270143</v>
      </c>
      <c r="L74" s="20" t="n">
        <v>0.12104199</v>
      </c>
      <c r="M74" s="18" t="n">
        <v>0</v>
      </c>
      <c r="N74" s="20" t="n">
        <v>0</v>
      </c>
      <c r="O74" s="18" t="n">
        <v>0</v>
      </c>
      <c r="P74" s="20" t="n">
        <v>0</v>
      </c>
      <c r="Q74" s="18" t="n">
        <v>6.32602486</v>
      </c>
      <c r="R74" s="20" t="n">
        <v>0.69065617</v>
      </c>
    </row>
    <row r="75" spans="1:18">
      <c r="A75" s="15" t="s">
        <v>635</v>
      </c>
      <c r="B75" s="17" t="n">
        <v>8249</v>
      </c>
      <c r="C75" s="18">
        <f>(6560.0/B75*100)</f>
        <v/>
      </c>
      <c r="D75" s="19" t="n">
        <v>1689</v>
      </c>
      <c r="E75" s="18" t="n">
        <v>71.09152084</v>
      </c>
      <c r="F75" s="20" t="n">
        <v>1.40054782</v>
      </c>
      <c r="G75" s="18" t="n">
        <v>26.08621999</v>
      </c>
      <c r="H75" s="20" t="n">
        <v>1.3167251</v>
      </c>
      <c r="I75" s="18" t="n">
        <v>0</v>
      </c>
      <c r="J75" s="20" t="n">
        <v>0</v>
      </c>
      <c r="K75" s="18" t="n">
        <v>0.03040299</v>
      </c>
      <c r="L75" s="20" t="n">
        <v>0.03047314</v>
      </c>
      <c r="M75" s="18" t="n">
        <v>0.25278386</v>
      </c>
      <c r="N75" s="20" t="n">
        <v>0.14597886</v>
      </c>
      <c r="O75" s="18" t="n">
        <v>0</v>
      </c>
      <c r="P75" s="20" t="n">
        <v>0</v>
      </c>
      <c r="Q75" s="18" t="n">
        <v>2.53907232</v>
      </c>
      <c r="R75" s="20" t="n">
        <v>0.54129603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(4372.0/B77*100)</f>
        <v/>
      </c>
      <c r="D77" s="19" t="n">
        <v>1003</v>
      </c>
      <c r="E77" s="18" t="n">
        <v>63.7887948</v>
      </c>
      <c r="F77" s="20" t="n">
        <v>1.96800598</v>
      </c>
      <c r="G77" s="18" t="n">
        <v>0.21195653</v>
      </c>
      <c r="H77" s="20" t="n">
        <v>0.11739373</v>
      </c>
      <c r="I77" s="18" t="n">
        <v>0</v>
      </c>
      <c r="J77" s="20" t="n">
        <v>0</v>
      </c>
      <c r="K77" s="18" t="n">
        <v>4.84773163</v>
      </c>
      <c r="L77" s="20" t="n">
        <v>0.86615239</v>
      </c>
      <c r="M77" s="18" t="n">
        <v>0.7502437199999999</v>
      </c>
      <c r="N77" s="20" t="n">
        <v>0.31661501</v>
      </c>
      <c r="O77" s="18" t="n">
        <v>0</v>
      </c>
      <c r="P77" s="20" t="n">
        <v>0</v>
      </c>
      <c r="Q77" s="18" t="n">
        <v>30.40127332</v>
      </c>
      <c r="R77" s="20" t="n">
        <v>1.78579196</v>
      </c>
    </row>
    <row r="78" spans="1:18">
      <c r="A78" s="15" t="s">
        <v>638</v>
      </c>
      <c r="B78" s="17" t="n">
        <v>14167</v>
      </c>
      <c r="C78" s="18">
        <f>(11126.0/B78*100)</f>
        <v/>
      </c>
      <c r="D78" s="19" t="n">
        <v>3041</v>
      </c>
      <c r="E78" s="18" t="n">
        <v>67.00520547000001</v>
      </c>
      <c r="F78" s="20" t="n">
        <v>1.11786041</v>
      </c>
      <c r="G78" s="18" t="n">
        <v>21.20162134</v>
      </c>
      <c r="H78" s="20" t="n">
        <v>1.15490745</v>
      </c>
      <c r="I78" s="18" t="n">
        <v>0</v>
      </c>
      <c r="J78" s="20" t="n">
        <v>0</v>
      </c>
      <c r="K78" s="18" t="n">
        <v>1.95604882</v>
      </c>
      <c r="L78" s="20" t="n">
        <v>0.34552316</v>
      </c>
      <c r="M78" s="18" t="n">
        <v>0.07216636999999999</v>
      </c>
      <c r="N78" s="20" t="n">
        <v>0.05210154</v>
      </c>
      <c r="O78" s="18" t="n">
        <v>0</v>
      </c>
      <c r="P78" s="20" t="n">
        <v>0</v>
      </c>
      <c r="Q78" s="18" t="n">
        <v>9.764958</v>
      </c>
      <c r="R78" s="20" t="n">
        <v>0.56482404</v>
      </c>
    </row>
    <row r="79" spans="1:18">
      <c r="A79" s="15" t="s">
        <v>639</v>
      </c>
      <c r="B79" s="17" t="n">
        <v>6062</v>
      </c>
      <c r="C79" s="18">
        <f>(4798.0/B79*100)</f>
        <v/>
      </c>
      <c r="D79" s="19" t="n">
        <v>1264</v>
      </c>
      <c r="E79" s="18" t="n">
        <v>63.511197</v>
      </c>
      <c r="F79" s="20" t="n">
        <v>1.56417947</v>
      </c>
      <c r="G79" s="18" t="n">
        <v>5.74975771</v>
      </c>
      <c r="H79" s="20" t="n">
        <v>0.7725741699999999</v>
      </c>
      <c r="I79" s="18" t="n">
        <v>0</v>
      </c>
      <c r="J79" s="20" t="n">
        <v>0</v>
      </c>
      <c r="K79" s="18" t="n">
        <v>2.02046474</v>
      </c>
      <c r="L79" s="20" t="n">
        <v>0.41373717</v>
      </c>
      <c r="M79" s="18" t="n">
        <v>0.06409561</v>
      </c>
      <c r="N79" s="20" t="n">
        <v>0.07099374999999999</v>
      </c>
      <c r="O79" s="18" t="n">
        <v>0</v>
      </c>
      <c r="P79" s="20" t="n">
        <v>0</v>
      </c>
      <c r="Q79" s="18" t="n">
        <v>28.65448494</v>
      </c>
      <c r="R79" s="20" t="n">
        <v>1.35962664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(25348.0/B82*100)</f>
        <v/>
      </c>
      <c r="D82" s="19" t="n">
        <v>6982</v>
      </c>
      <c r="E82" s="18" t="n">
        <v>71.15880951</v>
      </c>
      <c r="F82" s="20" t="n">
        <v>0.80018856</v>
      </c>
      <c r="G82" s="18" t="n">
        <v>19.33585205</v>
      </c>
      <c r="H82" s="20" t="n">
        <v>0.72592919</v>
      </c>
      <c r="I82" s="18" t="n">
        <v>0</v>
      </c>
      <c r="J82" s="20" t="n">
        <v>0</v>
      </c>
      <c r="K82" s="18" t="n">
        <v>0.57811307</v>
      </c>
      <c r="L82" s="20" t="n">
        <v>0.13198154</v>
      </c>
      <c r="M82" s="18" t="n">
        <v>0.06835376999999999</v>
      </c>
      <c r="N82" s="20" t="n">
        <v>0.07388583999999999</v>
      </c>
      <c r="O82" s="18" t="n">
        <v>0</v>
      </c>
      <c r="P82" s="20" t="n">
        <v>0</v>
      </c>
      <c r="Q82" s="18" t="n">
        <v>8.85887161</v>
      </c>
      <c r="R82" s="20" t="n">
        <v>0.49216225</v>
      </c>
    </row>
    <row r="83" spans="1:18">
      <c r="A83" s="15" t="s">
        <v>643</v>
      </c>
      <c r="B83" s="17" t="n">
        <v>1652</v>
      </c>
      <c r="C83" s="18">
        <f>(1294.0/B83*100)</f>
        <v/>
      </c>
      <c r="D83" s="19" t="n">
        <v>358</v>
      </c>
      <c r="E83" s="18" t="n">
        <v>78.15359754000001</v>
      </c>
      <c r="F83" s="20" t="n">
        <v>2.21239136</v>
      </c>
      <c r="G83" s="18" t="n">
        <v>18.43930685</v>
      </c>
      <c r="H83" s="20" t="n">
        <v>2.28305246</v>
      </c>
      <c r="I83" s="18" t="n">
        <v>0</v>
      </c>
      <c r="J83" s="20" t="n">
        <v>0</v>
      </c>
      <c r="K83" s="18" t="n">
        <v>1.20938254</v>
      </c>
      <c r="L83" s="20" t="n">
        <v>0.3909063</v>
      </c>
      <c r="M83" s="18" t="n">
        <v>0</v>
      </c>
      <c r="N83" s="20" t="n">
        <v>0</v>
      </c>
      <c r="O83" s="18" t="n">
        <v>0</v>
      </c>
      <c r="P83" s="20" t="n">
        <v>0</v>
      </c>
      <c r="Q83" s="18" t="n">
        <v>2.19771308</v>
      </c>
      <c r="R83" s="20" t="n">
        <v>0.68372352</v>
      </c>
    </row>
    <row r="84" spans="1:18">
      <c r="A84" s="23" t="s">
        <v>644</v>
      </c>
      <c r="B84" s="24" t="n">
        <v>1887</v>
      </c>
      <c r="C84" s="25">
        <f>(1495.0/B84*100)</f>
        <v/>
      </c>
      <c r="D84" s="19" t="n">
        <v>392</v>
      </c>
      <c r="E84" s="18" t="n">
        <v>77.27047541</v>
      </c>
      <c r="F84" s="20" t="n">
        <v>2.0738706</v>
      </c>
      <c r="G84" s="18" t="n">
        <v>18.44357676</v>
      </c>
      <c r="H84" s="20" t="n">
        <v>2.12354428</v>
      </c>
      <c r="I84" s="18" t="n">
        <v>0</v>
      </c>
      <c r="J84" s="20" t="n">
        <v>0</v>
      </c>
      <c r="K84" s="18" t="n">
        <v>0</v>
      </c>
      <c r="L84" s="20" t="n">
        <v>0</v>
      </c>
      <c r="M84" s="18" t="n">
        <v>0</v>
      </c>
      <c r="N84" s="20" t="n">
        <v>0</v>
      </c>
      <c r="O84" s="18" t="n">
        <v>0</v>
      </c>
      <c r="P84" s="20" t="n">
        <v>0</v>
      </c>
      <c r="Q84" s="18" t="n">
        <v>4.28594782</v>
      </c>
      <c r="R84" s="20" t="n">
        <v>1.30244876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(11432.0/B7*100)</f>
        <v/>
      </c>
      <c r="D7" s="19" t="n">
        <v>3098</v>
      </c>
      <c r="E7" s="18" t="n">
        <v>29.06001319</v>
      </c>
      <c r="F7" s="20" t="n">
        <v>0.97045459</v>
      </c>
      <c r="G7" s="18" t="n">
        <v>69.45537158</v>
      </c>
      <c r="H7" s="20" t="n">
        <v>0.9720001700000001</v>
      </c>
      <c r="I7" s="18" t="n">
        <v>0</v>
      </c>
      <c r="J7" s="20" t="n">
        <v>0</v>
      </c>
      <c r="K7" s="18" t="n">
        <v>0.50233061</v>
      </c>
      <c r="L7" s="20" t="n">
        <v>0.12684386</v>
      </c>
      <c r="M7" s="18" t="n">
        <v>0</v>
      </c>
      <c r="N7" s="20" t="n">
        <v>0</v>
      </c>
      <c r="O7" s="18" t="n">
        <v>0</v>
      </c>
      <c r="P7" s="20" t="n">
        <v>0</v>
      </c>
      <c r="Q7" s="18" t="n">
        <v>0.9822846200000001</v>
      </c>
      <c r="R7" s="20" t="n">
        <v>0.20371578</v>
      </c>
    </row>
    <row r="8" spans="1:18">
      <c r="A8" s="15" t="s">
        <v>566</v>
      </c>
      <c r="B8" s="17" t="n">
        <v>7007</v>
      </c>
      <c r="C8" s="18">
        <f>(5517.0/B8*100)</f>
        <v/>
      </c>
      <c r="D8" s="19" t="n">
        <v>1490</v>
      </c>
      <c r="E8" s="18" t="n">
        <v>23.09686148</v>
      </c>
      <c r="F8" s="20" t="n">
        <v>1.45757116</v>
      </c>
      <c r="G8" s="18" t="n">
        <v>74.62360667</v>
      </c>
      <c r="H8" s="20" t="n">
        <v>1.50384567</v>
      </c>
      <c r="I8" s="18" t="n">
        <v>0</v>
      </c>
      <c r="J8" s="20" t="n">
        <v>0</v>
      </c>
      <c r="K8" s="18" t="n">
        <v>0.40820768</v>
      </c>
      <c r="L8" s="20" t="n">
        <v>0.16485257</v>
      </c>
      <c r="M8" s="18" t="n">
        <v>0</v>
      </c>
      <c r="N8" s="20" t="n">
        <v>0</v>
      </c>
      <c r="O8" s="18" t="n">
        <v>0</v>
      </c>
      <c r="P8" s="20" t="n">
        <v>0</v>
      </c>
      <c r="Q8" s="18" t="n">
        <v>1.87132416</v>
      </c>
      <c r="R8" s="20" t="n">
        <v>0.42419692</v>
      </c>
    </row>
    <row r="9" spans="1:18">
      <c r="A9" s="15" t="s">
        <v>567</v>
      </c>
      <c r="B9" s="17" t="n">
        <v>9651</v>
      </c>
      <c r="C9" s="18">
        <f>(7657.0/B9*100)</f>
        <v/>
      </c>
      <c r="D9" s="19" t="n">
        <v>1994</v>
      </c>
      <c r="E9" s="18" t="n">
        <v>23.62827793</v>
      </c>
      <c r="F9" s="20" t="n">
        <v>1.00105209</v>
      </c>
      <c r="G9" s="18" t="n">
        <v>74.13937935</v>
      </c>
      <c r="H9" s="20" t="n">
        <v>1.03805176</v>
      </c>
      <c r="I9" s="18" t="n">
        <v>0</v>
      </c>
      <c r="J9" s="20" t="n">
        <v>0</v>
      </c>
      <c r="K9" s="18" t="n">
        <v>1.07789852</v>
      </c>
      <c r="L9" s="20" t="n">
        <v>0.22723874</v>
      </c>
      <c r="M9" s="18" t="n">
        <v>0</v>
      </c>
      <c r="N9" s="20" t="n">
        <v>0</v>
      </c>
      <c r="O9" s="18" t="n">
        <v>0</v>
      </c>
      <c r="P9" s="20" t="n">
        <v>0</v>
      </c>
      <c r="Q9" s="18" t="n">
        <v>1.1544442</v>
      </c>
      <c r="R9" s="20" t="n">
        <v>0.2475296</v>
      </c>
    </row>
    <row r="10" spans="1:18">
      <c r="A10" s="15" t="s">
        <v>568</v>
      </c>
      <c r="B10" s="17" t="n">
        <v>20058</v>
      </c>
      <c r="C10" s="18">
        <f>(15688.0/B10*100)</f>
        <v/>
      </c>
      <c r="D10" s="19" t="n">
        <v>4370</v>
      </c>
      <c r="E10" s="18" t="n">
        <v>22.56282493</v>
      </c>
      <c r="F10" s="20" t="n">
        <v>0.72002261</v>
      </c>
      <c r="G10" s="18" t="n">
        <v>74.8145474</v>
      </c>
      <c r="H10" s="20" t="n">
        <v>0.78308099</v>
      </c>
      <c r="I10" s="18" t="n">
        <v>0</v>
      </c>
      <c r="J10" s="20" t="n">
        <v>0</v>
      </c>
      <c r="K10" s="18" t="n">
        <v>0.84519481</v>
      </c>
      <c r="L10" s="20" t="n">
        <v>0.22514001</v>
      </c>
      <c r="M10" s="18" t="n">
        <v>0</v>
      </c>
      <c r="N10" s="20" t="n">
        <v>0</v>
      </c>
      <c r="O10" s="18" t="n">
        <v>0</v>
      </c>
      <c r="P10" s="20" t="n">
        <v>0</v>
      </c>
      <c r="Q10" s="18" t="n">
        <v>1.77743286</v>
      </c>
      <c r="R10" s="20" t="n">
        <v>0.28193631</v>
      </c>
    </row>
    <row r="11" spans="1:18">
      <c r="A11" s="15" t="s">
        <v>569</v>
      </c>
      <c r="B11" s="17" t="n">
        <v>7053</v>
      </c>
      <c r="C11" s="18">
        <f>(5625.0/B11*100)</f>
        <v/>
      </c>
      <c r="D11" s="19" t="n">
        <v>1428</v>
      </c>
      <c r="E11" s="18" t="n">
        <v>26.71259582</v>
      </c>
      <c r="F11" s="20" t="n">
        <v>1.53000046</v>
      </c>
      <c r="G11" s="18" t="n">
        <v>69.11344239</v>
      </c>
      <c r="H11" s="20" t="n">
        <v>1.7490409</v>
      </c>
      <c r="I11" s="18" t="n">
        <v>0</v>
      </c>
      <c r="J11" s="20" t="n">
        <v>0</v>
      </c>
      <c r="K11" s="18" t="n">
        <v>2.31073036</v>
      </c>
      <c r="L11" s="20" t="n">
        <v>0.57382079</v>
      </c>
      <c r="M11" s="18" t="n">
        <v>0</v>
      </c>
      <c r="N11" s="20" t="n">
        <v>0</v>
      </c>
      <c r="O11" s="18" t="n">
        <v>0</v>
      </c>
      <c r="P11" s="20" t="n">
        <v>0</v>
      </c>
      <c r="Q11" s="18" t="n">
        <v>1.86323143</v>
      </c>
      <c r="R11" s="20" t="n">
        <v>0.44378719</v>
      </c>
    </row>
    <row r="12" spans="1:18">
      <c r="A12" s="15" t="s">
        <v>570</v>
      </c>
      <c r="B12" s="17" t="n">
        <v>6894</v>
      </c>
      <c r="C12" s="18">
        <f>(5394.0/B12*100)</f>
        <v/>
      </c>
      <c r="D12" s="19" t="n">
        <v>1500</v>
      </c>
      <c r="E12" s="18" t="n">
        <v>19.1860209</v>
      </c>
      <c r="F12" s="20" t="n">
        <v>1.16891152</v>
      </c>
      <c r="G12" s="18" t="n">
        <v>79.77271989</v>
      </c>
      <c r="H12" s="20" t="n">
        <v>1.16712276</v>
      </c>
      <c r="I12" s="18" t="n">
        <v>0</v>
      </c>
      <c r="J12" s="20" t="n">
        <v>0</v>
      </c>
      <c r="K12" s="18" t="n">
        <v>0.36199938</v>
      </c>
      <c r="L12" s="20" t="n">
        <v>0.1844411</v>
      </c>
      <c r="M12" s="18" t="n">
        <v>0</v>
      </c>
      <c r="N12" s="20" t="n">
        <v>0</v>
      </c>
      <c r="O12" s="18" t="n">
        <v>0</v>
      </c>
      <c r="P12" s="20" t="n">
        <v>0</v>
      </c>
      <c r="Q12" s="18" t="n">
        <v>0.6792598399999999</v>
      </c>
      <c r="R12" s="20" t="n">
        <v>0.20133256</v>
      </c>
    </row>
    <row r="13" spans="1:18">
      <c r="A13" s="15" t="s">
        <v>571</v>
      </c>
      <c r="B13" s="17" t="n">
        <v>7161</v>
      </c>
      <c r="C13" s="18">
        <f>(5648.0/B13*100)</f>
        <v/>
      </c>
      <c r="D13" s="19" t="n">
        <v>1513</v>
      </c>
      <c r="E13" s="18" t="n">
        <v>27.29563879</v>
      </c>
      <c r="F13" s="20" t="n">
        <v>1.32945781</v>
      </c>
      <c r="G13" s="18" t="n">
        <v>71.04963769</v>
      </c>
      <c r="H13" s="20" t="n">
        <v>1.30585425</v>
      </c>
      <c r="I13" s="18" t="n">
        <v>0</v>
      </c>
      <c r="J13" s="20" t="n">
        <v>0</v>
      </c>
      <c r="K13" s="18" t="n">
        <v>0.46686766</v>
      </c>
      <c r="L13" s="20" t="n">
        <v>0.17121212</v>
      </c>
      <c r="M13" s="18" t="n">
        <v>0</v>
      </c>
      <c r="N13" s="20" t="n">
        <v>0</v>
      </c>
      <c r="O13" s="18" t="n">
        <v>0</v>
      </c>
      <c r="P13" s="20" t="n">
        <v>0</v>
      </c>
      <c r="Q13" s="18" t="n">
        <v>1.18785586</v>
      </c>
      <c r="R13" s="20" t="n">
        <v>0.32743592</v>
      </c>
    </row>
    <row r="14" spans="1:18">
      <c r="A14" s="15" t="s">
        <v>572</v>
      </c>
      <c r="B14" s="17" t="n">
        <v>5587</v>
      </c>
      <c r="C14" s="18">
        <f>(4414.0/B14*100)</f>
        <v/>
      </c>
      <c r="D14" s="19" t="n">
        <v>1173</v>
      </c>
      <c r="E14" s="18" t="n">
        <v>29.39843189</v>
      </c>
      <c r="F14" s="20" t="n">
        <v>1.55105795</v>
      </c>
      <c r="G14" s="18" t="n">
        <v>68.78862381</v>
      </c>
      <c r="H14" s="20" t="n">
        <v>1.62174895</v>
      </c>
      <c r="I14" s="18" t="n">
        <v>0</v>
      </c>
      <c r="J14" s="20" t="n">
        <v>0</v>
      </c>
      <c r="K14" s="18" t="n">
        <v>0.68550845</v>
      </c>
      <c r="L14" s="20" t="n">
        <v>0.21376534</v>
      </c>
      <c r="M14" s="18" t="n">
        <v>0</v>
      </c>
      <c r="N14" s="20" t="n">
        <v>0</v>
      </c>
      <c r="O14" s="18" t="n">
        <v>0</v>
      </c>
      <c r="P14" s="20" t="n">
        <v>0</v>
      </c>
      <c r="Q14" s="18" t="n">
        <v>1.12743585</v>
      </c>
      <c r="R14" s="20" t="n">
        <v>0.35443072</v>
      </c>
    </row>
    <row r="15" spans="1:18">
      <c r="A15" s="15" t="s">
        <v>573</v>
      </c>
      <c r="B15" s="17" t="n">
        <v>5882</v>
      </c>
      <c r="C15" s="18">
        <f>(4635.0/B15*100)</f>
        <v/>
      </c>
      <c r="D15" s="19" t="n">
        <v>1247</v>
      </c>
      <c r="E15" s="18" t="n">
        <v>19.40324892</v>
      </c>
      <c r="F15" s="20" t="n">
        <v>1.15113777</v>
      </c>
      <c r="G15" s="18" t="n">
        <v>78.24728603</v>
      </c>
      <c r="H15" s="20" t="n">
        <v>1.19860113</v>
      </c>
      <c r="I15" s="18" t="n">
        <v>0</v>
      </c>
      <c r="J15" s="20" t="n">
        <v>0</v>
      </c>
      <c r="K15" s="18" t="n">
        <v>0.35801659</v>
      </c>
      <c r="L15" s="20" t="n">
        <v>0.19091389</v>
      </c>
      <c r="M15" s="18" t="n">
        <v>0</v>
      </c>
      <c r="N15" s="20" t="n">
        <v>0</v>
      </c>
      <c r="O15" s="18" t="n">
        <v>0</v>
      </c>
      <c r="P15" s="20" t="n">
        <v>0</v>
      </c>
      <c r="Q15" s="18" t="n">
        <v>1.99144846</v>
      </c>
      <c r="R15" s="20" t="n">
        <v>0.36189048</v>
      </c>
    </row>
    <row r="16" spans="1:18">
      <c r="A16" s="15" t="s">
        <v>574</v>
      </c>
      <c r="B16" s="17" t="n">
        <v>6108</v>
      </c>
      <c r="C16" s="18">
        <f>(4834.0/B16*100)</f>
        <v/>
      </c>
      <c r="D16" s="19" t="n">
        <v>1274</v>
      </c>
      <c r="E16" s="18" t="n">
        <v>28.96333129</v>
      </c>
      <c r="F16" s="20" t="n">
        <v>1.35960334</v>
      </c>
      <c r="G16" s="18" t="n">
        <v>67.10599073</v>
      </c>
      <c r="H16" s="20" t="n">
        <v>1.34621572</v>
      </c>
      <c r="I16" s="18" t="n">
        <v>0</v>
      </c>
      <c r="J16" s="20" t="n">
        <v>0</v>
      </c>
      <c r="K16" s="18" t="n">
        <v>1.22750792</v>
      </c>
      <c r="L16" s="20" t="n">
        <v>0.27316737</v>
      </c>
      <c r="M16" s="18" t="n">
        <v>0</v>
      </c>
      <c r="N16" s="20" t="n">
        <v>0</v>
      </c>
      <c r="O16" s="18" t="n">
        <v>0</v>
      </c>
      <c r="P16" s="20" t="n">
        <v>0</v>
      </c>
      <c r="Q16" s="18" t="n">
        <v>2.70317007</v>
      </c>
      <c r="R16" s="20" t="n">
        <v>0.54448876</v>
      </c>
    </row>
    <row r="17" spans="1:18">
      <c r="A17" s="15" t="s">
        <v>575</v>
      </c>
      <c r="B17" s="17" t="n">
        <v>6504</v>
      </c>
      <c r="C17" s="18">
        <f>(5096.0/B17*100)</f>
        <v/>
      </c>
      <c r="D17" s="19" t="n">
        <v>1408</v>
      </c>
      <c r="E17" s="18" t="n">
        <v>19.74009242</v>
      </c>
      <c r="F17" s="20" t="n">
        <v>1.14570477</v>
      </c>
      <c r="G17" s="18" t="n">
        <v>77.04960964999999</v>
      </c>
      <c r="H17" s="20" t="n">
        <v>1.18901524</v>
      </c>
      <c r="I17" s="18" t="n">
        <v>0</v>
      </c>
      <c r="J17" s="20" t="n">
        <v>0</v>
      </c>
      <c r="K17" s="18" t="n">
        <v>0.54734836</v>
      </c>
      <c r="L17" s="20" t="n">
        <v>0.16745291</v>
      </c>
      <c r="M17" s="18" t="n">
        <v>0</v>
      </c>
      <c r="N17" s="20" t="n">
        <v>0</v>
      </c>
      <c r="O17" s="18" t="n">
        <v>0</v>
      </c>
      <c r="P17" s="20" t="n">
        <v>0</v>
      </c>
      <c r="Q17" s="18" t="n">
        <v>2.66294957</v>
      </c>
      <c r="R17" s="20" t="n">
        <v>0.40561686</v>
      </c>
    </row>
    <row r="18" spans="1:18">
      <c r="A18" s="15" t="s">
        <v>576</v>
      </c>
      <c r="B18" s="17" t="n">
        <v>5532</v>
      </c>
      <c r="C18" s="18">
        <f>(4339.0/B18*100)</f>
        <v/>
      </c>
      <c r="D18" s="19" t="n">
        <v>1193</v>
      </c>
      <c r="E18" s="18" t="n">
        <v>21.61519757</v>
      </c>
      <c r="F18" s="20" t="n">
        <v>1.4031902</v>
      </c>
      <c r="G18" s="18" t="n">
        <v>72.79810740000001</v>
      </c>
      <c r="H18" s="20" t="n">
        <v>1.77401978</v>
      </c>
      <c r="I18" s="18" t="n">
        <v>0</v>
      </c>
      <c r="J18" s="20" t="n">
        <v>0</v>
      </c>
      <c r="K18" s="18" t="n">
        <v>1.70330819</v>
      </c>
      <c r="L18" s="20" t="n">
        <v>0.46421725</v>
      </c>
      <c r="M18" s="18" t="n">
        <v>0</v>
      </c>
      <c r="N18" s="20" t="n">
        <v>0</v>
      </c>
      <c r="O18" s="18" t="n">
        <v>0</v>
      </c>
      <c r="P18" s="20" t="n">
        <v>0</v>
      </c>
      <c r="Q18" s="18" t="n">
        <v>3.88338683</v>
      </c>
      <c r="R18" s="20" t="n">
        <v>0.64128179</v>
      </c>
    </row>
    <row r="19" spans="1:18">
      <c r="A19" s="15" t="s">
        <v>577</v>
      </c>
      <c r="B19" s="17" t="n">
        <v>5658</v>
      </c>
      <c r="C19" s="18">
        <f>(4434.0/B19*100)</f>
        <v/>
      </c>
      <c r="D19" s="19" t="n">
        <v>1224</v>
      </c>
      <c r="E19" s="18" t="n">
        <v>32.55533721</v>
      </c>
      <c r="F19" s="20" t="n">
        <v>1.39531375</v>
      </c>
      <c r="G19" s="18" t="n">
        <v>64.44161583</v>
      </c>
      <c r="H19" s="20" t="n">
        <v>1.36781147</v>
      </c>
      <c r="I19" s="18" t="n">
        <v>0</v>
      </c>
      <c r="J19" s="20" t="n">
        <v>0</v>
      </c>
      <c r="K19" s="18" t="n">
        <v>0.25972036</v>
      </c>
      <c r="L19" s="20" t="n">
        <v>0.12015773</v>
      </c>
      <c r="M19" s="18" t="n">
        <v>0</v>
      </c>
      <c r="N19" s="20" t="n">
        <v>0</v>
      </c>
      <c r="O19" s="18" t="n">
        <v>0</v>
      </c>
      <c r="P19" s="20" t="n">
        <v>0</v>
      </c>
      <c r="Q19" s="18" t="n">
        <v>2.74332659</v>
      </c>
      <c r="R19" s="20" t="n">
        <v>0.53675632</v>
      </c>
    </row>
    <row r="20" spans="1:18">
      <c r="A20" s="15" t="s">
        <v>578</v>
      </c>
      <c r="B20" s="17" t="n">
        <v>3371</v>
      </c>
      <c r="C20" s="18">
        <f>(2643.0/B20*100)</f>
        <v/>
      </c>
      <c r="D20" s="19" t="n">
        <v>728</v>
      </c>
      <c r="E20" s="18" t="n">
        <v>17.59562767</v>
      </c>
      <c r="F20" s="20" t="n">
        <v>1.50572753</v>
      </c>
      <c r="G20" s="18" t="n">
        <v>80.79569899000001</v>
      </c>
      <c r="H20" s="20" t="n">
        <v>1.45909289</v>
      </c>
      <c r="I20" s="18" t="n">
        <v>0</v>
      </c>
      <c r="J20" s="20" t="n">
        <v>0</v>
      </c>
      <c r="K20" s="18" t="n">
        <v>0.6034567199999999</v>
      </c>
      <c r="L20" s="20" t="n">
        <v>0.30340314</v>
      </c>
      <c r="M20" s="18" t="n">
        <v>0</v>
      </c>
      <c r="N20" s="20" t="n">
        <v>0</v>
      </c>
      <c r="O20" s="18" t="n">
        <v>0</v>
      </c>
      <c r="P20" s="20" t="n">
        <v>0</v>
      </c>
      <c r="Q20" s="18" t="n">
        <v>1.00521662</v>
      </c>
      <c r="R20" s="20" t="n">
        <v>0.39579038</v>
      </c>
    </row>
    <row r="21" spans="1:18">
      <c r="A21" s="15" t="s">
        <v>579</v>
      </c>
      <c r="B21" s="17" t="n">
        <v>5741</v>
      </c>
      <c r="C21" s="18">
        <f>(4466.0/B21*100)</f>
        <v/>
      </c>
      <c r="D21" s="19" t="n">
        <v>1275</v>
      </c>
      <c r="E21" s="18" t="n">
        <v>39.62508272</v>
      </c>
      <c r="F21" s="20" t="n">
        <v>1.38719226</v>
      </c>
      <c r="G21" s="18" t="n">
        <v>59.13532428</v>
      </c>
      <c r="H21" s="20" t="n">
        <v>1.343902</v>
      </c>
      <c r="I21" s="18" t="n">
        <v>0</v>
      </c>
      <c r="J21" s="20" t="n">
        <v>0</v>
      </c>
      <c r="K21" s="18" t="n">
        <v>0.35421614</v>
      </c>
      <c r="L21" s="20" t="n">
        <v>0.19544073</v>
      </c>
      <c r="M21" s="18" t="n">
        <v>0</v>
      </c>
      <c r="N21" s="20" t="n">
        <v>0</v>
      </c>
      <c r="O21" s="18" t="n">
        <v>0</v>
      </c>
      <c r="P21" s="20" t="n">
        <v>0</v>
      </c>
      <c r="Q21" s="18" t="n">
        <v>0.88537686</v>
      </c>
      <c r="R21" s="20" t="n">
        <v>0.26556642</v>
      </c>
    </row>
    <row r="22" spans="1:18">
      <c r="A22" s="15" t="s">
        <v>580</v>
      </c>
      <c r="B22" s="17" t="n">
        <v>6598</v>
      </c>
      <c r="C22" s="18">
        <f>(5162.0/B22*100)</f>
        <v/>
      </c>
      <c r="D22" s="19" t="n">
        <v>1436</v>
      </c>
      <c r="E22" s="18" t="n">
        <v>43.17076872</v>
      </c>
      <c r="F22" s="20" t="n">
        <v>1.54558741</v>
      </c>
      <c r="G22" s="18" t="n">
        <v>53.18796957</v>
      </c>
      <c r="H22" s="20" t="n">
        <v>1.47252479</v>
      </c>
      <c r="I22" s="18" t="n">
        <v>0</v>
      </c>
      <c r="J22" s="20" t="n">
        <v>0</v>
      </c>
      <c r="K22" s="18" t="n">
        <v>1.20471989</v>
      </c>
      <c r="L22" s="20" t="n">
        <v>0.32130574</v>
      </c>
      <c r="M22" s="18" t="n">
        <v>0</v>
      </c>
      <c r="N22" s="20" t="n">
        <v>0</v>
      </c>
      <c r="O22" s="18" t="n">
        <v>0</v>
      </c>
      <c r="P22" s="20" t="n">
        <v>0</v>
      </c>
      <c r="Q22" s="18" t="n">
        <v>2.43654182</v>
      </c>
      <c r="R22" s="20" t="n">
        <v>0.34426957</v>
      </c>
    </row>
    <row r="23" spans="1:18">
      <c r="A23" s="15" t="s">
        <v>581</v>
      </c>
      <c r="B23" s="17" t="n">
        <v>11583</v>
      </c>
      <c r="C23" s="18">
        <f>(9035.0/B23*100)</f>
        <v/>
      </c>
      <c r="D23" s="19" t="n">
        <v>2548</v>
      </c>
      <c r="E23" s="18" t="n">
        <v>33.62065755</v>
      </c>
      <c r="F23" s="20" t="n">
        <v>1.37451771</v>
      </c>
      <c r="G23" s="18" t="n">
        <v>62.75616043</v>
      </c>
      <c r="H23" s="20" t="n">
        <v>1.46185179</v>
      </c>
      <c r="I23" s="18" t="n">
        <v>0</v>
      </c>
      <c r="J23" s="20" t="n">
        <v>0</v>
      </c>
      <c r="K23" s="18" t="n">
        <v>1.27794637</v>
      </c>
      <c r="L23" s="20" t="n">
        <v>0.38623828</v>
      </c>
      <c r="M23" s="18" t="n">
        <v>0</v>
      </c>
      <c r="N23" s="20" t="n">
        <v>0</v>
      </c>
      <c r="O23" s="18" t="n">
        <v>0</v>
      </c>
      <c r="P23" s="20" t="n">
        <v>0</v>
      </c>
      <c r="Q23" s="18" t="n">
        <v>2.34523565</v>
      </c>
      <c r="R23" s="20" t="n">
        <v>0.49019705</v>
      </c>
    </row>
    <row r="24" spans="1:18">
      <c r="A24" s="15" t="s">
        <v>582</v>
      </c>
      <c r="B24" s="17" t="n">
        <v>6647</v>
      </c>
      <c r="C24" s="18">
        <f>(5173.0/B24*100)</f>
        <v/>
      </c>
      <c r="D24" s="19" t="n">
        <v>1474</v>
      </c>
      <c r="E24" s="18" t="n">
        <v>6.18783104</v>
      </c>
      <c r="F24" s="20" t="n">
        <v>0.67218969</v>
      </c>
      <c r="G24" s="18" t="n">
        <v>88.98554645999999</v>
      </c>
      <c r="H24" s="20" t="n">
        <v>0.92872373</v>
      </c>
      <c r="I24" s="18" t="n">
        <v>0</v>
      </c>
      <c r="J24" s="20" t="n">
        <v>0</v>
      </c>
      <c r="K24" s="18" t="n">
        <v>0.39612287</v>
      </c>
      <c r="L24" s="20" t="n">
        <v>0.18717541</v>
      </c>
      <c r="M24" s="18" t="n">
        <v>0</v>
      </c>
      <c r="N24" s="20" t="n">
        <v>0</v>
      </c>
      <c r="O24" s="18" t="n">
        <v>0</v>
      </c>
      <c r="P24" s="20" t="n">
        <v>0</v>
      </c>
      <c r="Q24" s="18" t="n">
        <v>4.43049963</v>
      </c>
      <c r="R24" s="20" t="n">
        <v>0.64079312</v>
      </c>
    </row>
    <row r="25" spans="1:18">
      <c r="A25" s="15" t="s">
        <v>583</v>
      </c>
      <c r="B25" s="17" t="n">
        <v>5581</v>
      </c>
      <c r="C25" s="18">
        <f>(4330.0/B25*100)</f>
        <v/>
      </c>
      <c r="D25" s="19" t="n">
        <v>1251</v>
      </c>
      <c r="E25" s="18" t="n">
        <v>10.51245168</v>
      </c>
      <c r="F25" s="20" t="n">
        <v>0.70082917</v>
      </c>
      <c r="G25" s="18" t="n">
        <v>85.48615319</v>
      </c>
      <c r="H25" s="20" t="n">
        <v>0.93318402</v>
      </c>
      <c r="I25" s="18" t="n">
        <v>0</v>
      </c>
      <c r="J25" s="20" t="n">
        <v>0</v>
      </c>
      <c r="K25" s="18" t="n">
        <v>0.45299233</v>
      </c>
      <c r="L25" s="20" t="n">
        <v>0.21546079</v>
      </c>
      <c r="M25" s="18" t="n">
        <v>0</v>
      </c>
      <c r="N25" s="20" t="n">
        <v>0</v>
      </c>
      <c r="O25" s="18" t="n">
        <v>0</v>
      </c>
      <c r="P25" s="20" t="n">
        <v>0</v>
      </c>
      <c r="Q25" s="18" t="n">
        <v>3.5484028</v>
      </c>
      <c r="R25" s="20" t="n">
        <v>0.54379576</v>
      </c>
    </row>
    <row r="26" spans="1:18">
      <c r="A26" s="15" t="s">
        <v>584</v>
      </c>
      <c r="B26" s="17" t="n">
        <v>4869</v>
      </c>
      <c r="C26" s="18">
        <f>(3811.0/B26*100)</f>
        <v/>
      </c>
      <c r="D26" s="19" t="n">
        <v>1058</v>
      </c>
      <c r="E26" s="18" t="n">
        <v>36.18616355</v>
      </c>
      <c r="F26" s="20" t="n">
        <v>1.65144088</v>
      </c>
      <c r="G26" s="18" t="n">
        <v>62.96155884</v>
      </c>
      <c r="H26" s="20" t="n">
        <v>1.69282469</v>
      </c>
      <c r="I26" s="18" t="n">
        <v>0</v>
      </c>
      <c r="J26" s="20" t="n">
        <v>0</v>
      </c>
      <c r="K26" s="18" t="n">
        <v>0.08918230000000001</v>
      </c>
      <c r="L26" s="20" t="n">
        <v>0.08691068</v>
      </c>
      <c r="M26" s="18" t="n">
        <v>0</v>
      </c>
      <c r="N26" s="20" t="n">
        <v>0</v>
      </c>
      <c r="O26" s="18" t="n">
        <v>0</v>
      </c>
      <c r="P26" s="20" t="n">
        <v>0</v>
      </c>
      <c r="Q26" s="18" t="n">
        <v>0.76309531</v>
      </c>
      <c r="R26" s="20" t="n">
        <v>0.26477499</v>
      </c>
    </row>
    <row r="27" spans="1:18">
      <c r="A27" s="15" t="s">
        <v>585</v>
      </c>
      <c r="B27" s="17" t="n">
        <v>5299</v>
      </c>
      <c r="C27" s="18">
        <f>(4134.0/B27*100)</f>
        <v/>
      </c>
      <c r="D27" s="19" t="n">
        <v>1165</v>
      </c>
      <c r="E27" s="18" t="n">
        <v>25.48283003</v>
      </c>
      <c r="F27" s="20" t="n">
        <v>1.15963785</v>
      </c>
      <c r="G27" s="18" t="n">
        <v>72.01476629</v>
      </c>
      <c r="H27" s="20" t="n">
        <v>1.16605106</v>
      </c>
      <c r="I27" s="18" t="n">
        <v>0</v>
      </c>
      <c r="J27" s="20" t="n">
        <v>0</v>
      </c>
      <c r="K27" s="18" t="n">
        <v>0.58776716</v>
      </c>
      <c r="L27" s="20" t="n">
        <v>0.22366542</v>
      </c>
      <c r="M27" s="18" t="n">
        <v>0</v>
      </c>
      <c r="N27" s="20" t="n">
        <v>0</v>
      </c>
      <c r="O27" s="18" t="n">
        <v>0</v>
      </c>
      <c r="P27" s="20" t="n">
        <v>0</v>
      </c>
      <c r="Q27" s="18" t="n">
        <v>1.91463652</v>
      </c>
      <c r="R27" s="20" t="n">
        <v>0.42135865</v>
      </c>
    </row>
    <row r="28" spans="1:18">
      <c r="A28" s="15" t="s">
        <v>586</v>
      </c>
      <c r="B28" s="17" t="n">
        <v>7568</v>
      </c>
      <c r="C28" s="18">
        <f>(6095.0/B28*100)</f>
        <v/>
      </c>
      <c r="D28" s="19" t="n">
        <v>1473</v>
      </c>
      <c r="E28" s="18" t="n">
        <v>26.95951914</v>
      </c>
      <c r="F28" s="20" t="n">
        <v>1.44432449</v>
      </c>
      <c r="G28" s="18" t="n">
        <v>68.32296613</v>
      </c>
      <c r="H28" s="20" t="n">
        <v>1.42054269</v>
      </c>
      <c r="I28" s="18" t="n">
        <v>0</v>
      </c>
      <c r="J28" s="20" t="n">
        <v>0</v>
      </c>
      <c r="K28" s="18" t="n">
        <v>1.78756832</v>
      </c>
      <c r="L28" s="20" t="n">
        <v>0.48611334</v>
      </c>
      <c r="M28" s="18" t="n">
        <v>0</v>
      </c>
      <c r="N28" s="20" t="n">
        <v>0</v>
      </c>
      <c r="O28" s="18" t="n">
        <v>0</v>
      </c>
      <c r="P28" s="20" t="n">
        <v>0</v>
      </c>
      <c r="Q28" s="18" t="n">
        <v>2.92994641</v>
      </c>
      <c r="R28" s="20" t="n">
        <v>0.48952436</v>
      </c>
    </row>
    <row r="29" spans="1:18">
      <c r="A29" s="15" t="s">
        <v>587</v>
      </c>
      <c r="B29" s="17" t="n">
        <v>5385</v>
      </c>
      <c r="C29" s="18">
        <f>(4225.0/B29*100)</f>
        <v/>
      </c>
      <c r="D29" s="19" t="n">
        <v>1160</v>
      </c>
      <c r="E29" s="18" t="n">
        <v>16.44290226</v>
      </c>
      <c r="F29" s="20" t="n">
        <v>1.15085019</v>
      </c>
      <c r="G29" s="18" t="n">
        <v>81.92979764</v>
      </c>
      <c r="H29" s="20" t="n">
        <v>1.24908381</v>
      </c>
      <c r="I29" s="18" t="n">
        <v>0</v>
      </c>
      <c r="J29" s="20" t="n">
        <v>0</v>
      </c>
      <c r="K29" s="18" t="n">
        <v>0.31933027</v>
      </c>
      <c r="L29" s="20" t="n">
        <v>0.15889653</v>
      </c>
      <c r="M29" s="18" t="n">
        <v>0</v>
      </c>
      <c r="N29" s="20" t="n">
        <v>0</v>
      </c>
      <c r="O29" s="18" t="n">
        <v>0</v>
      </c>
      <c r="P29" s="20" t="n">
        <v>0</v>
      </c>
      <c r="Q29" s="18" t="n">
        <v>1.30796983</v>
      </c>
      <c r="R29" s="20" t="n">
        <v>0.35515466</v>
      </c>
    </row>
    <row r="30" spans="1:18">
      <c r="A30" s="15" t="s">
        <v>588</v>
      </c>
      <c r="B30" s="17" t="n">
        <v>4520</v>
      </c>
      <c r="C30" s="18">
        <f>(3600.0/B30*100)</f>
        <v/>
      </c>
      <c r="D30" s="19" t="n">
        <v>920</v>
      </c>
      <c r="E30" s="18" t="n">
        <v>25.25111911</v>
      </c>
      <c r="F30" s="20" t="n">
        <v>1.17728734</v>
      </c>
      <c r="G30" s="18" t="n">
        <v>73.31023186</v>
      </c>
      <c r="H30" s="20" t="n">
        <v>1.22239494</v>
      </c>
      <c r="I30" s="18" t="n">
        <v>0</v>
      </c>
      <c r="J30" s="20" t="n">
        <v>0</v>
      </c>
      <c r="K30" s="18" t="n">
        <v>0.53016631</v>
      </c>
      <c r="L30" s="20" t="n">
        <v>0.2349</v>
      </c>
      <c r="M30" s="18" t="n">
        <v>0</v>
      </c>
      <c r="N30" s="20" t="n">
        <v>0</v>
      </c>
      <c r="O30" s="18" t="n">
        <v>0</v>
      </c>
      <c r="P30" s="20" t="n">
        <v>0</v>
      </c>
      <c r="Q30" s="18" t="n">
        <v>0.90848272</v>
      </c>
      <c r="R30" s="20" t="n">
        <v>0.31540046</v>
      </c>
    </row>
    <row r="31" spans="1:18">
      <c r="A31" s="15" t="s">
        <v>589</v>
      </c>
      <c r="B31" s="17" t="n">
        <v>5456</v>
      </c>
      <c r="C31" s="18">
        <f>(4307.0/B31*100)</f>
        <v/>
      </c>
      <c r="D31" s="19" t="n">
        <v>1149</v>
      </c>
      <c r="E31" s="18" t="n">
        <v>31.77127322</v>
      </c>
      <c r="F31" s="20" t="n">
        <v>1.29340355</v>
      </c>
      <c r="G31" s="18" t="n">
        <v>66.29555166999999</v>
      </c>
      <c r="H31" s="20" t="n">
        <v>1.37644634</v>
      </c>
      <c r="I31" s="18" t="n">
        <v>0</v>
      </c>
      <c r="J31" s="20" t="n">
        <v>0</v>
      </c>
      <c r="K31" s="18" t="n">
        <v>1.25153387</v>
      </c>
      <c r="L31" s="20" t="n">
        <v>0.33441773</v>
      </c>
      <c r="M31" s="18" t="n">
        <v>0</v>
      </c>
      <c r="N31" s="20" t="n">
        <v>0</v>
      </c>
      <c r="O31" s="18" t="n">
        <v>0</v>
      </c>
      <c r="P31" s="20" t="n">
        <v>0</v>
      </c>
      <c r="Q31" s="18" t="n">
        <v>0.68164124</v>
      </c>
      <c r="R31" s="20" t="n">
        <v>0.26150562</v>
      </c>
    </row>
    <row r="32" spans="1:18">
      <c r="A32" s="15" t="s">
        <v>590</v>
      </c>
      <c r="B32" s="17" t="n">
        <v>4478</v>
      </c>
      <c r="C32" s="18">
        <f>(3523.0/B32*100)</f>
        <v/>
      </c>
      <c r="D32" s="19" t="n">
        <v>955</v>
      </c>
      <c r="E32" s="18" t="n">
        <v>34.76174792</v>
      </c>
      <c r="F32" s="20" t="n">
        <v>1.56166809</v>
      </c>
      <c r="G32" s="18" t="n">
        <v>63.36519381</v>
      </c>
      <c r="H32" s="20" t="n">
        <v>1.59131087</v>
      </c>
      <c r="I32" s="18" t="n">
        <v>0</v>
      </c>
      <c r="J32" s="20" t="n">
        <v>0</v>
      </c>
      <c r="K32" s="18" t="n">
        <v>0.40086238</v>
      </c>
      <c r="L32" s="20" t="n">
        <v>0.19864148</v>
      </c>
      <c r="M32" s="18" t="n">
        <v>0</v>
      </c>
      <c r="N32" s="20" t="n">
        <v>0</v>
      </c>
      <c r="O32" s="18" t="n">
        <v>0</v>
      </c>
      <c r="P32" s="20" t="n">
        <v>0</v>
      </c>
      <c r="Q32" s="18" t="n">
        <v>1.47219589</v>
      </c>
      <c r="R32" s="20" t="n">
        <v>0.39295993</v>
      </c>
    </row>
    <row r="33" spans="1:18">
      <c r="A33" s="15" t="s">
        <v>591</v>
      </c>
      <c r="B33" s="17" t="n">
        <v>7325</v>
      </c>
      <c r="C33" s="18">
        <f>(5872.0/B33*100)</f>
        <v/>
      </c>
      <c r="D33" s="19" t="n">
        <v>1453</v>
      </c>
      <c r="E33" s="18" t="n">
        <v>29.3362907</v>
      </c>
      <c r="F33" s="20" t="n">
        <v>1.40385683</v>
      </c>
      <c r="G33" s="18" t="n">
        <v>67.1883728</v>
      </c>
      <c r="H33" s="20" t="n">
        <v>1.57780724</v>
      </c>
      <c r="I33" s="18" t="n">
        <v>0</v>
      </c>
      <c r="J33" s="20" t="n">
        <v>0</v>
      </c>
      <c r="K33" s="18" t="n">
        <v>0.64973938</v>
      </c>
      <c r="L33" s="20" t="n">
        <v>0.23967446</v>
      </c>
      <c r="M33" s="18" t="n">
        <v>0</v>
      </c>
      <c r="N33" s="20" t="n">
        <v>0</v>
      </c>
      <c r="O33" s="18" t="n">
        <v>0</v>
      </c>
      <c r="P33" s="20" t="n">
        <v>0</v>
      </c>
      <c r="Q33" s="18" t="n">
        <v>2.82559712</v>
      </c>
      <c r="R33" s="20" t="n">
        <v>0.5457153</v>
      </c>
    </row>
    <row r="34" spans="1:18">
      <c r="A34" s="15" t="s">
        <v>592</v>
      </c>
      <c r="B34" s="17" t="n">
        <v>6350</v>
      </c>
      <c r="C34" s="18">
        <f>(5029.0/B34*100)</f>
        <v/>
      </c>
      <c r="D34" s="19" t="n">
        <v>1321</v>
      </c>
      <c r="E34" s="18" t="n">
        <v>32.13004838</v>
      </c>
      <c r="F34" s="20" t="n">
        <v>1.30992987</v>
      </c>
      <c r="G34" s="18" t="n">
        <v>64.55088431999999</v>
      </c>
      <c r="H34" s="20" t="n">
        <v>1.36619121</v>
      </c>
      <c r="I34" s="18" t="n">
        <v>0</v>
      </c>
      <c r="J34" s="20" t="n">
        <v>0</v>
      </c>
      <c r="K34" s="18" t="n">
        <v>0.28212848</v>
      </c>
      <c r="L34" s="20" t="n">
        <v>0.17469721</v>
      </c>
      <c r="M34" s="18" t="n">
        <v>0</v>
      </c>
      <c r="N34" s="20" t="n">
        <v>0</v>
      </c>
      <c r="O34" s="18" t="n">
        <v>0</v>
      </c>
      <c r="P34" s="20" t="n">
        <v>0</v>
      </c>
      <c r="Q34" s="18" t="n">
        <v>3.03693881</v>
      </c>
      <c r="R34" s="20" t="n">
        <v>0.50495211</v>
      </c>
    </row>
    <row r="35" spans="1:18">
      <c r="A35" s="15" t="s">
        <v>593</v>
      </c>
      <c r="B35" s="17" t="n">
        <v>6406</v>
      </c>
      <c r="C35" s="18">
        <f>(4998.0/B35*100)</f>
        <v/>
      </c>
      <c r="D35" s="19" t="n">
        <v>1408</v>
      </c>
      <c r="E35" s="18" t="n">
        <v>22.87602072</v>
      </c>
      <c r="F35" s="20" t="n">
        <v>1.29737005</v>
      </c>
      <c r="G35" s="18" t="n">
        <v>74.59455496</v>
      </c>
      <c r="H35" s="20" t="n">
        <v>1.40738208</v>
      </c>
      <c r="I35" s="18" t="n">
        <v>0</v>
      </c>
      <c r="J35" s="20" t="n">
        <v>0</v>
      </c>
      <c r="K35" s="18" t="n">
        <v>0.588203</v>
      </c>
      <c r="L35" s="20" t="n">
        <v>0.23976167</v>
      </c>
      <c r="M35" s="18" t="n">
        <v>0</v>
      </c>
      <c r="N35" s="20" t="n">
        <v>0</v>
      </c>
      <c r="O35" s="18" t="n">
        <v>0</v>
      </c>
      <c r="P35" s="20" t="n">
        <v>0</v>
      </c>
      <c r="Q35" s="18" t="n">
        <v>1.94122131</v>
      </c>
      <c r="R35" s="20" t="n">
        <v>0.40379609</v>
      </c>
    </row>
    <row r="36" spans="1:18">
      <c r="A36" s="15" t="s">
        <v>594</v>
      </c>
      <c r="B36" s="17" t="n">
        <v>6736</v>
      </c>
      <c r="C36" s="18">
        <f>(5271.0/B36*100)</f>
        <v/>
      </c>
      <c r="D36" s="19" t="n">
        <v>1465</v>
      </c>
      <c r="E36" s="18" t="n">
        <v>24.81133244</v>
      </c>
      <c r="F36" s="20" t="n">
        <v>1.20341864</v>
      </c>
      <c r="G36" s="18" t="n">
        <v>73.09320090999999</v>
      </c>
      <c r="H36" s="20" t="n">
        <v>1.19780773</v>
      </c>
      <c r="I36" s="18" t="n">
        <v>0</v>
      </c>
      <c r="J36" s="20" t="n">
        <v>0</v>
      </c>
      <c r="K36" s="18" t="n">
        <v>0.89917855</v>
      </c>
      <c r="L36" s="20" t="n">
        <v>0.25977088</v>
      </c>
      <c r="M36" s="18" t="n">
        <v>0</v>
      </c>
      <c r="N36" s="20" t="n">
        <v>0</v>
      </c>
      <c r="O36" s="18" t="n">
        <v>0</v>
      </c>
      <c r="P36" s="20" t="n">
        <v>0</v>
      </c>
      <c r="Q36" s="18" t="n">
        <v>1.1962881</v>
      </c>
      <c r="R36" s="20" t="n">
        <v>0.32866449</v>
      </c>
    </row>
    <row r="37" spans="1:18">
      <c r="A37" s="15" t="s">
        <v>595</v>
      </c>
      <c r="B37" s="17" t="n">
        <v>5458</v>
      </c>
      <c r="C37" s="18">
        <f>(4337.0/B37*100)</f>
        <v/>
      </c>
      <c r="D37" s="19" t="n">
        <v>1121</v>
      </c>
      <c r="E37" s="18" t="n">
        <v>28.32396856</v>
      </c>
      <c r="F37" s="20" t="n">
        <v>1.53337673</v>
      </c>
      <c r="G37" s="18" t="n">
        <v>68.55127883</v>
      </c>
      <c r="H37" s="20" t="n">
        <v>1.56313494</v>
      </c>
      <c r="I37" s="18" t="n">
        <v>0</v>
      </c>
      <c r="J37" s="20" t="n">
        <v>0</v>
      </c>
      <c r="K37" s="18" t="n">
        <v>1.4975093</v>
      </c>
      <c r="L37" s="20" t="n">
        <v>0.4405693</v>
      </c>
      <c r="M37" s="18" t="n">
        <v>0</v>
      </c>
      <c r="N37" s="20" t="n">
        <v>0</v>
      </c>
      <c r="O37" s="18" t="n">
        <v>0</v>
      </c>
      <c r="P37" s="20" t="n">
        <v>0</v>
      </c>
      <c r="Q37" s="18" t="n">
        <v>1.62724331</v>
      </c>
      <c r="R37" s="20" t="n">
        <v>0.39638655</v>
      </c>
    </row>
    <row r="38" spans="1:18">
      <c r="A38" s="15" t="s">
        <v>596</v>
      </c>
      <c r="B38" s="17" t="n">
        <v>5860</v>
      </c>
      <c r="C38" s="18">
        <f>(4572.0/B38*100)</f>
        <v/>
      </c>
      <c r="D38" s="19" t="n">
        <v>1288</v>
      </c>
      <c r="E38" s="18" t="n">
        <v>22.78758966</v>
      </c>
      <c r="F38" s="20" t="n">
        <v>1.42120241</v>
      </c>
      <c r="G38" s="18" t="n">
        <v>74.68232272</v>
      </c>
      <c r="H38" s="20" t="n">
        <v>1.56122172</v>
      </c>
      <c r="I38" s="18" t="n">
        <v>0</v>
      </c>
      <c r="J38" s="20" t="n">
        <v>0</v>
      </c>
      <c r="K38" s="18" t="n">
        <v>1.16136798</v>
      </c>
      <c r="L38" s="20" t="n">
        <v>0.37378449</v>
      </c>
      <c r="M38" s="18" t="n">
        <v>0</v>
      </c>
      <c r="N38" s="20" t="n">
        <v>0</v>
      </c>
      <c r="O38" s="18" t="n">
        <v>0</v>
      </c>
      <c r="P38" s="20" t="n">
        <v>0</v>
      </c>
      <c r="Q38" s="18" t="n">
        <v>1.36871964</v>
      </c>
      <c r="R38" s="20" t="n">
        <v>0.35313889</v>
      </c>
    </row>
    <row r="39" spans="1:18">
      <c r="A39" s="15" t="s">
        <v>597</v>
      </c>
      <c r="B39" s="17" t="n">
        <v>5895</v>
      </c>
      <c r="C39" s="18">
        <f>(4586.0/B39*100)</f>
        <v/>
      </c>
      <c r="D39" s="19" t="n">
        <v>1309</v>
      </c>
      <c r="E39" s="18" t="n">
        <v>56.13586795</v>
      </c>
      <c r="F39" s="20" t="n">
        <v>1.43948014</v>
      </c>
      <c r="G39" s="18" t="n">
        <v>38.87291371</v>
      </c>
      <c r="H39" s="20" t="n">
        <v>1.26375721</v>
      </c>
      <c r="I39" s="18" t="n">
        <v>0</v>
      </c>
      <c r="J39" s="20" t="n">
        <v>0</v>
      </c>
      <c r="K39" s="18" t="n">
        <v>0.4437943</v>
      </c>
      <c r="L39" s="20" t="n">
        <v>0.19039664</v>
      </c>
      <c r="M39" s="18" t="n">
        <v>0</v>
      </c>
      <c r="N39" s="20" t="n">
        <v>0</v>
      </c>
      <c r="O39" s="18" t="n">
        <v>0</v>
      </c>
      <c r="P39" s="20" t="n">
        <v>0</v>
      </c>
      <c r="Q39" s="18" t="n">
        <v>4.54742404</v>
      </c>
      <c r="R39" s="20" t="n">
        <v>0.55616319</v>
      </c>
    </row>
    <row r="40" spans="1:18">
      <c r="A40" s="15" t="s">
        <v>598</v>
      </c>
      <c r="B40" s="17" t="n">
        <v>14157</v>
      </c>
      <c r="C40" s="18">
        <f>(11175.0/B40*100)</f>
        <v/>
      </c>
      <c r="D40" s="19" t="n">
        <v>2982</v>
      </c>
      <c r="E40" s="18" t="n">
        <v>29.81586887</v>
      </c>
      <c r="F40" s="20" t="n">
        <v>1.31164837</v>
      </c>
      <c r="G40" s="18" t="n">
        <v>69.07409051</v>
      </c>
      <c r="H40" s="20" t="n">
        <v>1.31077822</v>
      </c>
      <c r="I40" s="18" t="n">
        <v>0</v>
      </c>
      <c r="J40" s="20" t="n">
        <v>0</v>
      </c>
      <c r="K40" s="18" t="n">
        <v>0.43097458</v>
      </c>
      <c r="L40" s="20" t="n">
        <v>0.2158162</v>
      </c>
      <c r="M40" s="18" t="n">
        <v>0</v>
      </c>
      <c r="N40" s="20" t="n">
        <v>0</v>
      </c>
      <c r="O40" s="18" t="n">
        <v>0</v>
      </c>
      <c r="P40" s="20" t="n">
        <v>0</v>
      </c>
      <c r="Q40" s="18" t="n">
        <v>0.67906604</v>
      </c>
      <c r="R40" s="20" t="n">
        <v>0.22584498</v>
      </c>
    </row>
    <row r="41" spans="1:18">
      <c r="A41" s="15" t="s">
        <v>599</v>
      </c>
      <c r="B41" s="17" t="n">
        <v>5712</v>
      </c>
      <c r="C41" s="18">
        <f>(4460.0/B41*100)</f>
        <v/>
      </c>
      <c r="D41" s="19" t="n">
        <v>1252</v>
      </c>
      <c r="E41" s="18" t="n">
        <v>24.86004695</v>
      </c>
      <c r="F41" s="20" t="n">
        <v>1.33615511</v>
      </c>
      <c r="G41" s="18" t="n">
        <v>73.38195278000001</v>
      </c>
      <c r="H41" s="20" t="n">
        <v>1.40726897</v>
      </c>
      <c r="I41" s="18" t="n">
        <v>0</v>
      </c>
      <c r="J41" s="20" t="n">
        <v>0</v>
      </c>
      <c r="K41" s="18" t="n">
        <v>0.59913984</v>
      </c>
      <c r="L41" s="20" t="n">
        <v>0.25213312</v>
      </c>
      <c r="M41" s="18" t="n">
        <v>0</v>
      </c>
      <c r="N41" s="20" t="n">
        <v>0</v>
      </c>
      <c r="O41" s="18" t="n">
        <v>0</v>
      </c>
      <c r="P41" s="20" t="n">
        <v>0</v>
      </c>
      <c r="Q41" s="18" t="n">
        <v>1.15886043</v>
      </c>
      <c r="R41" s="20" t="n">
        <v>0.39225204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(19575.0/B46*100)</f>
        <v/>
      </c>
      <c r="D46" s="19" t="n">
        <v>3566</v>
      </c>
      <c r="E46" s="18" t="n">
        <v>37.61907439</v>
      </c>
      <c r="F46" s="20" t="n">
        <v>1.19089995</v>
      </c>
      <c r="G46" s="18" t="n">
        <v>49.43979589</v>
      </c>
      <c r="H46" s="20" t="n">
        <v>1.18506464</v>
      </c>
      <c r="I46" s="18" t="n">
        <v>0</v>
      </c>
      <c r="J46" s="20" t="n">
        <v>0</v>
      </c>
      <c r="K46" s="18" t="n">
        <v>2.77513017</v>
      </c>
      <c r="L46" s="20" t="n">
        <v>0.40092308</v>
      </c>
      <c r="M46" s="18" t="n">
        <v>0</v>
      </c>
      <c r="N46" s="20" t="n">
        <v>0</v>
      </c>
      <c r="O46" s="18" t="n">
        <v>0</v>
      </c>
      <c r="P46" s="20" t="n">
        <v>0</v>
      </c>
      <c r="Q46" s="18" t="n">
        <v>10.16599954</v>
      </c>
      <c r="R46" s="20" t="n">
        <v>0.68814141</v>
      </c>
    </row>
    <row r="47" spans="1:18">
      <c r="A47" s="15" t="s">
        <v>606</v>
      </c>
      <c r="B47" s="17" t="n">
        <v>5928</v>
      </c>
      <c r="C47" s="18">
        <f>(4709.0/B47*100)</f>
        <v/>
      </c>
      <c r="D47" s="19" t="n">
        <v>1219</v>
      </c>
      <c r="E47" s="18" t="n">
        <v>39.57622425</v>
      </c>
      <c r="F47" s="20" t="n">
        <v>1.63770109</v>
      </c>
      <c r="G47" s="18" t="n">
        <v>55.02128989</v>
      </c>
      <c r="H47" s="20" t="n">
        <v>1.71002124</v>
      </c>
      <c r="I47" s="18" t="n">
        <v>0</v>
      </c>
      <c r="J47" s="20" t="n">
        <v>0</v>
      </c>
      <c r="K47" s="18" t="n">
        <v>0.64275832</v>
      </c>
      <c r="L47" s="20" t="n">
        <v>0.26200882</v>
      </c>
      <c r="M47" s="18" t="n">
        <v>0</v>
      </c>
      <c r="N47" s="20" t="n">
        <v>0</v>
      </c>
      <c r="O47" s="18" t="n">
        <v>0</v>
      </c>
      <c r="P47" s="20" t="n">
        <v>0</v>
      </c>
      <c r="Q47" s="18" t="n">
        <v>4.75972753</v>
      </c>
      <c r="R47" s="20" t="n">
        <v>0.62338015</v>
      </c>
    </row>
    <row r="48" spans="1:18">
      <c r="A48" s="15" t="s">
        <v>607</v>
      </c>
      <c r="B48" s="17" t="n">
        <v>9841</v>
      </c>
      <c r="C48" s="18">
        <f>(7689.0/B48*100)</f>
        <v/>
      </c>
      <c r="D48" s="19" t="n">
        <v>2152</v>
      </c>
      <c r="E48" s="18" t="n">
        <v>25.41580053</v>
      </c>
      <c r="F48" s="20" t="n">
        <v>1.10858954</v>
      </c>
      <c r="G48" s="18" t="n">
        <v>69.17699067</v>
      </c>
      <c r="H48" s="20" t="n">
        <v>1.27274614</v>
      </c>
      <c r="I48" s="18" t="n">
        <v>0</v>
      </c>
      <c r="J48" s="20" t="n">
        <v>0</v>
      </c>
      <c r="K48" s="18" t="n">
        <v>1.07063606</v>
      </c>
      <c r="L48" s="20" t="n">
        <v>0.32649605</v>
      </c>
      <c r="M48" s="18" t="n">
        <v>0</v>
      </c>
      <c r="N48" s="20" t="n">
        <v>0</v>
      </c>
      <c r="O48" s="18" t="n">
        <v>0</v>
      </c>
      <c r="P48" s="20" t="n">
        <v>0</v>
      </c>
      <c r="Q48" s="18" t="n">
        <v>4.33657275</v>
      </c>
      <c r="R48" s="20" t="n">
        <v>0.57890151</v>
      </c>
    </row>
    <row r="49" spans="1:18">
      <c r="A49" s="15" t="s">
        <v>608</v>
      </c>
      <c r="B49" s="17" t="n">
        <v>11795</v>
      </c>
      <c r="C49" s="18">
        <f>(9397.0/B49*100)</f>
        <v/>
      </c>
      <c r="D49" s="19" t="n">
        <v>2398</v>
      </c>
      <c r="E49" s="18" t="n">
        <v>37.66036382</v>
      </c>
      <c r="F49" s="20" t="n">
        <v>1.38643777</v>
      </c>
      <c r="G49" s="18" t="n">
        <v>54.07268476</v>
      </c>
      <c r="H49" s="20" t="n">
        <v>1.54999594</v>
      </c>
      <c r="I49" s="18" t="n">
        <v>0</v>
      </c>
      <c r="J49" s="20" t="n">
        <v>0</v>
      </c>
      <c r="K49" s="18" t="n">
        <v>3.482344</v>
      </c>
      <c r="L49" s="20" t="n">
        <v>0.61037027</v>
      </c>
      <c r="M49" s="18" t="n">
        <v>0</v>
      </c>
      <c r="N49" s="20" t="n">
        <v>0</v>
      </c>
      <c r="O49" s="18" t="n">
        <v>0</v>
      </c>
      <c r="P49" s="20" t="n">
        <v>0</v>
      </c>
      <c r="Q49" s="18" t="n">
        <v>4.78460742</v>
      </c>
      <c r="R49" s="20" t="n">
        <v>0.66902153</v>
      </c>
    </row>
    <row r="50" spans="1:18">
      <c r="A50" s="15" t="s">
        <v>609</v>
      </c>
      <c r="B50" s="17" t="n">
        <v>6866</v>
      </c>
      <c r="C50" s="18">
        <f>(5603.0/B50*100)</f>
        <v/>
      </c>
      <c r="D50" s="19" t="n">
        <v>1263</v>
      </c>
      <c r="E50" s="18" t="n">
        <v>26.24597994</v>
      </c>
      <c r="F50" s="20" t="n">
        <v>1.52154644</v>
      </c>
      <c r="G50" s="18" t="n">
        <v>67.98618654000001</v>
      </c>
      <c r="H50" s="20" t="n">
        <v>1.6884722</v>
      </c>
      <c r="I50" s="18" t="n">
        <v>0</v>
      </c>
      <c r="J50" s="20" t="n">
        <v>0</v>
      </c>
      <c r="K50" s="18" t="n">
        <v>0.7923585399999999</v>
      </c>
      <c r="L50" s="20" t="n">
        <v>0.32240689</v>
      </c>
      <c r="M50" s="18" t="n">
        <v>0</v>
      </c>
      <c r="N50" s="20" t="n">
        <v>0</v>
      </c>
      <c r="O50" s="18" t="n">
        <v>0</v>
      </c>
      <c r="P50" s="20" t="n">
        <v>0</v>
      </c>
      <c r="Q50" s="18" t="n">
        <v>4.97547498</v>
      </c>
      <c r="R50" s="20" t="n">
        <v>0.71771418</v>
      </c>
    </row>
    <row r="51" spans="1:18">
      <c r="A51" s="15" t="s">
        <v>610</v>
      </c>
      <c r="B51" s="17" t="n">
        <v>5809</v>
      </c>
      <c r="C51" s="18">
        <f>(4547.0/B51*100)</f>
        <v/>
      </c>
      <c r="D51" s="19" t="n">
        <v>1262</v>
      </c>
      <c r="E51" s="18" t="n">
        <v>45.16928511</v>
      </c>
      <c r="F51" s="20" t="n">
        <v>1.62638784</v>
      </c>
      <c r="G51" s="18" t="n">
        <v>52.36525654</v>
      </c>
      <c r="H51" s="20" t="n">
        <v>1.55879005</v>
      </c>
      <c r="I51" s="18" t="n">
        <v>0</v>
      </c>
      <c r="J51" s="20" t="n">
        <v>0</v>
      </c>
      <c r="K51" s="18" t="n">
        <v>0.07268622</v>
      </c>
      <c r="L51" s="20" t="n">
        <v>0.07240199999999999</v>
      </c>
      <c r="M51" s="18" t="n">
        <v>0</v>
      </c>
      <c r="N51" s="20" t="n">
        <v>0</v>
      </c>
      <c r="O51" s="18" t="n">
        <v>0</v>
      </c>
      <c r="P51" s="20" t="n">
        <v>0</v>
      </c>
      <c r="Q51" s="18" t="n">
        <v>2.39277214</v>
      </c>
      <c r="R51" s="20" t="n">
        <v>0.45928176</v>
      </c>
    </row>
    <row r="52" spans="1:18">
      <c r="A52" s="15" t="s">
        <v>611</v>
      </c>
      <c r="B52" s="17" t="n">
        <v>5571</v>
      </c>
      <c r="C52" s="18">
        <f>(4349.0/B52*100)</f>
        <v/>
      </c>
      <c r="D52" s="19" t="n">
        <v>1222</v>
      </c>
      <c r="E52" s="18" t="n">
        <v>36.8912599</v>
      </c>
      <c r="F52" s="20" t="n">
        <v>1.5191624</v>
      </c>
      <c r="G52" s="18" t="n">
        <v>59.21280733</v>
      </c>
      <c r="H52" s="20" t="n">
        <v>1.50655852</v>
      </c>
      <c r="I52" s="18" t="n">
        <v>0</v>
      </c>
      <c r="J52" s="20" t="n">
        <v>0</v>
      </c>
      <c r="K52" s="18" t="n">
        <v>0.49254521</v>
      </c>
      <c r="L52" s="20" t="n">
        <v>0.18945366</v>
      </c>
      <c r="M52" s="18" t="n">
        <v>0</v>
      </c>
      <c r="N52" s="20" t="n">
        <v>0</v>
      </c>
      <c r="O52" s="18" t="n">
        <v>0</v>
      </c>
      <c r="P52" s="20" t="n">
        <v>0</v>
      </c>
      <c r="Q52" s="18" t="n">
        <v>3.40338756</v>
      </c>
      <c r="R52" s="20" t="n">
        <v>0.57627615</v>
      </c>
    </row>
    <row r="53" spans="1:18">
      <c r="A53" s="15" t="s">
        <v>612</v>
      </c>
      <c r="B53" s="17" t="n">
        <v>4740</v>
      </c>
      <c r="C53" s="18">
        <f>(3713.0/B53*100)</f>
        <v/>
      </c>
      <c r="D53" s="19" t="n">
        <v>1027</v>
      </c>
      <c r="E53" s="18" t="n">
        <v>30.33140868</v>
      </c>
      <c r="F53" s="20" t="n">
        <v>1.59789225</v>
      </c>
      <c r="G53" s="18" t="n">
        <v>38.17140029</v>
      </c>
      <c r="H53" s="20" t="n">
        <v>1.82713936</v>
      </c>
      <c r="I53" s="18" t="n">
        <v>0</v>
      </c>
      <c r="J53" s="20" t="n">
        <v>0</v>
      </c>
      <c r="K53" s="18" t="n">
        <v>20.45478977</v>
      </c>
      <c r="L53" s="20" t="n">
        <v>1.48580224</v>
      </c>
      <c r="M53" s="18" t="n">
        <v>0</v>
      </c>
      <c r="N53" s="20" t="n">
        <v>0</v>
      </c>
      <c r="O53" s="18" t="n">
        <v>0</v>
      </c>
      <c r="P53" s="20" t="n">
        <v>0</v>
      </c>
      <c r="Q53" s="18" t="n">
        <v>11.04240126</v>
      </c>
      <c r="R53" s="20" t="n">
        <v>1.19619289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(4130.0/B55*100)</f>
        <v/>
      </c>
      <c r="D55" s="19" t="n">
        <v>1229</v>
      </c>
      <c r="E55" s="18" t="n">
        <v>16.5080184</v>
      </c>
      <c r="F55" s="20" t="n">
        <v>1.09469449</v>
      </c>
      <c r="G55" s="18" t="n">
        <v>77.73411367999999</v>
      </c>
      <c r="H55" s="20" t="n">
        <v>1.23615256</v>
      </c>
      <c r="I55" s="18" t="n">
        <v>0</v>
      </c>
      <c r="J55" s="20" t="n">
        <v>0</v>
      </c>
      <c r="K55" s="18" t="n">
        <v>0.51046758</v>
      </c>
      <c r="L55" s="20" t="n">
        <v>0.21264752</v>
      </c>
      <c r="M55" s="18" t="n">
        <v>0</v>
      </c>
      <c r="N55" s="20" t="n">
        <v>0</v>
      </c>
      <c r="O55" s="18" t="n">
        <v>0</v>
      </c>
      <c r="P55" s="20" t="n">
        <v>0</v>
      </c>
      <c r="Q55" s="18" t="n">
        <v>5.24740034</v>
      </c>
      <c r="R55" s="20" t="n">
        <v>0.62191274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(5081.0/B61*100)</f>
        <v/>
      </c>
      <c r="D61" s="19" t="n">
        <v>1444</v>
      </c>
      <c r="E61" s="18" t="n">
        <v>44.57598827</v>
      </c>
      <c r="F61" s="20" t="n">
        <v>1.49496371</v>
      </c>
      <c r="G61" s="18" t="n">
        <v>53.12779629</v>
      </c>
      <c r="H61" s="20" t="n">
        <v>1.54409569</v>
      </c>
      <c r="I61" s="18" t="n">
        <v>0</v>
      </c>
      <c r="J61" s="20" t="n">
        <v>0</v>
      </c>
      <c r="K61" s="18" t="n">
        <v>0.50013139</v>
      </c>
      <c r="L61" s="20" t="n">
        <v>0.20123126</v>
      </c>
      <c r="M61" s="18" t="n">
        <v>0</v>
      </c>
      <c r="N61" s="20" t="n">
        <v>0</v>
      </c>
      <c r="O61" s="18" t="n">
        <v>0</v>
      </c>
      <c r="P61" s="20" t="n">
        <v>0</v>
      </c>
      <c r="Q61" s="18" t="n">
        <v>1.79608404</v>
      </c>
      <c r="R61" s="20" t="n">
        <v>0.36510518</v>
      </c>
    </row>
    <row r="62" spans="1:18">
      <c r="A62" s="15" t="s">
        <v>622</v>
      </c>
      <c r="B62" s="17" t="n">
        <v>4476</v>
      </c>
      <c r="C62" s="18">
        <f>(3504.0/B62*100)</f>
        <v/>
      </c>
      <c r="D62" s="19" t="n">
        <v>972</v>
      </c>
      <c r="E62" s="18" t="n">
        <v>18.20787116</v>
      </c>
      <c r="F62" s="20" t="n">
        <v>1.18805629</v>
      </c>
      <c r="G62" s="18" t="n">
        <v>80.04817542000001</v>
      </c>
      <c r="H62" s="20" t="n">
        <v>1.21801641</v>
      </c>
      <c r="I62" s="18" t="n">
        <v>0</v>
      </c>
      <c r="J62" s="20" t="n">
        <v>0</v>
      </c>
      <c r="K62" s="18" t="n">
        <v>0.1021172</v>
      </c>
      <c r="L62" s="20" t="n">
        <v>0.10192028</v>
      </c>
      <c r="M62" s="18" t="n">
        <v>0</v>
      </c>
      <c r="N62" s="20" t="n">
        <v>0</v>
      </c>
      <c r="O62" s="18" t="n">
        <v>0</v>
      </c>
      <c r="P62" s="20" t="n">
        <v>0</v>
      </c>
      <c r="Q62" s="18" t="n">
        <v>1.64183622</v>
      </c>
      <c r="R62" s="20" t="n">
        <v>0.40427865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(4481.0/B67*100)</f>
        <v/>
      </c>
      <c r="D67" s="19" t="n">
        <v>1184</v>
      </c>
      <c r="E67" s="18" t="n">
        <v>49.88134508</v>
      </c>
      <c r="F67" s="20" t="n">
        <v>1.48448015</v>
      </c>
      <c r="G67" s="18" t="n">
        <v>40.77641463</v>
      </c>
      <c r="H67" s="20" t="n">
        <v>1.64165542</v>
      </c>
      <c r="I67" s="18" t="n">
        <v>0</v>
      </c>
      <c r="J67" s="20" t="n">
        <v>0</v>
      </c>
      <c r="K67" s="18" t="n">
        <v>1.66581207</v>
      </c>
      <c r="L67" s="20" t="n">
        <v>0.3878804</v>
      </c>
      <c r="M67" s="18" t="n">
        <v>0</v>
      </c>
      <c r="N67" s="20" t="n">
        <v>0</v>
      </c>
      <c r="O67" s="18" t="n">
        <v>0</v>
      </c>
      <c r="P67" s="20" t="n">
        <v>0</v>
      </c>
      <c r="Q67" s="18" t="n">
        <v>7.67642822</v>
      </c>
      <c r="R67" s="20" t="n">
        <v>0.82012821</v>
      </c>
    </row>
    <row r="68" spans="1:18">
      <c r="A68" s="15" t="s">
        <v>628</v>
      </c>
      <c r="B68" s="17" t="n">
        <v>6971</v>
      </c>
      <c r="C68" s="18">
        <f>(5743.0/B68*100)</f>
        <v/>
      </c>
      <c r="D68" s="19" t="n">
        <v>1228</v>
      </c>
      <c r="E68" s="18" t="n">
        <v>42.00180135</v>
      </c>
      <c r="F68" s="20" t="n">
        <v>1.69529676</v>
      </c>
      <c r="G68" s="18" t="n">
        <v>53.30483952</v>
      </c>
      <c r="H68" s="20" t="n">
        <v>1.78171391</v>
      </c>
      <c r="I68" s="18" t="n">
        <v>0</v>
      </c>
      <c r="J68" s="20" t="n">
        <v>0</v>
      </c>
      <c r="K68" s="18" t="n">
        <v>0.58978566</v>
      </c>
      <c r="L68" s="20" t="n">
        <v>0.29097921</v>
      </c>
      <c r="M68" s="18" t="n">
        <v>0</v>
      </c>
      <c r="N68" s="20" t="n">
        <v>0</v>
      </c>
      <c r="O68" s="18" t="n">
        <v>0</v>
      </c>
      <c r="P68" s="20" t="n">
        <v>0</v>
      </c>
      <c r="Q68" s="18" t="n">
        <v>4.10357348</v>
      </c>
      <c r="R68" s="20" t="n">
        <v>0.5227176100000001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(9378.0/B70*100)</f>
        <v/>
      </c>
      <c r="D70" s="19" t="n">
        <v>2705</v>
      </c>
      <c r="E70" s="18" t="n">
        <v>41.88363364</v>
      </c>
      <c r="F70" s="20" t="n">
        <v>0.96594432</v>
      </c>
      <c r="G70" s="18" t="n">
        <v>49.46356558</v>
      </c>
      <c r="H70" s="20" t="n">
        <v>1.01699595</v>
      </c>
      <c r="I70" s="18" t="n">
        <v>0</v>
      </c>
      <c r="J70" s="20" t="n">
        <v>0</v>
      </c>
      <c r="K70" s="18" t="n">
        <v>3.98816171</v>
      </c>
      <c r="L70" s="20" t="n">
        <v>0.38980179</v>
      </c>
      <c r="M70" s="18" t="n">
        <v>0</v>
      </c>
      <c r="N70" s="20" t="n">
        <v>0</v>
      </c>
      <c r="O70" s="18" t="n">
        <v>0</v>
      </c>
      <c r="P70" s="20" t="n">
        <v>0</v>
      </c>
      <c r="Q70" s="18" t="n">
        <v>4.66463906</v>
      </c>
      <c r="R70" s="20" t="n">
        <v>0.39306319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(4862.0/B72*100)</f>
        <v/>
      </c>
      <c r="D72" s="19" t="n">
        <v>1174</v>
      </c>
      <c r="E72" s="18" t="n">
        <v>26.07937087</v>
      </c>
      <c r="F72" s="20" t="n">
        <v>1.3564739</v>
      </c>
      <c r="G72" s="18" t="n">
        <v>68.89246944</v>
      </c>
      <c r="H72" s="20" t="n">
        <v>1.45553561</v>
      </c>
      <c r="I72" s="18" t="n">
        <v>0</v>
      </c>
      <c r="J72" s="20" t="n">
        <v>0</v>
      </c>
      <c r="K72" s="18" t="n">
        <v>0.69873377</v>
      </c>
      <c r="L72" s="20" t="n">
        <v>0.25898972</v>
      </c>
      <c r="M72" s="18" t="n">
        <v>0</v>
      </c>
      <c r="N72" s="20" t="n">
        <v>0</v>
      </c>
      <c r="O72" s="18" t="n">
        <v>0</v>
      </c>
      <c r="P72" s="20" t="n">
        <v>0</v>
      </c>
      <c r="Q72" s="18" t="n">
        <v>4.32942593</v>
      </c>
      <c r="R72" s="20" t="n">
        <v>0.72500342</v>
      </c>
    </row>
    <row r="73" spans="1:18">
      <c r="A73" s="15" t="s">
        <v>633</v>
      </c>
      <c r="B73" s="17" t="n">
        <v>6115</v>
      </c>
      <c r="C73" s="18">
        <f>(4790.0/B73*100)</f>
        <v/>
      </c>
      <c r="D73" s="19" t="n">
        <v>1325</v>
      </c>
      <c r="E73" s="18" t="n">
        <v>13.60304231</v>
      </c>
      <c r="F73" s="20" t="n">
        <v>0.97229554</v>
      </c>
      <c r="G73" s="18" t="n">
        <v>85.33396094</v>
      </c>
      <c r="H73" s="20" t="n">
        <v>0.96978188</v>
      </c>
      <c r="I73" s="18" t="n">
        <v>0</v>
      </c>
      <c r="J73" s="20" t="n">
        <v>0</v>
      </c>
      <c r="K73" s="18" t="n">
        <v>0.33306444</v>
      </c>
      <c r="L73" s="20" t="n">
        <v>0.16627609</v>
      </c>
      <c r="M73" s="18" t="n">
        <v>0</v>
      </c>
      <c r="N73" s="20" t="n">
        <v>0</v>
      </c>
      <c r="O73" s="18" t="n">
        <v>0</v>
      </c>
      <c r="P73" s="20" t="n">
        <v>0</v>
      </c>
      <c r="Q73" s="18" t="n">
        <v>0.72993231</v>
      </c>
      <c r="R73" s="20" t="n">
        <v>0.24688906</v>
      </c>
    </row>
    <row r="74" spans="1:18">
      <c r="A74" s="15" t="s">
        <v>634</v>
      </c>
      <c r="B74" s="17" t="n">
        <v>7708</v>
      </c>
      <c r="C74" s="18">
        <f>(5968.0/B74*100)</f>
        <v/>
      </c>
      <c r="D74" s="19" t="n">
        <v>1740</v>
      </c>
      <c r="E74" s="18" t="n">
        <v>6.10402653</v>
      </c>
      <c r="F74" s="20" t="n">
        <v>0.61032349</v>
      </c>
      <c r="G74" s="18" t="n">
        <v>88.64593907</v>
      </c>
      <c r="H74" s="20" t="n">
        <v>0.77777148</v>
      </c>
      <c r="I74" s="18" t="n">
        <v>0</v>
      </c>
      <c r="J74" s="20" t="n">
        <v>0</v>
      </c>
      <c r="K74" s="18" t="n">
        <v>0.23252586</v>
      </c>
      <c r="L74" s="20" t="n">
        <v>0.12095017</v>
      </c>
      <c r="M74" s="18" t="n">
        <v>0</v>
      </c>
      <c r="N74" s="20" t="n">
        <v>0</v>
      </c>
      <c r="O74" s="18" t="n">
        <v>0</v>
      </c>
      <c r="P74" s="20" t="n">
        <v>0</v>
      </c>
      <c r="Q74" s="18" t="n">
        <v>5.01750854</v>
      </c>
      <c r="R74" s="20" t="n">
        <v>0.49233084</v>
      </c>
    </row>
    <row r="75" spans="1:18">
      <c r="A75" s="15" t="s">
        <v>635</v>
      </c>
      <c r="B75" s="17" t="n">
        <v>8249</v>
      </c>
      <c r="C75" s="18">
        <f>(6578.0/B75*100)</f>
        <v/>
      </c>
      <c r="D75" s="19" t="n">
        <v>1671</v>
      </c>
      <c r="E75" s="18" t="n">
        <v>38.72107293</v>
      </c>
      <c r="F75" s="20" t="n">
        <v>1.43525114</v>
      </c>
      <c r="G75" s="18" t="n">
        <v>54.38902348</v>
      </c>
      <c r="H75" s="20" t="n">
        <v>1.42054573</v>
      </c>
      <c r="I75" s="18" t="n">
        <v>0</v>
      </c>
      <c r="J75" s="20" t="n">
        <v>0</v>
      </c>
      <c r="K75" s="18" t="n">
        <v>0.03073163</v>
      </c>
      <c r="L75" s="20" t="n">
        <v>0.03079767</v>
      </c>
      <c r="M75" s="18" t="n">
        <v>0</v>
      </c>
      <c r="N75" s="20" t="n">
        <v>0</v>
      </c>
      <c r="O75" s="18" t="n">
        <v>0</v>
      </c>
      <c r="P75" s="20" t="n">
        <v>0</v>
      </c>
      <c r="Q75" s="18" t="n">
        <v>6.85917196</v>
      </c>
      <c r="R75" s="20" t="n">
        <v>0.72062033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(4390.0/B77*100)</f>
        <v/>
      </c>
      <c r="D77" s="19" t="n">
        <v>985</v>
      </c>
      <c r="E77" s="18" t="n">
        <v>51.53041462</v>
      </c>
      <c r="F77" s="20" t="n">
        <v>1.59788613</v>
      </c>
      <c r="G77" s="18" t="n">
        <v>39.13851333</v>
      </c>
      <c r="H77" s="20" t="n">
        <v>1.6947566</v>
      </c>
      <c r="I77" s="18" t="n">
        <v>0</v>
      </c>
      <c r="J77" s="20" t="n">
        <v>0</v>
      </c>
      <c r="K77" s="18" t="n">
        <v>5.19752537</v>
      </c>
      <c r="L77" s="20" t="n">
        <v>0.8964692</v>
      </c>
      <c r="M77" s="18" t="n">
        <v>0</v>
      </c>
      <c r="N77" s="20" t="n">
        <v>0</v>
      </c>
      <c r="O77" s="18" t="n">
        <v>0</v>
      </c>
      <c r="P77" s="20" t="n">
        <v>0</v>
      </c>
      <c r="Q77" s="18" t="n">
        <v>4.13354667</v>
      </c>
      <c r="R77" s="20" t="n">
        <v>0.62650609</v>
      </c>
    </row>
    <row r="78" spans="1:18">
      <c r="A78" s="15" t="s">
        <v>638</v>
      </c>
      <c r="B78" s="17" t="n">
        <v>14167</v>
      </c>
      <c r="C78" s="18">
        <f>(11134.0/B78*100)</f>
        <v/>
      </c>
      <c r="D78" s="19" t="n">
        <v>3033</v>
      </c>
      <c r="E78" s="18" t="n">
        <v>37.8231607</v>
      </c>
      <c r="F78" s="20" t="n">
        <v>1.04606966</v>
      </c>
      <c r="G78" s="18" t="n">
        <v>56.73181027</v>
      </c>
      <c r="H78" s="20" t="n">
        <v>1.17300053</v>
      </c>
      <c r="I78" s="18" t="n">
        <v>0</v>
      </c>
      <c r="J78" s="20" t="n">
        <v>0</v>
      </c>
      <c r="K78" s="18" t="n">
        <v>2.0469962</v>
      </c>
      <c r="L78" s="20" t="n">
        <v>0.35726941</v>
      </c>
      <c r="M78" s="18" t="n">
        <v>0</v>
      </c>
      <c r="N78" s="20" t="n">
        <v>0</v>
      </c>
      <c r="O78" s="18" t="n">
        <v>0</v>
      </c>
      <c r="P78" s="20" t="n">
        <v>0</v>
      </c>
      <c r="Q78" s="18" t="n">
        <v>3.39803284</v>
      </c>
      <c r="R78" s="20" t="n">
        <v>0.34921481</v>
      </c>
    </row>
    <row r="79" spans="1:18">
      <c r="A79" s="15" t="s">
        <v>639</v>
      </c>
      <c r="B79" s="17" t="n">
        <v>6062</v>
      </c>
      <c r="C79" s="18">
        <f>(4825.0/B79*100)</f>
        <v/>
      </c>
      <c r="D79" s="19" t="n">
        <v>1237</v>
      </c>
      <c r="E79" s="18" t="n">
        <v>35.70741768</v>
      </c>
      <c r="F79" s="20" t="n">
        <v>1.62112502</v>
      </c>
      <c r="G79" s="18" t="n">
        <v>59.63697734</v>
      </c>
      <c r="H79" s="20" t="n">
        <v>1.6633631</v>
      </c>
      <c r="I79" s="18" t="n">
        <v>0</v>
      </c>
      <c r="J79" s="20" t="n">
        <v>0</v>
      </c>
      <c r="K79" s="18" t="n">
        <v>2.16292212</v>
      </c>
      <c r="L79" s="20" t="n">
        <v>0.43440434</v>
      </c>
      <c r="M79" s="18" t="n">
        <v>0</v>
      </c>
      <c r="N79" s="20" t="n">
        <v>0</v>
      </c>
      <c r="O79" s="18" t="n">
        <v>0</v>
      </c>
      <c r="P79" s="20" t="n">
        <v>0</v>
      </c>
      <c r="Q79" s="18" t="n">
        <v>2.49268286</v>
      </c>
      <c r="R79" s="20" t="n">
        <v>0.42192584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(25381.0/B82*100)</f>
        <v/>
      </c>
      <c r="D82" s="19" t="n">
        <v>6949</v>
      </c>
      <c r="E82" s="18" t="n">
        <v>26.34517411</v>
      </c>
      <c r="F82" s="20" t="n">
        <v>0.78500503</v>
      </c>
      <c r="G82" s="18" t="n">
        <v>71.58721925</v>
      </c>
      <c r="H82" s="20" t="n">
        <v>0.77200244</v>
      </c>
      <c r="I82" s="18" t="n">
        <v>0</v>
      </c>
      <c r="J82" s="20" t="n">
        <v>0</v>
      </c>
      <c r="K82" s="18" t="n">
        <v>0.6345089</v>
      </c>
      <c r="L82" s="20" t="n">
        <v>0.14071029</v>
      </c>
      <c r="M82" s="18" t="n">
        <v>0</v>
      </c>
      <c r="N82" s="20" t="n">
        <v>0</v>
      </c>
      <c r="O82" s="18" t="n">
        <v>0</v>
      </c>
      <c r="P82" s="20" t="n">
        <v>0</v>
      </c>
      <c r="Q82" s="18" t="n">
        <v>1.43309774</v>
      </c>
      <c r="R82" s="20" t="n">
        <v>0.1968249</v>
      </c>
    </row>
    <row r="83" spans="1:18">
      <c r="A83" s="15" t="s">
        <v>643</v>
      </c>
      <c r="B83" s="17" t="n">
        <v>1652</v>
      </c>
      <c r="C83" s="18">
        <f>(1295.0/B83*100)</f>
        <v/>
      </c>
      <c r="D83" s="19" t="n">
        <v>357</v>
      </c>
      <c r="E83" s="18" t="n">
        <v>25.01611169</v>
      </c>
      <c r="F83" s="20" t="n">
        <v>2.40692063</v>
      </c>
      <c r="G83" s="18" t="n">
        <v>73.22376327000001</v>
      </c>
      <c r="H83" s="20" t="n">
        <v>2.38028798</v>
      </c>
      <c r="I83" s="18" t="n">
        <v>0</v>
      </c>
      <c r="J83" s="20" t="n">
        <v>0</v>
      </c>
      <c r="K83" s="18" t="n">
        <v>1.21425279</v>
      </c>
      <c r="L83" s="20" t="n">
        <v>0.39234598</v>
      </c>
      <c r="M83" s="18" t="n">
        <v>0</v>
      </c>
      <c r="N83" s="20" t="n">
        <v>0</v>
      </c>
      <c r="O83" s="18" t="n">
        <v>0</v>
      </c>
      <c r="P83" s="20" t="n">
        <v>0</v>
      </c>
      <c r="Q83" s="18" t="n">
        <v>0.5458722499999999</v>
      </c>
      <c r="R83" s="20" t="n">
        <v>0.36905447</v>
      </c>
    </row>
    <row r="84" spans="1:18">
      <c r="A84" s="23" t="s">
        <v>644</v>
      </c>
      <c r="B84" s="24" t="n">
        <v>1887</v>
      </c>
      <c r="C84" s="25">
        <f>(1497.0/B84*100)</f>
        <v/>
      </c>
      <c r="D84" s="19" t="n">
        <v>390</v>
      </c>
      <c r="E84" s="18" t="n">
        <v>25.67248393</v>
      </c>
      <c r="F84" s="20" t="n">
        <v>1.85551215</v>
      </c>
      <c r="G84" s="18" t="n">
        <v>73.81552291</v>
      </c>
      <c r="H84" s="20" t="n">
        <v>1.79468778</v>
      </c>
      <c r="I84" s="18" t="n">
        <v>0</v>
      </c>
      <c r="J84" s="20" t="n">
        <v>0</v>
      </c>
      <c r="K84" s="18" t="n">
        <v>0</v>
      </c>
      <c r="L84" s="20" t="n">
        <v>0</v>
      </c>
      <c r="M84" s="18" t="n">
        <v>0</v>
      </c>
      <c r="N84" s="20" t="n">
        <v>0</v>
      </c>
      <c r="O84" s="18" t="n">
        <v>0</v>
      </c>
      <c r="P84" s="20" t="n">
        <v>0</v>
      </c>
      <c r="Q84" s="18" t="n">
        <v>0.5119931599999999</v>
      </c>
      <c r="R84" s="20" t="n">
        <v>0.36756161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(11437.0/B7*100)</f>
        <v/>
      </c>
      <c r="D7" s="19" t="n">
        <v>3093</v>
      </c>
      <c r="E7" s="18" t="n">
        <v>51.2413412</v>
      </c>
      <c r="F7" s="20" t="n">
        <v>0.98812898</v>
      </c>
      <c r="G7" s="18" t="n">
        <v>46.04577689</v>
      </c>
      <c r="H7" s="20" t="n">
        <v>0.93792882</v>
      </c>
      <c r="I7" s="18" t="n">
        <v>0</v>
      </c>
      <c r="J7" s="20" t="n">
        <v>0</v>
      </c>
      <c r="K7" s="18" t="n">
        <v>1.48540837</v>
      </c>
      <c r="L7" s="20" t="n">
        <v>0.21006602</v>
      </c>
      <c r="M7" s="18" t="n">
        <v>0</v>
      </c>
      <c r="N7" s="20" t="n">
        <v>0</v>
      </c>
      <c r="O7" s="18" t="n">
        <v>0</v>
      </c>
      <c r="P7" s="20" t="n">
        <v>0</v>
      </c>
      <c r="Q7" s="18" t="n">
        <v>1.22747354</v>
      </c>
      <c r="R7" s="20" t="n">
        <v>0.24757282</v>
      </c>
    </row>
    <row r="8" spans="1:18">
      <c r="A8" s="15" t="s">
        <v>566</v>
      </c>
      <c r="B8" s="17" t="n">
        <v>7007</v>
      </c>
      <c r="C8" s="18">
        <f>(5518.0/B8*100)</f>
        <v/>
      </c>
      <c r="D8" s="19" t="n">
        <v>1489</v>
      </c>
      <c r="E8" s="18" t="n">
        <v>63.23522068</v>
      </c>
      <c r="F8" s="20" t="n">
        <v>1.35894001</v>
      </c>
      <c r="G8" s="18" t="n">
        <v>33.17578122</v>
      </c>
      <c r="H8" s="20" t="n">
        <v>1.25306972</v>
      </c>
      <c r="I8" s="18" t="n">
        <v>0</v>
      </c>
      <c r="J8" s="20" t="n">
        <v>0</v>
      </c>
      <c r="K8" s="18" t="n">
        <v>2.61002759</v>
      </c>
      <c r="L8" s="20" t="n">
        <v>0.40904874</v>
      </c>
      <c r="M8" s="18" t="n">
        <v>0</v>
      </c>
      <c r="N8" s="20" t="n">
        <v>0</v>
      </c>
      <c r="O8" s="18" t="n">
        <v>0</v>
      </c>
      <c r="P8" s="20" t="n">
        <v>0</v>
      </c>
      <c r="Q8" s="18" t="n">
        <v>0.97897051</v>
      </c>
      <c r="R8" s="20" t="n">
        <v>0.24947026</v>
      </c>
    </row>
    <row r="9" spans="1:18">
      <c r="A9" s="15" t="s">
        <v>567</v>
      </c>
      <c r="B9" s="17" t="n">
        <v>9651</v>
      </c>
      <c r="C9" s="18">
        <f>(7668.0/B9*100)</f>
        <v/>
      </c>
      <c r="D9" s="19" t="n">
        <v>1983</v>
      </c>
      <c r="E9" s="18" t="n">
        <v>60.70278102</v>
      </c>
      <c r="F9" s="20" t="n">
        <v>1.1607007</v>
      </c>
      <c r="G9" s="18" t="n">
        <v>35.77779922</v>
      </c>
      <c r="H9" s="20" t="n">
        <v>1.17797648</v>
      </c>
      <c r="I9" s="18" t="n">
        <v>0</v>
      </c>
      <c r="J9" s="20" t="n">
        <v>0</v>
      </c>
      <c r="K9" s="18" t="n">
        <v>2.5593323</v>
      </c>
      <c r="L9" s="20" t="n">
        <v>0.34235447</v>
      </c>
      <c r="M9" s="18" t="n">
        <v>0</v>
      </c>
      <c r="N9" s="20" t="n">
        <v>0</v>
      </c>
      <c r="O9" s="18" t="n">
        <v>0</v>
      </c>
      <c r="P9" s="20" t="n">
        <v>0</v>
      </c>
      <c r="Q9" s="18" t="n">
        <v>0.9600874700000001</v>
      </c>
      <c r="R9" s="20" t="n">
        <v>0.25765052</v>
      </c>
    </row>
    <row r="10" spans="1:18">
      <c r="A10" s="15" t="s">
        <v>568</v>
      </c>
      <c r="B10" s="17" t="n">
        <v>20058</v>
      </c>
      <c r="C10" s="18">
        <f>(15699.0/B10*100)</f>
        <v/>
      </c>
      <c r="D10" s="19" t="n">
        <v>4359</v>
      </c>
      <c r="E10" s="18" t="n">
        <v>49.36114546</v>
      </c>
      <c r="F10" s="20" t="n">
        <v>1.08572061</v>
      </c>
      <c r="G10" s="18" t="n">
        <v>48.44348786</v>
      </c>
      <c r="H10" s="20" t="n">
        <v>1.115171</v>
      </c>
      <c r="I10" s="18" t="n">
        <v>0</v>
      </c>
      <c r="J10" s="20" t="n">
        <v>0</v>
      </c>
      <c r="K10" s="18" t="n">
        <v>1.5037696</v>
      </c>
      <c r="L10" s="20" t="n">
        <v>0.28160174</v>
      </c>
      <c r="M10" s="18" t="n">
        <v>0</v>
      </c>
      <c r="N10" s="20" t="n">
        <v>0</v>
      </c>
      <c r="O10" s="18" t="n">
        <v>0</v>
      </c>
      <c r="P10" s="20" t="n">
        <v>0</v>
      </c>
      <c r="Q10" s="18" t="n">
        <v>0.69159708</v>
      </c>
      <c r="R10" s="20" t="n">
        <v>0.16625893</v>
      </c>
    </row>
    <row r="11" spans="1:18">
      <c r="A11" s="15" t="s">
        <v>569</v>
      </c>
      <c r="B11" s="17" t="n">
        <v>7053</v>
      </c>
      <c r="C11" s="18">
        <f>(5631.0/B11*100)</f>
        <v/>
      </c>
      <c r="D11" s="19" t="n">
        <v>1422</v>
      </c>
      <c r="E11" s="18" t="n">
        <v>61.82413815</v>
      </c>
      <c r="F11" s="20" t="n">
        <v>1.61469625</v>
      </c>
      <c r="G11" s="18" t="n">
        <v>33.33081361</v>
      </c>
      <c r="H11" s="20" t="n">
        <v>1.50272472</v>
      </c>
      <c r="I11" s="18" t="n">
        <v>0</v>
      </c>
      <c r="J11" s="20" t="n">
        <v>0</v>
      </c>
      <c r="K11" s="18" t="n">
        <v>3.38524034</v>
      </c>
      <c r="L11" s="20" t="n">
        <v>0.78768691</v>
      </c>
      <c r="M11" s="18" t="n">
        <v>0</v>
      </c>
      <c r="N11" s="20" t="n">
        <v>0</v>
      </c>
      <c r="O11" s="18" t="n">
        <v>0</v>
      </c>
      <c r="P11" s="20" t="n">
        <v>0</v>
      </c>
      <c r="Q11" s="18" t="n">
        <v>1.4598079</v>
      </c>
      <c r="R11" s="20" t="n">
        <v>0.35397901</v>
      </c>
    </row>
    <row r="12" spans="1:18">
      <c r="A12" s="15" t="s">
        <v>570</v>
      </c>
      <c r="B12" s="17" t="n">
        <v>6894</v>
      </c>
      <c r="C12" s="18">
        <f>(5397.0/B12*100)</f>
        <v/>
      </c>
      <c r="D12" s="19" t="n">
        <v>1497</v>
      </c>
      <c r="E12" s="18" t="n">
        <v>60.76673989</v>
      </c>
      <c r="F12" s="20" t="n">
        <v>1.46808352</v>
      </c>
      <c r="G12" s="18" t="n">
        <v>35.87613079</v>
      </c>
      <c r="H12" s="20" t="n">
        <v>1.40214871</v>
      </c>
      <c r="I12" s="18" t="n">
        <v>0</v>
      </c>
      <c r="J12" s="20" t="n">
        <v>0</v>
      </c>
      <c r="K12" s="18" t="n">
        <v>1.48583893</v>
      </c>
      <c r="L12" s="20" t="n">
        <v>0.32641327</v>
      </c>
      <c r="M12" s="18" t="n">
        <v>0</v>
      </c>
      <c r="N12" s="20" t="n">
        <v>0</v>
      </c>
      <c r="O12" s="18" t="n">
        <v>0</v>
      </c>
      <c r="P12" s="20" t="n">
        <v>0</v>
      </c>
      <c r="Q12" s="18" t="n">
        <v>1.87129039</v>
      </c>
      <c r="R12" s="20" t="n">
        <v>0.34215212</v>
      </c>
    </row>
    <row r="13" spans="1:18">
      <c r="A13" s="15" t="s">
        <v>571</v>
      </c>
      <c r="B13" s="17" t="n">
        <v>7161</v>
      </c>
      <c r="C13" s="18">
        <f>(5652.0/B13*100)</f>
        <v/>
      </c>
      <c r="D13" s="19" t="n">
        <v>1509</v>
      </c>
      <c r="E13" s="18" t="n">
        <v>57.7132085</v>
      </c>
      <c r="F13" s="20" t="n">
        <v>1.46454582</v>
      </c>
      <c r="G13" s="18" t="n">
        <v>40.51335873</v>
      </c>
      <c r="H13" s="20" t="n">
        <v>1.4688653</v>
      </c>
      <c r="I13" s="18" t="n">
        <v>0</v>
      </c>
      <c r="J13" s="20" t="n">
        <v>0</v>
      </c>
      <c r="K13" s="18" t="n">
        <v>1.05643166</v>
      </c>
      <c r="L13" s="20" t="n">
        <v>0.2503908</v>
      </c>
      <c r="M13" s="18" t="n">
        <v>0</v>
      </c>
      <c r="N13" s="20" t="n">
        <v>0</v>
      </c>
      <c r="O13" s="18" t="n">
        <v>0</v>
      </c>
      <c r="P13" s="20" t="n">
        <v>0</v>
      </c>
      <c r="Q13" s="18" t="n">
        <v>0.71700111</v>
      </c>
      <c r="R13" s="20" t="n">
        <v>0.28603922</v>
      </c>
    </row>
    <row r="14" spans="1:18">
      <c r="A14" s="15" t="s">
        <v>572</v>
      </c>
      <c r="B14" s="17" t="n">
        <v>5587</v>
      </c>
      <c r="C14" s="18">
        <f>(4415.0/B14*100)</f>
        <v/>
      </c>
      <c r="D14" s="19" t="n">
        <v>1172</v>
      </c>
      <c r="E14" s="18" t="n">
        <v>62.9677913</v>
      </c>
      <c r="F14" s="20" t="n">
        <v>1.46442783</v>
      </c>
      <c r="G14" s="18" t="n">
        <v>35.49556191</v>
      </c>
      <c r="H14" s="20" t="n">
        <v>1.48155401</v>
      </c>
      <c r="I14" s="18" t="n">
        <v>0</v>
      </c>
      <c r="J14" s="20" t="n">
        <v>0</v>
      </c>
      <c r="K14" s="18" t="n">
        <v>1.23498592</v>
      </c>
      <c r="L14" s="20" t="n">
        <v>0.27651041</v>
      </c>
      <c r="M14" s="18" t="n">
        <v>0</v>
      </c>
      <c r="N14" s="20" t="n">
        <v>0</v>
      </c>
      <c r="O14" s="18" t="n">
        <v>0</v>
      </c>
      <c r="P14" s="20" t="n">
        <v>0</v>
      </c>
      <c r="Q14" s="18" t="n">
        <v>0.30166088</v>
      </c>
      <c r="R14" s="20" t="n">
        <v>0.15168935</v>
      </c>
    </row>
    <row r="15" spans="1:18">
      <c r="A15" s="15" t="s">
        <v>573</v>
      </c>
      <c r="B15" s="17" t="n">
        <v>5882</v>
      </c>
      <c r="C15" s="18">
        <f>(4637.0/B15*100)</f>
        <v/>
      </c>
      <c r="D15" s="19" t="n">
        <v>1245</v>
      </c>
      <c r="E15" s="18" t="n">
        <v>55.02220735</v>
      </c>
      <c r="F15" s="20" t="n">
        <v>1.60957418</v>
      </c>
      <c r="G15" s="18" t="n">
        <v>43.81934017</v>
      </c>
      <c r="H15" s="20" t="n">
        <v>1.6636157</v>
      </c>
      <c r="I15" s="18" t="n">
        <v>0</v>
      </c>
      <c r="J15" s="20" t="n">
        <v>0</v>
      </c>
      <c r="K15" s="18" t="n">
        <v>0.85423026</v>
      </c>
      <c r="L15" s="20" t="n">
        <v>0.26059027</v>
      </c>
      <c r="M15" s="18" t="n">
        <v>0</v>
      </c>
      <c r="N15" s="20" t="n">
        <v>0</v>
      </c>
      <c r="O15" s="18" t="n">
        <v>0</v>
      </c>
      <c r="P15" s="20" t="n">
        <v>0</v>
      </c>
      <c r="Q15" s="18" t="n">
        <v>0.30422222</v>
      </c>
      <c r="R15" s="20" t="n">
        <v>0.10888447</v>
      </c>
    </row>
    <row r="16" spans="1:18">
      <c r="A16" s="15" t="s">
        <v>574</v>
      </c>
      <c r="B16" s="17" t="n">
        <v>6108</v>
      </c>
      <c r="C16" s="18">
        <f>(4839.0/B16*100)</f>
        <v/>
      </c>
      <c r="D16" s="19" t="n">
        <v>1269</v>
      </c>
      <c r="E16" s="18" t="n">
        <v>58.71472175</v>
      </c>
      <c r="F16" s="20" t="n">
        <v>1.65234866</v>
      </c>
      <c r="G16" s="18" t="n">
        <v>36.2449184</v>
      </c>
      <c r="H16" s="20" t="n">
        <v>1.53083092</v>
      </c>
      <c r="I16" s="18" t="n">
        <v>0</v>
      </c>
      <c r="J16" s="20" t="n">
        <v>0</v>
      </c>
      <c r="K16" s="18" t="n">
        <v>3.37766084</v>
      </c>
      <c r="L16" s="20" t="n">
        <v>0.5616397400000001</v>
      </c>
      <c r="M16" s="18" t="n">
        <v>0</v>
      </c>
      <c r="N16" s="20" t="n">
        <v>0</v>
      </c>
      <c r="O16" s="18" t="n">
        <v>0</v>
      </c>
      <c r="P16" s="20" t="n">
        <v>0</v>
      </c>
      <c r="Q16" s="18" t="n">
        <v>1.66269901</v>
      </c>
      <c r="R16" s="20" t="n">
        <v>0.33831176</v>
      </c>
    </row>
    <row r="17" spans="1:18">
      <c r="A17" s="15" t="s">
        <v>575</v>
      </c>
      <c r="B17" s="17" t="n">
        <v>6504</v>
      </c>
      <c r="C17" s="18">
        <f>(5103.0/B17*100)</f>
        <v/>
      </c>
      <c r="D17" s="19" t="n">
        <v>1401</v>
      </c>
      <c r="E17" s="18" t="n">
        <v>59.08393774</v>
      </c>
      <c r="F17" s="20" t="n">
        <v>1.09585743</v>
      </c>
      <c r="G17" s="18" t="n">
        <v>37.87959815</v>
      </c>
      <c r="H17" s="20" t="n">
        <v>1.18676015</v>
      </c>
      <c r="I17" s="18" t="n">
        <v>0</v>
      </c>
      <c r="J17" s="20" t="n">
        <v>0</v>
      </c>
      <c r="K17" s="18" t="n">
        <v>1.87361021</v>
      </c>
      <c r="L17" s="20" t="n">
        <v>0.38771369</v>
      </c>
      <c r="M17" s="18" t="n">
        <v>0</v>
      </c>
      <c r="N17" s="20" t="n">
        <v>0</v>
      </c>
      <c r="O17" s="18" t="n">
        <v>0</v>
      </c>
      <c r="P17" s="20" t="n">
        <v>0</v>
      </c>
      <c r="Q17" s="18" t="n">
        <v>1.16285389</v>
      </c>
      <c r="R17" s="20" t="n">
        <v>0.34020956</v>
      </c>
    </row>
    <row r="18" spans="1:18">
      <c r="A18" s="15" t="s">
        <v>576</v>
      </c>
      <c r="B18" s="17" t="n">
        <v>5532</v>
      </c>
      <c r="C18" s="18">
        <f>(4336.0/B18*100)</f>
        <v/>
      </c>
      <c r="D18" s="19" t="n">
        <v>1196</v>
      </c>
      <c r="E18" s="18" t="n">
        <v>65.09871852000001</v>
      </c>
      <c r="F18" s="20" t="n">
        <v>1.641177</v>
      </c>
      <c r="G18" s="18" t="n">
        <v>31.0814018</v>
      </c>
      <c r="H18" s="20" t="n">
        <v>1.53266736</v>
      </c>
      <c r="I18" s="18" t="n">
        <v>0</v>
      </c>
      <c r="J18" s="20" t="n">
        <v>0</v>
      </c>
      <c r="K18" s="18" t="n">
        <v>2.78227729</v>
      </c>
      <c r="L18" s="20" t="n">
        <v>0.52908012</v>
      </c>
      <c r="M18" s="18" t="n">
        <v>0</v>
      </c>
      <c r="N18" s="20" t="n">
        <v>0</v>
      </c>
      <c r="O18" s="18" t="n">
        <v>0</v>
      </c>
      <c r="P18" s="20" t="n">
        <v>0</v>
      </c>
      <c r="Q18" s="18" t="n">
        <v>1.03760239</v>
      </c>
      <c r="R18" s="20" t="n">
        <v>0.38557554</v>
      </c>
    </row>
    <row r="19" spans="1:18">
      <c r="A19" s="15" t="s">
        <v>577</v>
      </c>
      <c r="B19" s="17" t="n">
        <v>5658</v>
      </c>
      <c r="C19" s="18">
        <f>(4446.0/B19*100)</f>
        <v/>
      </c>
      <c r="D19" s="19" t="n">
        <v>1212</v>
      </c>
      <c r="E19" s="18" t="n">
        <v>64.42223928</v>
      </c>
      <c r="F19" s="20" t="n">
        <v>1.40350928</v>
      </c>
      <c r="G19" s="18" t="n">
        <v>33.65837597</v>
      </c>
      <c r="H19" s="20" t="n">
        <v>1.32387395</v>
      </c>
      <c r="I19" s="18" t="n">
        <v>0</v>
      </c>
      <c r="J19" s="20" t="n">
        <v>0</v>
      </c>
      <c r="K19" s="18" t="n">
        <v>1.0954956</v>
      </c>
      <c r="L19" s="20" t="n">
        <v>0.32363543</v>
      </c>
      <c r="M19" s="18" t="n">
        <v>0</v>
      </c>
      <c r="N19" s="20" t="n">
        <v>0</v>
      </c>
      <c r="O19" s="18" t="n">
        <v>0</v>
      </c>
      <c r="P19" s="20" t="n">
        <v>0</v>
      </c>
      <c r="Q19" s="18" t="n">
        <v>0.82388915</v>
      </c>
      <c r="R19" s="20" t="n">
        <v>0.24998717</v>
      </c>
    </row>
    <row r="20" spans="1:18">
      <c r="A20" s="15" t="s">
        <v>578</v>
      </c>
      <c r="B20" s="17" t="n">
        <v>3371</v>
      </c>
      <c r="C20" s="18">
        <f>(2651.0/B20*100)</f>
        <v/>
      </c>
      <c r="D20" s="19" t="n">
        <v>720</v>
      </c>
      <c r="E20" s="18" t="n">
        <v>58.98044982</v>
      </c>
      <c r="F20" s="20" t="n">
        <v>1.63532002</v>
      </c>
      <c r="G20" s="18" t="n">
        <v>38.22531198</v>
      </c>
      <c r="H20" s="20" t="n">
        <v>1.6540147</v>
      </c>
      <c r="I20" s="18" t="n">
        <v>0</v>
      </c>
      <c r="J20" s="20" t="n">
        <v>0</v>
      </c>
      <c r="K20" s="18" t="n">
        <v>1.829865</v>
      </c>
      <c r="L20" s="20" t="n">
        <v>0.50348762</v>
      </c>
      <c r="M20" s="18" t="n">
        <v>0</v>
      </c>
      <c r="N20" s="20" t="n">
        <v>0</v>
      </c>
      <c r="O20" s="18" t="n">
        <v>0</v>
      </c>
      <c r="P20" s="20" t="n">
        <v>0</v>
      </c>
      <c r="Q20" s="18" t="n">
        <v>0.9643732</v>
      </c>
      <c r="R20" s="20" t="n">
        <v>0.3654132</v>
      </c>
    </row>
    <row r="21" spans="1:18">
      <c r="A21" s="15" t="s">
        <v>579</v>
      </c>
      <c r="B21" s="17" t="n">
        <v>5741</v>
      </c>
      <c r="C21" s="18">
        <f>(4470.0/B21*100)</f>
        <v/>
      </c>
      <c r="D21" s="19" t="n">
        <v>1271</v>
      </c>
      <c r="E21" s="18" t="n">
        <v>54.76814536</v>
      </c>
      <c r="F21" s="20" t="n">
        <v>1.45364401</v>
      </c>
      <c r="G21" s="18" t="n">
        <v>43.49575487</v>
      </c>
      <c r="H21" s="20" t="n">
        <v>1.47411647</v>
      </c>
      <c r="I21" s="18" t="n">
        <v>0</v>
      </c>
      <c r="J21" s="20" t="n">
        <v>0</v>
      </c>
      <c r="K21" s="18" t="n">
        <v>0.73440078</v>
      </c>
      <c r="L21" s="20" t="n">
        <v>0.28125877</v>
      </c>
      <c r="M21" s="18" t="n">
        <v>0</v>
      </c>
      <c r="N21" s="20" t="n">
        <v>0</v>
      </c>
      <c r="O21" s="18" t="n">
        <v>0</v>
      </c>
      <c r="P21" s="20" t="n">
        <v>0</v>
      </c>
      <c r="Q21" s="18" t="n">
        <v>1.00169899</v>
      </c>
      <c r="R21" s="20" t="n">
        <v>0.26662003</v>
      </c>
    </row>
    <row r="22" spans="1:18">
      <c r="A22" s="15" t="s">
        <v>580</v>
      </c>
      <c r="B22" s="17" t="n">
        <v>6598</v>
      </c>
      <c r="C22" s="18">
        <f>(5168.0/B22*100)</f>
        <v/>
      </c>
      <c r="D22" s="19" t="n">
        <v>1430</v>
      </c>
      <c r="E22" s="18" t="n">
        <v>60.96146773</v>
      </c>
      <c r="F22" s="20" t="n">
        <v>1.39054138</v>
      </c>
      <c r="G22" s="18" t="n">
        <v>34.60132416</v>
      </c>
      <c r="H22" s="20" t="n">
        <v>1.39471782</v>
      </c>
      <c r="I22" s="18" t="n">
        <v>0</v>
      </c>
      <c r="J22" s="20" t="n">
        <v>0</v>
      </c>
      <c r="K22" s="18" t="n">
        <v>2.71278473</v>
      </c>
      <c r="L22" s="20" t="n">
        <v>0.54474957</v>
      </c>
      <c r="M22" s="18" t="n">
        <v>0</v>
      </c>
      <c r="N22" s="20" t="n">
        <v>0</v>
      </c>
      <c r="O22" s="18" t="n">
        <v>0</v>
      </c>
      <c r="P22" s="20" t="n">
        <v>0</v>
      </c>
      <c r="Q22" s="18" t="n">
        <v>1.72442338</v>
      </c>
      <c r="R22" s="20" t="n">
        <v>0.39323004</v>
      </c>
    </row>
    <row r="23" spans="1:18">
      <c r="A23" s="15" t="s">
        <v>581</v>
      </c>
      <c r="B23" s="17" t="n">
        <v>11583</v>
      </c>
      <c r="C23" s="18">
        <f>(9044.0/B23*100)</f>
        <v/>
      </c>
      <c r="D23" s="19" t="n">
        <v>2539</v>
      </c>
      <c r="E23" s="18" t="n">
        <v>59.51021025</v>
      </c>
      <c r="F23" s="20" t="n">
        <v>1.66101372</v>
      </c>
      <c r="G23" s="18" t="n">
        <v>36.72701</v>
      </c>
      <c r="H23" s="20" t="n">
        <v>1.48807556</v>
      </c>
      <c r="I23" s="18" t="n">
        <v>0</v>
      </c>
      <c r="J23" s="20" t="n">
        <v>0</v>
      </c>
      <c r="K23" s="18" t="n">
        <v>2.37361019</v>
      </c>
      <c r="L23" s="20" t="n">
        <v>0.55015703</v>
      </c>
      <c r="M23" s="18" t="n">
        <v>0</v>
      </c>
      <c r="N23" s="20" t="n">
        <v>0</v>
      </c>
      <c r="O23" s="18" t="n">
        <v>0</v>
      </c>
      <c r="P23" s="20" t="n">
        <v>0</v>
      </c>
      <c r="Q23" s="18" t="n">
        <v>1.38916956</v>
      </c>
      <c r="R23" s="20" t="n">
        <v>0.2849048</v>
      </c>
    </row>
    <row r="24" spans="1:18">
      <c r="A24" s="15" t="s">
        <v>582</v>
      </c>
      <c r="B24" s="17" t="n">
        <v>6647</v>
      </c>
      <c r="C24" s="18">
        <f>(5178.0/B24*100)</f>
        <v/>
      </c>
      <c r="D24" s="19" t="n">
        <v>1469</v>
      </c>
      <c r="E24" s="18" t="n">
        <v>58.84640626</v>
      </c>
      <c r="F24" s="20" t="n">
        <v>1.27544753</v>
      </c>
      <c r="G24" s="18" t="n">
        <v>40.04651923</v>
      </c>
      <c r="H24" s="20" t="n">
        <v>1.307005</v>
      </c>
      <c r="I24" s="18" t="n">
        <v>0</v>
      </c>
      <c r="J24" s="20" t="n">
        <v>0</v>
      </c>
      <c r="K24" s="18" t="n">
        <v>0.50818312</v>
      </c>
      <c r="L24" s="20" t="n">
        <v>0.20370788</v>
      </c>
      <c r="M24" s="18" t="n">
        <v>0</v>
      </c>
      <c r="N24" s="20" t="n">
        <v>0</v>
      </c>
      <c r="O24" s="18" t="n">
        <v>0</v>
      </c>
      <c r="P24" s="20" t="n">
        <v>0</v>
      </c>
      <c r="Q24" s="18" t="n">
        <v>0.59889138</v>
      </c>
      <c r="R24" s="20" t="n">
        <v>0.20121143</v>
      </c>
    </row>
    <row r="25" spans="1:18">
      <c r="A25" s="15" t="s">
        <v>583</v>
      </c>
      <c r="B25" s="17" t="n">
        <v>5581</v>
      </c>
      <c r="C25" s="18">
        <f>(4330.0/B25*100)</f>
        <v/>
      </c>
      <c r="D25" s="19" t="n">
        <v>1251</v>
      </c>
      <c r="E25" s="18" t="n">
        <v>69.74054592</v>
      </c>
      <c r="F25" s="20" t="n">
        <v>1.397032</v>
      </c>
      <c r="G25" s="18" t="n">
        <v>29.0161724</v>
      </c>
      <c r="H25" s="20" t="n">
        <v>1.38399348</v>
      </c>
      <c r="I25" s="18" t="n">
        <v>0</v>
      </c>
      <c r="J25" s="20" t="n">
        <v>0</v>
      </c>
      <c r="K25" s="18" t="n">
        <v>0.76679063</v>
      </c>
      <c r="L25" s="20" t="n">
        <v>0.21846117</v>
      </c>
      <c r="M25" s="18" t="n">
        <v>0</v>
      </c>
      <c r="N25" s="20" t="n">
        <v>0</v>
      </c>
      <c r="O25" s="18" t="n">
        <v>0</v>
      </c>
      <c r="P25" s="20" t="n">
        <v>0</v>
      </c>
      <c r="Q25" s="18" t="n">
        <v>0.47649105</v>
      </c>
      <c r="R25" s="20" t="n">
        <v>0.19358105</v>
      </c>
    </row>
    <row r="26" spans="1:18">
      <c r="A26" s="15" t="s">
        <v>584</v>
      </c>
      <c r="B26" s="17" t="n">
        <v>4869</v>
      </c>
      <c r="C26" s="18">
        <f>(3814.0/B26*100)</f>
        <v/>
      </c>
      <c r="D26" s="19" t="n">
        <v>1055</v>
      </c>
      <c r="E26" s="18" t="n">
        <v>68.33518513</v>
      </c>
      <c r="F26" s="20" t="n">
        <v>1.67725533</v>
      </c>
      <c r="G26" s="18" t="n">
        <v>30.88585727</v>
      </c>
      <c r="H26" s="20" t="n">
        <v>1.65698596</v>
      </c>
      <c r="I26" s="18" t="n">
        <v>0</v>
      </c>
      <c r="J26" s="20" t="n">
        <v>0</v>
      </c>
      <c r="K26" s="18" t="n">
        <v>0.25316311</v>
      </c>
      <c r="L26" s="20" t="n">
        <v>0.14383392</v>
      </c>
      <c r="M26" s="18" t="n">
        <v>0</v>
      </c>
      <c r="N26" s="20" t="n">
        <v>0</v>
      </c>
      <c r="O26" s="18" t="n">
        <v>0</v>
      </c>
      <c r="P26" s="20" t="n">
        <v>0</v>
      </c>
      <c r="Q26" s="18" t="n">
        <v>0.52579449</v>
      </c>
      <c r="R26" s="20" t="n">
        <v>0.25368201</v>
      </c>
    </row>
    <row r="27" spans="1:18">
      <c r="A27" s="15" t="s">
        <v>585</v>
      </c>
      <c r="B27" s="17" t="n">
        <v>5299</v>
      </c>
      <c r="C27" s="18">
        <f>(4144.0/B27*100)</f>
        <v/>
      </c>
      <c r="D27" s="19" t="n">
        <v>1155</v>
      </c>
      <c r="E27" s="18" t="n">
        <v>64.73242740000001</v>
      </c>
      <c r="F27" s="20" t="n">
        <v>1.52759371</v>
      </c>
      <c r="G27" s="18" t="n">
        <v>32.25315977</v>
      </c>
      <c r="H27" s="20" t="n">
        <v>1.39170522</v>
      </c>
      <c r="I27" s="18" t="n">
        <v>0</v>
      </c>
      <c r="J27" s="20" t="n">
        <v>0</v>
      </c>
      <c r="K27" s="18" t="n">
        <v>1.73572645</v>
      </c>
      <c r="L27" s="20" t="n">
        <v>0.3666182</v>
      </c>
      <c r="M27" s="18" t="n">
        <v>0</v>
      </c>
      <c r="N27" s="20" t="n">
        <v>0</v>
      </c>
      <c r="O27" s="18" t="n">
        <v>0</v>
      </c>
      <c r="P27" s="20" t="n">
        <v>0</v>
      </c>
      <c r="Q27" s="18" t="n">
        <v>1.27868638</v>
      </c>
      <c r="R27" s="20" t="n">
        <v>0.32878343</v>
      </c>
    </row>
    <row r="28" spans="1:18">
      <c r="A28" s="15" t="s">
        <v>586</v>
      </c>
      <c r="B28" s="17" t="n">
        <v>7568</v>
      </c>
      <c r="C28" s="18">
        <f>(6111.0/B28*100)</f>
        <v/>
      </c>
      <c r="D28" s="19" t="n">
        <v>1457</v>
      </c>
      <c r="E28" s="18" t="n">
        <v>59.35645077</v>
      </c>
      <c r="F28" s="20" t="n">
        <v>1.35057392</v>
      </c>
      <c r="G28" s="18" t="n">
        <v>37.41630238</v>
      </c>
      <c r="H28" s="20" t="n">
        <v>1.40800527</v>
      </c>
      <c r="I28" s="18" t="n">
        <v>0</v>
      </c>
      <c r="J28" s="20" t="n">
        <v>0</v>
      </c>
      <c r="K28" s="18" t="n">
        <v>2.32351153</v>
      </c>
      <c r="L28" s="20" t="n">
        <v>0.62253101</v>
      </c>
      <c r="M28" s="18" t="n">
        <v>0</v>
      </c>
      <c r="N28" s="20" t="n">
        <v>0</v>
      </c>
      <c r="O28" s="18" t="n">
        <v>0</v>
      </c>
      <c r="P28" s="20" t="n">
        <v>0</v>
      </c>
      <c r="Q28" s="18" t="n">
        <v>0.90373532</v>
      </c>
      <c r="R28" s="20" t="n">
        <v>0.27492328</v>
      </c>
    </row>
    <row r="29" spans="1:18">
      <c r="A29" s="15" t="s">
        <v>587</v>
      </c>
      <c r="B29" s="17" t="n">
        <v>5385</v>
      </c>
      <c r="C29" s="18">
        <f>(4224.0/B29*100)</f>
        <v/>
      </c>
      <c r="D29" s="19" t="n">
        <v>1161</v>
      </c>
      <c r="E29" s="18" t="n">
        <v>66.6060957</v>
      </c>
      <c r="F29" s="20" t="n">
        <v>1.63814811</v>
      </c>
      <c r="G29" s="18" t="n">
        <v>32.07301277</v>
      </c>
      <c r="H29" s="20" t="n">
        <v>1.59227734</v>
      </c>
      <c r="I29" s="18" t="n">
        <v>0</v>
      </c>
      <c r="J29" s="20" t="n">
        <v>0</v>
      </c>
      <c r="K29" s="18" t="n">
        <v>0.81211487</v>
      </c>
      <c r="L29" s="20" t="n">
        <v>0.27534927</v>
      </c>
      <c r="M29" s="18" t="n">
        <v>0</v>
      </c>
      <c r="N29" s="20" t="n">
        <v>0</v>
      </c>
      <c r="O29" s="18" t="n">
        <v>0</v>
      </c>
      <c r="P29" s="20" t="n">
        <v>0</v>
      </c>
      <c r="Q29" s="18" t="n">
        <v>0.5087766500000001</v>
      </c>
      <c r="R29" s="20" t="n">
        <v>0.2062288</v>
      </c>
    </row>
    <row r="30" spans="1:18">
      <c r="A30" s="15" t="s">
        <v>588</v>
      </c>
      <c r="B30" s="17" t="n">
        <v>4520</v>
      </c>
      <c r="C30" s="18">
        <f>(3604.0/B30*100)</f>
        <v/>
      </c>
      <c r="D30" s="19" t="n">
        <v>916</v>
      </c>
      <c r="E30" s="18" t="n">
        <v>52.09730923</v>
      </c>
      <c r="F30" s="20" t="n">
        <v>1.87653817</v>
      </c>
      <c r="G30" s="18" t="n">
        <v>45.31547314</v>
      </c>
      <c r="H30" s="20" t="n">
        <v>1.78887134</v>
      </c>
      <c r="I30" s="18" t="n">
        <v>0</v>
      </c>
      <c r="J30" s="20" t="n">
        <v>0</v>
      </c>
      <c r="K30" s="18" t="n">
        <v>1.81165346</v>
      </c>
      <c r="L30" s="20" t="n">
        <v>0.51508265</v>
      </c>
      <c r="M30" s="18" t="n">
        <v>0</v>
      </c>
      <c r="N30" s="20" t="n">
        <v>0</v>
      </c>
      <c r="O30" s="18" t="n">
        <v>0</v>
      </c>
      <c r="P30" s="20" t="n">
        <v>0</v>
      </c>
      <c r="Q30" s="18" t="n">
        <v>0.77556417</v>
      </c>
      <c r="R30" s="20" t="n">
        <v>0.29924161</v>
      </c>
    </row>
    <row r="31" spans="1:18">
      <c r="A31" s="15" t="s">
        <v>589</v>
      </c>
      <c r="B31" s="17" t="n">
        <v>5456</v>
      </c>
      <c r="C31" s="18">
        <f>(4308.0/B31*100)</f>
        <v/>
      </c>
      <c r="D31" s="19" t="n">
        <v>1148</v>
      </c>
      <c r="E31" s="18" t="n">
        <v>57.70339504</v>
      </c>
      <c r="F31" s="20" t="n">
        <v>1.74987801</v>
      </c>
      <c r="G31" s="18" t="n">
        <v>38.43216748</v>
      </c>
      <c r="H31" s="20" t="n">
        <v>1.77166685</v>
      </c>
      <c r="I31" s="18" t="n">
        <v>0</v>
      </c>
      <c r="J31" s="20" t="n">
        <v>0</v>
      </c>
      <c r="K31" s="18" t="n">
        <v>3.11345386</v>
      </c>
      <c r="L31" s="20" t="n">
        <v>0.5310288399999999</v>
      </c>
      <c r="M31" s="18" t="n">
        <v>0</v>
      </c>
      <c r="N31" s="20" t="n">
        <v>0</v>
      </c>
      <c r="O31" s="18" t="n">
        <v>0</v>
      </c>
      <c r="P31" s="20" t="n">
        <v>0</v>
      </c>
      <c r="Q31" s="18" t="n">
        <v>0.75098361</v>
      </c>
      <c r="R31" s="20" t="n">
        <v>0.23909805</v>
      </c>
    </row>
    <row r="32" spans="1:18">
      <c r="A32" s="15" t="s">
        <v>590</v>
      </c>
      <c r="B32" s="17" t="n">
        <v>4478</v>
      </c>
      <c r="C32" s="18">
        <f>(3525.0/B32*100)</f>
        <v/>
      </c>
      <c r="D32" s="19" t="n">
        <v>953</v>
      </c>
      <c r="E32" s="18" t="n">
        <v>56.84915044</v>
      </c>
      <c r="F32" s="20" t="n">
        <v>1.82058989</v>
      </c>
      <c r="G32" s="18" t="n">
        <v>42.32419786</v>
      </c>
      <c r="H32" s="20" t="n">
        <v>1.85831793</v>
      </c>
      <c r="I32" s="18" t="n">
        <v>0</v>
      </c>
      <c r="J32" s="20" t="n">
        <v>0</v>
      </c>
      <c r="K32" s="18" t="n">
        <v>0.72171304</v>
      </c>
      <c r="L32" s="20" t="n">
        <v>0.27601952</v>
      </c>
      <c r="M32" s="18" t="n">
        <v>0</v>
      </c>
      <c r="N32" s="20" t="n">
        <v>0</v>
      </c>
      <c r="O32" s="18" t="n">
        <v>0</v>
      </c>
      <c r="P32" s="20" t="n">
        <v>0</v>
      </c>
      <c r="Q32" s="18" t="n">
        <v>0.10493867</v>
      </c>
      <c r="R32" s="20" t="n">
        <v>0.11340975</v>
      </c>
    </row>
    <row r="33" spans="1:18">
      <c r="A33" s="15" t="s">
        <v>591</v>
      </c>
      <c r="B33" s="17" t="n">
        <v>7325</v>
      </c>
      <c r="C33" s="18">
        <f>(5885.0/B33*100)</f>
        <v/>
      </c>
      <c r="D33" s="19" t="n">
        <v>1440</v>
      </c>
      <c r="E33" s="18" t="n">
        <v>61.00622957</v>
      </c>
      <c r="F33" s="20" t="n">
        <v>1.76550698</v>
      </c>
      <c r="G33" s="18" t="n">
        <v>37.3677846</v>
      </c>
      <c r="H33" s="20" t="n">
        <v>1.67827289</v>
      </c>
      <c r="I33" s="18" t="n">
        <v>0</v>
      </c>
      <c r="J33" s="20" t="n">
        <v>0</v>
      </c>
      <c r="K33" s="18" t="n">
        <v>1.25032273</v>
      </c>
      <c r="L33" s="20" t="n">
        <v>0.26710513</v>
      </c>
      <c r="M33" s="18" t="n">
        <v>0</v>
      </c>
      <c r="N33" s="20" t="n">
        <v>0</v>
      </c>
      <c r="O33" s="18" t="n">
        <v>0</v>
      </c>
      <c r="P33" s="20" t="n">
        <v>0</v>
      </c>
      <c r="Q33" s="18" t="n">
        <v>0.3756631</v>
      </c>
      <c r="R33" s="20" t="n">
        <v>0.17849705</v>
      </c>
    </row>
    <row r="34" spans="1:18">
      <c r="A34" s="15" t="s">
        <v>592</v>
      </c>
      <c r="B34" s="17" t="n">
        <v>6350</v>
      </c>
      <c r="C34" s="18">
        <f>(5035.0/B34*100)</f>
        <v/>
      </c>
      <c r="D34" s="19" t="n">
        <v>1315</v>
      </c>
      <c r="E34" s="18" t="n">
        <v>62.88081991</v>
      </c>
      <c r="F34" s="20" t="n">
        <v>1.58912191</v>
      </c>
      <c r="G34" s="18" t="n">
        <v>34.93829236</v>
      </c>
      <c r="H34" s="20" t="n">
        <v>1.52609748</v>
      </c>
      <c r="I34" s="18" t="n">
        <v>0</v>
      </c>
      <c r="J34" s="20" t="n">
        <v>0</v>
      </c>
      <c r="K34" s="18" t="n">
        <v>1.01337204</v>
      </c>
      <c r="L34" s="20" t="n">
        <v>0.30073079</v>
      </c>
      <c r="M34" s="18" t="n">
        <v>0</v>
      </c>
      <c r="N34" s="20" t="n">
        <v>0</v>
      </c>
      <c r="O34" s="18" t="n">
        <v>0</v>
      </c>
      <c r="P34" s="20" t="n">
        <v>0</v>
      </c>
      <c r="Q34" s="18" t="n">
        <v>1.16751568</v>
      </c>
      <c r="R34" s="20" t="n">
        <v>0.35145904</v>
      </c>
    </row>
    <row r="35" spans="1:18">
      <c r="A35" s="15" t="s">
        <v>593</v>
      </c>
      <c r="B35" s="17" t="n">
        <v>6406</v>
      </c>
      <c r="C35" s="18">
        <f>(5001.0/B35*100)</f>
        <v/>
      </c>
      <c r="D35" s="19" t="n">
        <v>1405</v>
      </c>
      <c r="E35" s="18" t="n">
        <v>61.11342275</v>
      </c>
      <c r="F35" s="20" t="n">
        <v>1.3324587</v>
      </c>
      <c r="G35" s="18" t="n">
        <v>36.24399737</v>
      </c>
      <c r="H35" s="20" t="n">
        <v>1.4314493</v>
      </c>
      <c r="I35" s="18" t="n">
        <v>0</v>
      </c>
      <c r="J35" s="20" t="n">
        <v>0</v>
      </c>
      <c r="K35" s="18" t="n">
        <v>1.348902</v>
      </c>
      <c r="L35" s="20" t="n">
        <v>0.38921335</v>
      </c>
      <c r="M35" s="18" t="n">
        <v>0</v>
      </c>
      <c r="N35" s="20" t="n">
        <v>0</v>
      </c>
      <c r="O35" s="18" t="n">
        <v>0</v>
      </c>
      <c r="P35" s="20" t="n">
        <v>0</v>
      </c>
      <c r="Q35" s="18" t="n">
        <v>1.29367788</v>
      </c>
      <c r="R35" s="20" t="n">
        <v>0.40360034</v>
      </c>
    </row>
    <row r="36" spans="1:18">
      <c r="A36" s="15" t="s">
        <v>594</v>
      </c>
      <c r="B36" s="17" t="n">
        <v>6736</v>
      </c>
      <c r="C36" s="18">
        <f>(5280.0/B36*100)</f>
        <v/>
      </c>
      <c r="D36" s="19" t="n">
        <v>1456</v>
      </c>
      <c r="E36" s="18" t="n">
        <v>61.6866233</v>
      </c>
      <c r="F36" s="20" t="n">
        <v>1.30620848</v>
      </c>
      <c r="G36" s="18" t="n">
        <v>35.55587011</v>
      </c>
      <c r="H36" s="20" t="n">
        <v>1.26776978</v>
      </c>
      <c r="I36" s="18" t="n">
        <v>0</v>
      </c>
      <c r="J36" s="20" t="n">
        <v>0</v>
      </c>
      <c r="K36" s="18" t="n">
        <v>1.80935521</v>
      </c>
      <c r="L36" s="20" t="n">
        <v>0.4155479</v>
      </c>
      <c r="M36" s="18" t="n">
        <v>0</v>
      </c>
      <c r="N36" s="20" t="n">
        <v>0</v>
      </c>
      <c r="O36" s="18" t="n">
        <v>0</v>
      </c>
      <c r="P36" s="20" t="n">
        <v>0</v>
      </c>
      <c r="Q36" s="18" t="n">
        <v>0.94815138</v>
      </c>
      <c r="R36" s="20" t="n">
        <v>0.28297668</v>
      </c>
    </row>
    <row r="37" spans="1:18">
      <c r="A37" s="15" t="s">
        <v>595</v>
      </c>
      <c r="B37" s="17" t="n">
        <v>5458</v>
      </c>
      <c r="C37" s="18">
        <f>(4343.0/B37*100)</f>
        <v/>
      </c>
      <c r="D37" s="19" t="n">
        <v>1115</v>
      </c>
      <c r="E37" s="18" t="n">
        <v>52.60490634</v>
      </c>
      <c r="F37" s="20" t="n">
        <v>1.38358004</v>
      </c>
      <c r="G37" s="18" t="n">
        <v>41.36888406</v>
      </c>
      <c r="H37" s="20" t="n">
        <v>1.60090116</v>
      </c>
      <c r="I37" s="18" t="n">
        <v>0</v>
      </c>
      <c r="J37" s="20" t="n">
        <v>0</v>
      </c>
      <c r="K37" s="18" t="n">
        <v>4.72399947</v>
      </c>
      <c r="L37" s="20" t="n">
        <v>0.7868488300000001</v>
      </c>
      <c r="M37" s="18" t="n">
        <v>0</v>
      </c>
      <c r="N37" s="20" t="n">
        <v>0</v>
      </c>
      <c r="O37" s="18" t="n">
        <v>0</v>
      </c>
      <c r="P37" s="20" t="n">
        <v>0</v>
      </c>
      <c r="Q37" s="18" t="n">
        <v>1.30221013</v>
      </c>
      <c r="R37" s="20" t="n">
        <v>0.34318855</v>
      </c>
    </row>
    <row r="38" spans="1:18">
      <c r="A38" s="15" t="s">
        <v>596</v>
      </c>
      <c r="B38" s="17" t="n">
        <v>5860</v>
      </c>
      <c r="C38" s="18">
        <f>(4579.0/B38*100)</f>
        <v/>
      </c>
      <c r="D38" s="19" t="n">
        <v>1281</v>
      </c>
      <c r="E38" s="18" t="n">
        <v>62.58485961</v>
      </c>
      <c r="F38" s="20" t="n">
        <v>1.88873227</v>
      </c>
      <c r="G38" s="18" t="n">
        <v>33.7326828</v>
      </c>
      <c r="H38" s="20" t="n">
        <v>1.65912774</v>
      </c>
      <c r="I38" s="18" t="n">
        <v>0</v>
      </c>
      <c r="J38" s="20" t="n">
        <v>0</v>
      </c>
      <c r="K38" s="18" t="n">
        <v>2.47018504</v>
      </c>
      <c r="L38" s="20" t="n">
        <v>0.56645352</v>
      </c>
      <c r="M38" s="18" t="n">
        <v>0</v>
      </c>
      <c r="N38" s="20" t="n">
        <v>0</v>
      </c>
      <c r="O38" s="18" t="n">
        <v>0</v>
      </c>
      <c r="P38" s="20" t="n">
        <v>0</v>
      </c>
      <c r="Q38" s="18" t="n">
        <v>1.21227256</v>
      </c>
      <c r="R38" s="20" t="n">
        <v>0.40025922</v>
      </c>
    </row>
    <row r="39" spans="1:18">
      <c r="A39" s="15" t="s">
        <v>597</v>
      </c>
      <c r="B39" s="17" t="n">
        <v>5895</v>
      </c>
      <c r="C39" s="18">
        <f>(4584.0/B39*100)</f>
        <v/>
      </c>
      <c r="D39" s="19" t="n">
        <v>1311</v>
      </c>
      <c r="E39" s="18" t="n">
        <v>68.35381511999999</v>
      </c>
      <c r="F39" s="20" t="n">
        <v>1.33910058</v>
      </c>
      <c r="G39" s="18" t="n">
        <v>29.4929908</v>
      </c>
      <c r="H39" s="20" t="n">
        <v>1.43782333</v>
      </c>
      <c r="I39" s="18" t="n">
        <v>0</v>
      </c>
      <c r="J39" s="20" t="n">
        <v>0</v>
      </c>
      <c r="K39" s="18" t="n">
        <v>1.39299332</v>
      </c>
      <c r="L39" s="20" t="n">
        <v>0.40487345</v>
      </c>
      <c r="M39" s="18" t="n">
        <v>0</v>
      </c>
      <c r="N39" s="20" t="n">
        <v>0</v>
      </c>
      <c r="O39" s="18" t="n">
        <v>0</v>
      </c>
      <c r="P39" s="20" t="n">
        <v>0</v>
      </c>
      <c r="Q39" s="18" t="n">
        <v>0.76020077</v>
      </c>
      <c r="R39" s="20" t="n">
        <v>0.2414979</v>
      </c>
    </row>
    <row r="40" spans="1:18">
      <c r="A40" s="15" t="s">
        <v>598</v>
      </c>
      <c r="B40" s="17" t="n">
        <v>14157</v>
      </c>
      <c r="C40" s="18">
        <f>(11175.0/B40*100)</f>
        <v/>
      </c>
      <c r="D40" s="19" t="n">
        <v>2982</v>
      </c>
      <c r="E40" s="18" t="n">
        <v>58.62967497</v>
      </c>
      <c r="F40" s="20" t="n">
        <v>1.62462655</v>
      </c>
      <c r="G40" s="18" t="n">
        <v>39.29959307</v>
      </c>
      <c r="H40" s="20" t="n">
        <v>1.58241866</v>
      </c>
      <c r="I40" s="18" t="n">
        <v>0</v>
      </c>
      <c r="J40" s="20" t="n">
        <v>0</v>
      </c>
      <c r="K40" s="18" t="n">
        <v>1.03219507</v>
      </c>
      <c r="L40" s="20" t="n">
        <v>0.23927592</v>
      </c>
      <c r="M40" s="18" t="n">
        <v>0</v>
      </c>
      <c r="N40" s="20" t="n">
        <v>0</v>
      </c>
      <c r="O40" s="18" t="n">
        <v>0</v>
      </c>
      <c r="P40" s="20" t="n">
        <v>0</v>
      </c>
      <c r="Q40" s="18" t="n">
        <v>1.03853688</v>
      </c>
      <c r="R40" s="20" t="n">
        <v>0.29037698</v>
      </c>
    </row>
    <row r="41" spans="1:18">
      <c r="A41" s="15" t="s">
        <v>599</v>
      </c>
      <c r="B41" s="17" t="n">
        <v>5712</v>
      </c>
      <c r="C41" s="18">
        <f>(4464.0/B41*100)</f>
        <v/>
      </c>
      <c r="D41" s="19" t="n">
        <v>1248</v>
      </c>
      <c r="E41" s="18" t="n">
        <v>54.30991545</v>
      </c>
      <c r="F41" s="20" t="n">
        <v>1.51328597</v>
      </c>
      <c r="G41" s="18" t="n">
        <v>44.20178288</v>
      </c>
      <c r="H41" s="20" t="n">
        <v>1.59711903</v>
      </c>
      <c r="I41" s="18" t="n">
        <v>0</v>
      </c>
      <c r="J41" s="20" t="n">
        <v>0</v>
      </c>
      <c r="K41" s="18" t="n">
        <v>0.78590659</v>
      </c>
      <c r="L41" s="20" t="n">
        <v>0.2588763</v>
      </c>
      <c r="M41" s="18" t="n">
        <v>0</v>
      </c>
      <c r="N41" s="20" t="n">
        <v>0</v>
      </c>
      <c r="O41" s="18" t="n">
        <v>0</v>
      </c>
      <c r="P41" s="20" t="n">
        <v>0</v>
      </c>
      <c r="Q41" s="18" t="n">
        <v>0.7023950799999999</v>
      </c>
      <c r="R41" s="20" t="n">
        <v>0.25128668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(19659.0/B46*100)</f>
        <v/>
      </c>
      <c r="D46" s="19" t="n">
        <v>3482</v>
      </c>
      <c r="E46" s="18" t="n">
        <v>64.73752446</v>
      </c>
      <c r="F46" s="20" t="n">
        <v>1.07884711</v>
      </c>
      <c r="G46" s="18" t="n">
        <v>29.15099697</v>
      </c>
      <c r="H46" s="20" t="n">
        <v>0.9888839</v>
      </c>
      <c r="I46" s="18" t="n">
        <v>0</v>
      </c>
      <c r="J46" s="20" t="n">
        <v>0</v>
      </c>
      <c r="K46" s="18" t="n">
        <v>4.01192221</v>
      </c>
      <c r="L46" s="20" t="n">
        <v>0.46221264</v>
      </c>
      <c r="M46" s="18" t="n">
        <v>0</v>
      </c>
      <c r="N46" s="20" t="n">
        <v>0</v>
      </c>
      <c r="O46" s="18" t="n">
        <v>0</v>
      </c>
      <c r="P46" s="20" t="n">
        <v>0</v>
      </c>
      <c r="Q46" s="18" t="n">
        <v>2.09955636</v>
      </c>
      <c r="R46" s="20" t="n">
        <v>0.33401234</v>
      </c>
    </row>
    <row r="47" spans="1:18">
      <c r="A47" s="15" t="s">
        <v>606</v>
      </c>
      <c r="B47" s="17" t="n">
        <v>5928</v>
      </c>
      <c r="C47" s="18">
        <f>(4713.0/B47*100)</f>
        <v/>
      </c>
      <c r="D47" s="19" t="n">
        <v>1215</v>
      </c>
      <c r="E47" s="18" t="n">
        <v>71.41326158</v>
      </c>
      <c r="F47" s="20" t="n">
        <v>1.16791658</v>
      </c>
      <c r="G47" s="18" t="n">
        <v>25.82673513</v>
      </c>
      <c r="H47" s="20" t="n">
        <v>1.07680659</v>
      </c>
      <c r="I47" s="18" t="n">
        <v>0</v>
      </c>
      <c r="J47" s="20" t="n">
        <v>0</v>
      </c>
      <c r="K47" s="18" t="n">
        <v>1.71758834</v>
      </c>
      <c r="L47" s="20" t="n">
        <v>0.42662968</v>
      </c>
      <c r="M47" s="18" t="n">
        <v>0</v>
      </c>
      <c r="N47" s="20" t="n">
        <v>0</v>
      </c>
      <c r="O47" s="18" t="n">
        <v>0</v>
      </c>
      <c r="P47" s="20" t="n">
        <v>0</v>
      </c>
      <c r="Q47" s="18" t="n">
        <v>1.04241495</v>
      </c>
      <c r="R47" s="20" t="n">
        <v>0.27442958</v>
      </c>
    </row>
    <row r="48" spans="1:18">
      <c r="A48" s="15" t="s">
        <v>607</v>
      </c>
      <c r="B48" s="17" t="n">
        <v>9841</v>
      </c>
      <c r="C48" s="18">
        <f>(7692.0/B48*100)</f>
        <v/>
      </c>
      <c r="D48" s="19" t="n">
        <v>2149</v>
      </c>
      <c r="E48" s="18" t="n">
        <v>54.63284148</v>
      </c>
      <c r="F48" s="20" t="n">
        <v>1.55258484</v>
      </c>
      <c r="G48" s="18" t="n">
        <v>43.70355134</v>
      </c>
      <c r="H48" s="20" t="n">
        <v>1.52275101</v>
      </c>
      <c r="I48" s="18" t="n">
        <v>0</v>
      </c>
      <c r="J48" s="20" t="n">
        <v>0</v>
      </c>
      <c r="K48" s="18" t="n">
        <v>1.26992679</v>
      </c>
      <c r="L48" s="20" t="n">
        <v>0.33958588</v>
      </c>
      <c r="M48" s="18" t="n">
        <v>0</v>
      </c>
      <c r="N48" s="20" t="n">
        <v>0</v>
      </c>
      <c r="O48" s="18" t="n">
        <v>0</v>
      </c>
      <c r="P48" s="20" t="n">
        <v>0</v>
      </c>
      <c r="Q48" s="18" t="n">
        <v>0.39368038</v>
      </c>
      <c r="R48" s="20" t="n">
        <v>0.13452508</v>
      </c>
    </row>
    <row r="49" spans="1:18">
      <c r="A49" s="15" t="s">
        <v>608</v>
      </c>
      <c r="B49" s="17" t="n">
        <v>11795</v>
      </c>
      <c r="C49" s="18">
        <f>(9410.0/B49*100)</f>
        <v/>
      </c>
      <c r="D49" s="19" t="n">
        <v>2385</v>
      </c>
      <c r="E49" s="18" t="n">
        <v>65.14015712</v>
      </c>
      <c r="F49" s="20" t="n">
        <v>1.331267</v>
      </c>
      <c r="G49" s="18" t="n">
        <v>29.54171627</v>
      </c>
      <c r="H49" s="20" t="n">
        <v>1.29721809</v>
      </c>
      <c r="I49" s="18" t="n">
        <v>0</v>
      </c>
      <c r="J49" s="20" t="n">
        <v>0</v>
      </c>
      <c r="K49" s="18" t="n">
        <v>4.6431475</v>
      </c>
      <c r="L49" s="20" t="n">
        <v>0.73071173</v>
      </c>
      <c r="M49" s="18" t="n">
        <v>0</v>
      </c>
      <c r="N49" s="20" t="n">
        <v>0</v>
      </c>
      <c r="O49" s="18" t="n">
        <v>0</v>
      </c>
      <c r="P49" s="20" t="n">
        <v>0</v>
      </c>
      <c r="Q49" s="18" t="n">
        <v>0.67497911</v>
      </c>
      <c r="R49" s="20" t="n">
        <v>0.16849795</v>
      </c>
    </row>
    <row r="50" spans="1:18">
      <c r="A50" s="15" t="s">
        <v>609</v>
      </c>
      <c r="B50" s="17" t="n">
        <v>6866</v>
      </c>
      <c r="C50" s="18">
        <f>(5617.0/B50*100)</f>
        <v/>
      </c>
      <c r="D50" s="19" t="n">
        <v>1249</v>
      </c>
      <c r="E50" s="18" t="n">
        <v>62.91996668</v>
      </c>
      <c r="F50" s="20" t="n">
        <v>1.51476443</v>
      </c>
      <c r="G50" s="18" t="n">
        <v>33.43280735</v>
      </c>
      <c r="H50" s="20" t="n">
        <v>1.55286922</v>
      </c>
      <c r="I50" s="18" t="n">
        <v>0</v>
      </c>
      <c r="J50" s="20" t="n">
        <v>0</v>
      </c>
      <c r="K50" s="18" t="n">
        <v>1.95787411</v>
      </c>
      <c r="L50" s="20" t="n">
        <v>0.58604451</v>
      </c>
      <c r="M50" s="18" t="n">
        <v>0</v>
      </c>
      <c r="N50" s="20" t="n">
        <v>0</v>
      </c>
      <c r="O50" s="18" t="n">
        <v>0</v>
      </c>
      <c r="P50" s="20" t="n">
        <v>0</v>
      </c>
      <c r="Q50" s="18" t="n">
        <v>1.68935187</v>
      </c>
      <c r="R50" s="20" t="n">
        <v>0.4793943</v>
      </c>
    </row>
    <row r="51" spans="1:18">
      <c r="A51" s="15" t="s">
        <v>610</v>
      </c>
      <c r="B51" s="17" t="n">
        <v>5809</v>
      </c>
      <c r="C51" s="18">
        <f>(4559.0/B51*100)</f>
        <v/>
      </c>
      <c r="D51" s="19" t="n">
        <v>1250</v>
      </c>
      <c r="E51" s="18" t="n">
        <v>66.66560794999999</v>
      </c>
      <c r="F51" s="20" t="n">
        <v>1.42245166</v>
      </c>
      <c r="G51" s="18" t="n">
        <v>31.30517326</v>
      </c>
      <c r="H51" s="20" t="n">
        <v>1.33739129</v>
      </c>
      <c r="I51" s="18" t="n">
        <v>0</v>
      </c>
      <c r="J51" s="20" t="n">
        <v>0</v>
      </c>
      <c r="K51" s="18" t="n">
        <v>1.3476383</v>
      </c>
      <c r="L51" s="20" t="n">
        <v>0.29305219</v>
      </c>
      <c r="M51" s="18" t="n">
        <v>0</v>
      </c>
      <c r="N51" s="20" t="n">
        <v>0</v>
      </c>
      <c r="O51" s="18" t="n">
        <v>0</v>
      </c>
      <c r="P51" s="20" t="n">
        <v>0</v>
      </c>
      <c r="Q51" s="18" t="n">
        <v>0.68158048</v>
      </c>
      <c r="R51" s="20" t="n">
        <v>0.2409118</v>
      </c>
    </row>
    <row r="52" spans="1:18">
      <c r="A52" s="15" t="s">
        <v>611</v>
      </c>
      <c r="B52" s="17" t="n">
        <v>5571</v>
      </c>
      <c r="C52" s="18">
        <f>(4350.0/B52*100)</f>
        <v/>
      </c>
      <c r="D52" s="19" t="n">
        <v>1221</v>
      </c>
      <c r="E52" s="18" t="n">
        <v>74.42925999000001</v>
      </c>
      <c r="F52" s="20" t="n">
        <v>1.49586587</v>
      </c>
      <c r="G52" s="18" t="n">
        <v>22.95521461</v>
      </c>
      <c r="H52" s="20" t="n">
        <v>1.47182812</v>
      </c>
      <c r="I52" s="18" t="n">
        <v>0</v>
      </c>
      <c r="J52" s="20" t="n">
        <v>0</v>
      </c>
      <c r="K52" s="18" t="n">
        <v>1.700404</v>
      </c>
      <c r="L52" s="20" t="n">
        <v>0.31082117</v>
      </c>
      <c r="M52" s="18" t="n">
        <v>0</v>
      </c>
      <c r="N52" s="20" t="n">
        <v>0</v>
      </c>
      <c r="O52" s="18" t="n">
        <v>0</v>
      </c>
      <c r="P52" s="20" t="n">
        <v>0</v>
      </c>
      <c r="Q52" s="18" t="n">
        <v>0.9151214</v>
      </c>
      <c r="R52" s="20" t="n">
        <v>0.27110249</v>
      </c>
    </row>
    <row r="53" spans="1:18">
      <c r="A53" s="15" t="s">
        <v>612</v>
      </c>
      <c r="B53" s="17" t="n">
        <v>4740</v>
      </c>
      <c r="C53" s="18">
        <f>(3710.0/B53*100)</f>
        <v/>
      </c>
      <c r="D53" s="19" t="n">
        <v>1030</v>
      </c>
      <c r="E53" s="18" t="n">
        <v>45.87655234</v>
      </c>
      <c r="F53" s="20" t="n">
        <v>1.91278229</v>
      </c>
      <c r="G53" s="18" t="n">
        <v>28.19122557</v>
      </c>
      <c r="H53" s="20" t="n">
        <v>1.51793154</v>
      </c>
      <c r="I53" s="18" t="n">
        <v>0</v>
      </c>
      <c r="J53" s="20" t="n">
        <v>0</v>
      </c>
      <c r="K53" s="18" t="n">
        <v>23.80383197</v>
      </c>
      <c r="L53" s="20" t="n">
        <v>1.60366051</v>
      </c>
      <c r="M53" s="18" t="n">
        <v>0</v>
      </c>
      <c r="N53" s="20" t="n">
        <v>0</v>
      </c>
      <c r="O53" s="18" t="n">
        <v>0</v>
      </c>
      <c r="P53" s="20" t="n">
        <v>0</v>
      </c>
      <c r="Q53" s="18" t="n">
        <v>2.12839012</v>
      </c>
      <c r="R53" s="20" t="n">
        <v>0.47037584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(4131.0/B55*100)</f>
        <v/>
      </c>
      <c r="D55" s="19" t="n">
        <v>1228</v>
      </c>
      <c r="E55" s="18" t="n">
        <v>48.10566507</v>
      </c>
      <c r="F55" s="20" t="n">
        <v>1.45849021</v>
      </c>
      <c r="G55" s="18" t="n">
        <v>50.97482071</v>
      </c>
      <c r="H55" s="20" t="n">
        <v>1.49967926</v>
      </c>
      <c r="I55" s="18" t="n">
        <v>0</v>
      </c>
      <c r="J55" s="20" t="n">
        <v>0</v>
      </c>
      <c r="K55" s="18" t="n">
        <v>0.68153915</v>
      </c>
      <c r="L55" s="20" t="n">
        <v>0.28035899</v>
      </c>
      <c r="M55" s="18" t="n">
        <v>0</v>
      </c>
      <c r="N55" s="20" t="n">
        <v>0</v>
      </c>
      <c r="O55" s="18" t="n">
        <v>0</v>
      </c>
      <c r="P55" s="20" t="n">
        <v>0</v>
      </c>
      <c r="Q55" s="18" t="n">
        <v>0.23797508</v>
      </c>
      <c r="R55" s="20" t="n">
        <v>0.09797786999999999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(5083.0/B61*100)</f>
        <v/>
      </c>
      <c r="D61" s="19" t="n">
        <v>1442</v>
      </c>
      <c r="E61" s="18" t="n">
        <v>67.52647372</v>
      </c>
      <c r="F61" s="20" t="n">
        <v>1.33011041</v>
      </c>
      <c r="G61" s="18" t="n">
        <v>30.35782599</v>
      </c>
      <c r="H61" s="20" t="n">
        <v>1.26449601</v>
      </c>
      <c r="I61" s="18" t="n">
        <v>0</v>
      </c>
      <c r="J61" s="20" t="n">
        <v>0</v>
      </c>
      <c r="K61" s="18" t="n">
        <v>1.03773019</v>
      </c>
      <c r="L61" s="20" t="n">
        <v>0.27517337</v>
      </c>
      <c r="M61" s="18" t="n">
        <v>0</v>
      </c>
      <c r="N61" s="20" t="n">
        <v>0</v>
      </c>
      <c r="O61" s="18" t="n">
        <v>0</v>
      </c>
      <c r="P61" s="20" t="n">
        <v>0</v>
      </c>
      <c r="Q61" s="18" t="n">
        <v>1.0779701</v>
      </c>
      <c r="R61" s="20" t="n">
        <v>0.32106724</v>
      </c>
    </row>
    <row r="62" spans="1:18">
      <c r="A62" s="15" t="s">
        <v>622</v>
      </c>
      <c r="B62" s="17" t="n">
        <v>4476</v>
      </c>
      <c r="C62" s="18">
        <f>(3516.0/B62*100)</f>
        <v/>
      </c>
      <c r="D62" s="19" t="n">
        <v>960</v>
      </c>
      <c r="E62" s="18" t="n">
        <v>55.00406064</v>
      </c>
      <c r="F62" s="20" t="n">
        <v>1.71325351</v>
      </c>
      <c r="G62" s="18" t="n">
        <v>44.89254539</v>
      </c>
      <c r="H62" s="20" t="n">
        <v>1.70590025</v>
      </c>
      <c r="I62" s="18" t="n">
        <v>0</v>
      </c>
      <c r="J62" s="20" t="n">
        <v>0</v>
      </c>
      <c r="K62" s="18" t="n">
        <v>0.10339397</v>
      </c>
      <c r="L62" s="20" t="n">
        <v>0.10318672</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(4480.0/B67*100)</f>
        <v/>
      </c>
      <c r="D67" s="19" t="n">
        <v>1185</v>
      </c>
      <c r="E67" s="18" t="n">
        <v>69.66714847</v>
      </c>
      <c r="F67" s="20" t="n">
        <v>1.4434992</v>
      </c>
      <c r="G67" s="18" t="n">
        <v>22.74660176</v>
      </c>
      <c r="H67" s="20" t="n">
        <v>1.26166613</v>
      </c>
      <c r="I67" s="18" t="n">
        <v>0</v>
      </c>
      <c r="J67" s="20" t="n">
        <v>0</v>
      </c>
      <c r="K67" s="18" t="n">
        <v>4.01194968</v>
      </c>
      <c r="L67" s="20" t="n">
        <v>0.53793887</v>
      </c>
      <c r="M67" s="18" t="n">
        <v>0</v>
      </c>
      <c r="N67" s="20" t="n">
        <v>0</v>
      </c>
      <c r="O67" s="18" t="n">
        <v>0</v>
      </c>
      <c r="P67" s="20" t="n">
        <v>0</v>
      </c>
      <c r="Q67" s="18" t="n">
        <v>3.57430009</v>
      </c>
      <c r="R67" s="20" t="n">
        <v>0.49088052</v>
      </c>
    </row>
    <row r="68" spans="1:18">
      <c r="A68" s="15" t="s">
        <v>628</v>
      </c>
      <c r="B68" s="17" t="n">
        <v>6971</v>
      </c>
      <c r="C68" s="18">
        <f>(5761.0/B68*100)</f>
        <v/>
      </c>
      <c r="D68" s="19" t="n">
        <v>1210</v>
      </c>
      <c r="E68" s="18" t="n">
        <v>68.68240465</v>
      </c>
      <c r="F68" s="20" t="n">
        <v>1.33234439</v>
      </c>
      <c r="G68" s="18" t="n">
        <v>28.75213448</v>
      </c>
      <c r="H68" s="20" t="n">
        <v>1.3610038</v>
      </c>
      <c r="I68" s="18" t="n">
        <v>0</v>
      </c>
      <c r="J68" s="20" t="n">
        <v>0</v>
      </c>
      <c r="K68" s="18" t="n">
        <v>1.23050475</v>
      </c>
      <c r="L68" s="20" t="n">
        <v>0.38084602</v>
      </c>
      <c r="M68" s="18" t="n">
        <v>0</v>
      </c>
      <c r="N68" s="20" t="n">
        <v>0</v>
      </c>
      <c r="O68" s="18" t="n">
        <v>0</v>
      </c>
      <c r="P68" s="20" t="n">
        <v>0</v>
      </c>
      <c r="Q68" s="18" t="n">
        <v>1.33495613</v>
      </c>
      <c r="R68" s="20" t="n">
        <v>0.32112187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(9375.0/B70*100)</f>
        <v/>
      </c>
      <c r="D70" s="19" t="n">
        <v>2708</v>
      </c>
      <c r="E70" s="18" t="n">
        <v>60.3352841</v>
      </c>
      <c r="F70" s="20" t="n">
        <v>0.89889763</v>
      </c>
      <c r="G70" s="18" t="n">
        <v>32.64139946</v>
      </c>
      <c r="H70" s="20" t="n">
        <v>0.88373696</v>
      </c>
      <c r="I70" s="18" t="n">
        <v>0</v>
      </c>
      <c r="J70" s="20" t="n">
        <v>0</v>
      </c>
      <c r="K70" s="18" t="n">
        <v>5.77966074</v>
      </c>
      <c r="L70" s="20" t="n">
        <v>0.47418651</v>
      </c>
      <c r="M70" s="18" t="n">
        <v>0</v>
      </c>
      <c r="N70" s="20" t="n">
        <v>0</v>
      </c>
      <c r="O70" s="18" t="n">
        <v>0</v>
      </c>
      <c r="P70" s="20" t="n">
        <v>0</v>
      </c>
      <c r="Q70" s="18" t="n">
        <v>1.2436557</v>
      </c>
      <c r="R70" s="20" t="n">
        <v>0.22785312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(4869.0/B72*100)</f>
        <v/>
      </c>
      <c r="D72" s="19" t="n">
        <v>1167</v>
      </c>
      <c r="E72" s="18" t="n">
        <v>62.31970076</v>
      </c>
      <c r="F72" s="20" t="n">
        <v>1.52535406</v>
      </c>
      <c r="G72" s="18" t="n">
        <v>34.84099929</v>
      </c>
      <c r="H72" s="20" t="n">
        <v>1.61898926</v>
      </c>
      <c r="I72" s="18" t="n">
        <v>0</v>
      </c>
      <c r="J72" s="20" t="n">
        <v>0</v>
      </c>
      <c r="K72" s="18" t="n">
        <v>1.49181478</v>
      </c>
      <c r="L72" s="20" t="n">
        <v>0.37406649</v>
      </c>
      <c r="M72" s="18" t="n">
        <v>0</v>
      </c>
      <c r="N72" s="20" t="n">
        <v>0</v>
      </c>
      <c r="O72" s="18" t="n">
        <v>0</v>
      </c>
      <c r="P72" s="20" t="n">
        <v>0</v>
      </c>
      <c r="Q72" s="18" t="n">
        <v>1.34748517</v>
      </c>
      <c r="R72" s="20" t="n">
        <v>0.35389808</v>
      </c>
    </row>
    <row r="73" spans="1:18">
      <c r="A73" s="15" t="s">
        <v>633</v>
      </c>
      <c r="B73" s="17" t="n">
        <v>6115</v>
      </c>
      <c r="C73" s="18">
        <f>(4792.0/B73*100)</f>
        <v/>
      </c>
      <c r="D73" s="19" t="n">
        <v>1323</v>
      </c>
      <c r="E73" s="18" t="n">
        <v>50.03093155</v>
      </c>
      <c r="F73" s="20" t="n">
        <v>1.31421679</v>
      </c>
      <c r="G73" s="18" t="n">
        <v>49.42574563</v>
      </c>
      <c r="H73" s="20" t="n">
        <v>1.35969001</v>
      </c>
      <c r="I73" s="18" t="n">
        <v>0</v>
      </c>
      <c r="J73" s="20" t="n">
        <v>0</v>
      </c>
      <c r="K73" s="18" t="n">
        <v>0.54332283</v>
      </c>
      <c r="L73" s="20" t="n">
        <v>0.22239411</v>
      </c>
      <c r="M73" s="18" t="n">
        <v>0</v>
      </c>
      <c r="N73" s="20" t="n">
        <v>0</v>
      </c>
      <c r="O73" s="18" t="n">
        <v>0</v>
      </c>
      <c r="P73" s="20" t="n">
        <v>0</v>
      </c>
      <c r="Q73" s="18" t="n">
        <v>0</v>
      </c>
      <c r="R73" s="20" t="n">
        <v>0</v>
      </c>
    </row>
    <row r="74" spans="1:18">
      <c r="A74" s="15" t="s">
        <v>634</v>
      </c>
      <c r="B74" s="17" t="n">
        <v>7708</v>
      </c>
      <c r="C74" s="18">
        <f>(5968.0/B74*100)</f>
        <v/>
      </c>
      <c r="D74" s="19" t="n">
        <v>1740</v>
      </c>
      <c r="E74" s="18" t="n">
        <v>34.51981888</v>
      </c>
      <c r="F74" s="20" t="n">
        <v>1.3877407</v>
      </c>
      <c r="G74" s="18" t="n">
        <v>64.72328558</v>
      </c>
      <c r="H74" s="20" t="n">
        <v>1.3735479</v>
      </c>
      <c r="I74" s="18" t="n">
        <v>0</v>
      </c>
      <c r="J74" s="20" t="n">
        <v>0</v>
      </c>
      <c r="K74" s="18" t="n">
        <v>0.34871255</v>
      </c>
      <c r="L74" s="20" t="n">
        <v>0.14705157</v>
      </c>
      <c r="M74" s="18" t="n">
        <v>0</v>
      </c>
      <c r="N74" s="20" t="n">
        <v>0</v>
      </c>
      <c r="O74" s="18" t="n">
        <v>0</v>
      </c>
      <c r="P74" s="20" t="n">
        <v>0</v>
      </c>
      <c r="Q74" s="18" t="n">
        <v>0.40818298</v>
      </c>
      <c r="R74" s="20" t="n">
        <v>0.14682807</v>
      </c>
    </row>
    <row r="75" spans="1:18">
      <c r="A75" s="15" t="s">
        <v>635</v>
      </c>
      <c r="B75" s="17" t="n">
        <v>8249</v>
      </c>
      <c r="C75" s="18">
        <f>(6596.0/B75*100)</f>
        <v/>
      </c>
      <c r="D75" s="19" t="n">
        <v>1653</v>
      </c>
      <c r="E75" s="18" t="n">
        <v>55.42933829</v>
      </c>
      <c r="F75" s="20" t="n">
        <v>1.38640575</v>
      </c>
      <c r="G75" s="18" t="n">
        <v>44.04795424</v>
      </c>
      <c r="H75" s="20" t="n">
        <v>1.38711688</v>
      </c>
      <c r="I75" s="18" t="n">
        <v>0</v>
      </c>
      <c r="J75" s="20" t="n">
        <v>0</v>
      </c>
      <c r="K75" s="18" t="n">
        <v>0.06032263</v>
      </c>
      <c r="L75" s="20" t="n">
        <v>0.0402196</v>
      </c>
      <c r="M75" s="18" t="n">
        <v>0</v>
      </c>
      <c r="N75" s="20" t="n">
        <v>0</v>
      </c>
      <c r="O75" s="18" t="n">
        <v>0</v>
      </c>
      <c r="P75" s="20" t="n">
        <v>0</v>
      </c>
      <c r="Q75" s="18" t="n">
        <v>0.46238485</v>
      </c>
      <c r="R75" s="20" t="n">
        <v>0.13236316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(4388.0/B77*100)</f>
        <v/>
      </c>
      <c r="D77" s="19" t="n">
        <v>987</v>
      </c>
      <c r="E77" s="18" t="n">
        <v>65.90480398</v>
      </c>
      <c r="F77" s="20" t="n">
        <v>1.74933255</v>
      </c>
      <c r="G77" s="18" t="n">
        <v>23.98076902</v>
      </c>
      <c r="H77" s="20" t="n">
        <v>1.68085443</v>
      </c>
      <c r="I77" s="18" t="n">
        <v>0</v>
      </c>
      <c r="J77" s="20" t="n">
        <v>0</v>
      </c>
      <c r="K77" s="18" t="n">
        <v>8.24020402</v>
      </c>
      <c r="L77" s="20" t="n">
        <v>1.21608791</v>
      </c>
      <c r="M77" s="18" t="n">
        <v>0</v>
      </c>
      <c r="N77" s="20" t="n">
        <v>0</v>
      </c>
      <c r="O77" s="18" t="n">
        <v>0</v>
      </c>
      <c r="P77" s="20" t="n">
        <v>0</v>
      </c>
      <c r="Q77" s="18" t="n">
        <v>1.87422299</v>
      </c>
      <c r="R77" s="20" t="n">
        <v>0.46035148</v>
      </c>
    </row>
    <row r="78" spans="1:18">
      <c r="A78" s="15" t="s">
        <v>638</v>
      </c>
      <c r="B78" s="17" t="n">
        <v>14167</v>
      </c>
      <c r="C78" s="18">
        <f>(11131.0/B78*100)</f>
        <v/>
      </c>
      <c r="D78" s="19" t="n">
        <v>3036</v>
      </c>
      <c r="E78" s="18" t="n">
        <v>60.09162121</v>
      </c>
      <c r="F78" s="20" t="n">
        <v>1.14517167</v>
      </c>
      <c r="G78" s="18" t="n">
        <v>35.90249515</v>
      </c>
      <c r="H78" s="20" t="n">
        <v>1.09505168</v>
      </c>
      <c r="I78" s="18" t="n">
        <v>0</v>
      </c>
      <c r="J78" s="20" t="n">
        <v>0</v>
      </c>
      <c r="K78" s="18" t="n">
        <v>3.0035146</v>
      </c>
      <c r="L78" s="20" t="n">
        <v>0.42933358</v>
      </c>
      <c r="M78" s="18" t="n">
        <v>0</v>
      </c>
      <c r="N78" s="20" t="n">
        <v>0</v>
      </c>
      <c r="O78" s="18" t="n">
        <v>0</v>
      </c>
      <c r="P78" s="20" t="n">
        <v>0</v>
      </c>
      <c r="Q78" s="18" t="n">
        <v>1.00236904</v>
      </c>
      <c r="R78" s="20" t="n">
        <v>0.21557693</v>
      </c>
    </row>
    <row r="79" spans="1:18">
      <c r="A79" s="15" t="s">
        <v>639</v>
      </c>
      <c r="B79" s="17" t="n">
        <v>6062</v>
      </c>
      <c r="C79" s="18">
        <f>(4834.0/B79*100)</f>
        <v/>
      </c>
      <c r="D79" s="19" t="n">
        <v>1228</v>
      </c>
      <c r="E79" s="18" t="n">
        <v>61.56452526</v>
      </c>
      <c r="F79" s="20" t="n">
        <v>1.45428627</v>
      </c>
      <c r="G79" s="18" t="n">
        <v>30.72794649</v>
      </c>
      <c r="H79" s="20" t="n">
        <v>1.3283372</v>
      </c>
      <c r="I79" s="18" t="n">
        <v>0</v>
      </c>
      <c r="J79" s="20" t="n">
        <v>0</v>
      </c>
      <c r="K79" s="18" t="n">
        <v>5.75065524</v>
      </c>
      <c r="L79" s="20" t="n">
        <v>0.67351611</v>
      </c>
      <c r="M79" s="18" t="n">
        <v>0</v>
      </c>
      <c r="N79" s="20" t="n">
        <v>0</v>
      </c>
      <c r="O79" s="18" t="n">
        <v>0</v>
      </c>
      <c r="P79" s="20" t="n">
        <v>0</v>
      </c>
      <c r="Q79" s="18" t="n">
        <v>1.95687301</v>
      </c>
      <c r="R79" s="20" t="n">
        <v>0.46131335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(25424.0/B82*100)</f>
        <v/>
      </c>
      <c r="D82" s="19" t="n">
        <v>6906</v>
      </c>
      <c r="E82" s="18" t="n">
        <v>62.47781471</v>
      </c>
      <c r="F82" s="20" t="n">
        <v>0.89796424</v>
      </c>
      <c r="G82" s="18" t="n">
        <v>35.12887238</v>
      </c>
      <c r="H82" s="20" t="n">
        <v>0.89916936</v>
      </c>
      <c r="I82" s="18" t="n">
        <v>0</v>
      </c>
      <c r="J82" s="20" t="n">
        <v>0</v>
      </c>
      <c r="K82" s="18" t="n">
        <v>1.58927996</v>
      </c>
      <c r="L82" s="20" t="n">
        <v>0.2401646</v>
      </c>
      <c r="M82" s="18" t="n">
        <v>0</v>
      </c>
      <c r="N82" s="20" t="n">
        <v>0</v>
      </c>
      <c r="O82" s="18" t="n">
        <v>0</v>
      </c>
      <c r="P82" s="20" t="n">
        <v>0</v>
      </c>
      <c r="Q82" s="18" t="n">
        <v>0.80403295</v>
      </c>
      <c r="R82" s="20" t="n">
        <v>0.15934015</v>
      </c>
    </row>
    <row r="83" spans="1:18">
      <c r="A83" s="15" t="s">
        <v>643</v>
      </c>
      <c r="B83" s="17" t="n">
        <v>1652</v>
      </c>
      <c r="C83" s="18">
        <f>(1295.0/B83*100)</f>
        <v/>
      </c>
      <c r="D83" s="19" t="n">
        <v>357</v>
      </c>
      <c r="E83" s="18" t="n">
        <v>51.24073326</v>
      </c>
      <c r="F83" s="20" t="n">
        <v>2.38151728</v>
      </c>
      <c r="G83" s="18" t="n">
        <v>46.9269326</v>
      </c>
      <c r="H83" s="20" t="n">
        <v>2.37074107</v>
      </c>
      <c r="I83" s="18" t="n">
        <v>0</v>
      </c>
      <c r="J83" s="20" t="n">
        <v>0</v>
      </c>
      <c r="K83" s="18" t="n">
        <v>1.21425279</v>
      </c>
      <c r="L83" s="20" t="n">
        <v>0.39234598</v>
      </c>
      <c r="M83" s="18" t="n">
        <v>0</v>
      </c>
      <c r="N83" s="20" t="n">
        <v>0</v>
      </c>
      <c r="O83" s="18" t="n">
        <v>0</v>
      </c>
      <c r="P83" s="20" t="n">
        <v>0</v>
      </c>
      <c r="Q83" s="18" t="n">
        <v>0.61808135</v>
      </c>
      <c r="R83" s="20" t="n">
        <v>0.45410103</v>
      </c>
    </row>
    <row r="84" spans="1:18">
      <c r="A84" s="23" t="s">
        <v>644</v>
      </c>
      <c r="B84" s="24" t="n">
        <v>1887</v>
      </c>
      <c r="C84" s="25">
        <f>(1498.0/B84*100)</f>
        <v/>
      </c>
      <c r="D84" s="19" t="n">
        <v>389</v>
      </c>
      <c r="E84" s="18" t="n">
        <v>52.08250647</v>
      </c>
      <c r="F84" s="20" t="n">
        <v>2.93572513</v>
      </c>
      <c r="G84" s="18" t="n">
        <v>47.42816954</v>
      </c>
      <c r="H84" s="20" t="n">
        <v>2.88620896</v>
      </c>
      <c r="I84" s="18" t="n">
        <v>0</v>
      </c>
      <c r="J84" s="20" t="n">
        <v>0</v>
      </c>
      <c r="K84" s="18" t="n">
        <v>0.20653105</v>
      </c>
      <c r="L84" s="20" t="n">
        <v>0.18992103</v>
      </c>
      <c r="M84" s="18" t="n">
        <v>0</v>
      </c>
      <c r="N84" s="20" t="n">
        <v>0</v>
      </c>
      <c r="O84" s="18" t="n">
        <v>0</v>
      </c>
      <c r="P84" s="20" t="n">
        <v>0</v>
      </c>
      <c r="Q84" s="18" t="n">
        <v>0.28279294</v>
      </c>
      <c r="R84" s="20" t="n">
        <v>0.28086273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(11449.0/B7*100)</f>
        <v/>
      </c>
      <c r="D7" s="19" t="n">
        <v>3081</v>
      </c>
      <c r="E7" s="18" t="n">
        <v>44.63245733</v>
      </c>
      <c r="F7" s="20" t="n">
        <v>1.09615705</v>
      </c>
      <c r="G7" s="18" t="n">
        <v>52.3338861</v>
      </c>
      <c r="H7" s="20" t="n">
        <v>1.11334788</v>
      </c>
      <c r="I7" s="18" t="n">
        <v>0</v>
      </c>
      <c r="J7" s="20" t="n">
        <v>0</v>
      </c>
      <c r="K7" s="18" t="n">
        <v>2.12691254</v>
      </c>
      <c r="L7" s="20" t="n">
        <v>0.27181915</v>
      </c>
      <c r="M7" s="18" t="n">
        <v>0</v>
      </c>
      <c r="N7" s="20" t="n">
        <v>0</v>
      </c>
      <c r="O7" s="18" t="n">
        <v>0</v>
      </c>
      <c r="P7" s="20" t="n">
        <v>0</v>
      </c>
      <c r="Q7" s="18" t="n">
        <v>0.90674402</v>
      </c>
      <c r="R7" s="20" t="n">
        <v>0.2279255</v>
      </c>
    </row>
    <row r="8" spans="1:18">
      <c r="A8" s="15" t="s">
        <v>566</v>
      </c>
      <c r="B8" s="17" t="n">
        <v>7007</v>
      </c>
      <c r="C8" s="18">
        <f>(5522.0/B8*100)</f>
        <v/>
      </c>
      <c r="D8" s="19" t="n">
        <v>1485</v>
      </c>
      <c r="E8" s="18" t="n">
        <v>49.33039635</v>
      </c>
      <c r="F8" s="20" t="n">
        <v>1.4554998</v>
      </c>
      <c r="G8" s="18" t="n">
        <v>45.6435945</v>
      </c>
      <c r="H8" s="20" t="n">
        <v>1.48359479</v>
      </c>
      <c r="I8" s="18" t="n">
        <v>0</v>
      </c>
      <c r="J8" s="20" t="n">
        <v>0</v>
      </c>
      <c r="K8" s="18" t="n">
        <v>4.63675779</v>
      </c>
      <c r="L8" s="20" t="n">
        <v>0.6448488</v>
      </c>
      <c r="M8" s="18" t="n">
        <v>0</v>
      </c>
      <c r="N8" s="20" t="n">
        <v>0</v>
      </c>
      <c r="O8" s="18" t="n">
        <v>0</v>
      </c>
      <c r="P8" s="20" t="n">
        <v>0</v>
      </c>
      <c r="Q8" s="18" t="n">
        <v>0.38925136</v>
      </c>
      <c r="R8" s="20" t="n">
        <v>0.14507185</v>
      </c>
    </row>
    <row r="9" spans="1:18">
      <c r="A9" s="15" t="s">
        <v>567</v>
      </c>
      <c r="B9" s="17" t="n">
        <v>9651</v>
      </c>
      <c r="C9" s="18">
        <f>(7684.0/B9*100)</f>
        <v/>
      </c>
      <c r="D9" s="19" t="n">
        <v>1967</v>
      </c>
      <c r="E9" s="18" t="n">
        <v>47.19876611</v>
      </c>
      <c r="F9" s="20" t="n">
        <v>1.21554643</v>
      </c>
      <c r="G9" s="18" t="n">
        <v>48.28214105</v>
      </c>
      <c r="H9" s="20" t="n">
        <v>1.33564477</v>
      </c>
      <c r="I9" s="18" t="n">
        <v>0</v>
      </c>
      <c r="J9" s="20" t="n">
        <v>0</v>
      </c>
      <c r="K9" s="18" t="n">
        <v>3.98169892</v>
      </c>
      <c r="L9" s="20" t="n">
        <v>0.44562872</v>
      </c>
      <c r="M9" s="18" t="n">
        <v>0</v>
      </c>
      <c r="N9" s="20" t="n">
        <v>0</v>
      </c>
      <c r="O9" s="18" t="n">
        <v>0</v>
      </c>
      <c r="P9" s="20" t="n">
        <v>0</v>
      </c>
      <c r="Q9" s="18" t="n">
        <v>0.53739392</v>
      </c>
      <c r="R9" s="20" t="n">
        <v>0.18482949</v>
      </c>
    </row>
    <row r="10" spans="1:18">
      <c r="A10" s="15" t="s">
        <v>568</v>
      </c>
      <c r="B10" s="17" t="n">
        <v>20058</v>
      </c>
      <c r="C10" s="18">
        <f>(15704.0/B10*100)</f>
        <v/>
      </c>
      <c r="D10" s="19" t="n">
        <v>4354</v>
      </c>
      <c r="E10" s="18" t="n">
        <v>42.27026973</v>
      </c>
      <c r="F10" s="20" t="n">
        <v>1.13255326</v>
      </c>
      <c r="G10" s="18" t="n">
        <v>55.32457879</v>
      </c>
      <c r="H10" s="20" t="n">
        <v>1.1886902</v>
      </c>
      <c r="I10" s="18" t="n">
        <v>0</v>
      </c>
      <c r="J10" s="20" t="n">
        <v>0</v>
      </c>
      <c r="K10" s="18" t="n">
        <v>1.96122848</v>
      </c>
      <c r="L10" s="20" t="n">
        <v>0.29619478</v>
      </c>
      <c r="M10" s="18" t="n">
        <v>0</v>
      </c>
      <c r="N10" s="20" t="n">
        <v>0</v>
      </c>
      <c r="O10" s="18" t="n">
        <v>0</v>
      </c>
      <c r="P10" s="20" t="n">
        <v>0</v>
      </c>
      <c r="Q10" s="18" t="n">
        <v>0.44392301</v>
      </c>
      <c r="R10" s="20" t="n">
        <v>0.13865902</v>
      </c>
    </row>
    <row r="11" spans="1:18">
      <c r="A11" s="15" t="s">
        <v>569</v>
      </c>
      <c r="B11" s="17" t="n">
        <v>7053</v>
      </c>
      <c r="C11" s="18">
        <f>(5638.0/B11*100)</f>
        <v/>
      </c>
      <c r="D11" s="19" t="n">
        <v>1415</v>
      </c>
      <c r="E11" s="18" t="n">
        <v>53.67603576</v>
      </c>
      <c r="F11" s="20" t="n">
        <v>1.82991029</v>
      </c>
      <c r="G11" s="18" t="n">
        <v>41.27877071</v>
      </c>
      <c r="H11" s="20" t="n">
        <v>1.71638216</v>
      </c>
      <c r="I11" s="18" t="n">
        <v>0</v>
      </c>
      <c r="J11" s="20" t="n">
        <v>0</v>
      </c>
      <c r="K11" s="18" t="n">
        <v>4.13636471</v>
      </c>
      <c r="L11" s="20" t="n">
        <v>0.844284</v>
      </c>
      <c r="M11" s="18" t="n">
        <v>0</v>
      </c>
      <c r="N11" s="20" t="n">
        <v>0</v>
      </c>
      <c r="O11" s="18" t="n">
        <v>0</v>
      </c>
      <c r="P11" s="20" t="n">
        <v>0</v>
      </c>
      <c r="Q11" s="18" t="n">
        <v>0.90882882</v>
      </c>
      <c r="R11" s="20" t="n">
        <v>0.29533092</v>
      </c>
    </row>
    <row r="12" spans="1:18">
      <c r="A12" s="15" t="s">
        <v>570</v>
      </c>
      <c r="B12" s="17" t="n">
        <v>6894</v>
      </c>
      <c r="C12" s="18">
        <f>(5401.0/B12*100)</f>
        <v/>
      </c>
      <c r="D12" s="19" t="n">
        <v>1493</v>
      </c>
      <c r="E12" s="18" t="n">
        <v>49.17697048</v>
      </c>
      <c r="F12" s="20" t="n">
        <v>1.46503673</v>
      </c>
      <c r="G12" s="18" t="n">
        <v>48.59551853</v>
      </c>
      <c r="H12" s="20" t="n">
        <v>1.51161165</v>
      </c>
      <c r="I12" s="18" t="n">
        <v>0</v>
      </c>
      <c r="J12" s="20" t="n">
        <v>0</v>
      </c>
      <c r="K12" s="18" t="n">
        <v>2.01274996</v>
      </c>
      <c r="L12" s="20" t="n">
        <v>0.36267818</v>
      </c>
      <c r="M12" s="18" t="n">
        <v>0</v>
      </c>
      <c r="N12" s="20" t="n">
        <v>0</v>
      </c>
      <c r="O12" s="18" t="n">
        <v>0</v>
      </c>
      <c r="P12" s="20" t="n">
        <v>0</v>
      </c>
      <c r="Q12" s="18" t="n">
        <v>0.21476104</v>
      </c>
      <c r="R12" s="20" t="n">
        <v>0.09907745</v>
      </c>
    </row>
    <row r="13" spans="1:18">
      <c r="A13" s="15" t="s">
        <v>571</v>
      </c>
      <c r="B13" s="17" t="n">
        <v>7161</v>
      </c>
      <c r="C13" s="18">
        <f>(5658.0/B13*100)</f>
        <v/>
      </c>
      <c r="D13" s="19" t="n">
        <v>1503</v>
      </c>
      <c r="E13" s="18" t="n">
        <v>51.60647523</v>
      </c>
      <c r="F13" s="20" t="n">
        <v>1.78287996</v>
      </c>
      <c r="G13" s="18" t="n">
        <v>46.26023754</v>
      </c>
      <c r="H13" s="20" t="n">
        <v>1.81910827</v>
      </c>
      <c r="I13" s="18" t="n">
        <v>0</v>
      </c>
      <c r="J13" s="20" t="n">
        <v>0</v>
      </c>
      <c r="K13" s="18" t="n">
        <v>1.75847119</v>
      </c>
      <c r="L13" s="20" t="n">
        <v>0.31746274</v>
      </c>
      <c r="M13" s="18" t="n">
        <v>0</v>
      </c>
      <c r="N13" s="20" t="n">
        <v>0</v>
      </c>
      <c r="O13" s="18" t="n">
        <v>0</v>
      </c>
      <c r="P13" s="20" t="n">
        <v>0</v>
      </c>
      <c r="Q13" s="18" t="n">
        <v>0.37481603</v>
      </c>
      <c r="R13" s="20" t="n">
        <v>0.14943795</v>
      </c>
    </row>
    <row r="14" spans="1:18">
      <c r="A14" s="15" t="s">
        <v>572</v>
      </c>
      <c r="B14" s="17" t="n">
        <v>5587</v>
      </c>
      <c r="C14" s="18">
        <f>(4416.0/B14*100)</f>
        <v/>
      </c>
      <c r="D14" s="19" t="n">
        <v>1171</v>
      </c>
      <c r="E14" s="18" t="n">
        <v>49.19162484</v>
      </c>
      <c r="F14" s="20" t="n">
        <v>1.80275705</v>
      </c>
      <c r="G14" s="18" t="n">
        <v>48.89477481</v>
      </c>
      <c r="H14" s="20" t="n">
        <v>1.7075526</v>
      </c>
      <c r="I14" s="18" t="n">
        <v>0</v>
      </c>
      <c r="J14" s="20" t="n">
        <v>0</v>
      </c>
      <c r="K14" s="18" t="n">
        <v>1.67751313</v>
      </c>
      <c r="L14" s="20" t="n">
        <v>0.32832773</v>
      </c>
      <c r="M14" s="18" t="n">
        <v>0</v>
      </c>
      <c r="N14" s="20" t="n">
        <v>0</v>
      </c>
      <c r="O14" s="18" t="n">
        <v>0</v>
      </c>
      <c r="P14" s="20" t="n">
        <v>0</v>
      </c>
      <c r="Q14" s="18" t="n">
        <v>0.23608722</v>
      </c>
      <c r="R14" s="20" t="n">
        <v>0.13771253</v>
      </c>
    </row>
    <row r="15" spans="1:18">
      <c r="A15" s="15" t="s">
        <v>573</v>
      </c>
      <c r="B15" s="17" t="n">
        <v>5882</v>
      </c>
      <c r="C15" s="18">
        <f>(4642.0/B15*100)</f>
        <v/>
      </c>
      <c r="D15" s="19" t="n">
        <v>1240</v>
      </c>
      <c r="E15" s="18" t="n">
        <v>48.76095195</v>
      </c>
      <c r="F15" s="20" t="n">
        <v>1.61124687</v>
      </c>
      <c r="G15" s="18" t="n">
        <v>49.42196186</v>
      </c>
      <c r="H15" s="20" t="n">
        <v>1.60429905</v>
      </c>
      <c r="I15" s="18" t="n">
        <v>0</v>
      </c>
      <c r="J15" s="20" t="n">
        <v>0</v>
      </c>
      <c r="K15" s="18" t="n">
        <v>1.37115931</v>
      </c>
      <c r="L15" s="20" t="n">
        <v>0.28860504</v>
      </c>
      <c r="M15" s="18" t="n">
        <v>0</v>
      </c>
      <c r="N15" s="20" t="n">
        <v>0</v>
      </c>
      <c r="O15" s="18" t="n">
        <v>0</v>
      </c>
      <c r="P15" s="20" t="n">
        <v>0</v>
      </c>
      <c r="Q15" s="18" t="n">
        <v>0.44592689</v>
      </c>
      <c r="R15" s="20" t="n">
        <v>0.20163112</v>
      </c>
    </row>
    <row r="16" spans="1:18">
      <c r="A16" s="15" t="s">
        <v>574</v>
      </c>
      <c r="B16" s="17" t="n">
        <v>6108</v>
      </c>
      <c r="C16" s="18">
        <f>(4851.0/B16*100)</f>
        <v/>
      </c>
      <c r="D16" s="19" t="n">
        <v>1257</v>
      </c>
      <c r="E16" s="18" t="n">
        <v>49.74239935</v>
      </c>
      <c r="F16" s="20" t="n">
        <v>1.44966678</v>
      </c>
      <c r="G16" s="18" t="n">
        <v>44.84857584</v>
      </c>
      <c r="H16" s="20" t="n">
        <v>1.42743418</v>
      </c>
      <c r="I16" s="18" t="n">
        <v>0</v>
      </c>
      <c r="J16" s="20" t="n">
        <v>0</v>
      </c>
      <c r="K16" s="18" t="n">
        <v>5.0069837</v>
      </c>
      <c r="L16" s="20" t="n">
        <v>0.6678323</v>
      </c>
      <c r="M16" s="18" t="n">
        <v>0</v>
      </c>
      <c r="N16" s="20" t="n">
        <v>0</v>
      </c>
      <c r="O16" s="18" t="n">
        <v>0</v>
      </c>
      <c r="P16" s="20" t="n">
        <v>0</v>
      </c>
      <c r="Q16" s="18" t="n">
        <v>0.40204111</v>
      </c>
      <c r="R16" s="20" t="n">
        <v>0.17560119</v>
      </c>
    </row>
    <row r="17" spans="1:18">
      <c r="A17" s="15" t="s">
        <v>575</v>
      </c>
      <c r="B17" s="17" t="n">
        <v>6504</v>
      </c>
      <c r="C17" s="18">
        <f>(5112.0/B17*100)</f>
        <v/>
      </c>
      <c r="D17" s="19" t="n">
        <v>1392</v>
      </c>
      <c r="E17" s="18" t="n">
        <v>43.89148371</v>
      </c>
      <c r="F17" s="20" t="n">
        <v>1.60049397</v>
      </c>
      <c r="G17" s="18" t="n">
        <v>52.19558986</v>
      </c>
      <c r="H17" s="20" t="n">
        <v>1.63436797</v>
      </c>
      <c r="I17" s="18" t="n">
        <v>0</v>
      </c>
      <c r="J17" s="20" t="n">
        <v>0</v>
      </c>
      <c r="K17" s="18" t="n">
        <v>3.65204072</v>
      </c>
      <c r="L17" s="20" t="n">
        <v>0.58890575</v>
      </c>
      <c r="M17" s="18" t="n">
        <v>0</v>
      </c>
      <c r="N17" s="20" t="n">
        <v>0</v>
      </c>
      <c r="O17" s="18" t="n">
        <v>0</v>
      </c>
      <c r="P17" s="20" t="n">
        <v>0</v>
      </c>
      <c r="Q17" s="18" t="n">
        <v>0.2608857</v>
      </c>
      <c r="R17" s="20" t="n">
        <v>0.09456995999999999</v>
      </c>
    </row>
    <row r="18" spans="1:18">
      <c r="A18" s="15" t="s">
        <v>576</v>
      </c>
      <c r="B18" s="17" t="n">
        <v>5532</v>
      </c>
      <c r="C18" s="18">
        <f>(4337.0/B18*100)</f>
        <v/>
      </c>
      <c r="D18" s="19" t="n">
        <v>1195</v>
      </c>
      <c r="E18" s="18" t="n">
        <v>57.01132983</v>
      </c>
      <c r="F18" s="20" t="n">
        <v>1.55830488</v>
      </c>
      <c r="G18" s="18" t="n">
        <v>38.56220532</v>
      </c>
      <c r="H18" s="20" t="n">
        <v>1.53667428</v>
      </c>
      <c r="I18" s="18" t="n">
        <v>0</v>
      </c>
      <c r="J18" s="20" t="n">
        <v>0</v>
      </c>
      <c r="K18" s="18" t="n">
        <v>3.75707709</v>
      </c>
      <c r="L18" s="20" t="n">
        <v>0.6283256699999999</v>
      </c>
      <c r="M18" s="18" t="n">
        <v>0</v>
      </c>
      <c r="N18" s="20" t="n">
        <v>0</v>
      </c>
      <c r="O18" s="18" t="n">
        <v>0</v>
      </c>
      <c r="P18" s="20" t="n">
        <v>0</v>
      </c>
      <c r="Q18" s="18" t="n">
        <v>0.66938777</v>
      </c>
      <c r="R18" s="20" t="n">
        <v>0.23727456</v>
      </c>
    </row>
    <row r="19" spans="1:18">
      <c r="A19" s="15" t="s">
        <v>577</v>
      </c>
      <c r="B19" s="17" t="n">
        <v>5658</v>
      </c>
      <c r="C19" s="18">
        <f>(4454.0/B19*100)</f>
        <v/>
      </c>
      <c r="D19" s="19" t="n">
        <v>1204</v>
      </c>
      <c r="E19" s="18" t="n">
        <v>56.91824065</v>
      </c>
      <c r="F19" s="20" t="n">
        <v>1.76246546</v>
      </c>
      <c r="G19" s="18" t="n">
        <v>40.75782811</v>
      </c>
      <c r="H19" s="20" t="n">
        <v>1.87417694</v>
      </c>
      <c r="I19" s="18" t="n">
        <v>0</v>
      </c>
      <c r="J19" s="20" t="n">
        <v>0</v>
      </c>
      <c r="K19" s="18" t="n">
        <v>1.84767375</v>
      </c>
      <c r="L19" s="20" t="n">
        <v>0.42036042</v>
      </c>
      <c r="M19" s="18" t="n">
        <v>0</v>
      </c>
      <c r="N19" s="20" t="n">
        <v>0</v>
      </c>
      <c r="O19" s="18" t="n">
        <v>0</v>
      </c>
      <c r="P19" s="20" t="n">
        <v>0</v>
      </c>
      <c r="Q19" s="18" t="n">
        <v>0.47625749</v>
      </c>
      <c r="R19" s="20" t="n">
        <v>0.22109448</v>
      </c>
    </row>
    <row r="20" spans="1:18">
      <c r="A20" s="15" t="s">
        <v>578</v>
      </c>
      <c r="B20" s="17" t="n">
        <v>3371</v>
      </c>
      <c r="C20" s="18">
        <f>(2653.0/B20*100)</f>
        <v/>
      </c>
      <c r="D20" s="19" t="n">
        <v>718</v>
      </c>
      <c r="E20" s="18" t="n">
        <v>48.69284939</v>
      </c>
      <c r="F20" s="20" t="n">
        <v>1.75385765</v>
      </c>
      <c r="G20" s="18" t="n">
        <v>47.71761044</v>
      </c>
      <c r="H20" s="20" t="n">
        <v>1.80821701</v>
      </c>
      <c r="I20" s="18" t="n">
        <v>0</v>
      </c>
      <c r="J20" s="20" t="n">
        <v>0</v>
      </c>
      <c r="K20" s="18" t="n">
        <v>2.67105636</v>
      </c>
      <c r="L20" s="20" t="n">
        <v>0.5987485</v>
      </c>
      <c r="M20" s="18" t="n">
        <v>0</v>
      </c>
      <c r="N20" s="20" t="n">
        <v>0</v>
      </c>
      <c r="O20" s="18" t="n">
        <v>0</v>
      </c>
      <c r="P20" s="20" t="n">
        <v>0</v>
      </c>
      <c r="Q20" s="18" t="n">
        <v>0.9184838</v>
      </c>
      <c r="R20" s="20" t="n">
        <v>0.35094442</v>
      </c>
    </row>
    <row r="21" spans="1:18">
      <c r="A21" s="15" t="s">
        <v>579</v>
      </c>
      <c r="B21" s="17" t="n">
        <v>5741</v>
      </c>
      <c r="C21" s="18">
        <f>(4470.0/B21*100)</f>
        <v/>
      </c>
      <c r="D21" s="19" t="n">
        <v>1271</v>
      </c>
      <c r="E21" s="18" t="n">
        <v>50.23938864</v>
      </c>
      <c r="F21" s="20" t="n">
        <v>1.54470266</v>
      </c>
      <c r="G21" s="18" t="n">
        <v>47.97675178</v>
      </c>
      <c r="H21" s="20" t="n">
        <v>1.58938472</v>
      </c>
      <c r="I21" s="18" t="n">
        <v>0</v>
      </c>
      <c r="J21" s="20" t="n">
        <v>0</v>
      </c>
      <c r="K21" s="18" t="n">
        <v>1.19059415</v>
      </c>
      <c r="L21" s="20" t="n">
        <v>0.33131581</v>
      </c>
      <c r="M21" s="18" t="n">
        <v>0</v>
      </c>
      <c r="N21" s="20" t="n">
        <v>0</v>
      </c>
      <c r="O21" s="18" t="n">
        <v>0</v>
      </c>
      <c r="P21" s="20" t="n">
        <v>0</v>
      </c>
      <c r="Q21" s="18" t="n">
        <v>0.59326543</v>
      </c>
      <c r="R21" s="20" t="n">
        <v>0.20518473</v>
      </c>
    </row>
    <row r="22" spans="1:18">
      <c r="A22" s="15" t="s">
        <v>580</v>
      </c>
      <c r="B22" s="17" t="n">
        <v>6598</v>
      </c>
      <c r="C22" s="18">
        <f>(5169.0/B22*100)</f>
        <v/>
      </c>
      <c r="D22" s="19" t="n">
        <v>1429</v>
      </c>
      <c r="E22" s="18" t="n">
        <v>42.75340501</v>
      </c>
      <c r="F22" s="20" t="n">
        <v>1.44693445</v>
      </c>
      <c r="G22" s="18" t="n">
        <v>52.76238858</v>
      </c>
      <c r="H22" s="20" t="n">
        <v>1.52956947</v>
      </c>
      <c r="I22" s="18" t="n">
        <v>0</v>
      </c>
      <c r="J22" s="20" t="n">
        <v>0</v>
      </c>
      <c r="K22" s="18" t="n">
        <v>3.99381768</v>
      </c>
      <c r="L22" s="20" t="n">
        <v>0.59158795</v>
      </c>
      <c r="M22" s="18" t="n">
        <v>0</v>
      </c>
      <c r="N22" s="20" t="n">
        <v>0</v>
      </c>
      <c r="O22" s="18" t="n">
        <v>0</v>
      </c>
      <c r="P22" s="20" t="n">
        <v>0</v>
      </c>
      <c r="Q22" s="18" t="n">
        <v>0.49038874</v>
      </c>
      <c r="R22" s="20" t="n">
        <v>0.21091318</v>
      </c>
    </row>
    <row r="23" spans="1:18">
      <c r="A23" s="15" t="s">
        <v>581</v>
      </c>
      <c r="B23" s="17" t="n">
        <v>11583</v>
      </c>
      <c r="C23" s="18">
        <f>(9053.0/B23*100)</f>
        <v/>
      </c>
      <c r="D23" s="19" t="n">
        <v>2530</v>
      </c>
      <c r="E23" s="18" t="n">
        <v>50.72619681</v>
      </c>
      <c r="F23" s="20" t="n">
        <v>1.49977264</v>
      </c>
      <c r="G23" s="18" t="n">
        <v>44.65910978</v>
      </c>
      <c r="H23" s="20" t="n">
        <v>1.47735577</v>
      </c>
      <c r="I23" s="18" t="n">
        <v>0</v>
      </c>
      <c r="J23" s="20" t="n">
        <v>0</v>
      </c>
      <c r="K23" s="18" t="n">
        <v>3.66955311</v>
      </c>
      <c r="L23" s="20" t="n">
        <v>0.64646549</v>
      </c>
      <c r="M23" s="18" t="n">
        <v>0</v>
      </c>
      <c r="N23" s="20" t="n">
        <v>0</v>
      </c>
      <c r="O23" s="18" t="n">
        <v>0</v>
      </c>
      <c r="P23" s="20" t="n">
        <v>0</v>
      </c>
      <c r="Q23" s="18" t="n">
        <v>0.9451403</v>
      </c>
      <c r="R23" s="20" t="n">
        <v>0.26966176</v>
      </c>
    </row>
    <row r="24" spans="1:18">
      <c r="A24" s="15" t="s">
        <v>582</v>
      </c>
      <c r="B24" s="17" t="n">
        <v>6647</v>
      </c>
      <c r="C24" s="18">
        <f>(5186.0/B24*100)</f>
        <v/>
      </c>
      <c r="D24" s="19" t="n">
        <v>1461</v>
      </c>
      <c r="E24" s="18" t="n">
        <v>34.52310839</v>
      </c>
      <c r="F24" s="20" t="n">
        <v>1.49559797</v>
      </c>
      <c r="G24" s="18" t="n">
        <v>63.99514217</v>
      </c>
      <c r="H24" s="20" t="n">
        <v>1.55016561</v>
      </c>
      <c r="I24" s="18" t="n">
        <v>0</v>
      </c>
      <c r="J24" s="20" t="n">
        <v>0</v>
      </c>
      <c r="K24" s="18" t="n">
        <v>1.00558714</v>
      </c>
      <c r="L24" s="20" t="n">
        <v>0.30382358</v>
      </c>
      <c r="M24" s="18" t="n">
        <v>0</v>
      </c>
      <c r="N24" s="20" t="n">
        <v>0</v>
      </c>
      <c r="O24" s="18" t="n">
        <v>0</v>
      </c>
      <c r="P24" s="20" t="n">
        <v>0</v>
      </c>
      <c r="Q24" s="18" t="n">
        <v>0.4761623</v>
      </c>
      <c r="R24" s="20" t="n">
        <v>0.17912796</v>
      </c>
    </row>
    <row r="25" spans="1:18">
      <c r="A25" s="15" t="s">
        <v>583</v>
      </c>
      <c r="B25" s="17" t="n">
        <v>5581</v>
      </c>
      <c r="C25" s="18">
        <f>(4330.0/B25*100)</f>
        <v/>
      </c>
      <c r="D25" s="19" t="n">
        <v>1251</v>
      </c>
      <c r="E25" s="18" t="n">
        <v>41.08089575</v>
      </c>
      <c r="F25" s="20" t="n">
        <v>1.37574919</v>
      </c>
      <c r="G25" s="18" t="n">
        <v>57.37833946</v>
      </c>
      <c r="H25" s="20" t="n">
        <v>1.3788509</v>
      </c>
      <c r="I25" s="18" t="n">
        <v>0</v>
      </c>
      <c r="J25" s="20" t="n">
        <v>0</v>
      </c>
      <c r="K25" s="18" t="n">
        <v>1.23584744</v>
      </c>
      <c r="L25" s="20" t="n">
        <v>0.32333141</v>
      </c>
      <c r="M25" s="18" t="n">
        <v>0</v>
      </c>
      <c r="N25" s="20" t="n">
        <v>0</v>
      </c>
      <c r="O25" s="18" t="n">
        <v>0</v>
      </c>
      <c r="P25" s="20" t="n">
        <v>0</v>
      </c>
      <c r="Q25" s="18" t="n">
        <v>0.30491736</v>
      </c>
      <c r="R25" s="20" t="n">
        <v>0.1524804</v>
      </c>
    </row>
    <row r="26" spans="1:18">
      <c r="A26" s="15" t="s">
        <v>584</v>
      </c>
      <c r="B26" s="17" t="n">
        <v>4869</v>
      </c>
      <c r="C26" s="18">
        <f>(3816.0/B26*100)</f>
        <v/>
      </c>
      <c r="D26" s="19" t="n">
        <v>1053</v>
      </c>
      <c r="E26" s="18" t="n">
        <v>57.86877503</v>
      </c>
      <c r="F26" s="20" t="n">
        <v>1.64235801</v>
      </c>
      <c r="G26" s="18" t="n">
        <v>41.11502841</v>
      </c>
      <c r="H26" s="20" t="n">
        <v>1.64216564</v>
      </c>
      <c r="I26" s="18" t="n">
        <v>0</v>
      </c>
      <c r="J26" s="20" t="n">
        <v>0</v>
      </c>
      <c r="K26" s="18" t="n">
        <v>0.639734</v>
      </c>
      <c r="L26" s="20" t="n">
        <v>0.22459932</v>
      </c>
      <c r="M26" s="18" t="n">
        <v>0</v>
      </c>
      <c r="N26" s="20" t="n">
        <v>0</v>
      </c>
      <c r="O26" s="18" t="n">
        <v>0</v>
      </c>
      <c r="P26" s="20" t="n">
        <v>0</v>
      </c>
      <c r="Q26" s="18" t="n">
        <v>0.37646257</v>
      </c>
      <c r="R26" s="20" t="n">
        <v>0.19884058</v>
      </c>
    </row>
    <row r="27" spans="1:18">
      <c r="A27" s="15" t="s">
        <v>585</v>
      </c>
      <c r="B27" s="17" t="n">
        <v>5299</v>
      </c>
      <c r="C27" s="18">
        <f>(4157.0/B27*100)</f>
        <v/>
      </c>
      <c r="D27" s="19" t="n">
        <v>1142</v>
      </c>
      <c r="E27" s="18" t="n">
        <v>52.24308366</v>
      </c>
      <c r="F27" s="20" t="n">
        <v>1.37598191</v>
      </c>
      <c r="G27" s="18" t="n">
        <v>43.72166531</v>
      </c>
      <c r="H27" s="20" t="n">
        <v>1.43440199</v>
      </c>
      <c r="I27" s="18" t="n">
        <v>0</v>
      </c>
      <c r="J27" s="20" t="n">
        <v>0</v>
      </c>
      <c r="K27" s="18" t="n">
        <v>3.15494114</v>
      </c>
      <c r="L27" s="20" t="n">
        <v>0.5019900900000001</v>
      </c>
      <c r="M27" s="18" t="n">
        <v>0</v>
      </c>
      <c r="N27" s="20" t="n">
        <v>0</v>
      </c>
      <c r="O27" s="18" t="n">
        <v>0</v>
      </c>
      <c r="P27" s="20" t="n">
        <v>0</v>
      </c>
      <c r="Q27" s="18" t="n">
        <v>0.88030989</v>
      </c>
      <c r="R27" s="20" t="n">
        <v>0.27605279</v>
      </c>
    </row>
    <row r="28" spans="1:18">
      <c r="A28" s="15" t="s">
        <v>586</v>
      </c>
      <c r="B28" s="17" t="n">
        <v>7568</v>
      </c>
      <c r="C28" s="18">
        <f>(6123.0/B28*100)</f>
        <v/>
      </c>
      <c r="D28" s="19" t="n">
        <v>1445</v>
      </c>
      <c r="E28" s="18" t="n">
        <v>62.95209553</v>
      </c>
      <c r="F28" s="20" t="n">
        <v>1.51237167</v>
      </c>
      <c r="G28" s="18" t="n">
        <v>33.55100204</v>
      </c>
      <c r="H28" s="20" t="n">
        <v>1.62231663</v>
      </c>
      <c r="I28" s="18" t="n">
        <v>0</v>
      </c>
      <c r="J28" s="20" t="n">
        <v>0</v>
      </c>
      <c r="K28" s="18" t="n">
        <v>2.97214164</v>
      </c>
      <c r="L28" s="20" t="n">
        <v>0.83315723</v>
      </c>
      <c r="M28" s="18" t="n">
        <v>0</v>
      </c>
      <c r="N28" s="20" t="n">
        <v>0</v>
      </c>
      <c r="O28" s="18" t="n">
        <v>0</v>
      </c>
      <c r="P28" s="20" t="n">
        <v>0</v>
      </c>
      <c r="Q28" s="18" t="n">
        <v>0.52476078</v>
      </c>
      <c r="R28" s="20" t="n">
        <v>0.20642164</v>
      </c>
    </row>
    <row r="29" spans="1:18">
      <c r="A29" s="15" t="s">
        <v>587</v>
      </c>
      <c r="B29" s="17" t="n">
        <v>5385</v>
      </c>
      <c r="C29" s="18">
        <f>(4224.0/B29*100)</f>
        <v/>
      </c>
      <c r="D29" s="19" t="n">
        <v>1161</v>
      </c>
      <c r="E29" s="18" t="n">
        <v>55.06924804</v>
      </c>
      <c r="F29" s="20" t="n">
        <v>1.66054106</v>
      </c>
      <c r="G29" s="18" t="n">
        <v>43.66275662</v>
      </c>
      <c r="H29" s="20" t="n">
        <v>1.72727998</v>
      </c>
      <c r="I29" s="18" t="n">
        <v>0</v>
      </c>
      <c r="J29" s="20" t="n">
        <v>0</v>
      </c>
      <c r="K29" s="18" t="n">
        <v>1.06200267</v>
      </c>
      <c r="L29" s="20" t="n">
        <v>0.30908571</v>
      </c>
      <c r="M29" s="18" t="n">
        <v>0</v>
      </c>
      <c r="N29" s="20" t="n">
        <v>0</v>
      </c>
      <c r="O29" s="18" t="n">
        <v>0</v>
      </c>
      <c r="P29" s="20" t="n">
        <v>0</v>
      </c>
      <c r="Q29" s="18" t="n">
        <v>0.20599266</v>
      </c>
      <c r="R29" s="20" t="n">
        <v>0.1447276</v>
      </c>
    </row>
    <row r="30" spans="1:18">
      <c r="A30" s="15" t="s">
        <v>588</v>
      </c>
      <c r="B30" s="17" t="n">
        <v>4520</v>
      </c>
      <c r="C30" s="18">
        <f>(3606.0/B30*100)</f>
        <v/>
      </c>
      <c r="D30" s="19" t="n">
        <v>914</v>
      </c>
      <c r="E30" s="18" t="n">
        <v>46.5602825</v>
      </c>
      <c r="F30" s="20" t="n">
        <v>1.44732465</v>
      </c>
      <c r="G30" s="18" t="n">
        <v>50.37390337</v>
      </c>
      <c r="H30" s="20" t="n">
        <v>1.50426058</v>
      </c>
      <c r="I30" s="18" t="n">
        <v>0</v>
      </c>
      <c r="J30" s="20" t="n">
        <v>0</v>
      </c>
      <c r="K30" s="18" t="n">
        <v>2.47720823</v>
      </c>
      <c r="L30" s="20" t="n">
        <v>0.57817438</v>
      </c>
      <c r="M30" s="18" t="n">
        <v>0</v>
      </c>
      <c r="N30" s="20" t="n">
        <v>0</v>
      </c>
      <c r="O30" s="18" t="n">
        <v>0</v>
      </c>
      <c r="P30" s="20" t="n">
        <v>0</v>
      </c>
      <c r="Q30" s="18" t="n">
        <v>0.5886059</v>
      </c>
      <c r="R30" s="20" t="n">
        <v>0.25014191</v>
      </c>
    </row>
    <row r="31" spans="1:18">
      <c r="A31" s="15" t="s">
        <v>589</v>
      </c>
      <c r="B31" s="17" t="n">
        <v>5456</v>
      </c>
      <c r="C31" s="18">
        <f>(4310.0/B31*100)</f>
        <v/>
      </c>
      <c r="D31" s="19" t="n">
        <v>1146</v>
      </c>
      <c r="E31" s="18" t="n">
        <v>47.3024628</v>
      </c>
      <c r="F31" s="20" t="n">
        <v>1.77599026</v>
      </c>
      <c r="G31" s="18" t="n">
        <v>48.32921331</v>
      </c>
      <c r="H31" s="20" t="n">
        <v>1.65841526</v>
      </c>
      <c r="I31" s="18" t="n">
        <v>0</v>
      </c>
      <c r="J31" s="20" t="n">
        <v>0</v>
      </c>
      <c r="K31" s="18" t="n">
        <v>3.79575788</v>
      </c>
      <c r="L31" s="20" t="n">
        <v>0.56562507</v>
      </c>
      <c r="M31" s="18" t="n">
        <v>0</v>
      </c>
      <c r="N31" s="20" t="n">
        <v>0</v>
      </c>
      <c r="O31" s="18" t="n">
        <v>0</v>
      </c>
      <c r="P31" s="20" t="n">
        <v>0</v>
      </c>
      <c r="Q31" s="18" t="n">
        <v>0.57256601</v>
      </c>
      <c r="R31" s="20" t="n">
        <v>0.25081393</v>
      </c>
    </row>
    <row r="32" spans="1:18">
      <c r="A32" s="15" t="s">
        <v>590</v>
      </c>
      <c r="B32" s="17" t="n">
        <v>4478</v>
      </c>
      <c r="C32" s="18">
        <f>(3526.0/B32*100)</f>
        <v/>
      </c>
      <c r="D32" s="19" t="n">
        <v>952</v>
      </c>
      <c r="E32" s="18" t="n">
        <v>46.79670265</v>
      </c>
      <c r="F32" s="20" t="n">
        <v>1.54744924</v>
      </c>
      <c r="G32" s="18" t="n">
        <v>52.25501831</v>
      </c>
      <c r="H32" s="20" t="n">
        <v>1.58302486</v>
      </c>
      <c r="I32" s="18" t="n">
        <v>0</v>
      </c>
      <c r="J32" s="20" t="n">
        <v>0</v>
      </c>
      <c r="K32" s="18" t="n">
        <v>0.83019323</v>
      </c>
      <c r="L32" s="20" t="n">
        <v>0.24733924</v>
      </c>
      <c r="M32" s="18" t="n">
        <v>0</v>
      </c>
      <c r="N32" s="20" t="n">
        <v>0</v>
      </c>
      <c r="O32" s="18" t="n">
        <v>0</v>
      </c>
      <c r="P32" s="20" t="n">
        <v>0</v>
      </c>
      <c r="Q32" s="18" t="n">
        <v>0.11808581</v>
      </c>
      <c r="R32" s="20" t="n">
        <v>0.11786824</v>
      </c>
    </row>
    <row r="33" spans="1:18">
      <c r="A33" s="15" t="s">
        <v>591</v>
      </c>
      <c r="B33" s="17" t="n">
        <v>7325</v>
      </c>
      <c r="C33" s="18">
        <f>(5899.0/B33*100)</f>
        <v/>
      </c>
      <c r="D33" s="19" t="n">
        <v>1426</v>
      </c>
      <c r="E33" s="18" t="n">
        <v>50.91148896</v>
      </c>
      <c r="F33" s="20" t="n">
        <v>1.47754873</v>
      </c>
      <c r="G33" s="18" t="n">
        <v>46.63090793</v>
      </c>
      <c r="H33" s="20" t="n">
        <v>1.47202885</v>
      </c>
      <c r="I33" s="18" t="n">
        <v>0</v>
      </c>
      <c r="J33" s="20" t="n">
        <v>0</v>
      </c>
      <c r="K33" s="18" t="n">
        <v>2.06247597</v>
      </c>
      <c r="L33" s="20" t="n">
        <v>0.36378578</v>
      </c>
      <c r="M33" s="18" t="n">
        <v>0</v>
      </c>
      <c r="N33" s="20" t="n">
        <v>0</v>
      </c>
      <c r="O33" s="18" t="n">
        <v>0</v>
      </c>
      <c r="P33" s="20" t="n">
        <v>0</v>
      </c>
      <c r="Q33" s="18" t="n">
        <v>0.39512714</v>
      </c>
      <c r="R33" s="20" t="n">
        <v>0.20433755</v>
      </c>
    </row>
    <row r="34" spans="1:18">
      <c r="A34" s="15" t="s">
        <v>592</v>
      </c>
      <c r="B34" s="17" t="n">
        <v>6350</v>
      </c>
      <c r="C34" s="18">
        <f>(5041.0/B34*100)</f>
        <v/>
      </c>
      <c r="D34" s="19" t="n">
        <v>1309</v>
      </c>
      <c r="E34" s="18" t="n">
        <v>57.69157988</v>
      </c>
      <c r="F34" s="20" t="n">
        <v>1.68601868</v>
      </c>
      <c r="G34" s="18" t="n">
        <v>40.0704977</v>
      </c>
      <c r="H34" s="20" t="n">
        <v>1.5669261</v>
      </c>
      <c r="I34" s="18" t="n">
        <v>0</v>
      </c>
      <c r="J34" s="20" t="n">
        <v>0</v>
      </c>
      <c r="K34" s="18" t="n">
        <v>1.7437727</v>
      </c>
      <c r="L34" s="20" t="n">
        <v>0.36941151</v>
      </c>
      <c r="M34" s="18" t="n">
        <v>0</v>
      </c>
      <c r="N34" s="20" t="n">
        <v>0</v>
      </c>
      <c r="O34" s="18" t="n">
        <v>0</v>
      </c>
      <c r="P34" s="20" t="n">
        <v>0</v>
      </c>
      <c r="Q34" s="18" t="n">
        <v>0.49414972</v>
      </c>
      <c r="R34" s="20" t="n">
        <v>0.2304091</v>
      </c>
    </row>
    <row r="35" spans="1:18">
      <c r="A35" s="15" t="s">
        <v>593</v>
      </c>
      <c r="B35" s="17" t="n">
        <v>6406</v>
      </c>
      <c r="C35" s="18">
        <f>(5003.0/B35*100)</f>
        <v/>
      </c>
      <c r="D35" s="19" t="n">
        <v>1403</v>
      </c>
      <c r="E35" s="18" t="n">
        <v>51.32827522</v>
      </c>
      <c r="F35" s="20" t="n">
        <v>1.49336616</v>
      </c>
      <c r="G35" s="18" t="n">
        <v>46.23582907</v>
      </c>
      <c r="H35" s="20" t="n">
        <v>1.58782157</v>
      </c>
      <c r="I35" s="18" t="n">
        <v>0</v>
      </c>
      <c r="J35" s="20" t="n">
        <v>0</v>
      </c>
      <c r="K35" s="18" t="n">
        <v>1.95291576</v>
      </c>
      <c r="L35" s="20" t="n">
        <v>0.45720917</v>
      </c>
      <c r="M35" s="18" t="n">
        <v>0</v>
      </c>
      <c r="N35" s="20" t="n">
        <v>0</v>
      </c>
      <c r="O35" s="18" t="n">
        <v>0</v>
      </c>
      <c r="P35" s="20" t="n">
        <v>0</v>
      </c>
      <c r="Q35" s="18" t="n">
        <v>0.48297995</v>
      </c>
      <c r="R35" s="20" t="n">
        <v>0.18740354</v>
      </c>
    </row>
    <row r="36" spans="1:18">
      <c r="A36" s="15" t="s">
        <v>594</v>
      </c>
      <c r="B36" s="17" t="n">
        <v>6736</v>
      </c>
      <c r="C36" s="18">
        <f>(5291.0/B36*100)</f>
        <v/>
      </c>
      <c r="D36" s="19" t="n">
        <v>1445</v>
      </c>
      <c r="E36" s="18" t="n">
        <v>47.83852571</v>
      </c>
      <c r="F36" s="20" t="n">
        <v>1.42045837</v>
      </c>
      <c r="G36" s="18" t="n">
        <v>49.02148683</v>
      </c>
      <c r="H36" s="20" t="n">
        <v>1.4861716</v>
      </c>
      <c r="I36" s="18" t="n">
        <v>0</v>
      </c>
      <c r="J36" s="20" t="n">
        <v>0</v>
      </c>
      <c r="K36" s="18" t="n">
        <v>2.72340723</v>
      </c>
      <c r="L36" s="20" t="n">
        <v>0.5161386</v>
      </c>
      <c r="M36" s="18" t="n">
        <v>0</v>
      </c>
      <c r="N36" s="20" t="n">
        <v>0</v>
      </c>
      <c r="O36" s="18" t="n">
        <v>0</v>
      </c>
      <c r="P36" s="20" t="n">
        <v>0</v>
      </c>
      <c r="Q36" s="18" t="n">
        <v>0.41658022</v>
      </c>
      <c r="R36" s="20" t="n">
        <v>0.15378404</v>
      </c>
    </row>
    <row r="37" spans="1:18">
      <c r="A37" s="15" t="s">
        <v>595</v>
      </c>
      <c r="B37" s="17" t="n">
        <v>5458</v>
      </c>
      <c r="C37" s="18">
        <f>(4347.0/B37*100)</f>
        <v/>
      </c>
      <c r="D37" s="19" t="n">
        <v>1111</v>
      </c>
      <c r="E37" s="18" t="n">
        <v>53.36188374</v>
      </c>
      <c r="F37" s="20" t="n">
        <v>1.60147123</v>
      </c>
      <c r="G37" s="18" t="n">
        <v>39.42642714</v>
      </c>
      <c r="H37" s="20" t="n">
        <v>1.72022654</v>
      </c>
      <c r="I37" s="18" t="n">
        <v>0</v>
      </c>
      <c r="J37" s="20" t="n">
        <v>0</v>
      </c>
      <c r="K37" s="18" t="n">
        <v>6.23429438</v>
      </c>
      <c r="L37" s="20" t="n">
        <v>0.80642778</v>
      </c>
      <c r="M37" s="18" t="n">
        <v>0</v>
      </c>
      <c r="N37" s="20" t="n">
        <v>0</v>
      </c>
      <c r="O37" s="18" t="n">
        <v>0</v>
      </c>
      <c r="P37" s="20" t="n">
        <v>0</v>
      </c>
      <c r="Q37" s="18" t="n">
        <v>0.97739474</v>
      </c>
      <c r="R37" s="20" t="n">
        <v>0.27405568</v>
      </c>
    </row>
    <row r="38" spans="1:18">
      <c r="A38" s="15" t="s">
        <v>596</v>
      </c>
      <c r="B38" s="17" t="n">
        <v>5860</v>
      </c>
      <c r="C38" s="18">
        <f>(4582.0/B38*100)</f>
        <v/>
      </c>
      <c r="D38" s="19" t="n">
        <v>1278</v>
      </c>
      <c r="E38" s="18" t="n">
        <v>48.62753217</v>
      </c>
      <c r="F38" s="20" t="n">
        <v>1.80823031</v>
      </c>
      <c r="G38" s="18" t="n">
        <v>47.10299184</v>
      </c>
      <c r="H38" s="20" t="n">
        <v>1.76295107</v>
      </c>
      <c r="I38" s="18" t="n">
        <v>0</v>
      </c>
      <c r="J38" s="20" t="n">
        <v>0</v>
      </c>
      <c r="K38" s="18" t="n">
        <v>3.16066617</v>
      </c>
      <c r="L38" s="20" t="n">
        <v>0.56181725</v>
      </c>
      <c r="M38" s="18" t="n">
        <v>0</v>
      </c>
      <c r="N38" s="20" t="n">
        <v>0</v>
      </c>
      <c r="O38" s="18" t="n">
        <v>0</v>
      </c>
      <c r="P38" s="20" t="n">
        <v>0</v>
      </c>
      <c r="Q38" s="18" t="n">
        <v>1.10880983</v>
      </c>
      <c r="R38" s="20" t="n">
        <v>0.33814279</v>
      </c>
    </row>
    <row r="39" spans="1:18">
      <c r="A39" s="15" t="s">
        <v>597</v>
      </c>
      <c r="B39" s="17" t="n">
        <v>5895</v>
      </c>
      <c r="C39" s="18">
        <f>(4584.0/B39*100)</f>
        <v/>
      </c>
      <c r="D39" s="19" t="n">
        <v>1311</v>
      </c>
      <c r="E39" s="18" t="n">
        <v>63.3236782</v>
      </c>
      <c r="F39" s="20" t="n">
        <v>1.69812408</v>
      </c>
      <c r="G39" s="18" t="n">
        <v>33.67701321</v>
      </c>
      <c r="H39" s="20" t="n">
        <v>1.70332662</v>
      </c>
      <c r="I39" s="18" t="n">
        <v>0</v>
      </c>
      <c r="J39" s="20" t="n">
        <v>0</v>
      </c>
      <c r="K39" s="18" t="n">
        <v>1.8860765</v>
      </c>
      <c r="L39" s="20" t="n">
        <v>0.44592945</v>
      </c>
      <c r="M39" s="18" t="n">
        <v>0</v>
      </c>
      <c r="N39" s="20" t="n">
        <v>0</v>
      </c>
      <c r="O39" s="18" t="n">
        <v>0</v>
      </c>
      <c r="P39" s="20" t="n">
        <v>0</v>
      </c>
      <c r="Q39" s="18" t="n">
        <v>1.11323209</v>
      </c>
      <c r="R39" s="20" t="n">
        <v>0.35366344</v>
      </c>
    </row>
    <row r="40" spans="1:18">
      <c r="A40" s="15" t="s">
        <v>598</v>
      </c>
      <c r="B40" s="17" t="n">
        <v>14157</v>
      </c>
      <c r="C40" s="18">
        <f>(11175.0/B40*100)</f>
        <v/>
      </c>
      <c r="D40" s="19" t="n">
        <v>2982</v>
      </c>
      <c r="E40" s="18" t="n">
        <v>51.27623919</v>
      </c>
      <c r="F40" s="20" t="n">
        <v>1.3312826</v>
      </c>
      <c r="G40" s="18" t="n">
        <v>46.54076395</v>
      </c>
      <c r="H40" s="20" t="n">
        <v>1.36783295</v>
      </c>
      <c r="I40" s="18" t="n">
        <v>0</v>
      </c>
      <c r="J40" s="20" t="n">
        <v>0</v>
      </c>
      <c r="K40" s="18" t="n">
        <v>1.37696287</v>
      </c>
      <c r="L40" s="20" t="n">
        <v>0.27725111</v>
      </c>
      <c r="M40" s="18" t="n">
        <v>0</v>
      </c>
      <c r="N40" s="20" t="n">
        <v>0</v>
      </c>
      <c r="O40" s="18" t="n">
        <v>0</v>
      </c>
      <c r="P40" s="20" t="n">
        <v>0</v>
      </c>
      <c r="Q40" s="18" t="n">
        <v>0.80603398</v>
      </c>
      <c r="R40" s="20" t="n">
        <v>0.2325993</v>
      </c>
    </row>
    <row r="41" spans="1:18">
      <c r="A41" s="15" t="s">
        <v>599</v>
      </c>
      <c r="B41" s="17" t="n">
        <v>5712</v>
      </c>
      <c r="C41" s="18">
        <f>(4466.0/B41*100)</f>
        <v/>
      </c>
      <c r="D41" s="19" t="n">
        <v>1246</v>
      </c>
      <c r="E41" s="18" t="n">
        <v>49.07265779</v>
      </c>
      <c r="F41" s="20" t="n">
        <v>1.8410482</v>
      </c>
      <c r="G41" s="18" t="n">
        <v>49.38243144</v>
      </c>
      <c r="H41" s="20" t="n">
        <v>1.82650953</v>
      </c>
      <c r="I41" s="18" t="n">
        <v>0</v>
      </c>
      <c r="J41" s="20" t="n">
        <v>0</v>
      </c>
      <c r="K41" s="18" t="n">
        <v>0.98853074</v>
      </c>
      <c r="L41" s="20" t="n">
        <v>0.28511178</v>
      </c>
      <c r="M41" s="18" t="n">
        <v>0</v>
      </c>
      <c r="N41" s="20" t="n">
        <v>0</v>
      </c>
      <c r="O41" s="18" t="n">
        <v>0</v>
      </c>
      <c r="P41" s="20" t="n">
        <v>0</v>
      </c>
      <c r="Q41" s="18" t="n">
        <v>0.55638004</v>
      </c>
      <c r="R41" s="20" t="n">
        <v>0.20854776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(19717.0/B46*100)</f>
        <v/>
      </c>
      <c r="D46" s="19" t="n">
        <v>3424</v>
      </c>
      <c r="E46" s="18" t="n">
        <v>63.32338</v>
      </c>
      <c r="F46" s="20" t="n">
        <v>1.38942885</v>
      </c>
      <c r="G46" s="18" t="n">
        <v>30.69405631</v>
      </c>
      <c r="H46" s="20" t="n">
        <v>1.26088491</v>
      </c>
      <c r="I46" s="18" t="n">
        <v>0</v>
      </c>
      <c r="J46" s="20" t="n">
        <v>0</v>
      </c>
      <c r="K46" s="18" t="n">
        <v>5.41633265</v>
      </c>
      <c r="L46" s="20" t="n">
        <v>0.5603972</v>
      </c>
      <c r="M46" s="18" t="n">
        <v>0</v>
      </c>
      <c r="N46" s="20" t="n">
        <v>0</v>
      </c>
      <c r="O46" s="18" t="n">
        <v>0</v>
      </c>
      <c r="P46" s="20" t="n">
        <v>0</v>
      </c>
      <c r="Q46" s="18" t="n">
        <v>0.56623104</v>
      </c>
      <c r="R46" s="20" t="n">
        <v>0.15373192</v>
      </c>
    </row>
    <row r="47" spans="1:18">
      <c r="A47" s="15" t="s">
        <v>606</v>
      </c>
      <c r="B47" s="17" t="n">
        <v>5928</v>
      </c>
      <c r="C47" s="18">
        <f>(4717.0/B47*100)</f>
        <v/>
      </c>
      <c r="D47" s="19" t="n">
        <v>1211</v>
      </c>
      <c r="E47" s="18" t="n">
        <v>61.32149607</v>
      </c>
      <c r="F47" s="20" t="n">
        <v>1.5876741</v>
      </c>
      <c r="G47" s="18" t="n">
        <v>35.90280278</v>
      </c>
      <c r="H47" s="20" t="n">
        <v>1.64471128</v>
      </c>
      <c r="I47" s="18" t="n">
        <v>0</v>
      </c>
      <c r="J47" s="20" t="n">
        <v>0</v>
      </c>
      <c r="K47" s="18" t="n">
        <v>2.5349609</v>
      </c>
      <c r="L47" s="20" t="n">
        <v>0.49761333</v>
      </c>
      <c r="M47" s="18" t="n">
        <v>0</v>
      </c>
      <c r="N47" s="20" t="n">
        <v>0</v>
      </c>
      <c r="O47" s="18" t="n">
        <v>0</v>
      </c>
      <c r="P47" s="20" t="n">
        <v>0</v>
      </c>
      <c r="Q47" s="18" t="n">
        <v>0.24074026</v>
      </c>
      <c r="R47" s="20" t="n">
        <v>0.12978607</v>
      </c>
    </row>
    <row r="48" spans="1:18">
      <c r="A48" s="15" t="s">
        <v>607</v>
      </c>
      <c r="B48" s="17" t="n">
        <v>9841</v>
      </c>
      <c r="C48" s="18">
        <f>(7695.0/B48*100)</f>
        <v/>
      </c>
      <c r="D48" s="19" t="n">
        <v>2146</v>
      </c>
      <c r="E48" s="18" t="n">
        <v>42.61130439</v>
      </c>
      <c r="F48" s="20" t="n">
        <v>1.95476949</v>
      </c>
      <c r="G48" s="18" t="n">
        <v>55.96385641</v>
      </c>
      <c r="H48" s="20" t="n">
        <v>1.93058615</v>
      </c>
      <c r="I48" s="18" t="n">
        <v>0</v>
      </c>
      <c r="J48" s="20" t="n">
        <v>0</v>
      </c>
      <c r="K48" s="18" t="n">
        <v>1.3233542</v>
      </c>
      <c r="L48" s="20" t="n">
        <v>0.3423134</v>
      </c>
      <c r="M48" s="18" t="n">
        <v>0</v>
      </c>
      <c r="N48" s="20" t="n">
        <v>0</v>
      </c>
      <c r="O48" s="18" t="n">
        <v>0</v>
      </c>
      <c r="P48" s="20" t="n">
        <v>0</v>
      </c>
      <c r="Q48" s="18" t="n">
        <v>0.101485</v>
      </c>
      <c r="R48" s="20" t="n">
        <v>0.08485582999999999</v>
      </c>
    </row>
    <row r="49" spans="1:18">
      <c r="A49" s="15" t="s">
        <v>608</v>
      </c>
      <c r="B49" s="17" t="n">
        <v>11795</v>
      </c>
      <c r="C49" s="18">
        <f>(9419.0/B49*100)</f>
        <v/>
      </c>
      <c r="D49" s="19" t="n">
        <v>2376</v>
      </c>
      <c r="E49" s="18" t="n">
        <v>62.46256788</v>
      </c>
      <c r="F49" s="20" t="n">
        <v>1.36078322</v>
      </c>
      <c r="G49" s="18" t="n">
        <v>32.02581833</v>
      </c>
      <c r="H49" s="20" t="n">
        <v>1.28247727</v>
      </c>
      <c r="I49" s="18" t="n">
        <v>0</v>
      </c>
      <c r="J49" s="20" t="n">
        <v>0</v>
      </c>
      <c r="K49" s="18" t="n">
        <v>5.15104204</v>
      </c>
      <c r="L49" s="20" t="n">
        <v>0.77110649</v>
      </c>
      <c r="M49" s="18" t="n">
        <v>0</v>
      </c>
      <c r="N49" s="20" t="n">
        <v>0</v>
      </c>
      <c r="O49" s="18" t="n">
        <v>0</v>
      </c>
      <c r="P49" s="20" t="n">
        <v>0</v>
      </c>
      <c r="Q49" s="18" t="n">
        <v>0.36057174</v>
      </c>
      <c r="R49" s="20" t="n">
        <v>0.13750713</v>
      </c>
    </row>
    <row r="50" spans="1:18">
      <c r="A50" s="15" t="s">
        <v>609</v>
      </c>
      <c r="B50" s="17" t="n">
        <v>6866</v>
      </c>
      <c r="C50" s="18">
        <f>(5627.0/B50*100)</f>
        <v/>
      </c>
      <c r="D50" s="19" t="n">
        <v>1239</v>
      </c>
      <c r="E50" s="18" t="n">
        <v>61.00824443</v>
      </c>
      <c r="F50" s="20" t="n">
        <v>1.70971662</v>
      </c>
      <c r="G50" s="18" t="n">
        <v>34.85229627</v>
      </c>
      <c r="H50" s="20" t="n">
        <v>1.65145976</v>
      </c>
      <c r="I50" s="18" t="n">
        <v>0</v>
      </c>
      <c r="J50" s="20" t="n">
        <v>0</v>
      </c>
      <c r="K50" s="18" t="n">
        <v>2.94479985</v>
      </c>
      <c r="L50" s="20" t="n">
        <v>0.64555069</v>
      </c>
      <c r="M50" s="18" t="n">
        <v>0</v>
      </c>
      <c r="N50" s="20" t="n">
        <v>0</v>
      </c>
      <c r="O50" s="18" t="n">
        <v>0</v>
      </c>
      <c r="P50" s="20" t="n">
        <v>0</v>
      </c>
      <c r="Q50" s="18" t="n">
        <v>1.19465946</v>
      </c>
      <c r="R50" s="20" t="n">
        <v>0.35902067</v>
      </c>
    </row>
    <row r="51" spans="1:18">
      <c r="A51" s="15" t="s">
        <v>610</v>
      </c>
      <c r="B51" s="17" t="n">
        <v>5809</v>
      </c>
      <c r="C51" s="18">
        <f>(4563.0/B51*100)</f>
        <v/>
      </c>
      <c r="D51" s="19" t="n">
        <v>1246</v>
      </c>
      <c r="E51" s="18" t="n">
        <v>54.04030524</v>
      </c>
      <c r="F51" s="20" t="n">
        <v>1.55833005</v>
      </c>
      <c r="G51" s="18" t="n">
        <v>42.98455644</v>
      </c>
      <c r="H51" s="20" t="n">
        <v>1.62213058</v>
      </c>
      <c r="I51" s="18" t="n">
        <v>0</v>
      </c>
      <c r="J51" s="20" t="n">
        <v>0</v>
      </c>
      <c r="K51" s="18" t="n">
        <v>2.60394416</v>
      </c>
      <c r="L51" s="20" t="n">
        <v>0.42918472</v>
      </c>
      <c r="M51" s="18" t="n">
        <v>0</v>
      </c>
      <c r="N51" s="20" t="n">
        <v>0</v>
      </c>
      <c r="O51" s="18" t="n">
        <v>0</v>
      </c>
      <c r="P51" s="20" t="n">
        <v>0</v>
      </c>
      <c r="Q51" s="18" t="n">
        <v>0.37119416</v>
      </c>
      <c r="R51" s="20" t="n">
        <v>0.16807923</v>
      </c>
    </row>
    <row r="52" spans="1:18">
      <c r="A52" s="15" t="s">
        <v>611</v>
      </c>
      <c r="B52" s="17" t="n">
        <v>5571</v>
      </c>
      <c r="C52" s="18">
        <f>(4350.0/B52*100)</f>
        <v/>
      </c>
      <c r="D52" s="19" t="n">
        <v>1221</v>
      </c>
      <c r="E52" s="18" t="n">
        <v>65.93140149</v>
      </c>
      <c r="F52" s="20" t="n">
        <v>1.43616117</v>
      </c>
      <c r="G52" s="18" t="n">
        <v>30.96471129</v>
      </c>
      <c r="H52" s="20" t="n">
        <v>1.37130324</v>
      </c>
      <c r="I52" s="18" t="n">
        <v>0</v>
      </c>
      <c r="J52" s="20" t="n">
        <v>0</v>
      </c>
      <c r="K52" s="18" t="n">
        <v>2.4339319</v>
      </c>
      <c r="L52" s="20" t="n">
        <v>0.3990497</v>
      </c>
      <c r="M52" s="18" t="n">
        <v>0</v>
      </c>
      <c r="N52" s="20" t="n">
        <v>0</v>
      </c>
      <c r="O52" s="18" t="n">
        <v>0</v>
      </c>
      <c r="P52" s="20" t="n">
        <v>0</v>
      </c>
      <c r="Q52" s="18" t="n">
        <v>0.66995531</v>
      </c>
      <c r="R52" s="20" t="n">
        <v>0.24471674</v>
      </c>
    </row>
    <row r="53" spans="1:18">
      <c r="A53" s="15" t="s">
        <v>612</v>
      </c>
      <c r="B53" s="17" t="n">
        <v>4740</v>
      </c>
      <c r="C53" s="18">
        <f>(3711.0/B53*100)</f>
        <v/>
      </c>
      <c r="D53" s="19" t="n">
        <v>1029</v>
      </c>
      <c r="E53" s="18" t="n">
        <v>53.81488608</v>
      </c>
      <c r="F53" s="20" t="n">
        <v>1.76446298</v>
      </c>
      <c r="G53" s="18" t="n">
        <v>18.05541143</v>
      </c>
      <c r="H53" s="20" t="n">
        <v>1.33559475</v>
      </c>
      <c r="I53" s="18" t="n">
        <v>0</v>
      </c>
      <c r="J53" s="20" t="n">
        <v>0</v>
      </c>
      <c r="K53" s="18" t="n">
        <v>27.05657694</v>
      </c>
      <c r="L53" s="20" t="n">
        <v>1.61245794</v>
      </c>
      <c r="M53" s="18" t="n">
        <v>0</v>
      </c>
      <c r="N53" s="20" t="n">
        <v>0</v>
      </c>
      <c r="O53" s="18" t="n">
        <v>0</v>
      </c>
      <c r="P53" s="20" t="n">
        <v>0</v>
      </c>
      <c r="Q53" s="18" t="n">
        <v>1.07312555</v>
      </c>
      <c r="R53" s="20" t="n">
        <v>0.31243653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(4132.0/B55*100)</f>
        <v/>
      </c>
      <c r="D55" s="19" t="n">
        <v>1227</v>
      </c>
      <c r="E55" s="18" t="n">
        <v>42.12994541</v>
      </c>
      <c r="F55" s="20" t="n">
        <v>1.63517225</v>
      </c>
      <c r="G55" s="18" t="n">
        <v>56.70815393</v>
      </c>
      <c r="H55" s="20" t="n">
        <v>1.64157717</v>
      </c>
      <c r="I55" s="18" t="n">
        <v>0</v>
      </c>
      <c r="J55" s="20" t="n">
        <v>0</v>
      </c>
      <c r="K55" s="18" t="n">
        <v>0.93676828</v>
      </c>
      <c r="L55" s="20" t="n">
        <v>0.33557721</v>
      </c>
      <c r="M55" s="18" t="n">
        <v>0</v>
      </c>
      <c r="N55" s="20" t="n">
        <v>0</v>
      </c>
      <c r="O55" s="18" t="n">
        <v>0</v>
      </c>
      <c r="P55" s="20" t="n">
        <v>0</v>
      </c>
      <c r="Q55" s="18" t="n">
        <v>0.22513237</v>
      </c>
      <c r="R55" s="20" t="n">
        <v>0.12653322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(5086.0/B61*100)</f>
        <v/>
      </c>
      <c r="D61" s="19" t="n">
        <v>1439</v>
      </c>
      <c r="E61" s="18" t="n">
        <v>57.64765742</v>
      </c>
      <c r="F61" s="20" t="n">
        <v>1.33281218</v>
      </c>
      <c r="G61" s="18" t="n">
        <v>39.59833805</v>
      </c>
      <c r="H61" s="20" t="n">
        <v>1.35706897</v>
      </c>
      <c r="I61" s="18" t="n">
        <v>0</v>
      </c>
      <c r="J61" s="20" t="n">
        <v>0</v>
      </c>
      <c r="K61" s="18" t="n">
        <v>2.05593125</v>
      </c>
      <c r="L61" s="20" t="n">
        <v>0.39128958</v>
      </c>
      <c r="M61" s="18" t="n">
        <v>0</v>
      </c>
      <c r="N61" s="20" t="n">
        <v>0</v>
      </c>
      <c r="O61" s="18" t="n">
        <v>0</v>
      </c>
      <c r="P61" s="20" t="n">
        <v>0</v>
      </c>
      <c r="Q61" s="18" t="n">
        <v>0.69807329</v>
      </c>
      <c r="R61" s="20" t="n">
        <v>0.28792217</v>
      </c>
    </row>
    <row r="62" spans="1:18">
      <c r="A62" s="15" t="s">
        <v>622</v>
      </c>
      <c r="B62" s="17" t="n">
        <v>4476</v>
      </c>
      <c r="C62" s="18">
        <f>(3520.0/B62*100)</f>
        <v/>
      </c>
      <c r="D62" s="19" t="n">
        <v>956</v>
      </c>
      <c r="E62" s="18" t="n">
        <v>40.30356561</v>
      </c>
      <c r="F62" s="20" t="n">
        <v>1.49312301</v>
      </c>
      <c r="G62" s="18" t="n">
        <v>59.38496089</v>
      </c>
      <c r="H62" s="20" t="n">
        <v>1.50626683</v>
      </c>
      <c r="I62" s="18" t="n">
        <v>0</v>
      </c>
      <c r="J62" s="20" t="n">
        <v>0</v>
      </c>
      <c r="K62" s="18" t="n">
        <v>0.207649</v>
      </c>
      <c r="L62" s="20" t="n">
        <v>0.1466414</v>
      </c>
      <c r="M62" s="18" t="n">
        <v>0</v>
      </c>
      <c r="N62" s="20" t="n">
        <v>0</v>
      </c>
      <c r="O62" s="18" t="n">
        <v>0</v>
      </c>
      <c r="P62" s="20" t="n">
        <v>0</v>
      </c>
      <c r="Q62" s="18" t="n">
        <v>0.1038245</v>
      </c>
      <c r="R62" s="20" t="n">
        <v>0.10397958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(4490.0/B67*100)</f>
        <v/>
      </c>
      <c r="D67" s="19" t="n">
        <v>1175</v>
      </c>
      <c r="E67" s="18" t="n">
        <v>65.36751375999999</v>
      </c>
      <c r="F67" s="20" t="n">
        <v>1.44781658</v>
      </c>
      <c r="G67" s="18" t="n">
        <v>27.42172588</v>
      </c>
      <c r="H67" s="20" t="n">
        <v>1.38479082</v>
      </c>
      <c r="I67" s="18" t="n">
        <v>0</v>
      </c>
      <c r="J67" s="20" t="n">
        <v>0</v>
      </c>
      <c r="K67" s="18" t="n">
        <v>6.61982063</v>
      </c>
      <c r="L67" s="20" t="n">
        <v>0.6651203</v>
      </c>
      <c r="M67" s="18" t="n">
        <v>0</v>
      </c>
      <c r="N67" s="20" t="n">
        <v>0</v>
      </c>
      <c r="O67" s="18" t="n">
        <v>0</v>
      </c>
      <c r="P67" s="20" t="n">
        <v>0</v>
      </c>
      <c r="Q67" s="18" t="n">
        <v>0.59093973</v>
      </c>
      <c r="R67" s="20" t="n">
        <v>0.22760903</v>
      </c>
    </row>
    <row r="68" spans="1:18">
      <c r="A68" s="15" t="s">
        <v>628</v>
      </c>
      <c r="B68" s="17" t="n">
        <v>6971</v>
      </c>
      <c r="C68" s="18">
        <f>(5781.0/B68*100)</f>
        <v/>
      </c>
      <c r="D68" s="19" t="n">
        <v>1190</v>
      </c>
      <c r="E68" s="18" t="n">
        <v>58.58537759</v>
      </c>
      <c r="F68" s="20" t="n">
        <v>1.73221228</v>
      </c>
      <c r="G68" s="18" t="n">
        <v>38.84102139</v>
      </c>
      <c r="H68" s="20" t="n">
        <v>1.79472915</v>
      </c>
      <c r="I68" s="18" t="n">
        <v>0</v>
      </c>
      <c r="J68" s="20" t="n">
        <v>0</v>
      </c>
      <c r="K68" s="18" t="n">
        <v>1.96122803</v>
      </c>
      <c r="L68" s="20" t="n">
        <v>0.48180646</v>
      </c>
      <c r="M68" s="18" t="n">
        <v>0</v>
      </c>
      <c r="N68" s="20" t="n">
        <v>0</v>
      </c>
      <c r="O68" s="18" t="n">
        <v>0</v>
      </c>
      <c r="P68" s="20" t="n">
        <v>0</v>
      </c>
      <c r="Q68" s="18" t="n">
        <v>0.61237299</v>
      </c>
      <c r="R68" s="20" t="n">
        <v>0.27016995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(9376.0/B70*100)</f>
        <v/>
      </c>
      <c r="D70" s="19" t="n">
        <v>2707</v>
      </c>
      <c r="E70" s="18" t="n">
        <v>58.52732707</v>
      </c>
      <c r="F70" s="20" t="n">
        <v>0.94813963</v>
      </c>
      <c r="G70" s="18" t="n">
        <v>33.98702788</v>
      </c>
      <c r="H70" s="20" t="n">
        <v>0.9042156</v>
      </c>
      <c r="I70" s="18" t="n">
        <v>0</v>
      </c>
      <c r="J70" s="20" t="n">
        <v>0</v>
      </c>
      <c r="K70" s="18" t="n">
        <v>6.79160584</v>
      </c>
      <c r="L70" s="20" t="n">
        <v>0.50435814</v>
      </c>
      <c r="M70" s="18" t="n">
        <v>0</v>
      </c>
      <c r="N70" s="20" t="n">
        <v>0</v>
      </c>
      <c r="O70" s="18" t="n">
        <v>0</v>
      </c>
      <c r="P70" s="20" t="n">
        <v>0</v>
      </c>
      <c r="Q70" s="18" t="n">
        <v>0.69403921</v>
      </c>
      <c r="R70" s="20" t="n">
        <v>0.17671726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(4878.0/B72*100)</f>
        <v/>
      </c>
      <c r="D72" s="19" t="n">
        <v>1158</v>
      </c>
      <c r="E72" s="18" t="n">
        <v>61.96343457</v>
      </c>
      <c r="F72" s="20" t="n">
        <v>1.47580863</v>
      </c>
      <c r="G72" s="18" t="n">
        <v>35.30929483</v>
      </c>
      <c r="H72" s="20" t="n">
        <v>1.58416209</v>
      </c>
      <c r="I72" s="18" t="n">
        <v>0</v>
      </c>
      <c r="J72" s="20" t="n">
        <v>0</v>
      </c>
      <c r="K72" s="18" t="n">
        <v>2.4207261</v>
      </c>
      <c r="L72" s="20" t="n">
        <v>0.4761545</v>
      </c>
      <c r="M72" s="18" t="n">
        <v>0</v>
      </c>
      <c r="N72" s="20" t="n">
        <v>0</v>
      </c>
      <c r="O72" s="18" t="n">
        <v>0</v>
      </c>
      <c r="P72" s="20" t="n">
        <v>0</v>
      </c>
      <c r="Q72" s="18" t="n">
        <v>0.3065445</v>
      </c>
      <c r="R72" s="20" t="n">
        <v>0.21060999</v>
      </c>
    </row>
    <row r="73" spans="1:18">
      <c r="A73" s="15" t="s">
        <v>633</v>
      </c>
      <c r="B73" s="17" t="n">
        <v>6115</v>
      </c>
      <c r="C73" s="18">
        <f>(4794.0/B73*100)</f>
        <v/>
      </c>
      <c r="D73" s="19" t="n">
        <v>1321</v>
      </c>
      <c r="E73" s="18" t="n">
        <v>35.77142109</v>
      </c>
      <c r="F73" s="20" t="n">
        <v>1.45607239</v>
      </c>
      <c r="G73" s="18" t="n">
        <v>63.34807753</v>
      </c>
      <c r="H73" s="20" t="n">
        <v>1.50754262</v>
      </c>
      <c r="I73" s="18" t="n">
        <v>0</v>
      </c>
      <c r="J73" s="20" t="n">
        <v>0</v>
      </c>
      <c r="K73" s="18" t="n">
        <v>0.81895684</v>
      </c>
      <c r="L73" s="20" t="n">
        <v>0.26303173</v>
      </c>
      <c r="M73" s="18" t="n">
        <v>0</v>
      </c>
      <c r="N73" s="20" t="n">
        <v>0</v>
      </c>
      <c r="O73" s="18" t="n">
        <v>0</v>
      </c>
      <c r="P73" s="20" t="n">
        <v>0</v>
      </c>
      <c r="Q73" s="18" t="n">
        <v>0.06154454</v>
      </c>
      <c r="R73" s="20" t="n">
        <v>0.06197675</v>
      </c>
    </row>
    <row r="74" spans="1:18">
      <c r="A74" s="15" t="s">
        <v>634</v>
      </c>
      <c r="B74" s="17" t="n">
        <v>7708</v>
      </c>
      <c r="C74" s="18">
        <f>(5969.0/B74*100)</f>
        <v/>
      </c>
      <c r="D74" s="19" t="n">
        <v>1739</v>
      </c>
      <c r="E74" s="18" t="n">
        <v>40.5509296</v>
      </c>
      <c r="F74" s="20" t="n">
        <v>1.42499034</v>
      </c>
      <c r="G74" s="18" t="n">
        <v>58.72115886</v>
      </c>
      <c r="H74" s="20" t="n">
        <v>1.41366137</v>
      </c>
      <c r="I74" s="18" t="n">
        <v>0</v>
      </c>
      <c r="J74" s="20" t="n">
        <v>0</v>
      </c>
      <c r="K74" s="18" t="n">
        <v>0.41270215</v>
      </c>
      <c r="L74" s="20" t="n">
        <v>0.16056312</v>
      </c>
      <c r="M74" s="18" t="n">
        <v>0</v>
      </c>
      <c r="N74" s="20" t="n">
        <v>0</v>
      </c>
      <c r="O74" s="18" t="n">
        <v>0</v>
      </c>
      <c r="P74" s="20" t="n">
        <v>0</v>
      </c>
      <c r="Q74" s="18" t="n">
        <v>0.31520939</v>
      </c>
      <c r="R74" s="20" t="n">
        <v>0.1385167</v>
      </c>
    </row>
    <row r="75" spans="1:18">
      <c r="A75" s="15" t="s">
        <v>635</v>
      </c>
      <c r="B75" s="17" t="n">
        <v>8249</v>
      </c>
      <c r="C75" s="18">
        <f>(6611.0/B75*100)</f>
        <v/>
      </c>
      <c r="D75" s="19" t="n">
        <v>1638</v>
      </c>
      <c r="E75" s="18" t="n">
        <v>62.24038751</v>
      </c>
      <c r="F75" s="20" t="n">
        <v>1.45901692</v>
      </c>
      <c r="G75" s="18" t="n">
        <v>36.90003368</v>
      </c>
      <c r="H75" s="20" t="n">
        <v>1.42464322</v>
      </c>
      <c r="I75" s="18" t="n">
        <v>0</v>
      </c>
      <c r="J75" s="20" t="n">
        <v>0</v>
      </c>
      <c r="K75" s="18" t="n">
        <v>0.23537315</v>
      </c>
      <c r="L75" s="20" t="n">
        <v>0.12731076</v>
      </c>
      <c r="M75" s="18" t="n">
        <v>0</v>
      </c>
      <c r="N75" s="20" t="n">
        <v>0</v>
      </c>
      <c r="O75" s="18" t="n">
        <v>0</v>
      </c>
      <c r="P75" s="20" t="n">
        <v>0</v>
      </c>
      <c r="Q75" s="18" t="n">
        <v>0.6242056499999999</v>
      </c>
      <c r="R75" s="20" t="n">
        <v>0.19836945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(4393.0/B77*100)</f>
        <v/>
      </c>
      <c r="D77" s="19" t="n">
        <v>982</v>
      </c>
      <c r="E77" s="18" t="n">
        <v>62.87539002</v>
      </c>
      <c r="F77" s="20" t="n">
        <v>1.69521743</v>
      </c>
      <c r="G77" s="18" t="n">
        <v>25.7968954</v>
      </c>
      <c r="H77" s="20" t="n">
        <v>1.33686408</v>
      </c>
      <c r="I77" s="18" t="n">
        <v>0</v>
      </c>
      <c r="J77" s="20" t="n">
        <v>0</v>
      </c>
      <c r="K77" s="18" t="n">
        <v>10.15665708</v>
      </c>
      <c r="L77" s="20" t="n">
        <v>1.40392502</v>
      </c>
      <c r="M77" s="18" t="n">
        <v>0</v>
      </c>
      <c r="N77" s="20" t="n">
        <v>0</v>
      </c>
      <c r="O77" s="18" t="n">
        <v>0</v>
      </c>
      <c r="P77" s="20" t="n">
        <v>0</v>
      </c>
      <c r="Q77" s="18" t="n">
        <v>1.17105751</v>
      </c>
      <c r="R77" s="20" t="n">
        <v>0.35229569</v>
      </c>
    </row>
    <row r="78" spans="1:18">
      <c r="A78" s="15" t="s">
        <v>638</v>
      </c>
      <c r="B78" s="17" t="n">
        <v>14167</v>
      </c>
      <c r="C78" s="18">
        <f>(11136.0/B78*100)</f>
        <v/>
      </c>
      <c r="D78" s="19" t="n">
        <v>3031</v>
      </c>
      <c r="E78" s="18" t="n">
        <v>55.91148248</v>
      </c>
      <c r="F78" s="20" t="n">
        <v>1.31198301</v>
      </c>
      <c r="G78" s="18" t="n">
        <v>39.51589169</v>
      </c>
      <c r="H78" s="20" t="n">
        <v>1.24237558</v>
      </c>
      <c r="I78" s="18" t="n">
        <v>0</v>
      </c>
      <c r="J78" s="20" t="n">
        <v>0</v>
      </c>
      <c r="K78" s="18" t="n">
        <v>3.80710179</v>
      </c>
      <c r="L78" s="20" t="n">
        <v>0.48354615</v>
      </c>
      <c r="M78" s="18" t="n">
        <v>0</v>
      </c>
      <c r="N78" s="20" t="n">
        <v>0</v>
      </c>
      <c r="O78" s="18" t="n">
        <v>0</v>
      </c>
      <c r="P78" s="20" t="n">
        <v>0</v>
      </c>
      <c r="Q78" s="18" t="n">
        <v>0.76552404</v>
      </c>
      <c r="R78" s="20" t="n">
        <v>0.17743333</v>
      </c>
    </row>
    <row r="79" spans="1:18">
      <c r="A79" s="15" t="s">
        <v>639</v>
      </c>
      <c r="B79" s="17" t="n">
        <v>6062</v>
      </c>
      <c r="C79" s="18">
        <f>(4835.0/B79*100)</f>
        <v/>
      </c>
      <c r="D79" s="19" t="n">
        <v>1227</v>
      </c>
      <c r="E79" s="18" t="n">
        <v>58.91597158</v>
      </c>
      <c r="F79" s="20" t="n">
        <v>1.37291613</v>
      </c>
      <c r="G79" s="18" t="n">
        <v>32.51781959</v>
      </c>
      <c r="H79" s="20" t="n">
        <v>1.37098408</v>
      </c>
      <c r="I79" s="18" t="n">
        <v>0</v>
      </c>
      <c r="J79" s="20" t="n">
        <v>0</v>
      </c>
      <c r="K79" s="18" t="n">
        <v>8.17297187</v>
      </c>
      <c r="L79" s="20" t="n">
        <v>0.85510681</v>
      </c>
      <c r="M79" s="18" t="n">
        <v>0</v>
      </c>
      <c r="N79" s="20" t="n">
        <v>0</v>
      </c>
      <c r="O79" s="18" t="n">
        <v>0</v>
      </c>
      <c r="P79" s="20" t="n">
        <v>0</v>
      </c>
      <c r="Q79" s="18" t="n">
        <v>0.39323696</v>
      </c>
      <c r="R79" s="20" t="n">
        <v>0.15243378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(25456.0/B82*100)</f>
        <v/>
      </c>
      <c r="D82" s="19" t="n">
        <v>6874</v>
      </c>
      <c r="E82" s="18" t="n">
        <v>48.01061393</v>
      </c>
      <c r="F82" s="20" t="n">
        <v>0.89491647</v>
      </c>
      <c r="G82" s="18" t="n">
        <v>49.2727374</v>
      </c>
      <c r="H82" s="20" t="n">
        <v>0.91893242</v>
      </c>
      <c r="I82" s="18" t="n">
        <v>0</v>
      </c>
      <c r="J82" s="20" t="n">
        <v>0</v>
      </c>
      <c r="K82" s="18" t="n">
        <v>2.23025686</v>
      </c>
      <c r="L82" s="20" t="n">
        <v>0.27462629</v>
      </c>
      <c r="M82" s="18" t="n">
        <v>0</v>
      </c>
      <c r="N82" s="20" t="n">
        <v>0</v>
      </c>
      <c r="O82" s="18" t="n">
        <v>0</v>
      </c>
      <c r="P82" s="20" t="n">
        <v>0</v>
      </c>
      <c r="Q82" s="18" t="n">
        <v>0.48639181</v>
      </c>
      <c r="R82" s="20" t="n">
        <v>0.11329932</v>
      </c>
    </row>
    <row r="83" spans="1:18">
      <c r="A83" s="15" t="s">
        <v>643</v>
      </c>
      <c r="B83" s="17" t="n">
        <v>1652</v>
      </c>
      <c r="C83" s="18">
        <f>(1296.0/B83*100)</f>
        <v/>
      </c>
      <c r="D83" s="19" t="n">
        <v>356</v>
      </c>
      <c r="E83" s="18" t="n">
        <v>40.64141314</v>
      </c>
      <c r="F83" s="20" t="n">
        <v>3.281627</v>
      </c>
      <c r="G83" s="18" t="n">
        <v>57.32663914</v>
      </c>
      <c r="H83" s="20" t="n">
        <v>3.0757919</v>
      </c>
      <c r="I83" s="18" t="n">
        <v>0</v>
      </c>
      <c r="J83" s="20" t="n">
        <v>0</v>
      </c>
      <c r="K83" s="18" t="n">
        <v>1.48912368</v>
      </c>
      <c r="L83" s="20" t="n">
        <v>0.47344278</v>
      </c>
      <c r="M83" s="18" t="n">
        <v>0</v>
      </c>
      <c r="N83" s="20" t="n">
        <v>0</v>
      </c>
      <c r="O83" s="18" t="n">
        <v>0</v>
      </c>
      <c r="P83" s="20" t="n">
        <v>0</v>
      </c>
      <c r="Q83" s="18" t="n">
        <v>0.54282404</v>
      </c>
      <c r="R83" s="20" t="n">
        <v>0.40841364</v>
      </c>
    </row>
    <row r="84" spans="1:18">
      <c r="A84" s="23" t="s">
        <v>644</v>
      </c>
      <c r="B84" s="24" t="n">
        <v>1887</v>
      </c>
      <c r="C84" s="25">
        <f>(1500.0/B84*100)</f>
        <v/>
      </c>
      <c r="D84" s="19" t="n">
        <v>387</v>
      </c>
      <c r="E84" s="18" t="n">
        <v>49.26758806</v>
      </c>
      <c r="F84" s="20" t="n">
        <v>3.11457508</v>
      </c>
      <c r="G84" s="18" t="n">
        <v>49.7673433</v>
      </c>
      <c r="H84" s="20" t="n">
        <v>3.12695478</v>
      </c>
      <c r="I84" s="18" t="n">
        <v>0</v>
      </c>
      <c r="J84" s="20" t="n">
        <v>0</v>
      </c>
      <c r="K84" s="18" t="n">
        <v>0.20769548</v>
      </c>
      <c r="L84" s="20" t="n">
        <v>0.19096292</v>
      </c>
      <c r="M84" s="18" t="n">
        <v>0</v>
      </c>
      <c r="N84" s="20" t="n">
        <v>0</v>
      </c>
      <c r="O84" s="18" t="n">
        <v>0</v>
      </c>
      <c r="P84" s="20" t="n">
        <v>0</v>
      </c>
      <c r="Q84" s="18" t="n">
        <v>0.75737316</v>
      </c>
      <c r="R84" s="20" t="n">
        <v>0.43782672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2.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814</v>
      </c>
    </row>
    <row customHeight="1" ht="30" r="4" spans="1:22">
      <c r="A4" s="6" t="n"/>
      <c r="B4" s="7" t="s">
        <v>551</v>
      </c>
      <c r="C4" s="7" t="s">
        <v>552</v>
      </c>
      <c r="D4" s="8" t="s">
        <v>551</v>
      </c>
      <c r="E4" s="9" t="s">
        <v>655</v>
      </c>
      <c r="F4" s="10" t="n"/>
      <c r="G4" s="9" t="s">
        <v>815</v>
      </c>
      <c r="H4" s="10" t="n"/>
      <c r="I4" s="9" t="s">
        <v>816</v>
      </c>
      <c r="J4" s="10" t="n"/>
      <c r="K4" s="9" t="s">
        <v>817</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14530</v>
      </c>
      <c r="C7" s="18">
        <f>(11462.0/B7*100)</f>
        <v/>
      </c>
      <c r="D7" s="19" t="n">
        <v>3068</v>
      </c>
      <c r="E7" s="18" t="n">
        <v>40.10348085</v>
      </c>
      <c r="F7" s="20" t="n">
        <v>1.14919824</v>
      </c>
      <c r="G7" s="18" t="n">
        <v>13.11688881</v>
      </c>
      <c r="H7" s="20" t="n">
        <v>0.76033531</v>
      </c>
      <c r="I7" s="18" t="n">
        <v>10.22009352</v>
      </c>
      <c r="J7" s="20" t="n">
        <v>0.71226227</v>
      </c>
      <c r="K7" s="18" t="n">
        <v>20.73844725</v>
      </c>
      <c r="L7" s="20" t="n">
        <v>0.92920048</v>
      </c>
      <c r="M7" s="18" t="n">
        <v>0</v>
      </c>
      <c r="N7" s="20" t="n">
        <v>0</v>
      </c>
      <c r="O7" s="18" t="n">
        <v>15.69730267</v>
      </c>
      <c r="P7" s="20" t="n">
        <v>0.73984385</v>
      </c>
      <c r="Q7" s="18" t="n">
        <v>0.12378689</v>
      </c>
      <c r="R7" s="20" t="n">
        <v>0.06361706</v>
      </c>
      <c r="S7" s="18" t="n">
        <v>0</v>
      </c>
      <c r="T7" s="20" t="n">
        <v>0</v>
      </c>
      <c r="U7" s="18" t="n">
        <v>0</v>
      </c>
      <c r="V7" s="20" t="n">
        <v>0</v>
      </c>
    </row>
    <row r="8" spans="1:22">
      <c r="A8" s="15" t="s">
        <v>566</v>
      </c>
      <c r="B8" s="17" t="n">
        <v>7007</v>
      </c>
      <c r="C8" s="18">
        <f>(5527.0/B8*100)</f>
        <v/>
      </c>
      <c r="D8" s="19" t="n">
        <v>1480</v>
      </c>
      <c r="E8" s="18" t="n">
        <v>35.75405264</v>
      </c>
      <c r="F8" s="20" t="n">
        <v>1.41773814</v>
      </c>
      <c r="G8" s="18" t="n">
        <v>13.9700379</v>
      </c>
      <c r="H8" s="20" t="n">
        <v>1.11877628</v>
      </c>
      <c r="I8" s="18" t="n">
        <v>7.4632014</v>
      </c>
      <c r="J8" s="20" t="n">
        <v>0.71907767</v>
      </c>
      <c r="K8" s="18" t="n">
        <v>10.75371916</v>
      </c>
      <c r="L8" s="20" t="n">
        <v>0.94285292</v>
      </c>
      <c r="M8" s="18" t="n">
        <v>0</v>
      </c>
      <c r="N8" s="20" t="n">
        <v>0</v>
      </c>
      <c r="O8" s="18" t="n">
        <v>32.0589889</v>
      </c>
      <c r="P8" s="20" t="n">
        <v>1.49599172</v>
      </c>
      <c r="Q8" s="18" t="n">
        <v>0</v>
      </c>
      <c r="R8" s="20" t="n">
        <v>0</v>
      </c>
      <c r="S8" s="18" t="n">
        <v>0</v>
      </c>
      <c r="T8" s="20" t="n">
        <v>0</v>
      </c>
      <c r="U8" s="18" t="n">
        <v>0</v>
      </c>
      <c r="V8" s="20" t="n">
        <v>0</v>
      </c>
    </row>
    <row r="9" spans="1:22">
      <c r="A9" s="15" t="s">
        <v>567</v>
      </c>
      <c r="B9" s="17" t="n">
        <v>9651</v>
      </c>
      <c r="C9" s="18">
        <f>(7697.0/B9*100)</f>
        <v/>
      </c>
      <c r="D9" s="19" t="n">
        <v>1954</v>
      </c>
      <c r="E9" s="18" t="n">
        <v>44.73315611</v>
      </c>
      <c r="F9" s="20" t="n">
        <v>1.26676972</v>
      </c>
      <c r="G9" s="18" t="n">
        <v>14.75963327</v>
      </c>
      <c r="H9" s="20" t="n">
        <v>0.82058642</v>
      </c>
      <c r="I9" s="18" t="n">
        <v>8.56550652</v>
      </c>
      <c r="J9" s="20" t="n">
        <v>0.65381988</v>
      </c>
      <c r="K9" s="18" t="n">
        <v>7.92821507</v>
      </c>
      <c r="L9" s="20" t="n">
        <v>0.60458689</v>
      </c>
      <c r="M9" s="18" t="n">
        <v>0</v>
      </c>
      <c r="N9" s="20" t="n">
        <v>0</v>
      </c>
      <c r="O9" s="18" t="n">
        <v>23.69865954</v>
      </c>
      <c r="P9" s="20" t="n">
        <v>1.07491359</v>
      </c>
      <c r="Q9" s="18" t="n">
        <v>0.31482949</v>
      </c>
      <c r="R9" s="20" t="n">
        <v>0.11528206</v>
      </c>
      <c r="S9" s="18" t="n">
        <v>0</v>
      </c>
      <c r="T9" s="20" t="n">
        <v>0</v>
      </c>
      <c r="U9" s="18" t="n">
        <v>0</v>
      </c>
      <c r="V9" s="20" t="n">
        <v>0</v>
      </c>
    </row>
    <row r="10" spans="1:22">
      <c r="A10" s="15" t="s">
        <v>568</v>
      </c>
      <c r="B10" s="17" t="n">
        <v>20058</v>
      </c>
      <c r="C10" s="18">
        <f>(15712.0/B10*100)</f>
        <v/>
      </c>
      <c r="D10" s="19" t="n">
        <v>4346</v>
      </c>
      <c r="E10" s="18" t="n">
        <v>38.2580144</v>
      </c>
      <c r="F10" s="20" t="n">
        <v>1.00506479</v>
      </c>
      <c r="G10" s="18" t="n">
        <v>23.99101737</v>
      </c>
      <c r="H10" s="20" t="n">
        <v>0.80115205</v>
      </c>
      <c r="I10" s="18" t="n">
        <v>5.50262384</v>
      </c>
      <c r="J10" s="20" t="n">
        <v>0.46996789</v>
      </c>
      <c r="K10" s="18" t="n">
        <v>23.08331797</v>
      </c>
      <c r="L10" s="20" t="n">
        <v>1.09228424</v>
      </c>
      <c r="M10" s="18" t="n">
        <v>0</v>
      </c>
      <c r="N10" s="20" t="n">
        <v>0</v>
      </c>
      <c r="O10" s="18" t="n">
        <v>9.16314229</v>
      </c>
      <c r="P10" s="20" t="n">
        <v>0.74626218</v>
      </c>
      <c r="Q10" s="18" t="n">
        <v>0.00188413</v>
      </c>
      <c r="R10" s="20" t="n">
        <v>0.00193106</v>
      </c>
      <c r="S10" s="18" t="n">
        <v>0</v>
      </c>
      <c r="T10" s="20" t="n">
        <v>0</v>
      </c>
      <c r="U10" s="18" t="n">
        <v>0</v>
      </c>
      <c r="V10" s="20" t="n">
        <v>0</v>
      </c>
    </row>
    <row r="11" spans="1:22">
      <c r="A11" s="15" t="s">
        <v>569</v>
      </c>
      <c r="B11" s="17" t="n">
        <v>7053</v>
      </c>
      <c r="C11" s="18">
        <f>(5653.0/B11*100)</f>
        <v/>
      </c>
      <c r="D11" s="19" t="n">
        <v>1400</v>
      </c>
      <c r="E11" s="18" t="n">
        <v>40.94176343</v>
      </c>
      <c r="F11" s="20" t="n">
        <v>1.49421794</v>
      </c>
      <c r="G11" s="18" t="n">
        <v>10.02020814</v>
      </c>
      <c r="H11" s="20" t="n">
        <v>0.9941207</v>
      </c>
      <c r="I11" s="18" t="n">
        <v>9.84919798</v>
      </c>
      <c r="J11" s="20" t="n">
        <v>0.82660456</v>
      </c>
      <c r="K11" s="18" t="n">
        <v>8.340319859999999</v>
      </c>
      <c r="L11" s="20" t="n">
        <v>0.87925304</v>
      </c>
      <c r="M11" s="18" t="n">
        <v>0</v>
      </c>
      <c r="N11" s="20" t="n">
        <v>0</v>
      </c>
      <c r="O11" s="18" t="n">
        <v>30.81754226</v>
      </c>
      <c r="P11" s="20" t="n">
        <v>1.45491709</v>
      </c>
      <c r="Q11" s="18" t="n">
        <v>0.03096835</v>
      </c>
      <c r="R11" s="20" t="n">
        <v>0.03379657</v>
      </c>
      <c r="S11" s="18" t="n">
        <v>0</v>
      </c>
      <c r="T11" s="20" t="n">
        <v>0</v>
      </c>
      <c r="U11" s="18" t="n">
        <v>0</v>
      </c>
      <c r="V11" s="20" t="n">
        <v>0</v>
      </c>
    </row>
    <row r="12" spans="1:22">
      <c r="A12" s="15" t="s">
        <v>570</v>
      </c>
      <c r="B12" s="17" t="n">
        <v>6894</v>
      </c>
      <c r="C12" s="18">
        <f>(5407.0/B12*100)</f>
        <v/>
      </c>
      <c r="D12" s="19" t="n">
        <v>1487</v>
      </c>
      <c r="E12" s="18" t="n">
        <v>27.76393492</v>
      </c>
      <c r="F12" s="20" t="n">
        <v>1.45580621</v>
      </c>
      <c r="G12" s="18" t="n">
        <v>4.42539954</v>
      </c>
      <c r="H12" s="20" t="n">
        <v>0.57923158</v>
      </c>
      <c r="I12" s="18" t="n">
        <v>19.30382353</v>
      </c>
      <c r="J12" s="20" t="n">
        <v>1.26658042</v>
      </c>
      <c r="K12" s="18" t="n">
        <v>16.82619447</v>
      </c>
      <c r="L12" s="20" t="n">
        <v>1.02808892</v>
      </c>
      <c r="M12" s="18" t="n">
        <v>0</v>
      </c>
      <c r="N12" s="20" t="n">
        <v>0</v>
      </c>
      <c r="O12" s="18" t="n">
        <v>31.61549058</v>
      </c>
      <c r="P12" s="20" t="n">
        <v>1.46863393</v>
      </c>
      <c r="Q12" s="18" t="n">
        <v>0.06515696</v>
      </c>
      <c r="R12" s="20" t="n">
        <v>0.05867077</v>
      </c>
      <c r="S12" s="18" t="n">
        <v>0</v>
      </c>
      <c r="T12" s="20" t="n">
        <v>0</v>
      </c>
      <c r="U12" s="18" t="n">
        <v>0</v>
      </c>
      <c r="V12" s="20" t="n">
        <v>0</v>
      </c>
    </row>
    <row r="13" spans="1:22">
      <c r="A13" s="15" t="s">
        <v>571</v>
      </c>
      <c r="B13" s="17" t="n">
        <v>7161</v>
      </c>
      <c r="C13" s="18">
        <f>(5665.0/B13*100)</f>
        <v/>
      </c>
      <c r="D13" s="19" t="n">
        <v>1496</v>
      </c>
      <c r="E13" s="18" t="n">
        <v>40.33076732</v>
      </c>
      <c r="F13" s="20" t="n">
        <v>1.6297682</v>
      </c>
      <c r="G13" s="18" t="n">
        <v>24.35663295</v>
      </c>
      <c r="H13" s="20" t="n">
        <v>1.31709982</v>
      </c>
      <c r="I13" s="18" t="n">
        <v>4.15598665</v>
      </c>
      <c r="J13" s="20" t="n">
        <v>0.66000982</v>
      </c>
      <c r="K13" s="18" t="n">
        <v>12.46541029</v>
      </c>
      <c r="L13" s="20" t="n">
        <v>1.14670656</v>
      </c>
      <c r="M13" s="18" t="n">
        <v>0</v>
      </c>
      <c r="N13" s="20" t="n">
        <v>0</v>
      </c>
      <c r="O13" s="18" t="n">
        <v>18.67217572</v>
      </c>
      <c r="P13" s="20" t="n">
        <v>1.19307764</v>
      </c>
      <c r="Q13" s="18" t="n">
        <v>0.01902707</v>
      </c>
      <c r="R13" s="20" t="n">
        <v>0.02042959</v>
      </c>
      <c r="S13" s="18" t="n">
        <v>0</v>
      </c>
      <c r="T13" s="20" t="n">
        <v>0</v>
      </c>
      <c r="U13" s="18" t="n">
        <v>0</v>
      </c>
      <c r="V13" s="20" t="n">
        <v>0</v>
      </c>
    </row>
    <row r="14" spans="1:22">
      <c r="A14" s="15" t="s">
        <v>572</v>
      </c>
      <c r="B14" s="17" t="n">
        <v>5587</v>
      </c>
      <c r="C14" s="18">
        <f>(4421.0/B14*100)</f>
        <v/>
      </c>
      <c r="D14" s="19" t="n">
        <v>1166</v>
      </c>
      <c r="E14" s="18" t="n">
        <v>23.50358226</v>
      </c>
      <c r="F14" s="20" t="n">
        <v>1.62616742</v>
      </c>
      <c r="G14" s="18" t="n">
        <v>15.64939788</v>
      </c>
      <c r="H14" s="20" t="n">
        <v>1.00679626</v>
      </c>
      <c r="I14" s="18" t="n">
        <v>8.084983039999999</v>
      </c>
      <c r="J14" s="20" t="n">
        <v>0.89050582</v>
      </c>
      <c r="K14" s="18" t="n">
        <v>39.37387093</v>
      </c>
      <c r="L14" s="20" t="n">
        <v>1.7090838</v>
      </c>
      <c r="M14" s="18" t="n">
        <v>0</v>
      </c>
      <c r="N14" s="20" t="n">
        <v>0</v>
      </c>
      <c r="O14" s="18" t="n">
        <v>13.3881659</v>
      </c>
      <c r="P14" s="20" t="n">
        <v>1.02268445</v>
      </c>
      <c r="Q14" s="18" t="n">
        <v>0</v>
      </c>
      <c r="R14" s="20" t="n">
        <v>0</v>
      </c>
      <c r="S14" s="18" t="n">
        <v>0</v>
      </c>
      <c r="T14" s="20" t="n">
        <v>0</v>
      </c>
      <c r="U14" s="18" t="n">
        <v>0</v>
      </c>
      <c r="V14" s="20" t="n">
        <v>0</v>
      </c>
    </row>
    <row r="15" spans="1:22">
      <c r="A15" s="15" t="s">
        <v>573</v>
      </c>
      <c r="B15" s="17" t="n">
        <v>5882</v>
      </c>
      <c r="C15" s="18">
        <f>(4651.0/B15*100)</f>
        <v/>
      </c>
      <c r="D15" s="19" t="n">
        <v>1231</v>
      </c>
      <c r="E15" s="18" t="n">
        <v>42.93494964</v>
      </c>
      <c r="F15" s="20" t="n">
        <v>1.32321629</v>
      </c>
      <c r="G15" s="18" t="n">
        <v>10.29286308</v>
      </c>
      <c r="H15" s="20" t="n">
        <v>0.85501676</v>
      </c>
      <c r="I15" s="18" t="n">
        <v>16.83673711</v>
      </c>
      <c r="J15" s="20" t="n">
        <v>1.11854433</v>
      </c>
      <c r="K15" s="18" t="n">
        <v>13.80514266</v>
      </c>
      <c r="L15" s="20" t="n">
        <v>1.08885389</v>
      </c>
      <c r="M15" s="18" t="n">
        <v>0</v>
      </c>
      <c r="N15" s="20" t="n">
        <v>0</v>
      </c>
      <c r="O15" s="18" t="n">
        <v>16.13030751</v>
      </c>
      <c r="P15" s="20" t="n">
        <v>1.31761329</v>
      </c>
      <c r="Q15" s="18" t="n">
        <v>0</v>
      </c>
      <c r="R15" s="20" t="n">
        <v>0</v>
      </c>
      <c r="S15" s="18" t="n">
        <v>0</v>
      </c>
      <c r="T15" s="20" t="n">
        <v>0</v>
      </c>
      <c r="U15" s="18" t="n">
        <v>0</v>
      </c>
      <c r="V15" s="20" t="n">
        <v>0</v>
      </c>
    </row>
    <row r="16" spans="1:22">
      <c r="A16" s="15" t="s">
        <v>574</v>
      </c>
      <c r="B16" s="17" t="n">
        <v>6108</v>
      </c>
      <c r="C16" s="18">
        <f>(4862.0/B16*100)</f>
        <v/>
      </c>
      <c r="D16" s="19" t="n">
        <v>1246</v>
      </c>
      <c r="E16" s="18" t="n">
        <v>42.05767591</v>
      </c>
      <c r="F16" s="20" t="n">
        <v>1.4960459</v>
      </c>
      <c r="G16" s="18" t="n">
        <v>14.44075401</v>
      </c>
      <c r="H16" s="20" t="n">
        <v>0.9259957599999999</v>
      </c>
      <c r="I16" s="18" t="n">
        <v>6.07209971</v>
      </c>
      <c r="J16" s="20" t="n">
        <v>0.65951606</v>
      </c>
      <c r="K16" s="18" t="n">
        <v>5.91879799</v>
      </c>
      <c r="L16" s="20" t="n">
        <v>0.67550629</v>
      </c>
      <c r="M16" s="18" t="n">
        <v>0</v>
      </c>
      <c r="N16" s="20" t="n">
        <v>0</v>
      </c>
      <c r="O16" s="18" t="n">
        <v>31.36286029</v>
      </c>
      <c r="P16" s="20" t="n">
        <v>1.39590324</v>
      </c>
      <c r="Q16" s="18" t="n">
        <v>0.14781209</v>
      </c>
      <c r="R16" s="20" t="n">
        <v>0.10789321</v>
      </c>
      <c r="S16" s="18" t="n">
        <v>0</v>
      </c>
      <c r="T16" s="20" t="n">
        <v>0</v>
      </c>
      <c r="U16" s="18" t="n">
        <v>0</v>
      </c>
      <c r="V16" s="20" t="n">
        <v>0</v>
      </c>
    </row>
    <row r="17" spans="1:22">
      <c r="A17" s="15" t="s">
        <v>575</v>
      </c>
      <c r="B17" s="17" t="n">
        <v>6504</v>
      </c>
      <c r="C17" s="18">
        <f>(5128.0/B17*100)</f>
        <v/>
      </c>
      <c r="D17" s="19" t="n">
        <v>1376</v>
      </c>
      <c r="E17" s="18" t="n">
        <v>31.95220978</v>
      </c>
      <c r="F17" s="20" t="n">
        <v>1.32089014</v>
      </c>
      <c r="G17" s="18" t="n">
        <v>8.44175592</v>
      </c>
      <c r="H17" s="20" t="n">
        <v>0.8070264700000001</v>
      </c>
      <c r="I17" s="18" t="n">
        <v>14.7865038</v>
      </c>
      <c r="J17" s="20" t="n">
        <v>0.88937554</v>
      </c>
      <c r="K17" s="18" t="n">
        <v>14.24733474</v>
      </c>
      <c r="L17" s="20" t="n">
        <v>1.14212322</v>
      </c>
      <c r="M17" s="18" t="n">
        <v>0</v>
      </c>
      <c r="N17" s="20" t="n">
        <v>0</v>
      </c>
      <c r="O17" s="18" t="n">
        <v>30.57219575</v>
      </c>
      <c r="P17" s="20" t="n">
        <v>1.44537317</v>
      </c>
      <c r="Q17" s="18" t="n">
        <v>0</v>
      </c>
      <c r="R17" s="20" t="n">
        <v>0</v>
      </c>
      <c r="S17" s="18" t="n">
        <v>0</v>
      </c>
      <c r="T17" s="20" t="n">
        <v>0</v>
      </c>
      <c r="U17" s="18" t="n">
        <v>0</v>
      </c>
      <c r="V17" s="20" t="n">
        <v>0</v>
      </c>
    </row>
    <row r="18" spans="1:22">
      <c r="A18" s="15" t="s">
        <v>576</v>
      </c>
      <c r="B18" s="17" t="n">
        <v>5532</v>
      </c>
      <c r="C18" s="18">
        <f>(4341.0/B18*100)</f>
        <v/>
      </c>
      <c r="D18" s="19" t="n">
        <v>1191</v>
      </c>
      <c r="E18" s="18" t="n">
        <v>41.2755157</v>
      </c>
      <c r="F18" s="20" t="n">
        <v>1.44910753</v>
      </c>
      <c r="G18" s="18" t="n">
        <v>20.32395106</v>
      </c>
      <c r="H18" s="20" t="n">
        <v>1.13412552</v>
      </c>
      <c r="I18" s="18" t="n">
        <v>4.18231005</v>
      </c>
      <c r="J18" s="20" t="n">
        <v>0.56852227</v>
      </c>
      <c r="K18" s="18" t="n">
        <v>7.24760787</v>
      </c>
      <c r="L18" s="20" t="n">
        <v>0.70960468</v>
      </c>
      <c r="M18" s="18" t="n">
        <v>0</v>
      </c>
      <c r="N18" s="20" t="n">
        <v>0</v>
      </c>
      <c r="O18" s="18" t="n">
        <v>26.97061532</v>
      </c>
      <c r="P18" s="20" t="n">
        <v>1.74306774</v>
      </c>
      <c r="Q18" s="18" t="n">
        <v>0</v>
      </c>
      <c r="R18" s="20" t="n">
        <v>0</v>
      </c>
      <c r="S18" s="18" t="n">
        <v>0</v>
      </c>
      <c r="T18" s="20" t="n">
        <v>0</v>
      </c>
      <c r="U18" s="18" t="n">
        <v>0</v>
      </c>
      <c r="V18" s="20" t="n">
        <v>0</v>
      </c>
    </row>
    <row r="19" spans="1:22">
      <c r="A19" s="15" t="s">
        <v>577</v>
      </c>
      <c r="B19" s="17" t="n">
        <v>5658</v>
      </c>
      <c r="C19" s="18">
        <f>(4460.0/B19*100)</f>
        <v/>
      </c>
      <c r="D19" s="19" t="n">
        <v>1198</v>
      </c>
      <c r="E19" s="18" t="n">
        <v>42.92426221</v>
      </c>
      <c r="F19" s="20" t="n">
        <v>1.64382878</v>
      </c>
      <c r="G19" s="18" t="n">
        <v>19.30015857</v>
      </c>
      <c r="H19" s="20" t="n">
        <v>1.22611259</v>
      </c>
      <c r="I19" s="18" t="n">
        <v>3.39863676</v>
      </c>
      <c r="J19" s="20" t="n">
        <v>0.54575376</v>
      </c>
      <c r="K19" s="18" t="n">
        <v>6.7302357</v>
      </c>
      <c r="L19" s="20" t="n">
        <v>0.69844192</v>
      </c>
      <c r="M19" s="18" t="n">
        <v>0</v>
      </c>
      <c r="N19" s="20" t="n">
        <v>0</v>
      </c>
      <c r="O19" s="18" t="n">
        <v>27.64670676</v>
      </c>
      <c r="P19" s="20" t="n">
        <v>1.37494822</v>
      </c>
      <c r="Q19" s="18" t="n">
        <v>0</v>
      </c>
      <c r="R19" s="20" t="n">
        <v>0</v>
      </c>
      <c r="S19" s="18" t="n">
        <v>0</v>
      </c>
      <c r="T19" s="20" t="n">
        <v>0</v>
      </c>
      <c r="U19" s="18" t="n">
        <v>0</v>
      </c>
      <c r="V19" s="20" t="n">
        <v>0</v>
      </c>
    </row>
    <row r="20" spans="1:22">
      <c r="A20" s="15" t="s">
        <v>578</v>
      </c>
      <c r="B20" s="17" t="n">
        <v>3371</v>
      </c>
      <c r="C20" s="18">
        <f>(2656.0/B20*100)</f>
        <v/>
      </c>
      <c r="D20" s="19" t="n">
        <v>715</v>
      </c>
      <c r="E20" s="18" t="n">
        <v>47.66574181</v>
      </c>
      <c r="F20" s="20" t="n">
        <v>2.06356645</v>
      </c>
      <c r="G20" s="18" t="n">
        <v>14.2057023</v>
      </c>
      <c r="H20" s="20" t="n">
        <v>1.28256465</v>
      </c>
      <c r="I20" s="18" t="n">
        <v>5.38794485</v>
      </c>
      <c r="J20" s="20" t="n">
        <v>0.80769249</v>
      </c>
      <c r="K20" s="18" t="n">
        <v>7.68560235</v>
      </c>
      <c r="L20" s="20" t="n">
        <v>0.96752978</v>
      </c>
      <c r="M20" s="18" t="n">
        <v>0</v>
      </c>
      <c r="N20" s="20" t="n">
        <v>0</v>
      </c>
      <c r="O20" s="18" t="n">
        <v>24.83859214</v>
      </c>
      <c r="P20" s="20" t="n">
        <v>1.51403547</v>
      </c>
      <c r="Q20" s="18" t="n">
        <v>0.21641654</v>
      </c>
      <c r="R20" s="20" t="n">
        <v>0.22035186</v>
      </c>
      <c r="S20" s="18" t="n">
        <v>0</v>
      </c>
      <c r="T20" s="20" t="n">
        <v>0</v>
      </c>
      <c r="U20" s="18" t="n">
        <v>0</v>
      </c>
      <c r="V20" s="20" t="n">
        <v>0</v>
      </c>
    </row>
    <row r="21" spans="1:22">
      <c r="A21" s="15" t="s">
        <v>579</v>
      </c>
      <c r="B21" s="17" t="n">
        <v>5741</v>
      </c>
      <c r="C21" s="18">
        <f>(4479.0/B21*100)</f>
        <v/>
      </c>
      <c r="D21" s="19" t="n">
        <v>1262</v>
      </c>
      <c r="E21" s="18" t="n">
        <v>41.85395646</v>
      </c>
      <c r="F21" s="20" t="n">
        <v>1.4958544</v>
      </c>
      <c r="G21" s="18" t="n">
        <v>16.65857776</v>
      </c>
      <c r="H21" s="20" t="n">
        <v>1.02007377</v>
      </c>
      <c r="I21" s="18" t="n">
        <v>8.055970520000001</v>
      </c>
      <c r="J21" s="20" t="n">
        <v>0.76895998</v>
      </c>
      <c r="K21" s="18" t="n">
        <v>15.72307835</v>
      </c>
      <c r="L21" s="20" t="n">
        <v>0.97560034</v>
      </c>
      <c r="M21" s="18" t="n">
        <v>0</v>
      </c>
      <c r="N21" s="20" t="n">
        <v>0</v>
      </c>
      <c r="O21" s="18" t="n">
        <v>17.70841691</v>
      </c>
      <c r="P21" s="20" t="n">
        <v>1.07623809</v>
      </c>
      <c r="Q21" s="18" t="n">
        <v>0</v>
      </c>
      <c r="R21" s="20" t="n">
        <v>0</v>
      </c>
      <c r="S21" s="18" t="n">
        <v>0</v>
      </c>
      <c r="T21" s="20" t="n">
        <v>0</v>
      </c>
      <c r="U21" s="18" t="n">
        <v>0</v>
      </c>
      <c r="V21" s="20" t="n">
        <v>0</v>
      </c>
    </row>
    <row r="22" spans="1:22">
      <c r="A22" s="15" t="s">
        <v>580</v>
      </c>
      <c r="B22" s="17" t="n">
        <v>6598</v>
      </c>
      <c r="C22" s="18">
        <f>(5182.0/B22*100)</f>
        <v/>
      </c>
      <c r="D22" s="19" t="n">
        <v>1416</v>
      </c>
      <c r="E22" s="18" t="n">
        <v>44.21083518</v>
      </c>
      <c r="F22" s="20" t="n">
        <v>1.37931498</v>
      </c>
      <c r="G22" s="18" t="n">
        <v>16.25321637</v>
      </c>
      <c r="H22" s="20" t="n">
        <v>1.01870686</v>
      </c>
      <c r="I22" s="18" t="n">
        <v>4.13868862</v>
      </c>
      <c r="J22" s="20" t="n">
        <v>0.52578053</v>
      </c>
      <c r="K22" s="18" t="n">
        <v>8.6865264</v>
      </c>
      <c r="L22" s="20" t="n">
        <v>0.80200604</v>
      </c>
      <c r="M22" s="18" t="n">
        <v>0</v>
      </c>
      <c r="N22" s="20" t="n">
        <v>0</v>
      </c>
      <c r="O22" s="18" t="n">
        <v>26.71073343</v>
      </c>
      <c r="P22" s="20" t="n">
        <v>1.41453614</v>
      </c>
      <c r="Q22" s="18" t="n">
        <v>0</v>
      </c>
      <c r="R22" s="20" t="n">
        <v>0</v>
      </c>
      <c r="S22" s="18" t="n">
        <v>0</v>
      </c>
      <c r="T22" s="20" t="n">
        <v>0</v>
      </c>
      <c r="U22" s="18" t="n">
        <v>0</v>
      </c>
      <c r="V22" s="20" t="n">
        <v>0</v>
      </c>
    </row>
    <row r="23" spans="1:22">
      <c r="A23" s="15" t="s">
        <v>581</v>
      </c>
      <c r="B23" s="17" t="n">
        <v>11583</v>
      </c>
      <c r="C23" s="18">
        <f>(9065.0/B23*100)</f>
        <v/>
      </c>
      <c r="D23" s="19" t="n">
        <v>2518</v>
      </c>
      <c r="E23" s="18" t="n">
        <v>51.29494743</v>
      </c>
      <c r="F23" s="20" t="n">
        <v>1.60653401</v>
      </c>
      <c r="G23" s="18" t="n">
        <v>8.489576700000001</v>
      </c>
      <c r="H23" s="20" t="n">
        <v>0.79602186</v>
      </c>
      <c r="I23" s="18" t="n">
        <v>5.42103928</v>
      </c>
      <c r="J23" s="20" t="n">
        <v>0.51903605</v>
      </c>
      <c r="K23" s="18" t="n">
        <v>3.53881577</v>
      </c>
      <c r="L23" s="20" t="n">
        <v>0.39250229</v>
      </c>
      <c r="M23" s="18" t="n">
        <v>0</v>
      </c>
      <c r="N23" s="20" t="n">
        <v>0</v>
      </c>
      <c r="O23" s="18" t="n">
        <v>31.15535745</v>
      </c>
      <c r="P23" s="20" t="n">
        <v>1.52534835</v>
      </c>
      <c r="Q23" s="18" t="n">
        <v>0.10026336</v>
      </c>
      <c r="R23" s="20" t="n">
        <v>0.10022003</v>
      </c>
      <c r="S23" s="18" t="n">
        <v>0</v>
      </c>
      <c r="T23" s="20" t="n">
        <v>0</v>
      </c>
      <c r="U23" s="18" t="n">
        <v>0</v>
      </c>
      <c r="V23" s="20" t="n">
        <v>0</v>
      </c>
    </row>
    <row r="24" spans="1:22">
      <c r="A24" s="15" t="s">
        <v>582</v>
      </c>
      <c r="B24" s="17" t="n">
        <v>6647</v>
      </c>
      <c r="C24" s="18">
        <f>(5201.0/B24*100)</f>
        <v/>
      </c>
      <c r="D24" s="19" t="n">
        <v>1446</v>
      </c>
      <c r="E24" s="18" t="n">
        <v>49.41188837</v>
      </c>
      <c r="F24" s="20" t="n">
        <v>1.40099489</v>
      </c>
      <c r="G24" s="18" t="n">
        <v>14.58454006</v>
      </c>
      <c r="H24" s="20" t="n">
        <v>1.08861342</v>
      </c>
      <c r="I24" s="18" t="n">
        <v>12.7976817</v>
      </c>
      <c r="J24" s="20" t="n">
        <v>0.81527416</v>
      </c>
      <c r="K24" s="18" t="n">
        <v>5.88828465</v>
      </c>
      <c r="L24" s="20" t="n">
        <v>0.567542</v>
      </c>
      <c r="M24" s="18" t="n">
        <v>0</v>
      </c>
      <c r="N24" s="20" t="n">
        <v>0</v>
      </c>
      <c r="O24" s="18" t="n">
        <v>17.31760522</v>
      </c>
      <c r="P24" s="20" t="n">
        <v>1.22151094</v>
      </c>
      <c r="Q24" s="18" t="n">
        <v>0</v>
      </c>
      <c r="R24" s="20" t="n">
        <v>0</v>
      </c>
      <c r="S24" s="18" t="n">
        <v>0</v>
      </c>
      <c r="T24" s="20" t="n">
        <v>0</v>
      </c>
      <c r="U24" s="18" t="n">
        <v>0</v>
      </c>
      <c r="V24" s="20" t="n">
        <v>0</v>
      </c>
    </row>
    <row r="25" spans="1:22">
      <c r="A25" s="15" t="s">
        <v>583</v>
      </c>
      <c r="B25" s="17" t="n">
        <v>5581</v>
      </c>
      <c r="C25" s="18">
        <f>(4330.0/B25*100)</f>
        <v/>
      </c>
      <c r="D25" s="19" t="n">
        <v>1251</v>
      </c>
      <c r="E25" s="18" t="n">
        <v>54.95454751</v>
      </c>
      <c r="F25" s="20" t="n">
        <v>1.25480749</v>
      </c>
      <c r="G25" s="18" t="n">
        <v>21.75843979</v>
      </c>
      <c r="H25" s="20" t="n">
        <v>1.33173808</v>
      </c>
      <c r="I25" s="18" t="n">
        <v>3.1099064</v>
      </c>
      <c r="J25" s="20" t="n">
        <v>0.46015094</v>
      </c>
      <c r="K25" s="18" t="n">
        <v>4.34255206</v>
      </c>
      <c r="L25" s="20" t="n">
        <v>0.529177</v>
      </c>
      <c r="M25" s="18" t="n">
        <v>0</v>
      </c>
      <c r="N25" s="20" t="n">
        <v>0</v>
      </c>
      <c r="O25" s="18" t="n">
        <v>15.83455423</v>
      </c>
      <c r="P25" s="20" t="n">
        <v>1.12700427</v>
      </c>
      <c r="Q25" s="18" t="n">
        <v>0</v>
      </c>
      <c r="R25" s="20" t="n">
        <v>0</v>
      </c>
      <c r="S25" s="18" t="n">
        <v>0</v>
      </c>
      <c r="T25" s="20" t="n">
        <v>0</v>
      </c>
      <c r="U25" s="18" t="n">
        <v>0</v>
      </c>
      <c r="V25" s="20" t="n">
        <v>0</v>
      </c>
    </row>
    <row r="26" spans="1:22">
      <c r="A26" s="15" t="s">
        <v>584</v>
      </c>
      <c r="B26" s="17" t="n">
        <v>4869</v>
      </c>
      <c r="C26" s="18">
        <f>(3819.0/B26*100)</f>
        <v/>
      </c>
      <c r="D26" s="19" t="n">
        <v>1050</v>
      </c>
      <c r="E26" s="18" t="n">
        <v>44.8211825</v>
      </c>
      <c r="F26" s="20" t="n">
        <v>1.34168709</v>
      </c>
      <c r="G26" s="18" t="n">
        <v>7.46184695</v>
      </c>
      <c r="H26" s="20" t="n">
        <v>0.86289192</v>
      </c>
      <c r="I26" s="18" t="n">
        <v>9.044506180000001</v>
      </c>
      <c r="J26" s="20" t="n">
        <v>0.80968406</v>
      </c>
      <c r="K26" s="18" t="n">
        <v>17.58530757</v>
      </c>
      <c r="L26" s="20" t="n">
        <v>1.35860179</v>
      </c>
      <c r="M26" s="18" t="n">
        <v>0</v>
      </c>
      <c r="N26" s="20" t="n">
        <v>0</v>
      </c>
      <c r="O26" s="18" t="n">
        <v>20.94453844</v>
      </c>
      <c r="P26" s="20" t="n">
        <v>1.24630054</v>
      </c>
      <c r="Q26" s="18" t="n">
        <v>0.14261836</v>
      </c>
      <c r="R26" s="20" t="n">
        <v>0.10127504</v>
      </c>
      <c r="S26" s="18" t="n">
        <v>0</v>
      </c>
      <c r="T26" s="20" t="n">
        <v>0</v>
      </c>
      <c r="U26" s="18" t="n">
        <v>0</v>
      </c>
      <c r="V26" s="20" t="n">
        <v>0</v>
      </c>
    </row>
    <row r="27" spans="1:22">
      <c r="A27" s="15" t="s">
        <v>585</v>
      </c>
      <c r="B27" s="17" t="n">
        <v>5299</v>
      </c>
      <c r="C27" s="18">
        <f>(4168.0/B27*100)</f>
        <v/>
      </c>
      <c r="D27" s="19" t="n">
        <v>1131</v>
      </c>
      <c r="E27" s="18" t="n">
        <v>35.70466658</v>
      </c>
      <c r="F27" s="20" t="n">
        <v>1.48944567</v>
      </c>
      <c r="G27" s="18" t="n">
        <v>10.02797947</v>
      </c>
      <c r="H27" s="20" t="n">
        <v>0.78352162</v>
      </c>
      <c r="I27" s="18" t="n">
        <v>7.87427455</v>
      </c>
      <c r="J27" s="20" t="n">
        <v>0.80025328</v>
      </c>
      <c r="K27" s="18" t="n">
        <v>11.68262345</v>
      </c>
      <c r="L27" s="20" t="n">
        <v>0.8597173</v>
      </c>
      <c r="M27" s="18" t="n">
        <v>0</v>
      </c>
      <c r="N27" s="20" t="n">
        <v>0</v>
      </c>
      <c r="O27" s="18" t="n">
        <v>34.71045596</v>
      </c>
      <c r="P27" s="20" t="n">
        <v>1.39799317</v>
      </c>
      <c r="Q27" s="18" t="n">
        <v>0</v>
      </c>
      <c r="R27" s="20" t="n">
        <v>0</v>
      </c>
      <c r="S27" s="18" t="n">
        <v>0</v>
      </c>
      <c r="T27" s="20" t="n">
        <v>0</v>
      </c>
      <c r="U27" s="18" t="n">
        <v>0</v>
      </c>
      <c r="V27" s="20" t="n">
        <v>0</v>
      </c>
    </row>
    <row r="28" spans="1:22">
      <c r="A28" s="15" t="s">
        <v>586</v>
      </c>
      <c r="B28" s="17" t="n">
        <v>7568</v>
      </c>
      <c r="C28" s="18">
        <f>(6158.0/B28*100)</f>
        <v/>
      </c>
      <c r="D28" s="19" t="n">
        <v>1410</v>
      </c>
      <c r="E28" s="18" t="n">
        <v>69.55234471</v>
      </c>
      <c r="F28" s="20" t="n">
        <v>1.54174539</v>
      </c>
      <c r="G28" s="18" t="n">
        <v>9.387378229999999</v>
      </c>
      <c r="H28" s="20" t="n">
        <v>0.7727509299999999</v>
      </c>
      <c r="I28" s="18" t="n">
        <v>7.55011576</v>
      </c>
      <c r="J28" s="20" t="n">
        <v>0.8517183699999999</v>
      </c>
      <c r="K28" s="18" t="n">
        <v>2.13631517</v>
      </c>
      <c r="L28" s="20" t="n">
        <v>0.42102592</v>
      </c>
      <c r="M28" s="18" t="n">
        <v>0</v>
      </c>
      <c r="N28" s="20" t="n">
        <v>0</v>
      </c>
      <c r="O28" s="18" t="n">
        <v>11.19262761</v>
      </c>
      <c r="P28" s="20" t="n">
        <v>1.16888478</v>
      </c>
      <c r="Q28" s="18" t="n">
        <v>0.18121851</v>
      </c>
      <c r="R28" s="20" t="n">
        <v>0.13694982</v>
      </c>
      <c r="S28" s="18" t="n">
        <v>0</v>
      </c>
      <c r="T28" s="20" t="n">
        <v>0</v>
      </c>
      <c r="U28" s="18" t="n">
        <v>0</v>
      </c>
      <c r="V28" s="20" t="n">
        <v>0</v>
      </c>
    </row>
    <row r="29" spans="1:22">
      <c r="A29" s="15" t="s">
        <v>587</v>
      </c>
      <c r="B29" s="17" t="n">
        <v>5385</v>
      </c>
      <c r="C29" s="18">
        <f>(4224.0/B29*100)</f>
        <v/>
      </c>
      <c r="D29" s="19" t="n">
        <v>1161</v>
      </c>
      <c r="E29" s="18" t="n">
        <v>56.22827901</v>
      </c>
      <c r="F29" s="20" t="n">
        <v>1.40150412</v>
      </c>
      <c r="G29" s="18" t="n">
        <v>8.770576070000001</v>
      </c>
      <c r="H29" s="20" t="n">
        <v>0.75318841</v>
      </c>
      <c r="I29" s="18" t="n">
        <v>12.03738237</v>
      </c>
      <c r="J29" s="20" t="n">
        <v>1.01068375</v>
      </c>
      <c r="K29" s="18" t="n">
        <v>8.326457319999999</v>
      </c>
      <c r="L29" s="20" t="n">
        <v>0.7695895699999999</v>
      </c>
      <c r="M29" s="18" t="n">
        <v>0</v>
      </c>
      <c r="N29" s="20" t="n">
        <v>0</v>
      </c>
      <c r="O29" s="18" t="n">
        <v>14.63730523</v>
      </c>
      <c r="P29" s="20" t="n">
        <v>1.26256037</v>
      </c>
      <c r="Q29" s="18" t="n">
        <v>0</v>
      </c>
      <c r="R29" s="20" t="n">
        <v>0</v>
      </c>
      <c r="S29" s="18" t="n">
        <v>0</v>
      </c>
      <c r="T29" s="20" t="n">
        <v>0</v>
      </c>
      <c r="U29" s="18" t="n">
        <v>0</v>
      </c>
      <c r="V29" s="20" t="n">
        <v>0</v>
      </c>
    </row>
    <row r="30" spans="1:22">
      <c r="A30" s="15" t="s">
        <v>588</v>
      </c>
      <c r="B30" s="17" t="n">
        <v>4520</v>
      </c>
      <c r="C30" s="18">
        <f>(3611.0/B30*100)</f>
        <v/>
      </c>
      <c r="D30" s="19" t="n">
        <v>909</v>
      </c>
      <c r="E30" s="18" t="n">
        <v>32.08616605</v>
      </c>
      <c r="F30" s="20" t="n">
        <v>1.53203849</v>
      </c>
      <c r="G30" s="18" t="n">
        <v>11.41333839</v>
      </c>
      <c r="H30" s="20" t="n">
        <v>1.06236989</v>
      </c>
      <c r="I30" s="18" t="n">
        <v>15.90910611</v>
      </c>
      <c r="J30" s="20" t="n">
        <v>1.39186212</v>
      </c>
      <c r="K30" s="18" t="n">
        <v>20.0375461</v>
      </c>
      <c r="L30" s="20" t="n">
        <v>1.26592264</v>
      </c>
      <c r="M30" s="18" t="n">
        <v>0</v>
      </c>
      <c r="N30" s="20" t="n">
        <v>0</v>
      </c>
      <c r="O30" s="18" t="n">
        <v>20.55384335</v>
      </c>
      <c r="P30" s="20" t="n">
        <v>1.44643888</v>
      </c>
      <c r="Q30" s="18" t="n">
        <v>0</v>
      </c>
      <c r="R30" s="20" t="n">
        <v>0</v>
      </c>
      <c r="S30" s="18" t="n">
        <v>0</v>
      </c>
      <c r="T30" s="20" t="n">
        <v>0</v>
      </c>
      <c r="U30" s="18" t="n">
        <v>0</v>
      </c>
      <c r="V30" s="20" t="n">
        <v>0</v>
      </c>
    </row>
    <row r="31" spans="1:22">
      <c r="A31" s="15" t="s">
        <v>589</v>
      </c>
      <c r="B31" s="17" t="n">
        <v>5456</v>
      </c>
      <c r="C31" s="18">
        <f>(4316.0/B31*100)</f>
        <v/>
      </c>
      <c r="D31" s="19" t="n">
        <v>1140</v>
      </c>
      <c r="E31" s="18" t="n">
        <v>33.0496091</v>
      </c>
      <c r="F31" s="20" t="n">
        <v>1.40383604</v>
      </c>
      <c r="G31" s="18" t="n">
        <v>10.83384065</v>
      </c>
      <c r="H31" s="20" t="n">
        <v>1.09511014</v>
      </c>
      <c r="I31" s="18" t="n">
        <v>11.64389729</v>
      </c>
      <c r="J31" s="20" t="n">
        <v>0.90226363</v>
      </c>
      <c r="K31" s="18" t="n">
        <v>16.48996183</v>
      </c>
      <c r="L31" s="20" t="n">
        <v>1.26188925</v>
      </c>
      <c r="M31" s="18" t="n">
        <v>0</v>
      </c>
      <c r="N31" s="20" t="n">
        <v>0</v>
      </c>
      <c r="O31" s="18" t="n">
        <v>27.90868379</v>
      </c>
      <c r="P31" s="20" t="n">
        <v>1.3141327</v>
      </c>
      <c r="Q31" s="18" t="n">
        <v>0.07400734</v>
      </c>
      <c r="R31" s="20" t="n">
        <v>0.08726519000000001</v>
      </c>
      <c r="S31" s="18" t="n">
        <v>0</v>
      </c>
      <c r="T31" s="20" t="n">
        <v>0</v>
      </c>
      <c r="U31" s="18" t="n">
        <v>0</v>
      </c>
      <c r="V31" s="20" t="n">
        <v>0</v>
      </c>
    </row>
    <row r="32" spans="1:22">
      <c r="A32" s="15" t="s">
        <v>590</v>
      </c>
      <c r="B32" s="17" t="n">
        <v>4478</v>
      </c>
      <c r="C32" s="18">
        <f>(3534.0/B32*100)</f>
        <v/>
      </c>
      <c r="D32" s="19" t="n">
        <v>944</v>
      </c>
      <c r="E32" s="18" t="n">
        <v>31.93026932</v>
      </c>
      <c r="F32" s="20" t="n">
        <v>1.44388961</v>
      </c>
      <c r="G32" s="18" t="n">
        <v>9.9539571</v>
      </c>
      <c r="H32" s="20" t="n">
        <v>0.9842407399999999</v>
      </c>
      <c r="I32" s="18" t="n">
        <v>11.75851988</v>
      </c>
      <c r="J32" s="20" t="n">
        <v>1.0400181</v>
      </c>
      <c r="K32" s="18" t="n">
        <v>19.89339264</v>
      </c>
      <c r="L32" s="20" t="n">
        <v>1.54740532</v>
      </c>
      <c r="M32" s="18" t="n">
        <v>0</v>
      </c>
      <c r="N32" s="20" t="n">
        <v>0</v>
      </c>
      <c r="O32" s="18" t="n">
        <v>26.46386106</v>
      </c>
      <c r="P32" s="20" t="n">
        <v>1.61929875</v>
      </c>
      <c r="Q32" s="18" t="n">
        <v>0</v>
      </c>
      <c r="R32" s="20" t="n">
        <v>0</v>
      </c>
      <c r="S32" s="18" t="n">
        <v>0</v>
      </c>
      <c r="T32" s="20" t="n">
        <v>0</v>
      </c>
      <c r="U32" s="18" t="n">
        <v>0</v>
      </c>
      <c r="V32" s="20" t="n">
        <v>0</v>
      </c>
    </row>
    <row r="33" spans="1:22">
      <c r="A33" s="15" t="s">
        <v>591</v>
      </c>
      <c r="B33" s="17" t="n">
        <v>7325</v>
      </c>
      <c r="C33" s="18">
        <f>(5917.0/B33*100)</f>
        <v/>
      </c>
      <c r="D33" s="19" t="n">
        <v>1408</v>
      </c>
      <c r="E33" s="18" t="n">
        <v>47.18818105</v>
      </c>
      <c r="F33" s="20" t="n">
        <v>1.79657257</v>
      </c>
      <c r="G33" s="18" t="n">
        <v>11.51513528</v>
      </c>
      <c r="H33" s="20" t="n">
        <v>1.24056314</v>
      </c>
      <c r="I33" s="18" t="n">
        <v>8.204025290000001</v>
      </c>
      <c r="J33" s="20" t="n">
        <v>0.8738644</v>
      </c>
      <c r="K33" s="18" t="n">
        <v>10.65304641</v>
      </c>
      <c r="L33" s="20" t="n">
        <v>1.05757765</v>
      </c>
      <c r="M33" s="18" t="n">
        <v>0</v>
      </c>
      <c r="N33" s="20" t="n">
        <v>0</v>
      </c>
      <c r="O33" s="18" t="n">
        <v>22.43961196</v>
      </c>
      <c r="P33" s="20" t="n">
        <v>1.63631331</v>
      </c>
      <c r="Q33" s="18" t="n">
        <v>0</v>
      </c>
      <c r="R33" s="20" t="n">
        <v>0</v>
      </c>
      <c r="S33" s="18" t="n">
        <v>0</v>
      </c>
      <c r="T33" s="20" t="n">
        <v>0</v>
      </c>
      <c r="U33" s="18" t="n">
        <v>0</v>
      </c>
      <c r="V33" s="20" t="n">
        <v>0</v>
      </c>
    </row>
    <row r="34" spans="1:22">
      <c r="A34" s="15" t="s">
        <v>592</v>
      </c>
      <c r="B34" s="17" t="n">
        <v>6350</v>
      </c>
      <c r="C34" s="18">
        <f>(5046.0/B34*100)</f>
        <v/>
      </c>
      <c r="D34" s="19" t="n">
        <v>1304</v>
      </c>
      <c r="E34" s="18" t="n">
        <v>40.26754647</v>
      </c>
      <c r="F34" s="20" t="n">
        <v>1.41244229</v>
      </c>
      <c r="G34" s="18" t="n">
        <v>4.96957829</v>
      </c>
      <c r="H34" s="20" t="n">
        <v>0.7507587</v>
      </c>
      <c r="I34" s="18" t="n">
        <v>13.17386763</v>
      </c>
      <c r="J34" s="20" t="n">
        <v>1.07663653</v>
      </c>
      <c r="K34" s="18" t="n">
        <v>10.09099117</v>
      </c>
      <c r="L34" s="20" t="n">
        <v>1.00281026</v>
      </c>
      <c r="M34" s="18" t="n">
        <v>0</v>
      </c>
      <c r="N34" s="20" t="n">
        <v>0</v>
      </c>
      <c r="O34" s="18" t="n">
        <v>31.19842309</v>
      </c>
      <c r="P34" s="20" t="n">
        <v>1.49937288</v>
      </c>
      <c r="Q34" s="18" t="n">
        <v>0.29959336</v>
      </c>
      <c r="R34" s="20" t="n">
        <v>0.17424778</v>
      </c>
      <c r="S34" s="18" t="n">
        <v>0</v>
      </c>
      <c r="T34" s="20" t="n">
        <v>0</v>
      </c>
      <c r="U34" s="18" t="n">
        <v>0</v>
      </c>
      <c r="V34" s="20" t="n">
        <v>0</v>
      </c>
    </row>
    <row r="35" spans="1:22">
      <c r="A35" s="15" t="s">
        <v>593</v>
      </c>
      <c r="B35" s="17" t="n">
        <v>6406</v>
      </c>
      <c r="C35" s="18">
        <f>(5008.0/B35*100)</f>
        <v/>
      </c>
      <c r="D35" s="19" t="n">
        <v>1398</v>
      </c>
      <c r="E35" s="18" t="n">
        <v>39.41597622</v>
      </c>
      <c r="F35" s="20" t="n">
        <v>1.4521328</v>
      </c>
      <c r="G35" s="18" t="n">
        <v>19.93496417</v>
      </c>
      <c r="H35" s="20" t="n">
        <v>1.17459964</v>
      </c>
      <c r="I35" s="18" t="n">
        <v>5.38365857</v>
      </c>
      <c r="J35" s="20" t="n">
        <v>0.73199419</v>
      </c>
      <c r="K35" s="18" t="n">
        <v>9.14973912</v>
      </c>
      <c r="L35" s="20" t="n">
        <v>0.88182478</v>
      </c>
      <c r="M35" s="18" t="n">
        <v>0</v>
      </c>
      <c r="N35" s="20" t="n">
        <v>0</v>
      </c>
      <c r="O35" s="18" t="n">
        <v>25.99452469</v>
      </c>
      <c r="P35" s="20" t="n">
        <v>1.17687998</v>
      </c>
      <c r="Q35" s="18" t="n">
        <v>0.12113723</v>
      </c>
      <c r="R35" s="20" t="n">
        <v>0.12103116</v>
      </c>
      <c r="S35" s="18" t="n">
        <v>0</v>
      </c>
      <c r="T35" s="20" t="n">
        <v>0</v>
      </c>
      <c r="U35" s="18" t="n">
        <v>0</v>
      </c>
      <c r="V35" s="20" t="n">
        <v>0</v>
      </c>
    </row>
    <row r="36" spans="1:22">
      <c r="A36" s="15" t="s">
        <v>594</v>
      </c>
      <c r="B36" s="17" t="n">
        <v>6736</v>
      </c>
      <c r="C36" s="18">
        <f>(5307.0/B36*100)</f>
        <v/>
      </c>
      <c r="D36" s="19" t="n">
        <v>1429</v>
      </c>
      <c r="E36" s="18" t="n">
        <v>39.22987608</v>
      </c>
      <c r="F36" s="20" t="n">
        <v>1.31135885</v>
      </c>
      <c r="G36" s="18" t="n">
        <v>10.5937948</v>
      </c>
      <c r="H36" s="20" t="n">
        <v>0.93027633</v>
      </c>
      <c r="I36" s="18" t="n">
        <v>17.23334605</v>
      </c>
      <c r="J36" s="20" t="n">
        <v>1.03783202</v>
      </c>
      <c r="K36" s="18" t="n">
        <v>13.56778784</v>
      </c>
      <c r="L36" s="20" t="n">
        <v>0.94558975</v>
      </c>
      <c r="M36" s="18" t="n">
        <v>0</v>
      </c>
      <c r="N36" s="20" t="n">
        <v>0</v>
      </c>
      <c r="O36" s="18" t="n">
        <v>19.29270821</v>
      </c>
      <c r="P36" s="20" t="n">
        <v>1.25107326</v>
      </c>
      <c r="Q36" s="18" t="n">
        <v>0.08248701999999999</v>
      </c>
      <c r="R36" s="20" t="n">
        <v>0.09006235</v>
      </c>
      <c r="S36" s="18" t="n">
        <v>0</v>
      </c>
      <c r="T36" s="20" t="n">
        <v>0</v>
      </c>
      <c r="U36" s="18" t="n">
        <v>0</v>
      </c>
      <c r="V36" s="20" t="n">
        <v>0</v>
      </c>
    </row>
    <row r="37" spans="1:22">
      <c r="A37" s="15" t="s">
        <v>595</v>
      </c>
      <c r="B37" s="17" t="n">
        <v>5458</v>
      </c>
      <c r="C37" s="18">
        <f>(4354.0/B37*100)</f>
        <v/>
      </c>
      <c r="D37" s="19" t="n">
        <v>1104</v>
      </c>
      <c r="E37" s="18" t="n">
        <v>43.79370587</v>
      </c>
      <c r="F37" s="20" t="n">
        <v>1.685414</v>
      </c>
      <c r="G37" s="18" t="n">
        <v>15.08710322</v>
      </c>
      <c r="H37" s="20" t="n">
        <v>1.17724792</v>
      </c>
      <c r="I37" s="18" t="n">
        <v>4.4250489</v>
      </c>
      <c r="J37" s="20" t="n">
        <v>0.69456146</v>
      </c>
      <c r="K37" s="18" t="n">
        <v>8.14215952</v>
      </c>
      <c r="L37" s="20" t="n">
        <v>1.02180016</v>
      </c>
      <c r="M37" s="18" t="n">
        <v>0</v>
      </c>
      <c r="N37" s="20" t="n">
        <v>0</v>
      </c>
      <c r="O37" s="18" t="n">
        <v>28.55198248</v>
      </c>
      <c r="P37" s="20" t="n">
        <v>1.85200057</v>
      </c>
      <c r="Q37" s="18" t="n">
        <v>0</v>
      </c>
      <c r="R37" s="20" t="n">
        <v>0</v>
      </c>
      <c r="S37" s="18" t="n">
        <v>0</v>
      </c>
      <c r="T37" s="20" t="n">
        <v>0</v>
      </c>
      <c r="U37" s="18" t="n">
        <v>0</v>
      </c>
      <c r="V37" s="20" t="n">
        <v>0</v>
      </c>
    </row>
    <row r="38" spans="1:22">
      <c r="A38" s="15" t="s">
        <v>596</v>
      </c>
      <c r="B38" s="17" t="n">
        <v>5860</v>
      </c>
      <c r="C38" s="18">
        <f>(4593.0/B38*100)</f>
        <v/>
      </c>
      <c r="D38" s="19" t="n">
        <v>1267</v>
      </c>
      <c r="E38" s="18" t="n">
        <v>31.91397007</v>
      </c>
      <c r="F38" s="20" t="n">
        <v>1.45962375</v>
      </c>
      <c r="G38" s="18" t="n">
        <v>11.43761128</v>
      </c>
      <c r="H38" s="20" t="n">
        <v>1.11920884</v>
      </c>
      <c r="I38" s="18" t="n">
        <v>10.40820288</v>
      </c>
      <c r="J38" s="20" t="n">
        <v>0.90104515</v>
      </c>
      <c r="K38" s="18" t="n">
        <v>15.39650388</v>
      </c>
      <c r="L38" s="20" t="n">
        <v>1.32375552</v>
      </c>
      <c r="M38" s="18" t="n">
        <v>0</v>
      </c>
      <c r="N38" s="20" t="n">
        <v>0</v>
      </c>
      <c r="O38" s="18" t="n">
        <v>28.95164778</v>
      </c>
      <c r="P38" s="20" t="n">
        <v>1.35482147</v>
      </c>
      <c r="Q38" s="18" t="n">
        <v>1.89206411</v>
      </c>
      <c r="R38" s="20" t="n">
        <v>0.39726904</v>
      </c>
      <c r="S38" s="18" t="n">
        <v>0</v>
      </c>
      <c r="T38" s="20" t="n">
        <v>0</v>
      </c>
      <c r="U38" s="18" t="n">
        <v>0</v>
      </c>
      <c r="V38" s="20" t="n">
        <v>0</v>
      </c>
    </row>
    <row r="39" spans="1:22">
      <c r="A39" s="15" t="s">
        <v>597</v>
      </c>
      <c r="B39" s="17" t="n">
        <v>5895</v>
      </c>
      <c r="C39" s="18">
        <f>(4583.0/B39*100)</f>
        <v/>
      </c>
      <c r="D39" s="19" t="n">
        <v>1312</v>
      </c>
      <c r="E39" s="18" t="n">
        <v>57.65266244</v>
      </c>
      <c r="F39" s="20" t="n">
        <v>1.56357976</v>
      </c>
      <c r="G39" s="18" t="n">
        <v>12.825728</v>
      </c>
      <c r="H39" s="20" t="n">
        <v>1.14495157</v>
      </c>
      <c r="I39" s="18" t="n">
        <v>2.4091833</v>
      </c>
      <c r="J39" s="20" t="n">
        <v>0.38208056</v>
      </c>
      <c r="K39" s="18" t="n">
        <v>5.07876557</v>
      </c>
      <c r="L39" s="20" t="n">
        <v>0.73908946</v>
      </c>
      <c r="M39" s="18" t="n">
        <v>0</v>
      </c>
      <c r="N39" s="20" t="n">
        <v>0</v>
      </c>
      <c r="O39" s="18" t="n">
        <v>22.03366069</v>
      </c>
      <c r="P39" s="20" t="n">
        <v>1.22517565</v>
      </c>
      <c r="Q39" s="18" t="n">
        <v>0</v>
      </c>
      <c r="R39" s="20" t="n">
        <v>0</v>
      </c>
      <c r="S39" s="18" t="n">
        <v>0</v>
      </c>
      <c r="T39" s="20" t="n">
        <v>0</v>
      </c>
      <c r="U39" s="18" t="n">
        <v>0</v>
      </c>
      <c r="V39" s="20" t="n">
        <v>0</v>
      </c>
    </row>
    <row r="40" spans="1:22">
      <c r="A40" s="15" t="s">
        <v>598</v>
      </c>
      <c r="B40" s="17" t="n">
        <v>14157</v>
      </c>
      <c r="C40" s="18">
        <f>(11180.0/B40*100)</f>
        <v/>
      </c>
      <c r="D40" s="19" t="n">
        <v>2977</v>
      </c>
      <c r="E40" s="18" t="n">
        <v>35.02393871</v>
      </c>
      <c r="F40" s="20" t="n">
        <v>1.50168575</v>
      </c>
      <c r="G40" s="18" t="n">
        <v>18.0258619</v>
      </c>
      <c r="H40" s="20" t="n">
        <v>1.08952274</v>
      </c>
      <c r="I40" s="18" t="n">
        <v>6.50166885</v>
      </c>
      <c r="J40" s="20" t="n">
        <v>0.71535934</v>
      </c>
      <c r="K40" s="18" t="n">
        <v>18.90446479</v>
      </c>
      <c r="L40" s="20" t="n">
        <v>1.24297517</v>
      </c>
      <c r="M40" s="18" t="n">
        <v>0</v>
      </c>
      <c r="N40" s="20" t="n">
        <v>0</v>
      </c>
      <c r="O40" s="18" t="n">
        <v>21.53728207</v>
      </c>
      <c r="P40" s="20" t="n">
        <v>1.21363941</v>
      </c>
      <c r="Q40" s="18" t="n">
        <v>0.00678368</v>
      </c>
      <c r="R40" s="20" t="n">
        <v>0.00652424</v>
      </c>
      <c r="S40" s="18" t="n">
        <v>0</v>
      </c>
      <c r="T40" s="20" t="n">
        <v>0</v>
      </c>
      <c r="U40" s="18" t="n">
        <v>0</v>
      </c>
      <c r="V40" s="20" t="n">
        <v>0</v>
      </c>
    </row>
    <row r="41" spans="1:22">
      <c r="A41" s="15" t="s">
        <v>599</v>
      </c>
      <c r="B41" s="17" t="n">
        <v>5712</v>
      </c>
      <c r="C41" s="18">
        <f>(4475.0/B41*100)</f>
        <v/>
      </c>
      <c r="D41" s="19" t="n">
        <v>1237</v>
      </c>
      <c r="E41" s="18" t="n">
        <v>51.49240587</v>
      </c>
      <c r="F41" s="20" t="n">
        <v>1.47818587</v>
      </c>
      <c r="G41" s="18" t="n">
        <v>18.88309869</v>
      </c>
      <c r="H41" s="20" t="n">
        <v>1.05820213</v>
      </c>
      <c r="I41" s="18" t="n">
        <v>6.20700251</v>
      </c>
      <c r="J41" s="20" t="n">
        <v>0.6864977799999999</v>
      </c>
      <c r="K41" s="18" t="n">
        <v>17.19500615</v>
      </c>
      <c r="L41" s="20" t="n">
        <v>1.25746446</v>
      </c>
      <c r="M41" s="18" t="n">
        <v>0</v>
      </c>
      <c r="N41" s="20" t="n">
        <v>0</v>
      </c>
      <c r="O41" s="18" t="n">
        <v>6.22248677</v>
      </c>
      <c r="P41" s="20" t="n">
        <v>0.83331459</v>
      </c>
      <c r="Q41" s="18" t="n">
        <v>0</v>
      </c>
      <c r="R41" s="20" t="n">
        <v>0</v>
      </c>
      <c r="S41" s="18" t="n">
        <v>0</v>
      </c>
      <c r="T41" s="20" t="n">
        <v>0</v>
      </c>
      <c r="U41" s="18" t="n">
        <v>0</v>
      </c>
      <c r="V41" s="20" t="n">
        <v>0</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c r="U44" s="18" t="s">
        <v>603</v>
      </c>
      <c r="V44" s="20" t="s">
        <v>603</v>
      </c>
    </row>
    <row r="45" spans="1:22">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c r="U45" s="18" t="s">
        <v>603</v>
      </c>
      <c r="V45" s="20" t="s">
        <v>603</v>
      </c>
    </row>
    <row r="46" spans="1:22">
      <c r="A46" s="15" t="s">
        <v>605</v>
      </c>
      <c r="B46" s="17" t="n">
        <v>23141</v>
      </c>
      <c r="C46" s="18">
        <f>(19803.0/B46*100)</f>
        <v/>
      </c>
      <c r="D46" s="19" t="n">
        <v>3338</v>
      </c>
      <c r="E46" s="18" t="n">
        <v>42.85755116</v>
      </c>
      <c r="F46" s="20" t="n">
        <v>1.36998052</v>
      </c>
      <c r="G46" s="18" t="n">
        <v>8.88226394</v>
      </c>
      <c r="H46" s="20" t="n">
        <v>0.61813078</v>
      </c>
      <c r="I46" s="18" t="n">
        <v>2.67422873</v>
      </c>
      <c r="J46" s="20" t="n">
        <v>0.38109618</v>
      </c>
      <c r="K46" s="18" t="n">
        <v>12.42046688</v>
      </c>
      <c r="L46" s="20" t="n">
        <v>0.79756591</v>
      </c>
      <c r="M46" s="18" t="n">
        <v>0</v>
      </c>
      <c r="N46" s="20" t="n">
        <v>0</v>
      </c>
      <c r="O46" s="18" t="n">
        <v>32.9045393</v>
      </c>
      <c r="P46" s="20" t="n">
        <v>1.25693745</v>
      </c>
      <c r="Q46" s="18" t="n">
        <v>0.26094999</v>
      </c>
      <c r="R46" s="20" t="n">
        <v>0.0891078</v>
      </c>
      <c r="S46" s="18" t="n">
        <v>0</v>
      </c>
      <c r="T46" s="20" t="n">
        <v>0</v>
      </c>
      <c r="U46" s="18" t="n">
        <v>0</v>
      </c>
      <c r="V46" s="20" t="n">
        <v>0</v>
      </c>
    </row>
    <row r="47" spans="1:22">
      <c r="A47" s="15" t="s">
        <v>606</v>
      </c>
      <c r="B47" s="17" t="n">
        <v>5928</v>
      </c>
      <c r="C47" s="18">
        <f>(4733.0/B47*100)</f>
        <v/>
      </c>
      <c r="D47" s="19" t="n">
        <v>1195</v>
      </c>
      <c r="E47" s="18" t="n">
        <v>34.39420314</v>
      </c>
      <c r="F47" s="20" t="n">
        <v>1.27293975</v>
      </c>
      <c r="G47" s="18" t="n">
        <v>8.07006456</v>
      </c>
      <c r="H47" s="20" t="n">
        <v>0.86628377</v>
      </c>
      <c r="I47" s="18" t="n">
        <v>3.35453054</v>
      </c>
      <c r="J47" s="20" t="n">
        <v>0.68780481</v>
      </c>
      <c r="K47" s="18" t="n">
        <v>7.21343094</v>
      </c>
      <c r="L47" s="20" t="n">
        <v>0.89788915</v>
      </c>
      <c r="M47" s="18" t="n">
        <v>0</v>
      </c>
      <c r="N47" s="20" t="n">
        <v>0</v>
      </c>
      <c r="O47" s="18" t="n">
        <v>46.88546596</v>
      </c>
      <c r="P47" s="20" t="n">
        <v>1.63277609</v>
      </c>
      <c r="Q47" s="18" t="n">
        <v>0.08230485999999999</v>
      </c>
      <c r="R47" s="20" t="n">
        <v>0.08153668</v>
      </c>
      <c r="S47" s="18" t="n">
        <v>0</v>
      </c>
      <c r="T47" s="20" t="n">
        <v>0</v>
      </c>
      <c r="U47" s="18" t="n">
        <v>0</v>
      </c>
      <c r="V47" s="20" t="n">
        <v>0</v>
      </c>
    </row>
    <row r="48" spans="1:22">
      <c r="A48" s="15" t="s">
        <v>607</v>
      </c>
      <c r="B48" s="17" t="n">
        <v>9841</v>
      </c>
      <c r="C48" s="18">
        <f>(7705.0/B48*100)</f>
        <v/>
      </c>
      <c r="D48" s="19" t="n">
        <v>2136</v>
      </c>
      <c r="E48" s="18" t="n">
        <v>41.49994796</v>
      </c>
      <c r="F48" s="20" t="n">
        <v>1.33253078</v>
      </c>
      <c r="G48" s="18" t="n">
        <v>26.8582097</v>
      </c>
      <c r="H48" s="20" t="n">
        <v>1.26831703</v>
      </c>
      <c r="I48" s="18" t="n">
        <v>9.389940899999999</v>
      </c>
      <c r="J48" s="20" t="n">
        <v>0.82171687</v>
      </c>
      <c r="K48" s="18" t="n">
        <v>10.45009979</v>
      </c>
      <c r="L48" s="20" t="n">
        <v>0.91915294</v>
      </c>
      <c r="M48" s="18" t="n">
        <v>0</v>
      </c>
      <c r="N48" s="20" t="n">
        <v>0</v>
      </c>
      <c r="O48" s="18" t="n">
        <v>11.80180164</v>
      </c>
      <c r="P48" s="20" t="n">
        <v>0.8957687600000001</v>
      </c>
      <c r="Q48" s="18" t="n">
        <v>0</v>
      </c>
      <c r="R48" s="20" t="n">
        <v>0</v>
      </c>
      <c r="S48" s="18" t="n">
        <v>0</v>
      </c>
      <c r="T48" s="20" t="n">
        <v>0</v>
      </c>
      <c r="U48" s="18" t="n">
        <v>0</v>
      </c>
      <c r="V48" s="20" t="n">
        <v>0</v>
      </c>
    </row>
    <row r="49" spans="1:22">
      <c r="A49" s="15" t="s">
        <v>608</v>
      </c>
      <c r="B49" s="17" t="n">
        <v>11795</v>
      </c>
      <c r="C49" s="18">
        <f>(9438.0/B49*100)</f>
        <v/>
      </c>
      <c r="D49" s="19" t="n">
        <v>2357</v>
      </c>
      <c r="E49" s="18" t="n">
        <v>59.94474226</v>
      </c>
      <c r="F49" s="20" t="n">
        <v>1.40265262</v>
      </c>
      <c r="G49" s="18" t="n">
        <v>8.53780021</v>
      </c>
      <c r="H49" s="20" t="n">
        <v>0.87305295</v>
      </c>
      <c r="I49" s="18" t="n">
        <v>6.98417255</v>
      </c>
      <c r="J49" s="20" t="n">
        <v>0.62540783</v>
      </c>
      <c r="K49" s="18" t="n">
        <v>5.8032434</v>
      </c>
      <c r="L49" s="20" t="n">
        <v>0.65275786</v>
      </c>
      <c r="M49" s="18" t="n">
        <v>0</v>
      </c>
      <c r="N49" s="20" t="n">
        <v>0</v>
      </c>
      <c r="O49" s="18" t="n">
        <v>18.60644965</v>
      </c>
      <c r="P49" s="20" t="n">
        <v>1.11949656</v>
      </c>
      <c r="Q49" s="18" t="n">
        <v>0.12359193</v>
      </c>
      <c r="R49" s="20" t="n">
        <v>0.06855701</v>
      </c>
      <c r="S49" s="18" t="n">
        <v>0</v>
      </c>
      <c r="T49" s="20" t="n">
        <v>0</v>
      </c>
      <c r="U49" s="18" t="n">
        <v>0</v>
      </c>
      <c r="V49" s="20" t="n">
        <v>0</v>
      </c>
    </row>
    <row r="50" spans="1:22">
      <c r="A50" s="15" t="s">
        <v>609</v>
      </c>
      <c r="B50" s="17" t="n">
        <v>6866</v>
      </c>
      <c r="C50" s="18">
        <f>(5647.0/B50*100)</f>
        <v/>
      </c>
      <c r="D50" s="19" t="n">
        <v>1219</v>
      </c>
      <c r="E50" s="18" t="n">
        <v>58.519849</v>
      </c>
      <c r="F50" s="20" t="n">
        <v>1.35185966</v>
      </c>
      <c r="G50" s="18" t="n">
        <v>9.014552289999999</v>
      </c>
      <c r="H50" s="20" t="n">
        <v>0.8458537699999999</v>
      </c>
      <c r="I50" s="18" t="n">
        <v>6.13540971</v>
      </c>
      <c r="J50" s="20" t="n">
        <v>0.73047609</v>
      </c>
      <c r="K50" s="18" t="n">
        <v>9.990898830000001</v>
      </c>
      <c r="L50" s="20" t="n">
        <v>0.90214436</v>
      </c>
      <c r="M50" s="18" t="n">
        <v>0</v>
      </c>
      <c r="N50" s="20" t="n">
        <v>0</v>
      </c>
      <c r="O50" s="18" t="n">
        <v>16.26062819</v>
      </c>
      <c r="P50" s="20" t="n">
        <v>1.25818528</v>
      </c>
      <c r="Q50" s="18" t="n">
        <v>0.07866198000000001</v>
      </c>
      <c r="R50" s="20" t="n">
        <v>0.07826587</v>
      </c>
      <c r="S50" s="18" t="n">
        <v>0</v>
      </c>
      <c r="T50" s="20" t="n">
        <v>0</v>
      </c>
      <c r="U50" s="18" t="n">
        <v>0</v>
      </c>
      <c r="V50" s="20" t="n">
        <v>0</v>
      </c>
    </row>
    <row r="51" spans="1:22">
      <c r="A51" s="15" t="s">
        <v>610</v>
      </c>
      <c r="B51" s="17" t="n">
        <v>5809</v>
      </c>
      <c r="C51" s="18">
        <f>(4571.0/B51*100)</f>
        <v/>
      </c>
      <c r="D51" s="19" t="n">
        <v>1238</v>
      </c>
      <c r="E51" s="18" t="n">
        <v>51.08912813</v>
      </c>
      <c r="F51" s="20" t="n">
        <v>1.3689155</v>
      </c>
      <c r="G51" s="18" t="n">
        <v>6.02589224</v>
      </c>
      <c r="H51" s="20" t="n">
        <v>0.76396403</v>
      </c>
      <c r="I51" s="18" t="n">
        <v>9.061333100000001</v>
      </c>
      <c r="J51" s="20" t="n">
        <v>0.84055137</v>
      </c>
      <c r="K51" s="18" t="n">
        <v>4.668401</v>
      </c>
      <c r="L51" s="20" t="n">
        <v>0.58640719</v>
      </c>
      <c r="M51" s="18" t="n">
        <v>0</v>
      </c>
      <c r="N51" s="20" t="n">
        <v>0</v>
      </c>
      <c r="O51" s="18" t="n">
        <v>29.15524552</v>
      </c>
      <c r="P51" s="20" t="n">
        <v>1.27783622</v>
      </c>
      <c r="Q51" s="18" t="n">
        <v>0</v>
      </c>
      <c r="R51" s="20" t="n">
        <v>0</v>
      </c>
      <c r="S51" s="18" t="n">
        <v>0</v>
      </c>
      <c r="T51" s="20" t="n">
        <v>0</v>
      </c>
      <c r="U51" s="18" t="n">
        <v>0</v>
      </c>
      <c r="V51" s="20" t="n">
        <v>0</v>
      </c>
    </row>
    <row r="52" spans="1:22">
      <c r="A52" s="15" t="s">
        <v>611</v>
      </c>
      <c r="B52" s="17" t="n">
        <v>5571</v>
      </c>
      <c r="C52" s="18">
        <f>(4355.0/B52*100)</f>
        <v/>
      </c>
      <c r="D52" s="19" t="n">
        <v>1216</v>
      </c>
      <c r="E52" s="18" t="n">
        <v>52.61398426</v>
      </c>
      <c r="F52" s="20" t="n">
        <v>1.25887042</v>
      </c>
      <c r="G52" s="18" t="n">
        <v>4.91275556</v>
      </c>
      <c r="H52" s="20" t="n">
        <v>0.75405311</v>
      </c>
      <c r="I52" s="18" t="n">
        <v>2.82744463</v>
      </c>
      <c r="J52" s="20" t="n">
        <v>0.53484367</v>
      </c>
      <c r="K52" s="18" t="n">
        <v>3.3541439</v>
      </c>
      <c r="L52" s="20" t="n">
        <v>0.5742669</v>
      </c>
      <c r="M52" s="18" t="n">
        <v>0</v>
      </c>
      <c r="N52" s="20" t="n">
        <v>0</v>
      </c>
      <c r="O52" s="18" t="n">
        <v>36.29167165</v>
      </c>
      <c r="P52" s="20" t="n">
        <v>1.22814356</v>
      </c>
      <c r="Q52" s="18" t="n">
        <v>0</v>
      </c>
      <c r="R52" s="20" t="n">
        <v>0</v>
      </c>
      <c r="S52" s="18" t="n">
        <v>0</v>
      </c>
      <c r="T52" s="20" t="n">
        <v>0</v>
      </c>
      <c r="U52" s="18" t="n">
        <v>0</v>
      </c>
      <c r="V52" s="20" t="n">
        <v>0</v>
      </c>
    </row>
    <row r="53" spans="1:22">
      <c r="A53" s="15" t="s">
        <v>612</v>
      </c>
      <c r="B53" s="17" t="n">
        <v>4740</v>
      </c>
      <c r="C53" s="18">
        <f>(3712.0/B53*100)</f>
        <v/>
      </c>
      <c r="D53" s="19" t="n">
        <v>1028</v>
      </c>
      <c r="E53" s="18" t="n">
        <v>41.28803517</v>
      </c>
      <c r="F53" s="20" t="n">
        <v>1.90589167</v>
      </c>
      <c r="G53" s="18" t="n">
        <v>2.59756952</v>
      </c>
      <c r="H53" s="20" t="n">
        <v>0.61401701</v>
      </c>
      <c r="I53" s="18" t="n">
        <v>1.1231992</v>
      </c>
      <c r="J53" s="20" t="n">
        <v>0.3518525</v>
      </c>
      <c r="K53" s="18" t="n">
        <v>0.94404599</v>
      </c>
      <c r="L53" s="20" t="n">
        <v>0.3618815</v>
      </c>
      <c r="M53" s="18" t="n">
        <v>0</v>
      </c>
      <c r="N53" s="20" t="n">
        <v>0</v>
      </c>
      <c r="O53" s="18" t="n">
        <v>53.3548911</v>
      </c>
      <c r="P53" s="20" t="n">
        <v>1.84268503</v>
      </c>
      <c r="Q53" s="18" t="n">
        <v>0.69225901</v>
      </c>
      <c r="R53" s="20" t="n">
        <v>0.57181881</v>
      </c>
      <c r="S53" s="18" t="n">
        <v>0</v>
      </c>
      <c r="T53" s="20" t="n">
        <v>0</v>
      </c>
      <c r="U53" s="18" t="n">
        <v>0</v>
      </c>
      <c r="V53" s="20" t="n">
        <v>0</v>
      </c>
    </row>
    <row r="54" spans="1:22">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c r="U54" s="18" t="s">
        <v>603</v>
      </c>
      <c r="V54" s="20" t="s">
        <v>603</v>
      </c>
    </row>
    <row r="55" spans="1:22">
      <c r="A55" s="15" t="s">
        <v>614</v>
      </c>
      <c r="B55" s="17" t="n">
        <v>5359</v>
      </c>
      <c r="C55" s="18">
        <f>(4147.0/B55*100)</f>
        <v/>
      </c>
      <c r="D55" s="19" t="n">
        <v>1212</v>
      </c>
      <c r="E55" s="18" t="n">
        <v>52.34564458</v>
      </c>
      <c r="F55" s="20" t="n">
        <v>1.67365385</v>
      </c>
      <c r="G55" s="18" t="n">
        <v>19.2409469</v>
      </c>
      <c r="H55" s="20" t="n">
        <v>1.14058336</v>
      </c>
      <c r="I55" s="18" t="n">
        <v>9.293473799999999</v>
      </c>
      <c r="J55" s="20" t="n">
        <v>0.84287709</v>
      </c>
      <c r="K55" s="18" t="n">
        <v>9.84724814</v>
      </c>
      <c r="L55" s="20" t="n">
        <v>0.89659048</v>
      </c>
      <c r="M55" s="18" t="n">
        <v>0</v>
      </c>
      <c r="N55" s="20" t="n">
        <v>0</v>
      </c>
      <c r="O55" s="18" t="n">
        <v>9.16989843</v>
      </c>
      <c r="P55" s="20" t="n">
        <v>0.91141043</v>
      </c>
      <c r="Q55" s="18" t="n">
        <v>0.10278815</v>
      </c>
      <c r="R55" s="20" t="n">
        <v>0.11350541</v>
      </c>
      <c r="S55" s="18" t="n">
        <v>0</v>
      </c>
      <c r="T55" s="20" t="n">
        <v>0</v>
      </c>
      <c r="U55" s="18" t="n">
        <v>0</v>
      </c>
      <c r="V55" s="20" t="n">
        <v>0</v>
      </c>
    </row>
    <row r="56" spans="1:22">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c r="U56" s="18" t="s">
        <v>603</v>
      </c>
      <c r="V56" s="20" t="s">
        <v>603</v>
      </c>
    </row>
    <row r="57" spans="1:22">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c r="U57" s="18" t="s">
        <v>603</v>
      </c>
      <c r="V57" s="20" t="s">
        <v>603</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c r="U59" s="18" t="s">
        <v>603</v>
      </c>
      <c r="V59" s="20" t="s">
        <v>603</v>
      </c>
    </row>
    <row r="60" spans="1:22">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c r="U60" s="18" t="s">
        <v>603</v>
      </c>
      <c r="V60" s="20" t="s">
        <v>603</v>
      </c>
    </row>
    <row r="61" spans="1:22">
      <c r="A61" s="15" t="s">
        <v>621</v>
      </c>
      <c r="B61" s="17" t="n">
        <v>6525</v>
      </c>
      <c r="C61" s="18">
        <f>(5093.0/B61*100)</f>
        <v/>
      </c>
      <c r="D61" s="19" t="n">
        <v>1432</v>
      </c>
      <c r="E61" s="18" t="n">
        <v>41.56642591</v>
      </c>
      <c r="F61" s="20" t="n">
        <v>1.48736543</v>
      </c>
      <c r="G61" s="18" t="n">
        <v>6.56680805</v>
      </c>
      <c r="H61" s="20" t="n">
        <v>0.60510897</v>
      </c>
      <c r="I61" s="18" t="n">
        <v>8.695524730000001</v>
      </c>
      <c r="J61" s="20" t="n">
        <v>0.82481908</v>
      </c>
      <c r="K61" s="18" t="n">
        <v>9.23111265</v>
      </c>
      <c r="L61" s="20" t="n">
        <v>0.96224113</v>
      </c>
      <c r="M61" s="18" t="n">
        <v>0</v>
      </c>
      <c r="N61" s="20" t="n">
        <v>0</v>
      </c>
      <c r="O61" s="18" t="n">
        <v>33.88991625</v>
      </c>
      <c r="P61" s="20" t="n">
        <v>1.39819163</v>
      </c>
      <c r="Q61" s="18" t="n">
        <v>0.05021241</v>
      </c>
      <c r="R61" s="20" t="n">
        <v>0.05052913</v>
      </c>
      <c r="S61" s="18" t="n">
        <v>0</v>
      </c>
      <c r="T61" s="20" t="n">
        <v>0</v>
      </c>
      <c r="U61" s="18" t="n">
        <v>0</v>
      </c>
      <c r="V61" s="20" t="n">
        <v>0</v>
      </c>
    </row>
    <row r="62" spans="1:22">
      <c r="A62" s="15" t="s">
        <v>622</v>
      </c>
      <c r="B62" s="17" t="n">
        <v>4476</v>
      </c>
      <c r="C62" s="18">
        <f>(3551.0/B62*100)</f>
        <v/>
      </c>
      <c r="D62" s="19" t="n">
        <v>925</v>
      </c>
      <c r="E62" s="18" t="n">
        <v>65.8888211</v>
      </c>
      <c r="F62" s="20" t="n">
        <v>1.56642836</v>
      </c>
      <c r="G62" s="18" t="n">
        <v>16.24090946</v>
      </c>
      <c r="H62" s="20" t="n">
        <v>1.1952366</v>
      </c>
      <c r="I62" s="18" t="n">
        <v>5.49453981</v>
      </c>
      <c r="J62" s="20" t="n">
        <v>0.70830443</v>
      </c>
      <c r="K62" s="18" t="n">
        <v>5.76250386</v>
      </c>
      <c r="L62" s="20" t="n">
        <v>0.74772607</v>
      </c>
      <c r="M62" s="18" t="n">
        <v>0</v>
      </c>
      <c r="N62" s="20" t="n">
        <v>0</v>
      </c>
      <c r="O62" s="18" t="n">
        <v>6.61322577</v>
      </c>
      <c r="P62" s="20" t="n">
        <v>0.78099582</v>
      </c>
      <c r="Q62" s="18" t="n">
        <v>0</v>
      </c>
      <c r="R62" s="20" t="n">
        <v>0</v>
      </c>
      <c r="S62" s="18" t="n">
        <v>0</v>
      </c>
      <c r="T62" s="20" t="n">
        <v>0</v>
      </c>
      <c r="U62" s="18" t="n">
        <v>0</v>
      </c>
      <c r="V62" s="20" t="n">
        <v>0</v>
      </c>
    </row>
    <row r="63" spans="1:22">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c r="U63" s="18" t="s">
        <v>603</v>
      </c>
      <c r="V63" s="20" t="s">
        <v>603</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c r="U65" s="18" t="s">
        <v>603</v>
      </c>
      <c r="V65" s="20" t="s">
        <v>603</v>
      </c>
    </row>
    <row r="66" spans="1:22">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c r="U66" s="18" t="s">
        <v>603</v>
      </c>
      <c r="V66" s="20" t="s">
        <v>603</v>
      </c>
    </row>
    <row r="67" spans="1:22">
      <c r="A67" s="15" t="s">
        <v>627</v>
      </c>
      <c r="B67" s="17" t="n">
        <v>5665</v>
      </c>
      <c r="C67" s="18">
        <f>(4500.0/B67*100)</f>
        <v/>
      </c>
      <c r="D67" s="19" t="n">
        <v>1165</v>
      </c>
      <c r="E67" s="18" t="n">
        <v>29.01361071</v>
      </c>
      <c r="F67" s="20" t="n">
        <v>1.22506616</v>
      </c>
      <c r="G67" s="18" t="n">
        <v>4.81027267</v>
      </c>
      <c r="H67" s="20" t="n">
        <v>0.62183247</v>
      </c>
      <c r="I67" s="18" t="n">
        <v>4.59624455</v>
      </c>
      <c r="J67" s="20" t="n">
        <v>0.5762667299999999</v>
      </c>
      <c r="K67" s="18" t="n">
        <v>4.97862697</v>
      </c>
      <c r="L67" s="20" t="n">
        <v>0.63300347</v>
      </c>
      <c r="M67" s="18" t="n">
        <v>0</v>
      </c>
      <c r="N67" s="20" t="n">
        <v>0</v>
      </c>
      <c r="O67" s="18" t="n">
        <v>56.29692184</v>
      </c>
      <c r="P67" s="20" t="n">
        <v>1.22296389</v>
      </c>
      <c r="Q67" s="18" t="n">
        <v>0.30432326</v>
      </c>
      <c r="R67" s="20" t="n">
        <v>0.15140497</v>
      </c>
      <c r="S67" s="18" t="n">
        <v>0</v>
      </c>
      <c r="T67" s="20" t="n">
        <v>0</v>
      </c>
      <c r="U67" s="18" t="n">
        <v>0</v>
      </c>
      <c r="V67" s="20" t="n">
        <v>0</v>
      </c>
    </row>
    <row r="68" spans="1:22">
      <c r="A68" s="15" t="s">
        <v>628</v>
      </c>
      <c r="B68" s="17" t="n">
        <v>6971</v>
      </c>
      <c r="C68" s="18">
        <f>(5824.0/B68*100)</f>
        <v/>
      </c>
      <c r="D68" s="19" t="n">
        <v>1147</v>
      </c>
      <c r="E68" s="18" t="n">
        <v>66.88394207</v>
      </c>
      <c r="F68" s="20" t="n">
        <v>1.66876984</v>
      </c>
      <c r="G68" s="18" t="n">
        <v>3.96057438</v>
      </c>
      <c r="H68" s="20" t="n">
        <v>0.54829038</v>
      </c>
      <c r="I68" s="18" t="n">
        <v>5.83792646</v>
      </c>
      <c r="J68" s="20" t="n">
        <v>0.75617986</v>
      </c>
      <c r="K68" s="18" t="n">
        <v>2.02715551</v>
      </c>
      <c r="L68" s="20" t="n">
        <v>0.43941346</v>
      </c>
      <c r="M68" s="18" t="n">
        <v>0</v>
      </c>
      <c r="N68" s="20" t="n">
        <v>0</v>
      </c>
      <c r="O68" s="18" t="n">
        <v>21.29040157</v>
      </c>
      <c r="P68" s="20" t="n">
        <v>1.32054918</v>
      </c>
      <c r="Q68" s="18" t="n">
        <v>0</v>
      </c>
      <c r="R68" s="20" t="n">
        <v>0</v>
      </c>
      <c r="S68" s="18" t="n">
        <v>0</v>
      </c>
      <c r="T68" s="20" t="n">
        <v>0</v>
      </c>
      <c r="U68" s="18" t="n">
        <v>0</v>
      </c>
      <c r="V68" s="20" t="n">
        <v>0</v>
      </c>
    </row>
    <row r="69" spans="1:22">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c r="U69" s="18" t="s">
        <v>603</v>
      </c>
      <c r="V69" s="20" t="s">
        <v>603</v>
      </c>
    </row>
    <row r="70" spans="1:22">
      <c r="A70" s="15" t="s">
        <v>630</v>
      </c>
      <c r="B70" s="17" t="n">
        <v>12083</v>
      </c>
      <c r="C70" s="18">
        <f>(9374.0/B70*100)</f>
        <v/>
      </c>
      <c r="D70" s="19" t="n">
        <v>2709</v>
      </c>
      <c r="E70" s="18" t="n">
        <v>52.18936371</v>
      </c>
      <c r="F70" s="20" t="n">
        <v>0.97351168</v>
      </c>
      <c r="G70" s="18" t="n">
        <v>11.92728763</v>
      </c>
      <c r="H70" s="20" t="n">
        <v>0.59521476</v>
      </c>
      <c r="I70" s="18" t="n">
        <v>3.35515206</v>
      </c>
      <c r="J70" s="20" t="n">
        <v>0.34583007</v>
      </c>
      <c r="K70" s="18" t="n">
        <v>4.3056941</v>
      </c>
      <c r="L70" s="20" t="n">
        <v>0.39786224</v>
      </c>
      <c r="M70" s="18" t="n">
        <v>0</v>
      </c>
      <c r="N70" s="20" t="n">
        <v>0</v>
      </c>
      <c r="O70" s="18" t="n">
        <v>28.18749668</v>
      </c>
      <c r="P70" s="20" t="n">
        <v>0.86630588</v>
      </c>
      <c r="Q70" s="18" t="n">
        <v>0.03500582</v>
      </c>
      <c r="R70" s="20" t="n">
        <v>0.03495169</v>
      </c>
      <c r="S70" s="18" t="n">
        <v>0</v>
      </c>
      <c r="T70" s="20" t="n">
        <v>0</v>
      </c>
      <c r="U70" s="18" t="n">
        <v>0</v>
      </c>
      <c r="V70" s="20" t="n">
        <v>0</v>
      </c>
    </row>
    <row r="71" spans="1:22">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c r="U71" s="18" t="s">
        <v>603</v>
      </c>
      <c r="V71" s="20" t="s">
        <v>603</v>
      </c>
    </row>
    <row r="72" spans="1:22">
      <c r="A72" s="15" t="s">
        <v>632</v>
      </c>
      <c r="B72" s="17" t="n">
        <v>6036</v>
      </c>
      <c r="C72" s="18">
        <f>(4887.0/B72*100)</f>
        <v/>
      </c>
      <c r="D72" s="19" t="n">
        <v>1149</v>
      </c>
      <c r="E72" s="18" t="n">
        <v>37.64333571</v>
      </c>
      <c r="F72" s="20" t="n">
        <v>1.46166065</v>
      </c>
      <c r="G72" s="18" t="n">
        <v>8.34214499</v>
      </c>
      <c r="H72" s="20" t="n">
        <v>1.07019327</v>
      </c>
      <c r="I72" s="18" t="n">
        <v>13.09571497</v>
      </c>
      <c r="J72" s="20" t="n">
        <v>1.06022992</v>
      </c>
      <c r="K72" s="18" t="n">
        <v>8.10045401</v>
      </c>
      <c r="L72" s="20" t="n">
        <v>0.98698708</v>
      </c>
      <c r="M72" s="18" t="n">
        <v>0</v>
      </c>
      <c r="N72" s="20" t="n">
        <v>0</v>
      </c>
      <c r="O72" s="18" t="n">
        <v>32.81835033</v>
      </c>
      <c r="P72" s="20" t="n">
        <v>2.32579505</v>
      </c>
      <c r="Q72" s="18" t="n">
        <v>0</v>
      </c>
      <c r="R72" s="20" t="n">
        <v>0</v>
      </c>
      <c r="S72" s="18" t="n">
        <v>0</v>
      </c>
      <c r="T72" s="20" t="n">
        <v>0</v>
      </c>
      <c r="U72" s="18" t="n">
        <v>0</v>
      </c>
      <c r="V72" s="20" t="n">
        <v>0</v>
      </c>
    </row>
    <row r="73" spans="1:22">
      <c r="A73" s="15" t="s">
        <v>633</v>
      </c>
      <c r="B73" s="17" t="n">
        <v>6115</v>
      </c>
      <c r="C73" s="18">
        <f>(4800.0/B73*100)</f>
        <v/>
      </c>
      <c r="D73" s="19" t="n">
        <v>1315</v>
      </c>
      <c r="E73" s="18" t="n">
        <v>63.72784846</v>
      </c>
      <c r="F73" s="20" t="n">
        <v>1.41393207</v>
      </c>
      <c r="G73" s="18" t="n">
        <v>16.33223035</v>
      </c>
      <c r="H73" s="20" t="n">
        <v>1.12740537</v>
      </c>
      <c r="I73" s="18" t="n">
        <v>6.32109991</v>
      </c>
      <c r="J73" s="20" t="n">
        <v>0.62841305</v>
      </c>
      <c r="K73" s="18" t="n">
        <v>6.59058801</v>
      </c>
      <c r="L73" s="20" t="n">
        <v>0.85620371</v>
      </c>
      <c r="M73" s="18" t="n">
        <v>0</v>
      </c>
      <c r="N73" s="20" t="n">
        <v>0</v>
      </c>
      <c r="O73" s="18" t="n">
        <v>7.02823327</v>
      </c>
      <c r="P73" s="20" t="n">
        <v>0.77444744</v>
      </c>
      <c r="Q73" s="18" t="n">
        <v>0</v>
      </c>
      <c r="R73" s="20" t="n">
        <v>0</v>
      </c>
      <c r="S73" s="18" t="n">
        <v>0</v>
      </c>
      <c r="T73" s="20" t="n">
        <v>0</v>
      </c>
      <c r="U73" s="18" t="n">
        <v>0</v>
      </c>
      <c r="V73" s="20" t="n">
        <v>0</v>
      </c>
    </row>
    <row r="74" spans="1:22">
      <c r="A74" s="15" t="s">
        <v>634</v>
      </c>
      <c r="B74" s="17" t="n">
        <v>7708</v>
      </c>
      <c r="C74" s="18">
        <f>(5974.0/B74*100)</f>
        <v/>
      </c>
      <c r="D74" s="19" t="n">
        <v>1734</v>
      </c>
      <c r="E74" s="18" t="n">
        <v>29.47742213</v>
      </c>
      <c r="F74" s="20" t="n">
        <v>1.19586063</v>
      </c>
      <c r="G74" s="18" t="n">
        <v>23.69520473</v>
      </c>
      <c r="H74" s="20" t="n">
        <v>1.10945932</v>
      </c>
      <c r="I74" s="18" t="n">
        <v>13.45849312</v>
      </c>
      <c r="J74" s="20" t="n">
        <v>0.81377169</v>
      </c>
      <c r="K74" s="18" t="n">
        <v>24.76600363</v>
      </c>
      <c r="L74" s="20" t="n">
        <v>1.31206343</v>
      </c>
      <c r="M74" s="18" t="n">
        <v>0</v>
      </c>
      <c r="N74" s="20" t="n">
        <v>0</v>
      </c>
      <c r="O74" s="18" t="n">
        <v>8.60287638</v>
      </c>
      <c r="P74" s="20" t="n">
        <v>0.85613599</v>
      </c>
      <c r="Q74" s="18" t="n">
        <v>0</v>
      </c>
      <c r="R74" s="20" t="n">
        <v>0</v>
      </c>
      <c r="S74" s="18" t="n">
        <v>0</v>
      </c>
      <c r="T74" s="20" t="n">
        <v>0</v>
      </c>
      <c r="U74" s="18" t="n">
        <v>0</v>
      </c>
      <c r="V74" s="20" t="n">
        <v>0</v>
      </c>
    </row>
    <row r="75" spans="1:22">
      <c r="A75" s="15" t="s">
        <v>635</v>
      </c>
      <c r="B75" s="17" t="n">
        <v>8249</v>
      </c>
      <c r="C75" s="18">
        <f>(6624.0/B75*100)</f>
        <v/>
      </c>
      <c r="D75" s="19" t="n">
        <v>1625</v>
      </c>
      <c r="E75" s="18" t="n">
        <v>78.13161879</v>
      </c>
      <c r="F75" s="20" t="n">
        <v>1.39938093</v>
      </c>
      <c r="G75" s="18" t="n">
        <v>11.75637749</v>
      </c>
      <c r="H75" s="20" t="n">
        <v>1.09997089</v>
      </c>
      <c r="I75" s="18" t="n">
        <v>1.65037565</v>
      </c>
      <c r="J75" s="20" t="n">
        <v>0.37780962</v>
      </c>
      <c r="K75" s="18" t="n">
        <v>2.68656575</v>
      </c>
      <c r="L75" s="20" t="n">
        <v>0.48005251</v>
      </c>
      <c r="M75" s="18" t="n">
        <v>0</v>
      </c>
      <c r="N75" s="20" t="n">
        <v>0</v>
      </c>
      <c r="O75" s="18" t="n">
        <v>5.512862</v>
      </c>
      <c r="P75" s="20" t="n">
        <v>0.69479754</v>
      </c>
      <c r="Q75" s="18" t="n">
        <v>0.26220032</v>
      </c>
      <c r="R75" s="20" t="n">
        <v>0.15156733</v>
      </c>
      <c r="S75" s="18" t="n">
        <v>0</v>
      </c>
      <c r="T75" s="20" t="n">
        <v>0</v>
      </c>
      <c r="U75" s="18" t="n">
        <v>0</v>
      </c>
      <c r="V75" s="20" t="n">
        <v>0</v>
      </c>
    </row>
    <row r="76" spans="1:22">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c r="U76" s="18" t="s">
        <v>603</v>
      </c>
      <c r="V76" s="20" t="s">
        <v>603</v>
      </c>
    </row>
    <row r="77" spans="1:22">
      <c r="A77" s="15" t="s">
        <v>637</v>
      </c>
      <c r="B77" s="17" t="n">
        <v>5375</v>
      </c>
      <c r="C77" s="18">
        <f>(4397.0/B77*100)</f>
        <v/>
      </c>
      <c r="D77" s="19" t="n">
        <v>978</v>
      </c>
      <c r="E77" s="18" t="n">
        <v>54.96067207</v>
      </c>
      <c r="F77" s="20" t="n">
        <v>2.17195333</v>
      </c>
      <c r="G77" s="18" t="n">
        <v>1.72377653</v>
      </c>
      <c r="H77" s="20" t="n">
        <v>0.45164276</v>
      </c>
      <c r="I77" s="18" t="n">
        <v>0.26720658</v>
      </c>
      <c r="J77" s="20" t="n">
        <v>0.15223537</v>
      </c>
      <c r="K77" s="18" t="n">
        <v>0.31451201</v>
      </c>
      <c r="L77" s="20" t="n">
        <v>0.17243583</v>
      </c>
      <c r="M77" s="18" t="n">
        <v>0</v>
      </c>
      <c r="N77" s="20" t="n">
        <v>0</v>
      </c>
      <c r="O77" s="18" t="n">
        <v>42.19633605</v>
      </c>
      <c r="P77" s="20" t="n">
        <v>2.26823668</v>
      </c>
      <c r="Q77" s="18" t="n">
        <v>0.53749676</v>
      </c>
      <c r="R77" s="20" t="n">
        <v>0.27953625</v>
      </c>
      <c r="S77" s="18" t="n">
        <v>0</v>
      </c>
      <c r="T77" s="20" t="n">
        <v>0</v>
      </c>
      <c r="U77" s="18" t="n">
        <v>0</v>
      </c>
      <c r="V77" s="20" t="n">
        <v>0</v>
      </c>
    </row>
    <row r="78" spans="1:22">
      <c r="A78" s="15" t="s">
        <v>638</v>
      </c>
      <c r="B78" s="17" t="n">
        <v>14167</v>
      </c>
      <c r="C78" s="18">
        <f>(11140.0/B78*100)</f>
        <v/>
      </c>
      <c r="D78" s="19" t="n">
        <v>3027</v>
      </c>
      <c r="E78" s="18" t="n">
        <v>64.78456183999999</v>
      </c>
      <c r="F78" s="20" t="n">
        <v>1.08820634</v>
      </c>
      <c r="G78" s="18" t="n">
        <v>8.48964462</v>
      </c>
      <c r="H78" s="20" t="n">
        <v>0.6466571</v>
      </c>
      <c r="I78" s="18" t="n">
        <v>5.17169312</v>
      </c>
      <c r="J78" s="20" t="n">
        <v>0.48519308</v>
      </c>
      <c r="K78" s="18" t="n">
        <v>4.7135112</v>
      </c>
      <c r="L78" s="20" t="n">
        <v>0.54564536</v>
      </c>
      <c r="M78" s="18" t="n">
        <v>0</v>
      </c>
      <c r="N78" s="20" t="n">
        <v>0</v>
      </c>
      <c r="O78" s="18" t="n">
        <v>16.75144499</v>
      </c>
      <c r="P78" s="20" t="n">
        <v>0.99144744</v>
      </c>
      <c r="Q78" s="18" t="n">
        <v>0.08914423</v>
      </c>
      <c r="R78" s="20" t="n">
        <v>0.05479655</v>
      </c>
      <c r="S78" s="18" t="n">
        <v>0</v>
      </c>
      <c r="T78" s="20" t="n">
        <v>0</v>
      </c>
      <c r="U78" s="18" t="n">
        <v>0</v>
      </c>
      <c r="V78" s="20" t="n">
        <v>0</v>
      </c>
    </row>
    <row r="79" spans="1:22">
      <c r="A79" s="15" t="s">
        <v>639</v>
      </c>
      <c r="B79" s="17" t="n">
        <v>6062</v>
      </c>
      <c r="C79" s="18">
        <f>(4844.0/B79*100)</f>
        <v/>
      </c>
      <c r="D79" s="19" t="n">
        <v>1218</v>
      </c>
      <c r="E79" s="18" t="n">
        <v>38.51208887</v>
      </c>
      <c r="F79" s="20" t="n">
        <v>1.47352692</v>
      </c>
      <c r="G79" s="18" t="n">
        <v>10.87214003</v>
      </c>
      <c r="H79" s="20" t="n">
        <v>0.909228</v>
      </c>
      <c r="I79" s="18" t="n">
        <v>4.19156696</v>
      </c>
      <c r="J79" s="20" t="n">
        <v>0.6174681</v>
      </c>
      <c r="K79" s="18" t="n">
        <v>4.99930883</v>
      </c>
      <c r="L79" s="20" t="n">
        <v>0.63969826</v>
      </c>
      <c r="M79" s="18" t="n">
        <v>0</v>
      </c>
      <c r="N79" s="20" t="n">
        <v>0</v>
      </c>
      <c r="O79" s="18" t="n">
        <v>41.35850897</v>
      </c>
      <c r="P79" s="20" t="n">
        <v>1.74343525</v>
      </c>
      <c r="Q79" s="18" t="n">
        <v>0.06638634</v>
      </c>
      <c r="R79" s="20" t="n">
        <v>0.0735325</v>
      </c>
      <c r="S79" s="18" t="n">
        <v>0</v>
      </c>
      <c r="T79" s="20" t="n">
        <v>0</v>
      </c>
      <c r="U79" s="18" t="n">
        <v>0</v>
      </c>
      <c r="V79" s="20" t="n">
        <v>0</v>
      </c>
    </row>
    <row r="80" spans="1:22">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c r="U80" s="18" t="s">
        <v>603</v>
      </c>
      <c r="V80" s="20" t="s">
        <v>603</v>
      </c>
    </row>
    <row r="81" spans="1:22">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c r="U81" s="18" t="s">
        <v>603</v>
      </c>
      <c r="V81" s="20" t="s">
        <v>603</v>
      </c>
    </row>
    <row r="82" spans="1:22">
      <c r="A82" s="15" t="s">
        <v>642</v>
      </c>
      <c r="B82" s="17" t="n">
        <v>32330</v>
      </c>
      <c r="C82" s="18">
        <f>(25518.0/B82*100)</f>
        <v/>
      </c>
      <c r="D82" s="19" t="n">
        <v>6812</v>
      </c>
      <c r="E82" s="18" t="n">
        <v>38.12916502</v>
      </c>
      <c r="F82" s="20" t="n">
        <v>0.8238799</v>
      </c>
      <c r="G82" s="18" t="n">
        <v>10.2105143</v>
      </c>
      <c r="H82" s="20" t="n">
        <v>0.54449658</v>
      </c>
      <c r="I82" s="18" t="n">
        <v>17.21255342</v>
      </c>
      <c r="J82" s="20" t="n">
        <v>0.73569356</v>
      </c>
      <c r="K82" s="18" t="n">
        <v>15.07593186</v>
      </c>
      <c r="L82" s="20" t="n">
        <v>0.59721999</v>
      </c>
      <c r="M82" s="18" t="n">
        <v>0</v>
      </c>
      <c r="N82" s="20" t="n">
        <v>0</v>
      </c>
      <c r="O82" s="18" t="n">
        <v>19.27112745</v>
      </c>
      <c r="P82" s="20" t="n">
        <v>0.775459</v>
      </c>
      <c r="Q82" s="18" t="n">
        <v>0.10070795</v>
      </c>
      <c r="R82" s="20" t="n">
        <v>0.08110601000000001</v>
      </c>
      <c r="S82" s="18" t="n">
        <v>0</v>
      </c>
      <c r="T82" s="20" t="n">
        <v>0</v>
      </c>
      <c r="U82" s="18" t="n">
        <v>0</v>
      </c>
      <c r="V82" s="20" t="n">
        <v>0</v>
      </c>
    </row>
    <row r="83" spans="1:22">
      <c r="A83" s="15" t="s">
        <v>643</v>
      </c>
      <c r="B83" s="17" t="n">
        <v>1652</v>
      </c>
      <c r="C83" s="18">
        <f>(1296.0/B83*100)</f>
        <v/>
      </c>
      <c r="D83" s="19" t="n">
        <v>356</v>
      </c>
      <c r="E83" s="18" t="n">
        <v>38.23830693</v>
      </c>
      <c r="F83" s="20" t="n">
        <v>3.78481451</v>
      </c>
      <c r="G83" s="18" t="n">
        <v>25.09862476</v>
      </c>
      <c r="H83" s="20" t="n">
        <v>1.99735351</v>
      </c>
      <c r="I83" s="18" t="n">
        <v>4.6292647</v>
      </c>
      <c r="J83" s="20" t="n">
        <v>1.16424753</v>
      </c>
      <c r="K83" s="18" t="n">
        <v>27.89674268</v>
      </c>
      <c r="L83" s="20" t="n">
        <v>2.98460751</v>
      </c>
      <c r="M83" s="18" t="n">
        <v>0</v>
      </c>
      <c r="N83" s="20" t="n">
        <v>0</v>
      </c>
      <c r="O83" s="18" t="n">
        <v>4.13706094</v>
      </c>
      <c r="P83" s="20" t="n">
        <v>0.89121575</v>
      </c>
      <c r="Q83" s="18" t="n">
        <v>0</v>
      </c>
      <c r="R83" s="20" t="n">
        <v>0</v>
      </c>
      <c r="S83" s="18" t="n">
        <v>0</v>
      </c>
      <c r="T83" s="20" t="n">
        <v>0</v>
      </c>
      <c r="U83" s="18" t="n">
        <v>0</v>
      </c>
      <c r="V83" s="20" t="n">
        <v>0</v>
      </c>
    </row>
    <row r="84" spans="1:22">
      <c r="A84" s="23" t="s">
        <v>644</v>
      </c>
      <c r="B84" s="24" t="n">
        <v>1887</v>
      </c>
      <c r="C84" s="25">
        <f>(1503.0/B84*100)</f>
        <v/>
      </c>
      <c r="D84" s="19" t="n">
        <v>384</v>
      </c>
      <c r="E84" s="18" t="n">
        <v>45.02454626</v>
      </c>
      <c r="F84" s="20" t="n">
        <v>2.53731207</v>
      </c>
      <c r="G84" s="18" t="n">
        <v>24.70465302</v>
      </c>
      <c r="H84" s="20" t="n">
        <v>2.76343727</v>
      </c>
      <c r="I84" s="18" t="n">
        <v>5.60056055</v>
      </c>
      <c r="J84" s="20" t="n">
        <v>1.17261499</v>
      </c>
      <c r="K84" s="18" t="n">
        <v>19.1758723</v>
      </c>
      <c r="L84" s="20" t="n">
        <v>2.16800874</v>
      </c>
      <c r="M84" s="18" t="n">
        <v>0</v>
      </c>
      <c r="N84" s="20" t="n">
        <v>0</v>
      </c>
      <c r="O84" s="18" t="n">
        <v>5.49436786</v>
      </c>
      <c r="P84" s="20" t="n">
        <v>1.12549919</v>
      </c>
      <c r="Q84" s="18" t="n">
        <v>0</v>
      </c>
      <c r="R84" s="20" t="n">
        <v>0</v>
      </c>
      <c r="S84" s="18" t="n">
        <v>0</v>
      </c>
      <c r="T84" s="20" t="n">
        <v>0</v>
      </c>
      <c r="U84" s="18" t="n">
        <v>0</v>
      </c>
      <c r="V84" s="20" t="n">
        <v>0</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1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(11328.0/B7*100)</f>
        <v/>
      </c>
      <c r="D7" s="19" t="n">
        <v>3202</v>
      </c>
      <c r="E7" s="18" t="n">
        <v>37.64452659</v>
      </c>
      <c r="F7" s="20" t="n">
        <v>1.05904861</v>
      </c>
      <c r="G7" s="18" t="n">
        <v>61.22003672</v>
      </c>
      <c r="H7" s="20" t="n">
        <v>1.0901169</v>
      </c>
      <c r="I7" s="18" t="n">
        <v>0</v>
      </c>
      <c r="J7" s="20" t="n">
        <v>0</v>
      </c>
      <c r="K7" s="18" t="n">
        <v>0.1333202</v>
      </c>
      <c r="L7" s="20" t="n">
        <v>0.06001652</v>
      </c>
      <c r="M7" s="18" t="n">
        <v>0</v>
      </c>
      <c r="N7" s="20" t="n">
        <v>0</v>
      </c>
      <c r="O7" s="18" t="n">
        <v>0</v>
      </c>
      <c r="P7" s="20" t="n">
        <v>0</v>
      </c>
      <c r="Q7" s="18" t="n">
        <v>1.0021165</v>
      </c>
      <c r="R7" s="20" t="n">
        <v>0.17445816</v>
      </c>
    </row>
    <row r="8" spans="1:18">
      <c r="A8" s="15" t="s">
        <v>566</v>
      </c>
      <c r="B8" s="17" t="n">
        <v>7007</v>
      </c>
      <c r="C8" s="18">
        <f>(5455.0/B8*100)</f>
        <v/>
      </c>
      <c r="D8" s="19" t="n">
        <v>1552</v>
      </c>
      <c r="E8" s="18" t="n">
        <v>46.37836568</v>
      </c>
      <c r="F8" s="20" t="n">
        <v>1.27817964</v>
      </c>
      <c r="G8" s="18" t="n">
        <v>53.10656714</v>
      </c>
      <c r="H8" s="20" t="n">
        <v>1.25355875</v>
      </c>
      <c r="I8" s="18" t="n">
        <v>0</v>
      </c>
      <c r="J8" s="20" t="n">
        <v>0</v>
      </c>
      <c r="K8" s="18" t="n">
        <v>0.05150509</v>
      </c>
      <c r="L8" s="20" t="n">
        <v>0.08727198</v>
      </c>
      <c r="M8" s="18" t="n">
        <v>0</v>
      </c>
      <c r="N8" s="20" t="n">
        <v>0</v>
      </c>
      <c r="O8" s="18" t="n">
        <v>0</v>
      </c>
      <c r="P8" s="20" t="n">
        <v>0</v>
      </c>
      <c r="Q8" s="18" t="n">
        <v>0.46356209</v>
      </c>
      <c r="R8" s="20" t="n">
        <v>0.17282402</v>
      </c>
    </row>
    <row r="9" spans="1:18">
      <c r="A9" s="15" t="s">
        <v>567</v>
      </c>
      <c r="B9" s="17" t="n">
        <v>9651</v>
      </c>
      <c r="C9" s="18">
        <f>(7572.0/B9*100)</f>
        <v/>
      </c>
      <c r="D9" s="19" t="n">
        <v>2079</v>
      </c>
      <c r="E9" s="18" t="n">
        <v>35.85582203</v>
      </c>
      <c r="F9" s="20" t="n">
        <v>1.2393018</v>
      </c>
      <c r="G9" s="18" t="n">
        <v>63.50638817</v>
      </c>
      <c r="H9" s="20" t="n">
        <v>1.24333489</v>
      </c>
      <c r="I9" s="18" t="n">
        <v>0</v>
      </c>
      <c r="J9" s="20" t="n">
        <v>0</v>
      </c>
      <c r="K9" s="18" t="n">
        <v>0.12127985</v>
      </c>
      <c r="L9" s="20" t="n">
        <v>0.06753887</v>
      </c>
      <c r="M9" s="18" t="n">
        <v>0</v>
      </c>
      <c r="N9" s="20" t="n">
        <v>0</v>
      </c>
      <c r="O9" s="18" t="n">
        <v>0</v>
      </c>
      <c r="P9" s="20" t="n">
        <v>0</v>
      </c>
      <c r="Q9" s="18" t="n">
        <v>0.51650995</v>
      </c>
      <c r="R9" s="20" t="n">
        <v>0.14023711</v>
      </c>
    </row>
    <row r="10" spans="1:18">
      <c r="A10" s="15" t="s">
        <v>568</v>
      </c>
      <c r="B10" s="17" t="n">
        <v>20058</v>
      </c>
      <c r="C10" s="18">
        <f>(15671.0/B10*100)</f>
        <v/>
      </c>
      <c r="D10" s="19" t="n">
        <v>4387</v>
      </c>
      <c r="E10" s="18" t="n">
        <v>38.5267269</v>
      </c>
      <c r="F10" s="20" t="n">
        <v>1.11202438</v>
      </c>
      <c r="G10" s="18" t="n">
        <v>60.96219864</v>
      </c>
      <c r="H10" s="20" t="n">
        <v>1.12168699</v>
      </c>
      <c r="I10" s="18" t="n">
        <v>0</v>
      </c>
      <c r="J10" s="20" t="n">
        <v>0</v>
      </c>
      <c r="K10" s="18" t="n">
        <v>0.08725802000000001</v>
      </c>
      <c r="L10" s="20" t="n">
        <v>0.08410141</v>
      </c>
      <c r="M10" s="18" t="n">
        <v>0</v>
      </c>
      <c r="N10" s="20" t="n">
        <v>0</v>
      </c>
      <c r="O10" s="18" t="n">
        <v>0</v>
      </c>
      <c r="P10" s="20" t="n">
        <v>0</v>
      </c>
      <c r="Q10" s="18" t="n">
        <v>0.42381644</v>
      </c>
      <c r="R10" s="20" t="n">
        <v>0.13551464</v>
      </c>
    </row>
    <row r="11" spans="1:18">
      <c r="A11" s="15" t="s">
        <v>569</v>
      </c>
      <c r="B11" s="17" t="n">
        <v>7053</v>
      </c>
      <c r="C11" s="18">
        <f>(5520.0/B11*100)</f>
        <v/>
      </c>
      <c r="D11" s="19" t="n">
        <v>1533</v>
      </c>
      <c r="E11" s="18" t="n">
        <v>50.23818426</v>
      </c>
      <c r="F11" s="20" t="n">
        <v>1.5258992</v>
      </c>
      <c r="G11" s="18" t="n">
        <v>48.75852861</v>
      </c>
      <c r="H11" s="20" t="n">
        <v>1.47960137</v>
      </c>
      <c r="I11" s="18" t="n">
        <v>0</v>
      </c>
      <c r="J11" s="20" t="n">
        <v>0</v>
      </c>
      <c r="K11" s="18" t="n">
        <v>0.24482306</v>
      </c>
      <c r="L11" s="20" t="n">
        <v>0.12644756</v>
      </c>
      <c r="M11" s="18" t="n">
        <v>0</v>
      </c>
      <c r="N11" s="20" t="n">
        <v>0</v>
      </c>
      <c r="O11" s="18" t="n">
        <v>0</v>
      </c>
      <c r="P11" s="20" t="n">
        <v>0</v>
      </c>
      <c r="Q11" s="18" t="n">
        <v>0.75846407</v>
      </c>
      <c r="R11" s="20" t="n">
        <v>0.24936593</v>
      </c>
    </row>
    <row r="12" spans="1:18">
      <c r="A12" s="15" t="s">
        <v>570</v>
      </c>
      <c r="B12" s="17" t="n">
        <v>6894</v>
      </c>
      <c r="C12" s="18">
        <f>(5396.0/B12*100)</f>
        <v/>
      </c>
      <c r="D12" s="19" t="n">
        <v>1498</v>
      </c>
      <c r="E12" s="18" t="n">
        <v>41.92529883</v>
      </c>
      <c r="F12" s="20" t="n">
        <v>1.28814026</v>
      </c>
      <c r="G12" s="18" t="n">
        <v>57.52978628</v>
      </c>
      <c r="H12" s="20" t="n">
        <v>1.2832658</v>
      </c>
      <c r="I12" s="18" t="n">
        <v>0</v>
      </c>
      <c r="J12" s="20" t="n">
        <v>0</v>
      </c>
      <c r="K12" s="18" t="n">
        <v>0.12569305</v>
      </c>
      <c r="L12" s="20" t="n">
        <v>0.11054919</v>
      </c>
      <c r="M12" s="18" t="n">
        <v>0</v>
      </c>
      <c r="N12" s="20" t="n">
        <v>0</v>
      </c>
      <c r="O12" s="18" t="n">
        <v>0</v>
      </c>
      <c r="P12" s="20" t="n">
        <v>0</v>
      </c>
      <c r="Q12" s="18" t="n">
        <v>0.41922184</v>
      </c>
      <c r="R12" s="20" t="n">
        <v>0.0950916</v>
      </c>
    </row>
    <row r="13" spans="1:18">
      <c r="A13" s="15" t="s">
        <v>571</v>
      </c>
      <c r="B13" s="17" t="n">
        <v>7161</v>
      </c>
      <c r="C13" s="18">
        <f>(5639.0/B13*100)</f>
        <v/>
      </c>
      <c r="D13" s="19" t="n">
        <v>1522</v>
      </c>
      <c r="E13" s="18" t="n">
        <v>43.21128599</v>
      </c>
      <c r="F13" s="20" t="n">
        <v>1.60453846</v>
      </c>
      <c r="G13" s="18" t="n">
        <v>56.13980981</v>
      </c>
      <c r="H13" s="20" t="n">
        <v>1.60458134</v>
      </c>
      <c r="I13" s="18" t="n">
        <v>0</v>
      </c>
      <c r="J13" s="20" t="n">
        <v>0</v>
      </c>
      <c r="K13" s="18" t="n">
        <v>0.12166086</v>
      </c>
      <c r="L13" s="20" t="n">
        <v>0.0924637</v>
      </c>
      <c r="M13" s="18" t="n">
        <v>0</v>
      </c>
      <c r="N13" s="20" t="n">
        <v>0</v>
      </c>
      <c r="O13" s="18" t="n">
        <v>0</v>
      </c>
      <c r="P13" s="20" t="n">
        <v>0</v>
      </c>
      <c r="Q13" s="18" t="n">
        <v>0.52724333</v>
      </c>
      <c r="R13" s="20" t="n">
        <v>0.19747142</v>
      </c>
    </row>
    <row r="14" spans="1:18">
      <c r="A14" s="15" t="s">
        <v>572</v>
      </c>
      <c r="B14" s="17" t="n">
        <v>5587</v>
      </c>
      <c r="C14" s="18">
        <f>(4356.0/B14*100)</f>
        <v/>
      </c>
      <c r="D14" s="19" t="n">
        <v>1231</v>
      </c>
      <c r="E14" s="18" t="n">
        <v>25.75876767</v>
      </c>
      <c r="F14" s="20" t="n">
        <v>1.32857557</v>
      </c>
      <c r="G14" s="18" t="n">
        <v>74.24123233</v>
      </c>
      <c r="H14" s="20" t="n">
        <v>1.32857557</v>
      </c>
      <c r="I14" s="18" t="n">
        <v>0</v>
      </c>
      <c r="J14" s="20" t="n">
        <v>0</v>
      </c>
      <c r="K14" s="18" t="n">
        <v>0</v>
      </c>
      <c r="L14" s="20" t="n">
        <v>0</v>
      </c>
      <c r="M14" s="18" t="n">
        <v>0</v>
      </c>
      <c r="N14" s="20" t="n">
        <v>0</v>
      </c>
      <c r="O14" s="18" t="n">
        <v>0</v>
      </c>
      <c r="P14" s="20" t="n">
        <v>0</v>
      </c>
      <c r="Q14" s="18" t="n">
        <v>0</v>
      </c>
      <c r="R14" s="20" t="n">
        <v>0</v>
      </c>
    </row>
    <row r="15" spans="1:18">
      <c r="A15" s="15" t="s">
        <v>573</v>
      </c>
      <c r="B15" s="17" t="n">
        <v>5882</v>
      </c>
      <c r="C15" s="18">
        <f>(4622.0/B15*100)</f>
        <v/>
      </c>
      <c r="D15" s="19" t="n">
        <v>1260</v>
      </c>
      <c r="E15" s="18" t="n">
        <v>36.14877276</v>
      </c>
      <c r="F15" s="20" t="n">
        <v>1.26564374</v>
      </c>
      <c r="G15" s="18" t="n">
        <v>63.23614755</v>
      </c>
      <c r="H15" s="20" t="n">
        <v>1.28844276</v>
      </c>
      <c r="I15" s="18" t="n">
        <v>0</v>
      </c>
      <c r="J15" s="20" t="n">
        <v>0</v>
      </c>
      <c r="K15" s="18" t="n">
        <v>0.07814818</v>
      </c>
      <c r="L15" s="20" t="n">
        <v>0.07850603</v>
      </c>
      <c r="M15" s="18" t="n">
        <v>0</v>
      </c>
      <c r="N15" s="20" t="n">
        <v>0</v>
      </c>
      <c r="O15" s="18" t="n">
        <v>0</v>
      </c>
      <c r="P15" s="20" t="n">
        <v>0</v>
      </c>
      <c r="Q15" s="18" t="n">
        <v>0.5369315099999999</v>
      </c>
      <c r="R15" s="20" t="n">
        <v>0.1735357</v>
      </c>
    </row>
    <row r="16" spans="1:18">
      <c r="A16" s="15" t="s">
        <v>574</v>
      </c>
      <c r="B16" s="17" t="n">
        <v>6108</v>
      </c>
      <c r="C16" s="18">
        <f>(4755.0/B16*100)</f>
        <v/>
      </c>
      <c r="D16" s="19" t="n">
        <v>1353</v>
      </c>
      <c r="E16" s="18" t="n">
        <v>42.75918875</v>
      </c>
      <c r="F16" s="20" t="n">
        <v>1.25480538</v>
      </c>
      <c r="G16" s="18" t="n">
        <v>55.58618544</v>
      </c>
      <c r="H16" s="20" t="n">
        <v>1.24635739</v>
      </c>
      <c r="I16" s="18" t="n">
        <v>0</v>
      </c>
      <c r="J16" s="20" t="n">
        <v>0</v>
      </c>
      <c r="K16" s="18" t="n">
        <v>0.21957353</v>
      </c>
      <c r="L16" s="20" t="n">
        <v>0.11716146</v>
      </c>
      <c r="M16" s="18" t="n">
        <v>0</v>
      </c>
      <c r="N16" s="20" t="n">
        <v>0</v>
      </c>
      <c r="O16" s="18" t="n">
        <v>0</v>
      </c>
      <c r="P16" s="20" t="n">
        <v>0</v>
      </c>
      <c r="Q16" s="18" t="n">
        <v>1.43505228</v>
      </c>
      <c r="R16" s="20" t="n">
        <v>0.41938214</v>
      </c>
    </row>
    <row r="17" spans="1:18">
      <c r="A17" s="15" t="s">
        <v>575</v>
      </c>
      <c r="B17" s="17" t="n">
        <v>6504</v>
      </c>
      <c r="C17" s="18">
        <f>(5073.0/B17*100)</f>
        <v/>
      </c>
      <c r="D17" s="19" t="n">
        <v>1431</v>
      </c>
      <c r="E17" s="18" t="n">
        <v>42.2694578</v>
      </c>
      <c r="F17" s="20" t="n">
        <v>1.33676183</v>
      </c>
      <c r="G17" s="18" t="n">
        <v>57.40326191</v>
      </c>
      <c r="H17" s="20" t="n">
        <v>1.34685781</v>
      </c>
      <c r="I17" s="18" t="n">
        <v>0</v>
      </c>
      <c r="J17" s="20" t="n">
        <v>0</v>
      </c>
      <c r="K17" s="18" t="n">
        <v>0</v>
      </c>
      <c r="L17" s="20" t="n">
        <v>0</v>
      </c>
      <c r="M17" s="18" t="n">
        <v>0</v>
      </c>
      <c r="N17" s="20" t="n">
        <v>0</v>
      </c>
      <c r="O17" s="18" t="n">
        <v>0</v>
      </c>
      <c r="P17" s="20" t="n">
        <v>0</v>
      </c>
      <c r="Q17" s="18" t="n">
        <v>0.32728028</v>
      </c>
      <c r="R17" s="20" t="n">
        <v>0.14758686</v>
      </c>
    </row>
    <row r="18" spans="1:18">
      <c r="A18" s="15" t="s">
        <v>576</v>
      </c>
      <c r="B18" s="17" t="n">
        <v>5532</v>
      </c>
      <c r="C18" s="18">
        <f>(4300.0/B18*100)</f>
        <v/>
      </c>
      <c r="D18" s="19" t="n">
        <v>1232</v>
      </c>
      <c r="E18" s="18" t="n">
        <v>44.34931572</v>
      </c>
      <c r="F18" s="20" t="n">
        <v>1.65242182</v>
      </c>
      <c r="G18" s="18" t="n">
        <v>54.90631663</v>
      </c>
      <c r="H18" s="20" t="n">
        <v>1.67466068</v>
      </c>
      <c r="I18" s="18" t="n">
        <v>0</v>
      </c>
      <c r="J18" s="20" t="n">
        <v>0</v>
      </c>
      <c r="K18" s="18" t="n">
        <v>0.13063154</v>
      </c>
      <c r="L18" s="20" t="n">
        <v>0.12986719</v>
      </c>
      <c r="M18" s="18" t="n">
        <v>0</v>
      </c>
      <c r="N18" s="20" t="n">
        <v>0</v>
      </c>
      <c r="O18" s="18" t="n">
        <v>0</v>
      </c>
      <c r="P18" s="20" t="n">
        <v>0</v>
      </c>
      <c r="Q18" s="18" t="n">
        <v>0.6137361099999999</v>
      </c>
      <c r="R18" s="20" t="n">
        <v>0.23611119</v>
      </c>
    </row>
    <row r="19" spans="1:18">
      <c r="A19" s="15" t="s">
        <v>577</v>
      </c>
      <c r="B19" s="17" t="n">
        <v>5658</v>
      </c>
      <c r="C19" s="18">
        <f>(4423.0/B19*100)</f>
        <v/>
      </c>
      <c r="D19" s="19" t="n">
        <v>1235</v>
      </c>
      <c r="E19" s="18" t="n">
        <v>41.52841276</v>
      </c>
      <c r="F19" s="20" t="n">
        <v>1.45478288</v>
      </c>
      <c r="G19" s="18" t="n">
        <v>57.23146965</v>
      </c>
      <c r="H19" s="20" t="n">
        <v>1.42989288</v>
      </c>
      <c r="I19" s="18" t="n">
        <v>0</v>
      </c>
      <c r="J19" s="20" t="n">
        <v>0</v>
      </c>
      <c r="K19" s="18" t="n">
        <v>0.05655282</v>
      </c>
      <c r="L19" s="20" t="n">
        <v>0.05649406</v>
      </c>
      <c r="M19" s="18" t="n">
        <v>0</v>
      </c>
      <c r="N19" s="20" t="n">
        <v>0</v>
      </c>
      <c r="O19" s="18" t="n">
        <v>0</v>
      </c>
      <c r="P19" s="20" t="n">
        <v>0</v>
      </c>
      <c r="Q19" s="18" t="n">
        <v>1.18356478</v>
      </c>
      <c r="R19" s="20" t="n">
        <v>0.33677705</v>
      </c>
    </row>
    <row r="20" spans="1:18">
      <c r="A20" s="15" t="s">
        <v>578</v>
      </c>
      <c r="B20" s="17" t="n">
        <v>3371</v>
      </c>
      <c r="C20" s="18">
        <f>(2631.0/B20*100)</f>
        <v/>
      </c>
      <c r="D20" s="19" t="n">
        <v>740</v>
      </c>
      <c r="E20" s="18" t="n">
        <v>36.59281663</v>
      </c>
      <c r="F20" s="20" t="n">
        <v>1.88332237</v>
      </c>
      <c r="G20" s="18" t="n">
        <v>62.11365542</v>
      </c>
      <c r="H20" s="20" t="n">
        <v>1.89566751</v>
      </c>
      <c r="I20" s="18" t="n">
        <v>0</v>
      </c>
      <c r="J20" s="20" t="n">
        <v>0</v>
      </c>
      <c r="K20" s="18" t="n">
        <v>0.13378453</v>
      </c>
      <c r="L20" s="20" t="n">
        <v>0.13407414</v>
      </c>
      <c r="M20" s="18" t="n">
        <v>0</v>
      </c>
      <c r="N20" s="20" t="n">
        <v>0</v>
      </c>
      <c r="O20" s="18" t="n">
        <v>0</v>
      </c>
      <c r="P20" s="20" t="n">
        <v>0</v>
      </c>
      <c r="Q20" s="18" t="n">
        <v>1.15974342</v>
      </c>
      <c r="R20" s="20" t="n">
        <v>0.41970205</v>
      </c>
    </row>
    <row r="21" spans="1:18">
      <c r="A21" s="15" t="s">
        <v>579</v>
      </c>
      <c r="B21" s="17" t="n">
        <v>5741</v>
      </c>
      <c r="C21" s="18">
        <f>(4459.0/B21*100)</f>
        <v/>
      </c>
      <c r="D21" s="19" t="n">
        <v>1282</v>
      </c>
      <c r="E21" s="18" t="n">
        <v>44.00480196</v>
      </c>
      <c r="F21" s="20" t="n">
        <v>1.26970444</v>
      </c>
      <c r="G21" s="18" t="n">
        <v>54.99655889</v>
      </c>
      <c r="H21" s="20" t="n">
        <v>1.27125433</v>
      </c>
      <c r="I21" s="18" t="n">
        <v>0</v>
      </c>
      <c r="J21" s="20" t="n">
        <v>0</v>
      </c>
      <c r="K21" s="18" t="n">
        <v>0</v>
      </c>
      <c r="L21" s="20" t="n">
        <v>0</v>
      </c>
      <c r="M21" s="18" t="n">
        <v>0</v>
      </c>
      <c r="N21" s="20" t="n">
        <v>0</v>
      </c>
      <c r="O21" s="18" t="n">
        <v>0</v>
      </c>
      <c r="P21" s="20" t="n">
        <v>0</v>
      </c>
      <c r="Q21" s="18" t="n">
        <v>0.99863915</v>
      </c>
      <c r="R21" s="20" t="n">
        <v>0.30873648</v>
      </c>
    </row>
    <row r="22" spans="1:18">
      <c r="A22" s="15" t="s">
        <v>580</v>
      </c>
      <c r="B22" s="17" t="n">
        <v>6598</v>
      </c>
      <c r="C22" s="18">
        <f>(5292.0/B22*100)</f>
        <v/>
      </c>
      <c r="D22" s="19" t="n">
        <v>1306</v>
      </c>
      <c r="E22" s="18" t="n">
        <v>41.34802067</v>
      </c>
      <c r="F22" s="20" t="n">
        <v>1.78308115</v>
      </c>
      <c r="G22" s="18" t="n">
        <v>56.89524353</v>
      </c>
      <c r="H22" s="20" t="n">
        <v>1.83830124</v>
      </c>
      <c r="I22" s="18" t="n">
        <v>0</v>
      </c>
      <c r="J22" s="20" t="n">
        <v>0</v>
      </c>
      <c r="K22" s="18" t="n">
        <v>0.24928007</v>
      </c>
      <c r="L22" s="20" t="n">
        <v>0.20616256</v>
      </c>
      <c r="M22" s="18" t="n">
        <v>0</v>
      </c>
      <c r="N22" s="20" t="n">
        <v>0</v>
      </c>
      <c r="O22" s="18" t="n">
        <v>0</v>
      </c>
      <c r="P22" s="20" t="n">
        <v>0</v>
      </c>
      <c r="Q22" s="18" t="n">
        <v>1.50745574</v>
      </c>
      <c r="R22" s="20" t="n">
        <v>0.31920985</v>
      </c>
    </row>
    <row r="23" spans="1:18">
      <c r="A23" s="15" t="s">
        <v>581</v>
      </c>
      <c r="B23" s="17" t="n">
        <v>11583</v>
      </c>
      <c r="C23" s="18">
        <f>(8994.0/B23*100)</f>
        <v/>
      </c>
      <c r="D23" s="19" t="n">
        <v>2589</v>
      </c>
      <c r="E23" s="18" t="n">
        <v>36.92134974</v>
      </c>
      <c r="F23" s="20" t="n">
        <v>1.37727507</v>
      </c>
      <c r="G23" s="18" t="n">
        <v>62.57829148</v>
      </c>
      <c r="H23" s="20" t="n">
        <v>1.35661284</v>
      </c>
      <c r="I23" s="18" t="n">
        <v>0</v>
      </c>
      <c r="J23" s="20" t="n">
        <v>0</v>
      </c>
      <c r="K23" s="18" t="n">
        <v>0.076372</v>
      </c>
      <c r="L23" s="20" t="n">
        <v>0.04918855</v>
      </c>
      <c r="M23" s="18" t="n">
        <v>0</v>
      </c>
      <c r="N23" s="20" t="n">
        <v>0</v>
      </c>
      <c r="O23" s="18" t="n">
        <v>0</v>
      </c>
      <c r="P23" s="20" t="n">
        <v>0</v>
      </c>
      <c r="Q23" s="18" t="n">
        <v>0.42398678</v>
      </c>
      <c r="R23" s="20" t="n">
        <v>0.18045148</v>
      </c>
    </row>
    <row r="24" spans="1:18">
      <c r="A24" s="15" t="s">
        <v>582</v>
      </c>
      <c r="B24" s="17" t="n">
        <v>6647</v>
      </c>
      <c r="C24" s="18">
        <f>(5191.0/B24*100)</f>
        <v/>
      </c>
      <c r="D24" s="19" t="n">
        <v>1456</v>
      </c>
      <c r="E24" s="18" t="n">
        <v>32.03580458</v>
      </c>
      <c r="F24" s="20" t="n">
        <v>1.3592762</v>
      </c>
      <c r="G24" s="18" t="n">
        <v>67.02664894</v>
      </c>
      <c r="H24" s="20" t="n">
        <v>1.37965389</v>
      </c>
      <c r="I24" s="18" t="n">
        <v>0</v>
      </c>
      <c r="J24" s="20" t="n">
        <v>0</v>
      </c>
      <c r="K24" s="18" t="n">
        <v>0.19627394</v>
      </c>
      <c r="L24" s="20" t="n">
        <v>0.1113412</v>
      </c>
      <c r="M24" s="18" t="n">
        <v>0</v>
      </c>
      <c r="N24" s="20" t="n">
        <v>0</v>
      </c>
      <c r="O24" s="18" t="n">
        <v>0</v>
      </c>
      <c r="P24" s="20" t="n">
        <v>0</v>
      </c>
      <c r="Q24" s="18" t="n">
        <v>0.74127253</v>
      </c>
      <c r="R24" s="20" t="n">
        <v>0.22780576</v>
      </c>
    </row>
    <row r="25" spans="1:18">
      <c r="A25" s="15" t="s">
        <v>583</v>
      </c>
      <c r="B25" s="17" t="n">
        <v>5581</v>
      </c>
      <c r="C25" s="18">
        <f>(4321.0/B25*100)</f>
        <v/>
      </c>
      <c r="D25" s="19" t="n">
        <v>1260</v>
      </c>
      <c r="E25" s="18" t="n">
        <v>40.19970451</v>
      </c>
      <c r="F25" s="20" t="n">
        <v>1.47944656</v>
      </c>
      <c r="G25" s="18" t="n">
        <v>59.49031232</v>
      </c>
      <c r="H25" s="20" t="n">
        <v>1.48728855</v>
      </c>
      <c r="I25" s="18" t="n">
        <v>0</v>
      </c>
      <c r="J25" s="20" t="n">
        <v>0</v>
      </c>
      <c r="K25" s="18" t="n">
        <v>0.07791931000000001</v>
      </c>
      <c r="L25" s="20" t="n">
        <v>0.07779762</v>
      </c>
      <c r="M25" s="18" t="n">
        <v>0</v>
      </c>
      <c r="N25" s="20" t="n">
        <v>0</v>
      </c>
      <c r="O25" s="18" t="n">
        <v>0</v>
      </c>
      <c r="P25" s="20" t="n">
        <v>0</v>
      </c>
      <c r="Q25" s="18" t="n">
        <v>0.23206386</v>
      </c>
      <c r="R25" s="20" t="n">
        <v>0.13332458</v>
      </c>
    </row>
    <row r="26" spans="1:18">
      <c r="A26" s="15" t="s">
        <v>584</v>
      </c>
      <c r="B26" s="17" t="n">
        <v>4869</v>
      </c>
      <c r="C26" s="18">
        <f>(3792.0/B26*100)</f>
        <v/>
      </c>
      <c r="D26" s="19" t="n">
        <v>1077</v>
      </c>
      <c r="E26" s="18" t="n">
        <v>37.63033574</v>
      </c>
      <c r="F26" s="20" t="n">
        <v>1.63522372</v>
      </c>
      <c r="G26" s="18" t="n">
        <v>62.12405728</v>
      </c>
      <c r="H26" s="20" t="n">
        <v>1.63736994</v>
      </c>
      <c r="I26" s="18" t="n">
        <v>0</v>
      </c>
      <c r="J26" s="20" t="n">
        <v>0</v>
      </c>
      <c r="K26" s="18" t="n">
        <v>0</v>
      </c>
      <c r="L26" s="20" t="n">
        <v>0</v>
      </c>
      <c r="M26" s="18" t="n">
        <v>0</v>
      </c>
      <c r="N26" s="20" t="n">
        <v>0</v>
      </c>
      <c r="O26" s="18" t="n">
        <v>0</v>
      </c>
      <c r="P26" s="20" t="n">
        <v>0</v>
      </c>
      <c r="Q26" s="18" t="n">
        <v>0.24560699</v>
      </c>
      <c r="R26" s="20" t="n">
        <v>0.1805005</v>
      </c>
    </row>
    <row r="27" spans="1:18">
      <c r="A27" s="15" t="s">
        <v>585</v>
      </c>
      <c r="B27" s="17" t="n">
        <v>5299</v>
      </c>
      <c r="C27" s="18">
        <f>(4134.0/B27*100)</f>
        <v/>
      </c>
      <c r="D27" s="19" t="n">
        <v>1165</v>
      </c>
      <c r="E27" s="18" t="n">
        <v>47.12148132</v>
      </c>
      <c r="F27" s="20" t="n">
        <v>1.52055069</v>
      </c>
      <c r="G27" s="18" t="n">
        <v>51.6771247</v>
      </c>
      <c r="H27" s="20" t="n">
        <v>1.48092479</v>
      </c>
      <c r="I27" s="18" t="n">
        <v>0</v>
      </c>
      <c r="J27" s="20" t="n">
        <v>0</v>
      </c>
      <c r="K27" s="18" t="n">
        <v>0.08455972</v>
      </c>
      <c r="L27" s="20" t="n">
        <v>0.08465146</v>
      </c>
      <c r="M27" s="18" t="n">
        <v>0</v>
      </c>
      <c r="N27" s="20" t="n">
        <v>0</v>
      </c>
      <c r="O27" s="18" t="n">
        <v>0</v>
      </c>
      <c r="P27" s="20" t="n">
        <v>0</v>
      </c>
      <c r="Q27" s="18" t="n">
        <v>1.11683426</v>
      </c>
      <c r="R27" s="20" t="n">
        <v>0.30589069</v>
      </c>
    </row>
    <row r="28" spans="1:18">
      <c r="A28" s="15" t="s">
        <v>586</v>
      </c>
      <c r="B28" s="17" t="n">
        <v>7568</v>
      </c>
      <c r="C28" s="18">
        <f>(5982.0/B28*100)</f>
        <v/>
      </c>
      <c r="D28" s="19" t="n">
        <v>1586</v>
      </c>
      <c r="E28" s="18" t="n">
        <v>56.59767745</v>
      </c>
      <c r="F28" s="20" t="n">
        <v>1.50389594</v>
      </c>
      <c r="G28" s="18" t="n">
        <v>42.22399149</v>
      </c>
      <c r="H28" s="20" t="n">
        <v>1.46707892</v>
      </c>
      <c r="I28" s="18" t="n">
        <v>0</v>
      </c>
      <c r="J28" s="20" t="n">
        <v>0</v>
      </c>
      <c r="K28" s="18" t="n">
        <v>0.24563477</v>
      </c>
      <c r="L28" s="20" t="n">
        <v>0.18002804</v>
      </c>
      <c r="M28" s="18" t="n">
        <v>0</v>
      </c>
      <c r="N28" s="20" t="n">
        <v>0</v>
      </c>
      <c r="O28" s="18" t="n">
        <v>0</v>
      </c>
      <c r="P28" s="20" t="n">
        <v>0</v>
      </c>
      <c r="Q28" s="18" t="n">
        <v>0.93269629</v>
      </c>
      <c r="R28" s="20" t="n">
        <v>0.23541558</v>
      </c>
    </row>
    <row r="29" spans="1:18">
      <c r="A29" s="15" t="s">
        <v>587</v>
      </c>
      <c r="B29" s="17" t="n">
        <v>5385</v>
      </c>
      <c r="C29" s="18">
        <f>(4191.0/B29*100)</f>
        <v/>
      </c>
      <c r="D29" s="19" t="n">
        <v>1194</v>
      </c>
      <c r="E29" s="18" t="n">
        <v>32.67228656</v>
      </c>
      <c r="F29" s="20" t="n">
        <v>1.4442126</v>
      </c>
      <c r="G29" s="18" t="n">
        <v>66.97720423</v>
      </c>
      <c r="H29" s="20" t="n">
        <v>1.43411457</v>
      </c>
      <c r="I29" s="18" t="n">
        <v>0</v>
      </c>
      <c r="J29" s="20" t="n">
        <v>0</v>
      </c>
      <c r="K29" s="18" t="n">
        <v>0</v>
      </c>
      <c r="L29" s="20" t="n">
        <v>0</v>
      </c>
      <c r="M29" s="18" t="n">
        <v>0</v>
      </c>
      <c r="N29" s="20" t="n">
        <v>0</v>
      </c>
      <c r="O29" s="18" t="n">
        <v>0</v>
      </c>
      <c r="P29" s="20" t="n">
        <v>0</v>
      </c>
      <c r="Q29" s="18" t="n">
        <v>0.35050921</v>
      </c>
      <c r="R29" s="20" t="n">
        <v>0.18618706</v>
      </c>
    </row>
    <row r="30" spans="1:18">
      <c r="A30" s="15" t="s">
        <v>588</v>
      </c>
      <c r="B30" s="17" t="n">
        <v>4520</v>
      </c>
      <c r="C30" s="18">
        <f>(3543.0/B30*100)</f>
        <v/>
      </c>
      <c r="D30" s="19" t="n">
        <v>977</v>
      </c>
      <c r="E30" s="18" t="n">
        <v>39.04218591</v>
      </c>
      <c r="F30" s="20" t="n">
        <v>1.62462602</v>
      </c>
      <c r="G30" s="18" t="n">
        <v>60.02039285</v>
      </c>
      <c r="H30" s="20" t="n">
        <v>1.77166944</v>
      </c>
      <c r="I30" s="18" t="n">
        <v>0</v>
      </c>
      <c r="J30" s="20" t="n">
        <v>0</v>
      </c>
      <c r="K30" s="18" t="n">
        <v>0</v>
      </c>
      <c r="L30" s="20" t="n">
        <v>0</v>
      </c>
      <c r="M30" s="18" t="n">
        <v>0</v>
      </c>
      <c r="N30" s="20" t="n">
        <v>0</v>
      </c>
      <c r="O30" s="18" t="n">
        <v>0</v>
      </c>
      <c r="P30" s="20" t="n">
        <v>0</v>
      </c>
      <c r="Q30" s="18" t="n">
        <v>0.93742124</v>
      </c>
      <c r="R30" s="20" t="n">
        <v>0.432489</v>
      </c>
    </row>
    <row r="31" spans="1:18">
      <c r="A31" s="15" t="s">
        <v>589</v>
      </c>
      <c r="B31" s="17" t="n">
        <v>5456</v>
      </c>
      <c r="C31" s="18">
        <f>(4246.0/B31*100)</f>
        <v/>
      </c>
      <c r="D31" s="19" t="n">
        <v>1210</v>
      </c>
      <c r="E31" s="18" t="n">
        <v>44.69702571</v>
      </c>
      <c r="F31" s="20" t="n">
        <v>1.49038817</v>
      </c>
      <c r="G31" s="18" t="n">
        <v>54.67099615</v>
      </c>
      <c r="H31" s="20" t="n">
        <v>1.48196834</v>
      </c>
      <c r="I31" s="18" t="n">
        <v>0</v>
      </c>
      <c r="J31" s="20" t="n">
        <v>0</v>
      </c>
      <c r="K31" s="18" t="n">
        <v>0.15000632</v>
      </c>
      <c r="L31" s="20" t="n">
        <v>0.10529078</v>
      </c>
      <c r="M31" s="18" t="n">
        <v>0</v>
      </c>
      <c r="N31" s="20" t="n">
        <v>0</v>
      </c>
      <c r="O31" s="18" t="n">
        <v>0</v>
      </c>
      <c r="P31" s="20" t="n">
        <v>0</v>
      </c>
      <c r="Q31" s="18" t="n">
        <v>0.48197183</v>
      </c>
      <c r="R31" s="20" t="n">
        <v>0.2050047</v>
      </c>
    </row>
    <row r="32" spans="1:18">
      <c r="A32" s="15" t="s">
        <v>590</v>
      </c>
      <c r="B32" s="17" t="n">
        <v>4478</v>
      </c>
      <c r="C32" s="18">
        <f>(3480.0/B32*100)</f>
        <v/>
      </c>
      <c r="D32" s="19" t="n">
        <v>998</v>
      </c>
      <c r="E32" s="18" t="n">
        <v>41.80438606</v>
      </c>
      <c r="F32" s="20" t="n">
        <v>1.78806721</v>
      </c>
      <c r="G32" s="18" t="n">
        <v>57.55936972</v>
      </c>
      <c r="H32" s="20" t="n">
        <v>1.85814825</v>
      </c>
      <c r="I32" s="18" t="n">
        <v>0</v>
      </c>
      <c r="J32" s="20" t="n">
        <v>0</v>
      </c>
      <c r="K32" s="18" t="n">
        <v>0</v>
      </c>
      <c r="L32" s="20" t="n">
        <v>0</v>
      </c>
      <c r="M32" s="18" t="n">
        <v>0</v>
      </c>
      <c r="N32" s="20" t="n">
        <v>0</v>
      </c>
      <c r="O32" s="18" t="n">
        <v>0</v>
      </c>
      <c r="P32" s="20" t="n">
        <v>0</v>
      </c>
      <c r="Q32" s="18" t="n">
        <v>0.63624422</v>
      </c>
      <c r="R32" s="20" t="n">
        <v>0.24892139</v>
      </c>
    </row>
    <row r="33" spans="1:18">
      <c r="A33" s="15" t="s">
        <v>591</v>
      </c>
      <c r="B33" s="17" t="n">
        <v>7325</v>
      </c>
      <c r="C33" s="18">
        <f>(5704.0/B33*100)</f>
        <v/>
      </c>
      <c r="D33" s="19" t="n">
        <v>1621</v>
      </c>
      <c r="E33" s="18" t="n">
        <v>39.79736014</v>
      </c>
      <c r="F33" s="20" t="n">
        <v>1.42799999</v>
      </c>
      <c r="G33" s="18" t="n">
        <v>59.65351762</v>
      </c>
      <c r="H33" s="20" t="n">
        <v>1.49512973</v>
      </c>
      <c r="I33" s="18" t="n">
        <v>0</v>
      </c>
      <c r="J33" s="20" t="n">
        <v>0</v>
      </c>
      <c r="K33" s="18" t="n">
        <v>0.23903952</v>
      </c>
      <c r="L33" s="20" t="n">
        <v>0.15737583</v>
      </c>
      <c r="M33" s="18" t="n">
        <v>0</v>
      </c>
      <c r="N33" s="20" t="n">
        <v>0</v>
      </c>
      <c r="O33" s="18" t="n">
        <v>0</v>
      </c>
      <c r="P33" s="20" t="n">
        <v>0</v>
      </c>
      <c r="Q33" s="18" t="n">
        <v>0.31008273</v>
      </c>
      <c r="R33" s="20" t="n">
        <v>0.13177836</v>
      </c>
    </row>
    <row r="34" spans="1:18">
      <c r="A34" s="15" t="s">
        <v>592</v>
      </c>
      <c r="B34" s="17" t="n">
        <v>6350</v>
      </c>
      <c r="C34" s="18">
        <f>(4976.0/B34*100)</f>
        <v/>
      </c>
      <c r="D34" s="19" t="n">
        <v>1374</v>
      </c>
      <c r="E34" s="18" t="n">
        <v>49.85871891</v>
      </c>
      <c r="F34" s="20" t="n">
        <v>1.4849943</v>
      </c>
      <c r="G34" s="18" t="n">
        <v>49.56745548</v>
      </c>
      <c r="H34" s="20" t="n">
        <v>1.528577</v>
      </c>
      <c r="I34" s="18" t="n">
        <v>0</v>
      </c>
      <c r="J34" s="20" t="n">
        <v>0</v>
      </c>
      <c r="K34" s="18" t="n">
        <v>0</v>
      </c>
      <c r="L34" s="20" t="n">
        <v>0</v>
      </c>
      <c r="M34" s="18" t="n">
        <v>0</v>
      </c>
      <c r="N34" s="20" t="n">
        <v>0</v>
      </c>
      <c r="O34" s="18" t="n">
        <v>0</v>
      </c>
      <c r="P34" s="20" t="n">
        <v>0</v>
      </c>
      <c r="Q34" s="18" t="n">
        <v>0.57382561</v>
      </c>
      <c r="R34" s="20" t="n">
        <v>0.24494289</v>
      </c>
    </row>
    <row r="35" spans="1:18">
      <c r="A35" s="15" t="s">
        <v>593</v>
      </c>
      <c r="B35" s="17" t="n">
        <v>6406</v>
      </c>
      <c r="C35" s="18">
        <f>(5033.0/B35*100)</f>
        <v/>
      </c>
      <c r="D35" s="19" t="n">
        <v>1373</v>
      </c>
      <c r="E35" s="18" t="n">
        <v>34.86542433</v>
      </c>
      <c r="F35" s="20" t="n">
        <v>1.27829834</v>
      </c>
      <c r="G35" s="18" t="n">
        <v>64.52479470999999</v>
      </c>
      <c r="H35" s="20" t="n">
        <v>1.34115279</v>
      </c>
      <c r="I35" s="18" t="n">
        <v>0</v>
      </c>
      <c r="J35" s="20" t="n">
        <v>0</v>
      </c>
      <c r="K35" s="18" t="n">
        <v>0.44827259</v>
      </c>
      <c r="L35" s="20" t="n">
        <v>0.37062598</v>
      </c>
      <c r="M35" s="18" t="n">
        <v>0</v>
      </c>
      <c r="N35" s="20" t="n">
        <v>0</v>
      </c>
      <c r="O35" s="18" t="n">
        <v>0</v>
      </c>
      <c r="P35" s="20" t="n">
        <v>0</v>
      </c>
      <c r="Q35" s="18" t="n">
        <v>0.16150837</v>
      </c>
      <c r="R35" s="20" t="n">
        <v>0.10881696</v>
      </c>
    </row>
    <row r="36" spans="1:18">
      <c r="A36" s="15" t="s">
        <v>594</v>
      </c>
      <c r="B36" s="17" t="n">
        <v>6736</v>
      </c>
      <c r="C36" s="18">
        <f>(5273.0/B36*100)</f>
        <v/>
      </c>
      <c r="D36" s="19" t="n">
        <v>1463</v>
      </c>
      <c r="E36" s="18" t="n">
        <v>40.96775459</v>
      </c>
      <c r="F36" s="20" t="n">
        <v>1.49341226</v>
      </c>
      <c r="G36" s="18" t="n">
        <v>58.47867532</v>
      </c>
      <c r="H36" s="20" t="n">
        <v>1.50748829</v>
      </c>
      <c r="I36" s="18" t="n">
        <v>0</v>
      </c>
      <c r="J36" s="20" t="n">
        <v>0</v>
      </c>
      <c r="K36" s="18" t="n">
        <v>0</v>
      </c>
      <c r="L36" s="20" t="n">
        <v>0</v>
      </c>
      <c r="M36" s="18" t="n">
        <v>0</v>
      </c>
      <c r="N36" s="20" t="n">
        <v>0</v>
      </c>
      <c r="O36" s="18" t="n">
        <v>0</v>
      </c>
      <c r="P36" s="20" t="n">
        <v>0</v>
      </c>
      <c r="Q36" s="18" t="n">
        <v>0.55357009</v>
      </c>
      <c r="R36" s="20" t="n">
        <v>0.15243108</v>
      </c>
    </row>
    <row r="37" spans="1:18">
      <c r="A37" s="15" t="s">
        <v>595</v>
      </c>
      <c r="B37" s="17" t="n">
        <v>5458</v>
      </c>
      <c r="C37" s="18">
        <f>(4238.0/B37*100)</f>
        <v/>
      </c>
      <c r="D37" s="19" t="n">
        <v>1220</v>
      </c>
      <c r="E37" s="18" t="n">
        <v>44.21420297</v>
      </c>
      <c r="F37" s="20" t="n">
        <v>1.59209659</v>
      </c>
      <c r="G37" s="18" t="n">
        <v>54.24872235</v>
      </c>
      <c r="H37" s="20" t="n">
        <v>1.5893927</v>
      </c>
      <c r="I37" s="18" t="n">
        <v>0</v>
      </c>
      <c r="J37" s="20" t="n">
        <v>0</v>
      </c>
      <c r="K37" s="18" t="n">
        <v>0.3172518</v>
      </c>
      <c r="L37" s="20" t="n">
        <v>0.1602379</v>
      </c>
      <c r="M37" s="18" t="n">
        <v>0</v>
      </c>
      <c r="N37" s="20" t="n">
        <v>0</v>
      </c>
      <c r="O37" s="18" t="n">
        <v>0</v>
      </c>
      <c r="P37" s="20" t="n">
        <v>0</v>
      </c>
      <c r="Q37" s="18" t="n">
        <v>1.21982288</v>
      </c>
      <c r="R37" s="20" t="n">
        <v>0.32575706</v>
      </c>
    </row>
    <row r="38" spans="1:18">
      <c r="A38" s="15" t="s">
        <v>596</v>
      </c>
      <c r="B38" s="17" t="n">
        <v>5860</v>
      </c>
      <c r="C38" s="18">
        <f>(4542.0/B38*100)</f>
        <v/>
      </c>
      <c r="D38" s="19" t="n">
        <v>1318</v>
      </c>
      <c r="E38" s="18" t="n">
        <v>45.8097165</v>
      </c>
      <c r="F38" s="20" t="n">
        <v>1.88845211</v>
      </c>
      <c r="G38" s="18" t="n">
        <v>53.56206032</v>
      </c>
      <c r="H38" s="20" t="n">
        <v>1.89274053</v>
      </c>
      <c r="I38" s="18" t="n">
        <v>0</v>
      </c>
      <c r="J38" s="20" t="n">
        <v>0</v>
      </c>
      <c r="K38" s="18" t="n">
        <v>0</v>
      </c>
      <c r="L38" s="20" t="n">
        <v>0</v>
      </c>
      <c r="M38" s="18" t="n">
        <v>0</v>
      </c>
      <c r="N38" s="20" t="n">
        <v>0</v>
      </c>
      <c r="O38" s="18" t="n">
        <v>0</v>
      </c>
      <c r="P38" s="20" t="n">
        <v>0</v>
      </c>
      <c r="Q38" s="18" t="n">
        <v>0.62822318</v>
      </c>
      <c r="R38" s="20" t="n">
        <v>0.20665225</v>
      </c>
    </row>
    <row r="39" spans="1:18">
      <c r="A39" s="15" t="s">
        <v>597</v>
      </c>
      <c r="B39" s="17" t="n">
        <v>5895</v>
      </c>
      <c r="C39" s="18">
        <f>(4593.0/B39*100)</f>
        <v/>
      </c>
      <c r="D39" s="19" t="n">
        <v>1302</v>
      </c>
      <c r="E39" s="18" t="n">
        <v>54.60387902</v>
      </c>
      <c r="F39" s="20" t="n">
        <v>1.60062437</v>
      </c>
      <c r="G39" s="18" t="n">
        <v>43.97489797</v>
      </c>
      <c r="H39" s="20" t="n">
        <v>1.59390413</v>
      </c>
      <c r="I39" s="18" t="n">
        <v>0</v>
      </c>
      <c r="J39" s="20" t="n">
        <v>0</v>
      </c>
      <c r="K39" s="18" t="n">
        <v>0.17104558</v>
      </c>
      <c r="L39" s="20" t="n">
        <v>0.09927929000000001</v>
      </c>
      <c r="M39" s="18" t="n">
        <v>0</v>
      </c>
      <c r="N39" s="20" t="n">
        <v>0</v>
      </c>
      <c r="O39" s="18" t="n">
        <v>0</v>
      </c>
      <c r="P39" s="20" t="n">
        <v>0</v>
      </c>
      <c r="Q39" s="18" t="n">
        <v>1.25017742</v>
      </c>
      <c r="R39" s="20" t="n">
        <v>0.28279289</v>
      </c>
    </row>
    <row r="40" spans="1:18">
      <c r="A40" s="15" t="s">
        <v>598</v>
      </c>
      <c r="B40" s="17" t="n">
        <v>14157</v>
      </c>
      <c r="C40" s="18">
        <f>(10974.0/B40*100)</f>
        <v/>
      </c>
      <c r="D40" s="19" t="n">
        <v>3183</v>
      </c>
      <c r="E40" s="18" t="n">
        <v>40.61502042</v>
      </c>
      <c r="F40" s="20" t="n">
        <v>1.51446028</v>
      </c>
      <c r="G40" s="18" t="n">
        <v>58.81234364</v>
      </c>
      <c r="H40" s="20" t="n">
        <v>1.52790836</v>
      </c>
      <c r="I40" s="18" t="n">
        <v>0</v>
      </c>
      <c r="J40" s="20" t="n">
        <v>0</v>
      </c>
      <c r="K40" s="18" t="n">
        <v>0.01118451</v>
      </c>
      <c r="L40" s="20" t="n">
        <v>0.007829829999999999</v>
      </c>
      <c r="M40" s="18" t="n">
        <v>0</v>
      </c>
      <c r="N40" s="20" t="n">
        <v>0</v>
      </c>
      <c r="O40" s="18" t="n">
        <v>0</v>
      </c>
      <c r="P40" s="20" t="n">
        <v>0</v>
      </c>
      <c r="Q40" s="18" t="n">
        <v>0.56145143</v>
      </c>
      <c r="R40" s="20" t="n">
        <v>0.19422644</v>
      </c>
    </row>
    <row r="41" spans="1:18">
      <c r="A41" s="15" t="s">
        <v>599</v>
      </c>
      <c r="B41" s="17" t="n">
        <v>5712</v>
      </c>
      <c r="C41" s="18">
        <f>(4442.0/B41*100)</f>
        <v/>
      </c>
      <c r="D41" s="19" t="n">
        <v>1270</v>
      </c>
      <c r="E41" s="18" t="n">
        <v>40.21144783</v>
      </c>
      <c r="F41" s="20" t="n">
        <v>1.48070439</v>
      </c>
      <c r="G41" s="18" t="n">
        <v>59.26191554</v>
      </c>
      <c r="H41" s="20" t="n">
        <v>1.51423092</v>
      </c>
      <c r="I41" s="18" t="n">
        <v>0</v>
      </c>
      <c r="J41" s="20" t="n">
        <v>0</v>
      </c>
      <c r="K41" s="18" t="n">
        <v>0</v>
      </c>
      <c r="L41" s="20" t="n">
        <v>0</v>
      </c>
      <c r="M41" s="18" t="n">
        <v>0</v>
      </c>
      <c r="N41" s="20" t="n">
        <v>0</v>
      </c>
      <c r="O41" s="18" t="n">
        <v>0</v>
      </c>
      <c r="P41" s="20" t="n">
        <v>0</v>
      </c>
      <c r="Q41" s="18" t="n">
        <v>0.52663662</v>
      </c>
      <c r="R41" s="20" t="n">
        <v>0.201398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(18358.0/B46*100)</f>
        <v/>
      </c>
      <c r="D46" s="19" t="n">
        <v>4783</v>
      </c>
      <c r="E46" s="18" t="n">
        <v>59.60871254</v>
      </c>
      <c r="F46" s="20" t="n">
        <v>1.10498178</v>
      </c>
      <c r="G46" s="18" t="n">
        <v>37.81456136</v>
      </c>
      <c r="H46" s="20" t="n">
        <v>1.1031593</v>
      </c>
      <c r="I46" s="18" t="n">
        <v>0</v>
      </c>
      <c r="J46" s="20" t="n">
        <v>0</v>
      </c>
      <c r="K46" s="18" t="n">
        <v>0.3359745</v>
      </c>
      <c r="L46" s="20" t="n">
        <v>0.11036914</v>
      </c>
      <c r="M46" s="18" t="n">
        <v>0</v>
      </c>
      <c r="N46" s="20" t="n">
        <v>0</v>
      </c>
      <c r="O46" s="18" t="n">
        <v>0</v>
      </c>
      <c r="P46" s="20" t="n">
        <v>0</v>
      </c>
      <c r="Q46" s="18" t="n">
        <v>2.2407516</v>
      </c>
      <c r="R46" s="20" t="n">
        <v>0.31352853</v>
      </c>
    </row>
    <row r="47" spans="1:18">
      <c r="A47" s="15" t="s">
        <v>606</v>
      </c>
      <c r="B47" s="17" t="n">
        <v>5928</v>
      </c>
      <c r="C47" s="18">
        <f>(4631.0/B47*100)</f>
        <v/>
      </c>
      <c r="D47" s="19" t="n">
        <v>1297</v>
      </c>
      <c r="E47" s="18" t="n">
        <v>41.71356929</v>
      </c>
      <c r="F47" s="20" t="n">
        <v>1.81504668</v>
      </c>
      <c r="G47" s="18" t="n">
        <v>57.1915718</v>
      </c>
      <c r="H47" s="20" t="n">
        <v>1.86842916</v>
      </c>
      <c r="I47" s="18" t="n">
        <v>0</v>
      </c>
      <c r="J47" s="20" t="n">
        <v>0</v>
      </c>
      <c r="K47" s="18" t="n">
        <v>0</v>
      </c>
      <c r="L47" s="20" t="n">
        <v>0</v>
      </c>
      <c r="M47" s="18" t="n">
        <v>0</v>
      </c>
      <c r="N47" s="20" t="n">
        <v>0</v>
      </c>
      <c r="O47" s="18" t="n">
        <v>0</v>
      </c>
      <c r="P47" s="20" t="n">
        <v>0</v>
      </c>
      <c r="Q47" s="18" t="n">
        <v>1.09485891</v>
      </c>
      <c r="R47" s="20" t="n">
        <v>0.32401725</v>
      </c>
    </row>
    <row r="48" spans="1:18">
      <c r="A48" s="15" t="s">
        <v>607</v>
      </c>
      <c r="B48" s="17" t="n">
        <v>9841</v>
      </c>
      <c r="C48" s="18">
        <f>(7631.0/B48*100)</f>
        <v/>
      </c>
      <c r="D48" s="19" t="n">
        <v>2210</v>
      </c>
      <c r="E48" s="18" t="n">
        <v>36.76616131</v>
      </c>
      <c r="F48" s="20" t="n">
        <v>1.53636965</v>
      </c>
      <c r="G48" s="18" t="n">
        <v>62.66485469</v>
      </c>
      <c r="H48" s="20" t="n">
        <v>1.53690054</v>
      </c>
      <c r="I48" s="18" t="n">
        <v>0</v>
      </c>
      <c r="J48" s="20" t="n">
        <v>0</v>
      </c>
      <c r="K48" s="18" t="n">
        <v>0.14604386</v>
      </c>
      <c r="L48" s="20" t="n">
        <v>0.09069512</v>
      </c>
      <c r="M48" s="18" t="n">
        <v>0</v>
      </c>
      <c r="N48" s="20" t="n">
        <v>0</v>
      </c>
      <c r="O48" s="18" t="n">
        <v>0</v>
      </c>
      <c r="P48" s="20" t="n">
        <v>0</v>
      </c>
      <c r="Q48" s="18" t="n">
        <v>0.42294015</v>
      </c>
      <c r="R48" s="20" t="n">
        <v>0.16789564</v>
      </c>
    </row>
    <row r="49" spans="1:18">
      <c r="A49" s="15" t="s">
        <v>608</v>
      </c>
      <c r="B49" s="17" t="n">
        <v>11795</v>
      </c>
      <c r="C49" s="18">
        <f>(9184.0/B49*100)</f>
        <v/>
      </c>
      <c r="D49" s="19" t="n">
        <v>2611</v>
      </c>
      <c r="E49" s="18" t="n">
        <v>55.79929198</v>
      </c>
      <c r="F49" s="20" t="n">
        <v>1.38445766</v>
      </c>
      <c r="G49" s="18" t="n">
        <v>43.53888754</v>
      </c>
      <c r="H49" s="20" t="n">
        <v>1.40701805</v>
      </c>
      <c r="I49" s="18" t="n">
        <v>0</v>
      </c>
      <c r="J49" s="20" t="n">
        <v>0</v>
      </c>
      <c r="K49" s="18" t="n">
        <v>0.43215204</v>
      </c>
      <c r="L49" s="20" t="n">
        <v>0.13842136</v>
      </c>
      <c r="M49" s="18" t="n">
        <v>0</v>
      </c>
      <c r="N49" s="20" t="n">
        <v>0</v>
      </c>
      <c r="O49" s="18" t="n">
        <v>0</v>
      </c>
      <c r="P49" s="20" t="n">
        <v>0</v>
      </c>
      <c r="Q49" s="18" t="n">
        <v>0.22966843</v>
      </c>
      <c r="R49" s="20" t="n">
        <v>0.12404035</v>
      </c>
    </row>
    <row r="50" spans="1:18">
      <c r="A50" s="15" t="s">
        <v>609</v>
      </c>
      <c r="B50" s="17" t="n">
        <v>6866</v>
      </c>
      <c r="C50" s="18">
        <f>(5523.0/B50*100)</f>
        <v/>
      </c>
      <c r="D50" s="19" t="n">
        <v>1343</v>
      </c>
      <c r="E50" s="18" t="n">
        <v>55.95634071</v>
      </c>
      <c r="F50" s="20" t="n">
        <v>1.60599514</v>
      </c>
      <c r="G50" s="18" t="n">
        <v>42.81069363</v>
      </c>
      <c r="H50" s="20" t="n">
        <v>1.62302516</v>
      </c>
      <c r="I50" s="18" t="n">
        <v>0</v>
      </c>
      <c r="J50" s="20" t="n">
        <v>0</v>
      </c>
      <c r="K50" s="18" t="n">
        <v>0.10813779</v>
      </c>
      <c r="L50" s="20" t="n">
        <v>0.09710373</v>
      </c>
      <c r="M50" s="18" t="n">
        <v>0</v>
      </c>
      <c r="N50" s="20" t="n">
        <v>0</v>
      </c>
      <c r="O50" s="18" t="n">
        <v>0</v>
      </c>
      <c r="P50" s="20" t="n">
        <v>0</v>
      </c>
      <c r="Q50" s="18" t="n">
        <v>1.12482787</v>
      </c>
      <c r="R50" s="20" t="n">
        <v>0.3286603</v>
      </c>
    </row>
    <row r="51" spans="1:18">
      <c r="A51" s="15" t="s">
        <v>610</v>
      </c>
      <c r="B51" s="17" t="n">
        <v>5809</v>
      </c>
      <c r="C51" s="18">
        <f>(4503.0/B51*100)</f>
        <v/>
      </c>
      <c r="D51" s="19" t="n">
        <v>1306</v>
      </c>
      <c r="E51" s="18" t="n">
        <v>42.62485892</v>
      </c>
      <c r="F51" s="20" t="n">
        <v>1.43482625</v>
      </c>
      <c r="G51" s="18" t="n">
        <v>55.9881554</v>
      </c>
      <c r="H51" s="20" t="n">
        <v>1.45912131</v>
      </c>
      <c r="I51" s="18" t="n">
        <v>0</v>
      </c>
      <c r="J51" s="20" t="n">
        <v>0</v>
      </c>
      <c r="K51" s="18" t="n">
        <v>0</v>
      </c>
      <c r="L51" s="20" t="n">
        <v>0</v>
      </c>
      <c r="M51" s="18" t="n">
        <v>0</v>
      </c>
      <c r="N51" s="20" t="n">
        <v>0</v>
      </c>
      <c r="O51" s="18" t="n">
        <v>0</v>
      </c>
      <c r="P51" s="20" t="n">
        <v>0</v>
      </c>
      <c r="Q51" s="18" t="n">
        <v>1.38698568</v>
      </c>
      <c r="R51" s="20" t="n">
        <v>0.32811535</v>
      </c>
    </row>
    <row r="52" spans="1:18">
      <c r="A52" s="15" t="s">
        <v>611</v>
      </c>
      <c r="B52" s="17" t="n">
        <v>5571</v>
      </c>
      <c r="C52" s="18">
        <f>(4336.0/B52*100)</f>
        <v/>
      </c>
      <c r="D52" s="19" t="n">
        <v>1235</v>
      </c>
      <c r="E52" s="18" t="n">
        <v>59.22869677</v>
      </c>
      <c r="F52" s="20" t="n">
        <v>1.34741223</v>
      </c>
      <c r="G52" s="18" t="n">
        <v>39.2822841</v>
      </c>
      <c r="H52" s="20" t="n">
        <v>1.35729835</v>
      </c>
      <c r="I52" s="18" t="n">
        <v>0</v>
      </c>
      <c r="J52" s="20" t="n">
        <v>0</v>
      </c>
      <c r="K52" s="18" t="n">
        <v>0.10303896</v>
      </c>
      <c r="L52" s="20" t="n">
        <v>0.10339413</v>
      </c>
      <c r="M52" s="18" t="n">
        <v>0</v>
      </c>
      <c r="N52" s="20" t="n">
        <v>0</v>
      </c>
      <c r="O52" s="18" t="n">
        <v>0</v>
      </c>
      <c r="P52" s="20" t="n">
        <v>0</v>
      </c>
      <c r="Q52" s="18" t="n">
        <v>1.38598017</v>
      </c>
      <c r="R52" s="20" t="n">
        <v>0.34511495</v>
      </c>
    </row>
    <row r="53" spans="1:18">
      <c r="A53" s="15" t="s">
        <v>612</v>
      </c>
      <c r="B53" s="17" t="n">
        <v>4740</v>
      </c>
      <c r="C53" s="18">
        <f>(3717.0/B53*100)</f>
        <v/>
      </c>
      <c r="D53" s="19" t="n">
        <v>1023</v>
      </c>
      <c r="E53" s="18" t="n">
        <v>60.45009913</v>
      </c>
      <c r="F53" s="20" t="n">
        <v>1.88162845</v>
      </c>
      <c r="G53" s="18" t="n">
        <v>32.11184507</v>
      </c>
      <c r="H53" s="20" t="n">
        <v>1.8483321</v>
      </c>
      <c r="I53" s="18" t="n">
        <v>0</v>
      </c>
      <c r="J53" s="20" t="n">
        <v>0</v>
      </c>
      <c r="K53" s="18" t="n">
        <v>4.88528578</v>
      </c>
      <c r="L53" s="20" t="n">
        <v>0.80566353</v>
      </c>
      <c r="M53" s="18" t="n">
        <v>0</v>
      </c>
      <c r="N53" s="20" t="n">
        <v>0</v>
      </c>
      <c r="O53" s="18" t="n">
        <v>0</v>
      </c>
      <c r="P53" s="20" t="n">
        <v>0</v>
      </c>
      <c r="Q53" s="18" t="n">
        <v>2.55277002</v>
      </c>
      <c r="R53" s="20" t="n">
        <v>0.58343829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(4198.0/B55*100)</f>
        <v/>
      </c>
      <c r="D55" s="19" t="n">
        <v>1161</v>
      </c>
      <c r="E55" s="18" t="n">
        <v>47.61815094</v>
      </c>
      <c r="F55" s="20" t="n">
        <v>1.82867507</v>
      </c>
      <c r="G55" s="18" t="n">
        <v>52.08517537</v>
      </c>
      <c r="H55" s="20" t="n">
        <v>1.7967105</v>
      </c>
      <c r="I55" s="18" t="n">
        <v>0</v>
      </c>
      <c r="J55" s="20" t="n">
        <v>0</v>
      </c>
      <c r="K55" s="18" t="n">
        <v>0.16720771</v>
      </c>
      <c r="L55" s="20" t="n">
        <v>0.1185482</v>
      </c>
      <c r="M55" s="18" t="n">
        <v>0</v>
      </c>
      <c r="N55" s="20" t="n">
        <v>0</v>
      </c>
      <c r="O55" s="18" t="n">
        <v>0</v>
      </c>
      <c r="P55" s="20" t="n">
        <v>0</v>
      </c>
      <c r="Q55" s="18" t="n">
        <v>0.12946598</v>
      </c>
      <c r="R55" s="20" t="n">
        <v>0.08604655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(5069.0/B61*100)</f>
        <v/>
      </c>
      <c r="D61" s="19" t="n">
        <v>1456</v>
      </c>
      <c r="E61" s="18" t="n">
        <v>35.66100698</v>
      </c>
      <c r="F61" s="20" t="n">
        <v>1.4988819</v>
      </c>
      <c r="G61" s="18" t="n">
        <v>63.78282385</v>
      </c>
      <c r="H61" s="20" t="n">
        <v>1.51659898</v>
      </c>
      <c r="I61" s="18" t="n">
        <v>0</v>
      </c>
      <c r="J61" s="20" t="n">
        <v>0</v>
      </c>
      <c r="K61" s="18" t="n">
        <v>0.11421226</v>
      </c>
      <c r="L61" s="20" t="n">
        <v>0.09552516</v>
      </c>
      <c r="M61" s="18" t="n">
        <v>0</v>
      </c>
      <c r="N61" s="20" t="n">
        <v>0</v>
      </c>
      <c r="O61" s="18" t="n">
        <v>0</v>
      </c>
      <c r="P61" s="20" t="n">
        <v>0</v>
      </c>
      <c r="Q61" s="18" t="n">
        <v>0.44195691</v>
      </c>
      <c r="R61" s="20" t="n">
        <v>0.25882038</v>
      </c>
    </row>
    <row r="62" spans="1:18">
      <c r="A62" s="15" t="s">
        <v>622</v>
      </c>
      <c r="B62" s="17" t="n">
        <v>4476</v>
      </c>
      <c r="C62" s="18">
        <f>(3477.0/B62*100)</f>
        <v/>
      </c>
      <c r="D62" s="19" t="n">
        <v>999</v>
      </c>
      <c r="E62" s="18" t="n">
        <v>42.98957798</v>
      </c>
      <c r="F62" s="20" t="n">
        <v>1.46728949</v>
      </c>
      <c r="G62" s="18" t="n">
        <v>56.81169218</v>
      </c>
      <c r="H62" s="20" t="n">
        <v>1.44308815</v>
      </c>
      <c r="I62" s="18" t="n">
        <v>0</v>
      </c>
      <c r="J62" s="20" t="n">
        <v>0</v>
      </c>
      <c r="K62" s="18" t="n">
        <v>0</v>
      </c>
      <c r="L62" s="20" t="n">
        <v>0</v>
      </c>
      <c r="M62" s="18" t="n">
        <v>0</v>
      </c>
      <c r="N62" s="20" t="n">
        <v>0</v>
      </c>
      <c r="O62" s="18" t="n">
        <v>0</v>
      </c>
      <c r="P62" s="20" t="n">
        <v>0</v>
      </c>
      <c r="Q62" s="18" t="n">
        <v>0.19872984</v>
      </c>
      <c r="R62" s="20" t="n">
        <v>0.14114542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(4440.0/B67*100)</f>
        <v/>
      </c>
      <c r="D67" s="19" t="n">
        <v>1225</v>
      </c>
      <c r="E67" s="18" t="n">
        <v>59.92964603</v>
      </c>
      <c r="F67" s="20" t="n">
        <v>1.58115428</v>
      </c>
      <c r="G67" s="18" t="n">
        <v>37.49841076</v>
      </c>
      <c r="H67" s="20" t="n">
        <v>1.51466947</v>
      </c>
      <c r="I67" s="18" t="n">
        <v>0</v>
      </c>
      <c r="J67" s="20" t="n">
        <v>0</v>
      </c>
      <c r="K67" s="18" t="n">
        <v>0.07994891</v>
      </c>
      <c r="L67" s="20" t="n">
        <v>0.07937520000000001</v>
      </c>
      <c r="M67" s="18" t="n">
        <v>0</v>
      </c>
      <c r="N67" s="20" t="n">
        <v>0</v>
      </c>
      <c r="O67" s="18" t="n">
        <v>0</v>
      </c>
      <c r="P67" s="20" t="n">
        <v>0</v>
      </c>
      <c r="Q67" s="18" t="n">
        <v>2.4919943</v>
      </c>
      <c r="R67" s="20" t="n">
        <v>0.54517514</v>
      </c>
    </row>
    <row r="68" spans="1:18">
      <c r="A68" s="15" t="s">
        <v>628</v>
      </c>
      <c r="B68" s="17" t="n">
        <v>6971</v>
      </c>
      <c r="C68" s="18">
        <f>(5452.0/B68*100)</f>
        <v/>
      </c>
      <c r="D68" s="19" t="n">
        <v>1519</v>
      </c>
      <c r="E68" s="18" t="n">
        <v>61.59164828</v>
      </c>
      <c r="F68" s="20" t="n">
        <v>1.35025109</v>
      </c>
      <c r="G68" s="18" t="n">
        <v>37.0358719</v>
      </c>
      <c r="H68" s="20" t="n">
        <v>1.38492076</v>
      </c>
      <c r="I68" s="18" t="n">
        <v>0</v>
      </c>
      <c r="J68" s="20" t="n">
        <v>0</v>
      </c>
      <c r="K68" s="18" t="n">
        <v>0.07093504</v>
      </c>
      <c r="L68" s="20" t="n">
        <v>0.07102101</v>
      </c>
      <c r="M68" s="18" t="n">
        <v>0</v>
      </c>
      <c r="N68" s="20" t="n">
        <v>0</v>
      </c>
      <c r="O68" s="18" t="n">
        <v>0</v>
      </c>
      <c r="P68" s="20" t="n">
        <v>0</v>
      </c>
      <c r="Q68" s="18" t="n">
        <v>1.30154478</v>
      </c>
      <c r="R68" s="20" t="n">
        <v>0.31095025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(9448.0/B70*100)</f>
        <v/>
      </c>
      <c r="D70" s="19" t="n">
        <v>2635</v>
      </c>
      <c r="E70" s="18" t="n">
        <v>61.5391777</v>
      </c>
      <c r="F70" s="20" t="n">
        <v>0.86065513</v>
      </c>
      <c r="G70" s="18" t="n">
        <v>36.21643214</v>
      </c>
      <c r="H70" s="20" t="n">
        <v>0.86606449</v>
      </c>
      <c r="I70" s="18" t="n">
        <v>0</v>
      </c>
      <c r="J70" s="20" t="n">
        <v>0</v>
      </c>
      <c r="K70" s="18" t="n">
        <v>0.6351537900000001</v>
      </c>
      <c r="L70" s="20" t="n">
        <v>0.15505246</v>
      </c>
      <c r="M70" s="18" t="n">
        <v>0</v>
      </c>
      <c r="N70" s="20" t="n">
        <v>0</v>
      </c>
      <c r="O70" s="18" t="n">
        <v>0</v>
      </c>
      <c r="P70" s="20" t="n">
        <v>0</v>
      </c>
      <c r="Q70" s="18" t="n">
        <v>1.60923637</v>
      </c>
      <c r="R70" s="20" t="n">
        <v>0.24592336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(4671.0/B72*100)</f>
        <v/>
      </c>
      <c r="D72" s="19" t="n">
        <v>1365</v>
      </c>
      <c r="E72" s="18" t="n">
        <v>33.01330112</v>
      </c>
      <c r="F72" s="20" t="n">
        <v>1.54084068</v>
      </c>
      <c r="G72" s="18" t="n">
        <v>66.31396165</v>
      </c>
      <c r="H72" s="20" t="n">
        <v>1.57108101</v>
      </c>
      <c r="I72" s="18" t="n">
        <v>0</v>
      </c>
      <c r="J72" s="20" t="n">
        <v>0</v>
      </c>
      <c r="K72" s="18" t="n">
        <v>0.0821865</v>
      </c>
      <c r="L72" s="20" t="n">
        <v>0.05234772</v>
      </c>
      <c r="M72" s="18" t="n">
        <v>0</v>
      </c>
      <c r="N72" s="20" t="n">
        <v>0</v>
      </c>
      <c r="O72" s="18" t="n">
        <v>0</v>
      </c>
      <c r="P72" s="20" t="n">
        <v>0</v>
      </c>
      <c r="Q72" s="18" t="n">
        <v>0.59055073</v>
      </c>
      <c r="R72" s="20" t="n">
        <v>0.1700811</v>
      </c>
    </row>
    <row r="73" spans="1:18">
      <c r="A73" s="15" t="s">
        <v>633</v>
      </c>
      <c r="B73" s="17" t="n">
        <v>6115</v>
      </c>
      <c r="C73" s="18">
        <f>(4731.0/B73*100)</f>
        <v/>
      </c>
      <c r="D73" s="19" t="n">
        <v>1384</v>
      </c>
      <c r="E73" s="18" t="n">
        <v>30.17540411</v>
      </c>
      <c r="F73" s="20" t="n">
        <v>1.1746956</v>
      </c>
      <c r="G73" s="18" t="n">
        <v>68.96720298</v>
      </c>
      <c r="H73" s="20" t="n">
        <v>1.16949445</v>
      </c>
      <c r="I73" s="18" t="n">
        <v>0</v>
      </c>
      <c r="J73" s="20" t="n">
        <v>0</v>
      </c>
      <c r="K73" s="18" t="n">
        <v>0.2326305</v>
      </c>
      <c r="L73" s="20" t="n">
        <v>0.13418047</v>
      </c>
      <c r="M73" s="18" t="n">
        <v>0</v>
      </c>
      <c r="N73" s="20" t="n">
        <v>0</v>
      </c>
      <c r="O73" s="18" t="n">
        <v>0</v>
      </c>
      <c r="P73" s="20" t="n">
        <v>0</v>
      </c>
      <c r="Q73" s="18" t="n">
        <v>0.62476242</v>
      </c>
      <c r="R73" s="20" t="n">
        <v>0.20187485</v>
      </c>
    </row>
    <row r="74" spans="1:18">
      <c r="A74" s="15" t="s">
        <v>634</v>
      </c>
      <c r="B74" s="17" t="n">
        <v>7708</v>
      </c>
      <c r="C74" s="18">
        <f>(5957.0/B74*100)</f>
        <v/>
      </c>
      <c r="D74" s="19" t="n">
        <v>1751</v>
      </c>
      <c r="E74" s="18" t="n">
        <v>47.29783762</v>
      </c>
      <c r="F74" s="20" t="n">
        <v>1.36109938</v>
      </c>
      <c r="G74" s="18" t="n">
        <v>52.1398765</v>
      </c>
      <c r="H74" s="20" t="n">
        <v>1.37448766</v>
      </c>
      <c r="I74" s="18" t="n">
        <v>0</v>
      </c>
      <c r="J74" s="20" t="n">
        <v>0</v>
      </c>
      <c r="K74" s="18" t="n">
        <v>0.07464733</v>
      </c>
      <c r="L74" s="20" t="n">
        <v>0.07488878</v>
      </c>
      <c r="M74" s="18" t="n">
        <v>0</v>
      </c>
      <c r="N74" s="20" t="n">
        <v>0</v>
      </c>
      <c r="O74" s="18" t="n">
        <v>0</v>
      </c>
      <c r="P74" s="20" t="n">
        <v>0</v>
      </c>
      <c r="Q74" s="18" t="n">
        <v>0.48763856</v>
      </c>
      <c r="R74" s="20" t="n">
        <v>0.17897882</v>
      </c>
    </row>
    <row r="75" spans="1:18">
      <c r="A75" s="15" t="s">
        <v>635</v>
      </c>
      <c r="B75" s="17" t="n">
        <v>8249</v>
      </c>
      <c r="C75" s="18">
        <f>(6437.0/B75*100)</f>
        <v/>
      </c>
      <c r="D75" s="19" t="n">
        <v>1812</v>
      </c>
      <c r="E75" s="18" t="n">
        <v>60.71400857</v>
      </c>
      <c r="F75" s="20" t="n">
        <v>1.46359815</v>
      </c>
      <c r="G75" s="18" t="n">
        <v>38.82261645</v>
      </c>
      <c r="H75" s="20" t="n">
        <v>1.49474772</v>
      </c>
      <c r="I75" s="18" t="n">
        <v>0</v>
      </c>
      <c r="J75" s="20" t="n">
        <v>0</v>
      </c>
      <c r="K75" s="18" t="n">
        <v>0</v>
      </c>
      <c r="L75" s="20" t="n">
        <v>0</v>
      </c>
      <c r="M75" s="18" t="n">
        <v>0</v>
      </c>
      <c r="N75" s="20" t="n">
        <v>0</v>
      </c>
      <c r="O75" s="18" t="n">
        <v>0</v>
      </c>
      <c r="P75" s="20" t="n">
        <v>0</v>
      </c>
      <c r="Q75" s="18" t="n">
        <v>0.46337498</v>
      </c>
      <c r="R75" s="20" t="n">
        <v>0.17044464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(4257.0/B77*100)</f>
        <v/>
      </c>
      <c r="D77" s="19" t="n">
        <v>1118</v>
      </c>
      <c r="E77" s="18" t="n">
        <v>64.28762034</v>
      </c>
      <c r="F77" s="20" t="n">
        <v>1.42983183</v>
      </c>
      <c r="G77" s="18" t="n">
        <v>33.37142673</v>
      </c>
      <c r="H77" s="20" t="n">
        <v>1.46229361</v>
      </c>
      <c r="I77" s="18" t="n">
        <v>0</v>
      </c>
      <c r="J77" s="20" t="n">
        <v>0</v>
      </c>
      <c r="K77" s="18" t="n">
        <v>0.6055501</v>
      </c>
      <c r="L77" s="20" t="n">
        <v>0.23574598</v>
      </c>
      <c r="M77" s="18" t="n">
        <v>0</v>
      </c>
      <c r="N77" s="20" t="n">
        <v>0</v>
      </c>
      <c r="O77" s="18" t="n">
        <v>0</v>
      </c>
      <c r="P77" s="20" t="n">
        <v>0</v>
      </c>
      <c r="Q77" s="18" t="n">
        <v>1.73540284</v>
      </c>
      <c r="R77" s="20" t="n">
        <v>0.37195546</v>
      </c>
    </row>
    <row r="78" spans="1:18">
      <c r="A78" s="15" t="s">
        <v>638</v>
      </c>
      <c r="B78" s="17" t="n">
        <v>14167</v>
      </c>
      <c r="C78" s="18">
        <f>(11051.0/B78*100)</f>
        <v/>
      </c>
      <c r="D78" s="19" t="n">
        <v>3116</v>
      </c>
      <c r="E78" s="18" t="n">
        <v>56.95011073</v>
      </c>
      <c r="F78" s="20" t="n">
        <v>1.10036183</v>
      </c>
      <c r="G78" s="18" t="n">
        <v>41.60003616</v>
      </c>
      <c r="H78" s="20" t="n">
        <v>1.07300445</v>
      </c>
      <c r="I78" s="18" t="n">
        <v>0</v>
      </c>
      <c r="J78" s="20" t="n">
        <v>0</v>
      </c>
      <c r="K78" s="18" t="n">
        <v>0.12951489</v>
      </c>
      <c r="L78" s="20" t="n">
        <v>0.06078653</v>
      </c>
      <c r="M78" s="18" t="n">
        <v>0</v>
      </c>
      <c r="N78" s="20" t="n">
        <v>0</v>
      </c>
      <c r="O78" s="18" t="n">
        <v>0</v>
      </c>
      <c r="P78" s="20" t="n">
        <v>0</v>
      </c>
      <c r="Q78" s="18" t="n">
        <v>1.32033822</v>
      </c>
      <c r="R78" s="20" t="n">
        <v>0.37414995</v>
      </c>
    </row>
    <row r="79" spans="1:18">
      <c r="A79" s="15" t="s">
        <v>639</v>
      </c>
      <c r="B79" s="17" t="n">
        <v>6062</v>
      </c>
      <c r="C79" s="18">
        <f>(4711.0/B79*100)</f>
        <v/>
      </c>
      <c r="D79" s="19" t="n">
        <v>1351</v>
      </c>
      <c r="E79" s="18" t="n">
        <v>52.74402088</v>
      </c>
      <c r="F79" s="20" t="n">
        <v>1.45951753</v>
      </c>
      <c r="G79" s="18" t="n">
        <v>46.06332025</v>
      </c>
      <c r="H79" s="20" t="n">
        <v>1.48856644</v>
      </c>
      <c r="I79" s="18" t="n">
        <v>0</v>
      </c>
      <c r="J79" s="20" t="n">
        <v>0</v>
      </c>
      <c r="K79" s="18" t="n">
        <v>0.12870386</v>
      </c>
      <c r="L79" s="20" t="n">
        <v>0.0987715</v>
      </c>
      <c r="M79" s="18" t="n">
        <v>0</v>
      </c>
      <c r="N79" s="20" t="n">
        <v>0</v>
      </c>
      <c r="O79" s="18" t="n">
        <v>0</v>
      </c>
      <c r="P79" s="20" t="n">
        <v>0</v>
      </c>
      <c r="Q79" s="18" t="n">
        <v>1.06395502</v>
      </c>
      <c r="R79" s="20" t="n">
        <v>0.28622425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(25203.0/B82*100)</f>
        <v/>
      </c>
      <c r="D82" s="19" t="n">
        <v>7127</v>
      </c>
      <c r="E82" s="18" t="n">
        <v>41.54694307</v>
      </c>
      <c r="F82" s="20" t="n">
        <v>0.87372908</v>
      </c>
      <c r="G82" s="18" t="n">
        <v>57.77667207</v>
      </c>
      <c r="H82" s="20" t="n">
        <v>0.85571784</v>
      </c>
      <c r="I82" s="18" t="n">
        <v>0</v>
      </c>
      <c r="J82" s="20" t="n">
        <v>0</v>
      </c>
      <c r="K82" s="18" t="n">
        <v>0.08973731</v>
      </c>
      <c r="L82" s="20" t="n">
        <v>0.06364572</v>
      </c>
      <c r="M82" s="18" t="n">
        <v>0</v>
      </c>
      <c r="N82" s="20" t="n">
        <v>0</v>
      </c>
      <c r="O82" s="18" t="n">
        <v>0</v>
      </c>
      <c r="P82" s="20" t="n">
        <v>0</v>
      </c>
      <c r="Q82" s="18" t="n">
        <v>0.58664755</v>
      </c>
      <c r="R82" s="20" t="n">
        <v>0.15789735</v>
      </c>
    </row>
    <row r="83" spans="1:18">
      <c r="A83" s="15" t="s">
        <v>643</v>
      </c>
      <c r="B83" s="17" t="n">
        <v>1652</v>
      </c>
      <c r="C83" s="18">
        <f>(1294.0/B83*100)</f>
        <v/>
      </c>
      <c r="D83" s="19" t="n">
        <v>358</v>
      </c>
      <c r="E83" s="18" t="n">
        <v>33.1409149</v>
      </c>
      <c r="F83" s="20" t="n">
        <v>2.53584114</v>
      </c>
      <c r="G83" s="18" t="n">
        <v>66.58733384999999</v>
      </c>
      <c r="H83" s="20" t="n">
        <v>2.61193661</v>
      </c>
      <c r="I83" s="18" t="n">
        <v>0</v>
      </c>
      <c r="J83" s="20" t="n">
        <v>0</v>
      </c>
      <c r="K83" s="18" t="n">
        <v>0</v>
      </c>
      <c r="L83" s="20" t="n">
        <v>0</v>
      </c>
      <c r="M83" s="18" t="n">
        <v>0</v>
      </c>
      <c r="N83" s="20" t="n">
        <v>0</v>
      </c>
      <c r="O83" s="18" t="n">
        <v>0</v>
      </c>
      <c r="P83" s="20" t="n">
        <v>0</v>
      </c>
      <c r="Q83" s="18" t="n">
        <v>0.27175126</v>
      </c>
      <c r="R83" s="20" t="n">
        <v>0.26808005</v>
      </c>
    </row>
    <row r="84" spans="1:18">
      <c r="A84" s="23" t="s">
        <v>644</v>
      </c>
      <c r="B84" s="24" t="n">
        <v>1887</v>
      </c>
      <c r="C84" s="25">
        <f>(1470.0/B84*100)</f>
        <v/>
      </c>
      <c r="D84" s="19" t="n">
        <v>417</v>
      </c>
      <c r="E84" s="18" t="n">
        <v>34.65028439</v>
      </c>
      <c r="F84" s="20" t="n">
        <v>2.39413464</v>
      </c>
      <c r="G84" s="18" t="n">
        <v>64.84264065000001</v>
      </c>
      <c r="H84" s="20" t="n">
        <v>2.51994875</v>
      </c>
      <c r="I84" s="18" t="n">
        <v>0</v>
      </c>
      <c r="J84" s="20" t="n">
        <v>0</v>
      </c>
      <c r="K84" s="18" t="n">
        <v>0</v>
      </c>
      <c r="L84" s="20" t="n">
        <v>0</v>
      </c>
      <c r="M84" s="18" t="n">
        <v>0</v>
      </c>
      <c r="N84" s="20" t="n">
        <v>0</v>
      </c>
      <c r="O84" s="18" t="n">
        <v>0</v>
      </c>
      <c r="P84" s="20" t="n">
        <v>0</v>
      </c>
      <c r="Q84" s="18" t="n">
        <v>0.50707496</v>
      </c>
      <c r="R84" s="20" t="n">
        <v>0.51014659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819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(11328.0/B7*100)</f>
        <v/>
      </c>
      <c r="D7" s="19" t="n">
        <v>3202</v>
      </c>
      <c r="E7" s="18" t="n">
        <v>45.36860774</v>
      </c>
      <c r="F7" s="20" t="n">
        <v>1.01610025</v>
      </c>
      <c r="G7" s="18" t="n">
        <v>43.99968259</v>
      </c>
      <c r="H7" s="20" t="n">
        <v>0.94935614</v>
      </c>
      <c r="I7" s="18" t="n">
        <v>0</v>
      </c>
      <c r="J7" s="20" t="n">
        <v>0</v>
      </c>
      <c r="K7" s="18" t="n">
        <v>0.13736624</v>
      </c>
      <c r="L7" s="20" t="n">
        <v>0.06027376</v>
      </c>
      <c r="M7" s="18" t="n">
        <v>0.09077536</v>
      </c>
      <c r="N7" s="20" t="n">
        <v>0.07596474</v>
      </c>
      <c r="O7" s="18" t="n">
        <v>0</v>
      </c>
      <c r="P7" s="20" t="n">
        <v>0</v>
      </c>
      <c r="Q7" s="18" t="n">
        <v>10.40356807</v>
      </c>
      <c r="R7" s="20" t="n">
        <v>0.61134551</v>
      </c>
    </row>
    <row r="8" spans="1:18">
      <c r="A8" s="15" t="s">
        <v>566</v>
      </c>
      <c r="B8" s="17" t="n">
        <v>7007</v>
      </c>
      <c r="C8" s="18">
        <f>(5456.0/B8*100)</f>
        <v/>
      </c>
      <c r="D8" s="19" t="n">
        <v>1551</v>
      </c>
      <c r="E8" s="18" t="n">
        <v>30.10133456</v>
      </c>
      <c r="F8" s="20" t="n">
        <v>1.29492157</v>
      </c>
      <c r="G8" s="18" t="n">
        <v>44.06103653</v>
      </c>
      <c r="H8" s="20" t="n">
        <v>1.59749153</v>
      </c>
      <c r="I8" s="18" t="n">
        <v>0</v>
      </c>
      <c r="J8" s="20" t="n">
        <v>0</v>
      </c>
      <c r="K8" s="18" t="n">
        <v>0.05151784</v>
      </c>
      <c r="L8" s="20" t="n">
        <v>0.08729407</v>
      </c>
      <c r="M8" s="18" t="n">
        <v>0</v>
      </c>
      <c r="N8" s="20" t="n">
        <v>0</v>
      </c>
      <c r="O8" s="18" t="n">
        <v>0</v>
      </c>
      <c r="P8" s="20" t="n">
        <v>0</v>
      </c>
      <c r="Q8" s="18" t="n">
        <v>25.78611107</v>
      </c>
      <c r="R8" s="20" t="n">
        <v>1.44512903</v>
      </c>
    </row>
    <row r="9" spans="1:18">
      <c r="A9" s="15" t="s">
        <v>567</v>
      </c>
      <c r="B9" s="17" t="n">
        <v>9651</v>
      </c>
      <c r="C9" s="18">
        <f>(7573.0/B9*100)</f>
        <v/>
      </c>
      <c r="D9" s="19" t="n">
        <v>2078</v>
      </c>
      <c r="E9" s="18" t="n">
        <v>43.55121167</v>
      </c>
      <c r="F9" s="20" t="n">
        <v>1.2653152</v>
      </c>
      <c r="G9" s="18" t="n">
        <v>38.19146866</v>
      </c>
      <c r="H9" s="20" t="n">
        <v>1.25832222</v>
      </c>
      <c r="I9" s="18" t="n">
        <v>0</v>
      </c>
      <c r="J9" s="20" t="n">
        <v>0</v>
      </c>
      <c r="K9" s="18" t="n">
        <v>0.17485469</v>
      </c>
      <c r="L9" s="20" t="n">
        <v>0.08813598</v>
      </c>
      <c r="M9" s="18" t="n">
        <v>0.23273824</v>
      </c>
      <c r="N9" s="20" t="n">
        <v>0.11163144</v>
      </c>
      <c r="O9" s="18" t="n">
        <v>0</v>
      </c>
      <c r="P9" s="20" t="n">
        <v>0</v>
      </c>
      <c r="Q9" s="18" t="n">
        <v>17.84972673</v>
      </c>
      <c r="R9" s="20" t="n">
        <v>0.92431765</v>
      </c>
    </row>
    <row r="10" spans="1:18">
      <c r="A10" s="15" t="s">
        <v>568</v>
      </c>
      <c r="B10" s="17" t="n">
        <v>20058</v>
      </c>
      <c r="C10" s="18">
        <f>(15676.0/B10*100)</f>
        <v/>
      </c>
      <c r="D10" s="19" t="n">
        <v>4382</v>
      </c>
      <c r="E10" s="18" t="n">
        <v>47.07597363</v>
      </c>
      <c r="F10" s="20" t="n">
        <v>1.09105557</v>
      </c>
      <c r="G10" s="18" t="n">
        <v>45.57497965</v>
      </c>
      <c r="H10" s="20" t="n">
        <v>1.0997474</v>
      </c>
      <c r="I10" s="18" t="n">
        <v>0</v>
      </c>
      <c r="J10" s="20" t="n">
        <v>0</v>
      </c>
      <c r="K10" s="18" t="n">
        <v>0.08733243</v>
      </c>
      <c r="L10" s="20" t="n">
        <v>0.08417289999999999</v>
      </c>
      <c r="M10" s="18" t="n">
        <v>0.02057015</v>
      </c>
      <c r="N10" s="20" t="n">
        <v>0.01450986</v>
      </c>
      <c r="O10" s="18" t="n">
        <v>0</v>
      </c>
      <c r="P10" s="20" t="n">
        <v>0</v>
      </c>
      <c r="Q10" s="18" t="n">
        <v>7.24114415</v>
      </c>
      <c r="R10" s="20" t="n">
        <v>0.55020579</v>
      </c>
    </row>
    <row r="11" spans="1:18">
      <c r="A11" s="15" t="s">
        <v>569</v>
      </c>
      <c r="B11" s="17" t="n">
        <v>7053</v>
      </c>
      <c r="C11" s="18">
        <f>(5525.0/B11*100)</f>
        <v/>
      </c>
      <c r="D11" s="19" t="n">
        <v>1528</v>
      </c>
      <c r="E11" s="18" t="n">
        <v>60.28222139</v>
      </c>
      <c r="F11" s="20" t="n">
        <v>1.3473262</v>
      </c>
      <c r="G11" s="18" t="n">
        <v>7.15849784</v>
      </c>
      <c r="H11" s="20" t="n">
        <v>0.6471781</v>
      </c>
      <c r="I11" s="18" t="n">
        <v>0</v>
      </c>
      <c r="J11" s="20" t="n">
        <v>0</v>
      </c>
      <c r="K11" s="18" t="n">
        <v>0.35019952</v>
      </c>
      <c r="L11" s="20" t="n">
        <v>0.16526356</v>
      </c>
      <c r="M11" s="18" t="n">
        <v>0.00707585</v>
      </c>
      <c r="N11" s="20" t="n">
        <v>0.00713206</v>
      </c>
      <c r="O11" s="18" t="n">
        <v>0</v>
      </c>
      <c r="P11" s="20" t="n">
        <v>0</v>
      </c>
      <c r="Q11" s="18" t="n">
        <v>32.2020054</v>
      </c>
      <c r="R11" s="20" t="n">
        <v>1.46474721</v>
      </c>
    </row>
    <row r="12" spans="1:18">
      <c r="A12" s="15" t="s">
        <v>570</v>
      </c>
      <c r="B12" s="17" t="n">
        <v>6894</v>
      </c>
      <c r="C12" s="18">
        <f>(5396.0/B12*100)</f>
        <v/>
      </c>
      <c r="D12" s="19" t="n">
        <v>1498</v>
      </c>
      <c r="E12" s="18" t="n">
        <v>48.08208087</v>
      </c>
      <c r="F12" s="20" t="n">
        <v>1.82121454</v>
      </c>
      <c r="G12" s="18" t="n">
        <v>14.65428406</v>
      </c>
      <c r="H12" s="20" t="n">
        <v>0.99202471</v>
      </c>
      <c r="I12" s="18" t="n">
        <v>0</v>
      </c>
      <c r="J12" s="20" t="n">
        <v>0</v>
      </c>
      <c r="K12" s="18" t="n">
        <v>0.12569305</v>
      </c>
      <c r="L12" s="20" t="n">
        <v>0.11054919</v>
      </c>
      <c r="M12" s="18" t="n">
        <v>0</v>
      </c>
      <c r="N12" s="20" t="n">
        <v>0</v>
      </c>
      <c r="O12" s="18" t="n">
        <v>0</v>
      </c>
      <c r="P12" s="20" t="n">
        <v>0</v>
      </c>
      <c r="Q12" s="18" t="n">
        <v>37.13794201</v>
      </c>
      <c r="R12" s="20" t="n">
        <v>1.65578114</v>
      </c>
    </row>
    <row r="13" spans="1:18">
      <c r="A13" s="15" t="s">
        <v>571</v>
      </c>
      <c r="B13" s="17" t="n">
        <v>7161</v>
      </c>
      <c r="C13" s="18">
        <f>(5639.0/B13*100)</f>
        <v/>
      </c>
      <c r="D13" s="19" t="n">
        <v>1522</v>
      </c>
      <c r="E13" s="18" t="n">
        <v>51.32102179</v>
      </c>
      <c r="F13" s="20" t="n">
        <v>1.38502767</v>
      </c>
      <c r="G13" s="18" t="n">
        <v>26.44354377</v>
      </c>
      <c r="H13" s="20" t="n">
        <v>1.10415366</v>
      </c>
      <c r="I13" s="18" t="n">
        <v>0</v>
      </c>
      <c r="J13" s="20" t="n">
        <v>0</v>
      </c>
      <c r="K13" s="18" t="n">
        <v>0.12166713</v>
      </c>
      <c r="L13" s="20" t="n">
        <v>0.09246757</v>
      </c>
      <c r="M13" s="18" t="n">
        <v>0.02987642</v>
      </c>
      <c r="N13" s="20" t="n">
        <v>0.02117892</v>
      </c>
      <c r="O13" s="18" t="n">
        <v>0</v>
      </c>
      <c r="P13" s="20" t="n">
        <v>0</v>
      </c>
      <c r="Q13" s="18" t="n">
        <v>22.08389089</v>
      </c>
      <c r="R13" s="20" t="n">
        <v>1.32394414</v>
      </c>
    </row>
    <row r="14" spans="1:18">
      <c r="A14" s="15" t="s">
        <v>572</v>
      </c>
      <c r="B14" s="17" t="n">
        <v>5587</v>
      </c>
      <c r="C14" s="18">
        <f>(4357.0/B14*100)</f>
        <v/>
      </c>
      <c r="D14" s="19" t="n">
        <v>1230</v>
      </c>
      <c r="E14" s="18" t="n">
        <v>58.40196558</v>
      </c>
      <c r="F14" s="20" t="n">
        <v>1.61763621</v>
      </c>
      <c r="G14" s="18" t="n">
        <v>29.80677316</v>
      </c>
      <c r="H14" s="20" t="n">
        <v>1.50764064</v>
      </c>
      <c r="I14" s="18" t="n">
        <v>0</v>
      </c>
      <c r="J14" s="20" t="n">
        <v>0</v>
      </c>
      <c r="K14" s="18" t="n">
        <v>0</v>
      </c>
      <c r="L14" s="20" t="n">
        <v>0</v>
      </c>
      <c r="M14" s="18" t="n">
        <v>0</v>
      </c>
      <c r="N14" s="20" t="n">
        <v>0</v>
      </c>
      <c r="O14" s="18" t="n">
        <v>0</v>
      </c>
      <c r="P14" s="20" t="n">
        <v>0</v>
      </c>
      <c r="Q14" s="18" t="n">
        <v>11.79126126</v>
      </c>
      <c r="R14" s="20" t="n">
        <v>1.00089678</v>
      </c>
    </row>
    <row r="15" spans="1:18">
      <c r="A15" s="15" t="s">
        <v>573</v>
      </c>
      <c r="B15" s="17" t="n">
        <v>5882</v>
      </c>
      <c r="C15" s="18">
        <f>(4622.0/B15*100)</f>
        <v/>
      </c>
      <c r="D15" s="19" t="n">
        <v>1260</v>
      </c>
      <c r="E15" s="18" t="n">
        <v>43.42713103</v>
      </c>
      <c r="F15" s="20" t="n">
        <v>1.55043799</v>
      </c>
      <c r="G15" s="18" t="n">
        <v>42.18821029</v>
      </c>
      <c r="H15" s="20" t="n">
        <v>1.45811926</v>
      </c>
      <c r="I15" s="18" t="n">
        <v>0</v>
      </c>
      <c r="J15" s="20" t="n">
        <v>0</v>
      </c>
      <c r="K15" s="18" t="n">
        <v>0.07814818</v>
      </c>
      <c r="L15" s="20" t="n">
        <v>0.07850603</v>
      </c>
      <c r="M15" s="18" t="n">
        <v>0</v>
      </c>
      <c r="N15" s="20" t="n">
        <v>0</v>
      </c>
      <c r="O15" s="18" t="n">
        <v>0</v>
      </c>
      <c r="P15" s="20" t="n">
        <v>0</v>
      </c>
      <c r="Q15" s="18" t="n">
        <v>14.3065105</v>
      </c>
      <c r="R15" s="20" t="n">
        <v>1.07368663</v>
      </c>
    </row>
    <row r="16" spans="1:18">
      <c r="A16" s="15" t="s">
        <v>574</v>
      </c>
      <c r="B16" s="17" t="n">
        <v>6108</v>
      </c>
      <c r="C16" s="18">
        <f>(4757.0/B16*100)</f>
        <v/>
      </c>
      <c r="D16" s="19" t="n">
        <v>1351</v>
      </c>
      <c r="E16" s="18" t="n">
        <v>48.27851525</v>
      </c>
      <c r="F16" s="20" t="n">
        <v>1.48096618</v>
      </c>
      <c r="G16" s="18" t="n">
        <v>27.80846976</v>
      </c>
      <c r="H16" s="20" t="n">
        <v>1.28604407</v>
      </c>
      <c r="I16" s="18" t="n">
        <v>0</v>
      </c>
      <c r="J16" s="20" t="n">
        <v>0</v>
      </c>
      <c r="K16" s="18" t="n">
        <v>0.31231061</v>
      </c>
      <c r="L16" s="20" t="n">
        <v>0.13759774</v>
      </c>
      <c r="M16" s="18" t="n">
        <v>0</v>
      </c>
      <c r="N16" s="20" t="n">
        <v>0</v>
      </c>
      <c r="O16" s="18" t="n">
        <v>0</v>
      </c>
      <c r="P16" s="20" t="n">
        <v>0</v>
      </c>
      <c r="Q16" s="18" t="n">
        <v>23.60070437</v>
      </c>
      <c r="R16" s="20" t="n">
        <v>1.28818845</v>
      </c>
    </row>
    <row r="17" spans="1:18">
      <c r="A17" s="15" t="s">
        <v>575</v>
      </c>
      <c r="B17" s="17" t="n">
        <v>6504</v>
      </c>
      <c r="C17" s="18">
        <f>(5074.0/B17*100)</f>
        <v/>
      </c>
      <c r="D17" s="19" t="n">
        <v>1430</v>
      </c>
      <c r="E17" s="18" t="n">
        <v>36.92033685</v>
      </c>
      <c r="F17" s="20" t="n">
        <v>1.25711772</v>
      </c>
      <c r="G17" s="18" t="n">
        <v>40.46968058</v>
      </c>
      <c r="H17" s="20" t="n">
        <v>1.60668252</v>
      </c>
      <c r="I17" s="18" t="n">
        <v>0</v>
      </c>
      <c r="J17" s="20" t="n">
        <v>0</v>
      </c>
      <c r="K17" s="18" t="n">
        <v>0</v>
      </c>
      <c r="L17" s="20" t="n">
        <v>0</v>
      </c>
      <c r="M17" s="18" t="n">
        <v>0.063835</v>
      </c>
      <c r="N17" s="20" t="n">
        <v>0.0650037</v>
      </c>
      <c r="O17" s="18" t="n">
        <v>0</v>
      </c>
      <c r="P17" s="20" t="n">
        <v>0</v>
      </c>
      <c r="Q17" s="18" t="n">
        <v>22.54614757</v>
      </c>
      <c r="R17" s="20" t="n">
        <v>1.1663451</v>
      </c>
    </row>
    <row r="18" spans="1:18">
      <c r="A18" s="15" t="s">
        <v>576</v>
      </c>
      <c r="B18" s="17" t="n">
        <v>5532</v>
      </c>
      <c r="C18" s="18">
        <f>(4299.0/B18*100)</f>
        <v/>
      </c>
      <c r="D18" s="19" t="n">
        <v>1233</v>
      </c>
      <c r="E18" s="18" t="n">
        <v>37.5995848</v>
      </c>
      <c r="F18" s="20" t="n">
        <v>1.59364817</v>
      </c>
      <c r="G18" s="18" t="n">
        <v>42.20109473</v>
      </c>
      <c r="H18" s="20" t="n">
        <v>1.59625885</v>
      </c>
      <c r="I18" s="18" t="n">
        <v>0</v>
      </c>
      <c r="J18" s="20" t="n">
        <v>0</v>
      </c>
      <c r="K18" s="18" t="n">
        <v>0.2424782</v>
      </c>
      <c r="L18" s="20" t="n">
        <v>0.15780663</v>
      </c>
      <c r="M18" s="18" t="n">
        <v>0</v>
      </c>
      <c r="N18" s="20" t="n">
        <v>0</v>
      </c>
      <c r="O18" s="18" t="n">
        <v>0</v>
      </c>
      <c r="P18" s="20" t="n">
        <v>0</v>
      </c>
      <c r="Q18" s="18" t="n">
        <v>19.95684226</v>
      </c>
      <c r="R18" s="20" t="n">
        <v>1.26148786</v>
      </c>
    </row>
    <row r="19" spans="1:18">
      <c r="A19" s="15" t="s">
        <v>577</v>
      </c>
      <c r="B19" s="17" t="n">
        <v>5658</v>
      </c>
      <c r="C19" s="18">
        <f>(4423.0/B19*100)</f>
        <v/>
      </c>
      <c r="D19" s="19" t="n">
        <v>1235</v>
      </c>
      <c r="E19" s="18" t="n">
        <v>40.98706688</v>
      </c>
      <c r="F19" s="20" t="n">
        <v>1.73539554</v>
      </c>
      <c r="G19" s="18" t="n">
        <v>28.41731802</v>
      </c>
      <c r="H19" s="20" t="n">
        <v>1.48138115</v>
      </c>
      <c r="I19" s="18" t="n">
        <v>0</v>
      </c>
      <c r="J19" s="20" t="n">
        <v>0</v>
      </c>
      <c r="K19" s="18" t="n">
        <v>0.05639023</v>
      </c>
      <c r="L19" s="20" t="n">
        <v>0.05633494</v>
      </c>
      <c r="M19" s="18" t="n">
        <v>0.08248025</v>
      </c>
      <c r="N19" s="20" t="n">
        <v>0.08331276999999999</v>
      </c>
      <c r="O19" s="18" t="n">
        <v>0</v>
      </c>
      <c r="P19" s="20" t="n">
        <v>0</v>
      </c>
      <c r="Q19" s="18" t="n">
        <v>30.45674462</v>
      </c>
      <c r="R19" s="20" t="n">
        <v>1.39160363</v>
      </c>
    </row>
    <row r="20" spans="1:18">
      <c r="A20" s="15" t="s">
        <v>578</v>
      </c>
      <c r="B20" s="17" t="n">
        <v>3371</v>
      </c>
      <c r="C20" s="18">
        <f>(2631.0/B20*100)</f>
        <v/>
      </c>
      <c r="D20" s="19" t="n">
        <v>740</v>
      </c>
      <c r="E20" s="18" t="n">
        <v>54.4326791</v>
      </c>
      <c r="F20" s="20" t="n">
        <v>2.02182128</v>
      </c>
      <c r="G20" s="18" t="n">
        <v>23.25696219</v>
      </c>
      <c r="H20" s="20" t="n">
        <v>1.68269833</v>
      </c>
      <c r="I20" s="18" t="n">
        <v>0</v>
      </c>
      <c r="J20" s="20" t="n">
        <v>0</v>
      </c>
      <c r="K20" s="18" t="n">
        <v>0.13378453</v>
      </c>
      <c r="L20" s="20" t="n">
        <v>0.13407414</v>
      </c>
      <c r="M20" s="18" t="n">
        <v>0.74550871</v>
      </c>
      <c r="N20" s="20" t="n">
        <v>0.28339765</v>
      </c>
      <c r="O20" s="18" t="n">
        <v>0</v>
      </c>
      <c r="P20" s="20" t="n">
        <v>0</v>
      </c>
      <c r="Q20" s="18" t="n">
        <v>21.43106547</v>
      </c>
      <c r="R20" s="20" t="n">
        <v>1.56031567</v>
      </c>
    </row>
    <row r="21" spans="1:18">
      <c r="A21" s="15" t="s">
        <v>579</v>
      </c>
      <c r="B21" s="17" t="n">
        <v>5741</v>
      </c>
      <c r="C21" s="18">
        <f>(4459.0/B21*100)</f>
        <v/>
      </c>
      <c r="D21" s="19" t="n">
        <v>1282</v>
      </c>
      <c r="E21" s="18" t="n">
        <v>52.11667926</v>
      </c>
      <c r="F21" s="20" t="n">
        <v>1.53981333</v>
      </c>
      <c r="G21" s="18" t="n">
        <v>35.74476298</v>
      </c>
      <c r="H21" s="20" t="n">
        <v>1.52887445</v>
      </c>
      <c r="I21" s="18" t="n">
        <v>0</v>
      </c>
      <c r="J21" s="20" t="n">
        <v>0</v>
      </c>
      <c r="K21" s="18" t="n">
        <v>0</v>
      </c>
      <c r="L21" s="20" t="n">
        <v>0</v>
      </c>
      <c r="M21" s="18" t="n">
        <v>0</v>
      </c>
      <c r="N21" s="20" t="n">
        <v>0</v>
      </c>
      <c r="O21" s="18" t="n">
        <v>0</v>
      </c>
      <c r="P21" s="20" t="n">
        <v>0</v>
      </c>
      <c r="Q21" s="18" t="n">
        <v>12.13855776</v>
      </c>
      <c r="R21" s="20" t="n">
        <v>1.06250751</v>
      </c>
    </row>
    <row r="22" spans="1:18">
      <c r="A22" s="15" t="s">
        <v>580</v>
      </c>
      <c r="B22" s="17" t="n">
        <v>6598</v>
      </c>
      <c r="C22" s="18">
        <f>(5292.0/B22*100)</f>
        <v/>
      </c>
      <c r="D22" s="19" t="n">
        <v>1306</v>
      </c>
      <c r="E22" s="18" t="n">
        <v>55.25817686</v>
      </c>
      <c r="F22" s="20" t="n">
        <v>1.90925354</v>
      </c>
      <c r="G22" s="18" t="n">
        <v>29.25690158</v>
      </c>
      <c r="H22" s="20" t="n">
        <v>1.57283024</v>
      </c>
      <c r="I22" s="18" t="n">
        <v>0</v>
      </c>
      <c r="J22" s="20" t="n">
        <v>0</v>
      </c>
      <c r="K22" s="18" t="n">
        <v>0.24928007</v>
      </c>
      <c r="L22" s="20" t="n">
        <v>0.20616256</v>
      </c>
      <c r="M22" s="18" t="n">
        <v>0.06317262</v>
      </c>
      <c r="N22" s="20" t="n">
        <v>0.06327678</v>
      </c>
      <c r="O22" s="18" t="n">
        <v>0</v>
      </c>
      <c r="P22" s="20" t="n">
        <v>0</v>
      </c>
      <c r="Q22" s="18" t="n">
        <v>15.17246888</v>
      </c>
      <c r="R22" s="20" t="n">
        <v>1.38523528</v>
      </c>
    </row>
    <row r="23" spans="1:18">
      <c r="A23" s="15" t="s">
        <v>581</v>
      </c>
      <c r="B23" s="17" t="n">
        <v>11583</v>
      </c>
      <c r="C23" s="18">
        <f>(8996.0/B23*100)</f>
        <v/>
      </c>
      <c r="D23" s="19" t="n">
        <v>2587</v>
      </c>
      <c r="E23" s="18" t="n">
        <v>52.20902633</v>
      </c>
      <c r="F23" s="20" t="n">
        <v>1.4832148</v>
      </c>
      <c r="G23" s="18" t="n">
        <v>18.62063641</v>
      </c>
      <c r="H23" s="20" t="n">
        <v>1.07889744</v>
      </c>
      <c r="I23" s="18" t="n">
        <v>0</v>
      </c>
      <c r="J23" s="20" t="n">
        <v>0</v>
      </c>
      <c r="K23" s="18" t="n">
        <v>0.16076426</v>
      </c>
      <c r="L23" s="20" t="n">
        <v>0.12617177</v>
      </c>
      <c r="M23" s="18" t="n">
        <v>0</v>
      </c>
      <c r="N23" s="20" t="n">
        <v>0</v>
      </c>
      <c r="O23" s="18" t="n">
        <v>0</v>
      </c>
      <c r="P23" s="20" t="n">
        <v>0</v>
      </c>
      <c r="Q23" s="18" t="n">
        <v>29.009573</v>
      </c>
      <c r="R23" s="20" t="n">
        <v>1.67013659</v>
      </c>
    </row>
    <row r="24" spans="1:18">
      <c r="A24" s="15" t="s">
        <v>582</v>
      </c>
      <c r="B24" s="17" t="n">
        <v>6647</v>
      </c>
      <c r="C24" s="18">
        <f>(5191.0/B24*100)</f>
        <v/>
      </c>
      <c r="D24" s="19" t="n">
        <v>1456</v>
      </c>
      <c r="E24" s="18" t="n">
        <v>39.15328048</v>
      </c>
      <c r="F24" s="20" t="n">
        <v>1.41788306</v>
      </c>
      <c r="G24" s="18" t="n">
        <v>41.78461617</v>
      </c>
      <c r="H24" s="20" t="n">
        <v>1.46617061</v>
      </c>
      <c r="I24" s="18" t="n">
        <v>0</v>
      </c>
      <c r="J24" s="20" t="n">
        <v>0</v>
      </c>
      <c r="K24" s="18" t="n">
        <v>0.19627394</v>
      </c>
      <c r="L24" s="20" t="n">
        <v>0.1113412</v>
      </c>
      <c r="M24" s="18" t="n">
        <v>0</v>
      </c>
      <c r="N24" s="20" t="n">
        <v>0</v>
      </c>
      <c r="O24" s="18" t="n">
        <v>0</v>
      </c>
      <c r="P24" s="20" t="n">
        <v>0</v>
      </c>
      <c r="Q24" s="18" t="n">
        <v>18.8658294</v>
      </c>
      <c r="R24" s="20" t="n">
        <v>1.01985791</v>
      </c>
    </row>
    <row r="25" spans="1:18">
      <c r="A25" s="15" t="s">
        <v>583</v>
      </c>
      <c r="B25" s="17" t="n">
        <v>5581</v>
      </c>
      <c r="C25" s="18">
        <f>(4321.0/B25*100)</f>
        <v/>
      </c>
      <c r="D25" s="19" t="n">
        <v>1260</v>
      </c>
      <c r="E25" s="18" t="n">
        <v>52.78553073</v>
      </c>
      <c r="F25" s="20" t="n">
        <v>1.25042966</v>
      </c>
      <c r="G25" s="18" t="n">
        <v>28.9692063</v>
      </c>
      <c r="H25" s="20" t="n">
        <v>1.26473275</v>
      </c>
      <c r="I25" s="18" t="n">
        <v>0</v>
      </c>
      <c r="J25" s="20" t="n">
        <v>0</v>
      </c>
      <c r="K25" s="18" t="n">
        <v>0.15962092</v>
      </c>
      <c r="L25" s="20" t="n">
        <v>0.1128434</v>
      </c>
      <c r="M25" s="18" t="n">
        <v>0</v>
      </c>
      <c r="N25" s="20" t="n">
        <v>0</v>
      </c>
      <c r="O25" s="18" t="n">
        <v>0</v>
      </c>
      <c r="P25" s="20" t="n">
        <v>0</v>
      </c>
      <c r="Q25" s="18" t="n">
        <v>18.08564204</v>
      </c>
      <c r="R25" s="20" t="n">
        <v>1.20926495</v>
      </c>
    </row>
    <row r="26" spans="1:18">
      <c r="A26" s="15" t="s">
        <v>584</v>
      </c>
      <c r="B26" s="17" t="n">
        <v>4869</v>
      </c>
      <c r="C26" s="18">
        <f>(3793.0/B26*100)</f>
        <v/>
      </c>
      <c r="D26" s="19" t="n">
        <v>1076</v>
      </c>
      <c r="E26" s="18" t="n">
        <v>59.88218337</v>
      </c>
      <c r="F26" s="20" t="n">
        <v>1.52813726</v>
      </c>
      <c r="G26" s="18" t="n">
        <v>25.16825855</v>
      </c>
      <c r="H26" s="20" t="n">
        <v>1.29385016</v>
      </c>
      <c r="I26" s="18" t="n">
        <v>0</v>
      </c>
      <c r="J26" s="20" t="n">
        <v>0</v>
      </c>
      <c r="K26" s="18" t="n">
        <v>0</v>
      </c>
      <c r="L26" s="20" t="n">
        <v>0</v>
      </c>
      <c r="M26" s="18" t="n">
        <v>0.23708901</v>
      </c>
      <c r="N26" s="20" t="n">
        <v>0.15084548</v>
      </c>
      <c r="O26" s="18" t="n">
        <v>0</v>
      </c>
      <c r="P26" s="20" t="n">
        <v>0</v>
      </c>
      <c r="Q26" s="18" t="n">
        <v>14.71246907</v>
      </c>
      <c r="R26" s="20" t="n">
        <v>1.06546526</v>
      </c>
    </row>
    <row r="27" spans="1:18">
      <c r="A27" s="15" t="s">
        <v>585</v>
      </c>
      <c r="B27" s="17" t="n">
        <v>5299</v>
      </c>
      <c r="C27" s="18">
        <f>(4135.0/B27*100)</f>
        <v/>
      </c>
      <c r="D27" s="19" t="n">
        <v>1164</v>
      </c>
      <c r="E27" s="18" t="n">
        <v>39.64304781</v>
      </c>
      <c r="F27" s="20" t="n">
        <v>1.40160323</v>
      </c>
      <c r="G27" s="18" t="n">
        <v>32.47172049</v>
      </c>
      <c r="H27" s="20" t="n">
        <v>1.37675584</v>
      </c>
      <c r="I27" s="18" t="n">
        <v>0</v>
      </c>
      <c r="J27" s="20" t="n">
        <v>0</v>
      </c>
      <c r="K27" s="18" t="n">
        <v>0.08465043</v>
      </c>
      <c r="L27" s="20" t="n">
        <v>0.08474334</v>
      </c>
      <c r="M27" s="18" t="n">
        <v>0</v>
      </c>
      <c r="N27" s="20" t="n">
        <v>0</v>
      </c>
      <c r="O27" s="18" t="n">
        <v>0</v>
      </c>
      <c r="P27" s="20" t="n">
        <v>0</v>
      </c>
      <c r="Q27" s="18" t="n">
        <v>27.80058128</v>
      </c>
      <c r="R27" s="20" t="n">
        <v>1.31282902</v>
      </c>
    </row>
    <row r="28" spans="1:18">
      <c r="A28" s="15" t="s">
        <v>586</v>
      </c>
      <c r="B28" s="17" t="n">
        <v>7568</v>
      </c>
      <c r="C28" s="18">
        <f>(5995.0/B28*100)</f>
        <v/>
      </c>
      <c r="D28" s="19" t="n">
        <v>1573</v>
      </c>
      <c r="E28" s="18" t="n">
        <v>77.36114535999999</v>
      </c>
      <c r="F28" s="20" t="n">
        <v>1.27988107</v>
      </c>
      <c r="G28" s="18" t="n">
        <v>13.11423322</v>
      </c>
      <c r="H28" s="20" t="n">
        <v>1.01346826</v>
      </c>
      <c r="I28" s="18" t="n">
        <v>0</v>
      </c>
      <c r="J28" s="20" t="n">
        <v>0</v>
      </c>
      <c r="K28" s="18" t="n">
        <v>0.24817358</v>
      </c>
      <c r="L28" s="20" t="n">
        <v>0.18185617</v>
      </c>
      <c r="M28" s="18" t="n">
        <v>0.20893742</v>
      </c>
      <c r="N28" s="20" t="n">
        <v>0.12759517</v>
      </c>
      <c r="O28" s="18" t="n">
        <v>0</v>
      </c>
      <c r="P28" s="20" t="n">
        <v>0</v>
      </c>
      <c r="Q28" s="18" t="n">
        <v>9.06751042</v>
      </c>
      <c r="R28" s="20" t="n">
        <v>0.83438612</v>
      </c>
    </row>
    <row r="29" spans="1:18">
      <c r="A29" s="15" t="s">
        <v>587</v>
      </c>
      <c r="B29" s="17" t="n">
        <v>5385</v>
      </c>
      <c r="C29" s="18">
        <f>(4191.0/B29*100)</f>
        <v/>
      </c>
      <c r="D29" s="19" t="n">
        <v>1194</v>
      </c>
      <c r="E29" s="18" t="n">
        <v>50.30866969</v>
      </c>
      <c r="F29" s="20" t="n">
        <v>1.57424104</v>
      </c>
      <c r="G29" s="18" t="n">
        <v>38.59982647</v>
      </c>
      <c r="H29" s="20" t="n">
        <v>1.4472346</v>
      </c>
      <c r="I29" s="18" t="n">
        <v>0</v>
      </c>
      <c r="J29" s="20" t="n">
        <v>0</v>
      </c>
      <c r="K29" s="18" t="n">
        <v>0.07872005999999999</v>
      </c>
      <c r="L29" s="20" t="n">
        <v>0.08527687</v>
      </c>
      <c r="M29" s="18" t="n">
        <v>0</v>
      </c>
      <c r="N29" s="20" t="n">
        <v>0</v>
      </c>
      <c r="O29" s="18" t="n">
        <v>0</v>
      </c>
      <c r="P29" s="20" t="n">
        <v>0</v>
      </c>
      <c r="Q29" s="18" t="n">
        <v>11.01278378</v>
      </c>
      <c r="R29" s="20" t="n">
        <v>0.93841762</v>
      </c>
    </row>
    <row r="30" spans="1:18">
      <c r="A30" s="15" t="s">
        <v>588</v>
      </c>
      <c r="B30" s="17" t="n">
        <v>4520</v>
      </c>
      <c r="C30" s="18">
        <f>(3544.0/B30*100)</f>
        <v/>
      </c>
      <c r="D30" s="19" t="n">
        <v>976</v>
      </c>
      <c r="E30" s="18" t="n">
        <v>41.88035104</v>
      </c>
      <c r="F30" s="20" t="n">
        <v>1.82745854</v>
      </c>
      <c r="G30" s="18" t="n">
        <v>44.10086586</v>
      </c>
      <c r="H30" s="20" t="n">
        <v>1.8992028</v>
      </c>
      <c r="I30" s="18" t="n">
        <v>0</v>
      </c>
      <c r="J30" s="20" t="n">
        <v>0</v>
      </c>
      <c r="K30" s="18" t="n">
        <v>0</v>
      </c>
      <c r="L30" s="20" t="n">
        <v>0</v>
      </c>
      <c r="M30" s="18" t="n">
        <v>0.18909267</v>
      </c>
      <c r="N30" s="20" t="n">
        <v>0.13434734</v>
      </c>
      <c r="O30" s="18" t="n">
        <v>0</v>
      </c>
      <c r="P30" s="20" t="n">
        <v>0</v>
      </c>
      <c r="Q30" s="18" t="n">
        <v>13.82969043</v>
      </c>
      <c r="R30" s="20" t="n">
        <v>1.21907836</v>
      </c>
    </row>
    <row r="31" spans="1:18">
      <c r="A31" s="15" t="s">
        <v>589</v>
      </c>
      <c r="B31" s="17" t="n">
        <v>5456</v>
      </c>
      <c r="C31" s="18">
        <f>(4247.0/B31*100)</f>
        <v/>
      </c>
      <c r="D31" s="19" t="n">
        <v>1209</v>
      </c>
      <c r="E31" s="18" t="n">
        <v>36.13123973</v>
      </c>
      <c r="F31" s="20" t="n">
        <v>1.3168086</v>
      </c>
      <c r="G31" s="18" t="n">
        <v>48.40337842</v>
      </c>
      <c r="H31" s="20" t="n">
        <v>1.36249984</v>
      </c>
      <c r="I31" s="18" t="n">
        <v>0</v>
      </c>
      <c r="J31" s="20" t="n">
        <v>0</v>
      </c>
      <c r="K31" s="18" t="n">
        <v>0.15012729</v>
      </c>
      <c r="L31" s="20" t="n">
        <v>0.10537587</v>
      </c>
      <c r="M31" s="18" t="n">
        <v>0.24352164</v>
      </c>
      <c r="N31" s="20" t="n">
        <v>0.14104926</v>
      </c>
      <c r="O31" s="18" t="n">
        <v>0</v>
      </c>
      <c r="P31" s="20" t="n">
        <v>0</v>
      </c>
      <c r="Q31" s="18" t="n">
        <v>15.07173292</v>
      </c>
      <c r="R31" s="20" t="n">
        <v>0.9054632</v>
      </c>
    </row>
    <row r="32" spans="1:18">
      <c r="A32" s="15" t="s">
        <v>590</v>
      </c>
      <c r="B32" s="17" t="n">
        <v>4478</v>
      </c>
      <c r="C32" s="18">
        <f>(3480.0/B32*100)</f>
        <v/>
      </c>
      <c r="D32" s="19" t="n">
        <v>998</v>
      </c>
      <c r="E32" s="18" t="n">
        <v>47.98293706</v>
      </c>
      <c r="F32" s="20" t="n">
        <v>1.68683095</v>
      </c>
      <c r="G32" s="18" t="n">
        <v>30.11242413</v>
      </c>
      <c r="H32" s="20" t="n">
        <v>1.35265745</v>
      </c>
      <c r="I32" s="18" t="n">
        <v>0</v>
      </c>
      <c r="J32" s="20" t="n">
        <v>0</v>
      </c>
      <c r="K32" s="18" t="n">
        <v>0</v>
      </c>
      <c r="L32" s="20" t="n">
        <v>0</v>
      </c>
      <c r="M32" s="18" t="n">
        <v>0.42623554</v>
      </c>
      <c r="N32" s="20" t="n">
        <v>0.45407525</v>
      </c>
      <c r="O32" s="18" t="n">
        <v>0</v>
      </c>
      <c r="P32" s="20" t="n">
        <v>0</v>
      </c>
      <c r="Q32" s="18" t="n">
        <v>21.47840326</v>
      </c>
      <c r="R32" s="20" t="n">
        <v>1.4599594</v>
      </c>
    </row>
    <row r="33" spans="1:18">
      <c r="A33" s="15" t="s">
        <v>591</v>
      </c>
      <c r="B33" s="17" t="n">
        <v>7325</v>
      </c>
      <c r="C33" s="18">
        <f>(5711.0/B33*100)</f>
        <v/>
      </c>
      <c r="D33" s="19" t="n">
        <v>1614</v>
      </c>
      <c r="E33" s="18" t="n">
        <v>47.30287574</v>
      </c>
      <c r="F33" s="20" t="n">
        <v>1.37782772</v>
      </c>
      <c r="G33" s="18" t="n">
        <v>31.24636743</v>
      </c>
      <c r="H33" s="20" t="n">
        <v>1.45937919</v>
      </c>
      <c r="I33" s="18" t="n">
        <v>0</v>
      </c>
      <c r="J33" s="20" t="n">
        <v>0</v>
      </c>
      <c r="K33" s="18" t="n">
        <v>0.23975634</v>
      </c>
      <c r="L33" s="20" t="n">
        <v>0.15786996</v>
      </c>
      <c r="M33" s="18" t="n">
        <v>0.39373099</v>
      </c>
      <c r="N33" s="20" t="n">
        <v>0.18904138</v>
      </c>
      <c r="O33" s="18" t="n">
        <v>0</v>
      </c>
      <c r="P33" s="20" t="n">
        <v>0</v>
      </c>
      <c r="Q33" s="18" t="n">
        <v>20.8172695</v>
      </c>
      <c r="R33" s="20" t="n">
        <v>0.95509915</v>
      </c>
    </row>
    <row r="34" spans="1:18">
      <c r="A34" s="15" t="s">
        <v>592</v>
      </c>
      <c r="B34" s="17" t="n">
        <v>6350</v>
      </c>
      <c r="C34" s="18">
        <f>(4977.0/B34*100)</f>
        <v/>
      </c>
      <c r="D34" s="19" t="n">
        <v>1373</v>
      </c>
      <c r="E34" s="18" t="n">
        <v>48.28681016</v>
      </c>
      <c r="F34" s="20" t="n">
        <v>1.41443319</v>
      </c>
      <c r="G34" s="18" t="n">
        <v>27.30968673</v>
      </c>
      <c r="H34" s="20" t="n">
        <v>1.22509464</v>
      </c>
      <c r="I34" s="18" t="n">
        <v>0</v>
      </c>
      <c r="J34" s="20" t="n">
        <v>0</v>
      </c>
      <c r="K34" s="18" t="n">
        <v>0</v>
      </c>
      <c r="L34" s="20" t="n">
        <v>0</v>
      </c>
      <c r="M34" s="18" t="n">
        <v>0.53320919</v>
      </c>
      <c r="N34" s="20" t="n">
        <v>0.31325583</v>
      </c>
      <c r="O34" s="18" t="n">
        <v>0</v>
      </c>
      <c r="P34" s="20" t="n">
        <v>0</v>
      </c>
      <c r="Q34" s="18" t="n">
        <v>23.87029393</v>
      </c>
      <c r="R34" s="20" t="n">
        <v>1.11468185</v>
      </c>
    </row>
    <row r="35" spans="1:18">
      <c r="A35" s="15" t="s">
        <v>593</v>
      </c>
      <c r="B35" s="17" t="n">
        <v>6406</v>
      </c>
      <c r="C35" s="18">
        <f>(5031.0/B35*100)</f>
        <v/>
      </c>
      <c r="D35" s="19" t="n">
        <v>1375</v>
      </c>
      <c r="E35" s="18" t="n">
        <v>37.19436062</v>
      </c>
      <c r="F35" s="20" t="n">
        <v>1.53362234</v>
      </c>
      <c r="G35" s="18" t="n">
        <v>42.08923334</v>
      </c>
      <c r="H35" s="20" t="n">
        <v>1.8037598</v>
      </c>
      <c r="I35" s="18" t="n">
        <v>0</v>
      </c>
      <c r="J35" s="20" t="n">
        <v>0</v>
      </c>
      <c r="K35" s="18" t="n">
        <v>0.44773413</v>
      </c>
      <c r="L35" s="20" t="n">
        <v>0.37017957</v>
      </c>
      <c r="M35" s="18" t="n">
        <v>0.12307362</v>
      </c>
      <c r="N35" s="20" t="n">
        <v>0.12274242</v>
      </c>
      <c r="O35" s="18" t="n">
        <v>0</v>
      </c>
      <c r="P35" s="20" t="n">
        <v>0</v>
      </c>
      <c r="Q35" s="18" t="n">
        <v>20.1455983</v>
      </c>
      <c r="R35" s="20" t="n">
        <v>1.41806901</v>
      </c>
    </row>
    <row r="36" spans="1:18">
      <c r="A36" s="15" t="s">
        <v>594</v>
      </c>
      <c r="B36" s="17" t="n">
        <v>6736</v>
      </c>
      <c r="C36" s="18">
        <f>(5270.0/B36*100)</f>
        <v/>
      </c>
      <c r="D36" s="19" t="n">
        <v>1466</v>
      </c>
      <c r="E36" s="18" t="n">
        <v>49.05773718</v>
      </c>
      <c r="F36" s="20" t="n">
        <v>1.42194059</v>
      </c>
      <c r="G36" s="18" t="n">
        <v>28.42419558</v>
      </c>
      <c r="H36" s="20" t="n">
        <v>1.19792388</v>
      </c>
      <c r="I36" s="18" t="n">
        <v>0</v>
      </c>
      <c r="J36" s="20" t="n">
        <v>0</v>
      </c>
      <c r="K36" s="18" t="n">
        <v>0.11746688</v>
      </c>
      <c r="L36" s="20" t="n">
        <v>0.13494968</v>
      </c>
      <c r="M36" s="18" t="n">
        <v>0.19676058</v>
      </c>
      <c r="N36" s="20" t="n">
        <v>0.11221914</v>
      </c>
      <c r="O36" s="18" t="n">
        <v>0</v>
      </c>
      <c r="P36" s="20" t="n">
        <v>0</v>
      </c>
      <c r="Q36" s="18" t="n">
        <v>22.20383978</v>
      </c>
      <c r="R36" s="20" t="n">
        <v>1.18930745</v>
      </c>
    </row>
    <row r="37" spans="1:18">
      <c r="A37" s="15" t="s">
        <v>595</v>
      </c>
      <c r="B37" s="17" t="n">
        <v>5458</v>
      </c>
      <c r="C37" s="18">
        <f>(4241.0/B37*100)</f>
        <v/>
      </c>
      <c r="D37" s="19" t="n">
        <v>1217</v>
      </c>
      <c r="E37" s="18" t="n">
        <v>42.09088466</v>
      </c>
      <c r="F37" s="20" t="n">
        <v>1.32130622</v>
      </c>
      <c r="G37" s="18" t="n">
        <v>29.5144703</v>
      </c>
      <c r="H37" s="20" t="n">
        <v>1.37106823</v>
      </c>
      <c r="I37" s="18" t="n">
        <v>0</v>
      </c>
      <c r="J37" s="20" t="n">
        <v>0</v>
      </c>
      <c r="K37" s="18" t="n">
        <v>0.39742402</v>
      </c>
      <c r="L37" s="20" t="n">
        <v>0.1800618</v>
      </c>
      <c r="M37" s="18" t="n">
        <v>0.07687057999999999</v>
      </c>
      <c r="N37" s="20" t="n">
        <v>0.0768209</v>
      </c>
      <c r="O37" s="18" t="n">
        <v>0</v>
      </c>
      <c r="P37" s="20" t="n">
        <v>0</v>
      </c>
      <c r="Q37" s="18" t="n">
        <v>27.92035044</v>
      </c>
      <c r="R37" s="20" t="n">
        <v>1.33949716</v>
      </c>
    </row>
    <row r="38" spans="1:18">
      <c r="A38" s="15" t="s">
        <v>596</v>
      </c>
      <c r="B38" s="17" t="n">
        <v>5860</v>
      </c>
      <c r="C38" s="18">
        <f>(4543.0/B38*100)</f>
        <v/>
      </c>
      <c r="D38" s="19" t="n">
        <v>1317</v>
      </c>
      <c r="E38" s="18" t="n">
        <v>38.62779242</v>
      </c>
      <c r="F38" s="20" t="n">
        <v>1.40348216</v>
      </c>
      <c r="G38" s="18" t="n">
        <v>37.62176901</v>
      </c>
      <c r="H38" s="20" t="n">
        <v>1.74299947</v>
      </c>
      <c r="I38" s="18" t="n">
        <v>0</v>
      </c>
      <c r="J38" s="20" t="n">
        <v>0</v>
      </c>
      <c r="K38" s="18" t="n">
        <v>0</v>
      </c>
      <c r="L38" s="20" t="n">
        <v>0</v>
      </c>
      <c r="M38" s="18" t="n">
        <v>2.37727764</v>
      </c>
      <c r="N38" s="20" t="n">
        <v>0.48044574</v>
      </c>
      <c r="O38" s="18" t="n">
        <v>0</v>
      </c>
      <c r="P38" s="20" t="n">
        <v>0</v>
      </c>
      <c r="Q38" s="18" t="n">
        <v>21.37316092</v>
      </c>
      <c r="R38" s="20" t="n">
        <v>1.26061414</v>
      </c>
    </row>
    <row r="39" spans="1:18">
      <c r="A39" s="15" t="s">
        <v>597</v>
      </c>
      <c r="B39" s="17" t="n">
        <v>5895</v>
      </c>
      <c r="C39" s="18">
        <f>(4593.0/B39*100)</f>
        <v/>
      </c>
      <c r="D39" s="19" t="n">
        <v>1302</v>
      </c>
      <c r="E39" s="18" t="n">
        <v>47.68032942</v>
      </c>
      <c r="F39" s="20" t="n">
        <v>1.55389533</v>
      </c>
      <c r="G39" s="18" t="n">
        <v>32.77355129</v>
      </c>
      <c r="H39" s="20" t="n">
        <v>1.90890577</v>
      </c>
      <c r="I39" s="18" t="n">
        <v>0</v>
      </c>
      <c r="J39" s="20" t="n">
        <v>0</v>
      </c>
      <c r="K39" s="18" t="n">
        <v>0.17104558</v>
      </c>
      <c r="L39" s="20" t="n">
        <v>0.09927929000000001</v>
      </c>
      <c r="M39" s="18" t="n">
        <v>0</v>
      </c>
      <c r="N39" s="20" t="n">
        <v>0</v>
      </c>
      <c r="O39" s="18" t="n">
        <v>0</v>
      </c>
      <c r="P39" s="20" t="n">
        <v>0</v>
      </c>
      <c r="Q39" s="18" t="n">
        <v>19.37507372</v>
      </c>
      <c r="R39" s="20" t="n">
        <v>1.09940262</v>
      </c>
    </row>
    <row r="40" spans="1:18">
      <c r="A40" s="15" t="s">
        <v>598</v>
      </c>
      <c r="B40" s="17" t="n">
        <v>14157</v>
      </c>
      <c r="C40" s="18">
        <f>(10975.0/B40*100)</f>
        <v/>
      </c>
      <c r="D40" s="19" t="n">
        <v>3182</v>
      </c>
      <c r="E40" s="18" t="n">
        <v>36.22125148</v>
      </c>
      <c r="F40" s="20" t="n">
        <v>1.44378956</v>
      </c>
      <c r="G40" s="18" t="n">
        <v>48.83032349</v>
      </c>
      <c r="H40" s="20" t="n">
        <v>1.49890405</v>
      </c>
      <c r="I40" s="18" t="n">
        <v>0</v>
      </c>
      <c r="J40" s="20" t="n">
        <v>0</v>
      </c>
      <c r="K40" s="18" t="n">
        <v>0.09451651</v>
      </c>
      <c r="L40" s="20" t="n">
        <v>0.07915031</v>
      </c>
      <c r="M40" s="18" t="n">
        <v>0</v>
      </c>
      <c r="N40" s="20" t="n">
        <v>0</v>
      </c>
      <c r="O40" s="18" t="n">
        <v>0</v>
      </c>
      <c r="P40" s="20" t="n">
        <v>0</v>
      </c>
      <c r="Q40" s="18" t="n">
        <v>14.85390853</v>
      </c>
      <c r="R40" s="20" t="n">
        <v>1.06956496</v>
      </c>
    </row>
    <row r="41" spans="1:18">
      <c r="A41" s="15" t="s">
        <v>599</v>
      </c>
      <c r="B41" s="17" t="n">
        <v>5712</v>
      </c>
      <c r="C41" s="18">
        <f>(4445.0/B41*100)</f>
        <v/>
      </c>
      <c r="D41" s="19" t="n">
        <v>1267</v>
      </c>
      <c r="E41" s="18" t="n">
        <v>53.84243644</v>
      </c>
      <c r="F41" s="20" t="n">
        <v>1.5336056</v>
      </c>
      <c r="G41" s="18" t="n">
        <v>39.24980283</v>
      </c>
      <c r="H41" s="20" t="n">
        <v>1.66451324</v>
      </c>
      <c r="I41" s="18" t="n">
        <v>0</v>
      </c>
      <c r="J41" s="20" t="n">
        <v>0</v>
      </c>
      <c r="K41" s="18" t="n">
        <v>0</v>
      </c>
      <c r="L41" s="20" t="n">
        <v>0</v>
      </c>
      <c r="M41" s="18" t="n">
        <v>0</v>
      </c>
      <c r="N41" s="20" t="n">
        <v>0</v>
      </c>
      <c r="O41" s="18" t="n">
        <v>0</v>
      </c>
      <c r="P41" s="20" t="n">
        <v>0</v>
      </c>
      <c r="Q41" s="18" t="n">
        <v>6.90776073</v>
      </c>
      <c r="R41" s="20" t="n">
        <v>0.81443846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(18473.0/B46*100)</f>
        <v/>
      </c>
      <c r="D46" s="19" t="n">
        <v>4668</v>
      </c>
      <c r="E46" s="18" t="n">
        <v>59.67692607</v>
      </c>
      <c r="F46" s="20" t="n">
        <v>1.10105431</v>
      </c>
      <c r="G46" s="18" t="n">
        <v>11.19102064</v>
      </c>
      <c r="H46" s="20" t="n">
        <v>0.69569841</v>
      </c>
      <c r="I46" s="18" t="n">
        <v>0</v>
      </c>
      <c r="J46" s="20" t="n">
        <v>0</v>
      </c>
      <c r="K46" s="18" t="n">
        <v>0.41391454</v>
      </c>
      <c r="L46" s="20" t="n">
        <v>0.13599932</v>
      </c>
      <c r="M46" s="18" t="n">
        <v>0.52639652</v>
      </c>
      <c r="N46" s="20" t="n">
        <v>0.14295678</v>
      </c>
      <c r="O46" s="18" t="n">
        <v>0</v>
      </c>
      <c r="P46" s="20" t="n">
        <v>0</v>
      </c>
      <c r="Q46" s="18" t="n">
        <v>28.19174224</v>
      </c>
      <c r="R46" s="20" t="n">
        <v>0.9331097</v>
      </c>
    </row>
    <row r="47" spans="1:18">
      <c r="A47" s="15" t="s">
        <v>606</v>
      </c>
      <c r="B47" s="17" t="n">
        <v>5928</v>
      </c>
      <c r="C47" s="18">
        <f>(4633.0/B47*100)</f>
        <v/>
      </c>
      <c r="D47" s="19" t="n">
        <v>1295</v>
      </c>
      <c r="E47" s="18" t="n">
        <v>38.71689588</v>
      </c>
      <c r="F47" s="20" t="n">
        <v>1.46264779</v>
      </c>
      <c r="G47" s="18" t="n">
        <v>25.72656363</v>
      </c>
      <c r="H47" s="20" t="n">
        <v>1.59881429</v>
      </c>
      <c r="I47" s="18" t="n">
        <v>0</v>
      </c>
      <c r="J47" s="20" t="n">
        <v>0</v>
      </c>
      <c r="K47" s="18" t="n">
        <v>0</v>
      </c>
      <c r="L47" s="20" t="n">
        <v>0</v>
      </c>
      <c r="M47" s="18" t="n">
        <v>0.15286529</v>
      </c>
      <c r="N47" s="20" t="n">
        <v>0.10628394</v>
      </c>
      <c r="O47" s="18" t="n">
        <v>0</v>
      </c>
      <c r="P47" s="20" t="n">
        <v>0</v>
      </c>
      <c r="Q47" s="18" t="n">
        <v>35.40367519</v>
      </c>
      <c r="R47" s="20" t="n">
        <v>1.85284162</v>
      </c>
    </row>
    <row r="48" spans="1:18">
      <c r="A48" s="15" t="s">
        <v>607</v>
      </c>
      <c r="B48" s="17" t="n">
        <v>9841</v>
      </c>
      <c r="C48" s="18">
        <f>(7631.0/B48*100)</f>
        <v/>
      </c>
      <c r="D48" s="19" t="n">
        <v>2210</v>
      </c>
      <c r="E48" s="18" t="n">
        <v>57.02941024</v>
      </c>
      <c r="F48" s="20" t="n">
        <v>1.52354718</v>
      </c>
      <c r="G48" s="18" t="n">
        <v>30.40284732</v>
      </c>
      <c r="H48" s="20" t="n">
        <v>1.42959616</v>
      </c>
      <c r="I48" s="18" t="n">
        <v>0</v>
      </c>
      <c r="J48" s="20" t="n">
        <v>0</v>
      </c>
      <c r="K48" s="18" t="n">
        <v>0.14608831</v>
      </c>
      <c r="L48" s="20" t="n">
        <v>0.09071711</v>
      </c>
      <c r="M48" s="18" t="n">
        <v>0</v>
      </c>
      <c r="N48" s="20" t="n">
        <v>0</v>
      </c>
      <c r="O48" s="18" t="n">
        <v>0</v>
      </c>
      <c r="P48" s="20" t="n">
        <v>0</v>
      </c>
      <c r="Q48" s="18" t="n">
        <v>12.42165412</v>
      </c>
      <c r="R48" s="20" t="n">
        <v>1.02228349</v>
      </c>
    </row>
    <row r="49" spans="1:18">
      <c r="A49" s="15" t="s">
        <v>608</v>
      </c>
      <c r="B49" s="17" t="n">
        <v>11795</v>
      </c>
      <c r="C49" s="18">
        <f>(9195.0/B49*100)</f>
        <v/>
      </c>
      <c r="D49" s="19" t="n">
        <v>2600</v>
      </c>
      <c r="E49" s="18" t="n">
        <v>80.01990008</v>
      </c>
      <c r="F49" s="20" t="n">
        <v>1.15189712</v>
      </c>
      <c r="G49" s="18" t="n">
        <v>6.39555586</v>
      </c>
      <c r="H49" s="20" t="n">
        <v>0.65803777</v>
      </c>
      <c r="I49" s="18" t="n">
        <v>0</v>
      </c>
      <c r="J49" s="20" t="n">
        <v>0</v>
      </c>
      <c r="K49" s="18" t="n">
        <v>0.55415395</v>
      </c>
      <c r="L49" s="20" t="n">
        <v>0.1440611</v>
      </c>
      <c r="M49" s="18" t="n">
        <v>0.19800995</v>
      </c>
      <c r="N49" s="20" t="n">
        <v>0.09615903000000001</v>
      </c>
      <c r="O49" s="18" t="n">
        <v>0</v>
      </c>
      <c r="P49" s="20" t="n">
        <v>0</v>
      </c>
      <c r="Q49" s="18" t="n">
        <v>12.83238017</v>
      </c>
      <c r="R49" s="20" t="n">
        <v>0.83749134</v>
      </c>
    </row>
    <row r="50" spans="1:18">
      <c r="A50" s="15" t="s">
        <v>609</v>
      </c>
      <c r="B50" s="17" t="n">
        <v>6866</v>
      </c>
      <c r="C50" s="18">
        <f>(5530.0/B50*100)</f>
        <v/>
      </c>
      <c r="D50" s="19" t="n">
        <v>1336</v>
      </c>
      <c r="E50" s="18" t="n">
        <v>69.05596291000001</v>
      </c>
      <c r="F50" s="20" t="n">
        <v>1.64292626</v>
      </c>
      <c r="G50" s="18" t="n">
        <v>8.04796642</v>
      </c>
      <c r="H50" s="20" t="n">
        <v>0.97226428</v>
      </c>
      <c r="I50" s="18" t="n">
        <v>0</v>
      </c>
      <c r="J50" s="20" t="n">
        <v>0</v>
      </c>
      <c r="K50" s="18" t="n">
        <v>0.10879491</v>
      </c>
      <c r="L50" s="20" t="n">
        <v>0.09769036</v>
      </c>
      <c r="M50" s="18" t="n">
        <v>0</v>
      </c>
      <c r="N50" s="20" t="n">
        <v>0</v>
      </c>
      <c r="O50" s="18" t="n">
        <v>0</v>
      </c>
      <c r="P50" s="20" t="n">
        <v>0</v>
      </c>
      <c r="Q50" s="18" t="n">
        <v>22.78727576</v>
      </c>
      <c r="R50" s="20" t="n">
        <v>1.56982421</v>
      </c>
    </row>
    <row r="51" spans="1:18">
      <c r="A51" s="15" t="s">
        <v>610</v>
      </c>
      <c r="B51" s="17" t="n">
        <v>5809</v>
      </c>
      <c r="C51" s="18">
        <f>(4504.0/B51*100)</f>
        <v/>
      </c>
      <c r="D51" s="19" t="n">
        <v>1305</v>
      </c>
      <c r="E51" s="18" t="n">
        <v>41.1171293</v>
      </c>
      <c r="F51" s="20" t="n">
        <v>1.26197057</v>
      </c>
      <c r="G51" s="18" t="n">
        <v>28.48016859</v>
      </c>
      <c r="H51" s="20" t="n">
        <v>1.27635274</v>
      </c>
      <c r="I51" s="18" t="n">
        <v>0</v>
      </c>
      <c r="J51" s="20" t="n">
        <v>0</v>
      </c>
      <c r="K51" s="18" t="n">
        <v>0</v>
      </c>
      <c r="L51" s="20" t="n">
        <v>0</v>
      </c>
      <c r="M51" s="18" t="n">
        <v>0</v>
      </c>
      <c r="N51" s="20" t="n">
        <v>0</v>
      </c>
      <c r="O51" s="18" t="n">
        <v>0</v>
      </c>
      <c r="P51" s="20" t="n">
        <v>0</v>
      </c>
      <c r="Q51" s="18" t="n">
        <v>30.4027021</v>
      </c>
      <c r="R51" s="20" t="n">
        <v>1.21140098</v>
      </c>
    </row>
    <row r="52" spans="1:18">
      <c r="A52" s="15" t="s">
        <v>611</v>
      </c>
      <c r="B52" s="17" t="n">
        <v>5571</v>
      </c>
      <c r="C52" s="18">
        <f>(4336.0/B52*100)</f>
        <v/>
      </c>
      <c r="D52" s="19" t="n">
        <v>1235</v>
      </c>
      <c r="E52" s="18" t="n">
        <v>57.95750356</v>
      </c>
      <c r="F52" s="20" t="n">
        <v>1.55747631</v>
      </c>
      <c r="G52" s="18" t="n">
        <v>12.07759268</v>
      </c>
      <c r="H52" s="20" t="n">
        <v>0.96688152</v>
      </c>
      <c r="I52" s="18" t="n">
        <v>0</v>
      </c>
      <c r="J52" s="20" t="n">
        <v>0</v>
      </c>
      <c r="K52" s="18" t="n">
        <v>0.10308009</v>
      </c>
      <c r="L52" s="20" t="n">
        <v>0.10343403</v>
      </c>
      <c r="M52" s="18" t="n">
        <v>0</v>
      </c>
      <c r="N52" s="20" t="n">
        <v>0</v>
      </c>
      <c r="O52" s="18" t="n">
        <v>0</v>
      </c>
      <c r="P52" s="20" t="n">
        <v>0</v>
      </c>
      <c r="Q52" s="18" t="n">
        <v>29.86182367</v>
      </c>
      <c r="R52" s="20" t="n">
        <v>1.48867402</v>
      </c>
    </row>
    <row r="53" spans="1:18">
      <c r="A53" s="15" t="s">
        <v>612</v>
      </c>
      <c r="B53" s="17" t="n">
        <v>4740</v>
      </c>
      <c r="C53" s="18">
        <f>(3718.0/B53*100)</f>
        <v/>
      </c>
      <c r="D53" s="19" t="n">
        <v>1022</v>
      </c>
      <c r="E53" s="18" t="n">
        <v>56.56532078</v>
      </c>
      <c r="F53" s="20" t="n">
        <v>1.91977191</v>
      </c>
      <c r="G53" s="18" t="n">
        <v>2.3984585</v>
      </c>
      <c r="H53" s="20" t="n">
        <v>0.64287355</v>
      </c>
      <c r="I53" s="18" t="n">
        <v>0</v>
      </c>
      <c r="J53" s="20" t="n">
        <v>0</v>
      </c>
      <c r="K53" s="18" t="n">
        <v>6.14477267</v>
      </c>
      <c r="L53" s="20" t="n">
        <v>1.05889845</v>
      </c>
      <c r="M53" s="18" t="n">
        <v>0.79238219</v>
      </c>
      <c r="N53" s="20" t="n">
        <v>0.66112568</v>
      </c>
      <c r="O53" s="18" t="n">
        <v>0</v>
      </c>
      <c r="P53" s="20" t="n">
        <v>0</v>
      </c>
      <c r="Q53" s="18" t="n">
        <v>34.09906586</v>
      </c>
      <c r="R53" s="20" t="n">
        <v>1.62608781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(4198.0/B55*100)</f>
        <v/>
      </c>
      <c r="D55" s="19" t="n">
        <v>1161</v>
      </c>
      <c r="E55" s="18" t="n">
        <v>58.60481007</v>
      </c>
      <c r="F55" s="20" t="n">
        <v>1.7001965</v>
      </c>
      <c r="G55" s="18" t="n">
        <v>34.97936958</v>
      </c>
      <c r="H55" s="20" t="n">
        <v>1.6665199</v>
      </c>
      <c r="I55" s="18" t="n">
        <v>0</v>
      </c>
      <c r="J55" s="20" t="n">
        <v>0</v>
      </c>
      <c r="K55" s="18" t="n">
        <v>0.16720771</v>
      </c>
      <c r="L55" s="20" t="n">
        <v>0.1185482</v>
      </c>
      <c r="M55" s="18" t="n">
        <v>0</v>
      </c>
      <c r="N55" s="20" t="n">
        <v>0</v>
      </c>
      <c r="O55" s="18" t="n">
        <v>0</v>
      </c>
      <c r="P55" s="20" t="n">
        <v>0</v>
      </c>
      <c r="Q55" s="18" t="n">
        <v>6.24861265</v>
      </c>
      <c r="R55" s="20" t="n">
        <v>0.62815035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(5069.0/B61*100)</f>
        <v/>
      </c>
      <c r="D61" s="19" t="n">
        <v>1456</v>
      </c>
      <c r="E61" s="18" t="n">
        <v>53.3569616</v>
      </c>
      <c r="F61" s="20" t="n">
        <v>1.43422458</v>
      </c>
      <c r="G61" s="18" t="n">
        <v>30.47249571</v>
      </c>
      <c r="H61" s="20" t="n">
        <v>1.43969427</v>
      </c>
      <c r="I61" s="18" t="n">
        <v>0</v>
      </c>
      <c r="J61" s="20" t="n">
        <v>0</v>
      </c>
      <c r="K61" s="18" t="n">
        <v>0.19690671</v>
      </c>
      <c r="L61" s="20" t="n">
        <v>0.12833473</v>
      </c>
      <c r="M61" s="18" t="n">
        <v>0.08337292</v>
      </c>
      <c r="N61" s="20" t="n">
        <v>0.08237506999999999</v>
      </c>
      <c r="O61" s="18" t="n">
        <v>0</v>
      </c>
      <c r="P61" s="20" t="n">
        <v>0</v>
      </c>
      <c r="Q61" s="18" t="n">
        <v>15.89026306</v>
      </c>
      <c r="R61" s="20" t="n">
        <v>1.12441178</v>
      </c>
    </row>
    <row r="62" spans="1:18">
      <c r="A62" s="15" t="s">
        <v>622</v>
      </c>
      <c r="B62" s="17" t="n">
        <v>4476</v>
      </c>
      <c r="C62" s="18">
        <f>(3477.0/B62*100)</f>
        <v/>
      </c>
      <c r="D62" s="19" t="n">
        <v>999</v>
      </c>
      <c r="E62" s="18" t="n">
        <v>66.57850746</v>
      </c>
      <c r="F62" s="20" t="n">
        <v>1.37664305</v>
      </c>
      <c r="G62" s="18" t="n">
        <v>27.9788805</v>
      </c>
      <c r="H62" s="20" t="n">
        <v>1.16200131</v>
      </c>
      <c r="I62" s="18" t="n">
        <v>0</v>
      </c>
      <c r="J62" s="20" t="n">
        <v>0</v>
      </c>
      <c r="K62" s="18" t="n">
        <v>0</v>
      </c>
      <c r="L62" s="20" t="n">
        <v>0</v>
      </c>
      <c r="M62" s="18" t="n">
        <v>0</v>
      </c>
      <c r="N62" s="20" t="n">
        <v>0</v>
      </c>
      <c r="O62" s="18" t="n">
        <v>0</v>
      </c>
      <c r="P62" s="20" t="n">
        <v>0</v>
      </c>
      <c r="Q62" s="18" t="n">
        <v>5.44261204</v>
      </c>
      <c r="R62" s="20" t="n">
        <v>0.74600944</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(4445.0/B67*100)</f>
        <v/>
      </c>
      <c r="D67" s="19" t="n">
        <v>1220</v>
      </c>
      <c r="E67" s="18" t="n">
        <v>34.2338453</v>
      </c>
      <c r="F67" s="20" t="n">
        <v>1.32981352</v>
      </c>
      <c r="G67" s="18" t="n">
        <v>25.19889917</v>
      </c>
      <c r="H67" s="20" t="n">
        <v>1.20293499</v>
      </c>
      <c r="I67" s="18" t="n">
        <v>0</v>
      </c>
      <c r="J67" s="20" t="n">
        <v>0</v>
      </c>
      <c r="K67" s="18" t="n">
        <v>0.25112619</v>
      </c>
      <c r="L67" s="20" t="n">
        <v>0.14571381</v>
      </c>
      <c r="M67" s="18" t="n">
        <v>0.49395899</v>
      </c>
      <c r="N67" s="20" t="n">
        <v>0.19351958</v>
      </c>
      <c r="O67" s="18" t="n">
        <v>0</v>
      </c>
      <c r="P67" s="20" t="n">
        <v>0</v>
      </c>
      <c r="Q67" s="18" t="n">
        <v>39.82217036</v>
      </c>
      <c r="R67" s="20" t="n">
        <v>1.26433311</v>
      </c>
    </row>
    <row r="68" spans="1:18">
      <c r="A68" s="15" t="s">
        <v>628</v>
      </c>
      <c r="B68" s="17" t="n">
        <v>6971</v>
      </c>
      <c r="C68" s="18">
        <f>(5467.0/B68*100)</f>
        <v/>
      </c>
      <c r="D68" s="19" t="n">
        <v>1504</v>
      </c>
      <c r="E68" s="18" t="n">
        <v>76.45372713</v>
      </c>
      <c r="F68" s="20" t="n">
        <v>0.97336505</v>
      </c>
      <c r="G68" s="18" t="n">
        <v>2.26985771</v>
      </c>
      <c r="H68" s="20" t="n">
        <v>0.37763582</v>
      </c>
      <c r="I68" s="18" t="n">
        <v>0</v>
      </c>
      <c r="J68" s="20" t="n">
        <v>0</v>
      </c>
      <c r="K68" s="18" t="n">
        <v>0.07169589</v>
      </c>
      <c r="L68" s="20" t="n">
        <v>0.07173553000000001</v>
      </c>
      <c r="M68" s="18" t="n">
        <v>0.32423491</v>
      </c>
      <c r="N68" s="20" t="n">
        <v>0.16308378</v>
      </c>
      <c r="O68" s="18" t="n">
        <v>0</v>
      </c>
      <c r="P68" s="20" t="n">
        <v>0</v>
      </c>
      <c r="Q68" s="18" t="n">
        <v>20.88048436</v>
      </c>
      <c r="R68" s="20" t="n">
        <v>0.92210392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(9445.0/B70*100)</f>
        <v/>
      </c>
      <c r="D70" s="19" t="n">
        <v>2638</v>
      </c>
      <c r="E70" s="18" t="n">
        <v>70.17407865</v>
      </c>
      <c r="F70" s="20" t="n">
        <v>0.9157001</v>
      </c>
      <c r="G70" s="18" t="n">
        <v>11.92613969</v>
      </c>
      <c r="H70" s="20" t="n">
        <v>0.61726607</v>
      </c>
      <c r="I70" s="18" t="n">
        <v>0</v>
      </c>
      <c r="J70" s="20" t="n">
        <v>0</v>
      </c>
      <c r="K70" s="18" t="n">
        <v>0.78314322</v>
      </c>
      <c r="L70" s="20" t="n">
        <v>0.17114524</v>
      </c>
      <c r="M70" s="18" t="n">
        <v>0.03670256</v>
      </c>
      <c r="N70" s="20" t="n">
        <v>0.03675225</v>
      </c>
      <c r="O70" s="18" t="n">
        <v>0</v>
      </c>
      <c r="P70" s="20" t="n">
        <v>0</v>
      </c>
      <c r="Q70" s="18" t="n">
        <v>17.07993588</v>
      </c>
      <c r="R70" s="20" t="n">
        <v>0.8314968700000001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(4676.0/B72*100)</f>
        <v/>
      </c>
      <c r="D72" s="19" t="n">
        <v>1360</v>
      </c>
      <c r="E72" s="18" t="n">
        <v>60.52727037</v>
      </c>
      <c r="F72" s="20" t="n">
        <v>1.74844066</v>
      </c>
      <c r="G72" s="18" t="n">
        <v>19.2403303</v>
      </c>
      <c r="H72" s="20" t="n">
        <v>1.46006409</v>
      </c>
      <c r="I72" s="18" t="n">
        <v>0</v>
      </c>
      <c r="J72" s="20" t="n">
        <v>0</v>
      </c>
      <c r="K72" s="18" t="n">
        <v>0.08270313999999999</v>
      </c>
      <c r="L72" s="20" t="n">
        <v>0.05269122</v>
      </c>
      <c r="M72" s="18" t="n">
        <v>0.05052267</v>
      </c>
      <c r="N72" s="20" t="n">
        <v>0.03576112</v>
      </c>
      <c r="O72" s="18" t="n">
        <v>0</v>
      </c>
      <c r="P72" s="20" t="n">
        <v>0</v>
      </c>
      <c r="Q72" s="18" t="n">
        <v>20.09917351</v>
      </c>
      <c r="R72" s="20" t="n">
        <v>1.41674228</v>
      </c>
    </row>
    <row r="73" spans="1:18">
      <c r="A73" s="15" t="s">
        <v>633</v>
      </c>
      <c r="B73" s="17" t="n">
        <v>6115</v>
      </c>
      <c r="C73" s="18">
        <f>(4732.0/B73*100)</f>
        <v/>
      </c>
      <c r="D73" s="19" t="n">
        <v>1383</v>
      </c>
      <c r="E73" s="18" t="n">
        <v>46.02633854</v>
      </c>
      <c r="F73" s="20" t="n">
        <v>1.29554349</v>
      </c>
      <c r="G73" s="18" t="n">
        <v>48.5777385</v>
      </c>
      <c r="H73" s="20" t="n">
        <v>1.29730139</v>
      </c>
      <c r="I73" s="18" t="n">
        <v>0</v>
      </c>
      <c r="J73" s="20" t="n">
        <v>0</v>
      </c>
      <c r="K73" s="18" t="n">
        <v>0.23277762</v>
      </c>
      <c r="L73" s="20" t="n">
        <v>0.13426642</v>
      </c>
      <c r="M73" s="18" t="n">
        <v>0.10060169</v>
      </c>
      <c r="N73" s="20" t="n">
        <v>0.10077853</v>
      </c>
      <c r="O73" s="18" t="n">
        <v>0</v>
      </c>
      <c r="P73" s="20" t="n">
        <v>0</v>
      </c>
      <c r="Q73" s="18" t="n">
        <v>5.06254364</v>
      </c>
      <c r="R73" s="20" t="n">
        <v>0.63129325</v>
      </c>
    </row>
    <row r="74" spans="1:18">
      <c r="A74" s="15" t="s">
        <v>634</v>
      </c>
      <c r="B74" s="17" t="n">
        <v>7708</v>
      </c>
      <c r="C74" s="18">
        <f>(5958.0/B74*100)</f>
        <v/>
      </c>
      <c r="D74" s="19" t="n">
        <v>1750</v>
      </c>
      <c r="E74" s="18" t="n">
        <v>69.79458080000001</v>
      </c>
      <c r="F74" s="20" t="n">
        <v>1.00857313</v>
      </c>
      <c r="G74" s="18" t="n">
        <v>19.20869743</v>
      </c>
      <c r="H74" s="20" t="n">
        <v>0.86582487</v>
      </c>
      <c r="I74" s="18" t="n">
        <v>0</v>
      </c>
      <c r="J74" s="20" t="n">
        <v>0</v>
      </c>
      <c r="K74" s="18" t="n">
        <v>0.07467227999999999</v>
      </c>
      <c r="L74" s="20" t="n">
        <v>0.07491404</v>
      </c>
      <c r="M74" s="18" t="n">
        <v>0</v>
      </c>
      <c r="N74" s="20" t="n">
        <v>0</v>
      </c>
      <c r="O74" s="18" t="n">
        <v>0</v>
      </c>
      <c r="P74" s="20" t="n">
        <v>0</v>
      </c>
      <c r="Q74" s="18" t="n">
        <v>10.92204949</v>
      </c>
      <c r="R74" s="20" t="n">
        <v>0.75273729</v>
      </c>
    </row>
    <row r="75" spans="1:18">
      <c r="A75" s="15" t="s">
        <v>635</v>
      </c>
      <c r="B75" s="17" t="n">
        <v>8249</v>
      </c>
      <c r="C75" s="18">
        <f>(6445.0/B75*100)</f>
        <v/>
      </c>
      <c r="D75" s="19" t="n">
        <v>1804</v>
      </c>
      <c r="E75" s="18" t="n">
        <v>91.36382559</v>
      </c>
      <c r="F75" s="20" t="n">
        <v>0.76054196</v>
      </c>
      <c r="G75" s="18" t="n">
        <v>4.43538557</v>
      </c>
      <c r="H75" s="20" t="n">
        <v>0.5488993599999999</v>
      </c>
      <c r="I75" s="18" t="n">
        <v>0</v>
      </c>
      <c r="J75" s="20" t="n">
        <v>0</v>
      </c>
      <c r="K75" s="18" t="n">
        <v>0</v>
      </c>
      <c r="L75" s="20" t="n">
        <v>0</v>
      </c>
      <c r="M75" s="18" t="n">
        <v>0.34826616</v>
      </c>
      <c r="N75" s="20" t="n">
        <v>0.24727972</v>
      </c>
      <c r="O75" s="18" t="n">
        <v>0</v>
      </c>
      <c r="P75" s="20" t="n">
        <v>0</v>
      </c>
      <c r="Q75" s="18" t="n">
        <v>3.85252268</v>
      </c>
      <c r="R75" s="20" t="n">
        <v>0.54305594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(4261.0/B77*100)</f>
        <v/>
      </c>
      <c r="D77" s="19" t="n">
        <v>1114</v>
      </c>
      <c r="E77" s="18" t="n">
        <v>53.2116971</v>
      </c>
      <c r="F77" s="20" t="n">
        <v>1.57869279</v>
      </c>
      <c r="G77" s="18" t="n">
        <v>9.35569647</v>
      </c>
      <c r="H77" s="20" t="n">
        <v>0.91682029</v>
      </c>
      <c r="I77" s="18" t="n">
        <v>0</v>
      </c>
      <c r="J77" s="20" t="n">
        <v>0</v>
      </c>
      <c r="K77" s="18" t="n">
        <v>0.86515668</v>
      </c>
      <c r="L77" s="20" t="n">
        <v>0.27603985</v>
      </c>
      <c r="M77" s="18" t="n">
        <v>0.91305872</v>
      </c>
      <c r="N77" s="20" t="n">
        <v>0.28281059</v>
      </c>
      <c r="O77" s="18" t="n">
        <v>0</v>
      </c>
      <c r="P77" s="20" t="n">
        <v>0</v>
      </c>
      <c r="Q77" s="18" t="n">
        <v>35.65439104</v>
      </c>
      <c r="R77" s="20" t="n">
        <v>1.65000469</v>
      </c>
    </row>
    <row r="78" spans="1:18">
      <c r="A78" s="15" t="s">
        <v>638</v>
      </c>
      <c r="B78" s="17" t="n">
        <v>14167</v>
      </c>
      <c r="C78" s="18">
        <f>(11049.0/B78*100)</f>
        <v/>
      </c>
      <c r="D78" s="19" t="n">
        <v>3118</v>
      </c>
      <c r="E78" s="18" t="n">
        <v>72.67269949999999</v>
      </c>
      <c r="F78" s="20" t="n">
        <v>0.97097185</v>
      </c>
      <c r="G78" s="18" t="n">
        <v>17.96498157</v>
      </c>
      <c r="H78" s="20" t="n">
        <v>0.8585158000000001</v>
      </c>
      <c r="I78" s="18" t="n">
        <v>0</v>
      </c>
      <c r="J78" s="20" t="n">
        <v>0</v>
      </c>
      <c r="K78" s="18" t="n">
        <v>0.16494572</v>
      </c>
      <c r="L78" s="20" t="n">
        <v>0.07630932</v>
      </c>
      <c r="M78" s="18" t="n">
        <v>0.24599067</v>
      </c>
      <c r="N78" s="20" t="n">
        <v>0.09499132</v>
      </c>
      <c r="O78" s="18" t="n">
        <v>0</v>
      </c>
      <c r="P78" s="20" t="n">
        <v>0</v>
      </c>
      <c r="Q78" s="18" t="n">
        <v>8.95138253</v>
      </c>
      <c r="R78" s="20" t="n">
        <v>0.72176986</v>
      </c>
    </row>
    <row r="79" spans="1:18">
      <c r="A79" s="15" t="s">
        <v>639</v>
      </c>
      <c r="B79" s="17" t="n">
        <v>6062</v>
      </c>
      <c r="C79" s="18">
        <f>(4713.0/B79*100)</f>
        <v/>
      </c>
      <c r="D79" s="19" t="n">
        <v>1349</v>
      </c>
      <c r="E79" s="18" t="n">
        <v>42.98122009</v>
      </c>
      <c r="F79" s="20" t="n">
        <v>1.33772354</v>
      </c>
      <c r="G79" s="18" t="n">
        <v>11.97097992</v>
      </c>
      <c r="H79" s="20" t="n">
        <v>0.98313586</v>
      </c>
      <c r="I79" s="18" t="n">
        <v>0</v>
      </c>
      <c r="J79" s="20" t="n">
        <v>0</v>
      </c>
      <c r="K79" s="18" t="n">
        <v>0.34375876</v>
      </c>
      <c r="L79" s="20" t="n">
        <v>0.17006536</v>
      </c>
      <c r="M79" s="18" t="n">
        <v>0</v>
      </c>
      <c r="N79" s="20" t="n">
        <v>0</v>
      </c>
      <c r="O79" s="18" t="n">
        <v>0</v>
      </c>
      <c r="P79" s="20" t="n">
        <v>0</v>
      </c>
      <c r="Q79" s="18" t="n">
        <v>44.70404123</v>
      </c>
      <c r="R79" s="20" t="n">
        <v>1.37811878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(25204.0/B82*100)</f>
        <v/>
      </c>
      <c r="D82" s="19" t="n">
        <v>7126</v>
      </c>
      <c r="E82" s="18" t="n">
        <v>49.70613269</v>
      </c>
      <c r="F82" s="20" t="n">
        <v>0.97723622</v>
      </c>
      <c r="G82" s="18" t="n">
        <v>28.56082233</v>
      </c>
      <c r="H82" s="20" t="n">
        <v>0.80711238</v>
      </c>
      <c r="I82" s="18" t="n">
        <v>0</v>
      </c>
      <c r="J82" s="20" t="n">
        <v>0</v>
      </c>
      <c r="K82" s="18" t="n">
        <v>0.12812131</v>
      </c>
      <c r="L82" s="20" t="n">
        <v>0.07939576</v>
      </c>
      <c r="M82" s="18" t="n">
        <v>0.12959977</v>
      </c>
      <c r="N82" s="20" t="n">
        <v>0.07207123999999999</v>
      </c>
      <c r="O82" s="18" t="n">
        <v>0</v>
      </c>
      <c r="P82" s="20" t="n">
        <v>0</v>
      </c>
      <c r="Q82" s="18" t="n">
        <v>21.4753239</v>
      </c>
      <c r="R82" s="20" t="n">
        <v>0.8427895399999999</v>
      </c>
    </row>
    <row r="83" spans="1:18">
      <c r="A83" s="15" t="s">
        <v>643</v>
      </c>
      <c r="B83" s="17" t="n">
        <v>1652</v>
      </c>
      <c r="C83" s="18">
        <f>(1295.0/B83*100)</f>
        <v/>
      </c>
      <c r="D83" s="19" t="n">
        <v>357</v>
      </c>
      <c r="E83" s="18" t="n">
        <v>54.3446263</v>
      </c>
      <c r="F83" s="20" t="n">
        <v>2.23148029</v>
      </c>
      <c r="G83" s="18" t="n">
        <v>41.52121599</v>
      </c>
      <c r="H83" s="20" t="n">
        <v>2.24115207</v>
      </c>
      <c r="I83" s="18" t="n">
        <v>0</v>
      </c>
      <c r="J83" s="20" t="n">
        <v>0</v>
      </c>
      <c r="K83" s="18" t="n">
        <v>0</v>
      </c>
      <c r="L83" s="20" t="n">
        <v>0</v>
      </c>
      <c r="M83" s="18" t="n">
        <v>0</v>
      </c>
      <c r="N83" s="20" t="n">
        <v>0</v>
      </c>
      <c r="O83" s="18" t="n">
        <v>0</v>
      </c>
      <c r="P83" s="20" t="n">
        <v>0</v>
      </c>
      <c r="Q83" s="18" t="n">
        <v>4.1341577</v>
      </c>
      <c r="R83" s="20" t="n">
        <v>0.84732797</v>
      </c>
    </row>
    <row r="84" spans="1:18">
      <c r="A84" s="23" t="s">
        <v>644</v>
      </c>
      <c r="B84" s="24" t="n">
        <v>1887</v>
      </c>
      <c r="C84" s="25">
        <f>(1471.0/B84*100)</f>
        <v/>
      </c>
      <c r="D84" s="19" t="n">
        <v>416</v>
      </c>
      <c r="E84" s="18" t="n">
        <v>55.44291574</v>
      </c>
      <c r="F84" s="20" t="n">
        <v>2.281476</v>
      </c>
      <c r="G84" s="18" t="n">
        <v>39.69601703</v>
      </c>
      <c r="H84" s="20" t="n">
        <v>2.24178145</v>
      </c>
      <c r="I84" s="18" t="n">
        <v>0</v>
      </c>
      <c r="J84" s="20" t="n">
        <v>0</v>
      </c>
      <c r="K84" s="18" t="n">
        <v>0</v>
      </c>
      <c r="L84" s="20" t="n">
        <v>0</v>
      </c>
      <c r="M84" s="18" t="n">
        <v>0</v>
      </c>
      <c r="N84" s="20" t="n">
        <v>0</v>
      </c>
      <c r="O84" s="18" t="n">
        <v>0</v>
      </c>
      <c r="P84" s="20" t="n">
        <v>0</v>
      </c>
      <c r="Q84" s="18" t="n">
        <v>4.86106723</v>
      </c>
      <c r="R84" s="20" t="n">
        <v>1.42414989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(11333.0/B7*100)</f>
        <v/>
      </c>
      <c r="D7" s="19" t="n">
        <v>3197</v>
      </c>
      <c r="E7" s="18" t="n">
        <v>67.51224651</v>
      </c>
      <c r="F7" s="20" t="n">
        <v>0.93052716</v>
      </c>
      <c r="G7" s="18" t="n">
        <v>31.29375041</v>
      </c>
      <c r="H7" s="20" t="n">
        <v>0.95197563</v>
      </c>
      <c r="I7" s="18" t="n">
        <v>0</v>
      </c>
      <c r="J7" s="20" t="n">
        <v>0</v>
      </c>
      <c r="K7" s="18" t="n">
        <v>0.13740418</v>
      </c>
      <c r="L7" s="20" t="n">
        <v>0.06028981</v>
      </c>
      <c r="M7" s="18" t="n">
        <v>0</v>
      </c>
      <c r="N7" s="20" t="n">
        <v>0</v>
      </c>
      <c r="O7" s="18" t="n">
        <v>0</v>
      </c>
      <c r="P7" s="20" t="n">
        <v>0</v>
      </c>
      <c r="Q7" s="18" t="n">
        <v>1.05659889</v>
      </c>
      <c r="R7" s="20" t="n">
        <v>0.19770622</v>
      </c>
    </row>
    <row r="8" spans="1:18">
      <c r="A8" s="15" t="s">
        <v>566</v>
      </c>
      <c r="B8" s="17" t="n">
        <v>7007</v>
      </c>
      <c r="C8" s="18">
        <f>(5456.0/B8*100)</f>
        <v/>
      </c>
      <c r="D8" s="19" t="n">
        <v>1551</v>
      </c>
      <c r="E8" s="18" t="n">
        <v>51.04716467</v>
      </c>
      <c r="F8" s="20" t="n">
        <v>1.51811557</v>
      </c>
      <c r="G8" s="18" t="n">
        <v>47.47913721</v>
      </c>
      <c r="H8" s="20" t="n">
        <v>1.51991608</v>
      </c>
      <c r="I8" s="18" t="n">
        <v>0</v>
      </c>
      <c r="J8" s="20" t="n">
        <v>0</v>
      </c>
      <c r="K8" s="18" t="n">
        <v>0.05151784</v>
      </c>
      <c r="L8" s="20" t="n">
        <v>0.08729407</v>
      </c>
      <c r="M8" s="18" t="n">
        <v>0</v>
      </c>
      <c r="N8" s="20" t="n">
        <v>0</v>
      </c>
      <c r="O8" s="18" t="n">
        <v>0</v>
      </c>
      <c r="P8" s="20" t="n">
        <v>0</v>
      </c>
      <c r="Q8" s="18" t="n">
        <v>1.42218029</v>
      </c>
      <c r="R8" s="20" t="n">
        <v>0.36373755</v>
      </c>
    </row>
    <row r="9" spans="1:18">
      <c r="A9" s="15" t="s">
        <v>567</v>
      </c>
      <c r="B9" s="17" t="n">
        <v>9651</v>
      </c>
      <c r="C9" s="18">
        <f>(7574.0/B9*100)</f>
        <v/>
      </c>
      <c r="D9" s="19" t="n">
        <v>2077</v>
      </c>
      <c r="E9" s="18" t="n">
        <v>53.22666332</v>
      </c>
      <c r="F9" s="20" t="n">
        <v>1.29154009</v>
      </c>
      <c r="G9" s="18" t="n">
        <v>45.21102615</v>
      </c>
      <c r="H9" s="20" t="n">
        <v>1.31642809</v>
      </c>
      <c r="I9" s="18" t="n">
        <v>0</v>
      </c>
      <c r="J9" s="20" t="n">
        <v>0</v>
      </c>
      <c r="K9" s="18" t="n">
        <v>0.17491146</v>
      </c>
      <c r="L9" s="20" t="n">
        <v>0.08816435</v>
      </c>
      <c r="M9" s="18" t="n">
        <v>0</v>
      </c>
      <c r="N9" s="20" t="n">
        <v>0</v>
      </c>
      <c r="O9" s="18" t="n">
        <v>0</v>
      </c>
      <c r="P9" s="20" t="n">
        <v>0</v>
      </c>
      <c r="Q9" s="18" t="n">
        <v>1.38739906</v>
      </c>
      <c r="R9" s="20" t="n">
        <v>0.27803188</v>
      </c>
    </row>
    <row r="10" spans="1:18">
      <c r="A10" s="15" t="s">
        <v>568</v>
      </c>
      <c r="B10" s="17" t="n">
        <v>20058</v>
      </c>
      <c r="C10" s="18">
        <f>(15676.0/B10*100)</f>
        <v/>
      </c>
      <c r="D10" s="19" t="n">
        <v>4382</v>
      </c>
      <c r="E10" s="18" t="n">
        <v>53.75255436</v>
      </c>
      <c r="F10" s="20" t="n">
        <v>1.06703302</v>
      </c>
      <c r="G10" s="18" t="n">
        <v>45.15928188</v>
      </c>
      <c r="H10" s="20" t="n">
        <v>1.09523698</v>
      </c>
      <c r="I10" s="18" t="n">
        <v>0</v>
      </c>
      <c r="J10" s="20" t="n">
        <v>0</v>
      </c>
      <c r="K10" s="18" t="n">
        <v>0.08733243</v>
      </c>
      <c r="L10" s="20" t="n">
        <v>0.08417289999999999</v>
      </c>
      <c r="M10" s="18" t="n">
        <v>0</v>
      </c>
      <c r="N10" s="20" t="n">
        <v>0</v>
      </c>
      <c r="O10" s="18" t="n">
        <v>0</v>
      </c>
      <c r="P10" s="20" t="n">
        <v>0</v>
      </c>
      <c r="Q10" s="18" t="n">
        <v>1.00083134</v>
      </c>
      <c r="R10" s="20" t="n">
        <v>0.21061734</v>
      </c>
    </row>
    <row r="11" spans="1:18">
      <c r="A11" s="15" t="s">
        <v>569</v>
      </c>
      <c r="B11" s="17" t="n">
        <v>7053</v>
      </c>
      <c r="C11" s="18">
        <f>(5524.0/B11*100)</f>
        <v/>
      </c>
      <c r="D11" s="19" t="n">
        <v>1529</v>
      </c>
      <c r="E11" s="18" t="n">
        <v>69.62794556</v>
      </c>
      <c r="F11" s="20" t="n">
        <v>1.59938768</v>
      </c>
      <c r="G11" s="18" t="n">
        <v>27.67603885</v>
      </c>
      <c r="H11" s="20" t="n">
        <v>1.57421011</v>
      </c>
      <c r="I11" s="18" t="n">
        <v>0</v>
      </c>
      <c r="J11" s="20" t="n">
        <v>0</v>
      </c>
      <c r="K11" s="18" t="n">
        <v>0.4374285</v>
      </c>
      <c r="L11" s="20" t="n">
        <v>0.18628863</v>
      </c>
      <c r="M11" s="18" t="n">
        <v>0</v>
      </c>
      <c r="N11" s="20" t="n">
        <v>0</v>
      </c>
      <c r="O11" s="18" t="n">
        <v>0</v>
      </c>
      <c r="P11" s="20" t="n">
        <v>0</v>
      </c>
      <c r="Q11" s="18" t="n">
        <v>2.25858709</v>
      </c>
      <c r="R11" s="20" t="n">
        <v>0.43705746</v>
      </c>
    </row>
    <row r="12" spans="1:18">
      <c r="A12" s="15" t="s">
        <v>570</v>
      </c>
      <c r="B12" s="17" t="n">
        <v>6894</v>
      </c>
      <c r="C12" s="18">
        <f>(5396.0/B12*100)</f>
        <v/>
      </c>
      <c r="D12" s="19" t="n">
        <v>1498</v>
      </c>
      <c r="E12" s="18" t="n">
        <v>50.60848315</v>
      </c>
      <c r="F12" s="20" t="n">
        <v>1.49137947</v>
      </c>
      <c r="G12" s="18" t="n">
        <v>48.45064262</v>
      </c>
      <c r="H12" s="20" t="n">
        <v>1.50471855</v>
      </c>
      <c r="I12" s="18" t="n">
        <v>0</v>
      </c>
      <c r="J12" s="20" t="n">
        <v>0</v>
      </c>
      <c r="K12" s="18" t="n">
        <v>0.12569305</v>
      </c>
      <c r="L12" s="20" t="n">
        <v>0.11054919</v>
      </c>
      <c r="M12" s="18" t="n">
        <v>0</v>
      </c>
      <c r="N12" s="20" t="n">
        <v>0</v>
      </c>
      <c r="O12" s="18" t="n">
        <v>0</v>
      </c>
      <c r="P12" s="20" t="n">
        <v>0</v>
      </c>
      <c r="Q12" s="18" t="n">
        <v>0.8151811799999999</v>
      </c>
      <c r="R12" s="20" t="n">
        <v>0.22798146</v>
      </c>
    </row>
    <row r="13" spans="1:18">
      <c r="A13" s="15" t="s">
        <v>571</v>
      </c>
      <c r="B13" s="17" t="n">
        <v>7161</v>
      </c>
      <c r="C13" s="18">
        <f>(5639.0/B13*100)</f>
        <v/>
      </c>
      <c r="D13" s="19" t="n">
        <v>1522</v>
      </c>
      <c r="E13" s="18" t="n">
        <v>49.43685206</v>
      </c>
      <c r="F13" s="20" t="n">
        <v>1.68179587</v>
      </c>
      <c r="G13" s="18" t="n">
        <v>49.45198473</v>
      </c>
      <c r="H13" s="20" t="n">
        <v>1.68441746</v>
      </c>
      <c r="I13" s="18" t="n">
        <v>0</v>
      </c>
      <c r="J13" s="20" t="n">
        <v>0</v>
      </c>
      <c r="K13" s="18" t="n">
        <v>0.12166713</v>
      </c>
      <c r="L13" s="20" t="n">
        <v>0.09246757</v>
      </c>
      <c r="M13" s="18" t="n">
        <v>0</v>
      </c>
      <c r="N13" s="20" t="n">
        <v>0</v>
      </c>
      <c r="O13" s="18" t="n">
        <v>0</v>
      </c>
      <c r="P13" s="20" t="n">
        <v>0</v>
      </c>
      <c r="Q13" s="18" t="n">
        <v>0.9894960699999999</v>
      </c>
      <c r="R13" s="20" t="n">
        <v>0.21845956</v>
      </c>
    </row>
    <row r="14" spans="1:18">
      <c r="A14" s="15" t="s">
        <v>572</v>
      </c>
      <c r="B14" s="17" t="n">
        <v>5587</v>
      </c>
      <c r="C14" s="18">
        <f>(4357.0/B14*100)</f>
        <v/>
      </c>
      <c r="D14" s="19" t="n">
        <v>1230</v>
      </c>
      <c r="E14" s="18" t="n">
        <v>52.25821488</v>
      </c>
      <c r="F14" s="20" t="n">
        <v>1.65497226</v>
      </c>
      <c r="G14" s="18" t="n">
        <v>47.44179766</v>
      </c>
      <c r="H14" s="20" t="n">
        <v>1.69906955</v>
      </c>
      <c r="I14" s="18" t="n">
        <v>0</v>
      </c>
      <c r="J14" s="20" t="n">
        <v>0</v>
      </c>
      <c r="K14" s="18" t="n">
        <v>0</v>
      </c>
      <c r="L14" s="20" t="n">
        <v>0</v>
      </c>
      <c r="M14" s="18" t="n">
        <v>0</v>
      </c>
      <c r="N14" s="20" t="n">
        <v>0</v>
      </c>
      <c r="O14" s="18" t="n">
        <v>0</v>
      </c>
      <c r="P14" s="20" t="n">
        <v>0</v>
      </c>
      <c r="Q14" s="18" t="n">
        <v>0.29998746</v>
      </c>
      <c r="R14" s="20" t="n">
        <v>0.19644142</v>
      </c>
    </row>
    <row r="15" spans="1:18">
      <c r="A15" s="15" t="s">
        <v>573</v>
      </c>
      <c r="B15" s="17" t="n">
        <v>5882</v>
      </c>
      <c r="C15" s="18">
        <f>(4622.0/B15*100)</f>
        <v/>
      </c>
      <c r="D15" s="19" t="n">
        <v>1260</v>
      </c>
      <c r="E15" s="18" t="n">
        <v>51.42460697</v>
      </c>
      <c r="F15" s="20" t="n">
        <v>1.28036351</v>
      </c>
      <c r="G15" s="18" t="n">
        <v>47.28987977</v>
      </c>
      <c r="H15" s="20" t="n">
        <v>1.31059016</v>
      </c>
      <c r="I15" s="18" t="n">
        <v>0</v>
      </c>
      <c r="J15" s="20" t="n">
        <v>0</v>
      </c>
      <c r="K15" s="18" t="n">
        <v>0.07814818</v>
      </c>
      <c r="L15" s="20" t="n">
        <v>0.07850603</v>
      </c>
      <c r="M15" s="18" t="n">
        <v>0</v>
      </c>
      <c r="N15" s="20" t="n">
        <v>0</v>
      </c>
      <c r="O15" s="18" t="n">
        <v>0</v>
      </c>
      <c r="P15" s="20" t="n">
        <v>0</v>
      </c>
      <c r="Q15" s="18" t="n">
        <v>1.20736509</v>
      </c>
      <c r="R15" s="20" t="n">
        <v>0.30115923</v>
      </c>
    </row>
    <row r="16" spans="1:18">
      <c r="A16" s="15" t="s">
        <v>574</v>
      </c>
      <c r="B16" s="17" t="n">
        <v>6108</v>
      </c>
      <c r="C16" s="18">
        <f>(4755.0/B16*100)</f>
        <v/>
      </c>
      <c r="D16" s="19" t="n">
        <v>1353</v>
      </c>
      <c r="E16" s="18" t="n">
        <v>45.00130857</v>
      </c>
      <c r="F16" s="20" t="n">
        <v>1.48069696</v>
      </c>
      <c r="G16" s="18" t="n">
        <v>52.21624989</v>
      </c>
      <c r="H16" s="20" t="n">
        <v>1.44095283</v>
      </c>
      <c r="I16" s="18" t="n">
        <v>0</v>
      </c>
      <c r="J16" s="20" t="n">
        <v>0</v>
      </c>
      <c r="K16" s="18" t="n">
        <v>0.40993218</v>
      </c>
      <c r="L16" s="20" t="n">
        <v>0.22806056</v>
      </c>
      <c r="M16" s="18" t="n">
        <v>0</v>
      </c>
      <c r="N16" s="20" t="n">
        <v>0</v>
      </c>
      <c r="O16" s="18" t="n">
        <v>0</v>
      </c>
      <c r="P16" s="20" t="n">
        <v>0</v>
      </c>
      <c r="Q16" s="18" t="n">
        <v>2.37250936</v>
      </c>
      <c r="R16" s="20" t="n">
        <v>0.43456066</v>
      </c>
    </row>
    <row r="17" spans="1:18">
      <c r="A17" s="15" t="s">
        <v>575</v>
      </c>
      <c r="B17" s="17" t="n">
        <v>6504</v>
      </c>
      <c r="C17" s="18">
        <f>(5074.0/B17*100)</f>
        <v/>
      </c>
      <c r="D17" s="19" t="n">
        <v>1430</v>
      </c>
      <c r="E17" s="18" t="n">
        <v>48.39888086</v>
      </c>
      <c r="F17" s="20" t="n">
        <v>1.55097124</v>
      </c>
      <c r="G17" s="18" t="n">
        <v>49.85631752</v>
      </c>
      <c r="H17" s="20" t="n">
        <v>1.53577976</v>
      </c>
      <c r="I17" s="18" t="n">
        <v>0</v>
      </c>
      <c r="J17" s="20" t="n">
        <v>0</v>
      </c>
      <c r="K17" s="18" t="n">
        <v>0</v>
      </c>
      <c r="L17" s="20" t="n">
        <v>0</v>
      </c>
      <c r="M17" s="18" t="n">
        <v>0</v>
      </c>
      <c r="N17" s="20" t="n">
        <v>0</v>
      </c>
      <c r="O17" s="18" t="n">
        <v>0</v>
      </c>
      <c r="P17" s="20" t="n">
        <v>0</v>
      </c>
      <c r="Q17" s="18" t="n">
        <v>1.74480162</v>
      </c>
      <c r="R17" s="20" t="n">
        <v>0.34672839</v>
      </c>
    </row>
    <row r="18" spans="1:18">
      <c r="A18" s="15" t="s">
        <v>576</v>
      </c>
      <c r="B18" s="17" t="n">
        <v>5532</v>
      </c>
      <c r="C18" s="18">
        <f>(4299.0/B18*100)</f>
        <v/>
      </c>
      <c r="D18" s="19" t="n">
        <v>1233</v>
      </c>
      <c r="E18" s="18" t="n">
        <v>64.96915217</v>
      </c>
      <c r="F18" s="20" t="n">
        <v>1.83380064</v>
      </c>
      <c r="G18" s="18" t="n">
        <v>33.49060063</v>
      </c>
      <c r="H18" s="20" t="n">
        <v>1.74496556</v>
      </c>
      <c r="I18" s="18" t="n">
        <v>0</v>
      </c>
      <c r="J18" s="20" t="n">
        <v>0</v>
      </c>
      <c r="K18" s="18" t="n">
        <v>0.2424782</v>
      </c>
      <c r="L18" s="20" t="n">
        <v>0.15780663</v>
      </c>
      <c r="M18" s="18" t="n">
        <v>0</v>
      </c>
      <c r="N18" s="20" t="n">
        <v>0</v>
      </c>
      <c r="O18" s="18" t="n">
        <v>0</v>
      </c>
      <c r="P18" s="20" t="n">
        <v>0</v>
      </c>
      <c r="Q18" s="18" t="n">
        <v>1.297769</v>
      </c>
      <c r="R18" s="20" t="n">
        <v>0.38929038</v>
      </c>
    </row>
    <row r="19" spans="1:18">
      <c r="A19" s="15" t="s">
        <v>577</v>
      </c>
      <c r="B19" s="17" t="n">
        <v>5658</v>
      </c>
      <c r="C19" s="18">
        <f>(4423.0/B19*100)</f>
        <v/>
      </c>
      <c r="D19" s="19" t="n">
        <v>1235</v>
      </c>
      <c r="E19" s="18" t="n">
        <v>74.51948562</v>
      </c>
      <c r="F19" s="20" t="n">
        <v>1.08836856</v>
      </c>
      <c r="G19" s="18" t="n">
        <v>24.61786586</v>
      </c>
      <c r="H19" s="20" t="n">
        <v>1.08376743</v>
      </c>
      <c r="I19" s="18" t="n">
        <v>0</v>
      </c>
      <c r="J19" s="20" t="n">
        <v>0</v>
      </c>
      <c r="K19" s="18" t="n">
        <v>0.05639023</v>
      </c>
      <c r="L19" s="20" t="n">
        <v>0.05633494</v>
      </c>
      <c r="M19" s="18" t="n">
        <v>0</v>
      </c>
      <c r="N19" s="20" t="n">
        <v>0</v>
      </c>
      <c r="O19" s="18" t="n">
        <v>0</v>
      </c>
      <c r="P19" s="20" t="n">
        <v>0</v>
      </c>
      <c r="Q19" s="18" t="n">
        <v>0.80625829</v>
      </c>
      <c r="R19" s="20" t="n">
        <v>0.25026728</v>
      </c>
    </row>
    <row r="20" spans="1:18">
      <c r="A20" s="15" t="s">
        <v>578</v>
      </c>
      <c r="B20" s="17" t="n">
        <v>3371</v>
      </c>
      <c r="C20" s="18">
        <f>(2631.0/B20*100)</f>
        <v/>
      </c>
      <c r="D20" s="19" t="n">
        <v>740</v>
      </c>
      <c r="E20" s="18" t="n">
        <v>73.88300033</v>
      </c>
      <c r="F20" s="20" t="n">
        <v>1.67106211</v>
      </c>
      <c r="G20" s="18" t="n">
        <v>23.93912947</v>
      </c>
      <c r="H20" s="20" t="n">
        <v>1.66540792</v>
      </c>
      <c r="I20" s="18" t="n">
        <v>0</v>
      </c>
      <c r="J20" s="20" t="n">
        <v>0</v>
      </c>
      <c r="K20" s="18" t="n">
        <v>0.13378453</v>
      </c>
      <c r="L20" s="20" t="n">
        <v>0.13407414</v>
      </c>
      <c r="M20" s="18" t="n">
        <v>0</v>
      </c>
      <c r="N20" s="20" t="n">
        <v>0</v>
      </c>
      <c r="O20" s="18" t="n">
        <v>0</v>
      </c>
      <c r="P20" s="20" t="n">
        <v>0</v>
      </c>
      <c r="Q20" s="18" t="n">
        <v>2.04408568</v>
      </c>
      <c r="R20" s="20" t="n">
        <v>0.59712311</v>
      </c>
    </row>
    <row r="21" spans="1:18">
      <c r="A21" s="15" t="s">
        <v>579</v>
      </c>
      <c r="B21" s="17" t="n">
        <v>5741</v>
      </c>
      <c r="C21" s="18">
        <f>(4459.0/B21*100)</f>
        <v/>
      </c>
      <c r="D21" s="19" t="n">
        <v>1282</v>
      </c>
      <c r="E21" s="18" t="n">
        <v>66.37689472</v>
      </c>
      <c r="F21" s="20" t="n">
        <v>1.3502728</v>
      </c>
      <c r="G21" s="18" t="n">
        <v>32.88279466</v>
      </c>
      <c r="H21" s="20" t="n">
        <v>1.34889967</v>
      </c>
      <c r="I21" s="18" t="n">
        <v>0</v>
      </c>
      <c r="J21" s="20" t="n">
        <v>0</v>
      </c>
      <c r="K21" s="18" t="n">
        <v>0</v>
      </c>
      <c r="L21" s="20" t="n">
        <v>0</v>
      </c>
      <c r="M21" s="18" t="n">
        <v>0</v>
      </c>
      <c r="N21" s="20" t="n">
        <v>0</v>
      </c>
      <c r="O21" s="18" t="n">
        <v>0</v>
      </c>
      <c r="P21" s="20" t="n">
        <v>0</v>
      </c>
      <c r="Q21" s="18" t="n">
        <v>0.74031062</v>
      </c>
      <c r="R21" s="20" t="n">
        <v>0.22680072</v>
      </c>
    </row>
    <row r="22" spans="1:18">
      <c r="A22" s="15" t="s">
        <v>580</v>
      </c>
      <c r="B22" s="17" t="n">
        <v>6598</v>
      </c>
      <c r="C22" s="18">
        <f>(5293.0/B22*100)</f>
        <v/>
      </c>
      <c r="D22" s="19" t="n">
        <v>1305</v>
      </c>
      <c r="E22" s="18" t="n">
        <v>67.36317486</v>
      </c>
      <c r="F22" s="20" t="n">
        <v>1.71414171</v>
      </c>
      <c r="G22" s="18" t="n">
        <v>30.12322778</v>
      </c>
      <c r="H22" s="20" t="n">
        <v>1.65386983</v>
      </c>
      <c r="I22" s="18" t="n">
        <v>0</v>
      </c>
      <c r="J22" s="20" t="n">
        <v>0</v>
      </c>
      <c r="K22" s="18" t="n">
        <v>0.24942914</v>
      </c>
      <c r="L22" s="20" t="n">
        <v>0.20628419</v>
      </c>
      <c r="M22" s="18" t="n">
        <v>0</v>
      </c>
      <c r="N22" s="20" t="n">
        <v>0</v>
      </c>
      <c r="O22" s="18" t="n">
        <v>0</v>
      </c>
      <c r="P22" s="20" t="n">
        <v>0</v>
      </c>
      <c r="Q22" s="18" t="n">
        <v>2.26416822</v>
      </c>
      <c r="R22" s="20" t="n">
        <v>0.48409559</v>
      </c>
    </row>
    <row r="23" spans="1:18">
      <c r="A23" s="15" t="s">
        <v>581</v>
      </c>
      <c r="B23" s="17" t="n">
        <v>11583</v>
      </c>
      <c r="C23" s="18">
        <f>(8998.0/B23*100)</f>
        <v/>
      </c>
      <c r="D23" s="19" t="n">
        <v>2585</v>
      </c>
      <c r="E23" s="18" t="n">
        <v>56.32757203</v>
      </c>
      <c r="F23" s="20" t="n">
        <v>1.55631769</v>
      </c>
      <c r="G23" s="18" t="n">
        <v>42.49241988</v>
      </c>
      <c r="H23" s="20" t="n">
        <v>1.5675818</v>
      </c>
      <c r="I23" s="18" t="n">
        <v>0</v>
      </c>
      <c r="J23" s="20" t="n">
        <v>0</v>
      </c>
      <c r="K23" s="18" t="n">
        <v>0.25383557</v>
      </c>
      <c r="L23" s="20" t="n">
        <v>0.15628437</v>
      </c>
      <c r="M23" s="18" t="n">
        <v>0</v>
      </c>
      <c r="N23" s="20" t="n">
        <v>0</v>
      </c>
      <c r="O23" s="18" t="n">
        <v>0</v>
      </c>
      <c r="P23" s="20" t="n">
        <v>0</v>
      </c>
      <c r="Q23" s="18" t="n">
        <v>0.9261725200000001</v>
      </c>
      <c r="R23" s="20" t="n">
        <v>0.23072459</v>
      </c>
    </row>
    <row r="24" spans="1:18">
      <c r="A24" s="15" t="s">
        <v>582</v>
      </c>
      <c r="B24" s="17" t="n">
        <v>6647</v>
      </c>
      <c r="C24" s="18">
        <f>(5191.0/B24*100)</f>
        <v/>
      </c>
      <c r="D24" s="19" t="n">
        <v>1456</v>
      </c>
      <c r="E24" s="18" t="n">
        <v>47.27258631</v>
      </c>
      <c r="F24" s="20" t="n">
        <v>1.3820188</v>
      </c>
      <c r="G24" s="18" t="n">
        <v>52.00895605</v>
      </c>
      <c r="H24" s="20" t="n">
        <v>1.39409384</v>
      </c>
      <c r="I24" s="18" t="n">
        <v>0</v>
      </c>
      <c r="J24" s="20" t="n">
        <v>0</v>
      </c>
      <c r="K24" s="18" t="n">
        <v>0.19627394</v>
      </c>
      <c r="L24" s="20" t="n">
        <v>0.1113412</v>
      </c>
      <c r="M24" s="18" t="n">
        <v>0</v>
      </c>
      <c r="N24" s="20" t="n">
        <v>0</v>
      </c>
      <c r="O24" s="18" t="n">
        <v>0</v>
      </c>
      <c r="P24" s="20" t="n">
        <v>0</v>
      </c>
      <c r="Q24" s="18" t="n">
        <v>0.52218369</v>
      </c>
      <c r="R24" s="20" t="n">
        <v>0.18850673</v>
      </c>
    </row>
    <row r="25" spans="1:18">
      <c r="A25" s="15" t="s">
        <v>583</v>
      </c>
      <c r="B25" s="17" t="n">
        <v>5581</v>
      </c>
      <c r="C25" s="18">
        <f>(4322.0/B25*100)</f>
        <v/>
      </c>
      <c r="D25" s="19" t="n">
        <v>1259</v>
      </c>
      <c r="E25" s="18" t="n">
        <v>55.09031385</v>
      </c>
      <c r="F25" s="20" t="n">
        <v>1.40531489</v>
      </c>
      <c r="G25" s="18" t="n">
        <v>43.91009944</v>
      </c>
      <c r="H25" s="20" t="n">
        <v>1.4519183</v>
      </c>
      <c r="I25" s="18" t="n">
        <v>0</v>
      </c>
      <c r="J25" s="20" t="n">
        <v>0</v>
      </c>
      <c r="K25" s="18" t="n">
        <v>0.15974302</v>
      </c>
      <c r="L25" s="20" t="n">
        <v>0.11292145</v>
      </c>
      <c r="M25" s="18" t="n">
        <v>0</v>
      </c>
      <c r="N25" s="20" t="n">
        <v>0</v>
      </c>
      <c r="O25" s="18" t="n">
        <v>0</v>
      </c>
      <c r="P25" s="20" t="n">
        <v>0</v>
      </c>
      <c r="Q25" s="18" t="n">
        <v>0.83984369</v>
      </c>
      <c r="R25" s="20" t="n">
        <v>0.25223988</v>
      </c>
    </row>
    <row r="26" spans="1:18">
      <c r="A26" s="15" t="s">
        <v>584</v>
      </c>
      <c r="B26" s="17" t="n">
        <v>4869</v>
      </c>
      <c r="C26" s="18">
        <f>(3793.0/B26*100)</f>
        <v/>
      </c>
      <c r="D26" s="19" t="n">
        <v>1076</v>
      </c>
      <c r="E26" s="18" t="n">
        <v>57.53970486</v>
      </c>
      <c r="F26" s="20" t="n">
        <v>1.60847893</v>
      </c>
      <c r="G26" s="18" t="n">
        <v>42.15286965</v>
      </c>
      <c r="H26" s="20" t="n">
        <v>1.59712407</v>
      </c>
      <c r="I26" s="18" t="n">
        <v>0</v>
      </c>
      <c r="J26" s="20" t="n">
        <v>0</v>
      </c>
      <c r="K26" s="18" t="n">
        <v>0</v>
      </c>
      <c r="L26" s="20" t="n">
        <v>0</v>
      </c>
      <c r="M26" s="18" t="n">
        <v>0</v>
      </c>
      <c r="N26" s="20" t="n">
        <v>0</v>
      </c>
      <c r="O26" s="18" t="n">
        <v>0</v>
      </c>
      <c r="P26" s="20" t="n">
        <v>0</v>
      </c>
      <c r="Q26" s="18" t="n">
        <v>0.30742549</v>
      </c>
      <c r="R26" s="20" t="n">
        <v>0.14772789</v>
      </c>
    </row>
    <row r="27" spans="1:18">
      <c r="A27" s="15" t="s">
        <v>585</v>
      </c>
      <c r="B27" s="17" t="n">
        <v>5299</v>
      </c>
      <c r="C27" s="18">
        <f>(4134.0/B27*100)</f>
        <v/>
      </c>
      <c r="D27" s="19" t="n">
        <v>1165</v>
      </c>
      <c r="E27" s="18" t="n">
        <v>58.11774817</v>
      </c>
      <c r="F27" s="20" t="n">
        <v>1.40450517</v>
      </c>
      <c r="G27" s="18" t="n">
        <v>40.59022719</v>
      </c>
      <c r="H27" s="20" t="n">
        <v>1.42882376</v>
      </c>
      <c r="I27" s="18" t="n">
        <v>0</v>
      </c>
      <c r="J27" s="20" t="n">
        <v>0</v>
      </c>
      <c r="K27" s="18" t="n">
        <v>0.08455972</v>
      </c>
      <c r="L27" s="20" t="n">
        <v>0.08465146</v>
      </c>
      <c r="M27" s="18" t="n">
        <v>0</v>
      </c>
      <c r="N27" s="20" t="n">
        <v>0</v>
      </c>
      <c r="O27" s="18" t="n">
        <v>0</v>
      </c>
      <c r="P27" s="20" t="n">
        <v>0</v>
      </c>
      <c r="Q27" s="18" t="n">
        <v>1.20746491</v>
      </c>
      <c r="R27" s="20" t="n">
        <v>0.33844024</v>
      </c>
    </row>
    <row r="28" spans="1:18">
      <c r="A28" s="15" t="s">
        <v>586</v>
      </c>
      <c r="B28" s="17" t="n">
        <v>7568</v>
      </c>
      <c r="C28" s="18">
        <f>(5995.0/B28*100)</f>
        <v/>
      </c>
      <c r="D28" s="19" t="n">
        <v>1573</v>
      </c>
      <c r="E28" s="18" t="n">
        <v>75.34035652999999</v>
      </c>
      <c r="F28" s="20" t="n">
        <v>1.14527391</v>
      </c>
      <c r="G28" s="18" t="n">
        <v>23.66482998</v>
      </c>
      <c r="H28" s="20" t="n">
        <v>1.12969172</v>
      </c>
      <c r="I28" s="18" t="n">
        <v>0</v>
      </c>
      <c r="J28" s="20" t="n">
        <v>0</v>
      </c>
      <c r="K28" s="18" t="n">
        <v>0.3034252</v>
      </c>
      <c r="L28" s="20" t="n">
        <v>0.18963014</v>
      </c>
      <c r="M28" s="18" t="n">
        <v>0</v>
      </c>
      <c r="N28" s="20" t="n">
        <v>0</v>
      </c>
      <c r="O28" s="18" t="n">
        <v>0</v>
      </c>
      <c r="P28" s="20" t="n">
        <v>0</v>
      </c>
      <c r="Q28" s="18" t="n">
        <v>0.69138829</v>
      </c>
      <c r="R28" s="20" t="n">
        <v>0.21201463</v>
      </c>
    </row>
    <row r="29" spans="1:18">
      <c r="A29" s="15" t="s">
        <v>587</v>
      </c>
      <c r="B29" s="17" t="n">
        <v>5385</v>
      </c>
      <c r="C29" s="18">
        <f>(4191.0/B29*100)</f>
        <v/>
      </c>
      <c r="D29" s="19" t="n">
        <v>1194</v>
      </c>
      <c r="E29" s="18" t="n">
        <v>48.96078224</v>
      </c>
      <c r="F29" s="20" t="n">
        <v>1.59527434</v>
      </c>
      <c r="G29" s="18" t="n">
        <v>50.64392102</v>
      </c>
      <c r="H29" s="20" t="n">
        <v>1.63330503</v>
      </c>
      <c r="I29" s="18" t="n">
        <v>0</v>
      </c>
      <c r="J29" s="20" t="n">
        <v>0</v>
      </c>
      <c r="K29" s="18" t="n">
        <v>0.07872005999999999</v>
      </c>
      <c r="L29" s="20" t="n">
        <v>0.08527687</v>
      </c>
      <c r="M29" s="18" t="n">
        <v>0</v>
      </c>
      <c r="N29" s="20" t="n">
        <v>0</v>
      </c>
      <c r="O29" s="18" t="n">
        <v>0</v>
      </c>
      <c r="P29" s="20" t="n">
        <v>0</v>
      </c>
      <c r="Q29" s="18" t="n">
        <v>0.31657668</v>
      </c>
      <c r="R29" s="20" t="n">
        <v>0.20324649</v>
      </c>
    </row>
    <row r="30" spans="1:18">
      <c r="A30" s="15" t="s">
        <v>588</v>
      </c>
      <c r="B30" s="17" t="n">
        <v>4520</v>
      </c>
      <c r="C30" s="18">
        <f>(3544.0/B30*100)</f>
        <v/>
      </c>
      <c r="D30" s="19" t="n">
        <v>976</v>
      </c>
      <c r="E30" s="18" t="n">
        <v>62.34783389</v>
      </c>
      <c r="F30" s="20" t="n">
        <v>1.37619426</v>
      </c>
      <c r="G30" s="18" t="n">
        <v>35.4010155</v>
      </c>
      <c r="H30" s="20" t="n">
        <v>1.47546448</v>
      </c>
      <c r="I30" s="18" t="n">
        <v>0</v>
      </c>
      <c r="J30" s="20" t="n">
        <v>0</v>
      </c>
      <c r="K30" s="18" t="n">
        <v>0</v>
      </c>
      <c r="L30" s="20" t="n">
        <v>0</v>
      </c>
      <c r="M30" s="18" t="n">
        <v>0</v>
      </c>
      <c r="N30" s="20" t="n">
        <v>0</v>
      </c>
      <c r="O30" s="18" t="n">
        <v>0</v>
      </c>
      <c r="P30" s="20" t="n">
        <v>0</v>
      </c>
      <c r="Q30" s="18" t="n">
        <v>2.25115061</v>
      </c>
      <c r="R30" s="20" t="n">
        <v>0.55765779</v>
      </c>
    </row>
    <row r="31" spans="1:18">
      <c r="A31" s="15" t="s">
        <v>589</v>
      </c>
      <c r="B31" s="17" t="n">
        <v>5456</v>
      </c>
      <c r="C31" s="18">
        <f>(4247.0/B31*100)</f>
        <v/>
      </c>
      <c r="D31" s="19" t="n">
        <v>1209</v>
      </c>
      <c r="E31" s="18" t="n">
        <v>59.33467591</v>
      </c>
      <c r="F31" s="20" t="n">
        <v>1.68094871</v>
      </c>
      <c r="G31" s="18" t="n">
        <v>39.22583711</v>
      </c>
      <c r="H31" s="20" t="n">
        <v>1.67475538</v>
      </c>
      <c r="I31" s="18" t="n">
        <v>0</v>
      </c>
      <c r="J31" s="20" t="n">
        <v>0</v>
      </c>
      <c r="K31" s="18" t="n">
        <v>0.15012729</v>
      </c>
      <c r="L31" s="20" t="n">
        <v>0.10537587</v>
      </c>
      <c r="M31" s="18" t="n">
        <v>0</v>
      </c>
      <c r="N31" s="20" t="n">
        <v>0</v>
      </c>
      <c r="O31" s="18" t="n">
        <v>0</v>
      </c>
      <c r="P31" s="20" t="n">
        <v>0</v>
      </c>
      <c r="Q31" s="18" t="n">
        <v>1.28935969</v>
      </c>
      <c r="R31" s="20" t="n">
        <v>0.32824176</v>
      </c>
    </row>
    <row r="32" spans="1:18">
      <c r="A32" s="15" t="s">
        <v>590</v>
      </c>
      <c r="B32" s="17" t="n">
        <v>4478</v>
      </c>
      <c r="C32" s="18">
        <f>(3480.0/B32*100)</f>
        <v/>
      </c>
      <c r="D32" s="19" t="n">
        <v>998</v>
      </c>
      <c r="E32" s="18" t="n">
        <v>54.49369679</v>
      </c>
      <c r="F32" s="20" t="n">
        <v>1.77880602</v>
      </c>
      <c r="G32" s="18" t="n">
        <v>44.70032927</v>
      </c>
      <c r="H32" s="20" t="n">
        <v>1.83469812</v>
      </c>
      <c r="I32" s="18" t="n">
        <v>0</v>
      </c>
      <c r="J32" s="20" t="n">
        <v>0</v>
      </c>
      <c r="K32" s="18" t="n">
        <v>0</v>
      </c>
      <c r="L32" s="20" t="n">
        <v>0</v>
      </c>
      <c r="M32" s="18" t="n">
        <v>0</v>
      </c>
      <c r="N32" s="20" t="n">
        <v>0</v>
      </c>
      <c r="O32" s="18" t="n">
        <v>0</v>
      </c>
      <c r="P32" s="20" t="n">
        <v>0</v>
      </c>
      <c r="Q32" s="18" t="n">
        <v>0.80597394</v>
      </c>
      <c r="R32" s="20" t="n">
        <v>0.3021439</v>
      </c>
    </row>
    <row r="33" spans="1:18">
      <c r="A33" s="15" t="s">
        <v>591</v>
      </c>
      <c r="B33" s="17" t="n">
        <v>7325</v>
      </c>
      <c r="C33" s="18">
        <f>(5711.0/B33*100)</f>
        <v/>
      </c>
      <c r="D33" s="19" t="n">
        <v>1614</v>
      </c>
      <c r="E33" s="18" t="n">
        <v>58.2001332</v>
      </c>
      <c r="F33" s="20" t="n">
        <v>1.41148666</v>
      </c>
      <c r="G33" s="18" t="n">
        <v>41.12222645</v>
      </c>
      <c r="H33" s="20" t="n">
        <v>1.41734447</v>
      </c>
      <c r="I33" s="18" t="n">
        <v>0</v>
      </c>
      <c r="J33" s="20" t="n">
        <v>0</v>
      </c>
      <c r="K33" s="18" t="n">
        <v>0.23975634</v>
      </c>
      <c r="L33" s="20" t="n">
        <v>0.15786996</v>
      </c>
      <c r="M33" s="18" t="n">
        <v>0</v>
      </c>
      <c r="N33" s="20" t="n">
        <v>0</v>
      </c>
      <c r="O33" s="18" t="n">
        <v>0</v>
      </c>
      <c r="P33" s="20" t="n">
        <v>0</v>
      </c>
      <c r="Q33" s="18" t="n">
        <v>0.437884</v>
      </c>
      <c r="R33" s="20" t="n">
        <v>0.16747063</v>
      </c>
    </row>
    <row r="34" spans="1:18">
      <c r="A34" s="15" t="s">
        <v>592</v>
      </c>
      <c r="B34" s="17" t="n">
        <v>6350</v>
      </c>
      <c r="C34" s="18">
        <f>(4975.0/B34*100)</f>
        <v/>
      </c>
      <c r="D34" s="19" t="n">
        <v>1375</v>
      </c>
      <c r="E34" s="18" t="n">
        <v>62.75171561</v>
      </c>
      <c r="F34" s="20" t="n">
        <v>1.30511283</v>
      </c>
      <c r="G34" s="18" t="n">
        <v>36.34464944</v>
      </c>
      <c r="H34" s="20" t="n">
        <v>1.33705223</v>
      </c>
      <c r="I34" s="18" t="n">
        <v>0</v>
      </c>
      <c r="J34" s="20" t="n">
        <v>0</v>
      </c>
      <c r="K34" s="18" t="n">
        <v>0.09985717</v>
      </c>
      <c r="L34" s="20" t="n">
        <v>0.05596743</v>
      </c>
      <c r="M34" s="18" t="n">
        <v>0</v>
      </c>
      <c r="N34" s="20" t="n">
        <v>0</v>
      </c>
      <c r="O34" s="18" t="n">
        <v>0</v>
      </c>
      <c r="P34" s="20" t="n">
        <v>0</v>
      </c>
      <c r="Q34" s="18" t="n">
        <v>0.80377778</v>
      </c>
      <c r="R34" s="20" t="n">
        <v>0.27248003</v>
      </c>
    </row>
    <row r="35" spans="1:18">
      <c r="A35" s="15" t="s">
        <v>593</v>
      </c>
      <c r="B35" s="17" t="n">
        <v>6406</v>
      </c>
      <c r="C35" s="18">
        <f>(5032.0/B35*100)</f>
        <v/>
      </c>
      <c r="D35" s="19" t="n">
        <v>1374</v>
      </c>
      <c r="E35" s="18" t="n">
        <v>44.68283113</v>
      </c>
      <c r="F35" s="20" t="n">
        <v>1.66417569</v>
      </c>
      <c r="G35" s="18" t="n">
        <v>54.47666529</v>
      </c>
      <c r="H35" s="20" t="n">
        <v>1.67604013</v>
      </c>
      <c r="I35" s="18" t="n">
        <v>0</v>
      </c>
      <c r="J35" s="20" t="n">
        <v>0</v>
      </c>
      <c r="K35" s="18" t="n">
        <v>0.44785828</v>
      </c>
      <c r="L35" s="20" t="n">
        <v>0.37028158</v>
      </c>
      <c r="M35" s="18" t="n">
        <v>0</v>
      </c>
      <c r="N35" s="20" t="n">
        <v>0</v>
      </c>
      <c r="O35" s="18" t="n">
        <v>0</v>
      </c>
      <c r="P35" s="20" t="n">
        <v>0</v>
      </c>
      <c r="Q35" s="18" t="n">
        <v>0.3926453</v>
      </c>
      <c r="R35" s="20" t="n">
        <v>0.18987113</v>
      </c>
    </row>
    <row r="36" spans="1:18">
      <c r="A36" s="15" t="s">
        <v>594</v>
      </c>
      <c r="B36" s="17" t="n">
        <v>6736</v>
      </c>
      <c r="C36" s="18">
        <f>(5270.0/B36*100)</f>
        <v/>
      </c>
      <c r="D36" s="19" t="n">
        <v>1466</v>
      </c>
      <c r="E36" s="18" t="n">
        <v>56.71753034</v>
      </c>
      <c r="F36" s="20" t="n">
        <v>1.30908536</v>
      </c>
      <c r="G36" s="18" t="n">
        <v>41.85465399</v>
      </c>
      <c r="H36" s="20" t="n">
        <v>1.33973093</v>
      </c>
      <c r="I36" s="18" t="n">
        <v>0</v>
      </c>
      <c r="J36" s="20" t="n">
        <v>0</v>
      </c>
      <c r="K36" s="18" t="n">
        <v>0.11746688</v>
      </c>
      <c r="L36" s="20" t="n">
        <v>0.13494968</v>
      </c>
      <c r="M36" s="18" t="n">
        <v>0</v>
      </c>
      <c r="N36" s="20" t="n">
        <v>0</v>
      </c>
      <c r="O36" s="18" t="n">
        <v>0</v>
      </c>
      <c r="P36" s="20" t="n">
        <v>0</v>
      </c>
      <c r="Q36" s="18" t="n">
        <v>1.31034879</v>
      </c>
      <c r="R36" s="20" t="n">
        <v>0.32048651</v>
      </c>
    </row>
    <row r="37" spans="1:18">
      <c r="A37" s="15" t="s">
        <v>595</v>
      </c>
      <c r="B37" s="17" t="n">
        <v>5458</v>
      </c>
      <c r="C37" s="18">
        <f>(4241.0/B37*100)</f>
        <v/>
      </c>
      <c r="D37" s="19" t="n">
        <v>1217</v>
      </c>
      <c r="E37" s="18" t="n">
        <v>54.45702505</v>
      </c>
      <c r="F37" s="20" t="n">
        <v>1.92971018</v>
      </c>
      <c r="G37" s="18" t="n">
        <v>42.10048462</v>
      </c>
      <c r="H37" s="20" t="n">
        <v>2.01093723</v>
      </c>
      <c r="I37" s="18" t="n">
        <v>0</v>
      </c>
      <c r="J37" s="20" t="n">
        <v>0</v>
      </c>
      <c r="K37" s="18" t="n">
        <v>0.39742402</v>
      </c>
      <c r="L37" s="20" t="n">
        <v>0.1800618</v>
      </c>
      <c r="M37" s="18" t="n">
        <v>0</v>
      </c>
      <c r="N37" s="20" t="n">
        <v>0</v>
      </c>
      <c r="O37" s="18" t="n">
        <v>0</v>
      </c>
      <c r="P37" s="20" t="n">
        <v>0</v>
      </c>
      <c r="Q37" s="18" t="n">
        <v>3.04506631</v>
      </c>
      <c r="R37" s="20" t="n">
        <v>0.5465011</v>
      </c>
    </row>
    <row r="38" spans="1:18">
      <c r="A38" s="15" t="s">
        <v>596</v>
      </c>
      <c r="B38" s="17" t="n">
        <v>5860</v>
      </c>
      <c r="C38" s="18">
        <f>(4543.0/B38*100)</f>
        <v/>
      </c>
      <c r="D38" s="19" t="n">
        <v>1317</v>
      </c>
      <c r="E38" s="18" t="n">
        <v>52.49840629</v>
      </c>
      <c r="F38" s="20" t="n">
        <v>1.62321618</v>
      </c>
      <c r="G38" s="18" t="n">
        <v>46.18180874</v>
      </c>
      <c r="H38" s="20" t="n">
        <v>1.69133863</v>
      </c>
      <c r="I38" s="18" t="n">
        <v>0</v>
      </c>
      <c r="J38" s="20" t="n">
        <v>0</v>
      </c>
      <c r="K38" s="18" t="n">
        <v>0</v>
      </c>
      <c r="L38" s="20" t="n">
        <v>0</v>
      </c>
      <c r="M38" s="18" t="n">
        <v>0</v>
      </c>
      <c r="N38" s="20" t="n">
        <v>0</v>
      </c>
      <c r="O38" s="18" t="n">
        <v>0</v>
      </c>
      <c r="P38" s="20" t="n">
        <v>0</v>
      </c>
      <c r="Q38" s="18" t="n">
        <v>1.31978497</v>
      </c>
      <c r="R38" s="20" t="n">
        <v>0.33791533</v>
      </c>
    </row>
    <row r="39" spans="1:18">
      <c r="A39" s="15" t="s">
        <v>597</v>
      </c>
      <c r="B39" s="17" t="n">
        <v>5895</v>
      </c>
      <c r="C39" s="18">
        <f>(4593.0/B39*100)</f>
        <v/>
      </c>
      <c r="D39" s="19" t="n">
        <v>1302</v>
      </c>
      <c r="E39" s="18" t="n">
        <v>73.93390960000001</v>
      </c>
      <c r="F39" s="20" t="n">
        <v>1.42978162</v>
      </c>
      <c r="G39" s="18" t="n">
        <v>25.04271166</v>
      </c>
      <c r="H39" s="20" t="n">
        <v>1.44120681</v>
      </c>
      <c r="I39" s="18" t="n">
        <v>0</v>
      </c>
      <c r="J39" s="20" t="n">
        <v>0</v>
      </c>
      <c r="K39" s="18" t="n">
        <v>0.17104558</v>
      </c>
      <c r="L39" s="20" t="n">
        <v>0.09927929000000001</v>
      </c>
      <c r="M39" s="18" t="n">
        <v>0</v>
      </c>
      <c r="N39" s="20" t="n">
        <v>0</v>
      </c>
      <c r="O39" s="18" t="n">
        <v>0</v>
      </c>
      <c r="P39" s="20" t="n">
        <v>0</v>
      </c>
      <c r="Q39" s="18" t="n">
        <v>0.85233317</v>
      </c>
      <c r="R39" s="20" t="n">
        <v>0.20309375</v>
      </c>
    </row>
    <row r="40" spans="1:18">
      <c r="A40" s="15" t="s">
        <v>598</v>
      </c>
      <c r="B40" s="17" t="n">
        <v>14157</v>
      </c>
      <c r="C40" s="18">
        <f>(10975.0/B40*100)</f>
        <v/>
      </c>
      <c r="D40" s="19" t="n">
        <v>3182</v>
      </c>
      <c r="E40" s="18" t="n">
        <v>66.31966844</v>
      </c>
      <c r="F40" s="20" t="n">
        <v>1.4245608</v>
      </c>
      <c r="G40" s="18" t="n">
        <v>32.12636216</v>
      </c>
      <c r="H40" s="20" t="n">
        <v>1.39729341</v>
      </c>
      <c r="I40" s="18" t="n">
        <v>0</v>
      </c>
      <c r="J40" s="20" t="n">
        <v>0</v>
      </c>
      <c r="K40" s="18" t="n">
        <v>0.09451651</v>
      </c>
      <c r="L40" s="20" t="n">
        <v>0.07915031</v>
      </c>
      <c r="M40" s="18" t="n">
        <v>0</v>
      </c>
      <c r="N40" s="20" t="n">
        <v>0</v>
      </c>
      <c r="O40" s="18" t="n">
        <v>0</v>
      </c>
      <c r="P40" s="20" t="n">
        <v>0</v>
      </c>
      <c r="Q40" s="18" t="n">
        <v>1.45945289</v>
      </c>
      <c r="R40" s="20" t="n">
        <v>0.35277377</v>
      </c>
    </row>
    <row r="41" spans="1:18">
      <c r="A41" s="15" t="s">
        <v>599</v>
      </c>
      <c r="B41" s="17" t="n">
        <v>5712</v>
      </c>
      <c r="C41" s="18">
        <f>(4445.0/B41*100)</f>
        <v/>
      </c>
      <c r="D41" s="19" t="n">
        <v>1267</v>
      </c>
      <c r="E41" s="18" t="n">
        <v>59.08147911</v>
      </c>
      <c r="F41" s="20" t="n">
        <v>1.56262797</v>
      </c>
      <c r="G41" s="18" t="n">
        <v>40.56568276</v>
      </c>
      <c r="H41" s="20" t="n">
        <v>1.55258594</v>
      </c>
      <c r="I41" s="18" t="n">
        <v>0</v>
      </c>
      <c r="J41" s="20" t="n">
        <v>0</v>
      </c>
      <c r="K41" s="18" t="n">
        <v>0</v>
      </c>
      <c r="L41" s="20" t="n">
        <v>0</v>
      </c>
      <c r="M41" s="18" t="n">
        <v>0</v>
      </c>
      <c r="N41" s="20" t="n">
        <v>0</v>
      </c>
      <c r="O41" s="18" t="n">
        <v>0</v>
      </c>
      <c r="P41" s="20" t="n">
        <v>0</v>
      </c>
      <c r="Q41" s="18" t="n">
        <v>0.35283813</v>
      </c>
      <c r="R41" s="20" t="n">
        <v>0.15810738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(18471.0/B46*100)</f>
        <v/>
      </c>
      <c r="D46" s="19" t="n">
        <v>4670</v>
      </c>
      <c r="E46" s="18" t="n">
        <v>79.65733107</v>
      </c>
      <c r="F46" s="20" t="n">
        <v>0.8171152699999999</v>
      </c>
      <c r="G46" s="18" t="n">
        <v>17.48044342</v>
      </c>
      <c r="H46" s="20" t="n">
        <v>0.74229373</v>
      </c>
      <c r="I46" s="18" t="n">
        <v>0</v>
      </c>
      <c r="J46" s="20" t="n">
        <v>0</v>
      </c>
      <c r="K46" s="18" t="n">
        <v>0.45998101</v>
      </c>
      <c r="L46" s="20" t="n">
        <v>0.13466947</v>
      </c>
      <c r="M46" s="18" t="n">
        <v>0</v>
      </c>
      <c r="N46" s="20" t="n">
        <v>0</v>
      </c>
      <c r="O46" s="18" t="n">
        <v>0</v>
      </c>
      <c r="P46" s="20" t="n">
        <v>0</v>
      </c>
      <c r="Q46" s="18" t="n">
        <v>2.4022445</v>
      </c>
      <c r="R46" s="20" t="n">
        <v>0.33877672</v>
      </c>
    </row>
    <row r="47" spans="1:18">
      <c r="A47" s="15" t="s">
        <v>606</v>
      </c>
      <c r="B47" s="17" t="n">
        <v>5928</v>
      </c>
      <c r="C47" s="18">
        <f>(4632.0/B47*100)</f>
        <v/>
      </c>
      <c r="D47" s="19" t="n">
        <v>1296</v>
      </c>
      <c r="E47" s="18" t="n">
        <v>62.88977577</v>
      </c>
      <c r="F47" s="20" t="n">
        <v>1.59666482</v>
      </c>
      <c r="G47" s="18" t="n">
        <v>35.59649533</v>
      </c>
      <c r="H47" s="20" t="n">
        <v>1.58789821</v>
      </c>
      <c r="I47" s="18" t="n">
        <v>0</v>
      </c>
      <c r="J47" s="20" t="n">
        <v>0</v>
      </c>
      <c r="K47" s="18" t="n">
        <v>0</v>
      </c>
      <c r="L47" s="20" t="n">
        <v>0</v>
      </c>
      <c r="M47" s="18" t="n">
        <v>0</v>
      </c>
      <c r="N47" s="20" t="n">
        <v>0</v>
      </c>
      <c r="O47" s="18" t="n">
        <v>0</v>
      </c>
      <c r="P47" s="20" t="n">
        <v>0</v>
      </c>
      <c r="Q47" s="18" t="n">
        <v>1.5137289</v>
      </c>
      <c r="R47" s="20" t="n">
        <v>0.31491979</v>
      </c>
    </row>
    <row r="48" spans="1:18">
      <c r="A48" s="15" t="s">
        <v>607</v>
      </c>
      <c r="B48" s="17" t="n">
        <v>9841</v>
      </c>
      <c r="C48" s="18">
        <f>(7631.0/B48*100)</f>
        <v/>
      </c>
      <c r="D48" s="19" t="n">
        <v>2210</v>
      </c>
      <c r="E48" s="18" t="n">
        <v>60.48826134</v>
      </c>
      <c r="F48" s="20" t="n">
        <v>1.4098281</v>
      </c>
      <c r="G48" s="18" t="n">
        <v>38.87338323</v>
      </c>
      <c r="H48" s="20" t="n">
        <v>1.40329176</v>
      </c>
      <c r="I48" s="18" t="n">
        <v>0</v>
      </c>
      <c r="J48" s="20" t="n">
        <v>0</v>
      </c>
      <c r="K48" s="18" t="n">
        <v>0.14604386</v>
      </c>
      <c r="L48" s="20" t="n">
        <v>0.09069512</v>
      </c>
      <c r="M48" s="18" t="n">
        <v>0</v>
      </c>
      <c r="N48" s="20" t="n">
        <v>0</v>
      </c>
      <c r="O48" s="18" t="n">
        <v>0</v>
      </c>
      <c r="P48" s="20" t="n">
        <v>0</v>
      </c>
      <c r="Q48" s="18" t="n">
        <v>0.49231158</v>
      </c>
      <c r="R48" s="20" t="n">
        <v>0.17353998</v>
      </c>
    </row>
    <row r="49" spans="1:18">
      <c r="A49" s="15" t="s">
        <v>608</v>
      </c>
      <c r="B49" s="17" t="n">
        <v>11795</v>
      </c>
      <c r="C49" s="18">
        <f>(9194.0/B49*100)</f>
        <v/>
      </c>
      <c r="D49" s="19" t="n">
        <v>2601</v>
      </c>
      <c r="E49" s="18" t="n">
        <v>75.42703981</v>
      </c>
      <c r="F49" s="20" t="n">
        <v>1.10875181</v>
      </c>
      <c r="G49" s="18" t="n">
        <v>22.90552671</v>
      </c>
      <c r="H49" s="20" t="n">
        <v>1.10468891</v>
      </c>
      <c r="I49" s="18" t="n">
        <v>0</v>
      </c>
      <c r="J49" s="20" t="n">
        <v>0</v>
      </c>
      <c r="K49" s="18" t="n">
        <v>0.63335576</v>
      </c>
      <c r="L49" s="20" t="n">
        <v>0.15314179</v>
      </c>
      <c r="M49" s="18" t="n">
        <v>0</v>
      </c>
      <c r="N49" s="20" t="n">
        <v>0</v>
      </c>
      <c r="O49" s="18" t="n">
        <v>0</v>
      </c>
      <c r="P49" s="20" t="n">
        <v>0</v>
      </c>
      <c r="Q49" s="18" t="n">
        <v>1.03407772</v>
      </c>
      <c r="R49" s="20" t="n">
        <v>0.25395916</v>
      </c>
    </row>
    <row r="50" spans="1:18">
      <c r="A50" s="15" t="s">
        <v>609</v>
      </c>
      <c r="B50" s="17" t="n">
        <v>6866</v>
      </c>
      <c r="C50" s="18">
        <f>(5530.0/B50*100)</f>
        <v/>
      </c>
      <c r="D50" s="19" t="n">
        <v>1336</v>
      </c>
      <c r="E50" s="18" t="n">
        <v>76.54108432</v>
      </c>
      <c r="F50" s="20" t="n">
        <v>1.30249626</v>
      </c>
      <c r="G50" s="18" t="n">
        <v>21.11840789</v>
      </c>
      <c r="H50" s="20" t="n">
        <v>1.29352509</v>
      </c>
      <c r="I50" s="18" t="n">
        <v>0</v>
      </c>
      <c r="J50" s="20" t="n">
        <v>0</v>
      </c>
      <c r="K50" s="18" t="n">
        <v>0.10879491</v>
      </c>
      <c r="L50" s="20" t="n">
        <v>0.09769036</v>
      </c>
      <c r="M50" s="18" t="n">
        <v>0</v>
      </c>
      <c r="N50" s="20" t="n">
        <v>0</v>
      </c>
      <c r="O50" s="18" t="n">
        <v>0</v>
      </c>
      <c r="P50" s="20" t="n">
        <v>0</v>
      </c>
      <c r="Q50" s="18" t="n">
        <v>2.23171288</v>
      </c>
      <c r="R50" s="20" t="n">
        <v>0.44881388</v>
      </c>
    </row>
    <row r="51" spans="1:18">
      <c r="A51" s="15" t="s">
        <v>610</v>
      </c>
      <c r="B51" s="17" t="n">
        <v>5809</v>
      </c>
      <c r="C51" s="18">
        <f>(4504.0/B51*100)</f>
        <v/>
      </c>
      <c r="D51" s="19" t="n">
        <v>1305</v>
      </c>
      <c r="E51" s="18" t="n">
        <v>58.18076282</v>
      </c>
      <c r="F51" s="20" t="n">
        <v>1.69532761</v>
      </c>
      <c r="G51" s="18" t="n">
        <v>40.36334223</v>
      </c>
      <c r="H51" s="20" t="n">
        <v>1.73275365</v>
      </c>
      <c r="I51" s="18" t="n">
        <v>0</v>
      </c>
      <c r="J51" s="20" t="n">
        <v>0</v>
      </c>
      <c r="K51" s="18" t="n">
        <v>0</v>
      </c>
      <c r="L51" s="20" t="n">
        <v>0</v>
      </c>
      <c r="M51" s="18" t="n">
        <v>0</v>
      </c>
      <c r="N51" s="20" t="n">
        <v>0</v>
      </c>
      <c r="O51" s="18" t="n">
        <v>0</v>
      </c>
      <c r="P51" s="20" t="n">
        <v>0</v>
      </c>
      <c r="Q51" s="18" t="n">
        <v>1.45589494</v>
      </c>
      <c r="R51" s="20" t="n">
        <v>0.36018968</v>
      </c>
    </row>
    <row r="52" spans="1:18">
      <c r="A52" s="15" t="s">
        <v>611</v>
      </c>
      <c r="B52" s="17" t="n">
        <v>5571</v>
      </c>
      <c r="C52" s="18">
        <f>(4336.0/B52*100)</f>
        <v/>
      </c>
      <c r="D52" s="19" t="n">
        <v>1235</v>
      </c>
      <c r="E52" s="18" t="n">
        <v>68.98816196999999</v>
      </c>
      <c r="F52" s="20" t="n">
        <v>1.34111814</v>
      </c>
      <c r="G52" s="18" t="n">
        <v>29.30096809</v>
      </c>
      <c r="H52" s="20" t="n">
        <v>1.30070421</v>
      </c>
      <c r="I52" s="18" t="n">
        <v>0</v>
      </c>
      <c r="J52" s="20" t="n">
        <v>0</v>
      </c>
      <c r="K52" s="18" t="n">
        <v>0.10308009</v>
      </c>
      <c r="L52" s="20" t="n">
        <v>0.10343403</v>
      </c>
      <c r="M52" s="18" t="n">
        <v>0</v>
      </c>
      <c r="N52" s="20" t="n">
        <v>0</v>
      </c>
      <c r="O52" s="18" t="n">
        <v>0</v>
      </c>
      <c r="P52" s="20" t="n">
        <v>0</v>
      </c>
      <c r="Q52" s="18" t="n">
        <v>1.60778985</v>
      </c>
      <c r="R52" s="20" t="n">
        <v>0.38366576</v>
      </c>
    </row>
    <row r="53" spans="1:18">
      <c r="A53" s="15" t="s">
        <v>612</v>
      </c>
      <c r="B53" s="17" t="n">
        <v>4740</v>
      </c>
      <c r="C53" s="18">
        <f>(3718.0/B53*100)</f>
        <v/>
      </c>
      <c r="D53" s="19" t="n">
        <v>1022</v>
      </c>
      <c r="E53" s="18" t="n">
        <v>81.01950678999999</v>
      </c>
      <c r="F53" s="20" t="n">
        <v>1.3457733</v>
      </c>
      <c r="G53" s="18" t="n">
        <v>8.46249572</v>
      </c>
      <c r="H53" s="20" t="n">
        <v>0.76632577</v>
      </c>
      <c r="I53" s="18" t="n">
        <v>0</v>
      </c>
      <c r="J53" s="20" t="n">
        <v>0</v>
      </c>
      <c r="K53" s="18" t="n">
        <v>7.01427819</v>
      </c>
      <c r="L53" s="20" t="n">
        <v>1.106434</v>
      </c>
      <c r="M53" s="18" t="n">
        <v>0</v>
      </c>
      <c r="N53" s="20" t="n">
        <v>0</v>
      </c>
      <c r="O53" s="18" t="n">
        <v>0</v>
      </c>
      <c r="P53" s="20" t="n">
        <v>0</v>
      </c>
      <c r="Q53" s="18" t="n">
        <v>3.5037193</v>
      </c>
      <c r="R53" s="20" t="n">
        <v>0.63657019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(4198.0/B55*100)</f>
        <v/>
      </c>
      <c r="D55" s="19" t="n">
        <v>1161</v>
      </c>
      <c r="E55" s="18" t="n">
        <v>64.56832086</v>
      </c>
      <c r="F55" s="20" t="n">
        <v>1.63795085</v>
      </c>
      <c r="G55" s="18" t="n">
        <v>34.94732368</v>
      </c>
      <c r="H55" s="20" t="n">
        <v>1.63755729</v>
      </c>
      <c r="I55" s="18" t="n">
        <v>0</v>
      </c>
      <c r="J55" s="20" t="n">
        <v>0</v>
      </c>
      <c r="K55" s="18" t="n">
        <v>0.16720771</v>
      </c>
      <c r="L55" s="20" t="n">
        <v>0.1185482</v>
      </c>
      <c r="M55" s="18" t="n">
        <v>0</v>
      </c>
      <c r="N55" s="20" t="n">
        <v>0</v>
      </c>
      <c r="O55" s="18" t="n">
        <v>0</v>
      </c>
      <c r="P55" s="20" t="n">
        <v>0</v>
      </c>
      <c r="Q55" s="18" t="n">
        <v>0.31714774</v>
      </c>
      <c r="R55" s="20" t="n">
        <v>0.1543491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(5069.0/B61*100)</f>
        <v/>
      </c>
      <c r="D61" s="19" t="n">
        <v>1456</v>
      </c>
      <c r="E61" s="18" t="n">
        <v>60.02296289</v>
      </c>
      <c r="F61" s="20" t="n">
        <v>1.46912654</v>
      </c>
      <c r="G61" s="18" t="n">
        <v>39.26898652</v>
      </c>
      <c r="H61" s="20" t="n">
        <v>1.45679539</v>
      </c>
      <c r="I61" s="18" t="n">
        <v>0</v>
      </c>
      <c r="J61" s="20" t="n">
        <v>0</v>
      </c>
      <c r="K61" s="18" t="n">
        <v>0.19690671</v>
      </c>
      <c r="L61" s="20" t="n">
        <v>0.12833473</v>
      </c>
      <c r="M61" s="18" t="n">
        <v>0</v>
      </c>
      <c r="N61" s="20" t="n">
        <v>0</v>
      </c>
      <c r="O61" s="18" t="n">
        <v>0</v>
      </c>
      <c r="P61" s="20" t="n">
        <v>0</v>
      </c>
      <c r="Q61" s="18" t="n">
        <v>0.51114388</v>
      </c>
      <c r="R61" s="20" t="n">
        <v>0.19654253</v>
      </c>
    </row>
    <row r="62" spans="1:18">
      <c r="A62" s="15" t="s">
        <v>622</v>
      </c>
      <c r="B62" s="17" t="n">
        <v>4476</v>
      </c>
      <c r="C62" s="18">
        <f>(3477.0/B62*100)</f>
        <v/>
      </c>
      <c r="D62" s="19" t="n">
        <v>999</v>
      </c>
      <c r="E62" s="18" t="n">
        <v>56.56393768</v>
      </c>
      <c r="F62" s="20" t="n">
        <v>1.40399938</v>
      </c>
      <c r="G62" s="18" t="n">
        <v>43.3366974</v>
      </c>
      <c r="H62" s="20" t="n">
        <v>1.40135014</v>
      </c>
      <c r="I62" s="18" t="n">
        <v>0</v>
      </c>
      <c r="J62" s="20" t="n">
        <v>0</v>
      </c>
      <c r="K62" s="18" t="n">
        <v>0</v>
      </c>
      <c r="L62" s="20" t="n">
        <v>0</v>
      </c>
      <c r="M62" s="18" t="n">
        <v>0</v>
      </c>
      <c r="N62" s="20" t="n">
        <v>0</v>
      </c>
      <c r="O62" s="18" t="n">
        <v>0</v>
      </c>
      <c r="P62" s="20" t="n">
        <v>0</v>
      </c>
      <c r="Q62" s="18" t="n">
        <v>0.09936492</v>
      </c>
      <c r="R62" s="20" t="n">
        <v>0.09940712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(4445.0/B67*100)</f>
        <v/>
      </c>
      <c r="D67" s="19" t="n">
        <v>1220</v>
      </c>
      <c r="E67" s="18" t="n">
        <v>71.57968142</v>
      </c>
      <c r="F67" s="20" t="n">
        <v>1.35306162</v>
      </c>
      <c r="G67" s="18" t="n">
        <v>24.35456439</v>
      </c>
      <c r="H67" s="20" t="n">
        <v>1.31100836</v>
      </c>
      <c r="I67" s="18" t="n">
        <v>0</v>
      </c>
      <c r="J67" s="20" t="n">
        <v>0</v>
      </c>
      <c r="K67" s="18" t="n">
        <v>0.25112619</v>
      </c>
      <c r="L67" s="20" t="n">
        <v>0.14571381</v>
      </c>
      <c r="M67" s="18" t="n">
        <v>0</v>
      </c>
      <c r="N67" s="20" t="n">
        <v>0</v>
      </c>
      <c r="O67" s="18" t="n">
        <v>0</v>
      </c>
      <c r="P67" s="20" t="n">
        <v>0</v>
      </c>
      <c r="Q67" s="18" t="n">
        <v>3.814628</v>
      </c>
      <c r="R67" s="20" t="n">
        <v>0.63705147</v>
      </c>
    </row>
    <row r="68" spans="1:18">
      <c r="A68" s="15" t="s">
        <v>628</v>
      </c>
      <c r="B68" s="17" t="n">
        <v>6971</v>
      </c>
      <c r="C68" s="18">
        <f>(5467.0/B68*100)</f>
        <v/>
      </c>
      <c r="D68" s="19" t="n">
        <v>1504</v>
      </c>
      <c r="E68" s="18" t="n">
        <v>80.63957576</v>
      </c>
      <c r="F68" s="20" t="n">
        <v>1.17479342</v>
      </c>
      <c r="G68" s="18" t="n">
        <v>17.56243589</v>
      </c>
      <c r="H68" s="20" t="n">
        <v>1.1164599</v>
      </c>
      <c r="I68" s="18" t="n">
        <v>0</v>
      </c>
      <c r="J68" s="20" t="n">
        <v>0</v>
      </c>
      <c r="K68" s="18" t="n">
        <v>0.07169589</v>
      </c>
      <c r="L68" s="20" t="n">
        <v>0.07173553000000001</v>
      </c>
      <c r="M68" s="18" t="n">
        <v>0</v>
      </c>
      <c r="N68" s="20" t="n">
        <v>0</v>
      </c>
      <c r="O68" s="18" t="n">
        <v>0</v>
      </c>
      <c r="P68" s="20" t="n">
        <v>0</v>
      </c>
      <c r="Q68" s="18" t="n">
        <v>1.72629247</v>
      </c>
      <c r="R68" s="20" t="n">
        <v>0.37216222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(9448.0/B70*100)</f>
        <v/>
      </c>
      <c r="D70" s="19" t="n">
        <v>2635</v>
      </c>
      <c r="E70" s="18" t="n">
        <v>73.61103187000001</v>
      </c>
      <c r="F70" s="20" t="n">
        <v>0.84536841</v>
      </c>
      <c r="G70" s="18" t="n">
        <v>23.16740516</v>
      </c>
      <c r="H70" s="20" t="n">
        <v>0.83611828</v>
      </c>
      <c r="I70" s="18" t="n">
        <v>0</v>
      </c>
      <c r="J70" s="20" t="n">
        <v>0</v>
      </c>
      <c r="K70" s="18" t="n">
        <v>0.78404312</v>
      </c>
      <c r="L70" s="20" t="n">
        <v>0.17133883</v>
      </c>
      <c r="M70" s="18" t="n">
        <v>0</v>
      </c>
      <c r="N70" s="20" t="n">
        <v>0</v>
      </c>
      <c r="O70" s="18" t="n">
        <v>0</v>
      </c>
      <c r="P70" s="20" t="n">
        <v>0</v>
      </c>
      <c r="Q70" s="18" t="n">
        <v>2.43751985</v>
      </c>
      <c r="R70" s="20" t="n">
        <v>0.29203615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(4676.0/B72*100)</f>
        <v/>
      </c>
      <c r="D72" s="19" t="n">
        <v>1360</v>
      </c>
      <c r="E72" s="18" t="n">
        <v>61.54540725</v>
      </c>
      <c r="F72" s="20" t="n">
        <v>1.36802732</v>
      </c>
      <c r="G72" s="18" t="n">
        <v>37.70681727</v>
      </c>
      <c r="H72" s="20" t="n">
        <v>1.33318633</v>
      </c>
      <c r="I72" s="18" t="n">
        <v>0</v>
      </c>
      <c r="J72" s="20" t="n">
        <v>0</v>
      </c>
      <c r="K72" s="18" t="n">
        <v>0.08270313999999999</v>
      </c>
      <c r="L72" s="20" t="n">
        <v>0.05269122</v>
      </c>
      <c r="M72" s="18" t="n">
        <v>0</v>
      </c>
      <c r="N72" s="20" t="n">
        <v>0</v>
      </c>
      <c r="O72" s="18" t="n">
        <v>0</v>
      </c>
      <c r="P72" s="20" t="n">
        <v>0</v>
      </c>
      <c r="Q72" s="18" t="n">
        <v>0.66507234</v>
      </c>
      <c r="R72" s="20" t="n">
        <v>0.2285034</v>
      </c>
    </row>
    <row r="73" spans="1:18">
      <c r="A73" s="15" t="s">
        <v>633</v>
      </c>
      <c r="B73" s="17" t="n">
        <v>6115</v>
      </c>
      <c r="C73" s="18">
        <f>(4732.0/B73*100)</f>
        <v/>
      </c>
      <c r="D73" s="19" t="n">
        <v>1383</v>
      </c>
      <c r="E73" s="18" t="n">
        <v>58.19626424</v>
      </c>
      <c r="F73" s="20" t="n">
        <v>1.42374735</v>
      </c>
      <c r="G73" s="18" t="n">
        <v>40.85007227</v>
      </c>
      <c r="H73" s="20" t="n">
        <v>1.41704601</v>
      </c>
      <c r="I73" s="18" t="n">
        <v>0</v>
      </c>
      <c r="J73" s="20" t="n">
        <v>0</v>
      </c>
      <c r="K73" s="18" t="n">
        <v>0.23277762</v>
      </c>
      <c r="L73" s="20" t="n">
        <v>0.13426642</v>
      </c>
      <c r="M73" s="18" t="n">
        <v>0</v>
      </c>
      <c r="N73" s="20" t="n">
        <v>0</v>
      </c>
      <c r="O73" s="18" t="n">
        <v>0</v>
      </c>
      <c r="P73" s="20" t="n">
        <v>0</v>
      </c>
      <c r="Q73" s="18" t="n">
        <v>0.72088588</v>
      </c>
      <c r="R73" s="20" t="n">
        <v>0.21096213</v>
      </c>
    </row>
    <row r="74" spans="1:18">
      <c r="A74" s="15" t="s">
        <v>634</v>
      </c>
      <c r="B74" s="17" t="n">
        <v>7708</v>
      </c>
      <c r="C74" s="18">
        <f>(5958.0/B74*100)</f>
        <v/>
      </c>
      <c r="D74" s="19" t="n">
        <v>1750</v>
      </c>
      <c r="E74" s="18" t="n">
        <v>53.60288915</v>
      </c>
      <c r="F74" s="20" t="n">
        <v>1.38708364</v>
      </c>
      <c r="G74" s="18" t="n">
        <v>45.78966182</v>
      </c>
      <c r="H74" s="20" t="n">
        <v>1.38148095</v>
      </c>
      <c r="I74" s="18" t="n">
        <v>0</v>
      </c>
      <c r="J74" s="20" t="n">
        <v>0</v>
      </c>
      <c r="K74" s="18" t="n">
        <v>0.07467227999999999</v>
      </c>
      <c r="L74" s="20" t="n">
        <v>0.07491404</v>
      </c>
      <c r="M74" s="18" t="n">
        <v>0</v>
      </c>
      <c r="N74" s="20" t="n">
        <v>0</v>
      </c>
      <c r="O74" s="18" t="n">
        <v>0</v>
      </c>
      <c r="P74" s="20" t="n">
        <v>0</v>
      </c>
      <c r="Q74" s="18" t="n">
        <v>0.53277675</v>
      </c>
      <c r="R74" s="20" t="n">
        <v>0.16781206</v>
      </c>
    </row>
    <row r="75" spans="1:18">
      <c r="A75" s="15" t="s">
        <v>635</v>
      </c>
      <c r="B75" s="17" t="n">
        <v>8249</v>
      </c>
      <c r="C75" s="18">
        <f>(6446.0/B75*100)</f>
        <v/>
      </c>
      <c r="D75" s="19" t="n">
        <v>1803</v>
      </c>
      <c r="E75" s="18" t="n">
        <v>78.38627003000001</v>
      </c>
      <c r="F75" s="20" t="n">
        <v>1.26695787</v>
      </c>
      <c r="G75" s="18" t="n">
        <v>21.01712537</v>
      </c>
      <c r="H75" s="20" t="n">
        <v>1.26406537</v>
      </c>
      <c r="I75" s="18" t="n">
        <v>0</v>
      </c>
      <c r="J75" s="20" t="n">
        <v>0</v>
      </c>
      <c r="K75" s="18" t="n">
        <v>0</v>
      </c>
      <c r="L75" s="20" t="n">
        <v>0</v>
      </c>
      <c r="M75" s="18" t="n">
        <v>0</v>
      </c>
      <c r="N75" s="20" t="n">
        <v>0</v>
      </c>
      <c r="O75" s="18" t="n">
        <v>0</v>
      </c>
      <c r="P75" s="20" t="n">
        <v>0</v>
      </c>
      <c r="Q75" s="18" t="n">
        <v>0.5966046</v>
      </c>
      <c r="R75" s="20" t="n">
        <v>0.21916275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(4261.0/B77*100)</f>
        <v/>
      </c>
      <c r="D77" s="19" t="n">
        <v>1114</v>
      </c>
      <c r="E77" s="18" t="n">
        <v>73.00440741</v>
      </c>
      <c r="F77" s="20" t="n">
        <v>1.48402924</v>
      </c>
      <c r="G77" s="18" t="n">
        <v>22.86412466</v>
      </c>
      <c r="H77" s="20" t="n">
        <v>1.34008392</v>
      </c>
      <c r="I77" s="18" t="n">
        <v>0</v>
      </c>
      <c r="J77" s="20" t="n">
        <v>0</v>
      </c>
      <c r="K77" s="18" t="n">
        <v>1.06212246</v>
      </c>
      <c r="L77" s="20" t="n">
        <v>0.3078385</v>
      </c>
      <c r="M77" s="18" t="n">
        <v>0</v>
      </c>
      <c r="N77" s="20" t="n">
        <v>0</v>
      </c>
      <c r="O77" s="18" t="n">
        <v>0</v>
      </c>
      <c r="P77" s="20" t="n">
        <v>0</v>
      </c>
      <c r="Q77" s="18" t="n">
        <v>3.06934547</v>
      </c>
      <c r="R77" s="20" t="n">
        <v>0.57426526</v>
      </c>
    </row>
    <row r="78" spans="1:18">
      <c r="A78" s="15" t="s">
        <v>638</v>
      </c>
      <c r="B78" s="17" t="n">
        <v>14167</v>
      </c>
      <c r="C78" s="18">
        <f>(11050.0/B78*100)</f>
        <v/>
      </c>
      <c r="D78" s="19" t="n">
        <v>3117</v>
      </c>
      <c r="E78" s="18" t="n">
        <v>75.53038795000001</v>
      </c>
      <c r="F78" s="20" t="n">
        <v>1.15952608</v>
      </c>
      <c r="G78" s="18" t="n">
        <v>22.64232656</v>
      </c>
      <c r="H78" s="20" t="n">
        <v>1.17820968</v>
      </c>
      <c r="I78" s="18" t="n">
        <v>0</v>
      </c>
      <c r="J78" s="20" t="n">
        <v>0</v>
      </c>
      <c r="K78" s="18" t="n">
        <v>0.16496912</v>
      </c>
      <c r="L78" s="20" t="n">
        <v>0.07631984</v>
      </c>
      <c r="M78" s="18" t="n">
        <v>0</v>
      </c>
      <c r="N78" s="20" t="n">
        <v>0</v>
      </c>
      <c r="O78" s="18" t="n">
        <v>0</v>
      </c>
      <c r="P78" s="20" t="n">
        <v>0</v>
      </c>
      <c r="Q78" s="18" t="n">
        <v>1.66231637</v>
      </c>
      <c r="R78" s="20" t="n">
        <v>0.31585782</v>
      </c>
    </row>
    <row r="79" spans="1:18">
      <c r="A79" s="15" t="s">
        <v>639</v>
      </c>
      <c r="B79" s="17" t="n">
        <v>6062</v>
      </c>
      <c r="C79" s="18">
        <f>(4712.0/B79*100)</f>
        <v/>
      </c>
      <c r="D79" s="19" t="n">
        <v>1350</v>
      </c>
      <c r="E79" s="18" t="n">
        <v>70.07698093</v>
      </c>
      <c r="F79" s="20" t="n">
        <v>1.5055725</v>
      </c>
      <c r="G79" s="18" t="n">
        <v>27.53293238</v>
      </c>
      <c r="H79" s="20" t="n">
        <v>1.48470151</v>
      </c>
      <c r="I79" s="18" t="n">
        <v>0</v>
      </c>
      <c r="J79" s="20" t="n">
        <v>0</v>
      </c>
      <c r="K79" s="18" t="n">
        <v>0.34352459</v>
      </c>
      <c r="L79" s="20" t="n">
        <v>0.16995157</v>
      </c>
      <c r="M79" s="18" t="n">
        <v>0</v>
      </c>
      <c r="N79" s="20" t="n">
        <v>0</v>
      </c>
      <c r="O79" s="18" t="n">
        <v>0</v>
      </c>
      <c r="P79" s="20" t="n">
        <v>0</v>
      </c>
      <c r="Q79" s="18" t="n">
        <v>2.04656211</v>
      </c>
      <c r="R79" s="20" t="n">
        <v>0.41036266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(25201.0/B82*100)</f>
        <v/>
      </c>
      <c r="D82" s="19" t="n">
        <v>7129</v>
      </c>
      <c r="E82" s="18" t="n">
        <v>58.04587441</v>
      </c>
      <c r="F82" s="20" t="n">
        <v>0.90008014</v>
      </c>
      <c r="G82" s="18" t="n">
        <v>40.65714125</v>
      </c>
      <c r="H82" s="20" t="n">
        <v>0.92090733</v>
      </c>
      <c r="I82" s="18" t="n">
        <v>0</v>
      </c>
      <c r="J82" s="20" t="n">
        <v>0</v>
      </c>
      <c r="K82" s="18" t="n">
        <v>0.1280927</v>
      </c>
      <c r="L82" s="20" t="n">
        <v>0.07937804</v>
      </c>
      <c r="M82" s="18" t="n">
        <v>0</v>
      </c>
      <c r="N82" s="20" t="n">
        <v>0</v>
      </c>
      <c r="O82" s="18" t="n">
        <v>0</v>
      </c>
      <c r="P82" s="20" t="n">
        <v>0</v>
      </c>
      <c r="Q82" s="18" t="n">
        <v>1.16889163</v>
      </c>
      <c r="R82" s="20" t="n">
        <v>0.22580953</v>
      </c>
    </row>
    <row r="83" spans="1:18">
      <c r="A83" s="15" t="s">
        <v>643</v>
      </c>
      <c r="B83" s="17" t="n">
        <v>1652</v>
      </c>
      <c r="C83" s="18">
        <f>(1295.0/B83*100)</f>
        <v/>
      </c>
      <c r="D83" s="19" t="n">
        <v>357</v>
      </c>
      <c r="E83" s="18" t="n">
        <v>45.38939148</v>
      </c>
      <c r="F83" s="20" t="n">
        <v>3.51161848</v>
      </c>
      <c r="G83" s="18" t="n">
        <v>54.04921324</v>
      </c>
      <c r="H83" s="20" t="n">
        <v>3.48835633</v>
      </c>
      <c r="I83" s="18" t="n">
        <v>0</v>
      </c>
      <c r="J83" s="20" t="n">
        <v>0</v>
      </c>
      <c r="K83" s="18" t="n">
        <v>0</v>
      </c>
      <c r="L83" s="20" t="n">
        <v>0</v>
      </c>
      <c r="M83" s="18" t="n">
        <v>0</v>
      </c>
      <c r="N83" s="20" t="n">
        <v>0</v>
      </c>
      <c r="O83" s="18" t="n">
        <v>0</v>
      </c>
      <c r="P83" s="20" t="n">
        <v>0</v>
      </c>
      <c r="Q83" s="18" t="n">
        <v>0.5613952800000001</v>
      </c>
      <c r="R83" s="20" t="n">
        <v>0.38776091</v>
      </c>
    </row>
    <row r="84" spans="1:18">
      <c r="A84" s="23" t="s">
        <v>644</v>
      </c>
      <c r="B84" s="24" t="n">
        <v>1887</v>
      </c>
      <c r="C84" s="25">
        <f>(1471.0/B84*100)</f>
        <v/>
      </c>
      <c r="D84" s="19" t="n">
        <v>416</v>
      </c>
      <c r="E84" s="18" t="n">
        <v>57.64172561</v>
      </c>
      <c r="F84" s="20" t="n">
        <v>2.72833006</v>
      </c>
      <c r="G84" s="18" t="n">
        <v>41.86624299</v>
      </c>
      <c r="H84" s="20" t="n">
        <v>2.79924138</v>
      </c>
      <c r="I84" s="18" t="n">
        <v>0</v>
      </c>
      <c r="J84" s="20" t="n">
        <v>0</v>
      </c>
      <c r="K84" s="18" t="n">
        <v>0</v>
      </c>
      <c r="L84" s="20" t="n">
        <v>0</v>
      </c>
      <c r="M84" s="18" t="n">
        <v>0</v>
      </c>
      <c r="N84" s="20" t="n">
        <v>0</v>
      </c>
      <c r="O84" s="18" t="n">
        <v>0</v>
      </c>
      <c r="P84" s="20" t="n">
        <v>0</v>
      </c>
      <c r="Q84" s="18" t="n">
        <v>0.49203141</v>
      </c>
      <c r="R84" s="20" t="n">
        <v>0.34345514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(11383.0/B7*100)</f>
        <v/>
      </c>
      <c r="D7" s="19" t="n">
        <v>3147</v>
      </c>
      <c r="E7" s="18" t="n">
        <v>56.01892762</v>
      </c>
      <c r="F7" s="20" t="n">
        <v>1.16655926</v>
      </c>
      <c r="G7" s="18" t="n">
        <v>30.4863326</v>
      </c>
      <c r="H7" s="20" t="n">
        <v>1.09816306</v>
      </c>
      <c r="I7" s="18" t="n">
        <v>0</v>
      </c>
      <c r="J7" s="20" t="n">
        <v>0</v>
      </c>
      <c r="K7" s="18" t="n">
        <v>0.13894723</v>
      </c>
      <c r="L7" s="20" t="n">
        <v>0.06088519</v>
      </c>
      <c r="M7" s="18" t="n">
        <v>0.09182012000000001</v>
      </c>
      <c r="N7" s="20" t="n">
        <v>0.07687708</v>
      </c>
      <c r="O7" s="18" t="n">
        <v>0</v>
      </c>
      <c r="P7" s="20" t="n">
        <v>0</v>
      </c>
      <c r="Q7" s="18" t="n">
        <v>13.26397243</v>
      </c>
      <c r="R7" s="20" t="n">
        <v>0.66651512</v>
      </c>
    </row>
    <row r="8" spans="1:18">
      <c r="A8" s="15" t="s">
        <v>566</v>
      </c>
      <c r="B8" s="17" t="n">
        <v>7007</v>
      </c>
      <c r="C8" s="18">
        <f>(5462.0/B8*100)</f>
        <v/>
      </c>
      <c r="D8" s="19" t="n">
        <v>1545</v>
      </c>
      <c r="E8" s="18" t="n">
        <v>43.89652901</v>
      </c>
      <c r="F8" s="20" t="n">
        <v>1.36727011</v>
      </c>
      <c r="G8" s="18" t="n">
        <v>36.11702005</v>
      </c>
      <c r="H8" s="20" t="n">
        <v>1.60128376</v>
      </c>
      <c r="I8" s="18" t="n">
        <v>0</v>
      </c>
      <c r="J8" s="20" t="n">
        <v>0</v>
      </c>
      <c r="K8" s="18" t="n">
        <v>0.0516851</v>
      </c>
      <c r="L8" s="20" t="n">
        <v>0.08757914</v>
      </c>
      <c r="M8" s="18" t="n">
        <v>0</v>
      </c>
      <c r="N8" s="20" t="n">
        <v>0</v>
      </c>
      <c r="O8" s="18" t="n">
        <v>0</v>
      </c>
      <c r="P8" s="20" t="n">
        <v>0</v>
      </c>
      <c r="Q8" s="18" t="n">
        <v>19.93476584</v>
      </c>
      <c r="R8" s="20" t="n">
        <v>1.21349014</v>
      </c>
    </row>
    <row r="9" spans="1:18">
      <c r="A9" s="15" t="s">
        <v>567</v>
      </c>
      <c r="B9" s="17" t="n">
        <v>9651</v>
      </c>
      <c r="C9" s="18">
        <f>(7603.0/B9*100)</f>
        <v/>
      </c>
      <c r="D9" s="19" t="n">
        <v>2048</v>
      </c>
      <c r="E9" s="18" t="n">
        <v>43.51936727</v>
      </c>
      <c r="F9" s="20" t="n">
        <v>1.17064231</v>
      </c>
      <c r="G9" s="18" t="n">
        <v>41.76471255</v>
      </c>
      <c r="H9" s="20" t="n">
        <v>1.22132672</v>
      </c>
      <c r="I9" s="18" t="n">
        <v>0</v>
      </c>
      <c r="J9" s="20" t="n">
        <v>0</v>
      </c>
      <c r="K9" s="18" t="n">
        <v>0.17754607</v>
      </c>
      <c r="L9" s="20" t="n">
        <v>0.08946539000000001</v>
      </c>
      <c r="M9" s="18" t="n">
        <v>0.23632058</v>
      </c>
      <c r="N9" s="20" t="n">
        <v>0.11327035</v>
      </c>
      <c r="O9" s="18" t="n">
        <v>0</v>
      </c>
      <c r="P9" s="20" t="n">
        <v>0</v>
      </c>
      <c r="Q9" s="18" t="n">
        <v>14.30205353</v>
      </c>
      <c r="R9" s="20" t="n">
        <v>0.86435303</v>
      </c>
    </row>
    <row r="10" spans="1:18">
      <c r="A10" s="15" t="s">
        <v>568</v>
      </c>
      <c r="B10" s="17" t="n">
        <v>20058</v>
      </c>
      <c r="C10" s="18">
        <f>(15702.0/B10*100)</f>
        <v/>
      </c>
      <c r="D10" s="19" t="n">
        <v>4356</v>
      </c>
      <c r="E10" s="18" t="n">
        <v>50.25687681</v>
      </c>
      <c r="F10" s="20" t="n">
        <v>1.19273307</v>
      </c>
      <c r="G10" s="18" t="n">
        <v>43.00581235</v>
      </c>
      <c r="H10" s="20" t="n">
        <v>1.26786598</v>
      </c>
      <c r="I10" s="18" t="n">
        <v>0</v>
      </c>
      <c r="J10" s="20" t="n">
        <v>0</v>
      </c>
      <c r="K10" s="18" t="n">
        <v>0.08803061</v>
      </c>
      <c r="L10" s="20" t="n">
        <v>0.08484261</v>
      </c>
      <c r="M10" s="18" t="n">
        <v>0.0207346</v>
      </c>
      <c r="N10" s="20" t="n">
        <v>0.01463885</v>
      </c>
      <c r="O10" s="18" t="n">
        <v>0</v>
      </c>
      <c r="P10" s="20" t="n">
        <v>0</v>
      </c>
      <c r="Q10" s="18" t="n">
        <v>6.62854564</v>
      </c>
      <c r="R10" s="20" t="n">
        <v>0.50787799</v>
      </c>
    </row>
    <row r="11" spans="1:18">
      <c r="A11" s="15" t="s">
        <v>569</v>
      </c>
      <c r="B11" s="17" t="n">
        <v>7053</v>
      </c>
      <c r="C11" s="18">
        <f>(5566.0/B11*100)</f>
        <v/>
      </c>
      <c r="D11" s="19" t="n">
        <v>1487</v>
      </c>
      <c r="E11" s="18" t="n">
        <v>65.53301365</v>
      </c>
      <c r="F11" s="20" t="n">
        <v>1.46208273</v>
      </c>
      <c r="G11" s="18" t="n">
        <v>10.19668555</v>
      </c>
      <c r="H11" s="20" t="n">
        <v>1.22487827</v>
      </c>
      <c r="I11" s="18" t="n">
        <v>0</v>
      </c>
      <c r="J11" s="20" t="n">
        <v>0</v>
      </c>
      <c r="K11" s="18" t="n">
        <v>0.70972234</v>
      </c>
      <c r="L11" s="20" t="n">
        <v>0.24397075</v>
      </c>
      <c r="M11" s="18" t="n">
        <v>0.00725575</v>
      </c>
      <c r="N11" s="20" t="n">
        <v>0.00731331</v>
      </c>
      <c r="O11" s="18" t="n">
        <v>0</v>
      </c>
      <c r="P11" s="20" t="n">
        <v>0</v>
      </c>
      <c r="Q11" s="18" t="n">
        <v>23.55332271</v>
      </c>
      <c r="R11" s="20" t="n">
        <v>1.33368783</v>
      </c>
    </row>
    <row r="12" spans="1:18">
      <c r="A12" s="15" t="s">
        <v>570</v>
      </c>
      <c r="B12" s="17" t="n">
        <v>6894</v>
      </c>
      <c r="C12" s="18">
        <f>(5413.0/B12*100)</f>
        <v/>
      </c>
      <c r="D12" s="19" t="n">
        <v>1481</v>
      </c>
      <c r="E12" s="18" t="n">
        <v>45.11297934</v>
      </c>
      <c r="F12" s="20" t="n">
        <v>1.80103503</v>
      </c>
      <c r="G12" s="18" t="n">
        <v>32.03225065</v>
      </c>
      <c r="H12" s="20" t="n">
        <v>1.42378375</v>
      </c>
      <c r="I12" s="18" t="n">
        <v>0</v>
      </c>
      <c r="J12" s="20" t="n">
        <v>0</v>
      </c>
      <c r="K12" s="18" t="n">
        <v>0.12719553</v>
      </c>
      <c r="L12" s="20" t="n">
        <v>0.11184734</v>
      </c>
      <c r="M12" s="18" t="n">
        <v>0</v>
      </c>
      <c r="N12" s="20" t="n">
        <v>0</v>
      </c>
      <c r="O12" s="18" t="n">
        <v>0</v>
      </c>
      <c r="P12" s="20" t="n">
        <v>0</v>
      </c>
      <c r="Q12" s="18" t="n">
        <v>22.72757448</v>
      </c>
      <c r="R12" s="20" t="n">
        <v>1.39118807</v>
      </c>
    </row>
    <row r="13" spans="1:18">
      <c r="A13" s="15" t="s">
        <v>571</v>
      </c>
      <c r="B13" s="17" t="n">
        <v>7161</v>
      </c>
      <c r="C13" s="18">
        <f>(5657.0/B13*100)</f>
        <v/>
      </c>
      <c r="D13" s="19" t="n">
        <v>1504</v>
      </c>
      <c r="E13" s="18" t="n">
        <v>57.77917202</v>
      </c>
      <c r="F13" s="20" t="n">
        <v>1.4975454</v>
      </c>
      <c r="G13" s="18" t="n">
        <v>28.84142074</v>
      </c>
      <c r="H13" s="20" t="n">
        <v>1.43623478</v>
      </c>
      <c r="I13" s="18" t="n">
        <v>0</v>
      </c>
      <c r="J13" s="20" t="n">
        <v>0</v>
      </c>
      <c r="K13" s="18" t="n">
        <v>0.12320039</v>
      </c>
      <c r="L13" s="20" t="n">
        <v>0.09343993</v>
      </c>
      <c r="M13" s="18" t="n">
        <v>0.03025292</v>
      </c>
      <c r="N13" s="20" t="n">
        <v>0.02143842</v>
      </c>
      <c r="O13" s="18" t="n">
        <v>0</v>
      </c>
      <c r="P13" s="20" t="n">
        <v>0</v>
      </c>
      <c r="Q13" s="18" t="n">
        <v>13.22595393</v>
      </c>
      <c r="R13" s="20" t="n">
        <v>1.05218698</v>
      </c>
    </row>
    <row r="14" spans="1:18">
      <c r="A14" s="15" t="s">
        <v>572</v>
      </c>
      <c r="B14" s="17" t="n">
        <v>5587</v>
      </c>
      <c r="C14" s="18">
        <f>(4364.0/B14*100)</f>
        <v/>
      </c>
      <c r="D14" s="19" t="n">
        <v>1223</v>
      </c>
      <c r="E14" s="18" t="n">
        <v>53.8694096</v>
      </c>
      <c r="F14" s="20" t="n">
        <v>1.82928289</v>
      </c>
      <c r="G14" s="18" t="n">
        <v>31.82586448</v>
      </c>
      <c r="H14" s="20" t="n">
        <v>1.76748967</v>
      </c>
      <c r="I14" s="18" t="n">
        <v>0</v>
      </c>
      <c r="J14" s="20" t="n">
        <v>0</v>
      </c>
      <c r="K14" s="18" t="n">
        <v>0.07228598999999999</v>
      </c>
      <c r="L14" s="20" t="n">
        <v>0.07194188</v>
      </c>
      <c r="M14" s="18" t="n">
        <v>0</v>
      </c>
      <c r="N14" s="20" t="n">
        <v>0</v>
      </c>
      <c r="O14" s="18" t="n">
        <v>0</v>
      </c>
      <c r="P14" s="20" t="n">
        <v>0</v>
      </c>
      <c r="Q14" s="18" t="n">
        <v>14.23243993</v>
      </c>
      <c r="R14" s="20" t="n">
        <v>1.15575657</v>
      </c>
    </row>
    <row r="15" spans="1:18">
      <c r="A15" s="15" t="s">
        <v>573</v>
      </c>
      <c r="B15" s="17" t="n">
        <v>5882</v>
      </c>
      <c r="C15" s="18">
        <f>(4627.0/B15*100)</f>
        <v/>
      </c>
      <c r="D15" s="19" t="n">
        <v>1255</v>
      </c>
      <c r="E15" s="18" t="n">
        <v>43.78679483</v>
      </c>
      <c r="F15" s="20" t="n">
        <v>1.66074384</v>
      </c>
      <c r="G15" s="18" t="n">
        <v>48.03796183</v>
      </c>
      <c r="H15" s="20" t="n">
        <v>1.80472931</v>
      </c>
      <c r="I15" s="18" t="n">
        <v>0</v>
      </c>
      <c r="J15" s="20" t="n">
        <v>0</v>
      </c>
      <c r="K15" s="18" t="n">
        <v>0.07846076</v>
      </c>
      <c r="L15" s="20" t="n">
        <v>0.07882528</v>
      </c>
      <c r="M15" s="18" t="n">
        <v>0</v>
      </c>
      <c r="N15" s="20" t="n">
        <v>0</v>
      </c>
      <c r="O15" s="18" t="n">
        <v>0</v>
      </c>
      <c r="P15" s="20" t="n">
        <v>0</v>
      </c>
      <c r="Q15" s="18" t="n">
        <v>8.09678257</v>
      </c>
      <c r="R15" s="20" t="n">
        <v>0.93573313</v>
      </c>
    </row>
    <row r="16" spans="1:18">
      <c r="A16" s="15" t="s">
        <v>574</v>
      </c>
      <c r="B16" s="17" t="n">
        <v>6108</v>
      </c>
      <c r="C16" s="18">
        <f>(4765.0/B16*100)</f>
        <v/>
      </c>
      <c r="D16" s="19" t="n">
        <v>1343</v>
      </c>
      <c r="E16" s="18" t="n">
        <v>51.15746266</v>
      </c>
      <c r="F16" s="20" t="n">
        <v>1.2686055</v>
      </c>
      <c r="G16" s="18" t="n">
        <v>25.97551345</v>
      </c>
      <c r="H16" s="20" t="n">
        <v>1.14800973</v>
      </c>
      <c r="I16" s="18" t="n">
        <v>0</v>
      </c>
      <c r="J16" s="20" t="n">
        <v>0</v>
      </c>
      <c r="K16" s="18" t="n">
        <v>0.56524401</v>
      </c>
      <c r="L16" s="20" t="n">
        <v>0.28051579</v>
      </c>
      <c r="M16" s="18" t="n">
        <v>0</v>
      </c>
      <c r="N16" s="20" t="n">
        <v>0</v>
      </c>
      <c r="O16" s="18" t="n">
        <v>0</v>
      </c>
      <c r="P16" s="20" t="n">
        <v>0</v>
      </c>
      <c r="Q16" s="18" t="n">
        <v>22.30177988</v>
      </c>
      <c r="R16" s="20" t="n">
        <v>1.1449005</v>
      </c>
    </row>
    <row r="17" spans="1:18">
      <c r="A17" s="15" t="s">
        <v>575</v>
      </c>
      <c r="B17" s="17" t="n">
        <v>6504</v>
      </c>
      <c r="C17" s="18">
        <f>(5086.0/B17*100)</f>
        <v/>
      </c>
      <c r="D17" s="19" t="n">
        <v>1418</v>
      </c>
      <c r="E17" s="18" t="n">
        <v>42.61248387</v>
      </c>
      <c r="F17" s="20" t="n">
        <v>1.50644518</v>
      </c>
      <c r="G17" s="18" t="n">
        <v>38.93601174</v>
      </c>
      <c r="H17" s="20" t="n">
        <v>1.59313384</v>
      </c>
      <c r="I17" s="18" t="n">
        <v>0</v>
      </c>
      <c r="J17" s="20" t="n">
        <v>0</v>
      </c>
      <c r="K17" s="18" t="n">
        <v>0.0682381</v>
      </c>
      <c r="L17" s="20" t="n">
        <v>0.07125528</v>
      </c>
      <c r="M17" s="18" t="n">
        <v>0</v>
      </c>
      <c r="N17" s="20" t="n">
        <v>0</v>
      </c>
      <c r="O17" s="18" t="n">
        <v>0</v>
      </c>
      <c r="P17" s="20" t="n">
        <v>0</v>
      </c>
      <c r="Q17" s="18" t="n">
        <v>18.3832663</v>
      </c>
      <c r="R17" s="20" t="n">
        <v>1.15861913</v>
      </c>
    </row>
    <row r="18" spans="1:18">
      <c r="A18" s="15" t="s">
        <v>576</v>
      </c>
      <c r="B18" s="17" t="n">
        <v>5532</v>
      </c>
      <c r="C18" s="18">
        <f>(4306.0/B18*100)</f>
        <v/>
      </c>
      <c r="D18" s="19" t="n">
        <v>1226</v>
      </c>
      <c r="E18" s="18" t="n">
        <v>53.35945952</v>
      </c>
      <c r="F18" s="20" t="n">
        <v>1.61513671</v>
      </c>
      <c r="G18" s="18" t="n">
        <v>30.42275642</v>
      </c>
      <c r="H18" s="20" t="n">
        <v>1.58959244</v>
      </c>
      <c r="I18" s="18" t="n">
        <v>0</v>
      </c>
      <c r="J18" s="20" t="n">
        <v>0</v>
      </c>
      <c r="K18" s="18" t="n">
        <v>0.24374226</v>
      </c>
      <c r="L18" s="20" t="n">
        <v>0.15880245</v>
      </c>
      <c r="M18" s="18" t="n">
        <v>0</v>
      </c>
      <c r="N18" s="20" t="n">
        <v>0</v>
      </c>
      <c r="O18" s="18" t="n">
        <v>0</v>
      </c>
      <c r="P18" s="20" t="n">
        <v>0</v>
      </c>
      <c r="Q18" s="18" t="n">
        <v>15.97404181</v>
      </c>
      <c r="R18" s="20" t="n">
        <v>1.20433197</v>
      </c>
    </row>
    <row r="19" spans="1:18">
      <c r="A19" s="15" t="s">
        <v>577</v>
      </c>
      <c r="B19" s="17" t="n">
        <v>5658</v>
      </c>
      <c r="C19" s="18">
        <f>(4433.0/B19*100)</f>
        <v/>
      </c>
      <c r="D19" s="19" t="n">
        <v>1225</v>
      </c>
      <c r="E19" s="18" t="n">
        <v>55.68033743</v>
      </c>
      <c r="F19" s="20" t="n">
        <v>1.50115276</v>
      </c>
      <c r="G19" s="18" t="n">
        <v>22.2435987</v>
      </c>
      <c r="H19" s="20" t="n">
        <v>1.37183943</v>
      </c>
      <c r="I19" s="18" t="n">
        <v>0</v>
      </c>
      <c r="J19" s="20" t="n">
        <v>0</v>
      </c>
      <c r="K19" s="18" t="n">
        <v>0.05693004</v>
      </c>
      <c r="L19" s="20" t="n">
        <v>0.05685474</v>
      </c>
      <c r="M19" s="18" t="n">
        <v>0</v>
      </c>
      <c r="N19" s="20" t="n">
        <v>0</v>
      </c>
      <c r="O19" s="18" t="n">
        <v>0</v>
      </c>
      <c r="P19" s="20" t="n">
        <v>0</v>
      </c>
      <c r="Q19" s="18" t="n">
        <v>22.01913383</v>
      </c>
      <c r="R19" s="20" t="n">
        <v>1.30980061</v>
      </c>
    </row>
    <row r="20" spans="1:18">
      <c r="A20" s="15" t="s">
        <v>578</v>
      </c>
      <c r="B20" s="17" t="n">
        <v>3371</v>
      </c>
      <c r="C20" s="18">
        <f>(2635.0/B20*100)</f>
        <v/>
      </c>
      <c r="D20" s="19" t="n">
        <v>736</v>
      </c>
      <c r="E20" s="18" t="n">
        <v>68.10416769</v>
      </c>
      <c r="F20" s="20" t="n">
        <v>1.68776052</v>
      </c>
      <c r="G20" s="18" t="n">
        <v>13.15129204</v>
      </c>
      <c r="H20" s="20" t="n">
        <v>1.26008844</v>
      </c>
      <c r="I20" s="18" t="n">
        <v>0</v>
      </c>
      <c r="J20" s="20" t="n">
        <v>0</v>
      </c>
      <c r="K20" s="18" t="n">
        <v>0.13450067</v>
      </c>
      <c r="L20" s="20" t="n">
        <v>0.13479136</v>
      </c>
      <c r="M20" s="18" t="n">
        <v>0.74949939</v>
      </c>
      <c r="N20" s="20" t="n">
        <v>0.28484297</v>
      </c>
      <c r="O20" s="18" t="n">
        <v>0</v>
      </c>
      <c r="P20" s="20" t="n">
        <v>0</v>
      </c>
      <c r="Q20" s="18" t="n">
        <v>17.86054021</v>
      </c>
      <c r="R20" s="20" t="n">
        <v>1.43616798</v>
      </c>
    </row>
    <row r="21" spans="1:18">
      <c r="A21" s="15" t="s">
        <v>579</v>
      </c>
      <c r="B21" s="17" t="n">
        <v>5741</v>
      </c>
      <c r="C21" s="18">
        <f>(4462.0/B21*100)</f>
        <v/>
      </c>
      <c r="D21" s="19" t="n">
        <v>1279</v>
      </c>
      <c r="E21" s="18" t="n">
        <v>61.19849939</v>
      </c>
      <c r="F21" s="20" t="n">
        <v>1.29645007</v>
      </c>
      <c r="G21" s="18" t="n">
        <v>27.59430776</v>
      </c>
      <c r="H21" s="20" t="n">
        <v>1.44766453</v>
      </c>
      <c r="I21" s="18" t="n">
        <v>0</v>
      </c>
      <c r="J21" s="20" t="n">
        <v>0</v>
      </c>
      <c r="K21" s="18" t="n">
        <v>0</v>
      </c>
      <c r="L21" s="20" t="n">
        <v>0</v>
      </c>
      <c r="M21" s="18" t="n">
        <v>0</v>
      </c>
      <c r="N21" s="20" t="n">
        <v>0</v>
      </c>
      <c r="O21" s="18" t="n">
        <v>0</v>
      </c>
      <c r="P21" s="20" t="n">
        <v>0</v>
      </c>
      <c r="Q21" s="18" t="n">
        <v>11.20719285</v>
      </c>
      <c r="R21" s="20" t="n">
        <v>0.97371337</v>
      </c>
    </row>
    <row r="22" spans="1:18">
      <c r="A22" s="15" t="s">
        <v>580</v>
      </c>
      <c r="B22" s="17" t="n">
        <v>6598</v>
      </c>
      <c r="C22" s="18">
        <f>(5179.0/B22*100)</f>
        <v/>
      </c>
      <c r="D22" s="19" t="n">
        <v>1419</v>
      </c>
      <c r="E22" s="18" t="n">
        <v>48.93406715</v>
      </c>
      <c r="F22" s="20" t="n">
        <v>1.44005063</v>
      </c>
      <c r="G22" s="18" t="n">
        <v>33.77908673</v>
      </c>
      <c r="H22" s="20" t="n">
        <v>1.56481289</v>
      </c>
      <c r="I22" s="18" t="n">
        <v>0</v>
      </c>
      <c r="J22" s="20" t="n">
        <v>0</v>
      </c>
      <c r="K22" s="18" t="n">
        <v>0.22599104</v>
      </c>
      <c r="L22" s="20" t="n">
        <v>0.186794</v>
      </c>
      <c r="M22" s="18" t="n">
        <v>0</v>
      </c>
      <c r="N22" s="20" t="n">
        <v>0</v>
      </c>
      <c r="O22" s="18" t="n">
        <v>0</v>
      </c>
      <c r="P22" s="20" t="n">
        <v>0</v>
      </c>
      <c r="Q22" s="18" t="n">
        <v>17.06085508</v>
      </c>
      <c r="R22" s="20" t="n">
        <v>1.21627547</v>
      </c>
    </row>
    <row r="23" spans="1:18">
      <c r="A23" s="15" t="s">
        <v>581</v>
      </c>
      <c r="B23" s="17" t="n">
        <v>11583</v>
      </c>
      <c r="C23" s="18">
        <f>(9024.0/B23*100)</f>
        <v/>
      </c>
      <c r="D23" s="19" t="n">
        <v>2559</v>
      </c>
      <c r="E23" s="18" t="n">
        <v>54.92607889</v>
      </c>
      <c r="F23" s="20" t="n">
        <v>1.49199416</v>
      </c>
      <c r="G23" s="18" t="n">
        <v>25.37444106</v>
      </c>
      <c r="H23" s="20" t="n">
        <v>1.45071399</v>
      </c>
      <c r="I23" s="18" t="n">
        <v>0</v>
      </c>
      <c r="J23" s="20" t="n">
        <v>0</v>
      </c>
      <c r="K23" s="18" t="n">
        <v>0.25691011</v>
      </c>
      <c r="L23" s="20" t="n">
        <v>0.15813239</v>
      </c>
      <c r="M23" s="18" t="n">
        <v>0</v>
      </c>
      <c r="N23" s="20" t="n">
        <v>0</v>
      </c>
      <c r="O23" s="18" t="n">
        <v>0</v>
      </c>
      <c r="P23" s="20" t="n">
        <v>0</v>
      </c>
      <c r="Q23" s="18" t="n">
        <v>19.44256994</v>
      </c>
      <c r="R23" s="20" t="n">
        <v>1.31646638</v>
      </c>
    </row>
    <row r="24" spans="1:18">
      <c r="A24" s="15" t="s">
        <v>582</v>
      </c>
      <c r="B24" s="17" t="n">
        <v>6647</v>
      </c>
      <c r="C24" s="18">
        <f>(5201.0/B24*100)</f>
        <v/>
      </c>
      <c r="D24" s="19" t="n">
        <v>1446</v>
      </c>
      <c r="E24" s="18" t="n">
        <v>35.71683074</v>
      </c>
      <c r="F24" s="20" t="n">
        <v>1.43246302</v>
      </c>
      <c r="G24" s="18" t="n">
        <v>52.25620373</v>
      </c>
      <c r="H24" s="20" t="n">
        <v>1.46966818</v>
      </c>
      <c r="I24" s="18" t="n">
        <v>0</v>
      </c>
      <c r="J24" s="20" t="n">
        <v>0</v>
      </c>
      <c r="K24" s="18" t="n">
        <v>0.35388835</v>
      </c>
      <c r="L24" s="20" t="n">
        <v>0.15739867</v>
      </c>
      <c r="M24" s="18" t="n">
        <v>0</v>
      </c>
      <c r="N24" s="20" t="n">
        <v>0</v>
      </c>
      <c r="O24" s="18" t="n">
        <v>0</v>
      </c>
      <c r="P24" s="20" t="n">
        <v>0</v>
      </c>
      <c r="Q24" s="18" t="n">
        <v>11.67307717</v>
      </c>
      <c r="R24" s="20" t="n">
        <v>0.85032864</v>
      </c>
    </row>
    <row r="25" spans="1:18">
      <c r="A25" s="15" t="s">
        <v>583</v>
      </c>
      <c r="B25" s="17" t="n">
        <v>5581</v>
      </c>
      <c r="C25" s="18">
        <f>(4321.0/B25*100)</f>
        <v/>
      </c>
      <c r="D25" s="19" t="n">
        <v>1260</v>
      </c>
      <c r="E25" s="18" t="n">
        <v>59.38027614</v>
      </c>
      <c r="F25" s="20" t="n">
        <v>1.63710948</v>
      </c>
      <c r="G25" s="18" t="n">
        <v>25.50206359</v>
      </c>
      <c r="H25" s="20" t="n">
        <v>1.69470402</v>
      </c>
      <c r="I25" s="18" t="n">
        <v>0</v>
      </c>
      <c r="J25" s="20" t="n">
        <v>0</v>
      </c>
      <c r="K25" s="18" t="n">
        <v>0.22639192</v>
      </c>
      <c r="L25" s="20" t="n">
        <v>0.13121914</v>
      </c>
      <c r="M25" s="18" t="n">
        <v>0</v>
      </c>
      <c r="N25" s="20" t="n">
        <v>0</v>
      </c>
      <c r="O25" s="18" t="n">
        <v>0</v>
      </c>
      <c r="P25" s="20" t="n">
        <v>0</v>
      </c>
      <c r="Q25" s="18" t="n">
        <v>14.89126836</v>
      </c>
      <c r="R25" s="20" t="n">
        <v>1.0814961</v>
      </c>
    </row>
    <row r="26" spans="1:18">
      <c r="A26" s="15" t="s">
        <v>584</v>
      </c>
      <c r="B26" s="17" t="n">
        <v>4869</v>
      </c>
      <c r="C26" s="18">
        <f>(3796.0/B26*100)</f>
        <v/>
      </c>
      <c r="D26" s="19" t="n">
        <v>1073</v>
      </c>
      <c r="E26" s="18" t="n">
        <v>62.79009708</v>
      </c>
      <c r="F26" s="20" t="n">
        <v>1.76334635</v>
      </c>
      <c r="G26" s="18" t="n">
        <v>21.76146561</v>
      </c>
      <c r="H26" s="20" t="n">
        <v>1.5793237</v>
      </c>
      <c r="I26" s="18" t="n">
        <v>0</v>
      </c>
      <c r="J26" s="20" t="n">
        <v>0</v>
      </c>
      <c r="K26" s="18" t="n">
        <v>0</v>
      </c>
      <c r="L26" s="20" t="n">
        <v>0</v>
      </c>
      <c r="M26" s="18" t="n">
        <v>0.23766304</v>
      </c>
      <c r="N26" s="20" t="n">
        <v>0.15122273</v>
      </c>
      <c r="O26" s="18" t="n">
        <v>0</v>
      </c>
      <c r="P26" s="20" t="n">
        <v>0</v>
      </c>
      <c r="Q26" s="18" t="n">
        <v>15.21077428</v>
      </c>
      <c r="R26" s="20" t="n">
        <v>1.24425691</v>
      </c>
    </row>
    <row r="27" spans="1:18">
      <c r="A27" s="15" t="s">
        <v>585</v>
      </c>
      <c r="B27" s="17" t="n">
        <v>5299</v>
      </c>
      <c r="C27" s="18">
        <f>(4147.0/B27*100)</f>
        <v/>
      </c>
      <c r="D27" s="19" t="n">
        <v>1152</v>
      </c>
      <c r="E27" s="18" t="n">
        <v>53.11021844</v>
      </c>
      <c r="F27" s="20" t="n">
        <v>1.45984176</v>
      </c>
      <c r="G27" s="18" t="n">
        <v>26.4895454</v>
      </c>
      <c r="H27" s="20" t="n">
        <v>1.21621417</v>
      </c>
      <c r="I27" s="18" t="n">
        <v>0</v>
      </c>
      <c r="J27" s="20" t="n">
        <v>0</v>
      </c>
      <c r="K27" s="18" t="n">
        <v>0.08552849</v>
      </c>
      <c r="L27" s="20" t="n">
        <v>0.08562697</v>
      </c>
      <c r="M27" s="18" t="n">
        <v>0</v>
      </c>
      <c r="N27" s="20" t="n">
        <v>0</v>
      </c>
      <c r="O27" s="18" t="n">
        <v>0</v>
      </c>
      <c r="P27" s="20" t="n">
        <v>0</v>
      </c>
      <c r="Q27" s="18" t="n">
        <v>20.31470767</v>
      </c>
      <c r="R27" s="20" t="n">
        <v>1.2217483</v>
      </c>
    </row>
    <row r="28" spans="1:18">
      <c r="A28" s="15" t="s">
        <v>586</v>
      </c>
      <c r="B28" s="17" t="n">
        <v>7568</v>
      </c>
      <c r="C28" s="18">
        <f>(6078.0/B28*100)</f>
        <v/>
      </c>
      <c r="D28" s="19" t="n">
        <v>1490</v>
      </c>
      <c r="E28" s="18" t="n">
        <v>85.8651268</v>
      </c>
      <c r="F28" s="20" t="n">
        <v>1.06333705</v>
      </c>
      <c r="G28" s="18" t="n">
        <v>7.84723256</v>
      </c>
      <c r="H28" s="20" t="n">
        <v>0.7663524</v>
      </c>
      <c r="I28" s="18" t="n">
        <v>0</v>
      </c>
      <c r="J28" s="20" t="n">
        <v>0</v>
      </c>
      <c r="K28" s="18" t="n">
        <v>0.321736</v>
      </c>
      <c r="L28" s="20" t="n">
        <v>0.20068094</v>
      </c>
      <c r="M28" s="18" t="n">
        <v>0.10926495</v>
      </c>
      <c r="N28" s="20" t="n">
        <v>0.07614165000000001</v>
      </c>
      <c r="O28" s="18" t="n">
        <v>0</v>
      </c>
      <c r="P28" s="20" t="n">
        <v>0</v>
      </c>
      <c r="Q28" s="18" t="n">
        <v>5.8566397</v>
      </c>
      <c r="R28" s="20" t="n">
        <v>0.66414936</v>
      </c>
    </row>
    <row r="29" spans="1:18">
      <c r="A29" s="15" t="s">
        <v>587</v>
      </c>
      <c r="B29" s="17" t="n">
        <v>5385</v>
      </c>
      <c r="C29" s="18">
        <f>(4191.0/B29*100)</f>
        <v/>
      </c>
      <c r="D29" s="19" t="n">
        <v>1194</v>
      </c>
      <c r="E29" s="18" t="n">
        <v>48.88164033</v>
      </c>
      <c r="F29" s="20" t="n">
        <v>1.88933009</v>
      </c>
      <c r="G29" s="18" t="n">
        <v>45.69435043</v>
      </c>
      <c r="H29" s="20" t="n">
        <v>1.87513481</v>
      </c>
      <c r="I29" s="18" t="n">
        <v>0</v>
      </c>
      <c r="J29" s="20" t="n">
        <v>0</v>
      </c>
      <c r="K29" s="18" t="n">
        <v>0.07872005999999999</v>
      </c>
      <c r="L29" s="20" t="n">
        <v>0.08527687</v>
      </c>
      <c r="M29" s="18" t="n">
        <v>0</v>
      </c>
      <c r="N29" s="20" t="n">
        <v>0</v>
      </c>
      <c r="O29" s="18" t="n">
        <v>0</v>
      </c>
      <c r="P29" s="20" t="n">
        <v>0</v>
      </c>
      <c r="Q29" s="18" t="n">
        <v>5.34528918</v>
      </c>
      <c r="R29" s="20" t="n">
        <v>0.64569899</v>
      </c>
    </row>
    <row r="30" spans="1:18">
      <c r="A30" s="15" t="s">
        <v>588</v>
      </c>
      <c r="B30" s="17" t="n">
        <v>4520</v>
      </c>
      <c r="C30" s="18">
        <f>(3568.0/B30*100)</f>
        <v/>
      </c>
      <c r="D30" s="19" t="n">
        <v>952</v>
      </c>
      <c r="E30" s="18" t="n">
        <v>38.77255145</v>
      </c>
      <c r="F30" s="20" t="n">
        <v>1.58811055</v>
      </c>
      <c r="G30" s="18" t="n">
        <v>48.227475</v>
      </c>
      <c r="H30" s="20" t="n">
        <v>1.42252225</v>
      </c>
      <c r="I30" s="18" t="n">
        <v>0</v>
      </c>
      <c r="J30" s="20" t="n">
        <v>0</v>
      </c>
      <c r="K30" s="18" t="n">
        <v>0.17377048</v>
      </c>
      <c r="L30" s="20" t="n">
        <v>0.17609082</v>
      </c>
      <c r="M30" s="18" t="n">
        <v>0.19399059</v>
      </c>
      <c r="N30" s="20" t="n">
        <v>0.13758788</v>
      </c>
      <c r="O30" s="18" t="n">
        <v>0</v>
      </c>
      <c r="P30" s="20" t="n">
        <v>0</v>
      </c>
      <c r="Q30" s="18" t="n">
        <v>12.63221247</v>
      </c>
      <c r="R30" s="20" t="n">
        <v>1.17700023</v>
      </c>
    </row>
    <row r="31" spans="1:18">
      <c r="A31" s="15" t="s">
        <v>589</v>
      </c>
      <c r="B31" s="17" t="n">
        <v>5456</v>
      </c>
      <c r="C31" s="18">
        <f>(4258.0/B31*100)</f>
        <v/>
      </c>
      <c r="D31" s="19" t="n">
        <v>1198</v>
      </c>
      <c r="E31" s="18" t="n">
        <v>50.97627758</v>
      </c>
      <c r="F31" s="20" t="n">
        <v>1.53674082</v>
      </c>
      <c r="G31" s="18" t="n">
        <v>34.78238515</v>
      </c>
      <c r="H31" s="20" t="n">
        <v>1.42449959</v>
      </c>
      <c r="I31" s="18" t="n">
        <v>0</v>
      </c>
      <c r="J31" s="20" t="n">
        <v>0</v>
      </c>
      <c r="K31" s="18" t="n">
        <v>0.23349043</v>
      </c>
      <c r="L31" s="20" t="n">
        <v>0.13187613</v>
      </c>
      <c r="M31" s="18" t="n">
        <v>0.24578755</v>
      </c>
      <c r="N31" s="20" t="n">
        <v>0.14232301</v>
      </c>
      <c r="O31" s="18" t="n">
        <v>0</v>
      </c>
      <c r="P31" s="20" t="n">
        <v>0</v>
      </c>
      <c r="Q31" s="18" t="n">
        <v>13.7620593</v>
      </c>
      <c r="R31" s="20" t="n">
        <v>1.04577446</v>
      </c>
    </row>
    <row r="32" spans="1:18">
      <c r="A32" s="15" t="s">
        <v>590</v>
      </c>
      <c r="B32" s="17" t="n">
        <v>4478</v>
      </c>
      <c r="C32" s="18">
        <f>(3486.0/B32*100)</f>
        <v/>
      </c>
      <c r="D32" s="19" t="n">
        <v>992</v>
      </c>
      <c r="E32" s="18" t="n">
        <v>52.08351795</v>
      </c>
      <c r="F32" s="20" t="n">
        <v>1.79289824</v>
      </c>
      <c r="G32" s="18" t="n">
        <v>23.3633242</v>
      </c>
      <c r="H32" s="20" t="n">
        <v>1.66623156</v>
      </c>
      <c r="I32" s="18" t="n">
        <v>0</v>
      </c>
      <c r="J32" s="20" t="n">
        <v>0</v>
      </c>
      <c r="K32" s="18" t="n">
        <v>0</v>
      </c>
      <c r="L32" s="20" t="n">
        <v>0</v>
      </c>
      <c r="M32" s="18" t="n">
        <v>0.42924237</v>
      </c>
      <c r="N32" s="20" t="n">
        <v>0.45800785</v>
      </c>
      <c r="O32" s="18" t="n">
        <v>0</v>
      </c>
      <c r="P32" s="20" t="n">
        <v>0</v>
      </c>
      <c r="Q32" s="18" t="n">
        <v>24.12391549</v>
      </c>
      <c r="R32" s="20" t="n">
        <v>1.48741788</v>
      </c>
    </row>
    <row r="33" spans="1:18">
      <c r="A33" s="15" t="s">
        <v>591</v>
      </c>
      <c r="B33" s="17" t="n">
        <v>7325</v>
      </c>
      <c r="C33" s="18">
        <f>(5744.0/B33*100)</f>
        <v/>
      </c>
      <c r="D33" s="19" t="n">
        <v>1581</v>
      </c>
      <c r="E33" s="18" t="n">
        <v>47.07112966</v>
      </c>
      <c r="F33" s="20" t="n">
        <v>1.50161286</v>
      </c>
      <c r="G33" s="18" t="n">
        <v>31.13963054</v>
      </c>
      <c r="H33" s="20" t="n">
        <v>1.29472132</v>
      </c>
      <c r="I33" s="18" t="n">
        <v>0</v>
      </c>
      <c r="J33" s="20" t="n">
        <v>0</v>
      </c>
      <c r="K33" s="18" t="n">
        <v>0.36869178</v>
      </c>
      <c r="L33" s="20" t="n">
        <v>0.19297023</v>
      </c>
      <c r="M33" s="18" t="n">
        <v>0.26000973</v>
      </c>
      <c r="N33" s="20" t="n">
        <v>0.13203982</v>
      </c>
      <c r="O33" s="18" t="n">
        <v>0</v>
      </c>
      <c r="P33" s="20" t="n">
        <v>0</v>
      </c>
      <c r="Q33" s="18" t="n">
        <v>21.16053829</v>
      </c>
      <c r="R33" s="20" t="n">
        <v>1.17362573</v>
      </c>
    </row>
    <row r="34" spans="1:18">
      <c r="A34" s="15" t="s">
        <v>592</v>
      </c>
      <c r="B34" s="17" t="n">
        <v>6350</v>
      </c>
      <c r="C34" s="18">
        <f>(4987.0/B34*100)</f>
        <v/>
      </c>
      <c r="D34" s="19" t="n">
        <v>1363</v>
      </c>
      <c r="E34" s="18" t="n">
        <v>55.189138</v>
      </c>
      <c r="F34" s="20" t="n">
        <v>1.47634849</v>
      </c>
      <c r="G34" s="18" t="n">
        <v>21.9252483</v>
      </c>
      <c r="H34" s="20" t="n">
        <v>1.45967748</v>
      </c>
      <c r="I34" s="18" t="n">
        <v>0</v>
      </c>
      <c r="J34" s="20" t="n">
        <v>0</v>
      </c>
      <c r="K34" s="18" t="n">
        <v>0.12381462</v>
      </c>
      <c r="L34" s="20" t="n">
        <v>0.06097329</v>
      </c>
      <c r="M34" s="18" t="n">
        <v>7.45278543</v>
      </c>
      <c r="N34" s="20" t="n">
        <v>1.26463176</v>
      </c>
      <c r="O34" s="18" t="n">
        <v>0</v>
      </c>
      <c r="P34" s="20" t="n">
        <v>0</v>
      </c>
      <c r="Q34" s="18" t="n">
        <v>15.30901365</v>
      </c>
      <c r="R34" s="20" t="n">
        <v>1.02179737</v>
      </c>
    </row>
    <row r="35" spans="1:18">
      <c r="A35" s="15" t="s">
        <v>593</v>
      </c>
      <c r="B35" s="17" t="n">
        <v>6406</v>
      </c>
      <c r="C35" s="18">
        <f>(5033.0/B35*100)</f>
        <v/>
      </c>
      <c r="D35" s="19" t="n">
        <v>1373</v>
      </c>
      <c r="E35" s="18" t="n">
        <v>56.69863645</v>
      </c>
      <c r="F35" s="20" t="n">
        <v>1.77684184</v>
      </c>
      <c r="G35" s="18" t="n">
        <v>30.4921344</v>
      </c>
      <c r="H35" s="20" t="n">
        <v>1.57134979</v>
      </c>
      <c r="I35" s="18" t="n">
        <v>0</v>
      </c>
      <c r="J35" s="20" t="n">
        <v>0</v>
      </c>
      <c r="K35" s="18" t="n">
        <v>0.44879788</v>
      </c>
      <c r="L35" s="20" t="n">
        <v>0.37101554</v>
      </c>
      <c r="M35" s="18" t="n">
        <v>0.12336602</v>
      </c>
      <c r="N35" s="20" t="n">
        <v>0.12302877</v>
      </c>
      <c r="O35" s="18" t="n">
        <v>0</v>
      </c>
      <c r="P35" s="20" t="n">
        <v>0</v>
      </c>
      <c r="Q35" s="18" t="n">
        <v>12.23706524</v>
      </c>
      <c r="R35" s="20" t="n">
        <v>1.12838662</v>
      </c>
    </row>
    <row r="36" spans="1:18">
      <c r="A36" s="15" t="s">
        <v>594</v>
      </c>
      <c r="B36" s="17" t="n">
        <v>6736</v>
      </c>
      <c r="C36" s="18">
        <f>(5294.0/B36*100)</f>
        <v/>
      </c>
      <c r="D36" s="19" t="n">
        <v>1442</v>
      </c>
      <c r="E36" s="18" t="n">
        <v>61.9906373</v>
      </c>
      <c r="F36" s="20" t="n">
        <v>1.33109738</v>
      </c>
      <c r="G36" s="18" t="n">
        <v>24.95322919</v>
      </c>
      <c r="H36" s="20" t="n">
        <v>1.31463971</v>
      </c>
      <c r="I36" s="18" t="n">
        <v>0</v>
      </c>
      <c r="J36" s="20" t="n">
        <v>0</v>
      </c>
      <c r="K36" s="18" t="n">
        <v>0.11929321</v>
      </c>
      <c r="L36" s="20" t="n">
        <v>0.13696635</v>
      </c>
      <c r="M36" s="18" t="n">
        <v>0.13536994</v>
      </c>
      <c r="N36" s="20" t="n">
        <v>0.09390626000000001</v>
      </c>
      <c r="O36" s="18" t="n">
        <v>0</v>
      </c>
      <c r="P36" s="20" t="n">
        <v>0</v>
      </c>
      <c r="Q36" s="18" t="n">
        <v>12.80147036</v>
      </c>
      <c r="R36" s="20" t="n">
        <v>0.98326818</v>
      </c>
    </row>
    <row r="37" spans="1:18">
      <c r="A37" s="15" t="s">
        <v>595</v>
      </c>
      <c r="B37" s="17" t="n">
        <v>5458</v>
      </c>
      <c r="C37" s="18">
        <f>(4271.0/B37*100)</f>
        <v/>
      </c>
      <c r="D37" s="19" t="n">
        <v>1187</v>
      </c>
      <c r="E37" s="18" t="n">
        <v>45.6872892</v>
      </c>
      <c r="F37" s="20" t="n">
        <v>1.64299572</v>
      </c>
      <c r="G37" s="18" t="n">
        <v>33.76663046</v>
      </c>
      <c r="H37" s="20" t="n">
        <v>1.90270816</v>
      </c>
      <c r="I37" s="18" t="n">
        <v>0</v>
      </c>
      <c r="J37" s="20" t="n">
        <v>0</v>
      </c>
      <c r="K37" s="18" t="n">
        <v>0.40718839</v>
      </c>
      <c r="L37" s="20" t="n">
        <v>0.18462002</v>
      </c>
      <c r="M37" s="18" t="n">
        <v>0.07875923</v>
      </c>
      <c r="N37" s="20" t="n">
        <v>0.07863724</v>
      </c>
      <c r="O37" s="18" t="n">
        <v>0</v>
      </c>
      <c r="P37" s="20" t="n">
        <v>0</v>
      </c>
      <c r="Q37" s="18" t="n">
        <v>20.06013273</v>
      </c>
      <c r="R37" s="20" t="n">
        <v>1.25087918</v>
      </c>
    </row>
    <row r="38" spans="1:18">
      <c r="A38" s="15" t="s">
        <v>596</v>
      </c>
      <c r="B38" s="17" t="n">
        <v>5860</v>
      </c>
      <c r="C38" s="18">
        <f>(4557.0/B38*100)</f>
        <v/>
      </c>
      <c r="D38" s="19" t="n">
        <v>1303</v>
      </c>
      <c r="E38" s="18" t="n">
        <v>56.83878493</v>
      </c>
      <c r="F38" s="20" t="n">
        <v>1.84567379</v>
      </c>
      <c r="G38" s="18" t="n">
        <v>25.85747095</v>
      </c>
      <c r="H38" s="20" t="n">
        <v>1.56149318</v>
      </c>
      <c r="I38" s="18" t="n">
        <v>0</v>
      </c>
      <c r="J38" s="20" t="n">
        <v>0</v>
      </c>
      <c r="K38" s="18" t="n">
        <v>0.08624648</v>
      </c>
      <c r="L38" s="20" t="n">
        <v>0.08604075999999999</v>
      </c>
      <c r="M38" s="18" t="n">
        <v>1.9410891</v>
      </c>
      <c r="N38" s="20" t="n">
        <v>0.34549566</v>
      </c>
      <c r="O38" s="18" t="n">
        <v>0</v>
      </c>
      <c r="P38" s="20" t="n">
        <v>0</v>
      </c>
      <c r="Q38" s="18" t="n">
        <v>15.27640855</v>
      </c>
      <c r="R38" s="20" t="n">
        <v>1.43059269</v>
      </c>
    </row>
    <row r="39" spans="1:18">
      <c r="A39" s="15" t="s">
        <v>597</v>
      </c>
      <c r="B39" s="17" t="n">
        <v>5895</v>
      </c>
      <c r="C39" s="18">
        <f>(4592.0/B39*100)</f>
        <v/>
      </c>
      <c r="D39" s="19" t="n">
        <v>1303</v>
      </c>
      <c r="E39" s="18" t="n">
        <v>60.03854411</v>
      </c>
      <c r="F39" s="20" t="n">
        <v>1.94317289</v>
      </c>
      <c r="G39" s="18" t="n">
        <v>26.86679189</v>
      </c>
      <c r="H39" s="20" t="n">
        <v>2.16373669</v>
      </c>
      <c r="I39" s="18" t="n">
        <v>0</v>
      </c>
      <c r="J39" s="20" t="n">
        <v>0</v>
      </c>
      <c r="K39" s="18" t="n">
        <v>0.28265239</v>
      </c>
      <c r="L39" s="20" t="n">
        <v>0.14779858</v>
      </c>
      <c r="M39" s="18" t="n">
        <v>0</v>
      </c>
      <c r="N39" s="20" t="n">
        <v>0</v>
      </c>
      <c r="O39" s="18" t="n">
        <v>0</v>
      </c>
      <c r="P39" s="20" t="n">
        <v>0</v>
      </c>
      <c r="Q39" s="18" t="n">
        <v>12.8120116</v>
      </c>
      <c r="R39" s="20" t="n">
        <v>0.92233635</v>
      </c>
    </row>
    <row r="40" spans="1:18">
      <c r="A40" s="15" t="s">
        <v>598</v>
      </c>
      <c r="B40" s="17" t="n">
        <v>14157</v>
      </c>
      <c r="C40" s="18">
        <f>(10985.0/B40*100)</f>
        <v/>
      </c>
      <c r="D40" s="19" t="n">
        <v>3172</v>
      </c>
      <c r="E40" s="18" t="n">
        <v>30.34214218</v>
      </c>
      <c r="F40" s="20" t="n">
        <v>1.3649375</v>
      </c>
      <c r="G40" s="18" t="n">
        <v>58.67332929</v>
      </c>
      <c r="H40" s="20" t="n">
        <v>1.53817089</v>
      </c>
      <c r="I40" s="18" t="n">
        <v>0</v>
      </c>
      <c r="J40" s="20" t="n">
        <v>0</v>
      </c>
      <c r="K40" s="18" t="n">
        <v>0.09480415</v>
      </c>
      <c r="L40" s="20" t="n">
        <v>0.07930739000000001</v>
      </c>
      <c r="M40" s="18" t="n">
        <v>0</v>
      </c>
      <c r="N40" s="20" t="n">
        <v>0</v>
      </c>
      <c r="O40" s="18" t="n">
        <v>0</v>
      </c>
      <c r="P40" s="20" t="n">
        <v>0</v>
      </c>
      <c r="Q40" s="18" t="n">
        <v>10.88972438</v>
      </c>
      <c r="R40" s="20" t="n">
        <v>0.7749288</v>
      </c>
    </row>
    <row r="41" spans="1:18">
      <c r="A41" s="15" t="s">
        <v>599</v>
      </c>
      <c r="B41" s="17" t="n">
        <v>5712</v>
      </c>
      <c r="C41" s="18">
        <f>(4468.0/B41*100)</f>
        <v/>
      </c>
      <c r="D41" s="19" t="n">
        <v>1244</v>
      </c>
      <c r="E41" s="18" t="n">
        <v>72.97215473999999</v>
      </c>
      <c r="F41" s="20" t="n">
        <v>1.49802814</v>
      </c>
      <c r="G41" s="18" t="n">
        <v>20.95656418</v>
      </c>
      <c r="H41" s="20" t="n">
        <v>1.5189304</v>
      </c>
      <c r="I41" s="18" t="n">
        <v>0</v>
      </c>
      <c r="J41" s="20" t="n">
        <v>0</v>
      </c>
      <c r="K41" s="18" t="n">
        <v>0.19251546</v>
      </c>
      <c r="L41" s="20" t="n">
        <v>0.1475963</v>
      </c>
      <c r="M41" s="18" t="n">
        <v>0</v>
      </c>
      <c r="N41" s="20" t="n">
        <v>0</v>
      </c>
      <c r="O41" s="18" t="n">
        <v>0</v>
      </c>
      <c r="P41" s="20" t="n">
        <v>0</v>
      </c>
      <c r="Q41" s="18" t="n">
        <v>5.87876562</v>
      </c>
      <c r="R41" s="20" t="n">
        <v>0.80183085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(19063.0/B46*100)</f>
        <v/>
      </c>
      <c r="D46" s="19" t="n">
        <v>4078</v>
      </c>
      <c r="E46" s="18" t="n">
        <v>64.89026785</v>
      </c>
      <c r="F46" s="20" t="n">
        <v>1.10670906</v>
      </c>
      <c r="G46" s="18" t="n">
        <v>7.4704203</v>
      </c>
      <c r="H46" s="20" t="n">
        <v>0.62499278</v>
      </c>
      <c r="I46" s="18" t="n">
        <v>0</v>
      </c>
      <c r="J46" s="20" t="n">
        <v>0</v>
      </c>
      <c r="K46" s="18" t="n">
        <v>0.70756199</v>
      </c>
      <c r="L46" s="20" t="n">
        <v>0.17884386</v>
      </c>
      <c r="M46" s="18" t="n">
        <v>0.54422733</v>
      </c>
      <c r="N46" s="20" t="n">
        <v>0.14632014</v>
      </c>
      <c r="O46" s="18" t="n">
        <v>0</v>
      </c>
      <c r="P46" s="20" t="n">
        <v>0</v>
      </c>
      <c r="Q46" s="18" t="n">
        <v>26.38752253</v>
      </c>
      <c r="R46" s="20" t="n">
        <v>1.14505956</v>
      </c>
    </row>
    <row r="47" spans="1:18">
      <c r="A47" s="15" t="s">
        <v>606</v>
      </c>
      <c r="B47" s="17" t="n">
        <v>5928</v>
      </c>
      <c r="C47" s="18">
        <f>(4663.0/B47*100)</f>
        <v/>
      </c>
      <c r="D47" s="19" t="n">
        <v>1265</v>
      </c>
      <c r="E47" s="18" t="n">
        <v>49.14258482</v>
      </c>
      <c r="F47" s="20" t="n">
        <v>1.64503384</v>
      </c>
      <c r="G47" s="18" t="n">
        <v>24.38981938</v>
      </c>
      <c r="H47" s="20" t="n">
        <v>1.66944368</v>
      </c>
      <c r="I47" s="18" t="n">
        <v>0</v>
      </c>
      <c r="J47" s="20" t="n">
        <v>0</v>
      </c>
      <c r="K47" s="18" t="n">
        <v>0</v>
      </c>
      <c r="L47" s="20" t="n">
        <v>0</v>
      </c>
      <c r="M47" s="18" t="n">
        <v>0.15640697</v>
      </c>
      <c r="N47" s="20" t="n">
        <v>0.10875522</v>
      </c>
      <c r="O47" s="18" t="n">
        <v>0</v>
      </c>
      <c r="P47" s="20" t="n">
        <v>0</v>
      </c>
      <c r="Q47" s="18" t="n">
        <v>26.31118882</v>
      </c>
      <c r="R47" s="20" t="n">
        <v>1.55549502</v>
      </c>
    </row>
    <row r="48" spans="1:18">
      <c r="A48" s="15" t="s">
        <v>607</v>
      </c>
      <c r="B48" s="17" t="n">
        <v>9841</v>
      </c>
      <c r="C48" s="18">
        <f>(7640.0/B48*100)</f>
        <v/>
      </c>
      <c r="D48" s="19" t="n">
        <v>2201</v>
      </c>
      <c r="E48" s="18" t="n">
        <v>42.4275903</v>
      </c>
      <c r="F48" s="20" t="n">
        <v>1.84573822</v>
      </c>
      <c r="G48" s="18" t="n">
        <v>47.11255489</v>
      </c>
      <c r="H48" s="20" t="n">
        <v>2.14677206</v>
      </c>
      <c r="I48" s="18" t="n">
        <v>0</v>
      </c>
      <c r="J48" s="20" t="n">
        <v>0</v>
      </c>
      <c r="K48" s="18" t="n">
        <v>0.14687631</v>
      </c>
      <c r="L48" s="20" t="n">
        <v>0.09125055</v>
      </c>
      <c r="M48" s="18" t="n">
        <v>0</v>
      </c>
      <c r="N48" s="20" t="n">
        <v>0</v>
      </c>
      <c r="O48" s="18" t="n">
        <v>0</v>
      </c>
      <c r="P48" s="20" t="n">
        <v>0</v>
      </c>
      <c r="Q48" s="18" t="n">
        <v>10.3129785</v>
      </c>
      <c r="R48" s="20" t="n">
        <v>0.97804121</v>
      </c>
    </row>
    <row r="49" spans="1:18">
      <c r="A49" s="15" t="s">
        <v>608</v>
      </c>
      <c r="B49" s="17" t="n">
        <v>11795</v>
      </c>
      <c r="C49" s="18">
        <f>(9264.0/B49*100)</f>
        <v/>
      </c>
      <c r="D49" s="19" t="n">
        <v>2531</v>
      </c>
      <c r="E49" s="18" t="n">
        <v>85.20545887999999</v>
      </c>
      <c r="F49" s="20" t="n">
        <v>0.90961638</v>
      </c>
      <c r="G49" s="18" t="n">
        <v>7.11601706</v>
      </c>
      <c r="H49" s="20" t="n">
        <v>0.72234266</v>
      </c>
      <c r="I49" s="18" t="n">
        <v>0</v>
      </c>
      <c r="J49" s="20" t="n">
        <v>0</v>
      </c>
      <c r="K49" s="18" t="n">
        <v>0.87635733</v>
      </c>
      <c r="L49" s="20" t="n">
        <v>0.18989159</v>
      </c>
      <c r="M49" s="18" t="n">
        <v>0.18897493</v>
      </c>
      <c r="N49" s="20" t="n">
        <v>0.09615048</v>
      </c>
      <c r="O49" s="18" t="n">
        <v>0</v>
      </c>
      <c r="P49" s="20" t="n">
        <v>0</v>
      </c>
      <c r="Q49" s="18" t="n">
        <v>6.6131918</v>
      </c>
      <c r="R49" s="20" t="n">
        <v>0.51746504</v>
      </c>
    </row>
    <row r="50" spans="1:18">
      <c r="A50" s="15" t="s">
        <v>609</v>
      </c>
      <c r="B50" s="17" t="n">
        <v>6866</v>
      </c>
      <c r="C50" s="18">
        <f>(5585.0/B50*100)</f>
        <v/>
      </c>
      <c r="D50" s="19" t="n">
        <v>1281</v>
      </c>
      <c r="E50" s="18" t="n">
        <v>83.48091156</v>
      </c>
      <c r="F50" s="20" t="n">
        <v>1.34140098</v>
      </c>
      <c r="G50" s="18" t="n">
        <v>3.51091949</v>
      </c>
      <c r="H50" s="20" t="n">
        <v>0.58492191</v>
      </c>
      <c r="I50" s="18" t="n">
        <v>0</v>
      </c>
      <c r="J50" s="20" t="n">
        <v>0</v>
      </c>
      <c r="K50" s="18" t="n">
        <v>0.1531473</v>
      </c>
      <c r="L50" s="20" t="n">
        <v>0.11035179</v>
      </c>
      <c r="M50" s="18" t="n">
        <v>0</v>
      </c>
      <c r="N50" s="20" t="n">
        <v>0</v>
      </c>
      <c r="O50" s="18" t="n">
        <v>0</v>
      </c>
      <c r="P50" s="20" t="n">
        <v>0</v>
      </c>
      <c r="Q50" s="18" t="n">
        <v>12.85502166</v>
      </c>
      <c r="R50" s="20" t="n">
        <v>1.15928706</v>
      </c>
    </row>
    <row r="51" spans="1:18">
      <c r="A51" s="15" t="s">
        <v>610</v>
      </c>
      <c r="B51" s="17" t="n">
        <v>5809</v>
      </c>
      <c r="C51" s="18">
        <f>(4509.0/B51*100)</f>
        <v/>
      </c>
      <c r="D51" s="19" t="n">
        <v>1300</v>
      </c>
      <c r="E51" s="18" t="n">
        <v>38.53987171</v>
      </c>
      <c r="F51" s="20" t="n">
        <v>1.32174255</v>
      </c>
      <c r="G51" s="18" t="n">
        <v>37.71278255</v>
      </c>
      <c r="H51" s="20" t="n">
        <v>1.31196902</v>
      </c>
      <c r="I51" s="18" t="n">
        <v>0</v>
      </c>
      <c r="J51" s="20" t="n">
        <v>0</v>
      </c>
      <c r="K51" s="18" t="n">
        <v>0</v>
      </c>
      <c r="L51" s="20" t="n">
        <v>0</v>
      </c>
      <c r="M51" s="18" t="n">
        <v>0</v>
      </c>
      <c r="N51" s="20" t="n">
        <v>0</v>
      </c>
      <c r="O51" s="18" t="n">
        <v>0</v>
      </c>
      <c r="P51" s="20" t="n">
        <v>0</v>
      </c>
      <c r="Q51" s="18" t="n">
        <v>23.74734573</v>
      </c>
      <c r="R51" s="20" t="n">
        <v>1.19442534</v>
      </c>
    </row>
    <row r="52" spans="1:18">
      <c r="A52" s="15" t="s">
        <v>611</v>
      </c>
      <c r="B52" s="17" t="n">
        <v>5571</v>
      </c>
      <c r="C52" s="18">
        <f>(4347.0/B52*100)</f>
        <v/>
      </c>
      <c r="D52" s="19" t="n">
        <v>1224</v>
      </c>
      <c r="E52" s="18" t="n">
        <v>61.26228127</v>
      </c>
      <c r="F52" s="20" t="n">
        <v>1.39475711</v>
      </c>
      <c r="G52" s="18" t="n">
        <v>16.42598521</v>
      </c>
      <c r="H52" s="20" t="n">
        <v>1.03434384</v>
      </c>
      <c r="I52" s="18" t="n">
        <v>0</v>
      </c>
      <c r="J52" s="20" t="n">
        <v>0</v>
      </c>
      <c r="K52" s="18" t="n">
        <v>0.10400849</v>
      </c>
      <c r="L52" s="20" t="n">
        <v>0.10436734</v>
      </c>
      <c r="M52" s="18" t="n">
        <v>0</v>
      </c>
      <c r="N52" s="20" t="n">
        <v>0</v>
      </c>
      <c r="O52" s="18" t="n">
        <v>0</v>
      </c>
      <c r="P52" s="20" t="n">
        <v>0</v>
      </c>
      <c r="Q52" s="18" t="n">
        <v>22.20772503</v>
      </c>
      <c r="R52" s="20" t="n">
        <v>1.30756419</v>
      </c>
    </row>
    <row r="53" spans="1:18">
      <c r="A53" s="15" t="s">
        <v>612</v>
      </c>
      <c r="B53" s="17" t="n">
        <v>4740</v>
      </c>
      <c r="C53" s="18">
        <f>(3725.0/B53*100)</f>
        <v/>
      </c>
      <c r="D53" s="19" t="n">
        <v>1015</v>
      </c>
      <c r="E53" s="18" t="n">
        <v>72.20376903</v>
      </c>
      <c r="F53" s="20" t="n">
        <v>1.81122669</v>
      </c>
      <c r="G53" s="18" t="n">
        <v>1.5362437</v>
      </c>
      <c r="H53" s="20" t="n">
        <v>0.48269948</v>
      </c>
      <c r="I53" s="18" t="n">
        <v>0</v>
      </c>
      <c r="J53" s="20" t="n">
        <v>0</v>
      </c>
      <c r="K53" s="18" t="n">
        <v>8.13394956</v>
      </c>
      <c r="L53" s="20" t="n">
        <v>1.15737882</v>
      </c>
      <c r="M53" s="18" t="n">
        <v>0.79763912</v>
      </c>
      <c r="N53" s="20" t="n">
        <v>0.66470285</v>
      </c>
      <c r="O53" s="18" t="n">
        <v>0</v>
      </c>
      <c r="P53" s="20" t="n">
        <v>0</v>
      </c>
      <c r="Q53" s="18" t="n">
        <v>17.32839859</v>
      </c>
      <c r="R53" s="20" t="n">
        <v>1.26162208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(4202.0/B55*100)</f>
        <v/>
      </c>
      <c r="D55" s="19" t="n">
        <v>1157</v>
      </c>
      <c r="E55" s="18" t="n">
        <v>38.77229522</v>
      </c>
      <c r="F55" s="20" t="n">
        <v>1.37255976</v>
      </c>
      <c r="G55" s="18" t="n">
        <v>52.37812536</v>
      </c>
      <c r="H55" s="20" t="n">
        <v>1.39325775</v>
      </c>
      <c r="I55" s="18" t="n">
        <v>0</v>
      </c>
      <c r="J55" s="20" t="n">
        <v>0</v>
      </c>
      <c r="K55" s="18" t="n">
        <v>0.16775641</v>
      </c>
      <c r="L55" s="20" t="n">
        <v>0.11894446</v>
      </c>
      <c r="M55" s="18" t="n">
        <v>0.07331712</v>
      </c>
      <c r="N55" s="20" t="n">
        <v>0.07378802</v>
      </c>
      <c r="O55" s="18" t="n">
        <v>0</v>
      </c>
      <c r="P55" s="20" t="n">
        <v>0</v>
      </c>
      <c r="Q55" s="18" t="n">
        <v>8.60850589</v>
      </c>
      <c r="R55" s="20" t="n">
        <v>0.81580239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(5076.0/B61*100)</f>
        <v/>
      </c>
      <c r="D61" s="19" t="n">
        <v>1449</v>
      </c>
      <c r="E61" s="18" t="n">
        <v>47.68378352</v>
      </c>
      <c r="F61" s="20" t="n">
        <v>1.63062516</v>
      </c>
      <c r="G61" s="18" t="n">
        <v>36.43495699</v>
      </c>
      <c r="H61" s="20" t="n">
        <v>1.70517384</v>
      </c>
      <c r="I61" s="18" t="n">
        <v>0</v>
      </c>
      <c r="J61" s="20" t="n">
        <v>0</v>
      </c>
      <c r="K61" s="18" t="n">
        <v>0.19753081</v>
      </c>
      <c r="L61" s="20" t="n">
        <v>0.12875883</v>
      </c>
      <c r="M61" s="18" t="n">
        <v>0.08363717</v>
      </c>
      <c r="N61" s="20" t="n">
        <v>0.08263979</v>
      </c>
      <c r="O61" s="18" t="n">
        <v>0</v>
      </c>
      <c r="P61" s="20" t="n">
        <v>0</v>
      </c>
      <c r="Q61" s="18" t="n">
        <v>15.60009151</v>
      </c>
      <c r="R61" s="20" t="n">
        <v>1.07510287</v>
      </c>
    </row>
    <row r="62" spans="1:18">
      <c r="A62" s="15" t="s">
        <v>622</v>
      </c>
      <c r="B62" s="17" t="n">
        <v>4476</v>
      </c>
      <c r="C62" s="18">
        <f>(3495.0/B62*100)</f>
        <v/>
      </c>
      <c r="D62" s="19" t="n">
        <v>981</v>
      </c>
      <c r="E62" s="18" t="n">
        <v>51.21540306</v>
      </c>
      <c r="F62" s="20" t="n">
        <v>1.58839498</v>
      </c>
      <c r="G62" s="18" t="n">
        <v>43.66489282</v>
      </c>
      <c r="H62" s="20" t="n">
        <v>1.57785757</v>
      </c>
      <c r="I62" s="18" t="n">
        <v>0</v>
      </c>
      <c r="J62" s="20" t="n">
        <v>0</v>
      </c>
      <c r="K62" s="18" t="n">
        <v>0</v>
      </c>
      <c r="L62" s="20" t="n">
        <v>0</v>
      </c>
      <c r="M62" s="18" t="n">
        <v>0</v>
      </c>
      <c r="N62" s="20" t="n">
        <v>0</v>
      </c>
      <c r="O62" s="18" t="n">
        <v>0</v>
      </c>
      <c r="P62" s="20" t="n">
        <v>0</v>
      </c>
      <c r="Q62" s="18" t="n">
        <v>5.11970412</v>
      </c>
      <c r="R62" s="20" t="n">
        <v>0.73790005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(4474.0/B67*100)</f>
        <v/>
      </c>
      <c r="D67" s="19" t="n">
        <v>1191</v>
      </c>
      <c r="E67" s="18" t="n">
        <v>26.52646618</v>
      </c>
      <c r="F67" s="20" t="n">
        <v>1.25460634</v>
      </c>
      <c r="G67" s="18" t="n">
        <v>13.61371784</v>
      </c>
      <c r="H67" s="20" t="n">
        <v>0.87203469</v>
      </c>
      <c r="I67" s="18" t="n">
        <v>0</v>
      </c>
      <c r="J67" s="20" t="n">
        <v>0</v>
      </c>
      <c r="K67" s="18" t="n">
        <v>0.33606962</v>
      </c>
      <c r="L67" s="20" t="n">
        <v>0.16979563</v>
      </c>
      <c r="M67" s="18" t="n">
        <v>30.97256544</v>
      </c>
      <c r="N67" s="20" t="n">
        <v>1.38457316</v>
      </c>
      <c r="O67" s="18" t="n">
        <v>0</v>
      </c>
      <c r="P67" s="20" t="n">
        <v>0</v>
      </c>
      <c r="Q67" s="18" t="n">
        <v>28.55118091</v>
      </c>
      <c r="R67" s="20" t="n">
        <v>1.19871023</v>
      </c>
    </row>
    <row r="68" spans="1:18">
      <c r="A68" s="15" t="s">
        <v>628</v>
      </c>
      <c r="B68" s="17" t="n">
        <v>6971</v>
      </c>
      <c r="C68" s="18">
        <f>(5626.0/B68*100)</f>
        <v/>
      </c>
      <c r="D68" s="19" t="n">
        <v>1345</v>
      </c>
      <c r="E68" s="18" t="n">
        <v>83.59916104</v>
      </c>
      <c r="F68" s="20" t="n">
        <v>1.13771679</v>
      </c>
      <c r="G68" s="18" t="n">
        <v>2.97996097</v>
      </c>
      <c r="H68" s="20" t="n">
        <v>0.44298904</v>
      </c>
      <c r="I68" s="18" t="n">
        <v>0</v>
      </c>
      <c r="J68" s="20" t="n">
        <v>0</v>
      </c>
      <c r="K68" s="18" t="n">
        <v>0.08006597</v>
      </c>
      <c r="L68" s="20" t="n">
        <v>0.08003294</v>
      </c>
      <c r="M68" s="18" t="n">
        <v>0.36208745</v>
      </c>
      <c r="N68" s="20" t="n">
        <v>0.18333088</v>
      </c>
      <c r="O68" s="18" t="n">
        <v>0</v>
      </c>
      <c r="P68" s="20" t="n">
        <v>0</v>
      </c>
      <c r="Q68" s="18" t="n">
        <v>12.97872458</v>
      </c>
      <c r="R68" s="20" t="n">
        <v>1.04301116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(9450.0/B70*100)</f>
        <v/>
      </c>
      <c r="D70" s="19" t="n">
        <v>2633</v>
      </c>
      <c r="E70" s="18" t="n">
        <v>62.19712033</v>
      </c>
      <c r="F70" s="20" t="n">
        <v>0.78752051</v>
      </c>
      <c r="G70" s="18" t="n">
        <v>22.8315265</v>
      </c>
      <c r="H70" s="20" t="n">
        <v>0.74970614</v>
      </c>
      <c r="I70" s="18" t="n">
        <v>0</v>
      </c>
      <c r="J70" s="20" t="n">
        <v>0</v>
      </c>
      <c r="K70" s="18" t="n">
        <v>0.93232681</v>
      </c>
      <c r="L70" s="20" t="n">
        <v>0.1788301</v>
      </c>
      <c r="M70" s="18" t="n">
        <v>0.03677098</v>
      </c>
      <c r="N70" s="20" t="n">
        <v>0.03682016</v>
      </c>
      <c r="O70" s="18" t="n">
        <v>0</v>
      </c>
      <c r="P70" s="20" t="n">
        <v>0</v>
      </c>
      <c r="Q70" s="18" t="n">
        <v>14.00225539</v>
      </c>
      <c r="R70" s="20" t="n">
        <v>0.65679287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(4713.0/B72*100)</f>
        <v/>
      </c>
      <c r="D72" s="19" t="n">
        <v>1323</v>
      </c>
      <c r="E72" s="18" t="n">
        <v>49.91701269</v>
      </c>
      <c r="F72" s="20" t="n">
        <v>1.68163826</v>
      </c>
      <c r="G72" s="18" t="n">
        <v>30.1901488</v>
      </c>
      <c r="H72" s="20" t="n">
        <v>1.92122198</v>
      </c>
      <c r="I72" s="18" t="n">
        <v>0</v>
      </c>
      <c r="J72" s="20" t="n">
        <v>0</v>
      </c>
      <c r="K72" s="18" t="n">
        <v>0.08543019</v>
      </c>
      <c r="L72" s="20" t="n">
        <v>0.05447341</v>
      </c>
      <c r="M72" s="18" t="n">
        <v>0.0521886</v>
      </c>
      <c r="N72" s="20" t="n">
        <v>0.03698521</v>
      </c>
      <c r="O72" s="18" t="n">
        <v>0</v>
      </c>
      <c r="P72" s="20" t="n">
        <v>0</v>
      </c>
      <c r="Q72" s="18" t="n">
        <v>19.75521972</v>
      </c>
      <c r="R72" s="20" t="n">
        <v>1.72562562</v>
      </c>
    </row>
    <row r="73" spans="1:18">
      <c r="A73" s="15" t="s">
        <v>633</v>
      </c>
      <c r="B73" s="17" t="n">
        <v>6115</v>
      </c>
      <c r="C73" s="18">
        <f>(4738.0/B73*100)</f>
        <v/>
      </c>
      <c r="D73" s="19" t="n">
        <v>1377</v>
      </c>
      <c r="E73" s="18" t="n">
        <v>33.75718544</v>
      </c>
      <c r="F73" s="20" t="n">
        <v>1.33350304</v>
      </c>
      <c r="G73" s="18" t="n">
        <v>62.28169059</v>
      </c>
      <c r="H73" s="20" t="n">
        <v>1.38926426</v>
      </c>
      <c r="I73" s="18" t="n">
        <v>0</v>
      </c>
      <c r="J73" s="20" t="n">
        <v>0</v>
      </c>
      <c r="K73" s="18" t="n">
        <v>0.23377445</v>
      </c>
      <c r="L73" s="20" t="n">
        <v>0.13483235</v>
      </c>
      <c r="M73" s="18" t="n">
        <v>0.1010325</v>
      </c>
      <c r="N73" s="20" t="n">
        <v>0.10120638</v>
      </c>
      <c r="O73" s="18" t="n">
        <v>0</v>
      </c>
      <c r="P73" s="20" t="n">
        <v>0</v>
      </c>
      <c r="Q73" s="18" t="n">
        <v>3.62631703</v>
      </c>
      <c r="R73" s="20" t="n">
        <v>0.50560607</v>
      </c>
    </row>
    <row r="74" spans="1:18">
      <c r="A74" s="15" t="s">
        <v>634</v>
      </c>
      <c r="B74" s="17" t="n">
        <v>7708</v>
      </c>
      <c r="C74" s="18">
        <f>(5959.0/B74*100)</f>
        <v/>
      </c>
      <c r="D74" s="19" t="n">
        <v>1749</v>
      </c>
      <c r="E74" s="18" t="n">
        <v>53.194767</v>
      </c>
      <c r="F74" s="20" t="n">
        <v>1.38306356</v>
      </c>
      <c r="G74" s="18" t="n">
        <v>36.56816397</v>
      </c>
      <c r="H74" s="20" t="n">
        <v>1.47850998</v>
      </c>
      <c r="I74" s="18" t="n">
        <v>0</v>
      </c>
      <c r="J74" s="20" t="n">
        <v>0</v>
      </c>
      <c r="K74" s="18" t="n">
        <v>0.07469335000000001</v>
      </c>
      <c r="L74" s="20" t="n">
        <v>0.07493531</v>
      </c>
      <c r="M74" s="18" t="n">
        <v>0</v>
      </c>
      <c r="N74" s="20" t="n">
        <v>0</v>
      </c>
      <c r="O74" s="18" t="n">
        <v>0</v>
      </c>
      <c r="P74" s="20" t="n">
        <v>0</v>
      </c>
      <c r="Q74" s="18" t="n">
        <v>10.16237567</v>
      </c>
      <c r="R74" s="20" t="n">
        <v>0.78742067</v>
      </c>
    </row>
    <row r="75" spans="1:18">
      <c r="A75" s="15" t="s">
        <v>635</v>
      </c>
      <c r="B75" s="17" t="n">
        <v>8249</v>
      </c>
      <c r="C75" s="18">
        <f>(6497.0/B75*100)</f>
        <v/>
      </c>
      <c r="D75" s="19" t="n">
        <v>1752</v>
      </c>
      <c r="E75" s="18" t="n">
        <v>89.39653744</v>
      </c>
      <c r="F75" s="20" t="n">
        <v>0.96137937</v>
      </c>
      <c r="G75" s="18" t="n">
        <v>6.47688702</v>
      </c>
      <c r="H75" s="20" t="n">
        <v>0.8038204</v>
      </c>
      <c r="I75" s="18" t="n">
        <v>0</v>
      </c>
      <c r="J75" s="20" t="n">
        <v>0</v>
      </c>
      <c r="K75" s="18" t="n">
        <v>0</v>
      </c>
      <c r="L75" s="20" t="n">
        <v>0</v>
      </c>
      <c r="M75" s="18" t="n">
        <v>0.23807898</v>
      </c>
      <c r="N75" s="20" t="n">
        <v>0.14681109</v>
      </c>
      <c r="O75" s="18" t="n">
        <v>0</v>
      </c>
      <c r="P75" s="20" t="n">
        <v>0</v>
      </c>
      <c r="Q75" s="18" t="n">
        <v>3.88849655</v>
      </c>
      <c r="R75" s="20" t="n">
        <v>0.52419701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(4293.0/B77*100)</f>
        <v/>
      </c>
      <c r="D77" s="19" t="n">
        <v>1082</v>
      </c>
      <c r="E77" s="18" t="n">
        <v>56.89403962</v>
      </c>
      <c r="F77" s="20" t="n">
        <v>1.67092553</v>
      </c>
      <c r="G77" s="18" t="n">
        <v>11.18552897</v>
      </c>
      <c r="H77" s="20" t="n">
        <v>0.87075586</v>
      </c>
      <c r="I77" s="18" t="n">
        <v>0</v>
      </c>
      <c r="J77" s="20" t="n">
        <v>0</v>
      </c>
      <c r="K77" s="18" t="n">
        <v>1.60091261</v>
      </c>
      <c r="L77" s="20" t="n">
        <v>0.43952432</v>
      </c>
      <c r="M77" s="18" t="n">
        <v>0.9417436300000001</v>
      </c>
      <c r="N77" s="20" t="n">
        <v>0.29172734</v>
      </c>
      <c r="O77" s="18" t="n">
        <v>0</v>
      </c>
      <c r="P77" s="20" t="n">
        <v>0</v>
      </c>
      <c r="Q77" s="18" t="n">
        <v>29.37777517</v>
      </c>
      <c r="R77" s="20" t="n">
        <v>1.59213102</v>
      </c>
    </row>
    <row r="78" spans="1:18">
      <c r="A78" s="15" t="s">
        <v>638</v>
      </c>
      <c r="B78" s="17" t="n">
        <v>14167</v>
      </c>
      <c r="C78" s="18">
        <f>(11055.0/B78*100)</f>
        <v/>
      </c>
      <c r="D78" s="19" t="n">
        <v>3112</v>
      </c>
      <c r="E78" s="18" t="n">
        <v>65.11453673</v>
      </c>
      <c r="F78" s="20" t="n">
        <v>1.19436105</v>
      </c>
      <c r="G78" s="18" t="n">
        <v>27.35892474</v>
      </c>
      <c r="H78" s="20" t="n">
        <v>1.14568879</v>
      </c>
      <c r="I78" s="18" t="n">
        <v>0</v>
      </c>
      <c r="J78" s="20" t="n">
        <v>0</v>
      </c>
      <c r="K78" s="18" t="n">
        <v>0.1651154</v>
      </c>
      <c r="L78" s="20" t="n">
        <v>0.0763539</v>
      </c>
      <c r="M78" s="18" t="n">
        <v>0.19256158</v>
      </c>
      <c r="N78" s="20" t="n">
        <v>0.08187485</v>
      </c>
      <c r="O78" s="18" t="n">
        <v>0</v>
      </c>
      <c r="P78" s="20" t="n">
        <v>0</v>
      </c>
      <c r="Q78" s="18" t="n">
        <v>7.16886155</v>
      </c>
      <c r="R78" s="20" t="n">
        <v>0.66717617</v>
      </c>
    </row>
    <row r="79" spans="1:18">
      <c r="A79" s="15" t="s">
        <v>639</v>
      </c>
      <c r="B79" s="17" t="n">
        <v>6062</v>
      </c>
      <c r="C79" s="18">
        <f>(4759.0/B79*100)</f>
        <v/>
      </c>
      <c r="D79" s="19" t="n">
        <v>1303</v>
      </c>
      <c r="E79" s="18" t="n">
        <v>55.27182924</v>
      </c>
      <c r="F79" s="20" t="n">
        <v>1.41584164</v>
      </c>
      <c r="G79" s="18" t="n">
        <v>14.58935939</v>
      </c>
      <c r="H79" s="20" t="n">
        <v>1.12794738</v>
      </c>
      <c r="I79" s="18" t="n">
        <v>0</v>
      </c>
      <c r="J79" s="20" t="n">
        <v>0</v>
      </c>
      <c r="K79" s="18" t="n">
        <v>0.56466918</v>
      </c>
      <c r="L79" s="20" t="n">
        <v>0.22787907</v>
      </c>
      <c r="M79" s="18" t="n">
        <v>0</v>
      </c>
      <c r="N79" s="20" t="n">
        <v>0</v>
      </c>
      <c r="O79" s="18" t="n">
        <v>0</v>
      </c>
      <c r="P79" s="20" t="n">
        <v>0</v>
      </c>
      <c r="Q79" s="18" t="n">
        <v>29.57414218</v>
      </c>
      <c r="R79" s="20" t="n">
        <v>1.42046671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(25296.0/B82*100)</f>
        <v/>
      </c>
      <c r="D82" s="19" t="n">
        <v>7034</v>
      </c>
      <c r="E82" s="18" t="n">
        <v>60.80027991</v>
      </c>
      <c r="F82" s="20" t="n">
        <v>0.86145244</v>
      </c>
      <c r="G82" s="18" t="n">
        <v>25.18388486</v>
      </c>
      <c r="H82" s="20" t="n">
        <v>0.87399393</v>
      </c>
      <c r="I82" s="18" t="n">
        <v>0</v>
      </c>
      <c r="J82" s="20" t="n">
        <v>0</v>
      </c>
      <c r="K82" s="18" t="n">
        <v>0.1564049</v>
      </c>
      <c r="L82" s="20" t="n">
        <v>0.08192149</v>
      </c>
      <c r="M82" s="18" t="n">
        <v>0.13339134</v>
      </c>
      <c r="N82" s="20" t="n">
        <v>0.07400361</v>
      </c>
      <c r="O82" s="18" t="n">
        <v>0</v>
      </c>
      <c r="P82" s="20" t="n">
        <v>0</v>
      </c>
      <c r="Q82" s="18" t="n">
        <v>13.726039</v>
      </c>
      <c r="R82" s="20" t="n">
        <v>0.64505362</v>
      </c>
    </row>
    <row r="83" spans="1:18">
      <c r="A83" s="15" t="s">
        <v>643</v>
      </c>
      <c r="B83" s="17" t="n">
        <v>1652</v>
      </c>
      <c r="C83" s="18">
        <f>(1297.0/B83*100)</f>
        <v/>
      </c>
      <c r="D83" s="19" t="n">
        <v>355</v>
      </c>
      <c r="E83" s="18" t="n">
        <v>66.94142463999999</v>
      </c>
      <c r="F83" s="20" t="n">
        <v>3.20269883</v>
      </c>
      <c r="G83" s="18" t="n">
        <v>30.72485721</v>
      </c>
      <c r="H83" s="20" t="n">
        <v>3.17605243</v>
      </c>
      <c r="I83" s="18" t="n">
        <v>0</v>
      </c>
      <c r="J83" s="20" t="n">
        <v>0</v>
      </c>
      <c r="K83" s="18" t="n">
        <v>0</v>
      </c>
      <c r="L83" s="20" t="n">
        <v>0</v>
      </c>
      <c r="M83" s="18" t="n">
        <v>0</v>
      </c>
      <c r="N83" s="20" t="n">
        <v>0</v>
      </c>
      <c r="O83" s="18" t="n">
        <v>0</v>
      </c>
      <c r="P83" s="20" t="n">
        <v>0</v>
      </c>
      <c r="Q83" s="18" t="n">
        <v>2.33371816</v>
      </c>
      <c r="R83" s="20" t="n">
        <v>0.6943393</v>
      </c>
    </row>
    <row r="84" spans="1:18">
      <c r="A84" s="23" t="s">
        <v>644</v>
      </c>
      <c r="B84" s="24" t="n">
        <v>1887</v>
      </c>
      <c r="C84" s="25">
        <f>(1476.0/B84*100)</f>
        <v/>
      </c>
      <c r="D84" s="19" t="n">
        <v>411</v>
      </c>
      <c r="E84" s="18" t="n">
        <v>78.77014612000001</v>
      </c>
      <c r="F84" s="20" t="n">
        <v>1.74369247</v>
      </c>
      <c r="G84" s="18" t="n">
        <v>14.87008745</v>
      </c>
      <c r="H84" s="20" t="n">
        <v>1.58630885</v>
      </c>
      <c r="I84" s="18" t="n">
        <v>0</v>
      </c>
      <c r="J84" s="20" t="n">
        <v>0</v>
      </c>
      <c r="K84" s="18" t="n">
        <v>0</v>
      </c>
      <c r="L84" s="20" t="n">
        <v>0</v>
      </c>
      <c r="M84" s="18" t="n">
        <v>0</v>
      </c>
      <c r="N84" s="20" t="n">
        <v>0</v>
      </c>
      <c r="O84" s="18" t="n">
        <v>0</v>
      </c>
      <c r="P84" s="20" t="n">
        <v>0</v>
      </c>
      <c r="Q84" s="18" t="n">
        <v>6.35976643</v>
      </c>
      <c r="R84" s="20" t="n">
        <v>1.59595971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(11349.0/B7*100)</f>
        <v/>
      </c>
      <c r="D7" s="19" t="n">
        <v>3181</v>
      </c>
      <c r="E7" s="18" t="n">
        <v>22.40284858</v>
      </c>
      <c r="F7" s="20" t="n">
        <v>0.97273676</v>
      </c>
      <c r="G7" s="18" t="n">
        <v>74.98797515</v>
      </c>
      <c r="H7" s="20" t="n">
        <v>0.97073561</v>
      </c>
      <c r="I7" s="18" t="n">
        <v>0</v>
      </c>
      <c r="J7" s="20" t="n">
        <v>0</v>
      </c>
      <c r="K7" s="18" t="n">
        <v>0.13781029</v>
      </c>
      <c r="L7" s="20" t="n">
        <v>0.06046971</v>
      </c>
      <c r="M7" s="18" t="n">
        <v>0</v>
      </c>
      <c r="N7" s="20" t="n">
        <v>0</v>
      </c>
      <c r="O7" s="18" t="n">
        <v>0</v>
      </c>
      <c r="P7" s="20" t="n">
        <v>0</v>
      </c>
      <c r="Q7" s="18" t="n">
        <v>2.47136598</v>
      </c>
      <c r="R7" s="20" t="n">
        <v>0.31810036</v>
      </c>
    </row>
    <row r="8" spans="1:18">
      <c r="A8" s="15" t="s">
        <v>566</v>
      </c>
      <c r="B8" s="17" t="n">
        <v>7007</v>
      </c>
      <c r="C8" s="18">
        <f>(5458.0/B8*100)</f>
        <v/>
      </c>
      <c r="D8" s="19" t="n">
        <v>1549</v>
      </c>
      <c r="E8" s="18" t="n">
        <v>24.59007245</v>
      </c>
      <c r="F8" s="20" t="n">
        <v>1.17529323</v>
      </c>
      <c r="G8" s="18" t="n">
        <v>72.64458757</v>
      </c>
      <c r="H8" s="20" t="n">
        <v>1.27417047</v>
      </c>
      <c r="I8" s="18" t="n">
        <v>0</v>
      </c>
      <c r="J8" s="20" t="n">
        <v>0</v>
      </c>
      <c r="K8" s="18" t="n">
        <v>0.05159803</v>
      </c>
      <c r="L8" s="20" t="n">
        <v>0.08743041999999999</v>
      </c>
      <c r="M8" s="18" t="n">
        <v>0</v>
      </c>
      <c r="N8" s="20" t="n">
        <v>0</v>
      </c>
      <c r="O8" s="18" t="n">
        <v>0</v>
      </c>
      <c r="P8" s="20" t="n">
        <v>0</v>
      </c>
      <c r="Q8" s="18" t="n">
        <v>2.71374195</v>
      </c>
      <c r="R8" s="20" t="n">
        <v>0.40315318</v>
      </c>
    </row>
    <row r="9" spans="1:18">
      <c r="A9" s="15" t="s">
        <v>567</v>
      </c>
      <c r="B9" s="17" t="n">
        <v>9651</v>
      </c>
      <c r="C9" s="18">
        <f>(7582.0/B9*100)</f>
        <v/>
      </c>
      <c r="D9" s="19" t="n">
        <v>2069</v>
      </c>
      <c r="E9" s="18" t="n">
        <v>26.62243932</v>
      </c>
      <c r="F9" s="20" t="n">
        <v>1.12727026</v>
      </c>
      <c r="G9" s="18" t="n">
        <v>70.16556463000001</v>
      </c>
      <c r="H9" s="20" t="n">
        <v>1.2669708</v>
      </c>
      <c r="I9" s="18" t="n">
        <v>0</v>
      </c>
      <c r="J9" s="20" t="n">
        <v>0</v>
      </c>
      <c r="K9" s="18" t="n">
        <v>0.17566393</v>
      </c>
      <c r="L9" s="20" t="n">
        <v>0.08853049</v>
      </c>
      <c r="M9" s="18" t="n">
        <v>0</v>
      </c>
      <c r="N9" s="20" t="n">
        <v>0</v>
      </c>
      <c r="O9" s="18" t="n">
        <v>0</v>
      </c>
      <c r="P9" s="20" t="n">
        <v>0</v>
      </c>
      <c r="Q9" s="18" t="n">
        <v>3.03633213</v>
      </c>
      <c r="R9" s="20" t="n">
        <v>0.41587815</v>
      </c>
    </row>
    <row r="10" spans="1:18">
      <c r="A10" s="15" t="s">
        <v>568</v>
      </c>
      <c r="B10" s="17" t="n">
        <v>20058</v>
      </c>
      <c r="C10" s="18">
        <f>(15680.0/B10*100)</f>
        <v/>
      </c>
      <c r="D10" s="19" t="n">
        <v>4378</v>
      </c>
      <c r="E10" s="18" t="n">
        <v>17.82108464</v>
      </c>
      <c r="F10" s="20" t="n">
        <v>0.7710515100000001</v>
      </c>
      <c r="G10" s="18" t="n">
        <v>80.25899774</v>
      </c>
      <c r="H10" s="20" t="n">
        <v>0.81356146</v>
      </c>
      <c r="I10" s="18" t="n">
        <v>0</v>
      </c>
      <c r="J10" s="20" t="n">
        <v>0</v>
      </c>
      <c r="K10" s="18" t="n">
        <v>0.09248015</v>
      </c>
      <c r="L10" s="20" t="n">
        <v>0.08451511</v>
      </c>
      <c r="M10" s="18" t="n">
        <v>0</v>
      </c>
      <c r="N10" s="20" t="n">
        <v>0</v>
      </c>
      <c r="O10" s="18" t="n">
        <v>0</v>
      </c>
      <c r="P10" s="20" t="n">
        <v>0</v>
      </c>
      <c r="Q10" s="18" t="n">
        <v>1.82743746</v>
      </c>
      <c r="R10" s="20" t="n">
        <v>0.32700926</v>
      </c>
    </row>
    <row r="11" spans="1:18">
      <c r="A11" s="15" t="s">
        <v>569</v>
      </c>
      <c r="B11" s="17" t="n">
        <v>7053</v>
      </c>
      <c r="C11" s="18">
        <f>(5537.0/B11*100)</f>
        <v/>
      </c>
      <c r="D11" s="19" t="n">
        <v>1516</v>
      </c>
      <c r="E11" s="18" t="n">
        <v>39.62962866</v>
      </c>
      <c r="F11" s="20" t="n">
        <v>1.78424509</v>
      </c>
      <c r="G11" s="18" t="n">
        <v>55.76229302</v>
      </c>
      <c r="H11" s="20" t="n">
        <v>1.73829224</v>
      </c>
      <c r="I11" s="18" t="n">
        <v>0</v>
      </c>
      <c r="J11" s="20" t="n">
        <v>0</v>
      </c>
      <c r="K11" s="18" t="n">
        <v>0.80439079</v>
      </c>
      <c r="L11" s="20" t="n">
        <v>0.25546942</v>
      </c>
      <c r="M11" s="18" t="n">
        <v>0</v>
      </c>
      <c r="N11" s="20" t="n">
        <v>0</v>
      </c>
      <c r="O11" s="18" t="n">
        <v>0</v>
      </c>
      <c r="P11" s="20" t="n">
        <v>0</v>
      </c>
      <c r="Q11" s="18" t="n">
        <v>3.80368753</v>
      </c>
      <c r="R11" s="20" t="n">
        <v>0.59982258</v>
      </c>
    </row>
    <row r="12" spans="1:18">
      <c r="A12" s="15" t="s">
        <v>570</v>
      </c>
      <c r="B12" s="17" t="n">
        <v>6894</v>
      </c>
      <c r="C12" s="18">
        <f>(5405.0/B12*100)</f>
        <v/>
      </c>
      <c r="D12" s="19" t="n">
        <v>1489</v>
      </c>
      <c r="E12" s="18" t="n">
        <v>27.75859944</v>
      </c>
      <c r="F12" s="20" t="n">
        <v>1.53583051</v>
      </c>
      <c r="G12" s="18" t="n">
        <v>68.46002061999999</v>
      </c>
      <c r="H12" s="20" t="n">
        <v>1.57484784</v>
      </c>
      <c r="I12" s="18" t="n">
        <v>0</v>
      </c>
      <c r="J12" s="20" t="n">
        <v>0</v>
      </c>
      <c r="K12" s="18" t="n">
        <v>0.12662007</v>
      </c>
      <c r="L12" s="20" t="n">
        <v>0.1113404</v>
      </c>
      <c r="M12" s="18" t="n">
        <v>0</v>
      </c>
      <c r="N12" s="20" t="n">
        <v>0</v>
      </c>
      <c r="O12" s="18" t="n">
        <v>0</v>
      </c>
      <c r="P12" s="20" t="n">
        <v>0</v>
      </c>
      <c r="Q12" s="18" t="n">
        <v>3.65475988</v>
      </c>
      <c r="R12" s="20" t="n">
        <v>0.66421812</v>
      </c>
    </row>
    <row r="13" spans="1:18">
      <c r="A13" s="15" t="s">
        <v>571</v>
      </c>
      <c r="B13" s="17" t="n">
        <v>7161</v>
      </c>
      <c r="C13" s="18">
        <f>(5643.0/B13*100)</f>
        <v/>
      </c>
      <c r="D13" s="19" t="n">
        <v>1518</v>
      </c>
      <c r="E13" s="18" t="n">
        <v>21.42388667</v>
      </c>
      <c r="F13" s="20" t="n">
        <v>1.18460961</v>
      </c>
      <c r="G13" s="18" t="n">
        <v>74.91714358</v>
      </c>
      <c r="H13" s="20" t="n">
        <v>1.35501667</v>
      </c>
      <c r="I13" s="18" t="n">
        <v>0</v>
      </c>
      <c r="J13" s="20" t="n">
        <v>0</v>
      </c>
      <c r="K13" s="18" t="n">
        <v>0.12202816</v>
      </c>
      <c r="L13" s="20" t="n">
        <v>0.09262615</v>
      </c>
      <c r="M13" s="18" t="n">
        <v>0</v>
      </c>
      <c r="N13" s="20" t="n">
        <v>0</v>
      </c>
      <c r="O13" s="18" t="n">
        <v>0</v>
      </c>
      <c r="P13" s="20" t="n">
        <v>0</v>
      </c>
      <c r="Q13" s="18" t="n">
        <v>3.53694158</v>
      </c>
      <c r="R13" s="20" t="n">
        <v>0.6193956</v>
      </c>
    </row>
    <row r="14" spans="1:18">
      <c r="A14" s="15" t="s">
        <v>572</v>
      </c>
      <c r="B14" s="17" t="n">
        <v>5587</v>
      </c>
      <c r="C14" s="18">
        <f>(4358.0/B14*100)</f>
        <v/>
      </c>
      <c r="D14" s="19" t="n">
        <v>1229</v>
      </c>
      <c r="E14" s="18" t="n">
        <v>19.97425243</v>
      </c>
      <c r="F14" s="20" t="n">
        <v>1.36323441</v>
      </c>
      <c r="G14" s="18" t="n">
        <v>78.52665254</v>
      </c>
      <c r="H14" s="20" t="n">
        <v>1.45429243</v>
      </c>
      <c r="I14" s="18" t="n">
        <v>0</v>
      </c>
      <c r="J14" s="20" t="n">
        <v>0</v>
      </c>
      <c r="K14" s="18" t="n">
        <v>0.07199274999999999</v>
      </c>
      <c r="L14" s="20" t="n">
        <v>0.07165123</v>
      </c>
      <c r="M14" s="18" t="n">
        <v>0</v>
      </c>
      <c r="N14" s="20" t="n">
        <v>0</v>
      </c>
      <c r="O14" s="18" t="n">
        <v>0</v>
      </c>
      <c r="P14" s="20" t="n">
        <v>0</v>
      </c>
      <c r="Q14" s="18" t="n">
        <v>1.42710228</v>
      </c>
      <c r="R14" s="20" t="n">
        <v>0.42037769</v>
      </c>
    </row>
    <row r="15" spans="1:18">
      <c r="A15" s="15" t="s">
        <v>573</v>
      </c>
      <c r="B15" s="17" t="n">
        <v>5882</v>
      </c>
      <c r="C15" s="18">
        <f>(4625.0/B15*100)</f>
        <v/>
      </c>
      <c r="D15" s="19" t="n">
        <v>1257</v>
      </c>
      <c r="E15" s="18" t="n">
        <v>21.13223262</v>
      </c>
      <c r="F15" s="20" t="n">
        <v>1.27192271</v>
      </c>
      <c r="G15" s="18" t="n">
        <v>76.76581127</v>
      </c>
      <c r="H15" s="20" t="n">
        <v>1.29296157</v>
      </c>
      <c r="I15" s="18" t="n">
        <v>0</v>
      </c>
      <c r="J15" s="20" t="n">
        <v>0</v>
      </c>
      <c r="K15" s="18" t="n">
        <v>0.07832403</v>
      </c>
      <c r="L15" s="20" t="n">
        <v>0.07868404</v>
      </c>
      <c r="M15" s="18" t="n">
        <v>0</v>
      </c>
      <c r="N15" s="20" t="n">
        <v>0</v>
      </c>
      <c r="O15" s="18" t="n">
        <v>0</v>
      </c>
      <c r="P15" s="20" t="n">
        <v>0</v>
      </c>
      <c r="Q15" s="18" t="n">
        <v>2.02363208</v>
      </c>
      <c r="R15" s="20" t="n">
        <v>0.38336853</v>
      </c>
    </row>
    <row r="16" spans="1:18">
      <c r="A16" s="15" t="s">
        <v>574</v>
      </c>
      <c r="B16" s="17" t="n">
        <v>6108</v>
      </c>
      <c r="C16" s="18">
        <f>(4759.0/B16*100)</f>
        <v/>
      </c>
      <c r="D16" s="19" t="n">
        <v>1349</v>
      </c>
      <c r="E16" s="18" t="n">
        <v>23.78495568</v>
      </c>
      <c r="F16" s="20" t="n">
        <v>1.3870156</v>
      </c>
      <c r="G16" s="18" t="n">
        <v>72.44096174000001</v>
      </c>
      <c r="H16" s="20" t="n">
        <v>1.4049428</v>
      </c>
      <c r="I16" s="18" t="n">
        <v>0</v>
      </c>
      <c r="J16" s="20" t="n">
        <v>0</v>
      </c>
      <c r="K16" s="18" t="n">
        <v>0.56272789</v>
      </c>
      <c r="L16" s="20" t="n">
        <v>0.27949984</v>
      </c>
      <c r="M16" s="18" t="n">
        <v>0</v>
      </c>
      <c r="N16" s="20" t="n">
        <v>0</v>
      </c>
      <c r="O16" s="18" t="n">
        <v>0</v>
      </c>
      <c r="P16" s="20" t="n">
        <v>0</v>
      </c>
      <c r="Q16" s="18" t="n">
        <v>3.21135468</v>
      </c>
      <c r="R16" s="20" t="n">
        <v>0.52603716</v>
      </c>
    </row>
    <row r="17" spans="1:18">
      <c r="A17" s="15" t="s">
        <v>575</v>
      </c>
      <c r="B17" s="17" t="n">
        <v>6504</v>
      </c>
      <c r="C17" s="18">
        <f>(5076.0/B17*100)</f>
        <v/>
      </c>
      <c r="D17" s="19" t="n">
        <v>1428</v>
      </c>
      <c r="E17" s="18" t="n">
        <v>21.40404208</v>
      </c>
      <c r="F17" s="20" t="n">
        <v>1.26112652</v>
      </c>
      <c r="G17" s="18" t="n">
        <v>75.88317472999999</v>
      </c>
      <c r="H17" s="20" t="n">
        <v>1.32427344</v>
      </c>
      <c r="I17" s="18" t="n">
        <v>0</v>
      </c>
      <c r="J17" s="20" t="n">
        <v>0</v>
      </c>
      <c r="K17" s="18" t="n">
        <v>0.06776448</v>
      </c>
      <c r="L17" s="20" t="n">
        <v>0.07075582</v>
      </c>
      <c r="M17" s="18" t="n">
        <v>0</v>
      </c>
      <c r="N17" s="20" t="n">
        <v>0</v>
      </c>
      <c r="O17" s="18" t="n">
        <v>0</v>
      </c>
      <c r="P17" s="20" t="n">
        <v>0</v>
      </c>
      <c r="Q17" s="18" t="n">
        <v>2.64501871</v>
      </c>
      <c r="R17" s="20" t="n">
        <v>0.47587636</v>
      </c>
    </row>
    <row r="18" spans="1:18">
      <c r="A18" s="15" t="s">
        <v>576</v>
      </c>
      <c r="B18" s="17" t="n">
        <v>5532</v>
      </c>
      <c r="C18" s="18">
        <f>(4303.0/B18*100)</f>
        <v/>
      </c>
      <c r="D18" s="19" t="n">
        <v>1229</v>
      </c>
      <c r="E18" s="18" t="n">
        <v>39.9887942</v>
      </c>
      <c r="F18" s="20" t="n">
        <v>1.71198767</v>
      </c>
      <c r="G18" s="18" t="n">
        <v>55.56305358</v>
      </c>
      <c r="H18" s="20" t="n">
        <v>1.80841857</v>
      </c>
      <c r="I18" s="18" t="n">
        <v>0</v>
      </c>
      <c r="J18" s="20" t="n">
        <v>0</v>
      </c>
      <c r="K18" s="18" t="n">
        <v>0.24319463</v>
      </c>
      <c r="L18" s="20" t="n">
        <v>0.15828298</v>
      </c>
      <c r="M18" s="18" t="n">
        <v>0</v>
      </c>
      <c r="N18" s="20" t="n">
        <v>0</v>
      </c>
      <c r="O18" s="18" t="n">
        <v>0</v>
      </c>
      <c r="P18" s="20" t="n">
        <v>0</v>
      </c>
      <c r="Q18" s="18" t="n">
        <v>4.20495759</v>
      </c>
      <c r="R18" s="20" t="n">
        <v>0.68402155</v>
      </c>
    </row>
    <row r="19" spans="1:18">
      <c r="A19" s="15" t="s">
        <v>577</v>
      </c>
      <c r="B19" s="17" t="n">
        <v>5658</v>
      </c>
      <c r="C19" s="18">
        <f>(4426.0/B19*100)</f>
        <v/>
      </c>
      <c r="D19" s="19" t="n">
        <v>1232</v>
      </c>
      <c r="E19" s="18" t="n">
        <v>33.66177204</v>
      </c>
      <c r="F19" s="20" t="n">
        <v>1.44760797</v>
      </c>
      <c r="G19" s="18" t="n">
        <v>63.17062995</v>
      </c>
      <c r="H19" s="20" t="n">
        <v>1.44075491</v>
      </c>
      <c r="I19" s="18" t="n">
        <v>0</v>
      </c>
      <c r="J19" s="20" t="n">
        <v>0</v>
      </c>
      <c r="K19" s="18" t="n">
        <v>0.05651712</v>
      </c>
      <c r="L19" s="20" t="n">
        <v>0.0564389</v>
      </c>
      <c r="M19" s="18" t="n">
        <v>0</v>
      </c>
      <c r="N19" s="20" t="n">
        <v>0</v>
      </c>
      <c r="O19" s="18" t="n">
        <v>0</v>
      </c>
      <c r="P19" s="20" t="n">
        <v>0</v>
      </c>
      <c r="Q19" s="18" t="n">
        <v>3.11108089</v>
      </c>
      <c r="R19" s="20" t="n">
        <v>0.64485371</v>
      </c>
    </row>
    <row r="20" spans="1:18">
      <c r="A20" s="15" t="s">
        <v>578</v>
      </c>
      <c r="B20" s="17" t="n">
        <v>3371</v>
      </c>
      <c r="C20" s="18">
        <f>(2632.0/B20*100)</f>
        <v/>
      </c>
      <c r="D20" s="19" t="n">
        <v>739</v>
      </c>
      <c r="E20" s="18" t="n">
        <v>25.96891199</v>
      </c>
      <c r="F20" s="20" t="n">
        <v>1.77523933</v>
      </c>
      <c r="G20" s="18" t="n">
        <v>70.94416085</v>
      </c>
      <c r="H20" s="20" t="n">
        <v>1.84676287</v>
      </c>
      <c r="I20" s="18" t="n">
        <v>0</v>
      </c>
      <c r="J20" s="20" t="n">
        <v>0</v>
      </c>
      <c r="K20" s="18" t="n">
        <v>0.13397272</v>
      </c>
      <c r="L20" s="20" t="n">
        <v>0.13426305</v>
      </c>
      <c r="M20" s="18" t="n">
        <v>0</v>
      </c>
      <c r="N20" s="20" t="n">
        <v>0</v>
      </c>
      <c r="O20" s="18" t="n">
        <v>0</v>
      </c>
      <c r="P20" s="20" t="n">
        <v>0</v>
      </c>
      <c r="Q20" s="18" t="n">
        <v>2.95295443</v>
      </c>
      <c r="R20" s="20" t="n">
        <v>0.67202089</v>
      </c>
    </row>
    <row r="21" spans="1:18">
      <c r="A21" s="15" t="s">
        <v>579</v>
      </c>
      <c r="B21" s="17" t="n">
        <v>5741</v>
      </c>
      <c r="C21" s="18">
        <f>(4460.0/B21*100)</f>
        <v/>
      </c>
      <c r="D21" s="19" t="n">
        <v>1281</v>
      </c>
      <c r="E21" s="18" t="n">
        <v>25.61799719</v>
      </c>
      <c r="F21" s="20" t="n">
        <v>1.35227119</v>
      </c>
      <c r="G21" s="18" t="n">
        <v>69.34515983999999</v>
      </c>
      <c r="H21" s="20" t="n">
        <v>1.50657025</v>
      </c>
      <c r="I21" s="18" t="n">
        <v>0</v>
      </c>
      <c r="J21" s="20" t="n">
        <v>0</v>
      </c>
      <c r="K21" s="18" t="n">
        <v>0.06929586</v>
      </c>
      <c r="L21" s="20" t="n">
        <v>0.0493286</v>
      </c>
      <c r="M21" s="18" t="n">
        <v>0</v>
      </c>
      <c r="N21" s="20" t="n">
        <v>0</v>
      </c>
      <c r="O21" s="18" t="n">
        <v>0</v>
      </c>
      <c r="P21" s="20" t="n">
        <v>0</v>
      </c>
      <c r="Q21" s="18" t="n">
        <v>4.96754711</v>
      </c>
      <c r="R21" s="20" t="n">
        <v>0.62184863</v>
      </c>
    </row>
    <row r="22" spans="1:18">
      <c r="A22" s="15" t="s">
        <v>580</v>
      </c>
      <c r="B22" s="17" t="n">
        <v>6598</v>
      </c>
      <c r="C22" s="18">
        <f>(5169.0/B22*100)</f>
        <v/>
      </c>
      <c r="D22" s="19" t="n">
        <v>1429</v>
      </c>
      <c r="E22" s="18" t="n">
        <v>28.56590955</v>
      </c>
      <c r="F22" s="20" t="n">
        <v>1.5514813</v>
      </c>
      <c r="G22" s="18" t="n">
        <v>64.85394191</v>
      </c>
      <c r="H22" s="20" t="n">
        <v>1.67198589</v>
      </c>
      <c r="I22" s="18" t="n">
        <v>0</v>
      </c>
      <c r="J22" s="20" t="n">
        <v>0</v>
      </c>
      <c r="K22" s="18" t="n">
        <v>0.30222401</v>
      </c>
      <c r="L22" s="20" t="n">
        <v>0.26069556</v>
      </c>
      <c r="M22" s="18" t="n">
        <v>0</v>
      </c>
      <c r="N22" s="20" t="n">
        <v>0</v>
      </c>
      <c r="O22" s="18" t="n">
        <v>0</v>
      </c>
      <c r="P22" s="20" t="n">
        <v>0</v>
      </c>
      <c r="Q22" s="18" t="n">
        <v>6.27792452</v>
      </c>
      <c r="R22" s="20" t="n">
        <v>0.70483726</v>
      </c>
    </row>
    <row r="23" spans="1:18">
      <c r="A23" s="15" t="s">
        <v>581</v>
      </c>
      <c r="B23" s="17" t="n">
        <v>11583</v>
      </c>
      <c r="C23" s="18">
        <f>(9005.0/B23*100)</f>
        <v/>
      </c>
      <c r="D23" s="19" t="n">
        <v>2578</v>
      </c>
      <c r="E23" s="18" t="n">
        <v>33.40308788</v>
      </c>
      <c r="F23" s="20" t="n">
        <v>1.52951989</v>
      </c>
      <c r="G23" s="18" t="n">
        <v>63.36336875</v>
      </c>
      <c r="H23" s="20" t="n">
        <v>1.60699353</v>
      </c>
      <c r="I23" s="18" t="n">
        <v>0</v>
      </c>
      <c r="J23" s="20" t="n">
        <v>0</v>
      </c>
      <c r="K23" s="18" t="n">
        <v>0.32226791</v>
      </c>
      <c r="L23" s="20" t="n">
        <v>0.17128605</v>
      </c>
      <c r="M23" s="18" t="n">
        <v>0</v>
      </c>
      <c r="N23" s="20" t="n">
        <v>0</v>
      </c>
      <c r="O23" s="18" t="n">
        <v>0</v>
      </c>
      <c r="P23" s="20" t="n">
        <v>0</v>
      </c>
      <c r="Q23" s="18" t="n">
        <v>2.91127546</v>
      </c>
      <c r="R23" s="20" t="n">
        <v>0.51207113</v>
      </c>
    </row>
    <row r="24" spans="1:18">
      <c r="A24" s="15" t="s">
        <v>582</v>
      </c>
      <c r="B24" s="17" t="n">
        <v>6647</v>
      </c>
      <c r="C24" s="18">
        <f>(5194.0/B24*100)</f>
        <v/>
      </c>
      <c r="D24" s="19" t="n">
        <v>1453</v>
      </c>
      <c r="E24" s="18" t="n">
        <v>17.13545087</v>
      </c>
      <c r="F24" s="20" t="n">
        <v>1.04639068</v>
      </c>
      <c r="G24" s="18" t="n">
        <v>80.64130147</v>
      </c>
      <c r="H24" s="20" t="n">
        <v>1.16938429</v>
      </c>
      <c r="I24" s="18" t="n">
        <v>0</v>
      </c>
      <c r="J24" s="20" t="n">
        <v>0</v>
      </c>
      <c r="K24" s="18" t="n">
        <v>0.35231933</v>
      </c>
      <c r="L24" s="20" t="n">
        <v>0.15665203</v>
      </c>
      <c r="M24" s="18" t="n">
        <v>0</v>
      </c>
      <c r="N24" s="20" t="n">
        <v>0</v>
      </c>
      <c r="O24" s="18" t="n">
        <v>0</v>
      </c>
      <c r="P24" s="20" t="n">
        <v>0</v>
      </c>
      <c r="Q24" s="18" t="n">
        <v>1.87092833</v>
      </c>
      <c r="R24" s="20" t="n">
        <v>0.42369473</v>
      </c>
    </row>
    <row r="25" spans="1:18">
      <c r="A25" s="15" t="s">
        <v>583</v>
      </c>
      <c r="B25" s="17" t="n">
        <v>5581</v>
      </c>
      <c r="C25" s="18">
        <f>(4322.0/B25*100)</f>
        <v/>
      </c>
      <c r="D25" s="19" t="n">
        <v>1259</v>
      </c>
      <c r="E25" s="18" t="n">
        <v>19.84451194</v>
      </c>
      <c r="F25" s="20" t="n">
        <v>1.09235516</v>
      </c>
      <c r="G25" s="18" t="n">
        <v>78.34636336</v>
      </c>
      <c r="H25" s="20" t="n">
        <v>1.14849703</v>
      </c>
      <c r="I25" s="18" t="n">
        <v>0</v>
      </c>
      <c r="J25" s="20" t="n">
        <v>0</v>
      </c>
      <c r="K25" s="18" t="n">
        <v>0.22656508</v>
      </c>
      <c r="L25" s="20" t="n">
        <v>0.13131257</v>
      </c>
      <c r="M25" s="18" t="n">
        <v>0</v>
      </c>
      <c r="N25" s="20" t="n">
        <v>0</v>
      </c>
      <c r="O25" s="18" t="n">
        <v>0</v>
      </c>
      <c r="P25" s="20" t="n">
        <v>0</v>
      </c>
      <c r="Q25" s="18" t="n">
        <v>1.58255962</v>
      </c>
      <c r="R25" s="20" t="n">
        <v>0.33929866</v>
      </c>
    </row>
    <row r="26" spans="1:18">
      <c r="A26" s="15" t="s">
        <v>584</v>
      </c>
      <c r="B26" s="17" t="n">
        <v>4869</v>
      </c>
      <c r="C26" s="18">
        <f>(3794.0/B26*100)</f>
        <v/>
      </c>
      <c r="D26" s="19" t="n">
        <v>1075</v>
      </c>
      <c r="E26" s="18" t="n">
        <v>31.67216744</v>
      </c>
      <c r="F26" s="20" t="n">
        <v>1.67550306</v>
      </c>
      <c r="G26" s="18" t="n">
        <v>66.99616768999999</v>
      </c>
      <c r="H26" s="20" t="n">
        <v>1.67605981</v>
      </c>
      <c r="I26" s="18" t="n">
        <v>0</v>
      </c>
      <c r="J26" s="20" t="n">
        <v>0</v>
      </c>
      <c r="K26" s="18" t="n">
        <v>0</v>
      </c>
      <c r="L26" s="20" t="n">
        <v>0</v>
      </c>
      <c r="M26" s="18" t="n">
        <v>0</v>
      </c>
      <c r="N26" s="20" t="n">
        <v>0</v>
      </c>
      <c r="O26" s="18" t="n">
        <v>0</v>
      </c>
      <c r="P26" s="20" t="n">
        <v>0</v>
      </c>
      <c r="Q26" s="18" t="n">
        <v>1.33166488</v>
      </c>
      <c r="R26" s="20" t="n">
        <v>0.37719481</v>
      </c>
    </row>
    <row r="27" spans="1:18">
      <c r="A27" s="15" t="s">
        <v>585</v>
      </c>
      <c r="B27" s="17" t="n">
        <v>5299</v>
      </c>
      <c r="C27" s="18">
        <f>(4137.0/B27*100)</f>
        <v/>
      </c>
      <c r="D27" s="19" t="n">
        <v>1162</v>
      </c>
      <c r="E27" s="18" t="n">
        <v>27.76668124</v>
      </c>
      <c r="F27" s="20" t="n">
        <v>1.36026517</v>
      </c>
      <c r="G27" s="18" t="n">
        <v>69.48807948</v>
      </c>
      <c r="H27" s="20" t="n">
        <v>1.30350842</v>
      </c>
      <c r="I27" s="18" t="n">
        <v>0</v>
      </c>
      <c r="J27" s="20" t="n">
        <v>0</v>
      </c>
      <c r="K27" s="18" t="n">
        <v>0.08476981</v>
      </c>
      <c r="L27" s="20" t="n">
        <v>0.08486275</v>
      </c>
      <c r="M27" s="18" t="n">
        <v>0</v>
      </c>
      <c r="N27" s="20" t="n">
        <v>0</v>
      </c>
      <c r="O27" s="18" t="n">
        <v>0</v>
      </c>
      <c r="P27" s="20" t="n">
        <v>0</v>
      </c>
      <c r="Q27" s="18" t="n">
        <v>2.66046948</v>
      </c>
      <c r="R27" s="20" t="n">
        <v>0.47301014</v>
      </c>
    </row>
    <row r="28" spans="1:18">
      <c r="A28" s="15" t="s">
        <v>586</v>
      </c>
      <c r="B28" s="17" t="n">
        <v>7568</v>
      </c>
      <c r="C28" s="18">
        <f>(6026.0/B28*100)</f>
        <v/>
      </c>
      <c r="D28" s="19" t="n">
        <v>1542</v>
      </c>
      <c r="E28" s="18" t="n">
        <v>53.149761</v>
      </c>
      <c r="F28" s="20" t="n">
        <v>1.55983189</v>
      </c>
      <c r="G28" s="18" t="n">
        <v>44.37536351</v>
      </c>
      <c r="H28" s="20" t="n">
        <v>1.63636909</v>
      </c>
      <c r="I28" s="18" t="n">
        <v>0</v>
      </c>
      <c r="J28" s="20" t="n">
        <v>0</v>
      </c>
      <c r="K28" s="18" t="n">
        <v>0.34716747</v>
      </c>
      <c r="L28" s="20" t="n">
        <v>0.19649732</v>
      </c>
      <c r="M28" s="18" t="n">
        <v>0</v>
      </c>
      <c r="N28" s="20" t="n">
        <v>0</v>
      </c>
      <c r="O28" s="18" t="n">
        <v>0</v>
      </c>
      <c r="P28" s="20" t="n">
        <v>0</v>
      </c>
      <c r="Q28" s="18" t="n">
        <v>2.12770803</v>
      </c>
      <c r="R28" s="20" t="n">
        <v>0.36110703</v>
      </c>
    </row>
    <row r="29" spans="1:18">
      <c r="A29" s="15" t="s">
        <v>587</v>
      </c>
      <c r="B29" s="17" t="n">
        <v>5385</v>
      </c>
      <c r="C29" s="18">
        <f>(4191.0/B29*100)</f>
        <v/>
      </c>
      <c r="D29" s="19" t="n">
        <v>1194</v>
      </c>
      <c r="E29" s="18" t="n">
        <v>26.37648004</v>
      </c>
      <c r="F29" s="20" t="n">
        <v>1.55835947</v>
      </c>
      <c r="G29" s="18" t="n">
        <v>71.39989576000001</v>
      </c>
      <c r="H29" s="20" t="n">
        <v>1.60598311</v>
      </c>
      <c r="I29" s="18" t="n">
        <v>0</v>
      </c>
      <c r="J29" s="20" t="n">
        <v>0</v>
      </c>
      <c r="K29" s="18" t="n">
        <v>0.07872005999999999</v>
      </c>
      <c r="L29" s="20" t="n">
        <v>0.08527687</v>
      </c>
      <c r="M29" s="18" t="n">
        <v>0</v>
      </c>
      <c r="N29" s="20" t="n">
        <v>0</v>
      </c>
      <c r="O29" s="18" t="n">
        <v>0</v>
      </c>
      <c r="P29" s="20" t="n">
        <v>0</v>
      </c>
      <c r="Q29" s="18" t="n">
        <v>2.14490415</v>
      </c>
      <c r="R29" s="20" t="n">
        <v>0.42117822</v>
      </c>
    </row>
    <row r="30" spans="1:18">
      <c r="A30" s="15" t="s">
        <v>588</v>
      </c>
      <c r="B30" s="17" t="n">
        <v>4520</v>
      </c>
      <c r="C30" s="18">
        <f>(3551.0/B30*100)</f>
        <v/>
      </c>
      <c r="D30" s="19" t="n">
        <v>969</v>
      </c>
      <c r="E30" s="18" t="n">
        <v>21.1230022</v>
      </c>
      <c r="F30" s="20" t="n">
        <v>1.32061901</v>
      </c>
      <c r="G30" s="18" t="n">
        <v>75.19689578000001</v>
      </c>
      <c r="H30" s="20" t="n">
        <v>1.47422887</v>
      </c>
      <c r="I30" s="18" t="n">
        <v>0</v>
      </c>
      <c r="J30" s="20" t="n">
        <v>0</v>
      </c>
      <c r="K30" s="18" t="n">
        <v>0.26955856</v>
      </c>
      <c r="L30" s="20" t="n">
        <v>0.19430693</v>
      </c>
      <c r="M30" s="18" t="n">
        <v>0</v>
      </c>
      <c r="N30" s="20" t="n">
        <v>0</v>
      </c>
      <c r="O30" s="18" t="n">
        <v>0</v>
      </c>
      <c r="P30" s="20" t="n">
        <v>0</v>
      </c>
      <c r="Q30" s="18" t="n">
        <v>3.41054346</v>
      </c>
      <c r="R30" s="20" t="n">
        <v>0.66041552</v>
      </c>
    </row>
    <row r="31" spans="1:18">
      <c r="A31" s="15" t="s">
        <v>589</v>
      </c>
      <c r="B31" s="17" t="n">
        <v>5456</v>
      </c>
      <c r="C31" s="18">
        <f>(4250.0/B31*100)</f>
        <v/>
      </c>
      <c r="D31" s="19" t="n">
        <v>1206</v>
      </c>
      <c r="E31" s="18" t="n">
        <v>19.36611309</v>
      </c>
      <c r="F31" s="20" t="n">
        <v>1.25500177</v>
      </c>
      <c r="G31" s="18" t="n">
        <v>76.89526719</v>
      </c>
      <c r="H31" s="20" t="n">
        <v>1.29851838</v>
      </c>
      <c r="I31" s="18" t="n">
        <v>0</v>
      </c>
      <c r="J31" s="20" t="n">
        <v>0</v>
      </c>
      <c r="K31" s="18" t="n">
        <v>0.23192868</v>
      </c>
      <c r="L31" s="20" t="n">
        <v>0.13087038</v>
      </c>
      <c r="M31" s="18" t="n">
        <v>0</v>
      </c>
      <c r="N31" s="20" t="n">
        <v>0</v>
      </c>
      <c r="O31" s="18" t="n">
        <v>0</v>
      </c>
      <c r="P31" s="20" t="n">
        <v>0</v>
      </c>
      <c r="Q31" s="18" t="n">
        <v>3.50669104</v>
      </c>
      <c r="R31" s="20" t="n">
        <v>0.5131371</v>
      </c>
    </row>
    <row r="32" spans="1:18">
      <c r="A32" s="15" t="s">
        <v>590</v>
      </c>
      <c r="B32" s="17" t="n">
        <v>4478</v>
      </c>
      <c r="C32" s="18">
        <f>(3482.0/B32*100)</f>
        <v/>
      </c>
      <c r="D32" s="19" t="n">
        <v>996</v>
      </c>
      <c r="E32" s="18" t="n">
        <v>20.93988773</v>
      </c>
      <c r="F32" s="20" t="n">
        <v>1.48852606</v>
      </c>
      <c r="G32" s="18" t="n">
        <v>77.47106207</v>
      </c>
      <c r="H32" s="20" t="n">
        <v>1.58656702</v>
      </c>
      <c r="I32" s="18" t="n">
        <v>0</v>
      </c>
      <c r="J32" s="20" t="n">
        <v>0</v>
      </c>
      <c r="K32" s="18" t="n">
        <v>0</v>
      </c>
      <c r="L32" s="20" t="n">
        <v>0</v>
      </c>
      <c r="M32" s="18" t="n">
        <v>0</v>
      </c>
      <c r="N32" s="20" t="n">
        <v>0</v>
      </c>
      <c r="O32" s="18" t="n">
        <v>0</v>
      </c>
      <c r="P32" s="20" t="n">
        <v>0</v>
      </c>
      <c r="Q32" s="18" t="n">
        <v>1.5890502</v>
      </c>
      <c r="R32" s="20" t="n">
        <v>0.46175352</v>
      </c>
    </row>
    <row r="33" spans="1:18">
      <c r="A33" s="15" t="s">
        <v>591</v>
      </c>
      <c r="B33" s="17" t="n">
        <v>7325</v>
      </c>
      <c r="C33" s="18">
        <f>(5720.0/B33*100)</f>
        <v/>
      </c>
      <c r="D33" s="19" t="n">
        <v>1605</v>
      </c>
      <c r="E33" s="18" t="n">
        <v>23.58797621</v>
      </c>
      <c r="F33" s="20" t="n">
        <v>1.28763803</v>
      </c>
      <c r="G33" s="18" t="n">
        <v>74.23634731</v>
      </c>
      <c r="H33" s="20" t="n">
        <v>1.36660965</v>
      </c>
      <c r="I33" s="18" t="n">
        <v>0</v>
      </c>
      <c r="J33" s="20" t="n">
        <v>0</v>
      </c>
      <c r="K33" s="18" t="n">
        <v>0.46549168</v>
      </c>
      <c r="L33" s="20" t="n">
        <v>0.21283472</v>
      </c>
      <c r="M33" s="18" t="n">
        <v>0</v>
      </c>
      <c r="N33" s="20" t="n">
        <v>0</v>
      </c>
      <c r="O33" s="18" t="n">
        <v>0</v>
      </c>
      <c r="P33" s="20" t="n">
        <v>0</v>
      </c>
      <c r="Q33" s="18" t="n">
        <v>1.7101848</v>
      </c>
      <c r="R33" s="20" t="n">
        <v>0.39882427</v>
      </c>
    </row>
    <row r="34" spans="1:18">
      <c r="A34" s="15" t="s">
        <v>592</v>
      </c>
      <c r="B34" s="17" t="n">
        <v>6350</v>
      </c>
      <c r="C34" s="18">
        <f>(4979.0/B34*100)</f>
        <v/>
      </c>
      <c r="D34" s="19" t="n">
        <v>1371</v>
      </c>
      <c r="E34" s="18" t="n">
        <v>33.49878056</v>
      </c>
      <c r="F34" s="20" t="n">
        <v>1.47328423</v>
      </c>
      <c r="G34" s="18" t="n">
        <v>63.8436341</v>
      </c>
      <c r="H34" s="20" t="n">
        <v>1.54457993</v>
      </c>
      <c r="I34" s="18" t="n">
        <v>0</v>
      </c>
      <c r="J34" s="20" t="n">
        <v>0</v>
      </c>
      <c r="K34" s="18" t="n">
        <v>0.12299307</v>
      </c>
      <c r="L34" s="20" t="n">
        <v>0.06057369</v>
      </c>
      <c r="M34" s="18" t="n">
        <v>0</v>
      </c>
      <c r="N34" s="20" t="n">
        <v>0</v>
      </c>
      <c r="O34" s="18" t="n">
        <v>0</v>
      </c>
      <c r="P34" s="20" t="n">
        <v>0</v>
      </c>
      <c r="Q34" s="18" t="n">
        <v>2.53459226</v>
      </c>
      <c r="R34" s="20" t="n">
        <v>0.41967796</v>
      </c>
    </row>
    <row r="35" spans="1:18">
      <c r="A35" s="15" t="s">
        <v>593</v>
      </c>
      <c r="B35" s="17" t="n">
        <v>6406</v>
      </c>
      <c r="C35" s="18">
        <f>(5034.0/B35*100)</f>
        <v/>
      </c>
      <c r="D35" s="19" t="n">
        <v>1372</v>
      </c>
      <c r="E35" s="18" t="n">
        <v>21.0007619</v>
      </c>
      <c r="F35" s="20" t="n">
        <v>1.35621821</v>
      </c>
      <c r="G35" s="18" t="n">
        <v>75.94814187</v>
      </c>
      <c r="H35" s="20" t="n">
        <v>1.38681146</v>
      </c>
      <c r="I35" s="18" t="n">
        <v>0</v>
      </c>
      <c r="J35" s="20" t="n">
        <v>0</v>
      </c>
      <c r="K35" s="18" t="n">
        <v>0.44859389</v>
      </c>
      <c r="L35" s="20" t="n">
        <v>0.37088772</v>
      </c>
      <c r="M35" s="18" t="n">
        <v>0</v>
      </c>
      <c r="N35" s="20" t="n">
        <v>0</v>
      </c>
      <c r="O35" s="18" t="n">
        <v>0</v>
      </c>
      <c r="P35" s="20" t="n">
        <v>0</v>
      </c>
      <c r="Q35" s="18" t="n">
        <v>2.60250234</v>
      </c>
      <c r="R35" s="20" t="n">
        <v>0.42213786</v>
      </c>
    </row>
    <row r="36" spans="1:18">
      <c r="A36" s="15" t="s">
        <v>594</v>
      </c>
      <c r="B36" s="17" t="n">
        <v>6736</v>
      </c>
      <c r="C36" s="18">
        <f>(5276.0/B36*100)</f>
        <v/>
      </c>
      <c r="D36" s="19" t="n">
        <v>1460</v>
      </c>
      <c r="E36" s="18" t="n">
        <v>29.99947283</v>
      </c>
      <c r="F36" s="20" t="n">
        <v>1.19219455</v>
      </c>
      <c r="G36" s="18" t="n">
        <v>66.02760952</v>
      </c>
      <c r="H36" s="20" t="n">
        <v>1.25903216</v>
      </c>
      <c r="I36" s="18" t="n">
        <v>0</v>
      </c>
      <c r="J36" s="20" t="n">
        <v>0</v>
      </c>
      <c r="K36" s="18" t="n">
        <v>0.11785469</v>
      </c>
      <c r="L36" s="20" t="n">
        <v>0.13539773</v>
      </c>
      <c r="M36" s="18" t="n">
        <v>0</v>
      </c>
      <c r="N36" s="20" t="n">
        <v>0</v>
      </c>
      <c r="O36" s="18" t="n">
        <v>0</v>
      </c>
      <c r="P36" s="20" t="n">
        <v>0</v>
      </c>
      <c r="Q36" s="18" t="n">
        <v>3.85506296</v>
      </c>
      <c r="R36" s="20" t="n">
        <v>0.65721123</v>
      </c>
    </row>
    <row r="37" spans="1:18">
      <c r="A37" s="15" t="s">
        <v>595</v>
      </c>
      <c r="B37" s="17" t="n">
        <v>5458</v>
      </c>
      <c r="C37" s="18">
        <f>(4251.0/B37*100)</f>
        <v/>
      </c>
      <c r="D37" s="19" t="n">
        <v>1207</v>
      </c>
      <c r="E37" s="18" t="n">
        <v>22.53038821</v>
      </c>
      <c r="F37" s="20" t="n">
        <v>1.42338292</v>
      </c>
      <c r="G37" s="18" t="n">
        <v>72.26907223000001</v>
      </c>
      <c r="H37" s="20" t="n">
        <v>1.72953728</v>
      </c>
      <c r="I37" s="18" t="n">
        <v>0</v>
      </c>
      <c r="J37" s="20" t="n">
        <v>0</v>
      </c>
      <c r="K37" s="18" t="n">
        <v>0.40072134</v>
      </c>
      <c r="L37" s="20" t="n">
        <v>0.1816389</v>
      </c>
      <c r="M37" s="18" t="n">
        <v>0</v>
      </c>
      <c r="N37" s="20" t="n">
        <v>0</v>
      </c>
      <c r="O37" s="18" t="n">
        <v>0</v>
      </c>
      <c r="P37" s="20" t="n">
        <v>0</v>
      </c>
      <c r="Q37" s="18" t="n">
        <v>4.79981822</v>
      </c>
      <c r="R37" s="20" t="n">
        <v>0.68293814</v>
      </c>
    </row>
    <row r="38" spans="1:18">
      <c r="A38" s="15" t="s">
        <v>596</v>
      </c>
      <c r="B38" s="17" t="n">
        <v>5860</v>
      </c>
      <c r="C38" s="18">
        <f>(4551.0/B38*100)</f>
        <v/>
      </c>
      <c r="D38" s="19" t="n">
        <v>1309</v>
      </c>
      <c r="E38" s="18" t="n">
        <v>23.93270057</v>
      </c>
      <c r="F38" s="20" t="n">
        <v>1.37653327</v>
      </c>
      <c r="G38" s="18" t="n">
        <v>71.76318818</v>
      </c>
      <c r="H38" s="20" t="n">
        <v>1.46245467</v>
      </c>
      <c r="I38" s="18" t="n">
        <v>0</v>
      </c>
      <c r="J38" s="20" t="n">
        <v>0</v>
      </c>
      <c r="K38" s="18" t="n">
        <v>0.08587433</v>
      </c>
      <c r="L38" s="20" t="n">
        <v>0.08567085000000001</v>
      </c>
      <c r="M38" s="18" t="n">
        <v>0</v>
      </c>
      <c r="N38" s="20" t="n">
        <v>0</v>
      </c>
      <c r="O38" s="18" t="n">
        <v>0</v>
      </c>
      <c r="P38" s="20" t="n">
        <v>0</v>
      </c>
      <c r="Q38" s="18" t="n">
        <v>4.21823692</v>
      </c>
      <c r="R38" s="20" t="n">
        <v>0.67842958</v>
      </c>
    </row>
    <row r="39" spans="1:18">
      <c r="A39" s="15" t="s">
        <v>597</v>
      </c>
      <c r="B39" s="17" t="n">
        <v>5895</v>
      </c>
      <c r="C39" s="18">
        <f>(4592.0/B39*100)</f>
        <v/>
      </c>
      <c r="D39" s="19" t="n">
        <v>1303</v>
      </c>
      <c r="E39" s="18" t="n">
        <v>54.26666201</v>
      </c>
      <c r="F39" s="20" t="n">
        <v>1.7842132</v>
      </c>
      <c r="G39" s="18" t="n">
        <v>42.43554661</v>
      </c>
      <c r="H39" s="20" t="n">
        <v>1.87427216</v>
      </c>
      <c r="I39" s="18" t="n">
        <v>0</v>
      </c>
      <c r="J39" s="20" t="n">
        <v>0</v>
      </c>
      <c r="K39" s="18" t="n">
        <v>0.28265239</v>
      </c>
      <c r="L39" s="20" t="n">
        <v>0.14779858</v>
      </c>
      <c r="M39" s="18" t="n">
        <v>0</v>
      </c>
      <c r="N39" s="20" t="n">
        <v>0</v>
      </c>
      <c r="O39" s="18" t="n">
        <v>0</v>
      </c>
      <c r="P39" s="20" t="n">
        <v>0</v>
      </c>
      <c r="Q39" s="18" t="n">
        <v>3.01513898</v>
      </c>
      <c r="R39" s="20" t="n">
        <v>0.58989696</v>
      </c>
    </row>
    <row r="40" spans="1:18">
      <c r="A40" s="15" t="s">
        <v>598</v>
      </c>
      <c r="B40" s="17" t="n">
        <v>14157</v>
      </c>
      <c r="C40" s="18">
        <f>(10979.0/B40*100)</f>
        <v/>
      </c>
      <c r="D40" s="19" t="n">
        <v>3178</v>
      </c>
      <c r="E40" s="18" t="n">
        <v>21.96915667</v>
      </c>
      <c r="F40" s="20" t="n">
        <v>1.05983387</v>
      </c>
      <c r="G40" s="18" t="n">
        <v>74.47629308</v>
      </c>
      <c r="H40" s="20" t="n">
        <v>1.13772451</v>
      </c>
      <c r="I40" s="18" t="n">
        <v>0</v>
      </c>
      <c r="J40" s="20" t="n">
        <v>0</v>
      </c>
      <c r="K40" s="18" t="n">
        <v>0.10188848</v>
      </c>
      <c r="L40" s="20" t="n">
        <v>0.07960878</v>
      </c>
      <c r="M40" s="18" t="n">
        <v>0</v>
      </c>
      <c r="N40" s="20" t="n">
        <v>0</v>
      </c>
      <c r="O40" s="18" t="n">
        <v>0</v>
      </c>
      <c r="P40" s="20" t="n">
        <v>0</v>
      </c>
      <c r="Q40" s="18" t="n">
        <v>3.45266177</v>
      </c>
      <c r="R40" s="20" t="n">
        <v>0.50355269</v>
      </c>
    </row>
    <row r="41" spans="1:18">
      <c r="A41" s="15" t="s">
        <v>599</v>
      </c>
      <c r="B41" s="17" t="n">
        <v>5712</v>
      </c>
      <c r="C41" s="18">
        <f>(4453.0/B41*100)</f>
        <v/>
      </c>
      <c r="D41" s="19" t="n">
        <v>1259</v>
      </c>
      <c r="E41" s="18" t="n">
        <v>23.50952703</v>
      </c>
      <c r="F41" s="20" t="n">
        <v>1.41055773</v>
      </c>
      <c r="G41" s="18" t="n">
        <v>74.81665384</v>
      </c>
      <c r="H41" s="20" t="n">
        <v>1.44607304</v>
      </c>
      <c r="I41" s="18" t="n">
        <v>0</v>
      </c>
      <c r="J41" s="20" t="n">
        <v>0</v>
      </c>
      <c r="K41" s="18" t="n">
        <v>0.19079572</v>
      </c>
      <c r="L41" s="20" t="n">
        <v>0.14631024</v>
      </c>
      <c r="M41" s="18" t="n">
        <v>0</v>
      </c>
      <c r="N41" s="20" t="n">
        <v>0</v>
      </c>
      <c r="O41" s="18" t="n">
        <v>0</v>
      </c>
      <c r="P41" s="20" t="n">
        <v>0</v>
      </c>
      <c r="Q41" s="18" t="n">
        <v>1.48302341</v>
      </c>
      <c r="R41" s="20" t="n">
        <v>0.2936189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(18768.0/B46*100)</f>
        <v/>
      </c>
      <c r="D46" s="19" t="n">
        <v>4373</v>
      </c>
      <c r="E46" s="18" t="n">
        <v>56.39153283</v>
      </c>
      <c r="F46" s="20" t="n">
        <v>1.14079727</v>
      </c>
      <c r="G46" s="18" t="n">
        <v>38.22816638</v>
      </c>
      <c r="H46" s="20" t="n">
        <v>1.17887243</v>
      </c>
      <c r="I46" s="18" t="n">
        <v>0</v>
      </c>
      <c r="J46" s="20" t="n">
        <v>0</v>
      </c>
      <c r="K46" s="18" t="n">
        <v>0.74143643</v>
      </c>
      <c r="L46" s="20" t="n">
        <v>0.17905479</v>
      </c>
      <c r="M46" s="18" t="n">
        <v>0</v>
      </c>
      <c r="N46" s="20" t="n">
        <v>0</v>
      </c>
      <c r="O46" s="18" t="n">
        <v>0</v>
      </c>
      <c r="P46" s="20" t="n">
        <v>0</v>
      </c>
      <c r="Q46" s="18" t="n">
        <v>4.63886437</v>
      </c>
      <c r="R46" s="20" t="n">
        <v>0.49956565</v>
      </c>
    </row>
    <row r="47" spans="1:18">
      <c r="A47" s="15" t="s">
        <v>606</v>
      </c>
      <c r="B47" s="17" t="n">
        <v>5928</v>
      </c>
      <c r="C47" s="18">
        <f>(4645.0/B47*100)</f>
        <v/>
      </c>
      <c r="D47" s="19" t="n">
        <v>1283</v>
      </c>
      <c r="E47" s="18" t="n">
        <v>40.53716167</v>
      </c>
      <c r="F47" s="20" t="n">
        <v>1.64252938</v>
      </c>
      <c r="G47" s="18" t="n">
        <v>54.72633725</v>
      </c>
      <c r="H47" s="20" t="n">
        <v>1.78160417</v>
      </c>
      <c r="I47" s="18" t="n">
        <v>0</v>
      </c>
      <c r="J47" s="20" t="n">
        <v>0</v>
      </c>
      <c r="K47" s="18" t="n">
        <v>0</v>
      </c>
      <c r="L47" s="20" t="n">
        <v>0</v>
      </c>
      <c r="M47" s="18" t="n">
        <v>0</v>
      </c>
      <c r="N47" s="20" t="n">
        <v>0</v>
      </c>
      <c r="O47" s="18" t="n">
        <v>0</v>
      </c>
      <c r="P47" s="20" t="n">
        <v>0</v>
      </c>
      <c r="Q47" s="18" t="n">
        <v>4.73650108</v>
      </c>
      <c r="R47" s="20" t="n">
        <v>0.62141381</v>
      </c>
    </row>
    <row r="48" spans="1:18">
      <c r="A48" s="15" t="s">
        <v>607</v>
      </c>
      <c r="B48" s="17" t="n">
        <v>9841</v>
      </c>
      <c r="C48" s="18">
        <f>(7632.0/B48*100)</f>
        <v/>
      </c>
      <c r="D48" s="19" t="n">
        <v>2209</v>
      </c>
      <c r="E48" s="18" t="n">
        <v>26.51070317</v>
      </c>
      <c r="F48" s="20" t="n">
        <v>1.48816922</v>
      </c>
      <c r="G48" s="18" t="n">
        <v>71.83792197</v>
      </c>
      <c r="H48" s="20" t="n">
        <v>1.66748662</v>
      </c>
      <c r="I48" s="18" t="n">
        <v>0</v>
      </c>
      <c r="J48" s="20" t="n">
        <v>0</v>
      </c>
      <c r="K48" s="18" t="n">
        <v>0.14616727</v>
      </c>
      <c r="L48" s="20" t="n">
        <v>0.09077741</v>
      </c>
      <c r="M48" s="18" t="n">
        <v>0</v>
      </c>
      <c r="N48" s="20" t="n">
        <v>0</v>
      </c>
      <c r="O48" s="18" t="n">
        <v>0</v>
      </c>
      <c r="P48" s="20" t="n">
        <v>0</v>
      </c>
      <c r="Q48" s="18" t="n">
        <v>1.50520759</v>
      </c>
      <c r="R48" s="20" t="n">
        <v>0.4020676</v>
      </c>
    </row>
    <row r="49" spans="1:18">
      <c r="A49" s="15" t="s">
        <v>608</v>
      </c>
      <c r="B49" s="17" t="n">
        <v>11795</v>
      </c>
      <c r="C49" s="18">
        <f>(9232.0/B49*100)</f>
        <v/>
      </c>
      <c r="D49" s="19" t="n">
        <v>2563</v>
      </c>
      <c r="E49" s="18" t="n">
        <v>53.46533872</v>
      </c>
      <c r="F49" s="20" t="n">
        <v>1.45093412</v>
      </c>
      <c r="G49" s="18" t="n">
        <v>42.81011805</v>
      </c>
      <c r="H49" s="20" t="n">
        <v>1.40392048</v>
      </c>
      <c r="I49" s="18" t="n">
        <v>0</v>
      </c>
      <c r="J49" s="20" t="n">
        <v>0</v>
      </c>
      <c r="K49" s="18" t="n">
        <v>0.94268809</v>
      </c>
      <c r="L49" s="20" t="n">
        <v>0.19738535</v>
      </c>
      <c r="M49" s="18" t="n">
        <v>0</v>
      </c>
      <c r="N49" s="20" t="n">
        <v>0</v>
      </c>
      <c r="O49" s="18" t="n">
        <v>0</v>
      </c>
      <c r="P49" s="20" t="n">
        <v>0</v>
      </c>
      <c r="Q49" s="18" t="n">
        <v>2.78185515</v>
      </c>
      <c r="R49" s="20" t="n">
        <v>0.41764995</v>
      </c>
    </row>
    <row r="50" spans="1:18">
      <c r="A50" s="15" t="s">
        <v>609</v>
      </c>
      <c r="B50" s="17" t="n">
        <v>6866</v>
      </c>
      <c r="C50" s="18">
        <f>(5556.0/B50*100)</f>
        <v/>
      </c>
      <c r="D50" s="19" t="n">
        <v>1310</v>
      </c>
      <c r="E50" s="18" t="n">
        <v>51.12549068</v>
      </c>
      <c r="F50" s="20" t="n">
        <v>1.4071578</v>
      </c>
      <c r="G50" s="18" t="n">
        <v>45.18703247</v>
      </c>
      <c r="H50" s="20" t="n">
        <v>1.53387656</v>
      </c>
      <c r="I50" s="18" t="n">
        <v>0</v>
      </c>
      <c r="J50" s="20" t="n">
        <v>0</v>
      </c>
      <c r="K50" s="18" t="n">
        <v>0.2263876</v>
      </c>
      <c r="L50" s="20" t="n">
        <v>0.13230325</v>
      </c>
      <c r="M50" s="18" t="n">
        <v>0</v>
      </c>
      <c r="N50" s="20" t="n">
        <v>0</v>
      </c>
      <c r="O50" s="18" t="n">
        <v>0</v>
      </c>
      <c r="P50" s="20" t="n">
        <v>0</v>
      </c>
      <c r="Q50" s="18" t="n">
        <v>3.46108925</v>
      </c>
      <c r="R50" s="20" t="n">
        <v>0.5503827999999999</v>
      </c>
    </row>
    <row r="51" spans="1:18">
      <c r="A51" s="15" t="s">
        <v>610</v>
      </c>
      <c r="B51" s="17" t="n">
        <v>5809</v>
      </c>
      <c r="C51" s="18">
        <f>(4507.0/B51*100)</f>
        <v/>
      </c>
      <c r="D51" s="19" t="n">
        <v>1302</v>
      </c>
      <c r="E51" s="18" t="n">
        <v>32.36260911</v>
      </c>
      <c r="F51" s="20" t="n">
        <v>1.33534149</v>
      </c>
      <c r="G51" s="18" t="n">
        <v>63.91346823</v>
      </c>
      <c r="H51" s="20" t="n">
        <v>1.50031138</v>
      </c>
      <c r="I51" s="18" t="n">
        <v>0</v>
      </c>
      <c r="J51" s="20" t="n">
        <v>0</v>
      </c>
      <c r="K51" s="18" t="n">
        <v>0</v>
      </c>
      <c r="L51" s="20" t="n">
        <v>0</v>
      </c>
      <c r="M51" s="18" t="n">
        <v>0</v>
      </c>
      <c r="N51" s="20" t="n">
        <v>0</v>
      </c>
      <c r="O51" s="18" t="n">
        <v>0</v>
      </c>
      <c r="P51" s="20" t="n">
        <v>0</v>
      </c>
      <c r="Q51" s="18" t="n">
        <v>3.72392266</v>
      </c>
      <c r="R51" s="20" t="n">
        <v>0.57918717</v>
      </c>
    </row>
    <row r="52" spans="1:18">
      <c r="A52" s="15" t="s">
        <v>611</v>
      </c>
      <c r="B52" s="17" t="n">
        <v>5571</v>
      </c>
      <c r="C52" s="18">
        <f>(4339.0/B52*100)</f>
        <v/>
      </c>
      <c r="D52" s="19" t="n">
        <v>1232</v>
      </c>
      <c r="E52" s="18" t="n">
        <v>44.84626096</v>
      </c>
      <c r="F52" s="20" t="n">
        <v>1.31478902</v>
      </c>
      <c r="G52" s="18" t="n">
        <v>49.62869426</v>
      </c>
      <c r="H52" s="20" t="n">
        <v>1.34704378</v>
      </c>
      <c r="I52" s="18" t="n">
        <v>0</v>
      </c>
      <c r="J52" s="20" t="n">
        <v>0</v>
      </c>
      <c r="K52" s="18" t="n">
        <v>0.10328233</v>
      </c>
      <c r="L52" s="20" t="n">
        <v>0.10363596</v>
      </c>
      <c r="M52" s="18" t="n">
        <v>0</v>
      </c>
      <c r="N52" s="20" t="n">
        <v>0</v>
      </c>
      <c r="O52" s="18" t="n">
        <v>0</v>
      </c>
      <c r="P52" s="20" t="n">
        <v>0</v>
      </c>
      <c r="Q52" s="18" t="n">
        <v>5.42176245</v>
      </c>
      <c r="R52" s="20" t="n">
        <v>0.79731995</v>
      </c>
    </row>
    <row r="53" spans="1:18">
      <c r="A53" s="15" t="s">
        <v>612</v>
      </c>
      <c r="B53" s="17" t="n">
        <v>4740</v>
      </c>
      <c r="C53" s="18">
        <f>(3720.0/B53*100)</f>
        <v/>
      </c>
      <c r="D53" s="19" t="n">
        <v>1020</v>
      </c>
      <c r="E53" s="18" t="n">
        <v>66.01328979</v>
      </c>
      <c r="F53" s="20" t="n">
        <v>1.63735426</v>
      </c>
      <c r="G53" s="18" t="n">
        <v>16.66438136</v>
      </c>
      <c r="H53" s="20" t="n">
        <v>1.3973703</v>
      </c>
      <c r="I53" s="18" t="n">
        <v>0</v>
      </c>
      <c r="J53" s="20" t="n">
        <v>0</v>
      </c>
      <c r="K53" s="18" t="n">
        <v>9.816663630000001</v>
      </c>
      <c r="L53" s="20" t="n">
        <v>1.14575633</v>
      </c>
      <c r="M53" s="18" t="n">
        <v>0</v>
      </c>
      <c r="N53" s="20" t="n">
        <v>0</v>
      </c>
      <c r="O53" s="18" t="n">
        <v>0</v>
      </c>
      <c r="P53" s="20" t="n">
        <v>0</v>
      </c>
      <c r="Q53" s="18" t="n">
        <v>7.50566522</v>
      </c>
      <c r="R53" s="20" t="n">
        <v>0.79584824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(4202.0/B55*100)</f>
        <v/>
      </c>
      <c r="D55" s="19" t="n">
        <v>1157</v>
      </c>
      <c r="E55" s="18" t="n">
        <v>20.90646002</v>
      </c>
      <c r="F55" s="20" t="n">
        <v>1.44030509</v>
      </c>
      <c r="G55" s="18" t="n">
        <v>76.97428684</v>
      </c>
      <c r="H55" s="20" t="n">
        <v>1.34903986</v>
      </c>
      <c r="I55" s="18" t="n">
        <v>0</v>
      </c>
      <c r="J55" s="20" t="n">
        <v>0</v>
      </c>
      <c r="K55" s="18" t="n">
        <v>0.16775641</v>
      </c>
      <c r="L55" s="20" t="n">
        <v>0.11894446</v>
      </c>
      <c r="M55" s="18" t="n">
        <v>0</v>
      </c>
      <c r="N55" s="20" t="n">
        <v>0</v>
      </c>
      <c r="O55" s="18" t="n">
        <v>0</v>
      </c>
      <c r="P55" s="20" t="n">
        <v>0</v>
      </c>
      <c r="Q55" s="18" t="n">
        <v>1.95149673</v>
      </c>
      <c r="R55" s="20" t="n">
        <v>0.49459937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(5071.0/B61*100)</f>
        <v/>
      </c>
      <c r="D61" s="19" t="n">
        <v>1454</v>
      </c>
      <c r="E61" s="18" t="n">
        <v>30.79719446</v>
      </c>
      <c r="F61" s="20" t="n">
        <v>1.42239329</v>
      </c>
      <c r="G61" s="18" t="n">
        <v>65.46372074</v>
      </c>
      <c r="H61" s="20" t="n">
        <v>1.49826725</v>
      </c>
      <c r="I61" s="18" t="n">
        <v>0</v>
      </c>
      <c r="J61" s="20" t="n">
        <v>0</v>
      </c>
      <c r="K61" s="18" t="n">
        <v>0.26940705</v>
      </c>
      <c r="L61" s="20" t="n">
        <v>0.14744002</v>
      </c>
      <c r="M61" s="18" t="n">
        <v>0</v>
      </c>
      <c r="N61" s="20" t="n">
        <v>0</v>
      </c>
      <c r="O61" s="18" t="n">
        <v>0</v>
      </c>
      <c r="P61" s="20" t="n">
        <v>0</v>
      </c>
      <c r="Q61" s="18" t="n">
        <v>3.46967775</v>
      </c>
      <c r="R61" s="20" t="n">
        <v>0.5126654</v>
      </c>
    </row>
    <row r="62" spans="1:18">
      <c r="A62" s="15" t="s">
        <v>622</v>
      </c>
      <c r="B62" s="17" t="n">
        <v>4476</v>
      </c>
      <c r="C62" s="18">
        <f>(3481.0/B62*100)</f>
        <v/>
      </c>
      <c r="D62" s="19" t="n">
        <v>995</v>
      </c>
      <c r="E62" s="18" t="n">
        <v>19.01905145</v>
      </c>
      <c r="F62" s="20" t="n">
        <v>1.17389981</v>
      </c>
      <c r="G62" s="18" t="n">
        <v>80.07097057999999</v>
      </c>
      <c r="H62" s="20" t="n">
        <v>1.18771679</v>
      </c>
      <c r="I62" s="18" t="n">
        <v>0</v>
      </c>
      <c r="J62" s="20" t="n">
        <v>0</v>
      </c>
      <c r="K62" s="18" t="n">
        <v>0</v>
      </c>
      <c r="L62" s="20" t="n">
        <v>0</v>
      </c>
      <c r="M62" s="18" t="n">
        <v>0</v>
      </c>
      <c r="N62" s="20" t="n">
        <v>0</v>
      </c>
      <c r="O62" s="18" t="n">
        <v>0</v>
      </c>
      <c r="P62" s="20" t="n">
        <v>0</v>
      </c>
      <c r="Q62" s="18" t="n">
        <v>0.90997797</v>
      </c>
      <c r="R62" s="20" t="n">
        <v>0.29675577</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(4461.0/B67*100)</f>
        <v/>
      </c>
      <c r="D67" s="19" t="n">
        <v>1204</v>
      </c>
      <c r="E67" s="18" t="n">
        <v>44.15316806</v>
      </c>
      <c r="F67" s="20" t="n">
        <v>1.56849482</v>
      </c>
      <c r="G67" s="18" t="n">
        <v>43.29165942</v>
      </c>
      <c r="H67" s="20" t="n">
        <v>1.47491175</v>
      </c>
      <c r="I67" s="18" t="n">
        <v>0</v>
      </c>
      <c r="J67" s="20" t="n">
        <v>0</v>
      </c>
      <c r="K67" s="18" t="n">
        <v>0.40740939</v>
      </c>
      <c r="L67" s="20" t="n">
        <v>0.18243044</v>
      </c>
      <c r="M67" s="18" t="n">
        <v>0</v>
      </c>
      <c r="N67" s="20" t="n">
        <v>0</v>
      </c>
      <c r="O67" s="18" t="n">
        <v>0</v>
      </c>
      <c r="P67" s="20" t="n">
        <v>0</v>
      </c>
      <c r="Q67" s="18" t="n">
        <v>12.14776313</v>
      </c>
      <c r="R67" s="20" t="n">
        <v>0.92953916</v>
      </c>
    </row>
    <row r="68" spans="1:18">
      <c r="A68" s="15" t="s">
        <v>628</v>
      </c>
      <c r="B68" s="17" t="n">
        <v>6971</v>
      </c>
      <c r="C68" s="18">
        <f>(5539.0/B68*100)</f>
        <v/>
      </c>
      <c r="D68" s="19" t="n">
        <v>1432</v>
      </c>
      <c r="E68" s="18" t="n">
        <v>59.64324481</v>
      </c>
      <c r="F68" s="20" t="n">
        <v>1.33827918</v>
      </c>
      <c r="G68" s="18" t="n">
        <v>37.38293671</v>
      </c>
      <c r="H68" s="20" t="n">
        <v>1.34823132</v>
      </c>
      <c r="I68" s="18" t="n">
        <v>0</v>
      </c>
      <c r="J68" s="20" t="n">
        <v>0</v>
      </c>
      <c r="K68" s="18" t="n">
        <v>0.07522996</v>
      </c>
      <c r="L68" s="20" t="n">
        <v>0.07513584</v>
      </c>
      <c r="M68" s="18" t="n">
        <v>0</v>
      </c>
      <c r="N68" s="20" t="n">
        <v>0</v>
      </c>
      <c r="O68" s="18" t="n">
        <v>0</v>
      </c>
      <c r="P68" s="20" t="n">
        <v>0</v>
      </c>
      <c r="Q68" s="18" t="n">
        <v>2.89858852</v>
      </c>
      <c r="R68" s="20" t="n">
        <v>0.48697457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(9452.0/B70*100)</f>
        <v/>
      </c>
      <c r="D70" s="19" t="n">
        <v>2631</v>
      </c>
      <c r="E70" s="18" t="n">
        <v>46.05191815</v>
      </c>
      <c r="F70" s="20" t="n">
        <v>0.89612568</v>
      </c>
      <c r="G70" s="18" t="n">
        <v>43.93540419</v>
      </c>
      <c r="H70" s="20" t="n">
        <v>0.93282584</v>
      </c>
      <c r="I70" s="18" t="n">
        <v>0</v>
      </c>
      <c r="J70" s="20" t="n">
        <v>0</v>
      </c>
      <c r="K70" s="18" t="n">
        <v>1.27098678</v>
      </c>
      <c r="L70" s="20" t="n">
        <v>0.21557151</v>
      </c>
      <c r="M70" s="18" t="n">
        <v>0</v>
      </c>
      <c r="N70" s="20" t="n">
        <v>0</v>
      </c>
      <c r="O70" s="18" t="n">
        <v>0</v>
      </c>
      <c r="P70" s="20" t="n">
        <v>0</v>
      </c>
      <c r="Q70" s="18" t="n">
        <v>8.74169088</v>
      </c>
      <c r="R70" s="20" t="n">
        <v>0.52883667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(4692.0/B72*100)</f>
        <v/>
      </c>
      <c r="D72" s="19" t="n">
        <v>1344</v>
      </c>
      <c r="E72" s="18" t="n">
        <v>25.43169825</v>
      </c>
      <c r="F72" s="20" t="n">
        <v>1.56539284</v>
      </c>
      <c r="G72" s="18" t="n">
        <v>70.71059939</v>
      </c>
      <c r="H72" s="20" t="n">
        <v>1.66527211</v>
      </c>
      <c r="I72" s="18" t="n">
        <v>0</v>
      </c>
      <c r="J72" s="20" t="n">
        <v>0</v>
      </c>
      <c r="K72" s="18" t="n">
        <v>0.123493</v>
      </c>
      <c r="L72" s="20" t="n">
        <v>0.07257644000000001</v>
      </c>
      <c r="M72" s="18" t="n">
        <v>0</v>
      </c>
      <c r="N72" s="20" t="n">
        <v>0</v>
      </c>
      <c r="O72" s="18" t="n">
        <v>0</v>
      </c>
      <c r="P72" s="20" t="n">
        <v>0</v>
      </c>
      <c r="Q72" s="18" t="n">
        <v>3.73420937</v>
      </c>
      <c r="R72" s="20" t="n">
        <v>0.57469257</v>
      </c>
    </row>
    <row r="73" spans="1:18">
      <c r="A73" s="15" t="s">
        <v>633</v>
      </c>
      <c r="B73" s="17" t="n">
        <v>6115</v>
      </c>
      <c r="C73" s="18">
        <f>(4733.0/B73*100)</f>
        <v/>
      </c>
      <c r="D73" s="19" t="n">
        <v>1382</v>
      </c>
      <c r="E73" s="18" t="n">
        <v>13.95454323</v>
      </c>
      <c r="F73" s="20" t="n">
        <v>0.8809707</v>
      </c>
      <c r="G73" s="18" t="n">
        <v>84.20856698999999</v>
      </c>
      <c r="H73" s="20" t="n">
        <v>0.94052761</v>
      </c>
      <c r="I73" s="18" t="n">
        <v>0</v>
      </c>
      <c r="J73" s="20" t="n">
        <v>0</v>
      </c>
      <c r="K73" s="18" t="n">
        <v>0.23293448</v>
      </c>
      <c r="L73" s="20" t="n">
        <v>0.13435516</v>
      </c>
      <c r="M73" s="18" t="n">
        <v>0</v>
      </c>
      <c r="N73" s="20" t="n">
        <v>0</v>
      </c>
      <c r="O73" s="18" t="n">
        <v>0</v>
      </c>
      <c r="P73" s="20" t="n">
        <v>0</v>
      </c>
      <c r="Q73" s="18" t="n">
        <v>1.6039553</v>
      </c>
      <c r="R73" s="20" t="n">
        <v>0.40305709</v>
      </c>
    </row>
    <row r="74" spans="1:18">
      <c r="A74" s="15" t="s">
        <v>634</v>
      </c>
      <c r="B74" s="17" t="n">
        <v>7708</v>
      </c>
      <c r="C74" s="18">
        <f>(5959.0/B74*100)</f>
        <v/>
      </c>
      <c r="D74" s="19" t="n">
        <v>1749</v>
      </c>
      <c r="E74" s="18" t="n">
        <v>21.94468261</v>
      </c>
      <c r="F74" s="20" t="n">
        <v>1.21379099</v>
      </c>
      <c r="G74" s="18" t="n">
        <v>76.40167221</v>
      </c>
      <c r="H74" s="20" t="n">
        <v>1.24913482</v>
      </c>
      <c r="I74" s="18" t="n">
        <v>0</v>
      </c>
      <c r="J74" s="20" t="n">
        <v>0</v>
      </c>
      <c r="K74" s="18" t="n">
        <v>0.07469335000000001</v>
      </c>
      <c r="L74" s="20" t="n">
        <v>0.07493531</v>
      </c>
      <c r="M74" s="18" t="n">
        <v>0</v>
      </c>
      <c r="N74" s="20" t="n">
        <v>0</v>
      </c>
      <c r="O74" s="18" t="n">
        <v>0</v>
      </c>
      <c r="P74" s="20" t="n">
        <v>0</v>
      </c>
      <c r="Q74" s="18" t="n">
        <v>1.57895182</v>
      </c>
      <c r="R74" s="20" t="n">
        <v>0.35299178</v>
      </c>
    </row>
    <row r="75" spans="1:18">
      <c r="A75" s="15" t="s">
        <v>635</v>
      </c>
      <c r="B75" s="17" t="n">
        <v>8249</v>
      </c>
      <c r="C75" s="18">
        <f>(6468.0/B75*100)</f>
        <v/>
      </c>
      <c r="D75" s="19" t="n">
        <v>1781</v>
      </c>
      <c r="E75" s="18" t="n">
        <v>45.6538377</v>
      </c>
      <c r="F75" s="20" t="n">
        <v>1.59477375</v>
      </c>
      <c r="G75" s="18" t="n">
        <v>53.3076601</v>
      </c>
      <c r="H75" s="20" t="n">
        <v>1.6751366</v>
      </c>
      <c r="I75" s="18" t="n">
        <v>0</v>
      </c>
      <c r="J75" s="20" t="n">
        <v>0</v>
      </c>
      <c r="K75" s="18" t="n">
        <v>0</v>
      </c>
      <c r="L75" s="20" t="n">
        <v>0</v>
      </c>
      <c r="M75" s="18" t="n">
        <v>0</v>
      </c>
      <c r="N75" s="20" t="n">
        <v>0</v>
      </c>
      <c r="O75" s="18" t="n">
        <v>0</v>
      </c>
      <c r="P75" s="20" t="n">
        <v>0</v>
      </c>
      <c r="Q75" s="18" t="n">
        <v>1.0385022</v>
      </c>
      <c r="R75" s="20" t="n">
        <v>0.3160969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(4279.0/B77*100)</f>
        <v/>
      </c>
      <c r="D77" s="19" t="n">
        <v>1096</v>
      </c>
      <c r="E77" s="18" t="n">
        <v>65.20211068</v>
      </c>
      <c r="F77" s="20" t="n">
        <v>1.57529736</v>
      </c>
      <c r="G77" s="18" t="n">
        <v>24.10381974</v>
      </c>
      <c r="H77" s="20" t="n">
        <v>1.52832185</v>
      </c>
      <c r="I77" s="18" t="n">
        <v>0</v>
      </c>
      <c r="J77" s="20" t="n">
        <v>0</v>
      </c>
      <c r="K77" s="18" t="n">
        <v>1.75170185</v>
      </c>
      <c r="L77" s="20" t="n">
        <v>0.45687867</v>
      </c>
      <c r="M77" s="18" t="n">
        <v>0</v>
      </c>
      <c r="N77" s="20" t="n">
        <v>0</v>
      </c>
      <c r="O77" s="18" t="n">
        <v>0</v>
      </c>
      <c r="P77" s="20" t="n">
        <v>0</v>
      </c>
      <c r="Q77" s="18" t="n">
        <v>8.942367730000001</v>
      </c>
      <c r="R77" s="20" t="n">
        <v>0.90522335</v>
      </c>
    </row>
    <row r="78" spans="1:18">
      <c r="A78" s="15" t="s">
        <v>638</v>
      </c>
      <c r="B78" s="17" t="n">
        <v>14167</v>
      </c>
      <c r="C78" s="18">
        <f>(11056.0/B78*100)</f>
        <v/>
      </c>
      <c r="D78" s="19" t="n">
        <v>3111</v>
      </c>
      <c r="E78" s="18" t="n">
        <v>45.41337503</v>
      </c>
      <c r="F78" s="20" t="n">
        <v>1.16710545</v>
      </c>
      <c r="G78" s="18" t="n">
        <v>49.10570221</v>
      </c>
      <c r="H78" s="20" t="n">
        <v>1.2371617</v>
      </c>
      <c r="I78" s="18" t="n">
        <v>0</v>
      </c>
      <c r="J78" s="20" t="n">
        <v>0</v>
      </c>
      <c r="K78" s="18" t="n">
        <v>0.26091186</v>
      </c>
      <c r="L78" s="20" t="n">
        <v>0.09490377999999999</v>
      </c>
      <c r="M78" s="18" t="n">
        <v>0</v>
      </c>
      <c r="N78" s="20" t="n">
        <v>0</v>
      </c>
      <c r="O78" s="18" t="n">
        <v>0</v>
      </c>
      <c r="P78" s="20" t="n">
        <v>0</v>
      </c>
      <c r="Q78" s="18" t="n">
        <v>5.22001091</v>
      </c>
      <c r="R78" s="20" t="n">
        <v>0.53922391</v>
      </c>
    </row>
    <row r="79" spans="1:18">
      <c r="A79" s="15" t="s">
        <v>639</v>
      </c>
      <c r="B79" s="17" t="n">
        <v>6062</v>
      </c>
      <c r="C79" s="18">
        <f>(4733.0/B79*100)</f>
        <v/>
      </c>
      <c r="D79" s="19" t="n">
        <v>1329</v>
      </c>
      <c r="E79" s="18" t="n">
        <v>44.47026702</v>
      </c>
      <c r="F79" s="20" t="n">
        <v>1.51936551</v>
      </c>
      <c r="G79" s="18" t="n">
        <v>49.74434975</v>
      </c>
      <c r="H79" s="20" t="n">
        <v>1.59366718</v>
      </c>
      <c r="I79" s="18" t="n">
        <v>0</v>
      </c>
      <c r="J79" s="20" t="n">
        <v>0</v>
      </c>
      <c r="K79" s="18" t="n">
        <v>0.55242686</v>
      </c>
      <c r="L79" s="20" t="n">
        <v>0.22273208</v>
      </c>
      <c r="M79" s="18" t="n">
        <v>0</v>
      </c>
      <c r="N79" s="20" t="n">
        <v>0</v>
      </c>
      <c r="O79" s="18" t="n">
        <v>0</v>
      </c>
      <c r="P79" s="20" t="n">
        <v>0</v>
      </c>
      <c r="Q79" s="18" t="n">
        <v>5.23295637</v>
      </c>
      <c r="R79" s="20" t="n">
        <v>0.7071724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(25239.0/B82*100)</f>
        <v/>
      </c>
      <c r="D82" s="19" t="n">
        <v>7091</v>
      </c>
      <c r="E82" s="18" t="n">
        <v>30.24663763</v>
      </c>
      <c r="F82" s="20" t="n">
        <v>0.8184900899999999</v>
      </c>
      <c r="G82" s="18" t="n">
        <v>66.4866092</v>
      </c>
      <c r="H82" s="20" t="n">
        <v>0.81079031</v>
      </c>
      <c r="I82" s="18" t="n">
        <v>0</v>
      </c>
      <c r="J82" s="20" t="n">
        <v>0</v>
      </c>
      <c r="K82" s="18" t="n">
        <v>0.16386568</v>
      </c>
      <c r="L82" s="20" t="n">
        <v>0.08168010000000001</v>
      </c>
      <c r="M82" s="18" t="n">
        <v>0</v>
      </c>
      <c r="N82" s="20" t="n">
        <v>0</v>
      </c>
      <c r="O82" s="18" t="n">
        <v>0</v>
      </c>
      <c r="P82" s="20" t="n">
        <v>0</v>
      </c>
      <c r="Q82" s="18" t="n">
        <v>3.10288749</v>
      </c>
      <c r="R82" s="20" t="n">
        <v>0.31919846</v>
      </c>
    </row>
    <row r="83" spans="1:18">
      <c r="A83" s="15" t="s">
        <v>643</v>
      </c>
      <c r="B83" s="17" t="n">
        <v>1652</v>
      </c>
      <c r="C83" s="18">
        <f>(1296.0/B83*100)</f>
        <v/>
      </c>
      <c r="D83" s="19" t="n">
        <v>356</v>
      </c>
      <c r="E83" s="18" t="n">
        <v>13.56320311</v>
      </c>
      <c r="F83" s="20" t="n">
        <v>2.34731276</v>
      </c>
      <c r="G83" s="18" t="n">
        <v>86.02987385</v>
      </c>
      <c r="H83" s="20" t="n">
        <v>2.28590699</v>
      </c>
      <c r="I83" s="18" t="n">
        <v>0</v>
      </c>
      <c r="J83" s="20" t="n">
        <v>0</v>
      </c>
      <c r="K83" s="18" t="n">
        <v>0</v>
      </c>
      <c r="L83" s="20" t="n">
        <v>0</v>
      </c>
      <c r="M83" s="18" t="n">
        <v>0</v>
      </c>
      <c r="N83" s="20" t="n">
        <v>0</v>
      </c>
      <c r="O83" s="18" t="n">
        <v>0</v>
      </c>
      <c r="P83" s="20" t="n">
        <v>0</v>
      </c>
      <c r="Q83" s="18" t="n">
        <v>0.40692304</v>
      </c>
      <c r="R83" s="20" t="n">
        <v>0.329167</v>
      </c>
    </row>
    <row r="84" spans="1:18">
      <c r="A84" s="23" t="s">
        <v>644</v>
      </c>
      <c r="B84" s="24" t="n">
        <v>1887</v>
      </c>
      <c r="C84" s="25">
        <f>(1471.0/B84*100)</f>
        <v/>
      </c>
      <c r="D84" s="19" t="n">
        <v>416</v>
      </c>
      <c r="E84" s="18" t="n">
        <v>18.05643944</v>
      </c>
      <c r="F84" s="20" t="n">
        <v>1.83603139</v>
      </c>
      <c r="G84" s="18" t="n">
        <v>80.45078198</v>
      </c>
      <c r="H84" s="20" t="n">
        <v>2.02822447</v>
      </c>
      <c r="I84" s="18" t="n">
        <v>0</v>
      </c>
      <c r="J84" s="20" t="n">
        <v>0</v>
      </c>
      <c r="K84" s="18" t="n">
        <v>0</v>
      </c>
      <c r="L84" s="20" t="n">
        <v>0</v>
      </c>
      <c r="M84" s="18" t="n">
        <v>0</v>
      </c>
      <c r="N84" s="20" t="n">
        <v>0</v>
      </c>
      <c r="O84" s="18" t="n">
        <v>0</v>
      </c>
      <c r="P84" s="20" t="n">
        <v>0</v>
      </c>
      <c r="Q84" s="18" t="n">
        <v>1.49277858</v>
      </c>
      <c r="R84" s="20" t="n">
        <v>0.53054002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(11357.0/B7*100)</f>
        <v/>
      </c>
      <c r="D7" s="19" t="n">
        <v>3173</v>
      </c>
      <c r="E7" s="18" t="n">
        <v>42.27002378</v>
      </c>
      <c r="F7" s="20" t="n">
        <v>1.0465509</v>
      </c>
      <c r="G7" s="18" t="n">
        <v>54.95035023</v>
      </c>
      <c r="H7" s="20" t="n">
        <v>1.02677763</v>
      </c>
      <c r="I7" s="18" t="n">
        <v>0</v>
      </c>
      <c r="J7" s="20" t="n">
        <v>0</v>
      </c>
      <c r="K7" s="18" t="n">
        <v>0.18440493</v>
      </c>
      <c r="L7" s="20" t="n">
        <v>0.0751135</v>
      </c>
      <c r="M7" s="18" t="n">
        <v>0</v>
      </c>
      <c r="N7" s="20" t="n">
        <v>0</v>
      </c>
      <c r="O7" s="18" t="n">
        <v>0</v>
      </c>
      <c r="P7" s="20" t="n">
        <v>0</v>
      </c>
      <c r="Q7" s="18" t="n">
        <v>2.59522106</v>
      </c>
      <c r="R7" s="20" t="n">
        <v>0.3785178</v>
      </c>
    </row>
    <row r="8" spans="1:18">
      <c r="A8" s="15" t="s">
        <v>566</v>
      </c>
      <c r="B8" s="17" t="n">
        <v>7007</v>
      </c>
      <c r="C8" s="18">
        <f>(5459.0/B8*100)</f>
        <v/>
      </c>
      <c r="D8" s="19" t="n">
        <v>1548</v>
      </c>
      <c r="E8" s="18" t="n">
        <v>33.42121164</v>
      </c>
      <c r="F8" s="20" t="n">
        <v>1.23440912</v>
      </c>
      <c r="G8" s="18" t="n">
        <v>65.00029316</v>
      </c>
      <c r="H8" s="20" t="n">
        <v>1.31516161</v>
      </c>
      <c r="I8" s="18" t="n">
        <v>0</v>
      </c>
      <c r="J8" s="20" t="n">
        <v>0</v>
      </c>
      <c r="K8" s="18" t="n">
        <v>0.05160173</v>
      </c>
      <c r="L8" s="20" t="n">
        <v>0.08743679</v>
      </c>
      <c r="M8" s="18" t="n">
        <v>0</v>
      </c>
      <c r="N8" s="20" t="n">
        <v>0</v>
      </c>
      <c r="O8" s="18" t="n">
        <v>0</v>
      </c>
      <c r="P8" s="20" t="n">
        <v>0</v>
      </c>
      <c r="Q8" s="18" t="n">
        <v>1.52689346</v>
      </c>
      <c r="R8" s="20" t="n">
        <v>0.33150435</v>
      </c>
    </row>
    <row r="9" spans="1:18">
      <c r="A9" s="15" t="s">
        <v>567</v>
      </c>
      <c r="B9" s="17" t="n">
        <v>9651</v>
      </c>
      <c r="C9" s="18">
        <f>(7590.0/B9*100)</f>
        <v/>
      </c>
      <c r="D9" s="19" t="n">
        <v>2061</v>
      </c>
      <c r="E9" s="18" t="n">
        <v>35.38146099</v>
      </c>
      <c r="F9" s="20" t="n">
        <v>1.47451295</v>
      </c>
      <c r="G9" s="18" t="n">
        <v>62.18807524</v>
      </c>
      <c r="H9" s="20" t="n">
        <v>1.56460295</v>
      </c>
      <c r="I9" s="18" t="n">
        <v>0</v>
      </c>
      <c r="J9" s="20" t="n">
        <v>0</v>
      </c>
      <c r="K9" s="18" t="n">
        <v>0.17639118</v>
      </c>
      <c r="L9" s="20" t="n">
        <v>0.08889519</v>
      </c>
      <c r="M9" s="18" t="n">
        <v>0</v>
      </c>
      <c r="N9" s="20" t="n">
        <v>0</v>
      </c>
      <c r="O9" s="18" t="n">
        <v>0</v>
      </c>
      <c r="P9" s="20" t="n">
        <v>0</v>
      </c>
      <c r="Q9" s="18" t="n">
        <v>2.25407259</v>
      </c>
      <c r="R9" s="20" t="n">
        <v>0.42590291</v>
      </c>
    </row>
    <row r="10" spans="1:18">
      <c r="A10" s="15" t="s">
        <v>568</v>
      </c>
      <c r="B10" s="17" t="n">
        <v>20058</v>
      </c>
      <c r="C10" s="18">
        <f>(15685.0/B10*100)</f>
        <v/>
      </c>
      <c r="D10" s="19" t="n">
        <v>4373</v>
      </c>
      <c r="E10" s="18" t="n">
        <v>36.88781044</v>
      </c>
      <c r="F10" s="20" t="n">
        <v>1.09059633</v>
      </c>
      <c r="G10" s="18" t="n">
        <v>61.7702383</v>
      </c>
      <c r="H10" s="20" t="n">
        <v>1.10866317</v>
      </c>
      <c r="I10" s="18" t="n">
        <v>0</v>
      </c>
      <c r="J10" s="20" t="n">
        <v>0</v>
      </c>
      <c r="K10" s="18" t="n">
        <v>0.10372812</v>
      </c>
      <c r="L10" s="20" t="n">
        <v>0.08544432</v>
      </c>
      <c r="M10" s="18" t="n">
        <v>0</v>
      </c>
      <c r="N10" s="20" t="n">
        <v>0</v>
      </c>
      <c r="O10" s="18" t="n">
        <v>0</v>
      </c>
      <c r="P10" s="20" t="n">
        <v>0</v>
      </c>
      <c r="Q10" s="18" t="n">
        <v>1.23822315</v>
      </c>
      <c r="R10" s="20" t="n">
        <v>0.26131137</v>
      </c>
    </row>
    <row r="11" spans="1:18">
      <c r="A11" s="15" t="s">
        <v>569</v>
      </c>
      <c r="B11" s="17" t="n">
        <v>7053</v>
      </c>
      <c r="C11" s="18">
        <f>(5546.0/B11*100)</f>
        <v/>
      </c>
      <c r="D11" s="19" t="n">
        <v>1507</v>
      </c>
      <c r="E11" s="18" t="n">
        <v>54.78134363</v>
      </c>
      <c r="F11" s="20" t="n">
        <v>1.7488911</v>
      </c>
      <c r="G11" s="18" t="n">
        <v>41.58285803</v>
      </c>
      <c r="H11" s="20" t="n">
        <v>1.64596635</v>
      </c>
      <c r="I11" s="18" t="n">
        <v>0</v>
      </c>
      <c r="J11" s="20" t="n">
        <v>0</v>
      </c>
      <c r="K11" s="18" t="n">
        <v>0.9508791</v>
      </c>
      <c r="L11" s="20" t="n">
        <v>0.24400058</v>
      </c>
      <c r="M11" s="18" t="n">
        <v>0</v>
      </c>
      <c r="N11" s="20" t="n">
        <v>0</v>
      </c>
      <c r="O11" s="18" t="n">
        <v>0</v>
      </c>
      <c r="P11" s="20" t="n">
        <v>0</v>
      </c>
      <c r="Q11" s="18" t="n">
        <v>2.68491924</v>
      </c>
      <c r="R11" s="20" t="n">
        <v>0.49801222</v>
      </c>
    </row>
    <row r="12" spans="1:18">
      <c r="A12" s="15" t="s">
        <v>570</v>
      </c>
      <c r="B12" s="17" t="n">
        <v>6894</v>
      </c>
      <c r="C12" s="18">
        <f>(5407.0/B12*100)</f>
        <v/>
      </c>
      <c r="D12" s="19" t="n">
        <v>1487</v>
      </c>
      <c r="E12" s="18" t="n">
        <v>41.83395968</v>
      </c>
      <c r="F12" s="20" t="n">
        <v>1.63234315</v>
      </c>
      <c r="G12" s="18" t="n">
        <v>56.35763576</v>
      </c>
      <c r="H12" s="20" t="n">
        <v>1.66066112</v>
      </c>
      <c r="I12" s="18" t="n">
        <v>0</v>
      </c>
      <c r="J12" s="20" t="n">
        <v>0</v>
      </c>
      <c r="K12" s="18" t="n">
        <v>0.12677991</v>
      </c>
      <c r="L12" s="20" t="n">
        <v>0.11148028</v>
      </c>
      <c r="M12" s="18" t="n">
        <v>0</v>
      </c>
      <c r="N12" s="20" t="n">
        <v>0</v>
      </c>
      <c r="O12" s="18" t="n">
        <v>0</v>
      </c>
      <c r="P12" s="20" t="n">
        <v>0</v>
      </c>
      <c r="Q12" s="18" t="n">
        <v>1.68162465</v>
      </c>
      <c r="R12" s="20" t="n">
        <v>0.39419358</v>
      </c>
    </row>
    <row r="13" spans="1:18">
      <c r="A13" s="15" t="s">
        <v>571</v>
      </c>
      <c r="B13" s="17" t="n">
        <v>7161</v>
      </c>
      <c r="C13" s="18">
        <f>(5645.0/B13*100)</f>
        <v/>
      </c>
      <c r="D13" s="19" t="n">
        <v>1516</v>
      </c>
      <c r="E13" s="18" t="n">
        <v>32.63759082</v>
      </c>
      <c r="F13" s="20" t="n">
        <v>1.321979</v>
      </c>
      <c r="G13" s="18" t="n">
        <v>65.38000568</v>
      </c>
      <c r="H13" s="20" t="n">
        <v>1.38695037</v>
      </c>
      <c r="I13" s="18" t="n">
        <v>0</v>
      </c>
      <c r="J13" s="20" t="n">
        <v>0</v>
      </c>
      <c r="K13" s="18" t="n">
        <v>0.13830161</v>
      </c>
      <c r="L13" s="20" t="n">
        <v>0.09382493</v>
      </c>
      <c r="M13" s="18" t="n">
        <v>0</v>
      </c>
      <c r="N13" s="20" t="n">
        <v>0</v>
      </c>
      <c r="O13" s="18" t="n">
        <v>0</v>
      </c>
      <c r="P13" s="20" t="n">
        <v>0</v>
      </c>
      <c r="Q13" s="18" t="n">
        <v>1.84410189</v>
      </c>
      <c r="R13" s="20" t="n">
        <v>0.42394199</v>
      </c>
    </row>
    <row r="14" spans="1:18">
      <c r="A14" s="15" t="s">
        <v>572</v>
      </c>
      <c r="B14" s="17" t="n">
        <v>5587</v>
      </c>
      <c r="C14" s="18">
        <f>(4361.0/B14*100)</f>
        <v/>
      </c>
      <c r="D14" s="19" t="n">
        <v>1226</v>
      </c>
      <c r="E14" s="18" t="n">
        <v>32.95884225</v>
      </c>
      <c r="F14" s="20" t="n">
        <v>1.38632163</v>
      </c>
      <c r="G14" s="18" t="n">
        <v>66.34110705000001</v>
      </c>
      <c r="H14" s="20" t="n">
        <v>1.41096301</v>
      </c>
      <c r="I14" s="18" t="n">
        <v>0</v>
      </c>
      <c r="J14" s="20" t="n">
        <v>0</v>
      </c>
      <c r="K14" s="18" t="n">
        <v>0.07213738</v>
      </c>
      <c r="L14" s="20" t="n">
        <v>0.07179502</v>
      </c>
      <c r="M14" s="18" t="n">
        <v>0</v>
      </c>
      <c r="N14" s="20" t="n">
        <v>0</v>
      </c>
      <c r="O14" s="18" t="n">
        <v>0</v>
      </c>
      <c r="P14" s="20" t="n">
        <v>0</v>
      </c>
      <c r="Q14" s="18" t="n">
        <v>0.62791333</v>
      </c>
      <c r="R14" s="20" t="n">
        <v>0.20551989</v>
      </c>
    </row>
    <row r="15" spans="1:18">
      <c r="A15" s="15" t="s">
        <v>573</v>
      </c>
      <c r="B15" s="17" t="n">
        <v>5882</v>
      </c>
      <c r="C15" s="18">
        <f>(4625.0/B15*100)</f>
        <v/>
      </c>
      <c r="D15" s="19" t="n">
        <v>1257</v>
      </c>
      <c r="E15" s="18" t="n">
        <v>29.56664901</v>
      </c>
      <c r="F15" s="20" t="n">
        <v>1.36795203</v>
      </c>
      <c r="G15" s="18" t="n">
        <v>68.98157782</v>
      </c>
      <c r="H15" s="20" t="n">
        <v>1.36660473</v>
      </c>
      <c r="I15" s="18" t="n">
        <v>0</v>
      </c>
      <c r="J15" s="20" t="n">
        <v>0</v>
      </c>
      <c r="K15" s="18" t="n">
        <v>0.07832403</v>
      </c>
      <c r="L15" s="20" t="n">
        <v>0.07868404</v>
      </c>
      <c r="M15" s="18" t="n">
        <v>0</v>
      </c>
      <c r="N15" s="20" t="n">
        <v>0</v>
      </c>
      <c r="O15" s="18" t="n">
        <v>0</v>
      </c>
      <c r="P15" s="20" t="n">
        <v>0</v>
      </c>
      <c r="Q15" s="18" t="n">
        <v>1.37344913</v>
      </c>
      <c r="R15" s="20" t="n">
        <v>0.33182718</v>
      </c>
    </row>
    <row r="16" spans="1:18">
      <c r="A16" s="15" t="s">
        <v>574</v>
      </c>
      <c r="B16" s="17" t="n">
        <v>6108</v>
      </c>
      <c r="C16" s="18">
        <f>(4761.0/B16*100)</f>
        <v/>
      </c>
      <c r="D16" s="19" t="n">
        <v>1347</v>
      </c>
      <c r="E16" s="18" t="n">
        <v>39.73129721</v>
      </c>
      <c r="F16" s="20" t="n">
        <v>1.25596954</v>
      </c>
      <c r="G16" s="18" t="n">
        <v>57.50017837</v>
      </c>
      <c r="H16" s="20" t="n">
        <v>1.31886421</v>
      </c>
      <c r="I16" s="18" t="n">
        <v>0</v>
      </c>
      <c r="J16" s="20" t="n">
        <v>0</v>
      </c>
      <c r="K16" s="18" t="n">
        <v>0.72224228</v>
      </c>
      <c r="L16" s="20" t="n">
        <v>0.31524197</v>
      </c>
      <c r="M16" s="18" t="n">
        <v>0</v>
      </c>
      <c r="N16" s="20" t="n">
        <v>0</v>
      </c>
      <c r="O16" s="18" t="n">
        <v>0</v>
      </c>
      <c r="P16" s="20" t="n">
        <v>0</v>
      </c>
      <c r="Q16" s="18" t="n">
        <v>2.04628214</v>
      </c>
      <c r="R16" s="20" t="n">
        <v>0.40834845</v>
      </c>
    </row>
    <row r="17" spans="1:18">
      <c r="A17" s="15" t="s">
        <v>575</v>
      </c>
      <c r="B17" s="17" t="n">
        <v>6504</v>
      </c>
      <c r="C17" s="18">
        <f>(5076.0/B17*100)</f>
        <v/>
      </c>
      <c r="D17" s="19" t="n">
        <v>1428</v>
      </c>
      <c r="E17" s="18" t="n">
        <v>32.2127056</v>
      </c>
      <c r="F17" s="20" t="n">
        <v>1.53756815</v>
      </c>
      <c r="G17" s="18" t="n">
        <v>66.29465301</v>
      </c>
      <c r="H17" s="20" t="n">
        <v>1.57205005</v>
      </c>
      <c r="I17" s="18" t="n">
        <v>0</v>
      </c>
      <c r="J17" s="20" t="n">
        <v>0</v>
      </c>
      <c r="K17" s="18" t="n">
        <v>0.06776448</v>
      </c>
      <c r="L17" s="20" t="n">
        <v>0.07075582</v>
      </c>
      <c r="M17" s="18" t="n">
        <v>0</v>
      </c>
      <c r="N17" s="20" t="n">
        <v>0</v>
      </c>
      <c r="O17" s="18" t="n">
        <v>0</v>
      </c>
      <c r="P17" s="20" t="n">
        <v>0</v>
      </c>
      <c r="Q17" s="18" t="n">
        <v>1.42487691</v>
      </c>
      <c r="R17" s="20" t="n">
        <v>0.31913818</v>
      </c>
    </row>
    <row r="18" spans="1:18">
      <c r="A18" s="15" t="s">
        <v>576</v>
      </c>
      <c r="B18" s="17" t="n">
        <v>5532</v>
      </c>
      <c r="C18" s="18">
        <f>(4305.0/B18*100)</f>
        <v/>
      </c>
      <c r="D18" s="19" t="n">
        <v>1227</v>
      </c>
      <c r="E18" s="18" t="n">
        <v>55.3667848</v>
      </c>
      <c r="F18" s="20" t="n">
        <v>1.77000306</v>
      </c>
      <c r="G18" s="18" t="n">
        <v>41.68320223</v>
      </c>
      <c r="H18" s="20" t="n">
        <v>1.82308642</v>
      </c>
      <c r="I18" s="18" t="n">
        <v>0</v>
      </c>
      <c r="J18" s="20" t="n">
        <v>0</v>
      </c>
      <c r="K18" s="18" t="n">
        <v>0.24358543</v>
      </c>
      <c r="L18" s="20" t="n">
        <v>0.15870396</v>
      </c>
      <c r="M18" s="18" t="n">
        <v>0</v>
      </c>
      <c r="N18" s="20" t="n">
        <v>0</v>
      </c>
      <c r="O18" s="18" t="n">
        <v>0</v>
      </c>
      <c r="P18" s="20" t="n">
        <v>0</v>
      </c>
      <c r="Q18" s="18" t="n">
        <v>2.70642754</v>
      </c>
      <c r="R18" s="20" t="n">
        <v>0.52171227</v>
      </c>
    </row>
    <row r="19" spans="1:18">
      <c r="A19" s="15" t="s">
        <v>577</v>
      </c>
      <c r="B19" s="17" t="n">
        <v>5658</v>
      </c>
      <c r="C19" s="18">
        <f>(4425.0/B19*100)</f>
        <v/>
      </c>
      <c r="D19" s="19" t="n">
        <v>1233</v>
      </c>
      <c r="E19" s="18" t="n">
        <v>48.19374907</v>
      </c>
      <c r="F19" s="20" t="n">
        <v>1.59464557</v>
      </c>
      <c r="G19" s="18" t="n">
        <v>49.79931836</v>
      </c>
      <c r="H19" s="20" t="n">
        <v>1.61764441</v>
      </c>
      <c r="I19" s="18" t="n">
        <v>0</v>
      </c>
      <c r="J19" s="20" t="n">
        <v>0</v>
      </c>
      <c r="K19" s="18" t="n">
        <v>0.05647617</v>
      </c>
      <c r="L19" s="20" t="n">
        <v>0.05639794</v>
      </c>
      <c r="M19" s="18" t="n">
        <v>0</v>
      </c>
      <c r="N19" s="20" t="n">
        <v>0</v>
      </c>
      <c r="O19" s="18" t="n">
        <v>0</v>
      </c>
      <c r="P19" s="20" t="n">
        <v>0</v>
      </c>
      <c r="Q19" s="18" t="n">
        <v>1.9504564</v>
      </c>
      <c r="R19" s="20" t="n">
        <v>0.48938859</v>
      </c>
    </row>
    <row r="20" spans="1:18">
      <c r="A20" s="15" t="s">
        <v>578</v>
      </c>
      <c r="B20" s="17" t="n">
        <v>3371</v>
      </c>
      <c r="C20" s="18">
        <f>(2634.0/B20*100)</f>
        <v/>
      </c>
      <c r="D20" s="19" t="n">
        <v>737</v>
      </c>
      <c r="E20" s="18" t="n">
        <v>40.98937401</v>
      </c>
      <c r="F20" s="20" t="n">
        <v>1.81876851</v>
      </c>
      <c r="G20" s="18" t="n">
        <v>56.58788037</v>
      </c>
      <c r="H20" s="20" t="n">
        <v>1.85910735</v>
      </c>
      <c r="I20" s="18" t="n">
        <v>0</v>
      </c>
      <c r="J20" s="20" t="n">
        <v>0</v>
      </c>
      <c r="K20" s="18" t="n">
        <v>0.24940326</v>
      </c>
      <c r="L20" s="20" t="n">
        <v>0.1773079</v>
      </c>
      <c r="M20" s="18" t="n">
        <v>0</v>
      </c>
      <c r="N20" s="20" t="n">
        <v>0</v>
      </c>
      <c r="O20" s="18" t="n">
        <v>0</v>
      </c>
      <c r="P20" s="20" t="n">
        <v>0</v>
      </c>
      <c r="Q20" s="18" t="n">
        <v>2.17334235</v>
      </c>
      <c r="R20" s="20" t="n">
        <v>0.51865355</v>
      </c>
    </row>
    <row r="21" spans="1:18">
      <c r="A21" s="15" t="s">
        <v>579</v>
      </c>
      <c r="B21" s="17" t="n">
        <v>5741</v>
      </c>
      <c r="C21" s="18">
        <f>(4459.0/B21*100)</f>
        <v/>
      </c>
      <c r="D21" s="19" t="n">
        <v>1282</v>
      </c>
      <c r="E21" s="18" t="n">
        <v>47.98138252</v>
      </c>
      <c r="F21" s="20" t="n">
        <v>1.44886394</v>
      </c>
      <c r="G21" s="18" t="n">
        <v>49.68518058</v>
      </c>
      <c r="H21" s="20" t="n">
        <v>1.52218671</v>
      </c>
      <c r="I21" s="18" t="n">
        <v>0</v>
      </c>
      <c r="J21" s="20" t="n">
        <v>0</v>
      </c>
      <c r="K21" s="18" t="n">
        <v>0.19685391</v>
      </c>
      <c r="L21" s="20" t="n">
        <v>0.14123761</v>
      </c>
      <c r="M21" s="18" t="n">
        <v>0</v>
      </c>
      <c r="N21" s="20" t="n">
        <v>0</v>
      </c>
      <c r="O21" s="18" t="n">
        <v>0</v>
      </c>
      <c r="P21" s="20" t="n">
        <v>0</v>
      </c>
      <c r="Q21" s="18" t="n">
        <v>2.13658298</v>
      </c>
      <c r="R21" s="20" t="n">
        <v>0.51998107</v>
      </c>
    </row>
    <row r="22" spans="1:18">
      <c r="A22" s="15" t="s">
        <v>580</v>
      </c>
      <c r="B22" s="17" t="n">
        <v>6598</v>
      </c>
      <c r="C22" s="18">
        <f>(5172.0/B22*100)</f>
        <v/>
      </c>
      <c r="D22" s="19" t="n">
        <v>1426</v>
      </c>
      <c r="E22" s="18" t="n">
        <v>50.84458667</v>
      </c>
      <c r="F22" s="20" t="n">
        <v>1.45408223</v>
      </c>
      <c r="G22" s="18" t="n">
        <v>44.59041883</v>
      </c>
      <c r="H22" s="20" t="n">
        <v>1.5280686</v>
      </c>
      <c r="I22" s="18" t="n">
        <v>0</v>
      </c>
      <c r="J22" s="20" t="n">
        <v>0</v>
      </c>
      <c r="K22" s="18" t="n">
        <v>0.30274619</v>
      </c>
      <c r="L22" s="20" t="n">
        <v>0.26113812</v>
      </c>
      <c r="M22" s="18" t="n">
        <v>0</v>
      </c>
      <c r="N22" s="20" t="n">
        <v>0</v>
      </c>
      <c r="O22" s="18" t="n">
        <v>0</v>
      </c>
      <c r="P22" s="20" t="n">
        <v>0</v>
      </c>
      <c r="Q22" s="18" t="n">
        <v>4.26224831</v>
      </c>
      <c r="R22" s="20" t="n">
        <v>0.60416064</v>
      </c>
    </row>
    <row r="23" spans="1:18">
      <c r="A23" s="15" t="s">
        <v>581</v>
      </c>
      <c r="B23" s="17" t="n">
        <v>11583</v>
      </c>
      <c r="C23" s="18">
        <f>(9011.0/B23*100)</f>
        <v/>
      </c>
      <c r="D23" s="19" t="n">
        <v>2572</v>
      </c>
      <c r="E23" s="18" t="n">
        <v>46.01274979</v>
      </c>
      <c r="F23" s="20" t="n">
        <v>1.49716181</v>
      </c>
      <c r="G23" s="18" t="n">
        <v>50.10777188</v>
      </c>
      <c r="H23" s="20" t="n">
        <v>1.64566485</v>
      </c>
      <c r="I23" s="18" t="n">
        <v>0</v>
      </c>
      <c r="J23" s="20" t="n">
        <v>0</v>
      </c>
      <c r="K23" s="18" t="n">
        <v>0.39587576</v>
      </c>
      <c r="L23" s="20" t="n">
        <v>0.18685328</v>
      </c>
      <c r="M23" s="18" t="n">
        <v>0</v>
      </c>
      <c r="N23" s="20" t="n">
        <v>0</v>
      </c>
      <c r="O23" s="18" t="n">
        <v>0</v>
      </c>
      <c r="P23" s="20" t="n">
        <v>0</v>
      </c>
      <c r="Q23" s="18" t="n">
        <v>3.48360256</v>
      </c>
      <c r="R23" s="20" t="n">
        <v>0.63126921</v>
      </c>
    </row>
    <row r="24" spans="1:18">
      <c r="A24" s="15" t="s">
        <v>582</v>
      </c>
      <c r="B24" s="17" t="n">
        <v>6647</v>
      </c>
      <c r="C24" s="18">
        <f>(5194.0/B24*100)</f>
        <v/>
      </c>
      <c r="D24" s="19" t="n">
        <v>1453</v>
      </c>
      <c r="E24" s="18" t="n">
        <v>26.70408742</v>
      </c>
      <c r="F24" s="20" t="n">
        <v>1.33812385</v>
      </c>
      <c r="G24" s="18" t="n">
        <v>71.74370324</v>
      </c>
      <c r="H24" s="20" t="n">
        <v>1.40808498</v>
      </c>
      <c r="I24" s="18" t="n">
        <v>0</v>
      </c>
      <c r="J24" s="20" t="n">
        <v>0</v>
      </c>
      <c r="K24" s="18" t="n">
        <v>0.35231933</v>
      </c>
      <c r="L24" s="20" t="n">
        <v>0.15665203</v>
      </c>
      <c r="M24" s="18" t="n">
        <v>0</v>
      </c>
      <c r="N24" s="20" t="n">
        <v>0</v>
      </c>
      <c r="O24" s="18" t="n">
        <v>0</v>
      </c>
      <c r="P24" s="20" t="n">
        <v>0</v>
      </c>
      <c r="Q24" s="18" t="n">
        <v>1.19989002</v>
      </c>
      <c r="R24" s="20" t="n">
        <v>0.27839608</v>
      </c>
    </row>
    <row r="25" spans="1:18">
      <c r="A25" s="15" t="s">
        <v>583</v>
      </c>
      <c r="B25" s="17" t="n">
        <v>5581</v>
      </c>
      <c r="C25" s="18">
        <f>(4322.0/B25*100)</f>
        <v/>
      </c>
      <c r="D25" s="19" t="n">
        <v>1259</v>
      </c>
      <c r="E25" s="18" t="n">
        <v>31.33283346</v>
      </c>
      <c r="F25" s="20" t="n">
        <v>1.36317365</v>
      </c>
      <c r="G25" s="18" t="n">
        <v>67.67676043</v>
      </c>
      <c r="H25" s="20" t="n">
        <v>1.42505612</v>
      </c>
      <c r="I25" s="18" t="n">
        <v>0</v>
      </c>
      <c r="J25" s="20" t="n">
        <v>0</v>
      </c>
      <c r="K25" s="18" t="n">
        <v>0.22656508</v>
      </c>
      <c r="L25" s="20" t="n">
        <v>0.13131257</v>
      </c>
      <c r="M25" s="18" t="n">
        <v>0</v>
      </c>
      <c r="N25" s="20" t="n">
        <v>0</v>
      </c>
      <c r="O25" s="18" t="n">
        <v>0</v>
      </c>
      <c r="P25" s="20" t="n">
        <v>0</v>
      </c>
      <c r="Q25" s="18" t="n">
        <v>0.76384103</v>
      </c>
      <c r="R25" s="20" t="n">
        <v>0.25688819</v>
      </c>
    </row>
    <row r="26" spans="1:18">
      <c r="A26" s="15" t="s">
        <v>584</v>
      </c>
      <c r="B26" s="17" t="n">
        <v>4869</v>
      </c>
      <c r="C26" s="18">
        <f>(3795.0/B26*100)</f>
        <v/>
      </c>
      <c r="D26" s="19" t="n">
        <v>1074</v>
      </c>
      <c r="E26" s="18" t="n">
        <v>45.44370746</v>
      </c>
      <c r="F26" s="20" t="n">
        <v>1.57995499</v>
      </c>
      <c r="G26" s="18" t="n">
        <v>53.87055625</v>
      </c>
      <c r="H26" s="20" t="n">
        <v>1.60550618</v>
      </c>
      <c r="I26" s="18" t="n">
        <v>0</v>
      </c>
      <c r="J26" s="20" t="n">
        <v>0</v>
      </c>
      <c r="K26" s="18" t="n">
        <v>0</v>
      </c>
      <c r="L26" s="20" t="n">
        <v>0</v>
      </c>
      <c r="M26" s="18" t="n">
        <v>0</v>
      </c>
      <c r="N26" s="20" t="n">
        <v>0</v>
      </c>
      <c r="O26" s="18" t="n">
        <v>0</v>
      </c>
      <c r="P26" s="20" t="n">
        <v>0</v>
      </c>
      <c r="Q26" s="18" t="n">
        <v>0.68573629</v>
      </c>
      <c r="R26" s="20" t="n">
        <v>0.2511579</v>
      </c>
    </row>
    <row r="27" spans="1:18">
      <c r="A27" s="15" t="s">
        <v>585</v>
      </c>
      <c r="B27" s="17" t="n">
        <v>5299</v>
      </c>
      <c r="C27" s="18">
        <f>(4139.0/B27*100)</f>
        <v/>
      </c>
      <c r="D27" s="19" t="n">
        <v>1160</v>
      </c>
      <c r="E27" s="18" t="n">
        <v>43.17640956</v>
      </c>
      <c r="F27" s="20" t="n">
        <v>1.39175239</v>
      </c>
      <c r="G27" s="18" t="n">
        <v>54.65103746</v>
      </c>
      <c r="H27" s="20" t="n">
        <v>1.43922923</v>
      </c>
      <c r="I27" s="18" t="n">
        <v>0</v>
      </c>
      <c r="J27" s="20" t="n">
        <v>0</v>
      </c>
      <c r="K27" s="18" t="n">
        <v>0.17181805</v>
      </c>
      <c r="L27" s="20" t="n">
        <v>0.12213628</v>
      </c>
      <c r="M27" s="18" t="n">
        <v>0</v>
      </c>
      <c r="N27" s="20" t="n">
        <v>0</v>
      </c>
      <c r="O27" s="18" t="n">
        <v>0</v>
      </c>
      <c r="P27" s="20" t="n">
        <v>0</v>
      </c>
      <c r="Q27" s="18" t="n">
        <v>2.00073493</v>
      </c>
      <c r="R27" s="20" t="n">
        <v>0.38132774</v>
      </c>
    </row>
    <row r="28" spans="1:18">
      <c r="A28" s="15" t="s">
        <v>586</v>
      </c>
      <c r="B28" s="17" t="n">
        <v>7568</v>
      </c>
      <c r="C28" s="18">
        <f>(6038.0/B28*100)</f>
        <v/>
      </c>
      <c r="D28" s="19" t="n">
        <v>1530</v>
      </c>
      <c r="E28" s="18" t="n">
        <v>71.2811154</v>
      </c>
      <c r="F28" s="20" t="n">
        <v>1.44968315</v>
      </c>
      <c r="G28" s="18" t="n">
        <v>27.11439422</v>
      </c>
      <c r="H28" s="20" t="n">
        <v>1.4464139</v>
      </c>
      <c r="I28" s="18" t="n">
        <v>0</v>
      </c>
      <c r="J28" s="20" t="n">
        <v>0</v>
      </c>
      <c r="K28" s="18" t="n">
        <v>0.52608352</v>
      </c>
      <c r="L28" s="20" t="n">
        <v>0.2369832</v>
      </c>
      <c r="M28" s="18" t="n">
        <v>0</v>
      </c>
      <c r="N28" s="20" t="n">
        <v>0</v>
      </c>
      <c r="O28" s="18" t="n">
        <v>0</v>
      </c>
      <c r="P28" s="20" t="n">
        <v>0</v>
      </c>
      <c r="Q28" s="18" t="n">
        <v>1.07840685</v>
      </c>
      <c r="R28" s="20" t="n">
        <v>0.2695215</v>
      </c>
    </row>
    <row r="29" spans="1:18">
      <c r="A29" s="15" t="s">
        <v>587</v>
      </c>
      <c r="B29" s="17" t="n">
        <v>5385</v>
      </c>
      <c r="C29" s="18">
        <f>(4191.0/B29*100)</f>
        <v/>
      </c>
      <c r="D29" s="19" t="n">
        <v>1194</v>
      </c>
      <c r="E29" s="18" t="n">
        <v>32.7246922</v>
      </c>
      <c r="F29" s="20" t="n">
        <v>1.86532533</v>
      </c>
      <c r="G29" s="18" t="n">
        <v>65.93746793</v>
      </c>
      <c r="H29" s="20" t="n">
        <v>1.92428042</v>
      </c>
      <c r="I29" s="18" t="n">
        <v>0</v>
      </c>
      <c r="J29" s="20" t="n">
        <v>0</v>
      </c>
      <c r="K29" s="18" t="n">
        <v>0.14629285</v>
      </c>
      <c r="L29" s="20" t="n">
        <v>0.11011879</v>
      </c>
      <c r="M29" s="18" t="n">
        <v>0</v>
      </c>
      <c r="N29" s="20" t="n">
        <v>0</v>
      </c>
      <c r="O29" s="18" t="n">
        <v>0</v>
      </c>
      <c r="P29" s="20" t="n">
        <v>0</v>
      </c>
      <c r="Q29" s="18" t="n">
        <v>1.19154702</v>
      </c>
      <c r="R29" s="20" t="n">
        <v>0.35014705</v>
      </c>
    </row>
    <row r="30" spans="1:18">
      <c r="A30" s="15" t="s">
        <v>588</v>
      </c>
      <c r="B30" s="17" t="n">
        <v>4520</v>
      </c>
      <c r="C30" s="18">
        <f>(3554.0/B30*100)</f>
        <v/>
      </c>
      <c r="D30" s="19" t="n">
        <v>966</v>
      </c>
      <c r="E30" s="18" t="n">
        <v>42.19483677</v>
      </c>
      <c r="F30" s="20" t="n">
        <v>1.61822529</v>
      </c>
      <c r="G30" s="18" t="n">
        <v>53.70574592</v>
      </c>
      <c r="H30" s="20" t="n">
        <v>1.57020225</v>
      </c>
      <c r="I30" s="18" t="n">
        <v>0</v>
      </c>
      <c r="J30" s="20" t="n">
        <v>0</v>
      </c>
      <c r="K30" s="18" t="n">
        <v>0.4687363</v>
      </c>
      <c r="L30" s="20" t="n">
        <v>0.23316219</v>
      </c>
      <c r="M30" s="18" t="n">
        <v>0</v>
      </c>
      <c r="N30" s="20" t="n">
        <v>0</v>
      </c>
      <c r="O30" s="18" t="n">
        <v>0</v>
      </c>
      <c r="P30" s="20" t="n">
        <v>0</v>
      </c>
      <c r="Q30" s="18" t="n">
        <v>3.63068101</v>
      </c>
      <c r="R30" s="20" t="n">
        <v>0.69573127</v>
      </c>
    </row>
    <row r="31" spans="1:18">
      <c r="A31" s="15" t="s">
        <v>589</v>
      </c>
      <c r="B31" s="17" t="n">
        <v>5456</v>
      </c>
      <c r="C31" s="18">
        <f>(4252.0/B31*100)</f>
        <v/>
      </c>
      <c r="D31" s="19" t="n">
        <v>1204</v>
      </c>
      <c r="E31" s="18" t="n">
        <v>36.76664689</v>
      </c>
      <c r="F31" s="20" t="n">
        <v>1.54547354</v>
      </c>
      <c r="G31" s="18" t="n">
        <v>60.61037939</v>
      </c>
      <c r="H31" s="20" t="n">
        <v>1.65396359</v>
      </c>
      <c r="I31" s="18" t="n">
        <v>0</v>
      </c>
      <c r="J31" s="20" t="n">
        <v>0</v>
      </c>
      <c r="K31" s="18" t="n">
        <v>0.23232758</v>
      </c>
      <c r="L31" s="20" t="n">
        <v>0.13109361</v>
      </c>
      <c r="M31" s="18" t="n">
        <v>0</v>
      </c>
      <c r="N31" s="20" t="n">
        <v>0</v>
      </c>
      <c r="O31" s="18" t="n">
        <v>0</v>
      </c>
      <c r="P31" s="20" t="n">
        <v>0</v>
      </c>
      <c r="Q31" s="18" t="n">
        <v>2.39064614</v>
      </c>
      <c r="R31" s="20" t="n">
        <v>0.43263057</v>
      </c>
    </row>
    <row r="32" spans="1:18">
      <c r="A32" s="15" t="s">
        <v>590</v>
      </c>
      <c r="B32" s="17" t="n">
        <v>4478</v>
      </c>
      <c r="C32" s="18">
        <f>(3483.0/B32*100)</f>
        <v/>
      </c>
      <c r="D32" s="19" t="n">
        <v>995</v>
      </c>
      <c r="E32" s="18" t="n">
        <v>44.87760243</v>
      </c>
      <c r="F32" s="20" t="n">
        <v>1.88577251</v>
      </c>
      <c r="G32" s="18" t="n">
        <v>53.73208381</v>
      </c>
      <c r="H32" s="20" t="n">
        <v>1.9153848</v>
      </c>
      <c r="I32" s="18" t="n">
        <v>0</v>
      </c>
      <c r="J32" s="20" t="n">
        <v>0</v>
      </c>
      <c r="K32" s="18" t="n">
        <v>0.12373944</v>
      </c>
      <c r="L32" s="20" t="n">
        <v>0.12748041</v>
      </c>
      <c r="M32" s="18" t="n">
        <v>0</v>
      </c>
      <c r="N32" s="20" t="n">
        <v>0</v>
      </c>
      <c r="O32" s="18" t="n">
        <v>0</v>
      </c>
      <c r="P32" s="20" t="n">
        <v>0</v>
      </c>
      <c r="Q32" s="18" t="n">
        <v>1.26657431</v>
      </c>
      <c r="R32" s="20" t="n">
        <v>0.38826279</v>
      </c>
    </row>
    <row r="33" spans="1:18">
      <c r="A33" s="15" t="s">
        <v>591</v>
      </c>
      <c r="B33" s="17" t="n">
        <v>7325</v>
      </c>
      <c r="C33" s="18">
        <f>(5722.0/B33*100)</f>
        <v/>
      </c>
      <c r="D33" s="19" t="n">
        <v>1603</v>
      </c>
      <c r="E33" s="18" t="n">
        <v>38.27481938</v>
      </c>
      <c r="F33" s="20" t="n">
        <v>1.55442039</v>
      </c>
      <c r="G33" s="18" t="n">
        <v>59.66022745</v>
      </c>
      <c r="H33" s="20" t="n">
        <v>1.58613886</v>
      </c>
      <c r="I33" s="18" t="n">
        <v>0</v>
      </c>
      <c r="J33" s="20" t="n">
        <v>0</v>
      </c>
      <c r="K33" s="18" t="n">
        <v>0.48933692</v>
      </c>
      <c r="L33" s="20" t="n">
        <v>0.21453062</v>
      </c>
      <c r="M33" s="18" t="n">
        <v>0</v>
      </c>
      <c r="N33" s="20" t="n">
        <v>0</v>
      </c>
      <c r="O33" s="18" t="n">
        <v>0</v>
      </c>
      <c r="P33" s="20" t="n">
        <v>0</v>
      </c>
      <c r="Q33" s="18" t="n">
        <v>1.57561625</v>
      </c>
      <c r="R33" s="20" t="n">
        <v>0.42029832</v>
      </c>
    </row>
    <row r="34" spans="1:18">
      <c r="A34" s="15" t="s">
        <v>592</v>
      </c>
      <c r="B34" s="17" t="n">
        <v>6350</v>
      </c>
      <c r="C34" s="18">
        <f>(4980.0/B34*100)</f>
        <v/>
      </c>
      <c r="D34" s="19" t="n">
        <v>1370</v>
      </c>
      <c r="E34" s="18" t="n">
        <v>45.87229943</v>
      </c>
      <c r="F34" s="20" t="n">
        <v>1.39757365</v>
      </c>
      <c r="G34" s="18" t="n">
        <v>52.3133212</v>
      </c>
      <c r="H34" s="20" t="n">
        <v>1.44314301</v>
      </c>
      <c r="I34" s="18" t="n">
        <v>0</v>
      </c>
      <c r="J34" s="20" t="n">
        <v>0</v>
      </c>
      <c r="K34" s="18" t="n">
        <v>0.12309626</v>
      </c>
      <c r="L34" s="20" t="n">
        <v>0.06062573</v>
      </c>
      <c r="M34" s="18" t="n">
        <v>0</v>
      </c>
      <c r="N34" s="20" t="n">
        <v>0</v>
      </c>
      <c r="O34" s="18" t="n">
        <v>0</v>
      </c>
      <c r="P34" s="20" t="n">
        <v>0</v>
      </c>
      <c r="Q34" s="18" t="n">
        <v>1.69128312</v>
      </c>
      <c r="R34" s="20" t="n">
        <v>0.43123758</v>
      </c>
    </row>
    <row r="35" spans="1:18">
      <c r="A35" s="15" t="s">
        <v>593</v>
      </c>
      <c r="B35" s="17" t="n">
        <v>6406</v>
      </c>
      <c r="C35" s="18">
        <f>(5034.0/B35*100)</f>
        <v/>
      </c>
      <c r="D35" s="19" t="n">
        <v>1372</v>
      </c>
      <c r="E35" s="18" t="n">
        <v>32.44504264</v>
      </c>
      <c r="F35" s="20" t="n">
        <v>1.54121362</v>
      </c>
      <c r="G35" s="18" t="n">
        <v>65.74802921</v>
      </c>
      <c r="H35" s="20" t="n">
        <v>1.61303865</v>
      </c>
      <c r="I35" s="18" t="n">
        <v>0</v>
      </c>
      <c r="J35" s="20" t="n">
        <v>0</v>
      </c>
      <c r="K35" s="18" t="n">
        <v>0.59904929</v>
      </c>
      <c r="L35" s="20" t="n">
        <v>0.39871016</v>
      </c>
      <c r="M35" s="18" t="n">
        <v>0</v>
      </c>
      <c r="N35" s="20" t="n">
        <v>0</v>
      </c>
      <c r="O35" s="18" t="n">
        <v>0</v>
      </c>
      <c r="P35" s="20" t="n">
        <v>0</v>
      </c>
      <c r="Q35" s="18" t="n">
        <v>1.20787886</v>
      </c>
      <c r="R35" s="20" t="n">
        <v>0.31397693</v>
      </c>
    </row>
    <row r="36" spans="1:18">
      <c r="A36" s="15" t="s">
        <v>594</v>
      </c>
      <c r="B36" s="17" t="n">
        <v>6736</v>
      </c>
      <c r="C36" s="18">
        <f>(5282.0/B36*100)</f>
        <v/>
      </c>
      <c r="D36" s="19" t="n">
        <v>1454</v>
      </c>
      <c r="E36" s="18" t="n">
        <v>46.65222002</v>
      </c>
      <c r="F36" s="20" t="n">
        <v>1.09672666</v>
      </c>
      <c r="G36" s="18" t="n">
        <v>50.74092601</v>
      </c>
      <c r="H36" s="20" t="n">
        <v>1.16998682</v>
      </c>
      <c r="I36" s="18" t="n">
        <v>0</v>
      </c>
      <c r="J36" s="20" t="n">
        <v>0</v>
      </c>
      <c r="K36" s="18" t="n">
        <v>0.20597923</v>
      </c>
      <c r="L36" s="20" t="n">
        <v>0.15419702</v>
      </c>
      <c r="M36" s="18" t="n">
        <v>0</v>
      </c>
      <c r="N36" s="20" t="n">
        <v>0</v>
      </c>
      <c r="O36" s="18" t="n">
        <v>0</v>
      </c>
      <c r="P36" s="20" t="n">
        <v>0</v>
      </c>
      <c r="Q36" s="18" t="n">
        <v>2.40087473</v>
      </c>
      <c r="R36" s="20" t="n">
        <v>0.51916882</v>
      </c>
    </row>
    <row r="37" spans="1:18">
      <c r="A37" s="15" t="s">
        <v>595</v>
      </c>
      <c r="B37" s="17" t="n">
        <v>5458</v>
      </c>
      <c r="C37" s="18">
        <f>(4254.0/B37*100)</f>
        <v/>
      </c>
      <c r="D37" s="19" t="n">
        <v>1204</v>
      </c>
      <c r="E37" s="18" t="n">
        <v>34.11902938</v>
      </c>
      <c r="F37" s="20" t="n">
        <v>1.74887331</v>
      </c>
      <c r="G37" s="18" t="n">
        <v>61.03537391</v>
      </c>
      <c r="H37" s="20" t="n">
        <v>1.95925839</v>
      </c>
      <c r="I37" s="18" t="n">
        <v>0</v>
      </c>
      <c r="J37" s="20" t="n">
        <v>0</v>
      </c>
      <c r="K37" s="18" t="n">
        <v>0.49460563</v>
      </c>
      <c r="L37" s="20" t="n">
        <v>0.20503497</v>
      </c>
      <c r="M37" s="18" t="n">
        <v>0</v>
      </c>
      <c r="N37" s="20" t="n">
        <v>0</v>
      </c>
      <c r="O37" s="18" t="n">
        <v>0</v>
      </c>
      <c r="P37" s="20" t="n">
        <v>0</v>
      </c>
      <c r="Q37" s="18" t="n">
        <v>4.35099108</v>
      </c>
      <c r="R37" s="20" t="n">
        <v>0.69633966</v>
      </c>
    </row>
    <row r="38" spans="1:18">
      <c r="A38" s="15" t="s">
        <v>596</v>
      </c>
      <c r="B38" s="17" t="n">
        <v>5860</v>
      </c>
      <c r="C38" s="18">
        <f>(4552.0/B38*100)</f>
        <v/>
      </c>
      <c r="D38" s="19" t="n">
        <v>1308</v>
      </c>
      <c r="E38" s="18" t="n">
        <v>36.7244549</v>
      </c>
      <c r="F38" s="20" t="n">
        <v>1.56663801</v>
      </c>
      <c r="G38" s="18" t="n">
        <v>60.14027272</v>
      </c>
      <c r="H38" s="20" t="n">
        <v>1.73013556</v>
      </c>
      <c r="I38" s="18" t="n">
        <v>0</v>
      </c>
      <c r="J38" s="20" t="n">
        <v>0</v>
      </c>
      <c r="K38" s="18" t="n">
        <v>0.08593719</v>
      </c>
      <c r="L38" s="20" t="n">
        <v>0.08573368000000001</v>
      </c>
      <c r="M38" s="18" t="n">
        <v>0</v>
      </c>
      <c r="N38" s="20" t="n">
        <v>0</v>
      </c>
      <c r="O38" s="18" t="n">
        <v>0</v>
      </c>
      <c r="P38" s="20" t="n">
        <v>0</v>
      </c>
      <c r="Q38" s="18" t="n">
        <v>3.04933519</v>
      </c>
      <c r="R38" s="20" t="n">
        <v>0.54127377</v>
      </c>
    </row>
    <row r="39" spans="1:18">
      <c r="A39" s="15" t="s">
        <v>597</v>
      </c>
      <c r="B39" s="17" t="n">
        <v>5895</v>
      </c>
      <c r="C39" s="18">
        <f>(4592.0/B39*100)</f>
        <v/>
      </c>
      <c r="D39" s="19" t="n">
        <v>1303</v>
      </c>
      <c r="E39" s="18" t="n">
        <v>63.7044742</v>
      </c>
      <c r="F39" s="20" t="n">
        <v>2.12109674</v>
      </c>
      <c r="G39" s="18" t="n">
        <v>34.87874614</v>
      </c>
      <c r="H39" s="20" t="n">
        <v>2.15600362</v>
      </c>
      <c r="I39" s="18" t="n">
        <v>0</v>
      </c>
      <c r="J39" s="20" t="n">
        <v>0</v>
      </c>
      <c r="K39" s="18" t="n">
        <v>0.28265239</v>
      </c>
      <c r="L39" s="20" t="n">
        <v>0.14779858</v>
      </c>
      <c r="M39" s="18" t="n">
        <v>0</v>
      </c>
      <c r="N39" s="20" t="n">
        <v>0</v>
      </c>
      <c r="O39" s="18" t="n">
        <v>0</v>
      </c>
      <c r="P39" s="20" t="n">
        <v>0</v>
      </c>
      <c r="Q39" s="18" t="n">
        <v>1.13412726</v>
      </c>
      <c r="R39" s="20" t="n">
        <v>0.33189678</v>
      </c>
    </row>
    <row r="40" spans="1:18">
      <c r="A40" s="15" t="s">
        <v>598</v>
      </c>
      <c r="B40" s="17" t="n">
        <v>14157</v>
      </c>
      <c r="C40" s="18">
        <f>(10979.0/B40*100)</f>
        <v/>
      </c>
      <c r="D40" s="19" t="n">
        <v>3178</v>
      </c>
      <c r="E40" s="18" t="n">
        <v>41.52765715</v>
      </c>
      <c r="F40" s="20" t="n">
        <v>1.27436879</v>
      </c>
      <c r="G40" s="18" t="n">
        <v>56.25550368</v>
      </c>
      <c r="H40" s="20" t="n">
        <v>1.26919036</v>
      </c>
      <c r="I40" s="18" t="n">
        <v>0</v>
      </c>
      <c r="J40" s="20" t="n">
        <v>0</v>
      </c>
      <c r="K40" s="18" t="n">
        <v>0.12121771</v>
      </c>
      <c r="L40" s="20" t="n">
        <v>0.08161468</v>
      </c>
      <c r="M40" s="18" t="n">
        <v>0</v>
      </c>
      <c r="N40" s="20" t="n">
        <v>0</v>
      </c>
      <c r="O40" s="18" t="n">
        <v>0</v>
      </c>
      <c r="P40" s="20" t="n">
        <v>0</v>
      </c>
      <c r="Q40" s="18" t="n">
        <v>2.09562145</v>
      </c>
      <c r="R40" s="20" t="n">
        <v>0.31475844</v>
      </c>
    </row>
    <row r="41" spans="1:18">
      <c r="A41" s="15" t="s">
        <v>599</v>
      </c>
      <c r="B41" s="17" t="n">
        <v>5712</v>
      </c>
      <c r="C41" s="18">
        <f>(4453.0/B41*100)</f>
        <v/>
      </c>
      <c r="D41" s="19" t="n">
        <v>1259</v>
      </c>
      <c r="E41" s="18" t="n">
        <v>43.32432449</v>
      </c>
      <c r="F41" s="20" t="n">
        <v>1.62318235</v>
      </c>
      <c r="G41" s="18" t="n">
        <v>55.04497909</v>
      </c>
      <c r="H41" s="20" t="n">
        <v>1.72596761</v>
      </c>
      <c r="I41" s="18" t="n">
        <v>0</v>
      </c>
      <c r="J41" s="20" t="n">
        <v>0</v>
      </c>
      <c r="K41" s="18" t="n">
        <v>0.19079106</v>
      </c>
      <c r="L41" s="20" t="n">
        <v>0.1463105</v>
      </c>
      <c r="M41" s="18" t="n">
        <v>0</v>
      </c>
      <c r="N41" s="20" t="n">
        <v>0</v>
      </c>
      <c r="O41" s="18" t="n">
        <v>0</v>
      </c>
      <c r="P41" s="20" t="n">
        <v>0</v>
      </c>
      <c r="Q41" s="18" t="n">
        <v>1.43990536</v>
      </c>
      <c r="R41" s="20" t="n">
        <v>0.38214938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(18858.0/B46*100)</f>
        <v/>
      </c>
      <c r="D46" s="19" t="n">
        <v>4283</v>
      </c>
      <c r="E46" s="18" t="n">
        <v>71.57767267</v>
      </c>
      <c r="F46" s="20" t="n">
        <v>1.23313944</v>
      </c>
      <c r="G46" s="18" t="n">
        <v>24.30748264</v>
      </c>
      <c r="H46" s="20" t="n">
        <v>1.1428763</v>
      </c>
      <c r="I46" s="18" t="n">
        <v>0</v>
      </c>
      <c r="J46" s="20" t="n">
        <v>0</v>
      </c>
      <c r="K46" s="18" t="n">
        <v>0.92052312</v>
      </c>
      <c r="L46" s="20" t="n">
        <v>0.21292171</v>
      </c>
      <c r="M46" s="18" t="n">
        <v>0</v>
      </c>
      <c r="N46" s="20" t="n">
        <v>0</v>
      </c>
      <c r="O46" s="18" t="n">
        <v>0</v>
      </c>
      <c r="P46" s="20" t="n">
        <v>0</v>
      </c>
      <c r="Q46" s="18" t="n">
        <v>3.19432157</v>
      </c>
      <c r="R46" s="20" t="n">
        <v>0.44708606</v>
      </c>
    </row>
    <row r="47" spans="1:18">
      <c r="A47" s="15" t="s">
        <v>606</v>
      </c>
      <c r="B47" s="17" t="n">
        <v>5928</v>
      </c>
      <c r="C47" s="18">
        <f>(4650.0/B47*100)</f>
        <v/>
      </c>
      <c r="D47" s="19" t="n">
        <v>1278</v>
      </c>
      <c r="E47" s="18" t="n">
        <v>54.25603444</v>
      </c>
      <c r="F47" s="20" t="n">
        <v>1.7284974</v>
      </c>
      <c r="G47" s="18" t="n">
        <v>41.99719305</v>
      </c>
      <c r="H47" s="20" t="n">
        <v>1.74612411</v>
      </c>
      <c r="I47" s="18" t="n">
        <v>0</v>
      </c>
      <c r="J47" s="20" t="n">
        <v>0</v>
      </c>
      <c r="K47" s="18" t="n">
        <v>0.07556354999999999</v>
      </c>
      <c r="L47" s="20" t="n">
        <v>0.07527116</v>
      </c>
      <c r="M47" s="18" t="n">
        <v>0</v>
      </c>
      <c r="N47" s="20" t="n">
        <v>0</v>
      </c>
      <c r="O47" s="18" t="n">
        <v>0</v>
      </c>
      <c r="P47" s="20" t="n">
        <v>0</v>
      </c>
      <c r="Q47" s="18" t="n">
        <v>3.67120896</v>
      </c>
      <c r="R47" s="20" t="n">
        <v>0.48821685</v>
      </c>
    </row>
    <row r="48" spans="1:18">
      <c r="A48" s="15" t="s">
        <v>607</v>
      </c>
      <c r="B48" s="17" t="n">
        <v>9841</v>
      </c>
      <c r="C48" s="18">
        <f>(7634.0/B48*100)</f>
        <v/>
      </c>
      <c r="D48" s="19" t="n">
        <v>2207</v>
      </c>
      <c r="E48" s="18" t="n">
        <v>42.65665327</v>
      </c>
      <c r="F48" s="20" t="n">
        <v>1.89383562</v>
      </c>
      <c r="G48" s="18" t="n">
        <v>56.61836789</v>
      </c>
      <c r="H48" s="20" t="n">
        <v>1.93497131</v>
      </c>
      <c r="I48" s="18" t="n">
        <v>0</v>
      </c>
      <c r="J48" s="20" t="n">
        <v>0</v>
      </c>
      <c r="K48" s="18" t="n">
        <v>0.14629107</v>
      </c>
      <c r="L48" s="20" t="n">
        <v>0.09084964</v>
      </c>
      <c r="M48" s="18" t="n">
        <v>0</v>
      </c>
      <c r="N48" s="20" t="n">
        <v>0</v>
      </c>
      <c r="O48" s="18" t="n">
        <v>0</v>
      </c>
      <c r="P48" s="20" t="n">
        <v>0</v>
      </c>
      <c r="Q48" s="18" t="n">
        <v>0.57868777</v>
      </c>
      <c r="R48" s="20" t="n">
        <v>0.21384616</v>
      </c>
    </row>
    <row r="49" spans="1:18">
      <c r="A49" s="15" t="s">
        <v>608</v>
      </c>
      <c r="B49" s="17" t="n">
        <v>11795</v>
      </c>
      <c r="C49" s="18">
        <f>(9240.0/B49*100)</f>
        <v/>
      </c>
      <c r="D49" s="19" t="n">
        <v>2555</v>
      </c>
      <c r="E49" s="18" t="n">
        <v>68.75237817</v>
      </c>
      <c r="F49" s="20" t="n">
        <v>1.33190621</v>
      </c>
      <c r="G49" s="18" t="n">
        <v>28.10084204</v>
      </c>
      <c r="H49" s="20" t="n">
        <v>1.33323843</v>
      </c>
      <c r="I49" s="18" t="n">
        <v>0</v>
      </c>
      <c r="J49" s="20" t="n">
        <v>0</v>
      </c>
      <c r="K49" s="18" t="n">
        <v>1.11617096</v>
      </c>
      <c r="L49" s="20" t="n">
        <v>0.22402639</v>
      </c>
      <c r="M49" s="18" t="n">
        <v>0</v>
      </c>
      <c r="N49" s="20" t="n">
        <v>0</v>
      </c>
      <c r="O49" s="18" t="n">
        <v>0</v>
      </c>
      <c r="P49" s="20" t="n">
        <v>0</v>
      </c>
      <c r="Q49" s="18" t="n">
        <v>2.03060883</v>
      </c>
      <c r="R49" s="20" t="n">
        <v>0.34247661</v>
      </c>
    </row>
    <row r="50" spans="1:18">
      <c r="A50" s="15" t="s">
        <v>609</v>
      </c>
      <c r="B50" s="17" t="n">
        <v>6866</v>
      </c>
      <c r="C50" s="18">
        <f>(5561.0/B50*100)</f>
        <v/>
      </c>
      <c r="D50" s="19" t="n">
        <v>1305</v>
      </c>
      <c r="E50" s="18" t="n">
        <v>68.4746899</v>
      </c>
      <c r="F50" s="20" t="n">
        <v>1.25066425</v>
      </c>
      <c r="G50" s="18" t="n">
        <v>29.1785578</v>
      </c>
      <c r="H50" s="20" t="n">
        <v>1.29354785</v>
      </c>
      <c r="I50" s="18" t="n">
        <v>0</v>
      </c>
      <c r="J50" s="20" t="n">
        <v>0</v>
      </c>
      <c r="K50" s="18" t="n">
        <v>0.22748045</v>
      </c>
      <c r="L50" s="20" t="n">
        <v>0.1329526</v>
      </c>
      <c r="M50" s="18" t="n">
        <v>0</v>
      </c>
      <c r="N50" s="20" t="n">
        <v>0</v>
      </c>
      <c r="O50" s="18" t="n">
        <v>0</v>
      </c>
      <c r="P50" s="20" t="n">
        <v>0</v>
      </c>
      <c r="Q50" s="18" t="n">
        <v>2.11927185</v>
      </c>
      <c r="R50" s="20" t="n">
        <v>0.38668187</v>
      </c>
    </row>
    <row r="51" spans="1:18">
      <c r="A51" s="15" t="s">
        <v>610</v>
      </c>
      <c r="B51" s="17" t="n">
        <v>5809</v>
      </c>
      <c r="C51" s="18">
        <f>(4507.0/B51*100)</f>
        <v/>
      </c>
      <c r="D51" s="19" t="n">
        <v>1302</v>
      </c>
      <c r="E51" s="18" t="n">
        <v>43.36663634</v>
      </c>
      <c r="F51" s="20" t="n">
        <v>1.46075871</v>
      </c>
      <c r="G51" s="18" t="n">
        <v>55.02231373</v>
      </c>
      <c r="H51" s="20" t="n">
        <v>1.5013947</v>
      </c>
      <c r="I51" s="18" t="n">
        <v>0</v>
      </c>
      <c r="J51" s="20" t="n">
        <v>0</v>
      </c>
      <c r="K51" s="18" t="n">
        <v>0</v>
      </c>
      <c r="L51" s="20" t="n">
        <v>0</v>
      </c>
      <c r="M51" s="18" t="n">
        <v>0</v>
      </c>
      <c r="N51" s="20" t="n">
        <v>0</v>
      </c>
      <c r="O51" s="18" t="n">
        <v>0</v>
      </c>
      <c r="P51" s="20" t="n">
        <v>0</v>
      </c>
      <c r="Q51" s="18" t="n">
        <v>1.61104993</v>
      </c>
      <c r="R51" s="20" t="n">
        <v>0.32575268</v>
      </c>
    </row>
    <row r="52" spans="1:18">
      <c r="A52" s="15" t="s">
        <v>611</v>
      </c>
      <c r="B52" s="17" t="n">
        <v>5571</v>
      </c>
      <c r="C52" s="18">
        <f>(4338.0/B52*100)</f>
        <v/>
      </c>
      <c r="D52" s="19" t="n">
        <v>1233</v>
      </c>
      <c r="E52" s="18" t="n">
        <v>63.21911641</v>
      </c>
      <c r="F52" s="20" t="n">
        <v>1.58345614</v>
      </c>
      <c r="G52" s="18" t="n">
        <v>33.42558124</v>
      </c>
      <c r="H52" s="20" t="n">
        <v>1.59100988</v>
      </c>
      <c r="I52" s="18" t="n">
        <v>0</v>
      </c>
      <c r="J52" s="20" t="n">
        <v>0</v>
      </c>
      <c r="K52" s="18" t="n">
        <v>0.1884872</v>
      </c>
      <c r="L52" s="20" t="n">
        <v>0.13400811</v>
      </c>
      <c r="M52" s="18" t="n">
        <v>0</v>
      </c>
      <c r="N52" s="20" t="n">
        <v>0</v>
      </c>
      <c r="O52" s="18" t="n">
        <v>0</v>
      </c>
      <c r="P52" s="20" t="n">
        <v>0</v>
      </c>
      <c r="Q52" s="18" t="n">
        <v>3.16681515</v>
      </c>
      <c r="R52" s="20" t="n">
        <v>0.55649068</v>
      </c>
    </row>
    <row r="53" spans="1:18">
      <c r="A53" s="15" t="s">
        <v>612</v>
      </c>
      <c r="B53" s="17" t="n">
        <v>4740</v>
      </c>
      <c r="C53" s="18">
        <f>(3721.0/B53*100)</f>
        <v/>
      </c>
      <c r="D53" s="19" t="n">
        <v>1019</v>
      </c>
      <c r="E53" s="18" t="n">
        <v>71.12968194</v>
      </c>
      <c r="F53" s="20" t="n">
        <v>1.59192918</v>
      </c>
      <c r="G53" s="18" t="n">
        <v>11.68199534</v>
      </c>
      <c r="H53" s="20" t="n">
        <v>1.15500047</v>
      </c>
      <c r="I53" s="18" t="n">
        <v>0</v>
      </c>
      <c r="J53" s="20" t="n">
        <v>0</v>
      </c>
      <c r="K53" s="18" t="n">
        <v>10.49759121</v>
      </c>
      <c r="L53" s="20" t="n">
        <v>1.14591235</v>
      </c>
      <c r="M53" s="18" t="n">
        <v>0</v>
      </c>
      <c r="N53" s="20" t="n">
        <v>0</v>
      </c>
      <c r="O53" s="18" t="n">
        <v>0</v>
      </c>
      <c r="P53" s="20" t="n">
        <v>0</v>
      </c>
      <c r="Q53" s="18" t="n">
        <v>6.69073151</v>
      </c>
      <c r="R53" s="20" t="n">
        <v>0.90613275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(4202.0/B55*100)</f>
        <v/>
      </c>
      <c r="D55" s="19" t="n">
        <v>1157</v>
      </c>
      <c r="E55" s="18" t="n">
        <v>35.0367018</v>
      </c>
      <c r="F55" s="20" t="n">
        <v>1.62826605</v>
      </c>
      <c r="G55" s="18" t="n">
        <v>63.88072326</v>
      </c>
      <c r="H55" s="20" t="n">
        <v>1.61152376</v>
      </c>
      <c r="I55" s="18" t="n">
        <v>0</v>
      </c>
      <c r="J55" s="20" t="n">
        <v>0</v>
      </c>
      <c r="K55" s="18" t="n">
        <v>0.1677587</v>
      </c>
      <c r="L55" s="20" t="n">
        <v>0.11894521</v>
      </c>
      <c r="M55" s="18" t="n">
        <v>0</v>
      </c>
      <c r="N55" s="20" t="n">
        <v>0</v>
      </c>
      <c r="O55" s="18" t="n">
        <v>0</v>
      </c>
      <c r="P55" s="20" t="n">
        <v>0</v>
      </c>
      <c r="Q55" s="18" t="n">
        <v>0.9148162399999999</v>
      </c>
      <c r="R55" s="20" t="n">
        <v>0.3030369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(5071.0/B61*100)</f>
        <v/>
      </c>
      <c r="D61" s="19" t="n">
        <v>1454</v>
      </c>
      <c r="E61" s="18" t="n">
        <v>51.26484367</v>
      </c>
      <c r="F61" s="20" t="n">
        <v>1.52485559</v>
      </c>
      <c r="G61" s="18" t="n">
        <v>45.95714991</v>
      </c>
      <c r="H61" s="20" t="n">
        <v>1.57321109</v>
      </c>
      <c r="I61" s="18" t="n">
        <v>0</v>
      </c>
      <c r="J61" s="20" t="n">
        <v>0</v>
      </c>
      <c r="K61" s="18" t="n">
        <v>0.33886721</v>
      </c>
      <c r="L61" s="20" t="n">
        <v>0.15552683</v>
      </c>
      <c r="M61" s="18" t="n">
        <v>0</v>
      </c>
      <c r="N61" s="20" t="n">
        <v>0</v>
      </c>
      <c r="O61" s="18" t="n">
        <v>0</v>
      </c>
      <c r="P61" s="20" t="n">
        <v>0</v>
      </c>
      <c r="Q61" s="18" t="n">
        <v>2.43913921</v>
      </c>
      <c r="R61" s="20" t="n">
        <v>0.6924512</v>
      </c>
    </row>
    <row r="62" spans="1:18">
      <c r="A62" s="15" t="s">
        <v>622</v>
      </c>
      <c r="B62" s="17" t="n">
        <v>4476</v>
      </c>
      <c r="C62" s="18">
        <f>(3487.0/B62*100)</f>
        <v/>
      </c>
      <c r="D62" s="19" t="n">
        <v>989</v>
      </c>
      <c r="E62" s="18" t="n">
        <v>29.97574784</v>
      </c>
      <c r="F62" s="20" t="n">
        <v>1.43511547</v>
      </c>
      <c r="G62" s="18" t="n">
        <v>69.82350255999999</v>
      </c>
      <c r="H62" s="20" t="n">
        <v>1.46283056</v>
      </c>
      <c r="I62" s="18" t="n">
        <v>0</v>
      </c>
      <c r="J62" s="20" t="n">
        <v>0</v>
      </c>
      <c r="K62" s="18" t="n">
        <v>0</v>
      </c>
      <c r="L62" s="20" t="n">
        <v>0</v>
      </c>
      <c r="M62" s="18" t="n">
        <v>0</v>
      </c>
      <c r="N62" s="20" t="n">
        <v>0</v>
      </c>
      <c r="O62" s="18" t="n">
        <v>0</v>
      </c>
      <c r="P62" s="20" t="n">
        <v>0</v>
      </c>
      <c r="Q62" s="18" t="n">
        <v>0.20074959</v>
      </c>
      <c r="R62" s="20" t="n">
        <v>0.14183706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(4463.0/B67*100)</f>
        <v/>
      </c>
      <c r="D67" s="19" t="n">
        <v>1202</v>
      </c>
      <c r="E67" s="18" t="n">
        <v>58.40902193</v>
      </c>
      <c r="F67" s="20" t="n">
        <v>1.48501619</v>
      </c>
      <c r="G67" s="18" t="n">
        <v>32.42974112</v>
      </c>
      <c r="H67" s="20" t="n">
        <v>1.47283031</v>
      </c>
      <c r="I67" s="18" t="n">
        <v>0</v>
      </c>
      <c r="J67" s="20" t="n">
        <v>0</v>
      </c>
      <c r="K67" s="18" t="n">
        <v>0.40819986</v>
      </c>
      <c r="L67" s="20" t="n">
        <v>0.18280866</v>
      </c>
      <c r="M67" s="18" t="n">
        <v>0</v>
      </c>
      <c r="N67" s="20" t="n">
        <v>0</v>
      </c>
      <c r="O67" s="18" t="n">
        <v>0</v>
      </c>
      <c r="P67" s="20" t="n">
        <v>0</v>
      </c>
      <c r="Q67" s="18" t="n">
        <v>8.753037089999999</v>
      </c>
      <c r="R67" s="20" t="n">
        <v>0.84288334</v>
      </c>
    </row>
    <row r="68" spans="1:18">
      <c r="A68" s="15" t="s">
        <v>628</v>
      </c>
      <c r="B68" s="17" t="n">
        <v>6971</v>
      </c>
      <c r="C68" s="18">
        <f>(5569.0/B68*100)</f>
        <v/>
      </c>
      <c r="D68" s="19" t="n">
        <v>1402</v>
      </c>
      <c r="E68" s="18" t="n">
        <v>74.95595439</v>
      </c>
      <c r="F68" s="20" t="n">
        <v>1.24311222</v>
      </c>
      <c r="G68" s="18" t="n">
        <v>23.33230593</v>
      </c>
      <c r="H68" s="20" t="n">
        <v>1.20932293</v>
      </c>
      <c r="I68" s="18" t="n">
        <v>0</v>
      </c>
      <c r="J68" s="20" t="n">
        <v>0</v>
      </c>
      <c r="K68" s="18" t="n">
        <v>0.07676557000000001</v>
      </c>
      <c r="L68" s="20" t="n">
        <v>0.07666916</v>
      </c>
      <c r="M68" s="18" t="n">
        <v>0</v>
      </c>
      <c r="N68" s="20" t="n">
        <v>0</v>
      </c>
      <c r="O68" s="18" t="n">
        <v>0</v>
      </c>
      <c r="P68" s="20" t="n">
        <v>0</v>
      </c>
      <c r="Q68" s="18" t="n">
        <v>1.63497411</v>
      </c>
      <c r="R68" s="20" t="n">
        <v>0.37747722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(9452.0/B70*100)</f>
        <v/>
      </c>
      <c r="D70" s="19" t="n">
        <v>2631</v>
      </c>
      <c r="E70" s="18" t="n">
        <v>64.83233654999999</v>
      </c>
      <c r="F70" s="20" t="n">
        <v>0.88489825</v>
      </c>
      <c r="G70" s="18" t="n">
        <v>27.97911168</v>
      </c>
      <c r="H70" s="20" t="n">
        <v>0.88128374</v>
      </c>
      <c r="I70" s="18" t="n">
        <v>0</v>
      </c>
      <c r="J70" s="20" t="n">
        <v>0</v>
      </c>
      <c r="K70" s="18" t="n">
        <v>1.49373088</v>
      </c>
      <c r="L70" s="20" t="n">
        <v>0.23293991</v>
      </c>
      <c r="M70" s="18" t="n">
        <v>0</v>
      </c>
      <c r="N70" s="20" t="n">
        <v>0</v>
      </c>
      <c r="O70" s="18" t="n">
        <v>0</v>
      </c>
      <c r="P70" s="20" t="n">
        <v>0</v>
      </c>
      <c r="Q70" s="18" t="n">
        <v>5.6948209</v>
      </c>
      <c r="R70" s="20" t="n">
        <v>0.46611612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(4695.0/B72*100)</f>
        <v/>
      </c>
      <c r="D72" s="19" t="n">
        <v>1341</v>
      </c>
      <c r="E72" s="18" t="n">
        <v>44.55983785</v>
      </c>
      <c r="F72" s="20" t="n">
        <v>1.73866109</v>
      </c>
      <c r="G72" s="18" t="n">
        <v>54.23392235</v>
      </c>
      <c r="H72" s="20" t="n">
        <v>1.70219217</v>
      </c>
      <c r="I72" s="18" t="n">
        <v>0</v>
      </c>
      <c r="J72" s="20" t="n">
        <v>0</v>
      </c>
      <c r="K72" s="18" t="n">
        <v>0.12387782</v>
      </c>
      <c r="L72" s="20" t="n">
        <v>0.0728365</v>
      </c>
      <c r="M72" s="18" t="n">
        <v>0</v>
      </c>
      <c r="N72" s="20" t="n">
        <v>0</v>
      </c>
      <c r="O72" s="18" t="n">
        <v>0</v>
      </c>
      <c r="P72" s="20" t="n">
        <v>0</v>
      </c>
      <c r="Q72" s="18" t="n">
        <v>1.08236198</v>
      </c>
      <c r="R72" s="20" t="n">
        <v>0.26506661</v>
      </c>
    </row>
    <row r="73" spans="1:18">
      <c r="A73" s="15" t="s">
        <v>633</v>
      </c>
      <c r="B73" s="17" t="n">
        <v>6115</v>
      </c>
      <c r="C73" s="18">
        <f>(4737.0/B73*100)</f>
        <v/>
      </c>
      <c r="D73" s="19" t="n">
        <v>1378</v>
      </c>
      <c r="E73" s="18" t="n">
        <v>26.87911484</v>
      </c>
      <c r="F73" s="20" t="n">
        <v>1.08049881</v>
      </c>
      <c r="G73" s="18" t="n">
        <v>72.0679476</v>
      </c>
      <c r="H73" s="20" t="n">
        <v>1.13657184</v>
      </c>
      <c r="I73" s="18" t="n">
        <v>0</v>
      </c>
      <c r="J73" s="20" t="n">
        <v>0</v>
      </c>
      <c r="K73" s="18" t="n">
        <v>0.23361094</v>
      </c>
      <c r="L73" s="20" t="n">
        <v>0.13471973</v>
      </c>
      <c r="M73" s="18" t="n">
        <v>0</v>
      </c>
      <c r="N73" s="20" t="n">
        <v>0</v>
      </c>
      <c r="O73" s="18" t="n">
        <v>0</v>
      </c>
      <c r="P73" s="20" t="n">
        <v>0</v>
      </c>
      <c r="Q73" s="18" t="n">
        <v>0.81932662</v>
      </c>
      <c r="R73" s="20" t="n">
        <v>0.20057712</v>
      </c>
    </row>
    <row r="74" spans="1:18">
      <c r="A74" s="15" t="s">
        <v>634</v>
      </c>
      <c r="B74" s="17" t="n">
        <v>7708</v>
      </c>
      <c r="C74" s="18">
        <f>(5959.0/B74*100)</f>
        <v/>
      </c>
      <c r="D74" s="19" t="n">
        <v>1749</v>
      </c>
      <c r="E74" s="18" t="n">
        <v>31.89384911</v>
      </c>
      <c r="F74" s="20" t="n">
        <v>1.39051903</v>
      </c>
      <c r="G74" s="18" t="n">
        <v>67.57514236999999</v>
      </c>
      <c r="H74" s="20" t="n">
        <v>1.41532027</v>
      </c>
      <c r="I74" s="18" t="n">
        <v>0</v>
      </c>
      <c r="J74" s="20" t="n">
        <v>0</v>
      </c>
      <c r="K74" s="18" t="n">
        <v>0.07469335000000001</v>
      </c>
      <c r="L74" s="20" t="n">
        <v>0.07493531</v>
      </c>
      <c r="M74" s="18" t="n">
        <v>0</v>
      </c>
      <c r="N74" s="20" t="n">
        <v>0</v>
      </c>
      <c r="O74" s="18" t="n">
        <v>0</v>
      </c>
      <c r="P74" s="20" t="n">
        <v>0</v>
      </c>
      <c r="Q74" s="18" t="n">
        <v>0.45631517</v>
      </c>
      <c r="R74" s="20" t="n">
        <v>0.15871971</v>
      </c>
    </row>
    <row r="75" spans="1:18">
      <c r="A75" s="15" t="s">
        <v>635</v>
      </c>
      <c r="B75" s="17" t="n">
        <v>8249</v>
      </c>
      <c r="C75" s="18">
        <f>(6470.0/B75*100)</f>
        <v/>
      </c>
      <c r="D75" s="19" t="n">
        <v>1779</v>
      </c>
      <c r="E75" s="18" t="n">
        <v>65.17134325000001</v>
      </c>
      <c r="F75" s="20" t="n">
        <v>1.71706773</v>
      </c>
      <c r="G75" s="18" t="n">
        <v>33.28709481</v>
      </c>
      <c r="H75" s="20" t="n">
        <v>1.66536741</v>
      </c>
      <c r="I75" s="18" t="n">
        <v>0</v>
      </c>
      <c r="J75" s="20" t="n">
        <v>0</v>
      </c>
      <c r="K75" s="18" t="n">
        <v>0</v>
      </c>
      <c r="L75" s="20" t="n">
        <v>0</v>
      </c>
      <c r="M75" s="18" t="n">
        <v>0</v>
      </c>
      <c r="N75" s="20" t="n">
        <v>0</v>
      </c>
      <c r="O75" s="18" t="n">
        <v>0</v>
      </c>
      <c r="P75" s="20" t="n">
        <v>0</v>
      </c>
      <c r="Q75" s="18" t="n">
        <v>1.54156194</v>
      </c>
      <c r="R75" s="20" t="n">
        <v>0.36733839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(4285.0/B77*100)</f>
        <v/>
      </c>
      <c r="D77" s="19" t="n">
        <v>1090</v>
      </c>
      <c r="E77" s="18" t="n">
        <v>76.62147778000001</v>
      </c>
      <c r="F77" s="20" t="n">
        <v>1.51930627</v>
      </c>
      <c r="G77" s="18" t="n">
        <v>17.44791119</v>
      </c>
      <c r="H77" s="20" t="n">
        <v>1.44774702</v>
      </c>
      <c r="I77" s="18" t="n">
        <v>0</v>
      </c>
      <c r="J77" s="20" t="n">
        <v>0</v>
      </c>
      <c r="K77" s="18" t="n">
        <v>2.07729778</v>
      </c>
      <c r="L77" s="20" t="n">
        <v>0.50611255</v>
      </c>
      <c r="M77" s="18" t="n">
        <v>0</v>
      </c>
      <c r="N77" s="20" t="n">
        <v>0</v>
      </c>
      <c r="O77" s="18" t="n">
        <v>0</v>
      </c>
      <c r="P77" s="20" t="n">
        <v>0</v>
      </c>
      <c r="Q77" s="18" t="n">
        <v>3.85331326</v>
      </c>
      <c r="R77" s="20" t="n">
        <v>0.58803713</v>
      </c>
    </row>
    <row r="78" spans="1:18">
      <c r="A78" s="15" t="s">
        <v>638</v>
      </c>
      <c r="B78" s="17" t="n">
        <v>14167</v>
      </c>
      <c r="C78" s="18">
        <f>(11056.0/B78*100)</f>
        <v/>
      </c>
      <c r="D78" s="19" t="n">
        <v>3111</v>
      </c>
      <c r="E78" s="18" t="n">
        <v>63.05366393</v>
      </c>
      <c r="F78" s="20" t="n">
        <v>1.21871474</v>
      </c>
      <c r="G78" s="18" t="n">
        <v>33.3171272</v>
      </c>
      <c r="H78" s="20" t="n">
        <v>1.22771301</v>
      </c>
      <c r="I78" s="18" t="n">
        <v>0</v>
      </c>
      <c r="J78" s="20" t="n">
        <v>0</v>
      </c>
      <c r="K78" s="18" t="n">
        <v>0.32461817</v>
      </c>
      <c r="L78" s="20" t="n">
        <v>0.10618949</v>
      </c>
      <c r="M78" s="18" t="n">
        <v>0</v>
      </c>
      <c r="N78" s="20" t="n">
        <v>0</v>
      </c>
      <c r="O78" s="18" t="n">
        <v>0</v>
      </c>
      <c r="P78" s="20" t="n">
        <v>0</v>
      </c>
      <c r="Q78" s="18" t="n">
        <v>3.3045907</v>
      </c>
      <c r="R78" s="20" t="n">
        <v>0.44970501</v>
      </c>
    </row>
    <row r="79" spans="1:18">
      <c r="A79" s="15" t="s">
        <v>639</v>
      </c>
      <c r="B79" s="17" t="n">
        <v>6062</v>
      </c>
      <c r="C79" s="18">
        <f>(4738.0/B79*100)</f>
        <v/>
      </c>
      <c r="D79" s="19" t="n">
        <v>1324</v>
      </c>
      <c r="E79" s="18" t="n">
        <v>57.47080214</v>
      </c>
      <c r="F79" s="20" t="n">
        <v>1.78739623</v>
      </c>
      <c r="G79" s="18" t="n">
        <v>38.74269921</v>
      </c>
      <c r="H79" s="20" t="n">
        <v>1.69564732</v>
      </c>
      <c r="I79" s="18" t="n">
        <v>0</v>
      </c>
      <c r="J79" s="20" t="n">
        <v>0</v>
      </c>
      <c r="K79" s="18" t="n">
        <v>0.63448958</v>
      </c>
      <c r="L79" s="20" t="n">
        <v>0.23744099</v>
      </c>
      <c r="M79" s="18" t="n">
        <v>0</v>
      </c>
      <c r="N79" s="20" t="n">
        <v>0</v>
      </c>
      <c r="O79" s="18" t="n">
        <v>0</v>
      </c>
      <c r="P79" s="20" t="n">
        <v>0</v>
      </c>
      <c r="Q79" s="18" t="n">
        <v>3.15200907</v>
      </c>
      <c r="R79" s="20" t="n">
        <v>0.48441779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(25252.0/B82*100)</f>
        <v/>
      </c>
      <c r="D82" s="19" t="n">
        <v>7078</v>
      </c>
      <c r="E82" s="18" t="n">
        <v>45.51733308</v>
      </c>
      <c r="F82" s="20" t="n">
        <v>0.91139622</v>
      </c>
      <c r="G82" s="18" t="n">
        <v>52.37199138</v>
      </c>
      <c r="H82" s="20" t="n">
        <v>0.93735796</v>
      </c>
      <c r="I82" s="18" t="n">
        <v>0</v>
      </c>
      <c r="J82" s="20" t="n">
        <v>0</v>
      </c>
      <c r="K82" s="18" t="n">
        <v>0.23686125</v>
      </c>
      <c r="L82" s="20" t="n">
        <v>0.10502029</v>
      </c>
      <c r="M82" s="18" t="n">
        <v>0</v>
      </c>
      <c r="N82" s="20" t="n">
        <v>0</v>
      </c>
      <c r="O82" s="18" t="n">
        <v>0</v>
      </c>
      <c r="P82" s="20" t="n">
        <v>0</v>
      </c>
      <c r="Q82" s="18" t="n">
        <v>1.87381429</v>
      </c>
      <c r="R82" s="20" t="n">
        <v>0.20013036</v>
      </c>
    </row>
    <row r="83" spans="1:18">
      <c r="A83" s="15" t="s">
        <v>643</v>
      </c>
      <c r="B83" s="17" t="n">
        <v>1652</v>
      </c>
      <c r="C83" s="18">
        <f>(1296.0/B83*100)</f>
        <v/>
      </c>
      <c r="D83" s="19" t="n">
        <v>356</v>
      </c>
      <c r="E83" s="18" t="n">
        <v>36.67635374</v>
      </c>
      <c r="F83" s="20" t="n">
        <v>4.12513462</v>
      </c>
      <c r="G83" s="18" t="n">
        <v>62.81386465</v>
      </c>
      <c r="H83" s="20" t="n">
        <v>4.09548122</v>
      </c>
      <c r="I83" s="18" t="n">
        <v>0</v>
      </c>
      <c r="J83" s="20" t="n">
        <v>0</v>
      </c>
      <c r="K83" s="18" t="n">
        <v>0</v>
      </c>
      <c r="L83" s="20" t="n">
        <v>0</v>
      </c>
      <c r="M83" s="18" t="n">
        <v>0</v>
      </c>
      <c r="N83" s="20" t="n">
        <v>0</v>
      </c>
      <c r="O83" s="18" t="n">
        <v>0</v>
      </c>
      <c r="P83" s="20" t="n">
        <v>0</v>
      </c>
      <c r="Q83" s="18" t="n">
        <v>0.50978161</v>
      </c>
      <c r="R83" s="20" t="n">
        <v>0.36192081</v>
      </c>
    </row>
    <row r="84" spans="1:18">
      <c r="A84" s="23" t="s">
        <v>644</v>
      </c>
      <c r="B84" s="24" t="n">
        <v>1887</v>
      </c>
      <c r="C84" s="25">
        <f>(1473.0/B84*100)</f>
        <v/>
      </c>
      <c r="D84" s="19" t="n">
        <v>414</v>
      </c>
      <c r="E84" s="18" t="n">
        <v>36.21750022</v>
      </c>
      <c r="F84" s="20" t="n">
        <v>2.39221563</v>
      </c>
      <c r="G84" s="18" t="n">
        <v>63.78249978</v>
      </c>
      <c r="H84" s="20" t="n">
        <v>2.39221563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(11370.0/B7*100)</f>
        <v/>
      </c>
      <c r="D7" s="19" t="n">
        <v>3160</v>
      </c>
      <c r="E7" s="18" t="n">
        <v>63.45160395</v>
      </c>
      <c r="F7" s="20" t="n">
        <v>1.00195018</v>
      </c>
      <c r="G7" s="18" t="n">
        <v>34.07237963</v>
      </c>
      <c r="H7" s="20" t="n">
        <v>0.98701471</v>
      </c>
      <c r="I7" s="18" t="n">
        <v>0</v>
      </c>
      <c r="J7" s="20" t="n">
        <v>0</v>
      </c>
      <c r="K7" s="18" t="n">
        <v>0.18496767</v>
      </c>
      <c r="L7" s="20" t="n">
        <v>0.07525049</v>
      </c>
      <c r="M7" s="18" t="n">
        <v>0</v>
      </c>
      <c r="N7" s="20" t="n">
        <v>0</v>
      </c>
      <c r="O7" s="18" t="n">
        <v>0</v>
      </c>
      <c r="P7" s="20" t="n">
        <v>0</v>
      </c>
      <c r="Q7" s="18" t="n">
        <v>2.29104876</v>
      </c>
      <c r="R7" s="20" t="n">
        <v>0.32486985</v>
      </c>
    </row>
    <row r="8" spans="1:18">
      <c r="A8" s="15" t="s">
        <v>566</v>
      </c>
      <c r="B8" s="17" t="n">
        <v>7007</v>
      </c>
      <c r="C8" s="18">
        <f>(5462.0/B8*100)</f>
        <v/>
      </c>
      <c r="D8" s="19" t="n">
        <v>1545</v>
      </c>
      <c r="E8" s="18" t="n">
        <v>75.65588622</v>
      </c>
      <c r="F8" s="20" t="n">
        <v>1.17683261</v>
      </c>
      <c r="G8" s="18" t="n">
        <v>21.75213112</v>
      </c>
      <c r="H8" s="20" t="n">
        <v>1.1450752</v>
      </c>
      <c r="I8" s="18" t="n">
        <v>0</v>
      </c>
      <c r="J8" s="20" t="n">
        <v>0</v>
      </c>
      <c r="K8" s="18" t="n">
        <v>0.0516851</v>
      </c>
      <c r="L8" s="20" t="n">
        <v>0.08757914</v>
      </c>
      <c r="M8" s="18" t="n">
        <v>0</v>
      </c>
      <c r="N8" s="20" t="n">
        <v>0</v>
      </c>
      <c r="O8" s="18" t="n">
        <v>0</v>
      </c>
      <c r="P8" s="20" t="n">
        <v>0</v>
      </c>
      <c r="Q8" s="18" t="n">
        <v>2.54029756</v>
      </c>
      <c r="R8" s="20" t="n">
        <v>0.37103685</v>
      </c>
    </row>
    <row r="9" spans="1:18">
      <c r="A9" s="15" t="s">
        <v>567</v>
      </c>
      <c r="B9" s="17" t="n">
        <v>9651</v>
      </c>
      <c r="C9" s="18">
        <f>(7599.0/B9*100)</f>
        <v/>
      </c>
      <c r="D9" s="19" t="n">
        <v>2052</v>
      </c>
      <c r="E9" s="18" t="n">
        <v>62.09509041</v>
      </c>
      <c r="F9" s="20" t="n">
        <v>1.29323863</v>
      </c>
      <c r="G9" s="18" t="n">
        <v>35.01075839</v>
      </c>
      <c r="H9" s="20" t="n">
        <v>1.25807226</v>
      </c>
      <c r="I9" s="18" t="n">
        <v>0</v>
      </c>
      <c r="J9" s="20" t="n">
        <v>0</v>
      </c>
      <c r="K9" s="18" t="n">
        <v>0.17718275</v>
      </c>
      <c r="L9" s="20" t="n">
        <v>0.08929639</v>
      </c>
      <c r="M9" s="18" t="n">
        <v>0</v>
      </c>
      <c r="N9" s="20" t="n">
        <v>0</v>
      </c>
      <c r="O9" s="18" t="n">
        <v>0</v>
      </c>
      <c r="P9" s="20" t="n">
        <v>0</v>
      </c>
      <c r="Q9" s="18" t="n">
        <v>2.71696844</v>
      </c>
      <c r="R9" s="20" t="n">
        <v>0.45551311</v>
      </c>
    </row>
    <row r="10" spans="1:18">
      <c r="A10" s="15" t="s">
        <v>568</v>
      </c>
      <c r="B10" s="17" t="n">
        <v>20058</v>
      </c>
      <c r="C10" s="18">
        <f>(15691.0/B10*100)</f>
        <v/>
      </c>
      <c r="D10" s="19" t="n">
        <v>4367</v>
      </c>
      <c r="E10" s="18" t="n">
        <v>58.18261855</v>
      </c>
      <c r="F10" s="20" t="n">
        <v>1.02355687</v>
      </c>
      <c r="G10" s="18" t="n">
        <v>40.66765643</v>
      </c>
      <c r="H10" s="20" t="n">
        <v>1.08333702</v>
      </c>
      <c r="I10" s="18" t="n">
        <v>0</v>
      </c>
      <c r="J10" s="20" t="n">
        <v>0</v>
      </c>
      <c r="K10" s="18" t="n">
        <v>0.19450594</v>
      </c>
      <c r="L10" s="20" t="n">
        <v>0.10790791</v>
      </c>
      <c r="M10" s="18" t="n">
        <v>0</v>
      </c>
      <c r="N10" s="20" t="n">
        <v>0</v>
      </c>
      <c r="O10" s="18" t="n">
        <v>0</v>
      </c>
      <c r="P10" s="20" t="n">
        <v>0</v>
      </c>
      <c r="Q10" s="18" t="n">
        <v>0.95521908</v>
      </c>
      <c r="R10" s="20" t="n">
        <v>0.24695255</v>
      </c>
    </row>
    <row r="11" spans="1:18">
      <c r="A11" s="15" t="s">
        <v>569</v>
      </c>
      <c r="B11" s="17" t="n">
        <v>7053</v>
      </c>
      <c r="C11" s="18">
        <f>(5557.0/B11*100)</f>
        <v/>
      </c>
      <c r="D11" s="19" t="n">
        <v>1496</v>
      </c>
      <c r="E11" s="18" t="n">
        <v>79.15785499</v>
      </c>
      <c r="F11" s="20" t="n">
        <v>1.22375699</v>
      </c>
      <c r="G11" s="18" t="n">
        <v>16.0780206</v>
      </c>
      <c r="H11" s="20" t="n">
        <v>1.06433799</v>
      </c>
      <c r="I11" s="18" t="n">
        <v>0</v>
      </c>
      <c r="J11" s="20" t="n">
        <v>0</v>
      </c>
      <c r="K11" s="18" t="n">
        <v>1.22052045</v>
      </c>
      <c r="L11" s="20" t="n">
        <v>0.2862933</v>
      </c>
      <c r="M11" s="18" t="n">
        <v>0</v>
      </c>
      <c r="N11" s="20" t="n">
        <v>0</v>
      </c>
      <c r="O11" s="18" t="n">
        <v>0</v>
      </c>
      <c r="P11" s="20" t="n">
        <v>0</v>
      </c>
      <c r="Q11" s="18" t="n">
        <v>3.54360396</v>
      </c>
      <c r="R11" s="20" t="n">
        <v>0.60660063</v>
      </c>
    </row>
    <row r="12" spans="1:18">
      <c r="A12" s="15" t="s">
        <v>570</v>
      </c>
      <c r="B12" s="17" t="n">
        <v>6894</v>
      </c>
      <c r="C12" s="18">
        <f>(5411.0/B12*100)</f>
        <v/>
      </c>
      <c r="D12" s="19" t="n">
        <v>1483</v>
      </c>
      <c r="E12" s="18" t="n">
        <v>68.44132818</v>
      </c>
      <c r="F12" s="20" t="n">
        <v>1.41256062</v>
      </c>
      <c r="G12" s="18" t="n">
        <v>29.25884681</v>
      </c>
      <c r="H12" s="20" t="n">
        <v>1.32620067</v>
      </c>
      <c r="I12" s="18" t="n">
        <v>0</v>
      </c>
      <c r="J12" s="20" t="n">
        <v>0</v>
      </c>
      <c r="K12" s="18" t="n">
        <v>0.15696946</v>
      </c>
      <c r="L12" s="20" t="n">
        <v>0.1156437</v>
      </c>
      <c r="M12" s="18" t="n">
        <v>0</v>
      </c>
      <c r="N12" s="20" t="n">
        <v>0</v>
      </c>
      <c r="O12" s="18" t="n">
        <v>0</v>
      </c>
      <c r="P12" s="20" t="n">
        <v>0</v>
      </c>
      <c r="Q12" s="18" t="n">
        <v>2.14285554</v>
      </c>
      <c r="R12" s="20" t="n">
        <v>0.5012872900000001</v>
      </c>
    </row>
    <row r="13" spans="1:18">
      <c r="A13" s="15" t="s">
        <v>571</v>
      </c>
      <c r="B13" s="17" t="n">
        <v>7161</v>
      </c>
      <c r="C13" s="18">
        <f>(5653.0/B13*100)</f>
        <v/>
      </c>
      <c r="D13" s="19" t="n">
        <v>1508</v>
      </c>
      <c r="E13" s="18" t="n">
        <v>68.51542126</v>
      </c>
      <c r="F13" s="20" t="n">
        <v>1.63591626</v>
      </c>
      <c r="G13" s="18" t="n">
        <v>28.73654338</v>
      </c>
      <c r="H13" s="20" t="n">
        <v>1.55549968</v>
      </c>
      <c r="I13" s="18" t="n">
        <v>0</v>
      </c>
      <c r="J13" s="20" t="n">
        <v>0</v>
      </c>
      <c r="K13" s="18" t="n">
        <v>0.26521739</v>
      </c>
      <c r="L13" s="20" t="n">
        <v>0.16325066</v>
      </c>
      <c r="M13" s="18" t="n">
        <v>0</v>
      </c>
      <c r="N13" s="20" t="n">
        <v>0</v>
      </c>
      <c r="O13" s="18" t="n">
        <v>0</v>
      </c>
      <c r="P13" s="20" t="n">
        <v>0</v>
      </c>
      <c r="Q13" s="18" t="n">
        <v>2.48281797</v>
      </c>
      <c r="R13" s="20" t="n">
        <v>0.49071457</v>
      </c>
    </row>
    <row r="14" spans="1:18">
      <c r="A14" s="15" t="s">
        <v>572</v>
      </c>
      <c r="B14" s="17" t="n">
        <v>5587</v>
      </c>
      <c r="C14" s="18">
        <f>(4361.0/B14*100)</f>
        <v/>
      </c>
      <c r="D14" s="19" t="n">
        <v>1226</v>
      </c>
      <c r="E14" s="18" t="n">
        <v>62.91594698</v>
      </c>
      <c r="F14" s="20" t="n">
        <v>1.55857515</v>
      </c>
      <c r="G14" s="18" t="n">
        <v>36.67934427</v>
      </c>
      <c r="H14" s="20" t="n">
        <v>1.57335058</v>
      </c>
      <c r="I14" s="18" t="n">
        <v>0</v>
      </c>
      <c r="J14" s="20" t="n">
        <v>0</v>
      </c>
      <c r="K14" s="18" t="n">
        <v>0.07213738</v>
      </c>
      <c r="L14" s="20" t="n">
        <v>0.07179502</v>
      </c>
      <c r="M14" s="18" t="n">
        <v>0</v>
      </c>
      <c r="N14" s="20" t="n">
        <v>0</v>
      </c>
      <c r="O14" s="18" t="n">
        <v>0</v>
      </c>
      <c r="P14" s="20" t="n">
        <v>0</v>
      </c>
      <c r="Q14" s="18" t="n">
        <v>0.33257137</v>
      </c>
      <c r="R14" s="20" t="n">
        <v>0.14921221</v>
      </c>
    </row>
    <row r="15" spans="1:18">
      <c r="A15" s="15" t="s">
        <v>573</v>
      </c>
      <c r="B15" s="17" t="n">
        <v>5882</v>
      </c>
      <c r="C15" s="18">
        <f>(4625.0/B15*100)</f>
        <v/>
      </c>
      <c r="D15" s="19" t="n">
        <v>1257</v>
      </c>
      <c r="E15" s="18" t="n">
        <v>62.81515492</v>
      </c>
      <c r="F15" s="20" t="n">
        <v>1.35052944</v>
      </c>
      <c r="G15" s="18" t="n">
        <v>35.5562863</v>
      </c>
      <c r="H15" s="20" t="n">
        <v>1.34881071</v>
      </c>
      <c r="I15" s="18" t="n">
        <v>0</v>
      </c>
      <c r="J15" s="20" t="n">
        <v>0</v>
      </c>
      <c r="K15" s="18" t="n">
        <v>0.14861975</v>
      </c>
      <c r="L15" s="20" t="n">
        <v>0.10724361</v>
      </c>
      <c r="M15" s="18" t="n">
        <v>0</v>
      </c>
      <c r="N15" s="20" t="n">
        <v>0</v>
      </c>
      <c r="O15" s="18" t="n">
        <v>0</v>
      </c>
      <c r="P15" s="20" t="n">
        <v>0</v>
      </c>
      <c r="Q15" s="18" t="n">
        <v>1.47993903</v>
      </c>
      <c r="R15" s="20" t="n">
        <v>0.36539101</v>
      </c>
    </row>
    <row r="16" spans="1:18">
      <c r="A16" s="15" t="s">
        <v>574</v>
      </c>
      <c r="B16" s="17" t="n">
        <v>6108</v>
      </c>
      <c r="C16" s="18">
        <f>(4763.0/B16*100)</f>
        <v/>
      </c>
      <c r="D16" s="19" t="n">
        <v>1345</v>
      </c>
      <c r="E16" s="18" t="n">
        <v>62.8472256</v>
      </c>
      <c r="F16" s="20" t="n">
        <v>1.08598484</v>
      </c>
      <c r="G16" s="18" t="n">
        <v>32.52612597</v>
      </c>
      <c r="H16" s="20" t="n">
        <v>1.22350608</v>
      </c>
      <c r="I16" s="18" t="n">
        <v>0</v>
      </c>
      <c r="J16" s="20" t="n">
        <v>0</v>
      </c>
      <c r="K16" s="18" t="n">
        <v>0.86923014</v>
      </c>
      <c r="L16" s="20" t="n">
        <v>0.33396646</v>
      </c>
      <c r="M16" s="18" t="n">
        <v>0</v>
      </c>
      <c r="N16" s="20" t="n">
        <v>0</v>
      </c>
      <c r="O16" s="18" t="n">
        <v>0</v>
      </c>
      <c r="P16" s="20" t="n">
        <v>0</v>
      </c>
      <c r="Q16" s="18" t="n">
        <v>3.75741829</v>
      </c>
      <c r="R16" s="20" t="n">
        <v>0.54052007</v>
      </c>
    </row>
    <row r="17" spans="1:18">
      <c r="A17" s="15" t="s">
        <v>575</v>
      </c>
      <c r="B17" s="17" t="n">
        <v>6504</v>
      </c>
      <c r="C17" s="18">
        <f>(5079.0/B17*100)</f>
        <v/>
      </c>
      <c r="D17" s="19" t="n">
        <v>1425</v>
      </c>
      <c r="E17" s="18" t="n">
        <v>66.92854782000001</v>
      </c>
      <c r="F17" s="20" t="n">
        <v>1.46762365</v>
      </c>
      <c r="G17" s="18" t="n">
        <v>30.25774432</v>
      </c>
      <c r="H17" s="20" t="n">
        <v>1.51500465</v>
      </c>
      <c r="I17" s="18" t="n">
        <v>0</v>
      </c>
      <c r="J17" s="20" t="n">
        <v>0</v>
      </c>
      <c r="K17" s="18" t="n">
        <v>0.06789285</v>
      </c>
      <c r="L17" s="20" t="n">
        <v>0.07088970999999999</v>
      </c>
      <c r="M17" s="18" t="n">
        <v>0</v>
      </c>
      <c r="N17" s="20" t="n">
        <v>0</v>
      </c>
      <c r="O17" s="18" t="n">
        <v>0</v>
      </c>
      <c r="P17" s="20" t="n">
        <v>0</v>
      </c>
      <c r="Q17" s="18" t="n">
        <v>2.74581502</v>
      </c>
      <c r="R17" s="20" t="n">
        <v>0.44832054</v>
      </c>
    </row>
    <row r="18" spans="1:18">
      <c r="A18" s="15" t="s">
        <v>576</v>
      </c>
      <c r="B18" s="17" t="n">
        <v>5532</v>
      </c>
      <c r="C18" s="18">
        <f>(4307.0/B18*100)</f>
        <v/>
      </c>
      <c r="D18" s="19" t="n">
        <v>1225</v>
      </c>
      <c r="E18" s="18" t="n">
        <v>76.32679306</v>
      </c>
      <c r="F18" s="20" t="n">
        <v>1.72965364</v>
      </c>
      <c r="G18" s="18" t="n">
        <v>21.13377905</v>
      </c>
      <c r="H18" s="20" t="n">
        <v>1.65474946</v>
      </c>
      <c r="I18" s="18" t="n">
        <v>0</v>
      </c>
      <c r="J18" s="20" t="n">
        <v>0</v>
      </c>
      <c r="K18" s="18" t="n">
        <v>0.24397786</v>
      </c>
      <c r="L18" s="20" t="n">
        <v>0.15895536</v>
      </c>
      <c r="M18" s="18" t="n">
        <v>0</v>
      </c>
      <c r="N18" s="20" t="n">
        <v>0</v>
      </c>
      <c r="O18" s="18" t="n">
        <v>0</v>
      </c>
      <c r="P18" s="20" t="n">
        <v>0</v>
      </c>
      <c r="Q18" s="18" t="n">
        <v>2.29545003</v>
      </c>
      <c r="R18" s="20" t="n">
        <v>0.52774255</v>
      </c>
    </row>
    <row r="19" spans="1:18">
      <c r="A19" s="15" t="s">
        <v>577</v>
      </c>
      <c r="B19" s="17" t="n">
        <v>5658</v>
      </c>
      <c r="C19" s="18">
        <f>(4430.0/B19*100)</f>
        <v/>
      </c>
      <c r="D19" s="19" t="n">
        <v>1228</v>
      </c>
      <c r="E19" s="18" t="n">
        <v>75.73896053</v>
      </c>
      <c r="F19" s="20" t="n">
        <v>1.2291911</v>
      </c>
      <c r="G19" s="18" t="n">
        <v>22.64917245</v>
      </c>
      <c r="H19" s="20" t="n">
        <v>1.23610904</v>
      </c>
      <c r="I19" s="18" t="n">
        <v>0</v>
      </c>
      <c r="J19" s="20" t="n">
        <v>0</v>
      </c>
      <c r="K19" s="18" t="n">
        <v>0.05669654</v>
      </c>
      <c r="L19" s="20" t="n">
        <v>0.05661998</v>
      </c>
      <c r="M19" s="18" t="n">
        <v>0</v>
      </c>
      <c r="N19" s="20" t="n">
        <v>0</v>
      </c>
      <c r="O19" s="18" t="n">
        <v>0</v>
      </c>
      <c r="P19" s="20" t="n">
        <v>0</v>
      </c>
      <c r="Q19" s="18" t="n">
        <v>1.55517048</v>
      </c>
      <c r="R19" s="20" t="n">
        <v>0.4934501</v>
      </c>
    </row>
    <row r="20" spans="1:18">
      <c r="A20" s="15" t="s">
        <v>578</v>
      </c>
      <c r="B20" s="17" t="n">
        <v>3371</v>
      </c>
      <c r="C20" s="18">
        <f>(2634.0/B20*100)</f>
        <v/>
      </c>
      <c r="D20" s="19" t="n">
        <v>737</v>
      </c>
      <c r="E20" s="18" t="n">
        <v>89.07302980999999</v>
      </c>
      <c r="F20" s="20" t="n">
        <v>1.21512962</v>
      </c>
      <c r="G20" s="18" t="n">
        <v>8.48216047</v>
      </c>
      <c r="H20" s="20" t="n">
        <v>1.10906969</v>
      </c>
      <c r="I20" s="18" t="n">
        <v>0</v>
      </c>
      <c r="J20" s="20" t="n">
        <v>0</v>
      </c>
      <c r="K20" s="18" t="n">
        <v>0.24940326</v>
      </c>
      <c r="L20" s="20" t="n">
        <v>0.1773079</v>
      </c>
      <c r="M20" s="18" t="n">
        <v>0</v>
      </c>
      <c r="N20" s="20" t="n">
        <v>0</v>
      </c>
      <c r="O20" s="18" t="n">
        <v>0</v>
      </c>
      <c r="P20" s="20" t="n">
        <v>0</v>
      </c>
      <c r="Q20" s="18" t="n">
        <v>2.19540645</v>
      </c>
      <c r="R20" s="20" t="n">
        <v>0.45394851</v>
      </c>
    </row>
    <row r="21" spans="1:18">
      <c r="A21" s="15" t="s">
        <v>579</v>
      </c>
      <c r="B21" s="17" t="n">
        <v>5741</v>
      </c>
      <c r="C21" s="18">
        <f>(4459.0/B21*100)</f>
        <v/>
      </c>
      <c r="D21" s="19" t="n">
        <v>1282</v>
      </c>
      <c r="E21" s="18" t="n">
        <v>68.16902408</v>
      </c>
      <c r="F21" s="20" t="n">
        <v>1.44830087</v>
      </c>
      <c r="G21" s="18" t="n">
        <v>30.25184312</v>
      </c>
      <c r="H21" s="20" t="n">
        <v>1.37470979</v>
      </c>
      <c r="I21" s="18" t="n">
        <v>0</v>
      </c>
      <c r="J21" s="20" t="n">
        <v>0</v>
      </c>
      <c r="K21" s="18" t="n">
        <v>0.19685391</v>
      </c>
      <c r="L21" s="20" t="n">
        <v>0.14123761</v>
      </c>
      <c r="M21" s="18" t="n">
        <v>0</v>
      </c>
      <c r="N21" s="20" t="n">
        <v>0</v>
      </c>
      <c r="O21" s="18" t="n">
        <v>0</v>
      </c>
      <c r="P21" s="20" t="n">
        <v>0</v>
      </c>
      <c r="Q21" s="18" t="n">
        <v>1.38227889</v>
      </c>
      <c r="R21" s="20" t="n">
        <v>0.39258468</v>
      </c>
    </row>
    <row r="22" spans="1:18">
      <c r="A22" s="15" t="s">
        <v>580</v>
      </c>
      <c r="B22" s="17" t="n">
        <v>6598</v>
      </c>
      <c r="C22" s="18">
        <f>(5177.0/B22*100)</f>
        <v/>
      </c>
      <c r="D22" s="19" t="n">
        <v>1421</v>
      </c>
      <c r="E22" s="18" t="n">
        <v>69.59745407</v>
      </c>
      <c r="F22" s="20" t="n">
        <v>1.518534</v>
      </c>
      <c r="G22" s="18" t="n">
        <v>25.97852407</v>
      </c>
      <c r="H22" s="20" t="n">
        <v>1.47006714</v>
      </c>
      <c r="I22" s="18" t="n">
        <v>0</v>
      </c>
      <c r="J22" s="20" t="n">
        <v>0</v>
      </c>
      <c r="K22" s="18" t="n">
        <v>0.3880293</v>
      </c>
      <c r="L22" s="20" t="n">
        <v>0.26846928</v>
      </c>
      <c r="M22" s="18" t="n">
        <v>0</v>
      </c>
      <c r="N22" s="20" t="n">
        <v>0</v>
      </c>
      <c r="O22" s="18" t="n">
        <v>0</v>
      </c>
      <c r="P22" s="20" t="n">
        <v>0</v>
      </c>
      <c r="Q22" s="18" t="n">
        <v>4.03599256</v>
      </c>
      <c r="R22" s="20" t="n">
        <v>0.7376075600000001</v>
      </c>
    </row>
    <row r="23" spans="1:18">
      <c r="A23" s="15" t="s">
        <v>581</v>
      </c>
      <c r="B23" s="17" t="n">
        <v>11583</v>
      </c>
      <c r="C23" s="18">
        <f>(9015.0/B23*100)</f>
        <v/>
      </c>
      <c r="D23" s="19" t="n">
        <v>2568</v>
      </c>
      <c r="E23" s="18" t="n">
        <v>75.82657546</v>
      </c>
      <c r="F23" s="20" t="n">
        <v>1.01370636</v>
      </c>
      <c r="G23" s="18" t="n">
        <v>20.53502813</v>
      </c>
      <c r="H23" s="20" t="n">
        <v>1.11267859</v>
      </c>
      <c r="I23" s="18" t="n">
        <v>0</v>
      </c>
      <c r="J23" s="20" t="n">
        <v>0</v>
      </c>
      <c r="K23" s="18" t="n">
        <v>0.39655775</v>
      </c>
      <c r="L23" s="20" t="n">
        <v>0.18711623</v>
      </c>
      <c r="M23" s="18" t="n">
        <v>0</v>
      </c>
      <c r="N23" s="20" t="n">
        <v>0</v>
      </c>
      <c r="O23" s="18" t="n">
        <v>0</v>
      </c>
      <c r="P23" s="20" t="n">
        <v>0</v>
      </c>
      <c r="Q23" s="18" t="n">
        <v>3.24183867</v>
      </c>
      <c r="R23" s="20" t="n">
        <v>0.5620133899999999</v>
      </c>
    </row>
    <row r="24" spans="1:18">
      <c r="A24" s="15" t="s">
        <v>582</v>
      </c>
      <c r="B24" s="17" t="n">
        <v>6647</v>
      </c>
      <c r="C24" s="18">
        <f>(5196.0/B24*100)</f>
        <v/>
      </c>
      <c r="D24" s="19" t="n">
        <v>1451</v>
      </c>
      <c r="E24" s="18" t="n">
        <v>59.89255079</v>
      </c>
      <c r="F24" s="20" t="n">
        <v>1.4644192</v>
      </c>
      <c r="G24" s="18" t="n">
        <v>38.24205323</v>
      </c>
      <c r="H24" s="20" t="n">
        <v>1.47087743</v>
      </c>
      <c r="I24" s="18" t="n">
        <v>0</v>
      </c>
      <c r="J24" s="20" t="n">
        <v>0</v>
      </c>
      <c r="K24" s="18" t="n">
        <v>0.35278959</v>
      </c>
      <c r="L24" s="20" t="n">
        <v>0.15685407</v>
      </c>
      <c r="M24" s="18" t="n">
        <v>0</v>
      </c>
      <c r="N24" s="20" t="n">
        <v>0</v>
      </c>
      <c r="O24" s="18" t="n">
        <v>0</v>
      </c>
      <c r="P24" s="20" t="n">
        <v>0</v>
      </c>
      <c r="Q24" s="18" t="n">
        <v>1.51260639</v>
      </c>
      <c r="R24" s="20" t="n">
        <v>0.31359857</v>
      </c>
    </row>
    <row r="25" spans="1:18">
      <c r="A25" s="15" t="s">
        <v>583</v>
      </c>
      <c r="B25" s="17" t="n">
        <v>5581</v>
      </c>
      <c r="C25" s="18">
        <f>(4322.0/B25*100)</f>
        <v/>
      </c>
      <c r="D25" s="19" t="n">
        <v>1259</v>
      </c>
      <c r="E25" s="18" t="n">
        <v>61.98400561</v>
      </c>
      <c r="F25" s="20" t="n">
        <v>1.62607964</v>
      </c>
      <c r="G25" s="18" t="n">
        <v>37.36061862</v>
      </c>
      <c r="H25" s="20" t="n">
        <v>1.60563587</v>
      </c>
      <c r="I25" s="18" t="n">
        <v>0</v>
      </c>
      <c r="J25" s="20" t="n">
        <v>0</v>
      </c>
      <c r="K25" s="18" t="n">
        <v>0.22656508</v>
      </c>
      <c r="L25" s="20" t="n">
        <v>0.13131257</v>
      </c>
      <c r="M25" s="18" t="n">
        <v>0</v>
      </c>
      <c r="N25" s="20" t="n">
        <v>0</v>
      </c>
      <c r="O25" s="18" t="n">
        <v>0</v>
      </c>
      <c r="P25" s="20" t="n">
        <v>0</v>
      </c>
      <c r="Q25" s="18" t="n">
        <v>0.42881068</v>
      </c>
      <c r="R25" s="20" t="n">
        <v>0.13430188</v>
      </c>
    </row>
    <row r="26" spans="1:18">
      <c r="A26" s="15" t="s">
        <v>584</v>
      </c>
      <c r="B26" s="17" t="n">
        <v>4869</v>
      </c>
      <c r="C26" s="18">
        <f>(3797.0/B26*100)</f>
        <v/>
      </c>
      <c r="D26" s="19" t="n">
        <v>1072</v>
      </c>
      <c r="E26" s="18" t="n">
        <v>70.20266941</v>
      </c>
      <c r="F26" s="20" t="n">
        <v>1.40060874</v>
      </c>
      <c r="G26" s="18" t="n">
        <v>29.03594079</v>
      </c>
      <c r="H26" s="20" t="n">
        <v>1.4152155</v>
      </c>
      <c r="I26" s="18" t="n">
        <v>0</v>
      </c>
      <c r="J26" s="20" t="n">
        <v>0</v>
      </c>
      <c r="K26" s="18" t="n">
        <v>0.07968189000000001</v>
      </c>
      <c r="L26" s="20" t="n">
        <v>0.08137680999999999</v>
      </c>
      <c r="M26" s="18" t="n">
        <v>0</v>
      </c>
      <c r="N26" s="20" t="n">
        <v>0</v>
      </c>
      <c r="O26" s="18" t="n">
        <v>0</v>
      </c>
      <c r="P26" s="20" t="n">
        <v>0</v>
      </c>
      <c r="Q26" s="18" t="n">
        <v>0.68170791</v>
      </c>
      <c r="R26" s="20" t="n">
        <v>0.27418901</v>
      </c>
    </row>
    <row r="27" spans="1:18">
      <c r="A27" s="15" t="s">
        <v>585</v>
      </c>
      <c r="B27" s="17" t="n">
        <v>5299</v>
      </c>
      <c r="C27" s="18">
        <f>(4140.0/B27*100)</f>
        <v/>
      </c>
      <c r="D27" s="19" t="n">
        <v>1159</v>
      </c>
      <c r="E27" s="18" t="n">
        <v>75.73862618</v>
      </c>
      <c r="F27" s="20" t="n">
        <v>1.41906958</v>
      </c>
      <c r="G27" s="18" t="n">
        <v>22.24936398</v>
      </c>
      <c r="H27" s="20" t="n">
        <v>1.32567745</v>
      </c>
      <c r="I27" s="18" t="n">
        <v>0</v>
      </c>
      <c r="J27" s="20" t="n">
        <v>0</v>
      </c>
      <c r="K27" s="18" t="n">
        <v>0.17196866</v>
      </c>
      <c r="L27" s="20" t="n">
        <v>0.12224659</v>
      </c>
      <c r="M27" s="18" t="n">
        <v>0</v>
      </c>
      <c r="N27" s="20" t="n">
        <v>0</v>
      </c>
      <c r="O27" s="18" t="n">
        <v>0</v>
      </c>
      <c r="P27" s="20" t="n">
        <v>0</v>
      </c>
      <c r="Q27" s="18" t="n">
        <v>1.84004118</v>
      </c>
      <c r="R27" s="20" t="n">
        <v>0.41646923</v>
      </c>
    </row>
    <row r="28" spans="1:18">
      <c r="A28" s="15" t="s">
        <v>586</v>
      </c>
      <c r="B28" s="17" t="n">
        <v>7568</v>
      </c>
      <c r="C28" s="18">
        <f>(6056.0/B28*100)</f>
        <v/>
      </c>
      <c r="D28" s="19" t="n">
        <v>1512</v>
      </c>
      <c r="E28" s="18" t="n">
        <v>85.30124345</v>
      </c>
      <c r="F28" s="20" t="n">
        <v>1.05267482</v>
      </c>
      <c r="G28" s="18" t="n">
        <v>13.35378798</v>
      </c>
      <c r="H28" s="20" t="n">
        <v>1.04485307</v>
      </c>
      <c r="I28" s="18" t="n">
        <v>0</v>
      </c>
      <c r="J28" s="20" t="n">
        <v>0</v>
      </c>
      <c r="K28" s="18" t="n">
        <v>0.79735548</v>
      </c>
      <c r="L28" s="20" t="n">
        <v>0.29078307</v>
      </c>
      <c r="M28" s="18" t="n">
        <v>0</v>
      </c>
      <c r="N28" s="20" t="n">
        <v>0</v>
      </c>
      <c r="O28" s="18" t="n">
        <v>0</v>
      </c>
      <c r="P28" s="20" t="n">
        <v>0</v>
      </c>
      <c r="Q28" s="18" t="n">
        <v>0.5476131</v>
      </c>
      <c r="R28" s="20" t="n">
        <v>0.18443702</v>
      </c>
    </row>
    <row r="29" spans="1:18">
      <c r="A29" s="15" t="s">
        <v>587</v>
      </c>
      <c r="B29" s="17" t="n">
        <v>5385</v>
      </c>
      <c r="C29" s="18">
        <f>(4191.0/B29*100)</f>
        <v/>
      </c>
      <c r="D29" s="19" t="n">
        <v>1194</v>
      </c>
      <c r="E29" s="18" t="n">
        <v>61.59719386</v>
      </c>
      <c r="F29" s="20" t="n">
        <v>1.74662566</v>
      </c>
      <c r="G29" s="18" t="n">
        <v>37.12336356</v>
      </c>
      <c r="H29" s="20" t="n">
        <v>1.72473707</v>
      </c>
      <c r="I29" s="18" t="n">
        <v>0</v>
      </c>
      <c r="J29" s="20" t="n">
        <v>0</v>
      </c>
      <c r="K29" s="18" t="n">
        <v>0.28208774</v>
      </c>
      <c r="L29" s="20" t="n">
        <v>0.14686184</v>
      </c>
      <c r="M29" s="18" t="n">
        <v>0</v>
      </c>
      <c r="N29" s="20" t="n">
        <v>0</v>
      </c>
      <c r="O29" s="18" t="n">
        <v>0</v>
      </c>
      <c r="P29" s="20" t="n">
        <v>0</v>
      </c>
      <c r="Q29" s="18" t="n">
        <v>0.99735484</v>
      </c>
      <c r="R29" s="20" t="n">
        <v>0.27916647</v>
      </c>
    </row>
    <row r="30" spans="1:18">
      <c r="A30" s="15" t="s">
        <v>588</v>
      </c>
      <c r="B30" s="17" t="n">
        <v>4520</v>
      </c>
      <c r="C30" s="18">
        <f>(3563.0/B30*100)</f>
        <v/>
      </c>
      <c r="D30" s="19" t="n">
        <v>957</v>
      </c>
      <c r="E30" s="18" t="n">
        <v>60.29535597</v>
      </c>
      <c r="F30" s="20" t="n">
        <v>1.59360753</v>
      </c>
      <c r="G30" s="18" t="n">
        <v>35.91617772</v>
      </c>
      <c r="H30" s="20" t="n">
        <v>1.44781233</v>
      </c>
      <c r="I30" s="18" t="n">
        <v>0</v>
      </c>
      <c r="J30" s="20" t="n">
        <v>0</v>
      </c>
      <c r="K30" s="18" t="n">
        <v>0.47324392</v>
      </c>
      <c r="L30" s="20" t="n">
        <v>0.23513237</v>
      </c>
      <c r="M30" s="18" t="n">
        <v>0</v>
      </c>
      <c r="N30" s="20" t="n">
        <v>0</v>
      </c>
      <c r="O30" s="18" t="n">
        <v>0</v>
      </c>
      <c r="P30" s="20" t="n">
        <v>0</v>
      </c>
      <c r="Q30" s="18" t="n">
        <v>3.31522238</v>
      </c>
      <c r="R30" s="20" t="n">
        <v>0.5858228599999999</v>
      </c>
    </row>
    <row r="31" spans="1:18">
      <c r="A31" s="15" t="s">
        <v>589</v>
      </c>
      <c r="B31" s="17" t="n">
        <v>5456</v>
      </c>
      <c r="C31" s="18">
        <f>(4256.0/B31*100)</f>
        <v/>
      </c>
      <c r="D31" s="19" t="n">
        <v>1200</v>
      </c>
      <c r="E31" s="18" t="n">
        <v>72.54314742</v>
      </c>
      <c r="F31" s="20" t="n">
        <v>1.25907368</v>
      </c>
      <c r="G31" s="18" t="n">
        <v>24.19136281</v>
      </c>
      <c r="H31" s="20" t="n">
        <v>1.24058345</v>
      </c>
      <c r="I31" s="18" t="n">
        <v>0</v>
      </c>
      <c r="J31" s="20" t="n">
        <v>0</v>
      </c>
      <c r="K31" s="18" t="n">
        <v>0.23308545</v>
      </c>
      <c r="L31" s="20" t="n">
        <v>0.13152231</v>
      </c>
      <c r="M31" s="18" t="n">
        <v>0</v>
      </c>
      <c r="N31" s="20" t="n">
        <v>0</v>
      </c>
      <c r="O31" s="18" t="n">
        <v>0</v>
      </c>
      <c r="P31" s="20" t="n">
        <v>0</v>
      </c>
      <c r="Q31" s="18" t="n">
        <v>3.03240432</v>
      </c>
      <c r="R31" s="20" t="n">
        <v>0.53023026</v>
      </c>
    </row>
    <row r="32" spans="1:18">
      <c r="A32" s="15" t="s">
        <v>590</v>
      </c>
      <c r="B32" s="17" t="n">
        <v>4478</v>
      </c>
      <c r="C32" s="18">
        <f>(3485.0/B32*100)</f>
        <v/>
      </c>
      <c r="D32" s="19" t="n">
        <v>993</v>
      </c>
      <c r="E32" s="18" t="n">
        <v>70.85919667</v>
      </c>
      <c r="F32" s="20" t="n">
        <v>1.7360882</v>
      </c>
      <c r="G32" s="18" t="n">
        <v>28.02074467</v>
      </c>
      <c r="H32" s="20" t="n">
        <v>1.69417787</v>
      </c>
      <c r="I32" s="18" t="n">
        <v>0</v>
      </c>
      <c r="J32" s="20" t="n">
        <v>0</v>
      </c>
      <c r="K32" s="18" t="n">
        <v>0.22403752</v>
      </c>
      <c r="L32" s="20" t="n">
        <v>0.16482581</v>
      </c>
      <c r="M32" s="18" t="n">
        <v>0</v>
      </c>
      <c r="N32" s="20" t="n">
        <v>0</v>
      </c>
      <c r="O32" s="18" t="n">
        <v>0</v>
      </c>
      <c r="P32" s="20" t="n">
        <v>0</v>
      </c>
      <c r="Q32" s="18" t="n">
        <v>0.89602114</v>
      </c>
      <c r="R32" s="20" t="n">
        <v>0.38178974</v>
      </c>
    </row>
    <row r="33" spans="1:18">
      <c r="A33" s="15" t="s">
        <v>591</v>
      </c>
      <c r="B33" s="17" t="n">
        <v>7325</v>
      </c>
      <c r="C33" s="18">
        <f>(5733.0/B33*100)</f>
        <v/>
      </c>
      <c r="D33" s="19" t="n">
        <v>1592</v>
      </c>
      <c r="E33" s="18" t="n">
        <v>67.31341748</v>
      </c>
      <c r="F33" s="20" t="n">
        <v>1.46512832</v>
      </c>
      <c r="G33" s="18" t="n">
        <v>31.07378539</v>
      </c>
      <c r="H33" s="20" t="n">
        <v>1.38430803</v>
      </c>
      <c r="I33" s="18" t="n">
        <v>0</v>
      </c>
      <c r="J33" s="20" t="n">
        <v>0</v>
      </c>
      <c r="K33" s="18" t="n">
        <v>0.49415828</v>
      </c>
      <c r="L33" s="20" t="n">
        <v>0.21659126</v>
      </c>
      <c r="M33" s="18" t="n">
        <v>0</v>
      </c>
      <c r="N33" s="20" t="n">
        <v>0</v>
      </c>
      <c r="O33" s="18" t="n">
        <v>0</v>
      </c>
      <c r="P33" s="20" t="n">
        <v>0</v>
      </c>
      <c r="Q33" s="18" t="n">
        <v>1.11863885</v>
      </c>
      <c r="R33" s="20" t="n">
        <v>0.30001216</v>
      </c>
    </row>
    <row r="34" spans="1:18">
      <c r="A34" s="15" t="s">
        <v>592</v>
      </c>
      <c r="B34" s="17" t="n">
        <v>6350</v>
      </c>
      <c r="C34" s="18">
        <f>(4985.0/B34*100)</f>
        <v/>
      </c>
      <c r="D34" s="19" t="n">
        <v>1365</v>
      </c>
      <c r="E34" s="18" t="n">
        <v>80.65028915000001</v>
      </c>
      <c r="F34" s="20" t="n">
        <v>1.02288247</v>
      </c>
      <c r="G34" s="18" t="n">
        <v>17.77608329</v>
      </c>
      <c r="H34" s="20" t="n">
        <v>1.02022478</v>
      </c>
      <c r="I34" s="18" t="n">
        <v>0</v>
      </c>
      <c r="J34" s="20" t="n">
        <v>0</v>
      </c>
      <c r="K34" s="18" t="n">
        <v>0.25281734</v>
      </c>
      <c r="L34" s="20" t="n">
        <v>0.13705535</v>
      </c>
      <c r="M34" s="18" t="n">
        <v>0</v>
      </c>
      <c r="N34" s="20" t="n">
        <v>0</v>
      </c>
      <c r="O34" s="18" t="n">
        <v>0</v>
      </c>
      <c r="P34" s="20" t="n">
        <v>0</v>
      </c>
      <c r="Q34" s="18" t="n">
        <v>1.32081022</v>
      </c>
      <c r="R34" s="20" t="n">
        <v>0.34526399</v>
      </c>
    </row>
    <row r="35" spans="1:18">
      <c r="A35" s="15" t="s">
        <v>593</v>
      </c>
      <c r="B35" s="17" t="n">
        <v>6406</v>
      </c>
      <c r="C35" s="18">
        <f>(5034.0/B35*100)</f>
        <v/>
      </c>
      <c r="D35" s="19" t="n">
        <v>1372</v>
      </c>
      <c r="E35" s="18" t="n">
        <v>66.0338103</v>
      </c>
      <c r="F35" s="20" t="n">
        <v>1.63146837</v>
      </c>
      <c r="G35" s="18" t="n">
        <v>31.94430367</v>
      </c>
      <c r="H35" s="20" t="n">
        <v>1.57658711</v>
      </c>
      <c r="I35" s="18" t="n">
        <v>0</v>
      </c>
      <c r="J35" s="20" t="n">
        <v>0</v>
      </c>
      <c r="K35" s="18" t="n">
        <v>0.59904929</v>
      </c>
      <c r="L35" s="20" t="n">
        <v>0.39871016</v>
      </c>
      <c r="M35" s="18" t="n">
        <v>0</v>
      </c>
      <c r="N35" s="20" t="n">
        <v>0</v>
      </c>
      <c r="O35" s="18" t="n">
        <v>0</v>
      </c>
      <c r="P35" s="20" t="n">
        <v>0</v>
      </c>
      <c r="Q35" s="18" t="n">
        <v>1.42283674</v>
      </c>
      <c r="R35" s="20" t="n">
        <v>0.34710574</v>
      </c>
    </row>
    <row r="36" spans="1:18">
      <c r="A36" s="15" t="s">
        <v>594</v>
      </c>
      <c r="B36" s="17" t="n">
        <v>6736</v>
      </c>
      <c r="C36" s="18">
        <f>(5292.0/B36*100)</f>
        <v/>
      </c>
      <c r="D36" s="19" t="n">
        <v>1444</v>
      </c>
      <c r="E36" s="18" t="n">
        <v>71.69997300999999</v>
      </c>
      <c r="F36" s="20" t="n">
        <v>1.12912976</v>
      </c>
      <c r="G36" s="18" t="n">
        <v>25.95899211</v>
      </c>
      <c r="H36" s="20" t="n">
        <v>1.23284747</v>
      </c>
      <c r="I36" s="18" t="n">
        <v>0</v>
      </c>
      <c r="J36" s="20" t="n">
        <v>0</v>
      </c>
      <c r="K36" s="18" t="n">
        <v>0.24903462</v>
      </c>
      <c r="L36" s="20" t="n">
        <v>0.15839995</v>
      </c>
      <c r="M36" s="18" t="n">
        <v>0</v>
      </c>
      <c r="N36" s="20" t="n">
        <v>0</v>
      </c>
      <c r="O36" s="18" t="n">
        <v>0</v>
      </c>
      <c r="P36" s="20" t="n">
        <v>0</v>
      </c>
      <c r="Q36" s="18" t="n">
        <v>2.09200026</v>
      </c>
      <c r="R36" s="20" t="n">
        <v>0.47082869</v>
      </c>
    </row>
    <row r="37" spans="1:18">
      <c r="A37" s="15" t="s">
        <v>595</v>
      </c>
      <c r="B37" s="17" t="n">
        <v>5458</v>
      </c>
      <c r="C37" s="18">
        <f>(4263.0/B37*100)</f>
        <v/>
      </c>
      <c r="D37" s="19" t="n">
        <v>1195</v>
      </c>
      <c r="E37" s="18" t="n">
        <v>66.93410516</v>
      </c>
      <c r="F37" s="20" t="n">
        <v>1.31002191</v>
      </c>
      <c r="G37" s="18" t="n">
        <v>28.41243085</v>
      </c>
      <c r="H37" s="20" t="n">
        <v>1.34283513</v>
      </c>
      <c r="I37" s="18" t="n">
        <v>0</v>
      </c>
      <c r="J37" s="20" t="n">
        <v>0</v>
      </c>
      <c r="K37" s="18" t="n">
        <v>0.49811813</v>
      </c>
      <c r="L37" s="20" t="n">
        <v>0.20651425</v>
      </c>
      <c r="M37" s="18" t="n">
        <v>0</v>
      </c>
      <c r="N37" s="20" t="n">
        <v>0</v>
      </c>
      <c r="O37" s="18" t="n">
        <v>0</v>
      </c>
      <c r="P37" s="20" t="n">
        <v>0</v>
      </c>
      <c r="Q37" s="18" t="n">
        <v>4.15534586</v>
      </c>
      <c r="R37" s="20" t="n">
        <v>0.74406108</v>
      </c>
    </row>
    <row r="38" spans="1:18">
      <c r="A38" s="15" t="s">
        <v>596</v>
      </c>
      <c r="B38" s="17" t="n">
        <v>5860</v>
      </c>
      <c r="C38" s="18">
        <f>(4553.0/B38*100)</f>
        <v/>
      </c>
      <c r="D38" s="19" t="n">
        <v>1307</v>
      </c>
      <c r="E38" s="18" t="n">
        <v>69.86787944</v>
      </c>
      <c r="F38" s="20" t="n">
        <v>1.34904026</v>
      </c>
      <c r="G38" s="18" t="n">
        <v>27.35533567</v>
      </c>
      <c r="H38" s="20" t="n">
        <v>1.38167678</v>
      </c>
      <c r="I38" s="18" t="n">
        <v>0</v>
      </c>
      <c r="J38" s="20" t="n">
        <v>0</v>
      </c>
      <c r="K38" s="18" t="n">
        <v>0.0859494</v>
      </c>
      <c r="L38" s="20" t="n">
        <v>0.08574582</v>
      </c>
      <c r="M38" s="18" t="n">
        <v>0</v>
      </c>
      <c r="N38" s="20" t="n">
        <v>0</v>
      </c>
      <c r="O38" s="18" t="n">
        <v>0</v>
      </c>
      <c r="P38" s="20" t="n">
        <v>0</v>
      </c>
      <c r="Q38" s="18" t="n">
        <v>2.69083549</v>
      </c>
      <c r="R38" s="20" t="n">
        <v>0.4315077</v>
      </c>
    </row>
    <row r="39" spans="1:18">
      <c r="A39" s="15" t="s">
        <v>597</v>
      </c>
      <c r="B39" s="17" t="n">
        <v>5895</v>
      </c>
      <c r="C39" s="18">
        <f>(4592.0/B39*100)</f>
        <v/>
      </c>
      <c r="D39" s="19" t="n">
        <v>1303</v>
      </c>
      <c r="E39" s="18" t="n">
        <v>90.77506021000001</v>
      </c>
      <c r="F39" s="20" t="n">
        <v>0.80864266</v>
      </c>
      <c r="G39" s="18" t="n">
        <v>8.04051102</v>
      </c>
      <c r="H39" s="20" t="n">
        <v>0.78889096</v>
      </c>
      <c r="I39" s="18" t="n">
        <v>0</v>
      </c>
      <c r="J39" s="20" t="n">
        <v>0</v>
      </c>
      <c r="K39" s="18" t="n">
        <v>0.28265239</v>
      </c>
      <c r="L39" s="20" t="n">
        <v>0.14779858</v>
      </c>
      <c r="M39" s="18" t="n">
        <v>0</v>
      </c>
      <c r="N39" s="20" t="n">
        <v>0</v>
      </c>
      <c r="O39" s="18" t="n">
        <v>0</v>
      </c>
      <c r="P39" s="20" t="n">
        <v>0</v>
      </c>
      <c r="Q39" s="18" t="n">
        <v>0.90177638</v>
      </c>
      <c r="R39" s="20" t="n">
        <v>0.22519098</v>
      </c>
    </row>
    <row r="40" spans="1:18">
      <c r="A40" s="15" t="s">
        <v>598</v>
      </c>
      <c r="B40" s="17" t="n">
        <v>14157</v>
      </c>
      <c r="C40" s="18">
        <f>(10980.0/B40*100)</f>
        <v/>
      </c>
      <c r="D40" s="19" t="n">
        <v>3177</v>
      </c>
      <c r="E40" s="18" t="n">
        <v>59.28365228</v>
      </c>
      <c r="F40" s="20" t="n">
        <v>1.33256866</v>
      </c>
      <c r="G40" s="18" t="n">
        <v>37.83292555</v>
      </c>
      <c r="H40" s="20" t="n">
        <v>1.28596716</v>
      </c>
      <c r="I40" s="18" t="n">
        <v>0</v>
      </c>
      <c r="J40" s="20" t="n">
        <v>0</v>
      </c>
      <c r="K40" s="18" t="n">
        <v>0.35064771</v>
      </c>
      <c r="L40" s="20" t="n">
        <v>0.17538405</v>
      </c>
      <c r="M40" s="18" t="n">
        <v>0</v>
      </c>
      <c r="N40" s="20" t="n">
        <v>0</v>
      </c>
      <c r="O40" s="18" t="n">
        <v>0</v>
      </c>
      <c r="P40" s="20" t="n">
        <v>0</v>
      </c>
      <c r="Q40" s="18" t="n">
        <v>2.53277445</v>
      </c>
      <c r="R40" s="20" t="n">
        <v>0.46229864</v>
      </c>
    </row>
    <row r="41" spans="1:18">
      <c r="A41" s="15" t="s">
        <v>599</v>
      </c>
      <c r="B41" s="17" t="n">
        <v>5712</v>
      </c>
      <c r="C41" s="18">
        <f>(4456.0/B41*100)</f>
        <v/>
      </c>
      <c r="D41" s="19" t="n">
        <v>1256</v>
      </c>
      <c r="E41" s="18" t="n">
        <v>65.12937099</v>
      </c>
      <c r="F41" s="20" t="n">
        <v>1.81480147</v>
      </c>
      <c r="G41" s="18" t="n">
        <v>34.35501843</v>
      </c>
      <c r="H41" s="20" t="n">
        <v>1.79200069</v>
      </c>
      <c r="I41" s="18" t="n">
        <v>0</v>
      </c>
      <c r="J41" s="20" t="n">
        <v>0</v>
      </c>
      <c r="K41" s="18" t="n">
        <v>0.19108221</v>
      </c>
      <c r="L41" s="20" t="n">
        <v>0.14652171</v>
      </c>
      <c r="M41" s="18" t="n">
        <v>0</v>
      </c>
      <c r="N41" s="20" t="n">
        <v>0</v>
      </c>
      <c r="O41" s="18" t="n">
        <v>0</v>
      </c>
      <c r="P41" s="20" t="n">
        <v>0</v>
      </c>
      <c r="Q41" s="18" t="n">
        <v>0.32452837</v>
      </c>
      <c r="R41" s="20" t="n">
        <v>0.1674629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(18955.0/B46*100)</f>
        <v/>
      </c>
      <c r="D46" s="19" t="n">
        <v>4186</v>
      </c>
      <c r="E46" s="18" t="n">
        <v>87.14750008999999</v>
      </c>
      <c r="F46" s="20" t="n">
        <v>0.79736191</v>
      </c>
      <c r="G46" s="18" t="n">
        <v>7.13579515</v>
      </c>
      <c r="H46" s="20" t="n">
        <v>0.61434545</v>
      </c>
      <c r="I46" s="18" t="n">
        <v>0</v>
      </c>
      <c r="J46" s="20" t="n">
        <v>0</v>
      </c>
      <c r="K46" s="18" t="n">
        <v>1.08974699</v>
      </c>
      <c r="L46" s="20" t="n">
        <v>0.22903076</v>
      </c>
      <c r="M46" s="18" t="n">
        <v>0</v>
      </c>
      <c r="N46" s="20" t="n">
        <v>0</v>
      </c>
      <c r="O46" s="18" t="n">
        <v>0</v>
      </c>
      <c r="P46" s="20" t="n">
        <v>0</v>
      </c>
      <c r="Q46" s="18" t="n">
        <v>4.62695777</v>
      </c>
      <c r="R46" s="20" t="n">
        <v>0.45937442</v>
      </c>
    </row>
    <row r="47" spans="1:18">
      <c r="A47" s="15" t="s">
        <v>606</v>
      </c>
      <c r="B47" s="17" t="n">
        <v>5928</v>
      </c>
      <c r="C47" s="18">
        <f>(4656.0/B47*100)</f>
        <v/>
      </c>
      <c r="D47" s="19" t="n">
        <v>1272</v>
      </c>
      <c r="E47" s="18" t="n">
        <v>81.09438073</v>
      </c>
      <c r="F47" s="20" t="n">
        <v>1.35948637</v>
      </c>
      <c r="G47" s="18" t="n">
        <v>16.31336861</v>
      </c>
      <c r="H47" s="20" t="n">
        <v>1.36654279</v>
      </c>
      <c r="I47" s="18" t="n">
        <v>0</v>
      </c>
      <c r="J47" s="20" t="n">
        <v>0</v>
      </c>
      <c r="K47" s="18" t="n">
        <v>0.154327</v>
      </c>
      <c r="L47" s="20" t="n">
        <v>0.1090474</v>
      </c>
      <c r="M47" s="18" t="n">
        <v>0</v>
      </c>
      <c r="N47" s="20" t="n">
        <v>0</v>
      </c>
      <c r="O47" s="18" t="n">
        <v>0</v>
      </c>
      <c r="P47" s="20" t="n">
        <v>0</v>
      </c>
      <c r="Q47" s="18" t="n">
        <v>2.43792366</v>
      </c>
      <c r="R47" s="20" t="n">
        <v>0.47795248</v>
      </c>
    </row>
    <row r="48" spans="1:18">
      <c r="A48" s="15" t="s">
        <v>607</v>
      </c>
      <c r="B48" s="17" t="n">
        <v>9841</v>
      </c>
      <c r="C48" s="18">
        <f>(7636.0/B48*100)</f>
        <v/>
      </c>
      <c r="D48" s="19" t="n">
        <v>2205</v>
      </c>
      <c r="E48" s="18" t="n">
        <v>65.07542266999999</v>
      </c>
      <c r="F48" s="20" t="n">
        <v>2.14199997</v>
      </c>
      <c r="G48" s="18" t="n">
        <v>34.03009891</v>
      </c>
      <c r="H48" s="20" t="n">
        <v>2.10963085</v>
      </c>
      <c r="I48" s="18" t="n">
        <v>0</v>
      </c>
      <c r="J48" s="20" t="n">
        <v>0</v>
      </c>
      <c r="K48" s="18" t="n">
        <v>0.37697655</v>
      </c>
      <c r="L48" s="20" t="n">
        <v>0.24057005</v>
      </c>
      <c r="M48" s="18" t="n">
        <v>0</v>
      </c>
      <c r="N48" s="20" t="n">
        <v>0</v>
      </c>
      <c r="O48" s="18" t="n">
        <v>0</v>
      </c>
      <c r="P48" s="20" t="n">
        <v>0</v>
      </c>
      <c r="Q48" s="18" t="n">
        <v>0.51750187</v>
      </c>
      <c r="R48" s="20" t="n">
        <v>0.21852739</v>
      </c>
    </row>
    <row r="49" spans="1:18">
      <c r="A49" s="15" t="s">
        <v>608</v>
      </c>
      <c r="B49" s="17" t="n">
        <v>11795</v>
      </c>
      <c r="C49" s="18">
        <f>(9251.0/B49*100)</f>
        <v/>
      </c>
      <c r="D49" s="19" t="n">
        <v>2544</v>
      </c>
      <c r="E49" s="18" t="n">
        <v>86.03711644000001</v>
      </c>
      <c r="F49" s="20" t="n">
        <v>0.8565472</v>
      </c>
      <c r="G49" s="18" t="n">
        <v>11.16163922</v>
      </c>
      <c r="H49" s="20" t="n">
        <v>0.82512409</v>
      </c>
      <c r="I49" s="18" t="n">
        <v>0</v>
      </c>
      <c r="J49" s="20" t="n">
        <v>0</v>
      </c>
      <c r="K49" s="18" t="n">
        <v>1.39868611</v>
      </c>
      <c r="L49" s="20" t="n">
        <v>0.2985737</v>
      </c>
      <c r="M49" s="18" t="n">
        <v>0</v>
      </c>
      <c r="N49" s="20" t="n">
        <v>0</v>
      </c>
      <c r="O49" s="18" t="n">
        <v>0</v>
      </c>
      <c r="P49" s="20" t="n">
        <v>0</v>
      </c>
      <c r="Q49" s="18" t="n">
        <v>1.40255822</v>
      </c>
      <c r="R49" s="20" t="n">
        <v>0.21835772</v>
      </c>
    </row>
    <row r="50" spans="1:18">
      <c r="A50" s="15" t="s">
        <v>609</v>
      </c>
      <c r="B50" s="17" t="n">
        <v>6866</v>
      </c>
      <c r="C50" s="18">
        <f>(5573.0/B50*100)</f>
        <v/>
      </c>
      <c r="D50" s="19" t="n">
        <v>1293</v>
      </c>
      <c r="E50" s="18" t="n">
        <v>87.31261929</v>
      </c>
      <c r="F50" s="20" t="n">
        <v>0.85898693</v>
      </c>
      <c r="G50" s="18" t="n">
        <v>10.08985792</v>
      </c>
      <c r="H50" s="20" t="n">
        <v>0.73443815</v>
      </c>
      <c r="I50" s="18" t="n">
        <v>0</v>
      </c>
      <c r="J50" s="20" t="n">
        <v>0</v>
      </c>
      <c r="K50" s="18" t="n">
        <v>0.58050639</v>
      </c>
      <c r="L50" s="20" t="n">
        <v>0.26151363</v>
      </c>
      <c r="M50" s="18" t="n">
        <v>0</v>
      </c>
      <c r="N50" s="20" t="n">
        <v>0</v>
      </c>
      <c r="O50" s="18" t="n">
        <v>0</v>
      </c>
      <c r="P50" s="20" t="n">
        <v>0</v>
      </c>
      <c r="Q50" s="18" t="n">
        <v>2.0170164</v>
      </c>
      <c r="R50" s="20" t="n">
        <v>0.54274087</v>
      </c>
    </row>
    <row r="51" spans="1:18">
      <c r="A51" s="15" t="s">
        <v>610</v>
      </c>
      <c r="B51" s="17" t="n">
        <v>5809</v>
      </c>
      <c r="C51" s="18">
        <f>(4507.0/B51*100)</f>
        <v/>
      </c>
      <c r="D51" s="19" t="n">
        <v>1302</v>
      </c>
      <c r="E51" s="18" t="n">
        <v>73.00558024999999</v>
      </c>
      <c r="F51" s="20" t="n">
        <v>1.51782031</v>
      </c>
      <c r="G51" s="18" t="n">
        <v>24.66487969</v>
      </c>
      <c r="H51" s="20" t="n">
        <v>1.46537163</v>
      </c>
      <c r="I51" s="18" t="n">
        <v>0</v>
      </c>
      <c r="J51" s="20" t="n">
        <v>0</v>
      </c>
      <c r="K51" s="18" t="n">
        <v>0.12669918</v>
      </c>
      <c r="L51" s="20" t="n">
        <v>0.09089314</v>
      </c>
      <c r="M51" s="18" t="n">
        <v>0</v>
      </c>
      <c r="N51" s="20" t="n">
        <v>0</v>
      </c>
      <c r="O51" s="18" t="n">
        <v>0</v>
      </c>
      <c r="P51" s="20" t="n">
        <v>0</v>
      </c>
      <c r="Q51" s="18" t="n">
        <v>2.20284087</v>
      </c>
      <c r="R51" s="20" t="n">
        <v>0.3571447</v>
      </c>
    </row>
    <row r="52" spans="1:18">
      <c r="A52" s="15" t="s">
        <v>611</v>
      </c>
      <c r="B52" s="17" t="n">
        <v>5571</v>
      </c>
      <c r="C52" s="18">
        <f>(4341.0/B52*100)</f>
        <v/>
      </c>
      <c r="D52" s="19" t="n">
        <v>1230</v>
      </c>
      <c r="E52" s="18" t="n">
        <v>80.11696734</v>
      </c>
      <c r="F52" s="20" t="n">
        <v>1.34766399</v>
      </c>
      <c r="G52" s="18" t="n">
        <v>15.34474218</v>
      </c>
      <c r="H52" s="20" t="n">
        <v>1.12330478</v>
      </c>
      <c r="I52" s="18" t="n">
        <v>0</v>
      </c>
      <c r="J52" s="20" t="n">
        <v>0</v>
      </c>
      <c r="K52" s="18" t="n">
        <v>0.24065045</v>
      </c>
      <c r="L52" s="20" t="n">
        <v>0.14457134</v>
      </c>
      <c r="M52" s="18" t="n">
        <v>0</v>
      </c>
      <c r="N52" s="20" t="n">
        <v>0</v>
      </c>
      <c r="O52" s="18" t="n">
        <v>0</v>
      </c>
      <c r="P52" s="20" t="n">
        <v>0</v>
      </c>
      <c r="Q52" s="18" t="n">
        <v>4.29764003</v>
      </c>
      <c r="R52" s="20" t="n">
        <v>0.6243374699999999</v>
      </c>
    </row>
    <row r="53" spans="1:18">
      <c r="A53" s="15" t="s">
        <v>612</v>
      </c>
      <c r="B53" s="17" t="n">
        <v>4740</v>
      </c>
      <c r="C53" s="18">
        <f>(3723.0/B53*100)</f>
        <v/>
      </c>
      <c r="D53" s="19" t="n">
        <v>1017</v>
      </c>
      <c r="E53" s="18" t="n">
        <v>82.9279583</v>
      </c>
      <c r="F53" s="20" t="n">
        <v>1.43626317</v>
      </c>
      <c r="G53" s="18" t="n">
        <v>1.16755233</v>
      </c>
      <c r="H53" s="20" t="n">
        <v>0.42364507</v>
      </c>
      <c r="I53" s="18" t="n">
        <v>0</v>
      </c>
      <c r="J53" s="20" t="n">
        <v>0</v>
      </c>
      <c r="K53" s="18" t="n">
        <v>11.49293079</v>
      </c>
      <c r="L53" s="20" t="n">
        <v>1.302294</v>
      </c>
      <c r="M53" s="18" t="n">
        <v>0</v>
      </c>
      <c r="N53" s="20" t="n">
        <v>0</v>
      </c>
      <c r="O53" s="18" t="n">
        <v>0</v>
      </c>
      <c r="P53" s="20" t="n">
        <v>0</v>
      </c>
      <c r="Q53" s="18" t="n">
        <v>4.41155857</v>
      </c>
      <c r="R53" s="20" t="n">
        <v>0.75196466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(4201.0/B55*100)</f>
        <v/>
      </c>
      <c r="D55" s="19" t="n">
        <v>1158</v>
      </c>
      <c r="E55" s="18" t="n">
        <v>74.25524571</v>
      </c>
      <c r="F55" s="20" t="n">
        <v>1.44351462</v>
      </c>
      <c r="G55" s="18" t="n">
        <v>25.08087659</v>
      </c>
      <c r="H55" s="20" t="n">
        <v>1.46991248</v>
      </c>
      <c r="I55" s="18" t="n">
        <v>0</v>
      </c>
      <c r="J55" s="20" t="n">
        <v>0</v>
      </c>
      <c r="K55" s="18" t="n">
        <v>0.16764565</v>
      </c>
      <c r="L55" s="20" t="n">
        <v>0.11886543</v>
      </c>
      <c r="M55" s="18" t="n">
        <v>0</v>
      </c>
      <c r="N55" s="20" t="n">
        <v>0</v>
      </c>
      <c r="O55" s="18" t="n">
        <v>0</v>
      </c>
      <c r="P55" s="20" t="n">
        <v>0</v>
      </c>
      <c r="Q55" s="18" t="n">
        <v>0.49623205</v>
      </c>
      <c r="R55" s="20" t="n">
        <v>0.23010922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(5073.0/B61*100)</f>
        <v/>
      </c>
      <c r="D61" s="19" t="n">
        <v>1452</v>
      </c>
      <c r="E61" s="18" t="n">
        <v>71.97698446</v>
      </c>
      <c r="F61" s="20" t="n">
        <v>1.72209188</v>
      </c>
      <c r="G61" s="18" t="n">
        <v>25.41995828</v>
      </c>
      <c r="H61" s="20" t="n">
        <v>1.59605628</v>
      </c>
      <c r="I61" s="18" t="n">
        <v>0</v>
      </c>
      <c r="J61" s="20" t="n">
        <v>0</v>
      </c>
      <c r="K61" s="18" t="n">
        <v>0.33920327</v>
      </c>
      <c r="L61" s="20" t="n">
        <v>0.15569434</v>
      </c>
      <c r="M61" s="18" t="n">
        <v>0</v>
      </c>
      <c r="N61" s="20" t="n">
        <v>0</v>
      </c>
      <c r="O61" s="18" t="n">
        <v>0</v>
      </c>
      <c r="P61" s="20" t="n">
        <v>0</v>
      </c>
      <c r="Q61" s="18" t="n">
        <v>2.26385399</v>
      </c>
      <c r="R61" s="20" t="n">
        <v>0.54260958</v>
      </c>
    </row>
    <row r="62" spans="1:18">
      <c r="A62" s="15" t="s">
        <v>622</v>
      </c>
      <c r="B62" s="17" t="n">
        <v>4476</v>
      </c>
      <c r="C62" s="18">
        <f>(3491.0/B62*100)</f>
        <v/>
      </c>
      <c r="D62" s="19" t="n">
        <v>985</v>
      </c>
      <c r="E62" s="18" t="n">
        <v>60.4253298</v>
      </c>
      <c r="F62" s="20" t="n">
        <v>1.43314732</v>
      </c>
      <c r="G62" s="18" t="n">
        <v>39.47040189</v>
      </c>
      <c r="H62" s="20" t="n">
        <v>1.42848743</v>
      </c>
      <c r="I62" s="18" t="n">
        <v>0</v>
      </c>
      <c r="J62" s="20" t="n">
        <v>0</v>
      </c>
      <c r="K62" s="18" t="n">
        <v>0</v>
      </c>
      <c r="L62" s="20" t="n">
        <v>0</v>
      </c>
      <c r="M62" s="18" t="n">
        <v>0</v>
      </c>
      <c r="N62" s="20" t="n">
        <v>0</v>
      </c>
      <c r="O62" s="18" t="n">
        <v>0</v>
      </c>
      <c r="P62" s="20" t="n">
        <v>0</v>
      </c>
      <c r="Q62" s="18" t="n">
        <v>0.10426831</v>
      </c>
      <c r="R62" s="20" t="n">
        <v>0.10359779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(4468.0/B67*100)</f>
        <v/>
      </c>
      <c r="D67" s="19" t="n">
        <v>1197</v>
      </c>
      <c r="E67" s="18" t="n">
        <v>81.73128048</v>
      </c>
      <c r="F67" s="20" t="n">
        <v>1.23681527</v>
      </c>
      <c r="G67" s="18" t="n">
        <v>7.14090443</v>
      </c>
      <c r="H67" s="20" t="n">
        <v>0.72306356</v>
      </c>
      <c r="I67" s="18" t="n">
        <v>0</v>
      </c>
      <c r="J67" s="20" t="n">
        <v>0</v>
      </c>
      <c r="K67" s="18" t="n">
        <v>0.41011907</v>
      </c>
      <c r="L67" s="20" t="n">
        <v>0.18364737</v>
      </c>
      <c r="M67" s="18" t="n">
        <v>0</v>
      </c>
      <c r="N67" s="20" t="n">
        <v>0</v>
      </c>
      <c r="O67" s="18" t="n">
        <v>0</v>
      </c>
      <c r="P67" s="20" t="n">
        <v>0</v>
      </c>
      <c r="Q67" s="18" t="n">
        <v>10.71769602</v>
      </c>
      <c r="R67" s="20" t="n">
        <v>0.93102989</v>
      </c>
    </row>
    <row r="68" spans="1:18">
      <c r="A68" s="15" t="s">
        <v>628</v>
      </c>
      <c r="B68" s="17" t="n">
        <v>6971</v>
      </c>
      <c r="C68" s="18">
        <f>(5600.0/B68*100)</f>
        <v/>
      </c>
      <c r="D68" s="19" t="n">
        <v>1371</v>
      </c>
      <c r="E68" s="18" t="n">
        <v>92.39485368</v>
      </c>
      <c r="F68" s="20" t="n">
        <v>0.72875409</v>
      </c>
      <c r="G68" s="18" t="n">
        <v>5.54451501</v>
      </c>
      <c r="H68" s="20" t="n">
        <v>0.6084024</v>
      </c>
      <c r="I68" s="18" t="n">
        <v>0</v>
      </c>
      <c r="J68" s="20" t="n">
        <v>0</v>
      </c>
      <c r="K68" s="18" t="n">
        <v>0.15391878</v>
      </c>
      <c r="L68" s="20" t="n">
        <v>0.10857017</v>
      </c>
      <c r="M68" s="18" t="n">
        <v>0</v>
      </c>
      <c r="N68" s="20" t="n">
        <v>0</v>
      </c>
      <c r="O68" s="18" t="n">
        <v>0</v>
      </c>
      <c r="P68" s="20" t="n">
        <v>0</v>
      </c>
      <c r="Q68" s="18" t="n">
        <v>1.90671252</v>
      </c>
      <c r="R68" s="20" t="n">
        <v>0.37520716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(9454.0/B70*100)</f>
        <v/>
      </c>
      <c r="D70" s="19" t="n">
        <v>2629</v>
      </c>
      <c r="E70" s="18" t="n">
        <v>81.88587468</v>
      </c>
      <c r="F70" s="20" t="n">
        <v>0.71520438</v>
      </c>
      <c r="G70" s="18" t="n">
        <v>13.16510501</v>
      </c>
      <c r="H70" s="20" t="n">
        <v>0.66627497</v>
      </c>
      <c r="I70" s="18" t="n">
        <v>0</v>
      </c>
      <c r="J70" s="20" t="n">
        <v>0</v>
      </c>
      <c r="K70" s="18" t="n">
        <v>1.64787599</v>
      </c>
      <c r="L70" s="20" t="n">
        <v>0.23744861</v>
      </c>
      <c r="M70" s="18" t="n">
        <v>0</v>
      </c>
      <c r="N70" s="20" t="n">
        <v>0</v>
      </c>
      <c r="O70" s="18" t="n">
        <v>0</v>
      </c>
      <c r="P70" s="20" t="n">
        <v>0</v>
      </c>
      <c r="Q70" s="18" t="n">
        <v>3.30114432</v>
      </c>
      <c r="R70" s="20" t="n">
        <v>0.32815756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(4704.0/B72*100)</f>
        <v/>
      </c>
      <c r="D72" s="19" t="n">
        <v>1332</v>
      </c>
      <c r="E72" s="18" t="n">
        <v>73.91566625999999</v>
      </c>
      <c r="F72" s="20" t="n">
        <v>1.18975675</v>
      </c>
      <c r="G72" s="18" t="n">
        <v>25.0586903</v>
      </c>
      <c r="H72" s="20" t="n">
        <v>1.24739114</v>
      </c>
      <c r="I72" s="18" t="n">
        <v>0</v>
      </c>
      <c r="J72" s="20" t="n">
        <v>0</v>
      </c>
      <c r="K72" s="18" t="n">
        <v>0.1248421</v>
      </c>
      <c r="L72" s="20" t="n">
        <v>0.07339308999999999</v>
      </c>
      <c r="M72" s="18" t="n">
        <v>0</v>
      </c>
      <c r="N72" s="20" t="n">
        <v>0</v>
      </c>
      <c r="O72" s="18" t="n">
        <v>0</v>
      </c>
      <c r="P72" s="20" t="n">
        <v>0</v>
      </c>
      <c r="Q72" s="18" t="n">
        <v>0.90080133</v>
      </c>
      <c r="R72" s="20" t="n">
        <v>0.25993881</v>
      </c>
    </row>
    <row r="73" spans="1:18">
      <c r="A73" s="15" t="s">
        <v>633</v>
      </c>
      <c r="B73" s="17" t="n">
        <v>6115</v>
      </c>
      <c r="C73" s="18">
        <f>(4736.0/B73*100)</f>
        <v/>
      </c>
      <c r="D73" s="19" t="n">
        <v>1379</v>
      </c>
      <c r="E73" s="18" t="n">
        <v>49.94849355</v>
      </c>
      <c r="F73" s="20" t="n">
        <v>1.33180187</v>
      </c>
      <c r="G73" s="18" t="n">
        <v>49.4931138</v>
      </c>
      <c r="H73" s="20" t="n">
        <v>1.32904156</v>
      </c>
      <c r="I73" s="18" t="n">
        <v>0</v>
      </c>
      <c r="J73" s="20" t="n">
        <v>0</v>
      </c>
      <c r="K73" s="18" t="n">
        <v>0.23344825</v>
      </c>
      <c r="L73" s="20" t="n">
        <v>0.13462578</v>
      </c>
      <c r="M73" s="18" t="n">
        <v>0</v>
      </c>
      <c r="N73" s="20" t="n">
        <v>0</v>
      </c>
      <c r="O73" s="18" t="n">
        <v>0</v>
      </c>
      <c r="P73" s="20" t="n">
        <v>0</v>
      </c>
      <c r="Q73" s="18" t="n">
        <v>0.3249444</v>
      </c>
      <c r="R73" s="20" t="n">
        <v>0.13506761</v>
      </c>
    </row>
    <row r="74" spans="1:18">
      <c r="A74" s="15" t="s">
        <v>634</v>
      </c>
      <c r="B74" s="17" t="n">
        <v>7708</v>
      </c>
      <c r="C74" s="18">
        <f>(5959.0/B74*100)</f>
        <v/>
      </c>
      <c r="D74" s="19" t="n">
        <v>1749</v>
      </c>
      <c r="E74" s="18" t="n">
        <v>69.22357427</v>
      </c>
      <c r="F74" s="20" t="n">
        <v>1.30801569</v>
      </c>
      <c r="G74" s="18" t="n">
        <v>30.3019872</v>
      </c>
      <c r="H74" s="20" t="n">
        <v>1.29660943</v>
      </c>
      <c r="I74" s="18" t="n">
        <v>0</v>
      </c>
      <c r="J74" s="20" t="n">
        <v>0</v>
      </c>
      <c r="K74" s="18" t="n">
        <v>0.07469335000000001</v>
      </c>
      <c r="L74" s="20" t="n">
        <v>0.07493531</v>
      </c>
      <c r="M74" s="18" t="n">
        <v>0</v>
      </c>
      <c r="N74" s="20" t="n">
        <v>0</v>
      </c>
      <c r="O74" s="18" t="n">
        <v>0</v>
      </c>
      <c r="P74" s="20" t="n">
        <v>0</v>
      </c>
      <c r="Q74" s="18" t="n">
        <v>0.39974518</v>
      </c>
      <c r="R74" s="20" t="n">
        <v>0.11908819</v>
      </c>
    </row>
    <row r="75" spans="1:18">
      <c r="A75" s="15" t="s">
        <v>635</v>
      </c>
      <c r="B75" s="17" t="n">
        <v>8249</v>
      </c>
      <c r="C75" s="18">
        <f>(6483.0/B75*100)</f>
        <v/>
      </c>
      <c r="D75" s="19" t="n">
        <v>1766</v>
      </c>
      <c r="E75" s="18" t="n">
        <v>86.68295856</v>
      </c>
      <c r="F75" s="20" t="n">
        <v>1.02285583</v>
      </c>
      <c r="G75" s="18" t="n">
        <v>12.51844236</v>
      </c>
      <c r="H75" s="20" t="n">
        <v>0.9999802800000001</v>
      </c>
      <c r="I75" s="18" t="n">
        <v>0</v>
      </c>
      <c r="J75" s="20" t="n">
        <v>0</v>
      </c>
      <c r="K75" s="18" t="n">
        <v>0.07812896</v>
      </c>
      <c r="L75" s="20" t="n">
        <v>0.05521388</v>
      </c>
      <c r="M75" s="18" t="n">
        <v>0</v>
      </c>
      <c r="N75" s="20" t="n">
        <v>0</v>
      </c>
      <c r="O75" s="18" t="n">
        <v>0</v>
      </c>
      <c r="P75" s="20" t="n">
        <v>0</v>
      </c>
      <c r="Q75" s="18" t="n">
        <v>0.72047013</v>
      </c>
      <c r="R75" s="20" t="n">
        <v>0.21944344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(4284.0/B77*100)</f>
        <v/>
      </c>
      <c r="D77" s="19" t="n">
        <v>1091</v>
      </c>
      <c r="E77" s="18" t="n">
        <v>88.91648877</v>
      </c>
      <c r="F77" s="20" t="n">
        <v>1.08459061</v>
      </c>
      <c r="G77" s="18" t="n">
        <v>4.11068557</v>
      </c>
      <c r="H77" s="20" t="n">
        <v>0.70936223</v>
      </c>
      <c r="I77" s="18" t="n">
        <v>0</v>
      </c>
      <c r="J77" s="20" t="n">
        <v>0</v>
      </c>
      <c r="K77" s="18" t="n">
        <v>2.41560862</v>
      </c>
      <c r="L77" s="20" t="n">
        <v>0.59150072</v>
      </c>
      <c r="M77" s="18" t="n">
        <v>0</v>
      </c>
      <c r="N77" s="20" t="n">
        <v>0</v>
      </c>
      <c r="O77" s="18" t="n">
        <v>0</v>
      </c>
      <c r="P77" s="20" t="n">
        <v>0</v>
      </c>
      <c r="Q77" s="18" t="n">
        <v>4.55721705</v>
      </c>
      <c r="R77" s="20" t="n">
        <v>0.68090275</v>
      </c>
    </row>
    <row r="78" spans="1:18">
      <c r="A78" s="15" t="s">
        <v>638</v>
      </c>
      <c r="B78" s="17" t="n">
        <v>14167</v>
      </c>
      <c r="C78" s="18">
        <f>(11059.0/B78*100)</f>
        <v/>
      </c>
      <c r="D78" s="19" t="n">
        <v>3108</v>
      </c>
      <c r="E78" s="18" t="n">
        <v>80.45323249</v>
      </c>
      <c r="F78" s="20" t="n">
        <v>0.82324732</v>
      </c>
      <c r="G78" s="18" t="n">
        <v>17.4241768</v>
      </c>
      <c r="H78" s="20" t="n">
        <v>0.79293936</v>
      </c>
      <c r="I78" s="18" t="n">
        <v>0</v>
      </c>
      <c r="J78" s="20" t="n">
        <v>0</v>
      </c>
      <c r="K78" s="18" t="n">
        <v>0.38190686</v>
      </c>
      <c r="L78" s="20" t="n">
        <v>0.11499925</v>
      </c>
      <c r="M78" s="18" t="n">
        <v>0</v>
      </c>
      <c r="N78" s="20" t="n">
        <v>0</v>
      </c>
      <c r="O78" s="18" t="n">
        <v>0</v>
      </c>
      <c r="P78" s="20" t="n">
        <v>0</v>
      </c>
      <c r="Q78" s="18" t="n">
        <v>1.74068385</v>
      </c>
      <c r="R78" s="20" t="n">
        <v>0.28714865</v>
      </c>
    </row>
    <row r="79" spans="1:18">
      <c r="A79" s="15" t="s">
        <v>639</v>
      </c>
      <c r="B79" s="17" t="n">
        <v>6062</v>
      </c>
      <c r="C79" s="18">
        <f>(4746.0/B79*100)</f>
        <v/>
      </c>
      <c r="D79" s="19" t="n">
        <v>1316</v>
      </c>
      <c r="E79" s="18" t="n">
        <v>81.61054525</v>
      </c>
      <c r="F79" s="20" t="n">
        <v>1.29375955</v>
      </c>
      <c r="G79" s="18" t="n">
        <v>13.2156579</v>
      </c>
      <c r="H79" s="20" t="n">
        <v>1.13286659</v>
      </c>
      <c r="I79" s="18" t="n">
        <v>0</v>
      </c>
      <c r="J79" s="20" t="n">
        <v>0</v>
      </c>
      <c r="K79" s="18" t="n">
        <v>0.79842673</v>
      </c>
      <c r="L79" s="20" t="n">
        <v>0.26466377</v>
      </c>
      <c r="M79" s="18" t="n">
        <v>0</v>
      </c>
      <c r="N79" s="20" t="n">
        <v>0</v>
      </c>
      <c r="O79" s="18" t="n">
        <v>0</v>
      </c>
      <c r="P79" s="20" t="n">
        <v>0</v>
      </c>
      <c r="Q79" s="18" t="n">
        <v>4.37537011</v>
      </c>
      <c r="R79" s="20" t="n">
        <v>0.5215405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(25277.0/B82*100)</f>
        <v/>
      </c>
      <c r="D82" s="19" t="n">
        <v>7053</v>
      </c>
      <c r="E82" s="18" t="n">
        <v>70.80045353</v>
      </c>
      <c r="F82" s="20" t="n">
        <v>0.81382751</v>
      </c>
      <c r="G82" s="18" t="n">
        <v>26.67745728</v>
      </c>
      <c r="H82" s="20" t="n">
        <v>0.81593492</v>
      </c>
      <c r="I82" s="18" t="n">
        <v>0</v>
      </c>
      <c r="J82" s="20" t="n">
        <v>0</v>
      </c>
      <c r="K82" s="18" t="n">
        <v>0.26292799</v>
      </c>
      <c r="L82" s="20" t="n">
        <v>0.10536885</v>
      </c>
      <c r="M82" s="18" t="n">
        <v>0</v>
      </c>
      <c r="N82" s="20" t="n">
        <v>0</v>
      </c>
      <c r="O82" s="18" t="n">
        <v>0</v>
      </c>
      <c r="P82" s="20" t="n">
        <v>0</v>
      </c>
      <c r="Q82" s="18" t="n">
        <v>2.25916121</v>
      </c>
      <c r="R82" s="20" t="n">
        <v>0.23413326</v>
      </c>
    </row>
    <row r="83" spans="1:18">
      <c r="A83" s="15" t="s">
        <v>643</v>
      </c>
      <c r="B83" s="17" t="n">
        <v>1652</v>
      </c>
      <c r="C83" s="18">
        <f>(1297.0/B83*100)</f>
        <v/>
      </c>
      <c r="D83" s="19" t="n">
        <v>355</v>
      </c>
      <c r="E83" s="18" t="n">
        <v>58.84886422</v>
      </c>
      <c r="F83" s="20" t="n">
        <v>3.23367497</v>
      </c>
      <c r="G83" s="18" t="n">
        <v>41.15113578</v>
      </c>
      <c r="H83" s="20" t="n">
        <v>3.23367497</v>
      </c>
      <c r="I83" s="18" t="n">
        <v>0</v>
      </c>
      <c r="J83" s="20" t="n">
        <v>0</v>
      </c>
      <c r="K83" s="18" t="n">
        <v>0</v>
      </c>
      <c r="L83" s="20" t="n">
        <v>0</v>
      </c>
      <c r="M83" s="18" t="n">
        <v>0</v>
      </c>
      <c r="N83" s="20" t="n">
        <v>0</v>
      </c>
      <c r="O83" s="18" t="n">
        <v>0</v>
      </c>
      <c r="P83" s="20" t="n">
        <v>0</v>
      </c>
      <c r="Q83" s="18" t="n">
        <v>0</v>
      </c>
      <c r="R83" s="20" t="n">
        <v>0</v>
      </c>
    </row>
    <row r="84" spans="1:18">
      <c r="A84" s="23" t="s">
        <v>644</v>
      </c>
      <c r="B84" s="24" t="n">
        <v>1887</v>
      </c>
      <c r="C84" s="25">
        <f>(1474.0/B84*100)</f>
        <v/>
      </c>
      <c r="D84" s="19" t="n">
        <v>413</v>
      </c>
      <c r="E84" s="18" t="n">
        <v>62.96238614</v>
      </c>
      <c r="F84" s="20" t="n">
        <v>2.53445618</v>
      </c>
      <c r="G84" s="18" t="n">
        <v>36.76403391</v>
      </c>
      <c r="H84" s="20" t="n">
        <v>2.61352052</v>
      </c>
      <c r="I84" s="18" t="n">
        <v>0</v>
      </c>
      <c r="J84" s="20" t="n">
        <v>0</v>
      </c>
      <c r="K84" s="18" t="n">
        <v>0</v>
      </c>
      <c r="L84" s="20" t="n">
        <v>0</v>
      </c>
      <c r="M84" s="18" t="n">
        <v>0</v>
      </c>
      <c r="N84" s="20" t="n">
        <v>0</v>
      </c>
      <c r="O84" s="18" t="n">
        <v>0</v>
      </c>
      <c r="P84" s="20" t="n">
        <v>0</v>
      </c>
      <c r="Q84" s="18" t="n">
        <v>0.27357995</v>
      </c>
      <c r="R84" s="20" t="n">
        <v>0.27280408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(11384.0/B7*100)</f>
        <v/>
      </c>
      <c r="D7" s="19" t="n">
        <v>3146</v>
      </c>
      <c r="E7" s="18" t="n">
        <v>74.30422357</v>
      </c>
      <c r="F7" s="20" t="n">
        <v>0.89287416</v>
      </c>
      <c r="G7" s="18" t="n">
        <v>21.4083802</v>
      </c>
      <c r="H7" s="20" t="n">
        <v>0.884538</v>
      </c>
      <c r="I7" s="18" t="n">
        <v>0</v>
      </c>
      <c r="J7" s="20" t="n">
        <v>0</v>
      </c>
      <c r="K7" s="18" t="n">
        <v>0.38597127</v>
      </c>
      <c r="L7" s="20" t="n">
        <v>0.14137927</v>
      </c>
      <c r="M7" s="18" t="n">
        <v>0.09182435</v>
      </c>
      <c r="N7" s="20" t="n">
        <v>0.07688109</v>
      </c>
      <c r="O7" s="18" t="n">
        <v>0</v>
      </c>
      <c r="P7" s="20" t="n">
        <v>0</v>
      </c>
      <c r="Q7" s="18" t="n">
        <v>3.80960061</v>
      </c>
      <c r="R7" s="20" t="n">
        <v>0.44936171</v>
      </c>
    </row>
    <row r="8" spans="1:18">
      <c r="A8" s="15" t="s">
        <v>566</v>
      </c>
      <c r="B8" s="17" t="n">
        <v>7007</v>
      </c>
      <c r="C8" s="18">
        <f>(5462.0/B8*100)</f>
        <v/>
      </c>
      <c r="D8" s="19" t="n">
        <v>1545</v>
      </c>
      <c r="E8" s="18" t="n">
        <v>69.86258992</v>
      </c>
      <c r="F8" s="20" t="n">
        <v>1.49187542</v>
      </c>
      <c r="G8" s="18" t="n">
        <v>27.08636744</v>
      </c>
      <c r="H8" s="20" t="n">
        <v>1.35535116</v>
      </c>
      <c r="I8" s="18" t="n">
        <v>0</v>
      </c>
      <c r="J8" s="20" t="n">
        <v>0</v>
      </c>
      <c r="K8" s="18" t="n">
        <v>0.0516851</v>
      </c>
      <c r="L8" s="20" t="n">
        <v>0.08757914</v>
      </c>
      <c r="M8" s="18" t="n">
        <v>0</v>
      </c>
      <c r="N8" s="20" t="n">
        <v>0</v>
      </c>
      <c r="O8" s="18" t="n">
        <v>0</v>
      </c>
      <c r="P8" s="20" t="n">
        <v>0</v>
      </c>
      <c r="Q8" s="18" t="n">
        <v>2.99935754</v>
      </c>
      <c r="R8" s="20" t="n">
        <v>0.60183557</v>
      </c>
    </row>
    <row r="9" spans="1:18">
      <c r="A9" s="15" t="s">
        <v>567</v>
      </c>
      <c r="B9" s="17" t="n">
        <v>9651</v>
      </c>
      <c r="C9" s="18">
        <f>(7603.0/B9*100)</f>
        <v/>
      </c>
      <c r="D9" s="19" t="n">
        <v>2048</v>
      </c>
      <c r="E9" s="18" t="n">
        <v>69.68303293</v>
      </c>
      <c r="F9" s="20" t="n">
        <v>1.17946227</v>
      </c>
      <c r="G9" s="18" t="n">
        <v>26.3105004</v>
      </c>
      <c r="H9" s="20" t="n">
        <v>1.07084023</v>
      </c>
      <c r="I9" s="18" t="n">
        <v>0</v>
      </c>
      <c r="J9" s="20" t="n">
        <v>0</v>
      </c>
      <c r="K9" s="18" t="n">
        <v>0.23017365</v>
      </c>
      <c r="L9" s="20" t="n">
        <v>0.10343859</v>
      </c>
      <c r="M9" s="18" t="n">
        <v>0.23632058</v>
      </c>
      <c r="N9" s="20" t="n">
        <v>0.11327035</v>
      </c>
      <c r="O9" s="18" t="n">
        <v>0</v>
      </c>
      <c r="P9" s="20" t="n">
        <v>0</v>
      </c>
      <c r="Q9" s="18" t="n">
        <v>3.53997244</v>
      </c>
      <c r="R9" s="20" t="n">
        <v>0.50636605</v>
      </c>
    </row>
    <row r="10" spans="1:18">
      <c r="A10" s="15" t="s">
        <v>568</v>
      </c>
      <c r="B10" s="17" t="n">
        <v>20058</v>
      </c>
      <c r="C10" s="18">
        <f>(15702.0/B10*100)</f>
        <v/>
      </c>
      <c r="D10" s="19" t="n">
        <v>4356</v>
      </c>
      <c r="E10" s="18" t="n">
        <v>71.5030745</v>
      </c>
      <c r="F10" s="20" t="n">
        <v>0.88722136</v>
      </c>
      <c r="G10" s="18" t="n">
        <v>26.45984367</v>
      </c>
      <c r="H10" s="20" t="n">
        <v>0.8943346599999999</v>
      </c>
      <c r="I10" s="18" t="n">
        <v>0</v>
      </c>
      <c r="J10" s="20" t="n">
        <v>0</v>
      </c>
      <c r="K10" s="18" t="n">
        <v>0.20959285</v>
      </c>
      <c r="L10" s="20" t="n">
        <v>0.10867295</v>
      </c>
      <c r="M10" s="18" t="n">
        <v>0.0207346</v>
      </c>
      <c r="N10" s="20" t="n">
        <v>0.01463885</v>
      </c>
      <c r="O10" s="18" t="n">
        <v>0</v>
      </c>
      <c r="P10" s="20" t="n">
        <v>0</v>
      </c>
      <c r="Q10" s="18" t="n">
        <v>1.80675437</v>
      </c>
      <c r="R10" s="20" t="n">
        <v>0.29032301</v>
      </c>
    </row>
    <row r="11" spans="1:18">
      <c r="A11" s="15" t="s">
        <v>569</v>
      </c>
      <c r="B11" s="17" t="n">
        <v>7053</v>
      </c>
      <c r="C11" s="18">
        <f>(5565.0/B11*100)</f>
        <v/>
      </c>
      <c r="D11" s="19" t="n">
        <v>1488</v>
      </c>
      <c r="E11" s="18" t="n">
        <v>76.78679628</v>
      </c>
      <c r="F11" s="20" t="n">
        <v>1.20919132</v>
      </c>
      <c r="G11" s="18" t="n">
        <v>16.33142687</v>
      </c>
      <c r="H11" s="20" t="n">
        <v>1.0121074</v>
      </c>
      <c r="I11" s="18" t="n">
        <v>0</v>
      </c>
      <c r="J11" s="20" t="n">
        <v>0</v>
      </c>
      <c r="K11" s="18" t="n">
        <v>1.30965658</v>
      </c>
      <c r="L11" s="20" t="n">
        <v>0.3181584</v>
      </c>
      <c r="M11" s="18" t="n">
        <v>0.00724844</v>
      </c>
      <c r="N11" s="20" t="n">
        <v>0.00730608</v>
      </c>
      <c r="O11" s="18" t="n">
        <v>0</v>
      </c>
      <c r="P11" s="20" t="n">
        <v>0</v>
      </c>
      <c r="Q11" s="18" t="n">
        <v>5.56487184</v>
      </c>
      <c r="R11" s="20" t="n">
        <v>0.73769254</v>
      </c>
    </row>
    <row r="12" spans="1:18">
      <c r="A12" s="15" t="s">
        <v>570</v>
      </c>
      <c r="B12" s="17" t="n">
        <v>6894</v>
      </c>
      <c r="C12" s="18">
        <f>(5413.0/B12*100)</f>
        <v/>
      </c>
      <c r="D12" s="19" t="n">
        <v>1481</v>
      </c>
      <c r="E12" s="18" t="n">
        <v>79.00290448</v>
      </c>
      <c r="F12" s="20" t="n">
        <v>0.98708015</v>
      </c>
      <c r="G12" s="18" t="n">
        <v>18.91232233</v>
      </c>
      <c r="H12" s="20" t="n">
        <v>0.98063827</v>
      </c>
      <c r="I12" s="18" t="n">
        <v>0</v>
      </c>
      <c r="J12" s="20" t="n">
        <v>0</v>
      </c>
      <c r="K12" s="18" t="n">
        <v>0.15713264</v>
      </c>
      <c r="L12" s="20" t="n">
        <v>0.11576893</v>
      </c>
      <c r="M12" s="18" t="n">
        <v>0</v>
      </c>
      <c r="N12" s="20" t="n">
        <v>0</v>
      </c>
      <c r="O12" s="18" t="n">
        <v>0</v>
      </c>
      <c r="P12" s="20" t="n">
        <v>0</v>
      </c>
      <c r="Q12" s="18" t="n">
        <v>1.92764056</v>
      </c>
      <c r="R12" s="20" t="n">
        <v>0.33337884</v>
      </c>
    </row>
    <row r="13" spans="1:18">
      <c r="A13" s="15" t="s">
        <v>571</v>
      </c>
      <c r="B13" s="17" t="n">
        <v>7161</v>
      </c>
      <c r="C13" s="18">
        <f>(5657.0/B13*100)</f>
        <v/>
      </c>
      <c r="D13" s="19" t="n">
        <v>1504</v>
      </c>
      <c r="E13" s="18" t="n">
        <v>71.23979514</v>
      </c>
      <c r="F13" s="20" t="n">
        <v>1.19609654</v>
      </c>
      <c r="G13" s="18" t="n">
        <v>26.00299252</v>
      </c>
      <c r="H13" s="20" t="n">
        <v>1.03711043</v>
      </c>
      <c r="I13" s="18" t="n">
        <v>0</v>
      </c>
      <c r="J13" s="20" t="n">
        <v>0</v>
      </c>
      <c r="K13" s="18" t="n">
        <v>0.26602152</v>
      </c>
      <c r="L13" s="20" t="n">
        <v>0.16360714</v>
      </c>
      <c r="M13" s="18" t="n">
        <v>0.0605937</v>
      </c>
      <c r="N13" s="20" t="n">
        <v>0.03748462</v>
      </c>
      <c r="O13" s="18" t="n">
        <v>0</v>
      </c>
      <c r="P13" s="20" t="n">
        <v>0</v>
      </c>
      <c r="Q13" s="18" t="n">
        <v>2.43059712</v>
      </c>
      <c r="R13" s="20" t="n">
        <v>0.44484659</v>
      </c>
    </row>
    <row r="14" spans="1:18">
      <c r="A14" s="15" t="s">
        <v>572</v>
      </c>
      <c r="B14" s="17" t="n">
        <v>5587</v>
      </c>
      <c r="C14" s="18">
        <f>(4365.0/B14*100)</f>
        <v/>
      </c>
      <c r="D14" s="19" t="n">
        <v>1222</v>
      </c>
      <c r="E14" s="18" t="n">
        <v>60.93970349</v>
      </c>
      <c r="F14" s="20" t="n">
        <v>1.40217669</v>
      </c>
      <c r="G14" s="18" t="n">
        <v>37.59204236</v>
      </c>
      <c r="H14" s="20" t="n">
        <v>1.37232083</v>
      </c>
      <c r="I14" s="18" t="n">
        <v>0</v>
      </c>
      <c r="J14" s="20" t="n">
        <v>0</v>
      </c>
      <c r="K14" s="18" t="n">
        <v>0.07233479</v>
      </c>
      <c r="L14" s="20" t="n">
        <v>0.07199053</v>
      </c>
      <c r="M14" s="18" t="n">
        <v>0</v>
      </c>
      <c r="N14" s="20" t="n">
        <v>0</v>
      </c>
      <c r="O14" s="18" t="n">
        <v>0</v>
      </c>
      <c r="P14" s="20" t="n">
        <v>0</v>
      </c>
      <c r="Q14" s="18" t="n">
        <v>1.39591936</v>
      </c>
      <c r="R14" s="20" t="n">
        <v>0.38775277</v>
      </c>
    </row>
    <row r="15" spans="1:18">
      <c r="A15" s="15" t="s">
        <v>573</v>
      </c>
      <c r="B15" s="17" t="n">
        <v>5882</v>
      </c>
      <c r="C15" s="18">
        <f>(4627.0/B15*100)</f>
        <v/>
      </c>
      <c r="D15" s="19" t="n">
        <v>1255</v>
      </c>
      <c r="E15" s="18" t="n">
        <v>68.76775127000001</v>
      </c>
      <c r="F15" s="20" t="n">
        <v>1.25476154</v>
      </c>
      <c r="G15" s="18" t="n">
        <v>30.05529436</v>
      </c>
      <c r="H15" s="20" t="n">
        <v>1.30848621</v>
      </c>
      <c r="I15" s="18" t="n">
        <v>0</v>
      </c>
      <c r="J15" s="20" t="n">
        <v>0</v>
      </c>
      <c r="K15" s="18" t="n">
        <v>0.23223526</v>
      </c>
      <c r="L15" s="20" t="n">
        <v>0.13609384</v>
      </c>
      <c r="M15" s="18" t="n">
        <v>0</v>
      </c>
      <c r="N15" s="20" t="n">
        <v>0</v>
      </c>
      <c r="O15" s="18" t="n">
        <v>0</v>
      </c>
      <c r="P15" s="20" t="n">
        <v>0</v>
      </c>
      <c r="Q15" s="18" t="n">
        <v>0.94471911</v>
      </c>
      <c r="R15" s="20" t="n">
        <v>0.33433637</v>
      </c>
    </row>
    <row r="16" spans="1:18">
      <c r="A16" s="15" t="s">
        <v>574</v>
      </c>
      <c r="B16" s="17" t="n">
        <v>6108</v>
      </c>
      <c r="C16" s="18">
        <f>(4765.0/B16*100)</f>
        <v/>
      </c>
      <c r="D16" s="19" t="n">
        <v>1343</v>
      </c>
      <c r="E16" s="18" t="n">
        <v>76.61410272000001</v>
      </c>
      <c r="F16" s="20" t="n">
        <v>1.22177561</v>
      </c>
      <c r="G16" s="18" t="n">
        <v>18.55835334</v>
      </c>
      <c r="H16" s="20" t="n">
        <v>1.08231786</v>
      </c>
      <c r="I16" s="18" t="n">
        <v>0</v>
      </c>
      <c r="J16" s="20" t="n">
        <v>0</v>
      </c>
      <c r="K16" s="18" t="n">
        <v>0.9431132800000001</v>
      </c>
      <c r="L16" s="20" t="n">
        <v>0.34403533</v>
      </c>
      <c r="M16" s="18" t="n">
        <v>0</v>
      </c>
      <c r="N16" s="20" t="n">
        <v>0</v>
      </c>
      <c r="O16" s="18" t="n">
        <v>0</v>
      </c>
      <c r="P16" s="20" t="n">
        <v>0</v>
      </c>
      <c r="Q16" s="18" t="n">
        <v>3.88443067</v>
      </c>
      <c r="R16" s="20" t="n">
        <v>0.51814713</v>
      </c>
    </row>
    <row r="17" spans="1:18">
      <c r="A17" s="15" t="s">
        <v>575</v>
      </c>
      <c r="B17" s="17" t="n">
        <v>6504</v>
      </c>
      <c r="C17" s="18">
        <f>(5086.0/B17*100)</f>
        <v/>
      </c>
      <c r="D17" s="19" t="n">
        <v>1418</v>
      </c>
      <c r="E17" s="18" t="n">
        <v>71.06422397999999</v>
      </c>
      <c r="F17" s="20" t="n">
        <v>1.29319734</v>
      </c>
      <c r="G17" s="18" t="n">
        <v>25.61040231</v>
      </c>
      <c r="H17" s="20" t="n">
        <v>1.35181672</v>
      </c>
      <c r="I17" s="18" t="n">
        <v>0</v>
      </c>
      <c r="J17" s="20" t="n">
        <v>0</v>
      </c>
      <c r="K17" s="18" t="n">
        <v>0.13617711</v>
      </c>
      <c r="L17" s="20" t="n">
        <v>0.10011643</v>
      </c>
      <c r="M17" s="18" t="n">
        <v>0</v>
      </c>
      <c r="N17" s="20" t="n">
        <v>0</v>
      </c>
      <c r="O17" s="18" t="n">
        <v>0</v>
      </c>
      <c r="P17" s="20" t="n">
        <v>0</v>
      </c>
      <c r="Q17" s="18" t="n">
        <v>3.1891966</v>
      </c>
      <c r="R17" s="20" t="n">
        <v>0.4939243</v>
      </c>
    </row>
    <row r="18" spans="1:18">
      <c r="A18" s="15" t="s">
        <v>576</v>
      </c>
      <c r="B18" s="17" t="n">
        <v>5532</v>
      </c>
      <c r="C18" s="18">
        <f>(4306.0/B18*100)</f>
        <v/>
      </c>
      <c r="D18" s="19" t="n">
        <v>1226</v>
      </c>
      <c r="E18" s="18" t="n">
        <v>76.89496705000001</v>
      </c>
      <c r="F18" s="20" t="n">
        <v>1.45866731</v>
      </c>
      <c r="G18" s="18" t="n">
        <v>18.63528284</v>
      </c>
      <c r="H18" s="20" t="n">
        <v>1.43510377</v>
      </c>
      <c r="I18" s="18" t="n">
        <v>0</v>
      </c>
      <c r="J18" s="20" t="n">
        <v>0</v>
      </c>
      <c r="K18" s="18" t="n">
        <v>0.4775513</v>
      </c>
      <c r="L18" s="20" t="n">
        <v>0.21134127</v>
      </c>
      <c r="M18" s="18" t="n">
        <v>0</v>
      </c>
      <c r="N18" s="20" t="n">
        <v>0</v>
      </c>
      <c r="O18" s="18" t="n">
        <v>0</v>
      </c>
      <c r="P18" s="20" t="n">
        <v>0</v>
      </c>
      <c r="Q18" s="18" t="n">
        <v>3.99219881</v>
      </c>
      <c r="R18" s="20" t="n">
        <v>0.6678619099999999</v>
      </c>
    </row>
    <row r="19" spans="1:18">
      <c r="A19" s="15" t="s">
        <v>577</v>
      </c>
      <c r="B19" s="17" t="n">
        <v>5658</v>
      </c>
      <c r="C19" s="18">
        <f>(4433.0/B19*100)</f>
        <v/>
      </c>
      <c r="D19" s="19" t="n">
        <v>1225</v>
      </c>
      <c r="E19" s="18" t="n">
        <v>77.281373</v>
      </c>
      <c r="F19" s="20" t="n">
        <v>1.2662899</v>
      </c>
      <c r="G19" s="18" t="n">
        <v>19.42754575</v>
      </c>
      <c r="H19" s="20" t="n">
        <v>1.10652408</v>
      </c>
      <c r="I19" s="18" t="n">
        <v>0</v>
      </c>
      <c r="J19" s="20" t="n">
        <v>0</v>
      </c>
      <c r="K19" s="18" t="n">
        <v>0.05693004</v>
      </c>
      <c r="L19" s="20" t="n">
        <v>0.05685474</v>
      </c>
      <c r="M19" s="18" t="n">
        <v>0</v>
      </c>
      <c r="N19" s="20" t="n">
        <v>0</v>
      </c>
      <c r="O19" s="18" t="n">
        <v>0</v>
      </c>
      <c r="P19" s="20" t="n">
        <v>0</v>
      </c>
      <c r="Q19" s="18" t="n">
        <v>3.23415121</v>
      </c>
      <c r="R19" s="20" t="n">
        <v>0.56497199</v>
      </c>
    </row>
    <row r="20" spans="1:18">
      <c r="A20" s="15" t="s">
        <v>578</v>
      </c>
      <c r="B20" s="17" t="n">
        <v>3371</v>
      </c>
      <c r="C20" s="18">
        <f>(2635.0/B20*100)</f>
        <v/>
      </c>
      <c r="D20" s="19" t="n">
        <v>736</v>
      </c>
      <c r="E20" s="18" t="n">
        <v>66.71297281</v>
      </c>
      <c r="F20" s="20" t="n">
        <v>1.66593241</v>
      </c>
      <c r="G20" s="18" t="n">
        <v>29.82980991</v>
      </c>
      <c r="H20" s="20" t="n">
        <v>1.602133</v>
      </c>
      <c r="I20" s="18" t="n">
        <v>0</v>
      </c>
      <c r="J20" s="20" t="n">
        <v>0</v>
      </c>
      <c r="K20" s="18" t="n">
        <v>0.24978663</v>
      </c>
      <c r="L20" s="20" t="n">
        <v>0.17758337</v>
      </c>
      <c r="M20" s="18" t="n">
        <v>0.74949939</v>
      </c>
      <c r="N20" s="20" t="n">
        <v>0.28484297</v>
      </c>
      <c r="O20" s="18" t="n">
        <v>0</v>
      </c>
      <c r="P20" s="20" t="n">
        <v>0</v>
      </c>
      <c r="Q20" s="18" t="n">
        <v>2.45793126</v>
      </c>
      <c r="R20" s="20" t="n">
        <v>0.5250777599999999</v>
      </c>
    </row>
    <row r="21" spans="1:18">
      <c r="A21" s="15" t="s">
        <v>579</v>
      </c>
      <c r="B21" s="17" t="n">
        <v>5741</v>
      </c>
      <c r="C21" s="18">
        <f>(4461.0/B21*100)</f>
        <v/>
      </c>
      <c r="D21" s="19" t="n">
        <v>1280</v>
      </c>
      <c r="E21" s="18" t="n">
        <v>81.53725623</v>
      </c>
      <c r="F21" s="20" t="n">
        <v>1.2045718</v>
      </c>
      <c r="G21" s="18" t="n">
        <v>15.727442</v>
      </c>
      <c r="H21" s="20" t="n">
        <v>1.08247999</v>
      </c>
      <c r="I21" s="18" t="n">
        <v>0</v>
      </c>
      <c r="J21" s="20" t="n">
        <v>0</v>
      </c>
      <c r="K21" s="18" t="n">
        <v>0.197289</v>
      </c>
      <c r="L21" s="20" t="n">
        <v>0.14153577</v>
      </c>
      <c r="M21" s="18" t="n">
        <v>0</v>
      </c>
      <c r="N21" s="20" t="n">
        <v>0</v>
      </c>
      <c r="O21" s="18" t="n">
        <v>0</v>
      </c>
      <c r="P21" s="20" t="n">
        <v>0</v>
      </c>
      <c r="Q21" s="18" t="n">
        <v>2.53801277</v>
      </c>
      <c r="R21" s="20" t="n">
        <v>0.48318331</v>
      </c>
    </row>
    <row r="22" spans="1:18">
      <c r="A22" s="15" t="s">
        <v>580</v>
      </c>
      <c r="B22" s="17" t="n">
        <v>6598</v>
      </c>
      <c r="C22" s="18">
        <f>(5179.0/B22*100)</f>
        <v/>
      </c>
      <c r="D22" s="19" t="n">
        <v>1419</v>
      </c>
      <c r="E22" s="18" t="n">
        <v>65.14439328</v>
      </c>
      <c r="F22" s="20" t="n">
        <v>1.55350748</v>
      </c>
      <c r="G22" s="18" t="n">
        <v>28.48834739</v>
      </c>
      <c r="H22" s="20" t="n">
        <v>1.355607</v>
      </c>
      <c r="I22" s="18" t="n">
        <v>0</v>
      </c>
      <c r="J22" s="20" t="n">
        <v>0</v>
      </c>
      <c r="K22" s="18" t="n">
        <v>0.5678549899999999</v>
      </c>
      <c r="L22" s="20" t="n">
        <v>0.29877197</v>
      </c>
      <c r="M22" s="18" t="n">
        <v>0</v>
      </c>
      <c r="N22" s="20" t="n">
        <v>0</v>
      </c>
      <c r="O22" s="18" t="n">
        <v>0</v>
      </c>
      <c r="P22" s="20" t="n">
        <v>0</v>
      </c>
      <c r="Q22" s="18" t="n">
        <v>5.79940435</v>
      </c>
      <c r="R22" s="20" t="n">
        <v>0.8668117</v>
      </c>
    </row>
    <row r="23" spans="1:18">
      <c r="A23" s="15" t="s">
        <v>581</v>
      </c>
      <c r="B23" s="17" t="n">
        <v>11583</v>
      </c>
      <c r="C23" s="18">
        <f>(9024.0/B23*100)</f>
        <v/>
      </c>
      <c r="D23" s="19" t="n">
        <v>2559</v>
      </c>
      <c r="E23" s="18" t="n">
        <v>69.16065399</v>
      </c>
      <c r="F23" s="20" t="n">
        <v>1.32928844</v>
      </c>
      <c r="G23" s="18" t="n">
        <v>22.96250497</v>
      </c>
      <c r="H23" s="20" t="n">
        <v>1.24518431</v>
      </c>
      <c r="I23" s="18" t="n">
        <v>0</v>
      </c>
      <c r="J23" s="20" t="n">
        <v>0</v>
      </c>
      <c r="K23" s="18" t="n">
        <v>0.7632513399999999</v>
      </c>
      <c r="L23" s="20" t="n">
        <v>0.2957399</v>
      </c>
      <c r="M23" s="18" t="n">
        <v>0</v>
      </c>
      <c r="N23" s="20" t="n">
        <v>0</v>
      </c>
      <c r="O23" s="18" t="n">
        <v>0</v>
      </c>
      <c r="P23" s="20" t="n">
        <v>0</v>
      </c>
      <c r="Q23" s="18" t="n">
        <v>7.1135897</v>
      </c>
      <c r="R23" s="20" t="n">
        <v>0.81406551</v>
      </c>
    </row>
    <row r="24" spans="1:18">
      <c r="A24" s="15" t="s">
        <v>582</v>
      </c>
      <c r="B24" s="17" t="n">
        <v>6647</v>
      </c>
      <c r="C24" s="18">
        <f>(5201.0/B24*100)</f>
        <v/>
      </c>
      <c r="D24" s="19" t="n">
        <v>1446</v>
      </c>
      <c r="E24" s="18" t="n">
        <v>79.08975074999999</v>
      </c>
      <c r="F24" s="20" t="n">
        <v>1.03349712</v>
      </c>
      <c r="G24" s="18" t="n">
        <v>17.6308609</v>
      </c>
      <c r="H24" s="20" t="n">
        <v>0.98332485</v>
      </c>
      <c r="I24" s="18" t="n">
        <v>0</v>
      </c>
      <c r="J24" s="20" t="n">
        <v>0</v>
      </c>
      <c r="K24" s="18" t="n">
        <v>0.35388835</v>
      </c>
      <c r="L24" s="20" t="n">
        <v>0.15739867</v>
      </c>
      <c r="M24" s="18" t="n">
        <v>0</v>
      </c>
      <c r="N24" s="20" t="n">
        <v>0</v>
      </c>
      <c r="O24" s="18" t="n">
        <v>0</v>
      </c>
      <c r="P24" s="20" t="n">
        <v>0</v>
      </c>
      <c r="Q24" s="18" t="n">
        <v>2.92549999</v>
      </c>
      <c r="R24" s="20" t="n">
        <v>0.50578053</v>
      </c>
    </row>
    <row r="25" spans="1:18">
      <c r="A25" s="15" t="s">
        <v>583</v>
      </c>
      <c r="B25" s="17" t="n">
        <v>5581</v>
      </c>
      <c r="C25" s="18">
        <f>(4321.0/B25*100)</f>
        <v/>
      </c>
      <c r="D25" s="19" t="n">
        <v>1260</v>
      </c>
      <c r="E25" s="18" t="n">
        <v>81.92170943000001</v>
      </c>
      <c r="F25" s="20" t="n">
        <v>1.06111371</v>
      </c>
      <c r="G25" s="18" t="n">
        <v>16.04623995</v>
      </c>
      <c r="H25" s="20" t="n">
        <v>1.01374312</v>
      </c>
      <c r="I25" s="18" t="n">
        <v>0</v>
      </c>
      <c r="J25" s="20" t="n">
        <v>0</v>
      </c>
      <c r="K25" s="18" t="n">
        <v>0.22639192</v>
      </c>
      <c r="L25" s="20" t="n">
        <v>0.13121914</v>
      </c>
      <c r="M25" s="18" t="n">
        <v>0</v>
      </c>
      <c r="N25" s="20" t="n">
        <v>0</v>
      </c>
      <c r="O25" s="18" t="n">
        <v>0</v>
      </c>
      <c r="P25" s="20" t="n">
        <v>0</v>
      </c>
      <c r="Q25" s="18" t="n">
        <v>1.80565871</v>
      </c>
      <c r="R25" s="20" t="n">
        <v>0.44202741</v>
      </c>
    </row>
    <row r="26" spans="1:18">
      <c r="A26" s="15" t="s">
        <v>584</v>
      </c>
      <c r="B26" s="17" t="n">
        <v>4869</v>
      </c>
      <c r="C26" s="18">
        <f>(3800.0/B26*100)</f>
        <v/>
      </c>
      <c r="D26" s="19" t="n">
        <v>1069</v>
      </c>
      <c r="E26" s="18" t="n">
        <v>75.78958182</v>
      </c>
      <c r="F26" s="20" t="n">
        <v>1.53788735</v>
      </c>
      <c r="G26" s="18" t="n">
        <v>22.9934882</v>
      </c>
      <c r="H26" s="20" t="n">
        <v>1.54536852</v>
      </c>
      <c r="I26" s="18" t="n">
        <v>0</v>
      </c>
      <c r="J26" s="20" t="n">
        <v>0</v>
      </c>
      <c r="K26" s="18" t="n">
        <v>0.07986303</v>
      </c>
      <c r="L26" s="20" t="n">
        <v>0.08156107</v>
      </c>
      <c r="M26" s="18" t="n">
        <v>0.23840635</v>
      </c>
      <c r="N26" s="20" t="n">
        <v>0.15168721</v>
      </c>
      <c r="O26" s="18" t="n">
        <v>0</v>
      </c>
      <c r="P26" s="20" t="n">
        <v>0</v>
      </c>
      <c r="Q26" s="18" t="n">
        <v>0.8986606</v>
      </c>
      <c r="R26" s="20" t="n">
        <v>0.26972629</v>
      </c>
    </row>
    <row r="27" spans="1:18">
      <c r="A27" s="15" t="s">
        <v>585</v>
      </c>
      <c r="B27" s="17" t="n">
        <v>5299</v>
      </c>
      <c r="C27" s="18">
        <f>(4147.0/B27*100)</f>
        <v/>
      </c>
      <c r="D27" s="19" t="n">
        <v>1152</v>
      </c>
      <c r="E27" s="18" t="n">
        <v>79.21209055</v>
      </c>
      <c r="F27" s="20" t="n">
        <v>1.33336267</v>
      </c>
      <c r="G27" s="18" t="n">
        <v>16.77186638</v>
      </c>
      <c r="H27" s="20" t="n">
        <v>1.17442877</v>
      </c>
      <c r="I27" s="18" t="n">
        <v>0</v>
      </c>
      <c r="J27" s="20" t="n">
        <v>0</v>
      </c>
      <c r="K27" s="18" t="n">
        <v>0.26526534</v>
      </c>
      <c r="L27" s="20" t="n">
        <v>0.15467018</v>
      </c>
      <c r="M27" s="18" t="n">
        <v>0</v>
      </c>
      <c r="N27" s="20" t="n">
        <v>0</v>
      </c>
      <c r="O27" s="18" t="n">
        <v>0</v>
      </c>
      <c r="P27" s="20" t="n">
        <v>0</v>
      </c>
      <c r="Q27" s="18" t="n">
        <v>3.75077772</v>
      </c>
      <c r="R27" s="20" t="n">
        <v>0.6295378</v>
      </c>
    </row>
    <row r="28" spans="1:18">
      <c r="A28" s="15" t="s">
        <v>586</v>
      </c>
      <c r="B28" s="17" t="n">
        <v>7568</v>
      </c>
      <c r="C28" s="18">
        <f>(6079.0/B28*100)</f>
        <v/>
      </c>
      <c r="D28" s="19" t="n">
        <v>1489</v>
      </c>
      <c r="E28" s="18" t="n">
        <v>80.88101389000001</v>
      </c>
      <c r="F28" s="20" t="n">
        <v>1.08931366</v>
      </c>
      <c r="G28" s="18" t="n">
        <v>15.86690635</v>
      </c>
      <c r="H28" s="20" t="n">
        <v>1.12555351</v>
      </c>
      <c r="I28" s="18" t="n">
        <v>0</v>
      </c>
      <c r="J28" s="20" t="n">
        <v>0</v>
      </c>
      <c r="K28" s="18" t="n">
        <v>1.01694101</v>
      </c>
      <c r="L28" s="20" t="n">
        <v>0.40445354</v>
      </c>
      <c r="M28" s="18" t="n">
        <v>0.10934902</v>
      </c>
      <c r="N28" s="20" t="n">
        <v>0.07619962</v>
      </c>
      <c r="O28" s="18" t="n">
        <v>0</v>
      </c>
      <c r="P28" s="20" t="n">
        <v>0</v>
      </c>
      <c r="Q28" s="18" t="n">
        <v>2.12578974</v>
      </c>
      <c r="R28" s="20" t="n">
        <v>0.39519542</v>
      </c>
    </row>
    <row r="29" spans="1:18">
      <c r="A29" s="15" t="s">
        <v>587</v>
      </c>
      <c r="B29" s="17" t="n">
        <v>5385</v>
      </c>
      <c r="C29" s="18">
        <f>(4191.0/B29*100)</f>
        <v/>
      </c>
      <c r="D29" s="19" t="n">
        <v>1194</v>
      </c>
      <c r="E29" s="18" t="n">
        <v>73.05821854</v>
      </c>
      <c r="F29" s="20" t="n">
        <v>1.34988495</v>
      </c>
      <c r="G29" s="18" t="n">
        <v>25.6931884</v>
      </c>
      <c r="H29" s="20" t="n">
        <v>1.37635578</v>
      </c>
      <c r="I29" s="18" t="n">
        <v>0</v>
      </c>
      <c r="J29" s="20" t="n">
        <v>0</v>
      </c>
      <c r="K29" s="18" t="n">
        <v>0.28208774</v>
      </c>
      <c r="L29" s="20" t="n">
        <v>0.14686184</v>
      </c>
      <c r="M29" s="18" t="n">
        <v>0</v>
      </c>
      <c r="N29" s="20" t="n">
        <v>0</v>
      </c>
      <c r="O29" s="18" t="n">
        <v>0</v>
      </c>
      <c r="P29" s="20" t="n">
        <v>0</v>
      </c>
      <c r="Q29" s="18" t="n">
        <v>0.96650532</v>
      </c>
      <c r="R29" s="20" t="n">
        <v>0.26796253</v>
      </c>
    </row>
    <row r="30" spans="1:18">
      <c r="A30" s="15" t="s">
        <v>588</v>
      </c>
      <c r="B30" s="17" t="n">
        <v>4520</v>
      </c>
      <c r="C30" s="18">
        <f>(3568.0/B30*100)</f>
        <v/>
      </c>
      <c r="D30" s="19" t="n">
        <v>952</v>
      </c>
      <c r="E30" s="18" t="n">
        <v>72.61148484</v>
      </c>
      <c r="F30" s="20" t="n">
        <v>1.54864111</v>
      </c>
      <c r="G30" s="18" t="n">
        <v>21.18493992</v>
      </c>
      <c r="H30" s="20" t="n">
        <v>1.54046707</v>
      </c>
      <c r="I30" s="18" t="n">
        <v>0</v>
      </c>
      <c r="J30" s="20" t="n">
        <v>0</v>
      </c>
      <c r="K30" s="18" t="n">
        <v>0.73712975</v>
      </c>
      <c r="L30" s="20" t="n">
        <v>0.30167656</v>
      </c>
      <c r="M30" s="18" t="n">
        <v>0.19399059</v>
      </c>
      <c r="N30" s="20" t="n">
        <v>0.13758788</v>
      </c>
      <c r="O30" s="18" t="n">
        <v>0</v>
      </c>
      <c r="P30" s="20" t="n">
        <v>0</v>
      </c>
      <c r="Q30" s="18" t="n">
        <v>5.27245491</v>
      </c>
      <c r="R30" s="20" t="n">
        <v>0.77702921</v>
      </c>
    </row>
    <row r="31" spans="1:18">
      <c r="A31" s="15" t="s">
        <v>589</v>
      </c>
      <c r="B31" s="17" t="n">
        <v>5456</v>
      </c>
      <c r="C31" s="18">
        <f>(4258.0/B31*100)</f>
        <v/>
      </c>
      <c r="D31" s="19" t="n">
        <v>1198</v>
      </c>
      <c r="E31" s="18" t="n">
        <v>76.18717431</v>
      </c>
      <c r="F31" s="20" t="n">
        <v>1.52048171</v>
      </c>
      <c r="G31" s="18" t="n">
        <v>20.07545446</v>
      </c>
      <c r="H31" s="20" t="n">
        <v>1.31940044</v>
      </c>
      <c r="I31" s="18" t="n">
        <v>0</v>
      </c>
      <c r="J31" s="20" t="n">
        <v>0</v>
      </c>
      <c r="K31" s="18" t="n">
        <v>0.56470076</v>
      </c>
      <c r="L31" s="20" t="n">
        <v>0.21039109</v>
      </c>
      <c r="M31" s="18" t="n">
        <v>0.24578755</v>
      </c>
      <c r="N31" s="20" t="n">
        <v>0.14232301</v>
      </c>
      <c r="O31" s="18" t="n">
        <v>0</v>
      </c>
      <c r="P31" s="20" t="n">
        <v>0</v>
      </c>
      <c r="Q31" s="18" t="n">
        <v>2.92688293</v>
      </c>
      <c r="R31" s="20" t="n">
        <v>0.44509821</v>
      </c>
    </row>
    <row r="32" spans="1:18">
      <c r="A32" s="15" t="s">
        <v>590</v>
      </c>
      <c r="B32" s="17" t="n">
        <v>4478</v>
      </c>
      <c r="C32" s="18">
        <f>(3486.0/B32*100)</f>
        <v/>
      </c>
      <c r="D32" s="19" t="n">
        <v>992</v>
      </c>
      <c r="E32" s="18" t="n">
        <v>72.27106465</v>
      </c>
      <c r="F32" s="20" t="n">
        <v>1.51155735</v>
      </c>
      <c r="G32" s="18" t="n">
        <v>25.71835535</v>
      </c>
      <c r="H32" s="20" t="n">
        <v>1.39382402</v>
      </c>
      <c r="I32" s="18" t="n">
        <v>0</v>
      </c>
      <c r="J32" s="20" t="n">
        <v>0</v>
      </c>
      <c r="K32" s="18" t="n">
        <v>0.22425027</v>
      </c>
      <c r="L32" s="20" t="n">
        <v>0.16498126</v>
      </c>
      <c r="M32" s="18" t="n">
        <v>0.42924237</v>
      </c>
      <c r="N32" s="20" t="n">
        <v>0.45800785</v>
      </c>
      <c r="O32" s="18" t="n">
        <v>0</v>
      </c>
      <c r="P32" s="20" t="n">
        <v>0</v>
      </c>
      <c r="Q32" s="18" t="n">
        <v>1.35708737</v>
      </c>
      <c r="R32" s="20" t="n">
        <v>0.33114688</v>
      </c>
    </row>
    <row r="33" spans="1:18">
      <c r="A33" s="15" t="s">
        <v>591</v>
      </c>
      <c r="B33" s="17" t="n">
        <v>7325</v>
      </c>
      <c r="C33" s="18">
        <f>(5744.0/B33*100)</f>
        <v/>
      </c>
      <c r="D33" s="19" t="n">
        <v>1581</v>
      </c>
      <c r="E33" s="18" t="n">
        <v>69.87738099000001</v>
      </c>
      <c r="F33" s="20" t="n">
        <v>1.33799962</v>
      </c>
      <c r="G33" s="18" t="n">
        <v>26.58460022</v>
      </c>
      <c r="H33" s="20" t="n">
        <v>1.42890731</v>
      </c>
      <c r="I33" s="18" t="n">
        <v>0</v>
      </c>
      <c r="J33" s="20" t="n">
        <v>0</v>
      </c>
      <c r="K33" s="18" t="n">
        <v>0.57560224</v>
      </c>
      <c r="L33" s="20" t="n">
        <v>0.23088147</v>
      </c>
      <c r="M33" s="18" t="n">
        <v>0.26000973</v>
      </c>
      <c r="N33" s="20" t="n">
        <v>0.13203982</v>
      </c>
      <c r="O33" s="18" t="n">
        <v>0</v>
      </c>
      <c r="P33" s="20" t="n">
        <v>0</v>
      </c>
      <c r="Q33" s="18" t="n">
        <v>2.70240682</v>
      </c>
      <c r="R33" s="20" t="n">
        <v>0.38680568</v>
      </c>
    </row>
    <row r="34" spans="1:18">
      <c r="A34" s="15" t="s">
        <v>592</v>
      </c>
      <c r="B34" s="17" t="n">
        <v>6350</v>
      </c>
      <c r="C34" s="18">
        <f>(4990.0/B34*100)</f>
        <v/>
      </c>
      <c r="D34" s="19" t="n">
        <v>1360</v>
      </c>
      <c r="E34" s="18" t="n">
        <v>70.90555682</v>
      </c>
      <c r="F34" s="20" t="n">
        <v>1.28037374</v>
      </c>
      <c r="G34" s="18" t="n">
        <v>25.27108032</v>
      </c>
      <c r="H34" s="20" t="n">
        <v>1.33609283</v>
      </c>
      <c r="I34" s="18" t="n">
        <v>0</v>
      </c>
      <c r="J34" s="20" t="n">
        <v>0</v>
      </c>
      <c r="K34" s="18" t="n">
        <v>0.32566726</v>
      </c>
      <c r="L34" s="20" t="n">
        <v>0.15477609</v>
      </c>
      <c r="M34" s="18" t="n">
        <v>0.47296755</v>
      </c>
      <c r="N34" s="20" t="n">
        <v>0.3085823</v>
      </c>
      <c r="O34" s="18" t="n">
        <v>0</v>
      </c>
      <c r="P34" s="20" t="n">
        <v>0</v>
      </c>
      <c r="Q34" s="18" t="n">
        <v>3.02472806</v>
      </c>
      <c r="R34" s="20" t="n">
        <v>0.55532428</v>
      </c>
    </row>
    <row r="35" spans="1:18">
      <c r="A35" s="15" t="s">
        <v>593</v>
      </c>
      <c r="B35" s="17" t="n">
        <v>6406</v>
      </c>
      <c r="C35" s="18">
        <f>(5033.0/B35*100)</f>
        <v/>
      </c>
      <c r="D35" s="19" t="n">
        <v>1373</v>
      </c>
      <c r="E35" s="18" t="n">
        <v>73.45394551</v>
      </c>
      <c r="F35" s="20" t="n">
        <v>1.58149722</v>
      </c>
      <c r="G35" s="18" t="n">
        <v>23.67530289</v>
      </c>
      <c r="H35" s="20" t="n">
        <v>1.5536251</v>
      </c>
      <c r="I35" s="18" t="n">
        <v>0</v>
      </c>
      <c r="J35" s="20" t="n">
        <v>0</v>
      </c>
      <c r="K35" s="18" t="n">
        <v>0.63442422</v>
      </c>
      <c r="L35" s="20" t="n">
        <v>0.39968536</v>
      </c>
      <c r="M35" s="18" t="n">
        <v>0.12336602</v>
      </c>
      <c r="N35" s="20" t="n">
        <v>0.12302877</v>
      </c>
      <c r="O35" s="18" t="n">
        <v>0</v>
      </c>
      <c r="P35" s="20" t="n">
        <v>0</v>
      </c>
      <c r="Q35" s="18" t="n">
        <v>2.11296136</v>
      </c>
      <c r="R35" s="20" t="n">
        <v>0.53186778</v>
      </c>
    </row>
    <row r="36" spans="1:18">
      <c r="A36" s="15" t="s">
        <v>594</v>
      </c>
      <c r="B36" s="17" t="n">
        <v>6736</v>
      </c>
      <c r="C36" s="18">
        <f>(5294.0/B36*100)</f>
        <v/>
      </c>
      <c r="D36" s="19" t="n">
        <v>1442</v>
      </c>
      <c r="E36" s="18" t="n">
        <v>63.9186706</v>
      </c>
      <c r="F36" s="20" t="n">
        <v>1.3617764</v>
      </c>
      <c r="G36" s="18" t="n">
        <v>32.70113473</v>
      </c>
      <c r="H36" s="20" t="n">
        <v>1.38035941</v>
      </c>
      <c r="I36" s="18" t="n">
        <v>0</v>
      </c>
      <c r="J36" s="20" t="n">
        <v>0</v>
      </c>
      <c r="K36" s="18" t="n">
        <v>0.35976446</v>
      </c>
      <c r="L36" s="20" t="n">
        <v>0.14091465</v>
      </c>
      <c r="M36" s="18" t="n">
        <v>0.13536994</v>
      </c>
      <c r="N36" s="20" t="n">
        <v>0.09390626000000001</v>
      </c>
      <c r="O36" s="18" t="n">
        <v>0</v>
      </c>
      <c r="P36" s="20" t="n">
        <v>0</v>
      </c>
      <c r="Q36" s="18" t="n">
        <v>2.88506027</v>
      </c>
      <c r="R36" s="20" t="n">
        <v>0.41917584</v>
      </c>
    </row>
    <row r="37" spans="1:18">
      <c r="A37" s="15" t="s">
        <v>595</v>
      </c>
      <c r="B37" s="17" t="n">
        <v>5458</v>
      </c>
      <c r="C37" s="18">
        <f>(4271.0/B37*100)</f>
        <v/>
      </c>
      <c r="D37" s="19" t="n">
        <v>1187</v>
      </c>
      <c r="E37" s="18" t="n">
        <v>66.22452337999999</v>
      </c>
      <c r="F37" s="20" t="n">
        <v>1.39584935</v>
      </c>
      <c r="G37" s="18" t="n">
        <v>28.020383</v>
      </c>
      <c r="H37" s="20" t="n">
        <v>1.49585948</v>
      </c>
      <c r="I37" s="18" t="n">
        <v>0</v>
      </c>
      <c r="J37" s="20" t="n">
        <v>0</v>
      </c>
      <c r="K37" s="18" t="n">
        <v>0.59039995</v>
      </c>
      <c r="L37" s="20" t="n">
        <v>0.22851559</v>
      </c>
      <c r="M37" s="18" t="n">
        <v>0.07875923</v>
      </c>
      <c r="N37" s="20" t="n">
        <v>0.07863724</v>
      </c>
      <c r="O37" s="18" t="n">
        <v>0</v>
      </c>
      <c r="P37" s="20" t="n">
        <v>0</v>
      </c>
      <c r="Q37" s="18" t="n">
        <v>5.08593444</v>
      </c>
      <c r="R37" s="20" t="n">
        <v>0.72867271</v>
      </c>
    </row>
    <row r="38" spans="1:18">
      <c r="A38" s="15" t="s">
        <v>596</v>
      </c>
      <c r="B38" s="17" t="n">
        <v>5860</v>
      </c>
      <c r="C38" s="18">
        <f>(4557.0/B38*100)</f>
        <v/>
      </c>
      <c r="D38" s="19" t="n">
        <v>1303</v>
      </c>
      <c r="E38" s="18" t="n">
        <v>61.21913562</v>
      </c>
      <c r="F38" s="20" t="n">
        <v>1.62777866</v>
      </c>
      <c r="G38" s="18" t="n">
        <v>32.50585816</v>
      </c>
      <c r="H38" s="20" t="n">
        <v>1.56806286</v>
      </c>
      <c r="I38" s="18" t="n">
        <v>0</v>
      </c>
      <c r="J38" s="20" t="n">
        <v>0</v>
      </c>
      <c r="K38" s="18" t="n">
        <v>0.10224726</v>
      </c>
      <c r="L38" s="20" t="n">
        <v>0.08748776</v>
      </c>
      <c r="M38" s="18" t="n">
        <v>1.9772732</v>
      </c>
      <c r="N38" s="20" t="n">
        <v>0.41131298</v>
      </c>
      <c r="O38" s="18" t="n">
        <v>0</v>
      </c>
      <c r="P38" s="20" t="n">
        <v>0</v>
      </c>
      <c r="Q38" s="18" t="n">
        <v>4.19548576</v>
      </c>
      <c r="R38" s="20" t="n">
        <v>0.62157901</v>
      </c>
    </row>
    <row r="39" spans="1:18">
      <c r="A39" s="15" t="s">
        <v>597</v>
      </c>
      <c r="B39" s="17" t="n">
        <v>5895</v>
      </c>
      <c r="C39" s="18">
        <f>(4592.0/B39*100)</f>
        <v/>
      </c>
      <c r="D39" s="19" t="n">
        <v>1303</v>
      </c>
      <c r="E39" s="18" t="n">
        <v>77.80801963</v>
      </c>
      <c r="F39" s="20" t="n">
        <v>1.61839022</v>
      </c>
      <c r="G39" s="18" t="n">
        <v>18.80841774</v>
      </c>
      <c r="H39" s="20" t="n">
        <v>1.67583309</v>
      </c>
      <c r="I39" s="18" t="n">
        <v>0</v>
      </c>
      <c r="J39" s="20" t="n">
        <v>0</v>
      </c>
      <c r="K39" s="18" t="n">
        <v>0.28265239</v>
      </c>
      <c r="L39" s="20" t="n">
        <v>0.14779858</v>
      </c>
      <c r="M39" s="18" t="n">
        <v>0</v>
      </c>
      <c r="N39" s="20" t="n">
        <v>0</v>
      </c>
      <c r="O39" s="18" t="n">
        <v>0</v>
      </c>
      <c r="P39" s="20" t="n">
        <v>0</v>
      </c>
      <c r="Q39" s="18" t="n">
        <v>3.10091024</v>
      </c>
      <c r="R39" s="20" t="n">
        <v>0.48969821</v>
      </c>
    </row>
    <row r="40" spans="1:18">
      <c r="A40" s="15" t="s">
        <v>598</v>
      </c>
      <c r="B40" s="17" t="n">
        <v>14157</v>
      </c>
      <c r="C40" s="18">
        <f>(10985.0/B40*100)</f>
        <v/>
      </c>
      <c r="D40" s="19" t="n">
        <v>3172</v>
      </c>
      <c r="E40" s="18" t="n">
        <v>74.51837793</v>
      </c>
      <c r="F40" s="20" t="n">
        <v>1.13947756</v>
      </c>
      <c r="G40" s="18" t="n">
        <v>21.70330491</v>
      </c>
      <c r="H40" s="20" t="n">
        <v>1.15977545</v>
      </c>
      <c r="I40" s="18" t="n">
        <v>0</v>
      </c>
      <c r="J40" s="20" t="n">
        <v>0</v>
      </c>
      <c r="K40" s="18" t="n">
        <v>0.36099774</v>
      </c>
      <c r="L40" s="20" t="n">
        <v>0.17572286</v>
      </c>
      <c r="M40" s="18" t="n">
        <v>0</v>
      </c>
      <c r="N40" s="20" t="n">
        <v>0</v>
      </c>
      <c r="O40" s="18" t="n">
        <v>0</v>
      </c>
      <c r="P40" s="20" t="n">
        <v>0</v>
      </c>
      <c r="Q40" s="18" t="n">
        <v>3.41731942</v>
      </c>
      <c r="R40" s="20" t="n">
        <v>0.4656865</v>
      </c>
    </row>
    <row r="41" spans="1:18">
      <c r="A41" s="15" t="s">
        <v>599</v>
      </c>
      <c r="B41" s="17" t="n">
        <v>5712</v>
      </c>
      <c r="C41" s="18">
        <f>(4468.0/B41*100)</f>
        <v/>
      </c>
      <c r="D41" s="19" t="n">
        <v>1244</v>
      </c>
      <c r="E41" s="18" t="n">
        <v>80.79513002</v>
      </c>
      <c r="F41" s="20" t="n">
        <v>1.14990119</v>
      </c>
      <c r="G41" s="18" t="n">
        <v>18.0122839</v>
      </c>
      <c r="H41" s="20" t="n">
        <v>1.11614911</v>
      </c>
      <c r="I41" s="18" t="n">
        <v>0</v>
      </c>
      <c r="J41" s="20" t="n">
        <v>0</v>
      </c>
      <c r="K41" s="18" t="n">
        <v>0.19251546</v>
      </c>
      <c r="L41" s="20" t="n">
        <v>0.1475963</v>
      </c>
      <c r="M41" s="18" t="n">
        <v>0</v>
      </c>
      <c r="N41" s="20" t="n">
        <v>0</v>
      </c>
      <c r="O41" s="18" t="n">
        <v>0</v>
      </c>
      <c r="P41" s="20" t="n">
        <v>0</v>
      </c>
      <c r="Q41" s="18" t="n">
        <v>1.00007062</v>
      </c>
      <c r="R41" s="20" t="n">
        <v>0.28125714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(19070.0/B46*100)</f>
        <v/>
      </c>
      <c r="D46" s="19" t="n">
        <v>4071</v>
      </c>
      <c r="E46" s="18" t="n">
        <v>60.85717723</v>
      </c>
      <c r="F46" s="20" t="n">
        <v>1.04719309</v>
      </c>
      <c r="G46" s="18" t="n">
        <v>28.99048333</v>
      </c>
      <c r="H46" s="20" t="n">
        <v>0.99433101</v>
      </c>
      <c r="I46" s="18" t="n">
        <v>0</v>
      </c>
      <c r="J46" s="20" t="n">
        <v>0</v>
      </c>
      <c r="K46" s="18" t="n">
        <v>1.41420662</v>
      </c>
      <c r="L46" s="20" t="n">
        <v>0.27526625</v>
      </c>
      <c r="M46" s="18" t="n">
        <v>0.54483013</v>
      </c>
      <c r="N46" s="20" t="n">
        <v>0.14680887</v>
      </c>
      <c r="O46" s="18" t="n">
        <v>0</v>
      </c>
      <c r="P46" s="20" t="n">
        <v>0</v>
      </c>
      <c r="Q46" s="18" t="n">
        <v>8.19330268</v>
      </c>
      <c r="R46" s="20" t="n">
        <v>0.62751977</v>
      </c>
    </row>
    <row r="47" spans="1:18">
      <c r="A47" s="15" t="s">
        <v>606</v>
      </c>
      <c r="B47" s="17" t="n">
        <v>5928</v>
      </c>
      <c r="C47" s="18">
        <f>(4663.0/B47*100)</f>
        <v/>
      </c>
      <c r="D47" s="19" t="n">
        <v>1265</v>
      </c>
      <c r="E47" s="18" t="n">
        <v>71.2768401</v>
      </c>
      <c r="F47" s="20" t="n">
        <v>1.51353514</v>
      </c>
      <c r="G47" s="18" t="n">
        <v>24.58897803</v>
      </c>
      <c r="H47" s="20" t="n">
        <v>1.51466796</v>
      </c>
      <c r="I47" s="18" t="n">
        <v>0</v>
      </c>
      <c r="J47" s="20" t="n">
        <v>0</v>
      </c>
      <c r="K47" s="18" t="n">
        <v>0.47030719</v>
      </c>
      <c r="L47" s="20" t="n">
        <v>0.23523414</v>
      </c>
      <c r="M47" s="18" t="n">
        <v>0.15640697</v>
      </c>
      <c r="N47" s="20" t="n">
        <v>0.10875522</v>
      </c>
      <c r="O47" s="18" t="n">
        <v>0</v>
      </c>
      <c r="P47" s="20" t="n">
        <v>0</v>
      </c>
      <c r="Q47" s="18" t="n">
        <v>3.50746772</v>
      </c>
      <c r="R47" s="20" t="n">
        <v>0.50841387</v>
      </c>
    </row>
    <row r="48" spans="1:18">
      <c r="A48" s="15" t="s">
        <v>607</v>
      </c>
      <c r="B48" s="17" t="n">
        <v>9841</v>
      </c>
      <c r="C48" s="18">
        <f>(7640.0/B48*100)</f>
        <v/>
      </c>
      <c r="D48" s="19" t="n">
        <v>2201</v>
      </c>
      <c r="E48" s="18" t="n">
        <v>79.59960241</v>
      </c>
      <c r="F48" s="20" t="n">
        <v>1.19960607</v>
      </c>
      <c r="G48" s="18" t="n">
        <v>17.84572557</v>
      </c>
      <c r="H48" s="20" t="n">
        <v>1.23874854</v>
      </c>
      <c r="I48" s="18" t="n">
        <v>0</v>
      </c>
      <c r="J48" s="20" t="n">
        <v>0</v>
      </c>
      <c r="K48" s="18" t="n">
        <v>0.5317153100000001</v>
      </c>
      <c r="L48" s="20" t="n">
        <v>0.26077507</v>
      </c>
      <c r="M48" s="18" t="n">
        <v>0</v>
      </c>
      <c r="N48" s="20" t="n">
        <v>0</v>
      </c>
      <c r="O48" s="18" t="n">
        <v>0</v>
      </c>
      <c r="P48" s="20" t="n">
        <v>0</v>
      </c>
      <c r="Q48" s="18" t="n">
        <v>2.02295671</v>
      </c>
      <c r="R48" s="20" t="n">
        <v>0.43127301</v>
      </c>
    </row>
    <row r="49" spans="1:18">
      <c r="A49" s="15" t="s">
        <v>608</v>
      </c>
      <c r="B49" s="17" t="n">
        <v>11795</v>
      </c>
      <c r="C49" s="18">
        <f>(9264.0/B49*100)</f>
        <v/>
      </c>
      <c r="D49" s="19" t="n">
        <v>2531</v>
      </c>
      <c r="E49" s="18" t="n">
        <v>76.27773886</v>
      </c>
      <c r="F49" s="20" t="n">
        <v>1.18160926</v>
      </c>
      <c r="G49" s="18" t="n">
        <v>18.83880825</v>
      </c>
      <c r="H49" s="20" t="n">
        <v>1.12131587</v>
      </c>
      <c r="I49" s="18" t="n">
        <v>0</v>
      </c>
      <c r="J49" s="20" t="n">
        <v>0</v>
      </c>
      <c r="K49" s="18" t="n">
        <v>1.76075958</v>
      </c>
      <c r="L49" s="20" t="n">
        <v>0.35078429</v>
      </c>
      <c r="M49" s="18" t="n">
        <v>0.18897493</v>
      </c>
      <c r="N49" s="20" t="n">
        <v>0.09615048</v>
      </c>
      <c r="O49" s="18" t="n">
        <v>0</v>
      </c>
      <c r="P49" s="20" t="n">
        <v>0</v>
      </c>
      <c r="Q49" s="18" t="n">
        <v>2.93371838</v>
      </c>
      <c r="R49" s="20" t="n">
        <v>0.44973773</v>
      </c>
    </row>
    <row r="50" spans="1:18">
      <c r="A50" s="15" t="s">
        <v>609</v>
      </c>
      <c r="B50" s="17" t="n">
        <v>6866</v>
      </c>
      <c r="C50" s="18">
        <f>(5586.0/B50*100)</f>
        <v/>
      </c>
      <c r="D50" s="19" t="n">
        <v>1280</v>
      </c>
      <c r="E50" s="18" t="n">
        <v>87.90501089999999</v>
      </c>
      <c r="F50" s="20" t="n">
        <v>1.05310798</v>
      </c>
      <c r="G50" s="18" t="n">
        <v>8.207755929999999</v>
      </c>
      <c r="H50" s="20" t="n">
        <v>0.90190025</v>
      </c>
      <c r="I50" s="18" t="n">
        <v>0</v>
      </c>
      <c r="J50" s="20" t="n">
        <v>0</v>
      </c>
      <c r="K50" s="18" t="n">
        <v>0.72187186</v>
      </c>
      <c r="L50" s="20" t="n">
        <v>0.2796789</v>
      </c>
      <c r="M50" s="18" t="n">
        <v>0</v>
      </c>
      <c r="N50" s="20" t="n">
        <v>0</v>
      </c>
      <c r="O50" s="18" t="n">
        <v>0</v>
      </c>
      <c r="P50" s="20" t="n">
        <v>0</v>
      </c>
      <c r="Q50" s="18" t="n">
        <v>3.16536132</v>
      </c>
      <c r="R50" s="20" t="n">
        <v>0.56261624</v>
      </c>
    </row>
    <row r="51" spans="1:18">
      <c r="A51" s="15" t="s">
        <v>610</v>
      </c>
      <c r="B51" s="17" t="n">
        <v>5809</v>
      </c>
      <c r="C51" s="18">
        <f>(4509.0/B51*100)</f>
        <v/>
      </c>
      <c r="D51" s="19" t="n">
        <v>1300</v>
      </c>
      <c r="E51" s="18" t="n">
        <v>73.10390405</v>
      </c>
      <c r="F51" s="20" t="n">
        <v>1.40175129</v>
      </c>
      <c r="G51" s="18" t="n">
        <v>23.67787464</v>
      </c>
      <c r="H51" s="20" t="n">
        <v>1.42547157</v>
      </c>
      <c r="I51" s="18" t="n">
        <v>0</v>
      </c>
      <c r="J51" s="20" t="n">
        <v>0</v>
      </c>
      <c r="K51" s="18" t="n">
        <v>0.12693021</v>
      </c>
      <c r="L51" s="20" t="n">
        <v>0.09105443000000001</v>
      </c>
      <c r="M51" s="18" t="n">
        <v>0</v>
      </c>
      <c r="N51" s="20" t="n">
        <v>0</v>
      </c>
      <c r="O51" s="18" t="n">
        <v>0</v>
      </c>
      <c r="P51" s="20" t="n">
        <v>0</v>
      </c>
      <c r="Q51" s="18" t="n">
        <v>3.09129109</v>
      </c>
      <c r="R51" s="20" t="n">
        <v>0.56321967</v>
      </c>
    </row>
    <row r="52" spans="1:18">
      <c r="A52" s="15" t="s">
        <v>611</v>
      </c>
      <c r="B52" s="17" t="n">
        <v>5571</v>
      </c>
      <c r="C52" s="18">
        <f>(4347.0/B52*100)</f>
        <v/>
      </c>
      <c r="D52" s="19" t="n">
        <v>1224</v>
      </c>
      <c r="E52" s="18" t="n">
        <v>81.48186316</v>
      </c>
      <c r="F52" s="20" t="n">
        <v>1.15721945</v>
      </c>
      <c r="G52" s="18" t="n">
        <v>12.50902331</v>
      </c>
      <c r="H52" s="20" t="n">
        <v>0.97129184</v>
      </c>
      <c r="I52" s="18" t="n">
        <v>0</v>
      </c>
      <c r="J52" s="20" t="n">
        <v>0</v>
      </c>
      <c r="K52" s="18" t="n">
        <v>0.24189762</v>
      </c>
      <c r="L52" s="20" t="n">
        <v>0.14538394</v>
      </c>
      <c r="M52" s="18" t="n">
        <v>0</v>
      </c>
      <c r="N52" s="20" t="n">
        <v>0</v>
      </c>
      <c r="O52" s="18" t="n">
        <v>0</v>
      </c>
      <c r="P52" s="20" t="n">
        <v>0</v>
      </c>
      <c r="Q52" s="18" t="n">
        <v>5.76721591</v>
      </c>
      <c r="R52" s="20" t="n">
        <v>0.66488881</v>
      </c>
    </row>
    <row r="53" spans="1:18">
      <c r="A53" s="15" t="s">
        <v>612</v>
      </c>
      <c r="B53" s="17" t="n">
        <v>4740</v>
      </c>
      <c r="C53" s="18">
        <f>(3725.0/B53*100)</f>
        <v/>
      </c>
      <c r="D53" s="19" t="n">
        <v>1015</v>
      </c>
      <c r="E53" s="18" t="n">
        <v>74.7972815</v>
      </c>
      <c r="F53" s="20" t="n">
        <v>1.63334673</v>
      </c>
      <c r="G53" s="18" t="n">
        <v>3.55320355</v>
      </c>
      <c r="H53" s="20" t="n">
        <v>0.57908088</v>
      </c>
      <c r="I53" s="18" t="n">
        <v>0</v>
      </c>
      <c r="J53" s="20" t="n">
        <v>0</v>
      </c>
      <c r="K53" s="18" t="n">
        <v>13.81682621</v>
      </c>
      <c r="L53" s="20" t="n">
        <v>1.3182504</v>
      </c>
      <c r="M53" s="18" t="n">
        <v>0.79763912</v>
      </c>
      <c r="N53" s="20" t="n">
        <v>0.66470285</v>
      </c>
      <c r="O53" s="18" t="n">
        <v>0</v>
      </c>
      <c r="P53" s="20" t="n">
        <v>0</v>
      </c>
      <c r="Q53" s="18" t="n">
        <v>7.03504962</v>
      </c>
      <c r="R53" s="20" t="n">
        <v>1.17729774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(4201.0/B55*100)</f>
        <v/>
      </c>
      <c r="D55" s="19" t="n">
        <v>1158</v>
      </c>
      <c r="E55" s="18" t="n">
        <v>91.51965384</v>
      </c>
      <c r="F55" s="20" t="n">
        <v>0.88069774</v>
      </c>
      <c r="G55" s="18" t="n">
        <v>7.40308363</v>
      </c>
      <c r="H55" s="20" t="n">
        <v>0.83757324</v>
      </c>
      <c r="I55" s="18" t="n">
        <v>0</v>
      </c>
      <c r="J55" s="20" t="n">
        <v>0</v>
      </c>
      <c r="K55" s="18" t="n">
        <v>0.16764565</v>
      </c>
      <c r="L55" s="20" t="n">
        <v>0.11886543</v>
      </c>
      <c r="M55" s="18" t="n">
        <v>0</v>
      </c>
      <c r="N55" s="20" t="n">
        <v>0</v>
      </c>
      <c r="O55" s="18" t="n">
        <v>0</v>
      </c>
      <c r="P55" s="20" t="n">
        <v>0</v>
      </c>
      <c r="Q55" s="18" t="n">
        <v>0.90961688</v>
      </c>
      <c r="R55" s="20" t="n">
        <v>0.29728785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(5075.0/B61*100)</f>
        <v/>
      </c>
      <c r="D61" s="19" t="n">
        <v>1450</v>
      </c>
      <c r="E61" s="18" t="n">
        <v>75.07026749000001</v>
      </c>
      <c r="F61" s="20" t="n">
        <v>1.25737279</v>
      </c>
      <c r="G61" s="18" t="n">
        <v>22.08260447</v>
      </c>
      <c r="H61" s="20" t="n">
        <v>1.21913762</v>
      </c>
      <c r="I61" s="18" t="n">
        <v>0</v>
      </c>
      <c r="J61" s="20" t="n">
        <v>0</v>
      </c>
      <c r="K61" s="18" t="n">
        <v>0.33955583</v>
      </c>
      <c r="L61" s="20" t="n">
        <v>0.1558608</v>
      </c>
      <c r="M61" s="18" t="n">
        <v>0.08356803</v>
      </c>
      <c r="N61" s="20" t="n">
        <v>0.08257101</v>
      </c>
      <c r="O61" s="18" t="n">
        <v>0</v>
      </c>
      <c r="P61" s="20" t="n">
        <v>0</v>
      </c>
      <c r="Q61" s="18" t="n">
        <v>2.42400418</v>
      </c>
      <c r="R61" s="20" t="n">
        <v>0.51826817</v>
      </c>
    </row>
    <row r="62" spans="1:18">
      <c r="A62" s="15" t="s">
        <v>622</v>
      </c>
      <c r="B62" s="17" t="n">
        <v>4476</v>
      </c>
      <c r="C62" s="18">
        <f>(3495.0/B62*100)</f>
        <v/>
      </c>
      <c r="D62" s="19" t="n">
        <v>981</v>
      </c>
      <c r="E62" s="18" t="n">
        <v>83.89051272</v>
      </c>
      <c r="F62" s="20" t="n">
        <v>1.12177418</v>
      </c>
      <c r="G62" s="18" t="n">
        <v>15.48758194</v>
      </c>
      <c r="H62" s="20" t="n">
        <v>1.05996889</v>
      </c>
      <c r="I62" s="18" t="n">
        <v>0</v>
      </c>
      <c r="J62" s="20" t="n">
        <v>0</v>
      </c>
      <c r="K62" s="18" t="n">
        <v>0</v>
      </c>
      <c r="L62" s="20" t="n">
        <v>0</v>
      </c>
      <c r="M62" s="18" t="n">
        <v>0</v>
      </c>
      <c r="N62" s="20" t="n">
        <v>0</v>
      </c>
      <c r="O62" s="18" t="n">
        <v>0</v>
      </c>
      <c r="P62" s="20" t="n">
        <v>0</v>
      </c>
      <c r="Q62" s="18" t="n">
        <v>0.62190534</v>
      </c>
      <c r="R62" s="20" t="n">
        <v>0.25376585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(4476.0/B67*100)</f>
        <v/>
      </c>
      <c r="D67" s="19" t="n">
        <v>1189</v>
      </c>
      <c r="E67" s="18" t="n">
        <v>42.95697502</v>
      </c>
      <c r="F67" s="20" t="n">
        <v>1.60830021</v>
      </c>
      <c r="G67" s="18" t="n">
        <v>14.3480556</v>
      </c>
      <c r="H67" s="20" t="n">
        <v>0.98647878</v>
      </c>
      <c r="I67" s="18" t="n">
        <v>0</v>
      </c>
      <c r="J67" s="20" t="n">
        <v>0</v>
      </c>
      <c r="K67" s="18" t="n">
        <v>0.61266991</v>
      </c>
      <c r="L67" s="20" t="n">
        <v>0.23420501</v>
      </c>
      <c r="M67" s="18" t="n">
        <v>30.71683306</v>
      </c>
      <c r="N67" s="20" t="n">
        <v>1.55750793</v>
      </c>
      <c r="O67" s="18" t="n">
        <v>0</v>
      </c>
      <c r="P67" s="20" t="n">
        <v>0</v>
      </c>
      <c r="Q67" s="18" t="n">
        <v>11.36546642</v>
      </c>
      <c r="R67" s="20" t="n">
        <v>1.04776274</v>
      </c>
    </row>
    <row r="68" spans="1:18">
      <c r="A68" s="15" t="s">
        <v>628</v>
      </c>
      <c r="B68" s="17" t="n">
        <v>6971</v>
      </c>
      <c r="C68" s="18">
        <f>(5627.0/B68*100)</f>
        <v/>
      </c>
      <c r="D68" s="19" t="n">
        <v>1344</v>
      </c>
      <c r="E68" s="18" t="n">
        <v>87.50126879</v>
      </c>
      <c r="F68" s="20" t="n">
        <v>0.88715025</v>
      </c>
      <c r="G68" s="18" t="n">
        <v>8.186138359999999</v>
      </c>
      <c r="H68" s="20" t="n">
        <v>0.75775305</v>
      </c>
      <c r="I68" s="18" t="n">
        <v>0</v>
      </c>
      <c r="J68" s="20" t="n">
        <v>0</v>
      </c>
      <c r="K68" s="18" t="n">
        <v>0.25539968</v>
      </c>
      <c r="L68" s="20" t="n">
        <v>0.1476218</v>
      </c>
      <c r="M68" s="18" t="n">
        <v>0.36236963</v>
      </c>
      <c r="N68" s="20" t="n">
        <v>0.18348093</v>
      </c>
      <c r="O68" s="18" t="n">
        <v>0</v>
      </c>
      <c r="P68" s="20" t="n">
        <v>0</v>
      </c>
      <c r="Q68" s="18" t="n">
        <v>3.69482354</v>
      </c>
      <c r="R68" s="20" t="n">
        <v>0.55073577</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(9450.0/B70*100)</f>
        <v/>
      </c>
      <c r="D70" s="19" t="n">
        <v>2633</v>
      </c>
      <c r="E70" s="18" t="n">
        <v>75.16009457</v>
      </c>
      <c r="F70" s="20" t="n">
        <v>0.92104156</v>
      </c>
      <c r="G70" s="18" t="n">
        <v>16.90933467</v>
      </c>
      <c r="H70" s="20" t="n">
        <v>0.76405947</v>
      </c>
      <c r="I70" s="18" t="n">
        <v>0</v>
      </c>
      <c r="J70" s="20" t="n">
        <v>0</v>
      </c>
      <c r="K70" s="18" t="n">
        <v>2.10878364</v>
      </c>
      <c r="L70" s="20" t="n">
        <v>0.30988475</v>
      </c>
      <c r="M70" s="18" t="n">
        <v>0.03677098</v>
      </c>
      <c r="N70" s="20" t="n">
        <v>0.03682016</v>
      </c>
      <c r="O70" s="18" t="n">
        <v>0</v>
      </c>
      <c r="P70" s="20" t="n">
        <v>0</v>
      </c>
      <c r="Q70" s="18" t="n">
        <v>5.78501614</v>
      </c>
      <c r="R70" s="20" t="n">
        <v>0.46793942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(4715.0/B72*100)</f>
        <v/>
      </c>
      <c r="D72" s="19" t="n">
        <v>1321</v>
      </c>
      <c r="E72" s="18" t="n">
        <v>80.16592939</v>
      </c>
      <c r="F72" s="20" t="n">
        <v>1.42028287</v>
      </c>
      <c r="G72" s="18" t="n">
        <v>16.78903939</v>
      </c>
      <c r="H72" s="20" t="n">
        <v>1.20316907</v>
      </c>
      <c r="I72" s="18" t="n">
        <v>0</v>
      </c>
      <c r="J72" s="20" t="n">
        <v>0</v>
      </c>
      <c r="K72" s="18" t="n">
        <v>0.12644498</v>
      </c>
      <c r="L72" s="20" t="n">
        <v>0.07436166</v>
      </c>
      <c r="M72" s="18" t="n">
        <v>0.05232461</v>
      </c>
      <c r="N72" s="20" t="n">
        <v>0.03708311</v>
      </c>
      <c r="O72" s="18" t="n">
        <v>0</v>
      </c>
      <c r="P72" s="20" t="n">
        <v>0</v>
      </c>
      <c r="Q72" s="18" t="n">
        <v>2.86626163</v>
      </c>
      <c r="R72" s="20" t="n">
        <v>0.58884852</v>
      </c>
    </row>
    <row r="73" spans="1:18">
      <c r="A73" s="15" t="s">
        <v>633</v>
      </c>
      <c r="B73" s="17" t="n">
        <v>6115</v>
      </c>
      <c r="C73" s="18">
        <f>(4739.0/B73*100)</f>
        <v/>
      </c>
      <c r="D73" s="19" t="n">
        <v>1376</v>
      </c>
      <c r="E73" s="18" t="n">
        <v>75.88854968</v>
      </c>
      <c r="F73" s="20" t="n">
        <v>1.25999328</v>
      </c>
      <c r="G73" s="18" t="n">
        <v>22.35311643</v>
      </c>
      <c r="H73" s="20" t="n">
        <v>1.19123288</v>
      </c>
      <c r="I73" s="18" t="n">
        <v>0</v>
      </c>
      <c r="J73" s="20" t="n">
        <v>0</v>
      </c>
      <c r="K73" s="18" t="n">
        <v>0.33963165</v>
      </c>
      <c r="L73" s="20" t="n">
        <v>0.15568984</v>
      </c>
      <c r="M73" s="18" t="n">
        <v>0.10108285</v>
      </c>
      <c r="N73" s="20" t="n">
        <v>0.10125338</v>
      </c>
      <c r="O73" s="18" t="n">
        <v>0</v>
      </c>
      <c r="P73" s="20" t="n">
        <v>0</v>
      </c>
      <c r="Q73" s="18" t="n">
        <v>1.31761939</v>
      </c>
      <c r="R73" s="20" t="n">
        <v>0.338037</v>
      </c>
    </row>
    <row r="74" spans="1:18">
      <c r="A74" s="15" t="s">
        <v>634</v>
      </c>
      <c r="B74" s="17" t="n">
        <v>7708</v>
      </c>
      <c r="C74" s="18">
        <f>(5959.0/B74*100)</f>
        <v/>
      </c>
      <c r="D74" s="19" t="n">
        <v>1749</v>
      </c>
      <c r="E74" s="18" t="n">
        <v>86.33969679</v>
      </c>
      <c r="F74" s="20" t="n">
        <v>0.9130322400000001</v>
      </c>
      <c r="G74" s="18" t="n">
        <v>12.80541849</v>
      </c>
      <c r="H74" s="20" t="n">
        <v>0.9084065099999999</v>
      </c>
      <c r="I74" s="18" t="n">
        <v>0</v>
      </c>
      <c r="J74" s="20" t="n">
        <v>0</v>
      </c>
      <c r="K74" s="18" t="n">
        <v>0.11598073</v>
      </c>
      <c r="L74" s="20" t="n">
        <v>0.08577332</v>
      </c>
      <c r="M74" s="18" t="n">
        <v>0</v>
      </c>
      <c r="N74" s="20" t="n">
        <v>0</v>
      </c>
      <c r="O74" s="18" t="n">
        <v>0</v>
      </c>
      <c r="P74" s="20" t="n">
        <v>0</v>
      </c>
      <c r="Q74" s="18" t="n">
        <v>0.73890398</v>
      </c>
      <c r="R74" s="20" t="n">
        <v>0.16596725</v>
      </c>
    </row>
    <row r="75" spans="1:18">
      <c r="A75" s="15" t="s">
        <v>635</v>
      </c>
      <c r="B75" s="17" t="n">
        <v>8249</v>
      </c>
      <c r="C75" s="18">
        <f>(6497.0/B75*100)</f>
        <v/>
      </c>
      <c r="D75" s="19" t="n">
        <v>1752</v>
      </c>
      <c r="E75" s="18" t="n">
        <v>89.15533293999999</v>
      </c>
      <c r="F75" s="20" t="n">
        <v>0.96401462</v>
      </c>
      <c r="G75" s="18" t="n">
        <v>7.95326307</v>
      </c>
      <c r="H75" s="20" t="n">
        <v>0.89803913</v>
      </c>
      <c r="I75" s="18" t="n">
        <v>0</v>
      </c>
      <c r="J75" s="20" t="n">
        <v>0</v>
      </c>
      <c r="K75" s="18" t="n">
        <v>0.23728942</v>
      </c>
      <c r="L75" s="20" t="n">
        <v>0.13740394</v>
      </c>
      <c r="M75" s="18" t="n">
        <v>0.40359644</v>
      </c>
      <c r="N75" s="20" t="n">
        <v>0.18634331</v>
      </c>
      <c r="O75" s="18" t="n">
        <v>0</v>
      </c>
      <c r="P75" s="20" t="n">
        <v>0</v>
      </c>
      <c r="Q75" s="18" t="n">
        <v>2.25051812</v>
      </c>
      <c r="R75" s="20" t="n">
        <v>0.50417601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(4297.0/B77*100)</f>
        <v/>
      </c>
      <c r="D77" s="19" t="n">
        <v>1078</v>
      </c>
      <c r="E77" s="18" t="n">
        <v>74.43033294</v>
      </c>
      <c r="F77" s="20" t="n">
        <v>1.46998061</v>
      </c>
      <c r="G77" s="18" t="n">
        <v>12.55564442</v>
      </c>
      <c r="H77" s="20" t="n">
        <v>1.13521617</v>
      </c>
      <c r="I77" s="18" t="n">
        <v>0</v>
      </c>
      <c r="J77" s="20" t="n">
        <v>0</v>
      </c>
      <c r="K77" s="18" t="n">
        <v>2.65398101</v>
      </c>
      <c r="L77" s="20" t="n">
        <v>0.6120669</v>
      </c>
      <c r="M77" s="18" t="n">
        <v>0.85116186</v>
      </c>
      <c r="N77" s="20" t="n">
        <v>0.27642372</v>
      </c>
      <c r="O77" s="18" t="n">
        <v>0</v>
      </c>
      <c r="P77" s="20" t="n">
        <v>0</v>
      </c>
      <c r="Q77" s="18" t="n">
        <v>9.50887977</v>
      </c>
      <c r="R77" s="20" t="n">
        <v>0.84087294</v>
      </c>
    </row>
    <row r="78" spans="1:18">
      <c r="A78" s="15" t="s">
        <v>638</v>
      </c>
      <c r="B78" s="17" t="n">
        <v>14167</v>
      </c>
      <c r="C78" s="18">
        <f>(11056.0/B78*100)</f>
        <v/>
      </c>
      <c r="D78" s="19" t="n">
        <v>3111</v>
      </c>
      <c r="E78" s="18" t="n">
        <v>78.38773474</v>
      </c>
      <c r="F78" s="20" t="n">
        <v>0.79690087</v>
      </c>
      <c r="G78" s="18" t="n">
        <v>17.74241173</v>
      </c>
      <c r="H78" s="20" t="n">
        <v>0.83337089</v>
      </c>
      <c r="I78" s="18" t="n">
        <v>0</v>
      </c>
      <c r="J78" s="20" t="n">
        <v>0</v>
      </c>
      <c r="K78" s="18" t="n">
        <v>0.50364672</v>
      </c>
      <c r="L78" s="20" t="n">
        <v>0.12190357</v>
      </c>
      <c r="M78" s="18" t="n">
        <v>0.19259676</v>
      </c>
      <c r="N78" s="20" t="n">
        <v>0.08189114</v>
      </c>
      <c r="O78" s="18" t="n">
        <v>0</v>
      </c>
      <c r="P78" s="20" t="n">
        <v>0</v>
      </c>
      <c r="Q78" s="18" t="n">
        <v>3.17361005</v>
      </c>
      <c r="R78" s="20" t="n">
        <v>0.3788245</v>
      </c>
    </row>
    <row r="79" spans="1:18">
      <c r="A79" s="15" t="s">
        <v>639</v>
      </c>
      <c r="B79" s="17" t="n">
        <v>6062</v>
      </c>
      <c r="C79" s="18">
        <f>(4759.0/B79*100)</f>
        <v/>
      </c>
      <c r="D79" s="19" t="n">
        <v>1303</v>
      </c>
      <c r="E79" s="18" t="n">
        <v>59.91664212</v>
      </c>
      <c r="F79" s="20" t="n">
        <v>1.58772146</v>
      </c>
      <c r="G79" s="18" t="n">
        <v>33.12841519</v>
      </c>
      <c r="H79" s="20" t="n">
        <v>1.36443466</v>
      </c>
      <c r="I79" s="18" t="n">
        <v>0</v>
      </c>
      <c r="J79" s="20" t="n">
        <v>0</v>
      </c>
      <c r="K79" s="18" t="n">
        <v>1.11473353</v>
      </c>
      <c r="L79" s="20" t="n">
        <v>0.28777167</v>
      </c>
      <c r="M79" s="18" t="n">
        <v>0</v>
      </c>
      <c r="N79" s="20" t="n">
        <v>0</v>
      </c>
      <c r="O79" s="18" t="n">
        <v>0</v>
      </c>
      <c r="P79" s="20" t="n">
        <v>0</v>
      </c>
      <c r="Q79" s="18" t="n">
        <v>5.84020915</v>
      </c>
      <c r="R79" s="20" t="n">
        <v>0.63525803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(25296.0/B82*100)</f>
        <v/>
      </c>
      <c r="D82" s="19" t="n">
        <v>7034</v>
      </c>
      <c r="E82" s="18" t="n">
        <v>63.32499744</v>
      </c>
      <c r="F82" s="20" t="n">
        <v>0.87805637</v>
      </c>
      <c r="G82" s="18" t="n">
        <v>33.14703421</v>
      </c>
      <c r="H82" s="20" t="n">
        <v>0.93915232</v>
      </c>
      <c r="I82" s="18" t="n">
        <v>0</v>
      </c>
      <c r="J82" s="20" t="n">
        <v>0</v>
      </c>
      <c r="K82" s="18" t="n">
        <v>0.29088752</v>
      </c>
      <c r="L82" s="20" t="n">
        <v>0.10609968</v>
      </c>
      <c r="M82" s="18" t="n">
        <v>0.14191893</v>
      </c>
      <c r="N82" s="20" t="n">
        <v>0.07448852</v>
      </c>
      <c r="O82" s="18" t="n">
        <v>0</v>
      </c>
      <c r="P82" s="20" t="n">
        <v>0</v>
      </c>
      <c r="Q82" s="18" t="n">
        <v>3.0951619</v>
      </c>
      <c r="R82" s="20" t="n">
        <v>0.32682731</v>
      </c>
    </row>
    <row r="83" spans="1:18">
      <c r="A83" s="15" t="s">
        <v>643</v>
      </c>
      <c r="B83" s="17" t="n">
        <v>1652</v>
      </c>
      <c r="C83" s="18">
        <f>(1297.0/B83*100)</f>
        <v/>
      </c>
      <c r="D83" s="19" t="n">
        <v>355</v>
      </c>
      <c r="E83" s="18" t="n">
        <v>72.01976347999999</v>
      </c>
      <c r="F83" s="20" t="n">
        <v>1.97913277</v>
      </c>
      <c r="G83" s="18" t="n">
        <v>26.52806232</v>
      </c>
      <c r="H83" s="20" t="n">
        <v>1.94265254</v>
      </c>
      <c r="I83" s="18" t="n">
        <v>0</v>
      </c>
      <c r="J83" s="20" t="n">
        <v>0</v>
      </c>
      <c r="K83" s="18" t="n">
        <v>0</v>
      </c>
      <c r="L83" s="20" t="n">
        <v>0</v>
      </c>
      <c r="M83" s="18" t="n">
        <v>0</v>
      </c>
      <c r="N83" s="20" t="n">
        <v>0</v>
      </c>
      <c r="O83" s="18" t="n">
        <v>0</v>
      </c>
      <c r="P83" s="20" t="n">
        <v>0</v>
      </c>
      <c r="Q83" s="18" t="n">
        <v>1.4521742</v>
      </c>
      <c r="R83" s="20" t="n">
        <v>0.49492374</v>
      </c>
    </row>
    <row r="84" spans="1:18">
      <c r="A84" s="23" t="s">
        <v>644</v>
      </c>
      <c r="B84" s="24" t="n">
        <v>1887</v>
      </c>
      <c r="C84" s="25">
        <f>(1476.0/B84*100)</f>
        <v/>
      </c>
      <c r="D84" s="19" t="n">
        <v>411</v>
      </c>
      <c r="E84" s="18" t="n">
        <v>79.75268453</v>
      </c>
      <c r="F84" s="20" t="n">
        <v>2.04917447</v>
      </c>
      <c r="G84" s="18" t="n">
        <v>18.67657642</v>
      </c>
      <c r="H84" s="20" t="n">
        <v>1.95107043</v>
      </c>
      <c r="I84" s="18" t="n">
        <v>0</v>
      </c>
      <c r="J84" s="20" t="n">
        <v>0</v>
      </c>
      <c r="K84" s="18" t="n">
        <v>0</v>
      </c>
      <c r="L84" s="20" t="n">
        <v>0</v>
      </c>
      <c r="M84" s="18" t="n">
        <v>0</v>
      </c>
      <c r="N84" s="20" t="n">
        <v>0</v>
      </c>
      <c r="O84" s="18" t="n">
        <v>0</v>
      </c>
      <c r="P84" s="20" t="n">
        <v>0</v>
      </c>
      <c r="Q84" s="18" t="n">
        <v>1.57073905</v>
      </c>
      <c r="R84" s="20" t="n">
        <v>0.6216349799999999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1.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826</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(11442.0/B7*100)</f>
        <v/>
      </c>
      <c r="D7" s="19" t="n">
        <v>3088</v>
      </c>
      <c r="E7" s="18" t="n">
        <v>24.27954702</v>
      </c>
      <c r="F7" s="20" t="n">
        <v>0.92242634</v>
      </c>
      <c r="G7" s="18" t="n">
        <v>19.84945301</v>
      </c>
      <c r="H7" s="20" t="n">
        <v>0.7618738</v>
      </c>
      <c r="I7" s="18" t="n">
        <v>51.67082846</v>
      </c>
      <c r="J7" s="20" t="n">
        <v>1.18027009</v>
      </c>
      <c r="K7" s="18" t="n">
        <v>0</v>
      </c>
      <c r="L7" s="20" t="n">
        <v>0</v>
      </c>
      <c r="M7" s="18" t="n">
        <v>0.48339493</v>
      </c>
      <c r="N7" s="20" t="n">
        <v>0.13620035</v>
      </c>
      <c r="O7" s="18" t="n">
        <v>0.09351397</v>
      </c>
      <c r="P7" s="20" t="n">
        <v>0.07826851999999999</v>
      </c>
      <c r="Q7" s="18" t="n">
        <v>0</v>
      </c>
      <c r="R7" s="20" t="n">
        <v>0</v>
      </c>
      <c r="S7" s="18" t="n">
        <v>3.62326261</v>
      </c>
      <c r="T7" s="20" t="n">
        <v>0.36254203</v>
      </c>
    </row>
    <row r="8" spans="1:20">
      <c r="A8" s="15" t="s">
        <v>566</v>
      </c>
      <c r="B8" s="17" t="n">
        <v>7007</v>
      </c>
      <c r="C8" s="18">
        <f>(5472.0/B8*100)</f>
        <v/>
      </c>
      <c r="D8" s="19" t="n">
        <v>1535</v>
      </c>
      <c r="E8" s="18" t="n">
        <v>30.05864073</v>
      </c>
      <c r="F8" s="20" t="n">
        <v>1.29006856</v>
      </c>
      <c r="G8" s="18" t="n">
        <v>20.58869373</v>
      </c>
      <c r="H8" s="20" t="n">
        <v>1.02735072</v>
      </c>
      <c r="I8" s="18" t="n">
        <v>41.82504377</v>
      </c>
      <c r="J8" s="20" t="n">
        <v>1.24156004</v>
      </c>
      <c r="K8" s="18" t="n">
        <v>0</v>
      </c>
      <c r="L8" s="20" t="n">
        <v>0</v>
      </c>
      <c r="M8" s="18" t="n">
        <v>0.14267323</v>
      </c>
      <c r="N8" s="20" t="n">
        <v>0.10824826</v>
      </c>
      <c r="O8" s="18" t="n">
        <v>0</v>
      </c>
      <c r="P8" s="20" t="n">
        <v>0</v>
      </c>
      <c r="Q8" s="18" t="n">
        <v>0</v>
      </c>
      <c r="R8" s="20" t="n">
        <v>0</v>
      </c>
      <c r="S8" s="18" t="n">
        <v>7.38494855</v>
      </c>
      <c r="T8" s="20" t="n">
        <v>0.84440342</v>
      </c>
    </row>
    <row r="9" spans="1:20">
      <c r="A9" s="15" t="s">
        <v>567</v>
      </c>
      <c r="B9" s="17" t="n">
        <v>9651</v>
      </c>
      <c r="C9" s="18">
        <f>(7636.0/B9*100)</f>
        <v/>
      </c>
      <c r="D9" s="19" t="n">
        <v>2015</v>
      </c>
      <c r="E9" s="18" t="n">
        <v>26.21946187</v>
      </c>
      <c r="F9" s="20" t="n">
        <v>1.18945749</v>
      </c>
      <c r="G9" s="18" t="n">
        <v>22.46670685</v>
      </c>
      <c r="H9" s="20" t="n">
        <v>1.06672037</v>
      </c>
      <c r="I9" s="18" t="n">
        <v>45.546866</v>
      </c>
      <c r="J9" s="20" t="n">
        <v>1.30981529</v>
      </c>
      <c r="K9" s="18" t="n">
        <v>0</v>
      </c>
      <c r="L9" s="20" t="n">
        <v>0</v>
      </c>
      <c r="M9" s="18" t="n">
        <v>0.37466694</v>
      </c>
      <c r="N9" s="20" t="n">
        <v>0.13263466</v>
      </c>
      <c r="O9" s="18" t="n">
        <v>0.24063169</v>
      </c>
      <c r="P9" s="20" t="n">
        <v>0.11523887</v>
      </c>
      <c r="Q9" s="18" t="n">
        <v>0</v>
      </c>
      <c r="R9" s="20" t="n">
        <v>0</v>
      </c>
      <c r="S9" s="18" t="n">
        <v>5.15166664</v>
      </c>
      <c r="T9" s="20" t="n">
        <v>0.63791052</v>
      </c>
    </row>
    <row r="10" spans="1:20">
      <c r="A10" s="15" t="s">
        <v>568</v>
      </c>
      <c r="B10" s="17" t="n">
        <v>20058</v>
      </c>
      <c r="C10" s="18">
        <f>(15738.0/B10*100)</f>
        <v/>
      </c>
      <c r="D10" s="19" t="n">
        <v>4320</v>
      </c>
      <c r="E10" s="18" t="n">
        <v>16.08794924</v>
      </c>
      <c r="F10" s="20" t="n">
        <v>0.9294189899999999</v>
      </c>
      <c r="G10" s="18" t="n">
        <v>23.89227707</v>
      </c>
      <c r="H10" s="20" t="n">
        <v>1.0659443</v>
      </c>
      <c r="I10" s="18" t="n">
        <v>57.89850476</v>
      </c>
      <c r="J10" s="20" t="n">
        <v>1.26838139</v>
      </c>
      <c r="K10" s="18" t="n">
        <v>0</v>
      </c>
      <c r="L10" s="20" t="n">
        <v>0</v>
      </c>
      <c r="M10" s="18" t="n">
        <v>0.42760127</v>
      </c>
      <c r="N10" s="20" t="n">
        <v>0.15205185</v>
      </c>
      <c r="O10" s="18" t="n">
        <v>0.02093986</v>
      </c>
      <c r="P10" s="20" t="n">
        <v>0.01477921</v>
      </c>
      <c r="Q10" s="18" t="n">
        <v>0</v>
      </c>
      <c r="R10" s="20" t="n">
        <v>0</v>
      </c>
      <c r="S10" s="18" t="n">
        <v>1.6727278</v>
      </c>
      <c r="T10" s="20" t="n">
        <v>0.25902152</v>
      </c>
    </row>
    <row r="11" spans="1:20">
      <c r="A11" s="15" t="s">
        <v>569</v>
      </c>
      <c r="B11" s="17" t="n">
        <v>7053</v>
      </c>
      <c r="C11" s="18">
        <f>(5598.0/B11*100)</f>
        <v/>
      </c>
      <c r="D11" s="19" t="n">
        <v>1455</v>
      </c>
      <c r="E11" s="18" t="n">
        <v>23.83892987</v>
      </c>
      <c r="F11" s="20" t="n">
        <v>1.30761392</v>
      </c>
      <c r="G11" s="18" t="n">
        <v>17.42361635</v>
      </c>
      <c r="H11" s="20" t="n">
        <v>1.01279859</v>
      </c>
      <c r="I11" s="18" t="n">
        <v>52.19927235</v>
      </c>
      <c r="J11" s="20" t="n">
        <v>1.6285995</v>
      </c>
      <c r="K11" s="18" t="n">
        <v>0</v>
      </c>
      <c r="L11" s="20" t="n">
        <v>0</v>
      </c>
      <c r="M11" s="18" t="n">
        <v>1.49239572</v>
      </c>
      <c r="N11" s="20" t="n">
        <v>0.3446218</v>
      </c>
      <c r="O11" s="18" t="n">
        <v>0.00738439</v>
      </c>
      <c r="P11" s="20" t="n">
        <v>0.00743934</v>
      </c>
      <c r="Q11" s="18" t="n">
        <v>0</v>
      </c>
      <c r="R11" s="20" t="n">
        <v>0</v>
      </c>
      <c r="S11" s="18" t="n">
        <v>5.03840132</v>
      </c>
      <c r="T11" s="20" t="n">
        <v>0.60503947</v>
      </c>
    </row>
    <row r="12" spans="1:20">
      <c r="A12" s="15" t="s">
        <v>570</v>
      </c>
      <c r="B12" s="17" t="n">
        <v>6894</v>
      </c>
      <c r="C12" s="18">
        <f>(5432.0/B12*100)</f>
        <v/>
      </c>
      <c r="D12" s="19" t="n">
        <v>1462</v>
      </c>
      <c r="E12" s="18" t="n">
        <v>27.20837942</v>
      </c>
      <c r="F12" s="20" t="n">
        <v>1.24603983</v>
      </c>
      <c r="G12" s="18" t="n">
        <v>13.72975578</v>
      </c>
      <c r="H12" s="20" t="n">
        <v>0.93090717</v>
      </c>
      <c r="I12" s="18" t="n">
        <v>49.0450909</v>
      </c>
      <c r="J12" s="20" t="n">
        <v>1.57754948</v>
      </c>
      <c r="K12" s="18" t="n">
        <v>0</v>
      </c>
      <c r="L12" s="20" t="n">
        <v>0</v>
      </c>
      <c r="M12" s="18" t="n">
        <v>0.35881303</v>
      </c>
      <c r="N12" s="20" t="n">
        <v>0.19208409</v>
      </c>
      <c r="O12" s="18" t="n">
        <v>0.13081819</v>
      </c>
      <c r="P12" s="20" t="n">
        <v>0.13776651</v>
      </c>
      <c r="Q12" s="18" t="n">
        <v>0</v>
      </c>
      <c r="R12" s="20" t="n">
        <v>0</v>
      </c>
      <c r="S12" s="18" t="n">
        <v>9.52714267</v>
      </c>
      <c r="T12" s="20" t="n">
        <v>0.99204898</v>
      </c>
    </row>
    <row r="13" spans="1:20">
      <c r="A13" s="15" t="s">
        <v>571</v>
      </c>
      <c r="B13" s="17" t="n">
        <v>7161</v>
      </c>
      <c r="C13" s="18">
        <f>(5679.0/B13*100)</f>
        <v/>
      </c>
      <c r="D13" s="19" t="n">
        <v>1482</v>
      </c>
      <c r="E13" s="18" t="n">
        <v>21.54550977</v>
      </c>
      <c r="F13" s="20" t="n">
        <v>1.31029348</v>
      </c>
      <c r="G13" s="18" t="n">
        <v>14.4279908</v>
      </c>
      <c r="H13" s="20" t="n">
        <v>1.18147244</v>
      </c>
      <c r="I13" s="18" t="n">
        <v>59.7787424</v>
      </c>
      <c r="J13" s="20" t="n">
        <v>1.82513643</v>
      </c>
      <c r="K13" s="18" t="n">
        <v>0</v>
      </c>
      <c r="L13" s="20" t="n">
        <v>0</v>
      </c>
      <c r="M13" s="18" t="n">
        <v>0.36870623</v>
      </c>
      <c r="N13" s="20" t="n">
        <v>0.18170712</v>
      </c>
      <c r="O13" s="18" t="n">
        <v>0.0136439</v>
      </c>
      <c r="P13" s="20" t="n">
        <v>0.01358329</v>
      </c>
      <c r="Q13" s="18" t="n">
        <v>0</v>
      </c>
      <c r="R13" s="20" t="n">
        <v>0</v>
      </c>
      <c r="S13" s="18" t="n">
        <v>3.8654069</v>
      </c>
      <c r="T13" s="20" t="n">
        <v>0.58243737</v>
      </c>
    </row>
    <row r="14" spans="1:20">
      <c r="A14" s="15" t="s">
        <v>572</v>
      </c>
      <c r="B14" s="17" t="n">
        <v>5587</v>
      </c>
      <c r="C14" s="18">
        <f>(4380.0/B14*100)</f>
        <v/>
      </c>
      <c r="D14" s="19" t="n">
        <v>1207</v>
      </c>
      <c r="E14" s="18" t="n">
        <v>13.38167102</v>
      </c>
      <c r="F14" s="20" t="n">
        <v>0.9626321799999999</v>
      </c>
      <c r="G14" s="18" t="n">
        <v>18.55435002</v>
      </c>
      <c r="H14" s="20" t="n">
        <v>1.30383519</v>
      </c>
      <c r="I14" s="18" t="n">
        <v>65.77782338</v>
      </c>
      <c r="J14" s="20" t="n">
        <v>1.56610744</v>
      </c>
      <c r="K14" s="18" t="n">
        <v>0</v>
      </c>
      <c r="L14" s="20" t="n">
        <v>0</v>
      </c>
      <c r="M14" s="18" t="n">
        <v>0.13060437</v>
      </c>
      <c r="N14" s="20" t="n">
        <v>0.09241979</v>
      </c>
      <c r="O14" s="18" t="n">
        <v>0</v>
      </c>
      <c r="P14" s="20" t="n">
        <v>0</v>
      </c>
      <c r="Q14" s="18" t="n">
        <v>0</v>
      </c>
      <c r="R14" s="20" t="n">
        <v>0</v>
      </c>
      <c r="S14" s="18" t="n">
        <v>2.15555121</v>
      </c>
      <c r="T14" s="20" t="n">
        <v>0.54419359</v>
      </c>
    </row>
    <row r="15" spans="1:20">
      <c r="A15" s="15" t="s">
        <v>573</v>
      </c>
      <c r="B15" s="17" t="n">
        <v>5882</v>
      </c>
      <c r="C15" s="18">
        <f>(4637.0/B15*100)</f>
        <v/>
      </c>
      <c r="D15" s="19" t="n">
        <v>1245</v>
      </c>
      <c r="E15" s="18" t="n">
        <v>19.48989909</v>
      </c>
      <c r="F15" s="20" t="n">
        <v>1.17288665</v>
      </c>
      <c r="G15" s="18" t="n">
        <v>23.83605468</v>
      </c>
      <c r="H15" s="20" t="n">
        <v>1.18772727</v>
      </c>
      <c r="I15" s="18" t="n">
        <v>52.40672761</v>
      </c>
      <c r="J15" s="20" t="n">
        <v>1.34536806</v>
      </c>
      <c r="K15" s="18" t="n">
        <v>0</v>
      </c>
      <c r="L15" s="20" t="n">
        <v>0</v>
      </c>
      <c r="M15" s="18" t="n">
        <v>0.31576347</v>
      </c>
      <c r="N15" s="20" t="n">
        <v>0.15953302</v>
      </c>
      <c r="O15" s="18" t="n">
        <v>0</v>
      </c>
      <c r="P15" s="20" t="n">
        <v>0</v>
      </c>
      <c r="Q15" s="18" t="n">
        <v>0</v>
      </c>
      <c r="R15" s="20" t="n">
        <v>0</v>
      </c>
      <c r="S15" s="18" t="n">
        <v>3.95155516</v>
      </c>
      <c r="T15" s="20" t="n">
        <v>0.53382774</v>
      </c>
    </row>
    <row r="16" spans="1:20">
      <c r="A16" s="15" t="s">
        <v>574</v>
      </c>
      <c r="B16" s="17" t="n">
        <v>6108</v>
      </c>
      <c r="C16" s="18">
        <f>(4784.0/B16*100)</f>
        <v/>
      </c>
      <c r="D16" s="19" t="n">
        <v>1324</v>
      </c>
      <c r="E16" s="18" t="n">
        <v>21.18390039</v>
      </c>
      <c r="F16" s="20" t="n">
        <v>1.13013831</v>
      </c>
      <c r="G16" s="18" t="n">
        <v>30.00849284</v>
      </c>
      <c r="H16" s="20" t="n">
        <v>1.24567193</v>
      </c>
      <c r="I16" s="18" t="n">
        <v>38.48684874</v>
      </c>
      <c r="J16" s="20" t="n">
        <v>1.52767236</v>
      </c>
      <c r="K16" s="18" t="n">
        <v>0</v>
      </c>
      <c r="L16" s="20" t="n">
        <v>0</v>
      </c>
      <c r="M16" s="18" t="n">
        <v>1.46259312</v>
      </c>
      <c r="N16" s="20" t="n">
        <v>0.43279169</v>
      </c>
      <c r="O16" s="18" t="n">
        <v>0</v>
      </c>
      <c r="P16" s="20" t="n">
        <v>0</v>
      </c>
      <c r="Q16" s="18" t="n">
        <v>0</v>
      </c>
      <c r="R16" s="20" t="n">
        <v>0</v>
      </c>
      <c r="S16" s="18" t="n">
        <v>8.858164909999999</v>
      </c>
      <c r="T16" s="20" t="n">
        <v>0.86483049</v>
      </c>
    </row>
    <row r="17" spans="1:20">
      <c r="A17" s="15" t="s">
        <v>575</v>
      </c>
      <c r="B17" s="17" t="n">
        <v>6504</v>
      </c>
      <c r="C17" s="18">
        <f>(5107.0/B17*100)</f>
        <v/>
      </c>
      <c r="D17" s="19" t="n">
        <v>1397</v>
      </c>
      <c r="E17" s="18" t="n">
        <v>21.34097281</v>
      </c>
      <c r="F17" s="20" t="n">
        <v>1.15233169</v>
      </c>
      <c r="G17" s="18" t="n">
        <v>19.82076038</v>
      </c>
      <c r="H17" s="20" t="n">
        <v>1.24929649</v>
      </c>
      <c r="I17" s="18" t="n">
        <v>53.28902259</v>
      </c>
      <c r="J17" s="20" t="n">
        <v>1.57432686</v>
      </c>
      <c r="K17" s="18" t="n">
        <v>0</v>
      </c>
      <c r="L17" s="20" t="n">
        <v>0</v>
      </c>
      <c r="M17" s="18" t="n">
        <v>0.27529042</v>
      </c>
      <c r="N17" s="20" t="n">
        <v>0.14335164</v>
      </c>
      <c r="O17" s="18" t="n">
        <v>0</v>
      </c>
      <c r="P17" s="20" t="n">
        <v>0</v>
      </c>
      <c r="Q17" s="18" t="n">
        <v>0</v>
      </c>
      <c r="R17" s="20" t="n">
        <v>0</v>
      </c>
      <c r="S17" s="18" t="n">
        <v>5.27395379</v>
      </c>
      <c r="T17" s="20" t="n">
        <v>0.64421001</v>
      </c>
    </row>
    <row r="18" spans="1:20">
      <c r="A18" s="15" t="s">
        <v>576</v>
      </c>
      <c r="B18" s="17" t="n">
        <v>5532</v>
      </c>
      <c r="C18" s="18">
        <f>(4313.0/B18*100)</f>
        <v/>
      </c>
      <c r="D18" s="19" t="n">
        <v>1219</v>
      </c>
      <c r="E18" s="18" t="n">
        <v>34.65319541</v>
      </c>
      <c r="F18" s="20" t="n">
        <v>1.74945824</v>
      </c>
      <c r="G18" s="18" t="n">
        <v>24.22105546</v>
      </c>
      <c r="H18" s="20" t="n">
        <v>1.26835769</v>
      </c>
      <c r="I18" s="18" t="n">
        <v>29.93609094</v>
      </c>
      <c r="J18" s="20" t="n">
        <v>1.59195764</v>
      </c>
      <c r="K18" s="18" t="n">
        <v>0</v>
      </c>
      <c r="L18" s="20" t="n">
        <v>0</v>
      </c>
      <c r="M18" s="18" t="n">
        <v>0.51649263</v>
      </c>
      <c r="N18" s="20" t="n">
        <v>0.21554579</v>
      </c>
      <c r="O18" s="18" t="n">
        <v>0</v>
      </c>
      <c r="P18" s="20" t="n">
        <v>0</v>
      </c>
      <c r="Q18" s="18" t="n">
        <v>0</v>
      </c>
      <c r="R18" s="20" t="n">
        <v>0</v>
      </c>
      <c r="S18" s="18" t="n">
        <v>10.67316556</v>
      </c>
      <c r="T18" s="20" t="n">
        <v>1.18937455</v>
      </c>
    </row>
    <row r="19" spans="1:20">
      <c r="A19" s="15" t="s">
        <v>577</v>
      </c>
      <c r="B19" s="17" t="n">
        <v>5658</v>
      </c>
      <c r="C19" s="18">
        <f>(4452.0/B19*100)</f>
        <v/>
      </c>
      <c r="D19" s="19" t="n">
        <v>1206</v>
      </c>
      <c r="E19" s="18" t="n">
        <v>20.75825321</v>
      </c>
      <c r="F19" s="20" t="n">
        <v>1.44139928</v>
      </c>
      <c r="G19" s="18" t="n">
        <v>27.52471269</v>
      </c>
      <c r="H19" s="20" t="n">
        <v>1.429155</v>
      </c>
      <c r="I19" s="18" t="n">
        <v>43.02636951</v>
      </c>
      <c r="J19" s="20" t="n">
        <v>1.54369834</v>
      </c>
      <c r="K19" s="18" t="n">
        <v>0</v>
      </c>
      <c r="L19" s="20" t="n">
        <v>0</v>
      </c>
      <c r="M19" s="18" t="n">
        <v>0.14976969</v>
      </c>
      <c r="N19" s="20" t="n">
        <v>0.10894254</v>
      </c>
      <c r="O19" s="18" t="n">
        <v>0</v>
      </c>
      <c r="P19" s="20" t="n">
        <v>0</v>
      </c>
      <c r="Q19" s="18" t="n">
        <v>0</v>
      </c>
      <c r="R19" s="20" t="n">
        <v>0</v>
      </c>
      <c r="S19" s="18" t="n">
        <v>8.540894890000001</v>
      </c>
      <c r="T19" s="20" t="n">
        <v>0.96576251</v>
      </c>
    </row>
    <row r="20" spans="1:20">
      <c r="A20" s="15" t="s">
        <v>578</v>
      </c>
      <c r="B20" s="17" t="n">
        <v>3371</v>
      </c>
      <c r="C20" s="18">
        <f>(2646.0/B20*100)</f>
        <v/>
      </c>
      <c r="D20" s="19" t="n">
        <v>725</v>
      </c>
      <c r="E20" s="18" t="n">
        <v>28.45717302</v>
      </c>
      <c r="F20" s="20" t="n">
        <v>1.8859738</v>
      </c>
      <c r="G20" s="18" t="n">
        <v>16.57476652</v>
      </c>
      <c r="H20" s="20" t="n">
        <v>1.39779313</v>
      </c>
      <c r="I20" s="18" t="n">
        <v>45.01494477</v>
      </c>
      <c r="J20" s="20" t="n">
        <v>1.81098029</v>
      </c>
      <c r="K20" s="18" t="n">
        <v>0</v>
      </c>
      <c r="L20" s="20" t="n">
        <v>0</v>
      </c>
      <c r="M20" s="18" t="n">
        <v>0.39004897</v>
      </c>
      <c r="N20" s="20" t="n">
        <v>0.22575383</v>
      </c>
      <c r="O20" s="18" t="n">
        <v>0.7617674</v>
      </c>
      <c r="P20" s="20" t="n">
        <v>0.28915027</v>
      </c>
      <c r="Q20" s="18" t="n">
        <v>0</v>
      </c>
      <c r="R20" s="20" t="n">
        <v>0</v>
      </c>
      <c r="S20" s="18" t="n">
        <v>8.80129932</v>
      </c>
      <c r="T20" s="20" t="n">
        <v>1.06374176</v>
      </c>
    </row>
    <row r="21" spans="1:20">
      <c r="A21" s="15" t="s">
        <v>579</v>
      </c>
      <c r="B21" s="17" t="n">
        <v>5741</v>
      </c>
      <c r="C21" s="18">
        <f>(4466.0/B21*100)</f>
        <v/>
      </c>
      <c r="D21" s="19" t="n">
        <v>1275</v>
      </c>
      <c r="E21" s="18" t="n">
        <v>27.37964627</v>
      </c>
      <c r="F21" s="20" t="n">
        <v>1.30836505</v>
      </c>
      <c r="G21" s="18" t="n">
        <v>18.54314244</v>
      </c>
      <c r="H21" s="20" t="n">
        <v>0.9400004</v>
      </c>
      <c r="I21" s="18" t="n">
        <v>51.15058135</v>
      </c>
      <c r="J21" s="20" t="n">
        <v>1.50265026</v>
      </c>
      <c r="K21" s="18" t="n">
        <v>0</v>
      </c>
      <c r="L21" s="20" t="n">
        <v>0</v>
      </c>
      <c r="M21" s="18" t="n">
        <v>0.3774012</v>
      </c>
      <c r="N21" s="20" t="n">
        <v>0.18753825</v>
      </c>
      <c r="O21" s="18" t="n">
        <v>0</v>
      </c>
      <c r="P21" s="20" t="n">
        <v>0</v>
      </c>
      <c r="Q21" s="18" t="n">
        <v>0</v>
      </c>
      <c r="R21" s="20" t="n">
        <v>0</v>
      </c>
      <c r="S21" s="18" t="n">
        <v>2.54922874</v>
      </c>
      <c r="T21" s="20" t="n">
        <v>0.5042686199999999</v>
      </c>
    </row>
    <row r="22" spans="1:20">
      <c r="A22" s="15" t="s">
        <v>580</v>
      </c>
      <c r="B22" s="17" t="n">
        <v>6598</v>
      </c>
      <c r="C22" s="18">
        <f>(5204.0/B22*100)</f>
        <v/>
      </c>
      <c r="D22" s="19" t="n">
        <v>1394</v>
      </c>
      <c r="E22" s="18" t="n">
        <v>25.64387288</v>
      </c>
      <c r="F22" s="20" t="n">
        <v>1.26170678</v>
      </c>
      <c r="G22" s="18" t="n">
        <v>28.61014637</v>
      </c>
      <c r="H22" s="20" t="n">
        <v>1.16548488</v>
      </c>
      <c r="I22" s="18" t="n">
        <v>36.43355978</v>
      </c>
      <c r="J22" s="20" t="n">
        <v>1.51428559</v>
      </c>
      <c r="K22" s="18" t="n">
        <v>0</v>
      </c>
      <c r="L22" s="20" t="n">
        <v>0</v>
      </c>
      <c r="M22" s="18" t="n">
        <v>0.69659256</v>
      </c>
      <c r="N22" s="20" t="n">
        <v>0.31589848</v>
      </c>
      <c r="O22" s="18" t="n">
        <v>0</v>
      </c>
      <c r="P22" s="20" t="n">
        <v>0</v>
      </c>
      <c r="Q22" s="18" t="n">
        <v>0</v>
      </c>
      <c r="R22" s="20" t="n">
        <v>0</v>
      </c>
      <c r="S22" s="18" t="n">
        <v>8.6158284</v>
      </c>
      <c r="T22" s="20" t="n">
        <v>0.88744198</v>
      </c>
    </row>
    <row r="23" spans="1:20">
      <c r="A23" s="15" t="s">
        <v>581</v>
      </c>
      <c r="B23" s="17" t="n">
        <v>11583</v>
      </c>
      <c r="C23" s="18">
        <f>(9055.0/B23*100)</f>
        <v/>
      </c>
      <c r="D23" s="19" t="n">
        <v>2528</v>
      </c>
      <c r="E23" s="18" t="n">
        <v>32.72352505</v>
      </c>
      <c r="F23" s="20" t="n">
        <v>1.32565597</v>
      </c>
      <c r="G23" s="18" t="n">
        <v>22.8054126</v>
      </c>
      <c r="H23" s="20" t="n">
        <v>1.31528467</v>
      </c>
      <c r="I23" s="18" t="n">
        <v>35.05928382</v>
      </c>
      <c r="J23" s="20" t="n">
        <v>1.37514817</v>
      </c>
      <c r="K23" s="18" t="n">
        <v>0</v>
      </c>
      <c r="L23" s="20" t="n">
        <v>0</v>
      </c>
      <c r="M23" s="18" t="n">
        <v>0.98561047</v>
      </c>
      <c r="N23" s="20" t="n">
        <v>0.33822574</v>
      </c>
      <c r="O23" s="18" t="n">
        <v>0</v>
      </c>
      <c r="P23" s="20" t="n">
        <v>0</v>
      </c>
      <c r="Q23" s="18" t="n">
        <v>0</v>
      </c>
      <c r="R23" s="20" t="n">
        <v>0</v>
      </c>
      <c r="S23" s="18" t="n">
        <v>8.426168069999999</v>
      </c>
      <c r="T23" s="20" t="n">
        <v>0.9010289500000001</v>
      </c>
    </row>
    <row r="24" spans="1:20">
      <c r="A24" s="15" t="s">
        <v>582</v>
      </c>
      <c r="B24" s="17" t="n">
        <v>6647</v>
      </c>
      <c r="C24" s="18">
        <f>(5214.0/B24*100)</f>
        <v/>
      </c>
      <c r="D24" s="19" t="n">
        <v>1433</v>
      </c>
      <c r="E24" s="18" t="n">
        <v>13.35718522</v>
      </c>
      <c r="F24" s="20" t="n">
        <v>0.92420497</v>
      </c>
      <c r="G24" s="18" t="n">
        <v>31.7063982</v>
      </c>
      <c r="H24" s="20" t="n">
        <v>1.39679235</v>
      </c>
      <c r="I24" s="18" t="n">
        <v>50.91700274</v>
      </c>
      <c r="J24" s="20" t="n">
        <v>1.36621644</v>
      </c>
      <c r="K24" s="18" t="n">
        <v>0</v>
      </c>
      <c r="L24" s="20" t="n">
        <v>0</v>
      </c>
      <c r="M24" s="18" t="n">
        <v>0.44226195</v>
      </c>
      <c r="N24" s="20" t="n">
        <v>0.18137729</v>
      </c>
      <c r="O24" s="18" t="n">
        <v>0</v>
      </c>
      <c r="P24" s="20" t="n">
        <v>0</v>
      </c>
      <c r="Q24" s="18" t="n">
        <v>0</v>
      </c>
      <c r="R24" s="20" t="n">
        <v>0</v>
      </c>
      <c r="S24" s="18" t="n">
        <v>3.57715189</v>
      </c>
      <c r="T24" s="20" t="n">
        <v>0.57379381</v>
      </c>
    </row>
    <row r="25" spans="1:20">
      <c r="A25" s="15" t="s">
        <v>583</v>
      </c>
      <c r="B25" s="17" t="n">
        <v>5581</v>
      </c>
      <c r="C25" s="18">
        <f>(4321.0/B25*100)</f>
        <v/>
      </c>
      <c r="D25" s="19" t="n">
        <v>1260</v>
      </c>
      <c r="E25" s="18" t="n">
        <v>25.80841636</v>
      </c>
      <c r="F25" s="20" t="n">
        <v>1.26113509</v>
      </c>
      <c r="G25" s="18" t="n">
        <v>25.23865237</v>
      </c>
      <c r="H25" s="20" t="n">
        <v>1.21929468</v>
      </c>
      <c r="I25" s="18" t="n">
        <v>42.9542313</v>
      </c>
      <c r="J25" s="20" t="n">
        <v>1.49558166</v>
      </c>
      <c r="K25" s="18" t="n">
        <v>0</v>
      </c>
      <c r="L25" s="20" t="n">
        <v>0</v>
      </c>
      <c r="M25" s="18" t="n">
        <v>0.30865362</v>
      </c>
      <c r="N25" s="20" t="n">
        <v>0.15526676</v>
      </c>
      <c r="O25" s="18" t="n">
        <v>0</v>
      </c>
      <c r="P25" s="20" t="n">
        <v>0</v>
      </c>
      <c r="Q25" s="18" t="n">
        <v>0</v>
      </c>
      <c r="R25" s="20" t="n">
        <v>0</v>
      </c>
      <c r="S25" s="18" t="n">
        <v>5.69004636</v>
      </c>
      <c r="T25" s="20" t="n">
        <v>0.70062507</v>
      </c>
    </row>
    <row r="26" spans="1:20">
      <c r="A26" s="15" t="s">
        <v>584</v>
      </c>
      <c r="B26" s="17" t="n">
        <v>4869</v>
      </c>
      <c r="C26" s="18">
        <f>(3804.0/B26*100)</f>
        <v/>
      </c>
      <c r="D26" s="19" t="n">
        <v>1065</v>
      </c>
      <c r="E26" s="18" t="n">
        <v>32.84801662</v>
      </c>
      <c r="F26" s="20" t="n">
        <v>1.65625343</v>
      </c>
      <c r="G26" s="18" t="n">
        <v>13.93255498</v>
      </c>
      <c r="H26" s="20" t="n">
        <v>1.02564522</v>
      </c>
      <c r="I26" s="18" t="n">
        <v>49.9755014</v>
      </c>
      <c r="J26" s="20" t="n">
        <v>1.67561873</v>
      </c>
      <c r="K26" s="18" t="n">
        <v>0</v>
      </c>
      <c r="L26" s="20" t="n">
        <v>0</v>
      </c>
      <c r="M26" s="18" t="n">
        <v>0.08016754</v>
      </c>
      <c r="N26" s="20" t="n">
        <v>0.08186394</v>
      </c>
      <c r="O26" s="18" t="n">
        <v>0.23931537</v>
      </c>
      <c r="P26" s="20" t="n">
        <v>0.15225829</v>
      </c>
      <c r="Q26" s="18" t="n">
        <v>0</v>
      </c>
      <c r="R26" s="20" t="n">
        <v>0</v>
      </c>
      <c r="S26" s="18" t="n">
        <v>2.92444409</v>
      </c>
      <c r="T26" s="20" t="n">
        <v>0.49602204</v>
      </c>
    </row>
    <row r="27" spans="1:20">
      <c r="A27" s="15" t="s">
        <v>585</v>
      </c>
      <c r="B27" s="17" t="n">
        <v>5299</v>
      </c>
      <c r="C27" s="18">
        <f>(4171.0/B27*100)</f>
        <v/>
      </c>
      <c r="D27" s="19" t="n">
        <v>1128</v>
      </c>
      <c r="E27" s="18" t="n">
        <v>25.6418962</v>
      </c>
      <c r="F27" s="20" t="n">
        <v>1.39473517</v>
      </c>
      <c r="G27" s="18" t="n">
        <v>20.95174551</v>
      </c>
      <c r="H27" s="20" t="n">
        <v>1.25165293</v>
      </c>
      <c r="I27" s="18" t="n">
        <v>45.54150657</v>
      </c>
      <c r="J27" s="20" t="n">
        <v>1.32672805</v>
      </c>
      <c r="K27" s="18" t="n">
        <v>0</v>
      </c>
      <c r="L27" s="20" t="n">
        <v>0</v>
      </c>
      <c r="M27" s="18" t="n">
        <v>0.27092466</v>
      </c>
      <c r="N27" s="20" t="n">
        <v>0.15802602</v>
      </c>
      <c r="O27" s="18" t="n">
        <v>0</v>
      </c>
      <c r="P27" s="20" t="n">
        <v>0</v>
      </c>
      <c r="Q27" s="18" t="n">
        <v>0</v>
      </c>
      <c r="R27" s="20" t="n">
        <v>0</v>
      </c>
      <c r="S27" s="18" t="n">
        <v>7.59392706</v>
      </c>
      <c r="T27" s="20" t="n">
        <v>0.7440907</v>
      </c>
    </row>
    <row r="28" spans="1:20">
      <c r="A28" s="15" t="s">
        <v>586</v>
      </c>
      <c r="B28" s="17" t="n">
        <v>7568</v>
      </c>
      <c r="C28" s="18">
        <f>(6138.0/B28*100)</f>
        <v/>
      </c>
      <c r="D28" s="19" t="n">
        <v>1430</v>
      </c>
      <c r="E28" s="18" t="n">
        <v>42.9908427</v>
      </c>
      <c r="F28" s="20" t="n">
        <v>1.60708915</v>
      </c>
      <c r="G28" s="18" t="n">
        <v>12.78375214</v>
      </c>
      <c r="H28" s="20" t="n">
        <v>1.05847404</v>
      </c>
      <c r="I28" s="18" t="n">
        <v>41.81052515</v>
      </c>
      <c r="J28" s="20" t="n">
        <v>1.46658124</v>
      </c>
      <c r="K28" s="18" t="n">
        <v>0</v>
      </c>
      <c r="L28" s="20" t="n">
        <v>0</v>
      </c>
      <c r="M28" s="18" t="n">
        <v>1.33904634</v>
      </c>
      <c r="N28" s="20" t="n">
        <v>0.4502637</v>
      </c>
      <c r="O28" s="18" t="n">
        <v>0.05790549</v>
      </c>
      <c r="P28" s="20" t="n">
        <v>0.05757476</v>
      </c>
      <c r="Q28" s="18" t="n">
        <v>0</v>
      </c>
      <c r="R28" s="20" t="n">
        <v>0</v>
      </c>
      <c r="S28" s="18" t="n">
        <v>1.01792818</v>
      </c>
      <c r="T28" s="20" t="n">
        <v>0.34725074</v>
      </c>
    </row>
    <row r="29" spans="1:20">
      <c r="A29" s="15" t="s">
        <v>587</v>
      </c>
      <c r="B29" s="17" t="n">
        <v>5385</v>
      </c>
      <c r="C29" s="18">
        <f>(4191.0/B29*100)</f>
        <v/>
      </c>
      <c r="D29" s="19" t="n">
        <v>1194</v>
      </c>
      <c r="E29" s="18" t="n">
        <v>29.81849031</v>
      </c>
      <c r="F29" s="20" t="n">
        <v>1.71997631</v>
      </c>
      <c r="G29" s="18" t="n">
        <v>13.08901785</v>
      </c>
      <c r="H29" s="20" t="n">
        <v>0.97643223</v>
      </c>
      <c r="I29" s="18" t="n">
        <v>54.66945587</v>
      </c>
      <c r="J29" s="20" t="n">
        <v>1.78581314</v>
      </c>
      <c r="K29" s="18" t="n">
        <v>0</v>
      </c>
      <c r="L29" s="20" t="n">
        <v>0</v>
      </c>
      <c r="M29" s="18" t="n">
        <v>0.28208774</v>
      </c>
      <c r="N29" s="20" t="n">
        <v>0.14686184</v>
      </c>
      <c r="O29" s="18" t="n">
        <v>0</v>
      </c>
      <c r="P29" s="20" t="n">
        <v>0</v>
      </c>
      <c r="Q29" s="18" t="n">
        <v>0</v>
      </c>
      <c r="R29" s="20" t="n">
        <v>0</v>
      </c>
      <c r="S29" s="18" t="n">
        <v>2.14094824</v>
      </c>
      <c r="T29" s="20" t="n">
        <v>0.46182965</v>
      </c>
    </row>
    <row r="30" spans="1:20">
      <c r="A30" s="15" t="s">
        <v>588</v>
      </c>
      <c r="B30" s="17" t="n">
        <v>4520</v>
      </c>
      <c r="C30" s="18">
        <f>(3587.0/B30*100)</f>
        <v/>
      </c>
      <c r="D30" s="19" t="n">
        <v>933</v>
      </c>
      <c r="E30" s="18" t="n">
        <v>18.58281277</v>
      </c>
      <c r="F30" s="20" t="n">
        <v>1.4233063</v>
      </c>
      <c r="G30" s="18" t="n">
        <v>18.46065486</v>
      </c>
      <c r="H30" s="20" t="n">
        <v>1.34510689</v>
      </c>
      <c r="I30" s="18" t="n">
        <v>57.94569964</v>
      </c>
      <c r="J30" s="20" t="n">
        <v>1.89495286</v>
      </c>
      <c r="K30" s="18" t="n">
        <v>0</v>
      </c>
      <c r="L30" s="20" t="n">
        <v>0</v>
      </c>
      <c r="M30" s="18" t="n">
        <v>0.7519521</v>
      </c>
      <c r="N30" s="20" t="n">
        <v>0.30734772</v>
      </c>
      <c r="O30" s="18" t="n">
        <v>0.19789139</v>
      </c>
      <c r="P30" s="20" t="n">
        <v>0.14037951</v>
      </c>
      <c r="Q30" s="18" t="n">
        <v>0</v>
      </c>
      <c r="R30" s="20" t="n">
        <v>0</v>
      </c>
      <c r="S30" s="18" t="n">
        <v>4.06098924</v>
      </c>
      <c r="T30" s="20" t="n">
        <v>0.68867102</v>
      </c>
    </row>
    <row r="31" spans="1:20">
      <c r="A31" s="15" t="s">
        <v>589</v>
      </c>
      <c r="B31" s="17" t="n">
        <v>5456</v>
      </c>
      <c r="C31" s="18">
        <f>(4275.0/B31*100)</f>
        <v/>
      </c>
      <c r="D31" s="19" t="n">
        <v>1181</v>
      </c>
      <c r="E31" s="18" t="n">
        <v>14.53407217</v>
      </c>
      <c r="F31" s="20" t="n">
        <v>1.00482031</v>
      </c>
      <c r="G31" s="18" t="n">
        <v>18.81106566</v>
      </c>
      <c r="H31" s="20" t="n">
        <v>1.08104762</v>
      </c>
      <c r="I31" s="18" t="n">
        <v>61.26278363</v>
      </c>
      <c r="J31" s="20" t="n">
        <v>1.39398585</v>
      </c>
      <c r="K31" s="18" t="n">
        <v>0</v>
      </c>
      <c r="L31" s="20" t="n">
        <v>0</v>
      </c>
      <c r="M31" s="18" t="n">
        <v>0.82772955</v>
      </c>
      <c r="N31" s="20" t="n">
        <v>0.25729142</v>
      </c>
      <c r="O31" s="18" t="n">
        <v>0.1662901</v>
      </c>
      <c r="P31" s="20" t="n">
        <v>0.12318314</v>
      </c>
      <c r="Q31" s="18" t="n">
        <v>0</v>
      </c>
      <c r="R31" s="20" t="n">
        <v>0</v>
      </c>
      <c r="S31" s="18" t="n">
        <v>4.39805889</v>
      </c>
      <c r="T31" s="20" t="n">
        <v>0.69450385</v>
      </c>
    </row>
    <row r="32" spans="1:20">
      <c r="A32" s="15" t="s">
        <v>590</v>
      </c>
      <c r="B32" s="17" t="n">
        <v>4478</v>
      </c>
      <c r="C32" s="18">
        <f>(3493.0/B32*100)</f>
        <v/>
      </c>
      <c r="D32" s="19" t="n">
        <v>985</v>
      </c>
      <c r="E32" s="18" t="n">
        <v>25.75318627</v>
      </c>
      <c r="F32" s="20" t="n">
        <v>1.40940011</v>
      </c>
      <c r="G32" s="18" t="n">
        <v>20.71760143</v>
      </c>
      <c r="H32" s="20" t="n">
        <v>1.55281363</v>
      </c>
      <c r="I32" s="18" t="n">
        <v>44.13302758</v>
      </c>
      <c r="J32" s="20" t="n">
        <v>1.76008009</v>
      </c>
      <c r="K32" s="18" t="n">
        <v>0</v>
      </c>
      <c r="L32" s="20" t="n">
        <v>0</v>
      </c>
      <c r="M32" s="18" t="n">
        <v>0.22578948</v>
      </c>
      <c r="N32" s="20" t="n">
        <v>0.1661118</v>
      </c>
      <c r="O32" s="18" t="n">
        <v>0.43218861</v>
      </c>
      <c r="P32" s="20" t="n">
        <v>0.46114366</v>
      </c>
      <c r="Q32" s="18" t="n">
        <v>0</v>
      </c>
      <c r="R32" s="20" t="n">
        <v>0</v>
      </c>
      <c r="S32" s="18" t="n">
        <v>8.738206630000001</v>
      </c>
      <c r="T32" s="20" t="n">
        <v>0.93777952</v>
      </c>
    </row>
    <row r="33" spans="1:20">
      <c r="A33" s="15" t="s">
        <v>591</v>
      </c>
      <c r="B33" s="17" t="n">
        <v>7325</v>
      </c>
      <c r="C33" s="18">
        <f>(5798.0/B33*100)</f>
        <v/>
      </c>
      <c r="D33" s="19" t="n">
        <v>1527</v>
      </c>
      <c r="E33" s="18" t="n">
        <v>22.95109916</v>
      </c>
      <c r="F33" s="20" t="n">
        <v>1.132871</v>
      </c>
      <c r="G33" s="18" t="n">
        <v>22.5111</v>
      </c>
      <c r="H33" s="20" t="n">
        <v>1.23672297</v>
      </c>
      <c r="I33" s="18" t="n">
        <v>47.03701665</v>
      </c>
      <c r="J33" s="20" t="n">
        <v>1.6263129</v>
      </c>
      <c r="K33" s="18" t="n">
        <v>0</v>
      </c>
      <c r="L33" s="20" t="n">
        <v>0</v>
      </c>
      <c r="M33" s="18" t="n">
        <v>0.89329787</v>
      </c>
      <c r="N33" s="20" t="n">
        <v>0.29796626</v>
      </c>
      <c r="O33" s="18" t="n">
        <v>0.26492529</v>
      </c>
      <c r="P33" s="20" t="n">
        <v>0.13730218</v>
      </c>
      <c r="Q33" s="18" t="n">
        <v>0</v>
      </c>
      <c r="R33" s="20" t="n">
        <v>0</v>
      </c>
      <c r="S33" s="18" t="n">
        <v>6.34256104</v>
      </c>
      <c r="T33" s="20" t="n">
        <v>0.73985638</v>
      </c>
    </row>
    <row r="34" spans="1:20">
      <c r="A34" s="15" t="s">
        <v>592</v>
      </c>
      <c r="B34" s="17" t="n">
        <v>6350</v>
      </c>
      <c r="C34" s="18">
        <f>(5013.0/B34*100)</f>
        <v/>
      </c>
      <c r="D34" s="19" t="n">
        <v>1337</v>
      </c>
      <c r="E34" s="18" t="n">
        <v>37.20591454</v>
      </c>
      <c r="F34" s="20" t="n">
        <v>1.28693162</v>
      </c>
      <c r="G34" s="18" t="n">
        <v>14.56935973</v>
      </c>
      <c r="H34" s="20" t="n">
        <v>1.00352888</v>
      </c>
      <c r="I34" s="18" t="n">
        <v>36.54847251</v>
      </c>
      <c r="J34" s="20" t="n">
        <v>1.40275503</v>
      </c>
      <c r="K34" s="18" t="n">
        <v>0</v>
      </c>
      <c r="L34" s="20" t="n">
        <v>0</v>
      </c>
      <c r="M34" s="18" t="n">
        <v>0.47599073</v>
      </c>
      <c r="N34" s="20" t="n">
        <v>0.18372393</v>
      </c>
      <c r="O34" s="18" t="n">
        <v>0.33266327</v>
      </c>
      <c r="P34" s="20" t="n">
        <v>0.2321866</v>
      </c>
      <c r="Q34" s="18" t="n">
        <v>0</v>
      </c>
      <c r="R34" s="20" t="n">
        <v>0</v>
      </c>
      <c r="S34" s="18" t="n">
        <v>10.86759921</v>
      </c>
      <c r="T34" s="20" t="n">
        <v>0.93015552</v>
      </c>
    </row>
    <row r="35" spans="1:20">
      <c r="A35" s="15" t="s">
        <v>593</v>
      </c>
      <c r="B35" s="17" t="n">
        <v>6406</v>
      </c>
      <c r="C35" s="18">
        <f>(5034.0/B35*100)</f>
        <v/>
      </c>
      <c r="D35" s="19" t="n">
        <v>1372</v>
      </c>
      <c r="E35" s="18" t="n">
        <v>25.28740494</v>
      </c>
      <c r="F35" s="20" t="n">
        <v>1.38996708</v>
      </c>
      <c r="G35" s="18" t="n">
        <v>24.37795919</v>
      </c>
      <c r="H35" s="20" t="n">
        <v>1.57744127</v>
      </c>
      <c r="I35" s="18" t="n">
        <v>44.83074216</v>
      </c>
      <c r="J35" s="20" t="n">
        <v>1.76636353</v>
      </c>
      <c r="K35" s="18" t="n">
        <v>0</v>
      </c>
      <c r="L35" s="20" t="n">
        <v>0</v>
      </c>
      <c r="M35" s="18" t="n">
        <v>0.6356192000000001</v>
      </c>
      <c r="N35" s="20" t="n">
        <v>0.40041428</v>
      </c>
      <c r="O35" s="18" t="n">
        <v>0.12359839</v>
      </c>
      <c r="P35" s="20" t="n">
        <v>0.12325776</v>
      </c>
      <c r="Q35" s="18" t="n">
        <v>0</v>
      </c>
      <c r="R35" s="20" t="n">
        <v>0</v>
      </c>
      <c r="S35" s="18" t="n">
        <v>4.74467612</v>
      </c>
      <c r="T35" s="20" t="n">
        <v>0.58530633</v>
      </c>
    </row>
    <row r="36" spans="1:20">
      <c r="A36" s="15" t="s">
        <v>594</v>
      </c>
      <c r="B36" s="17" t="n">
        <v>6736</v>
      </c>
      <c r="C36" s="18">
        <f>(5327.0/B36*100)</f>
        <v/>
      </c>
      <c r="D36" s="19" t="n">
        <v>1409</v>
      </c>
      <c r="E36" s="18" t="n">
        <v>25.80642172</v>
      </c>
      <c r="F36" s="20" t="n">
        <v>1.17848765</v>
      </c>
      <c r="G36" s="18" t="n">
        <v>30.16606971</v>
      </c>
      <c r="H36" s="20" t="n">
        <v>1.25116226</v>
      </c>
      <c r="I36" s="18" t="n">
        <v>40.37497812</v>
      </c>
      <c r="J36" s="20" t="n">
        <v>1.38767483</v>
      </c>
      <c r="K36" s="18" t="n">
        <v>0</v>
      </c>
      <c r="L36" s="20" t="n">
        <v>0</v>
      </c>
      <c r="M36" s="18" t="n">
        <v>0.48234998</v>
      </c>
      <c r="N36" s="20" t="n">
        <v>0.18460106</v>
      </c>
      <c r="O36" s="18" t="n">
        <v>0.13870092</v>
      </c>
      <c r="P36" s="20" t="n">
        <v>0.09630345</v>
      </c>
      <c r="Q36" s="18" t="n">
        <v>0</v>
      </c>
      <c r="R36" s="20" t="n">
        <v>0</v>
      </c>
      <c r="S36" s="18" t="n">
        <v>3.03147955</v>
      </c>
      <c r="T36" s="20" t="n">
        <v>0.44392915</v>
      </c>
    </row>
    <row r="37" spans="1:20">
      <c r="A37" s="15" t="s">
        <v>595</v>
      </c>
      <c r="B37" s="17" t="n">
        <v>5458</v>
      </c>
      <c r="C37" s="18">
        <f>(4304.0/B37*100)</f>
        <v/>
      </c>
      <c r="D37" s="19" t="n">
        <v>1154</v>
      </c>
      <c r="E37" s="18" t="n">
        <v>17.65775947</v>
      </c>
      <c r="F37" s="20" t="n">
        <v>1.36027593</v>
      </c>
      <c r="G37" s="18" t="n">
        <v>17.16416648</v>
      </c>
      <c r="H37" s="20" t="n">
        <v>1.13002111</v>
      </c>
      <c r="I37" s="18" t="n">
        <v>59.21781126</v>
      </c>
      <c r="J37" s="20" t="n">
        <v>1.92559993</v>
      </c>
      <c r="K37" s="18" t="n">
        <v>0</v>
      </c>
      <c r="L37" s="20" t="n">
        <v>0</v>
      </c>
      <c r="M37" s="18" t="n">
        <v>1.07518166</v>
      </c>
      <c r="N37" s="20" t="n">
        <v>0.36851928</v>
      </c>
      <c r="O37" s="18" t="n">
        <v>0.08097664</v>
      </c>
      <c r="P37" s="20" t="n">
        <v>0.08084703</v>
      </c>
      <c r="Q37" s="18" t="n">
        <v>0</v>
      </c>
      <c r="R37" s="20" t="n">
        <v>0</v>
      </c>
      <c r="S37" s="18" t="n">
        <v>4.80410449</v>
      </c>
      <c r="T37" s="20" t="n">
        <v>0.60290964</v>
      </c>
    </row>
    <row r="38" spans="1:20">
      <c r="A38" s="15" t="s">
        <v>596</v>
      </c>
      <c r="B38" s="17" t="n">
        <v>5860</v>
      </c>
      <c r="C38" s="18">
        <f>(4571.0/B38*100)</f>
        <v/>
      </c>
      <c r="D38" s="19" t="n">
        <v>1289</v>
      </c>
      <c r="E38" s="18" t="n">
        <v>22.47886388</v>
      </c>
      <c r="F38" s="20" t="n">
        <v>1.4445781</v>
      </c>
      <c r="G38" s="18" t="n">
        <v>24.21408826</v>
      </c>
      <c r="H38" s="20" t="n">
        <v>1.66049057</v>
      </c>
      <c r="I38" s="18" t="n">
        <v>45.02645935</v>
      </c>
      <c r="J38" s="20" t="n">
        <v>1.83468861</v>
      </c>
      <c r="K38" s="18" t="n">
        <v>0</v>
      </c>
      <c r="L38" s="20" t="n">
        <v>0</v>
      </c>
      <c r="M38" s="18" t="n">
        <v>0.28462584</v>
      </c>
      <c r="N38" s="20" t="n">
        <v>0.15772538</v>
      </c>
      <c r="O38" s="18" t="n">
        <v>1.8984926</v>
      </c>
      <c r="P38" s="20" t="n">
        <v>0.44191992</v>
      </c>
      <c r="Q38" s="18" t="n">
        <v>0</v>
      </c>
      <c r="R38" s="20" t="n">
        <v>0</v>
      </c>
      <c r="S38" s="18" t="n">
        <v>6.09747006</v>
      </c>
      <c r="T38" s="20" t="n">
        <v>0.70790278</v>
      </c>
    </row>
    <row r="39" spans="1:20">
      <c r="A39" s="15" t="s">
        <v>597</v>
      </c>
      <c r="B39" s="17" t="n">
        <v>5895</v>
      </c>
      <c r="C39" s="18">
        <f>(4594.0/B39*100)</f>
        <v/>
      </c>
      <c r="D39" s="19" t="n">
        <v>1301</v>
      </c>
      <c r="E39" s="18" t="n">
        <v>35.07138299</v>
      </c>
      <c r="F39" s="20" t="n">
        <v>1.34044873</v>
      </c>
      <c r="G39" s="18" t="n">
        <v>30.96290721</v>
      </c>
      <c r="H39" s="20" t="n">
        <v>1.44903078</v>
      </c>
      <c r="I39" s="18" t="n">
        <v>28.49439623</v>
      </c>
      <c r="J39" s="20" t="n">
        <v>1.41520151</v>
      </c>
      <c r="K39" s="18" t="n">
        <v>0</v>
      </c>
      <c r="L39" s="20" t="n">
        <v>0</v>
      </c>
      <c r="M39" s="18" t="n">
        <v>0.28323466</v>
      </c>
      <c r="N39" s="20" t="n">
        <v>0.14809201</v>
      </c>
      <c r="O39" s="18" t="n">
        <v>0</v>
      </c>
      <c r="P39" s="20" t="n">
        <v>0</v>
      </c>
      <c r="Q39" s="18" t="n">
        <v>0</v>
      </c>
      <c r="R39" s="20" t="n">
        <v>0</v>
      </c>
      <c r="S39" s="18" t="n">
        <v>5.1880789</v>
      </c>
      <c r="T39" s="20" t="n">
        <v>0.61685724</v>
      </c>
    </row>
    <row r="40" spans="1:20">
      <c r="A40" s="15" t="s">
        <v>598</v>
      </c>
      <c r="B40" s="17" t="n">
        <v>14157</v>
      </c>
      <c r="C40" s="18">
        <f>(10997.0/B40*100)</f>
        <v/>
      </c>
      <c r="D40" s="19" t="n">
        <v>3160</v>
      </c>
      <c r="E40" s="18" t="n">
        <v>29.4513058</v>
      </c>
      <c r="F40" s="20" t="n">
        <v>1.11723965</v>
      </c>
      <c r="G40" s="18" t="n">
        <v>16.05686313</v>
      </c>
      <c r="H40" s="20" t="n">
        <v>1.0643132</v>
      </c>
      <c r="I40" s="18" t="n">
        <v>49.66314037</v>
      </c>
      <c r="J40" s="20" t="n">
        <v>1.25916355</v>
      </c>
      <c r="K40" s="18" t="n">
        <v>0</v>
      </c>
      <c r="L40" s="20" t="n">
        <v>0</v>
      </c>
      <c r="M40" s="18" t="n">
        <v>0.50973245</v>
      </c>
      <c r="N40" s="20" t="n">
        <v>0.21444818</v>
      </c>
      <c r="O40" s="18" t="n">
        <v>0</v>
      </c>
      <c r="P40" s="20" t="n">
        <v>0</v>
      </c>
      <c r="Q40" s="18" t="n">
        <v>0</v>
      </c>
      <c r="R40" s="20" t="n">
        <v>0</v>
      </c>
      <c r="S40" s="18" t="n">
        <v>4.31895825</v>
      </c>
      <c r="T40" s="20" t="n">
        <v>0.58065453</v>
      </c>
    </row>
    <row r="41" spans="1:20">
      <c r="A41" s="15" t="s">
        <v>599</v>
      </c>
      <c r="B41" s="17" t="n">
        <v>5712</v>
      </c>
      <c r="C41" s="18">
        <f>(4494.0/B41*100)</f>
        <v/>
      </c>
      <c r="D41" s="19" t="n">
        <v>1218</v>
      </c>
      <c r="E41" s="18" t="n">
        <v>31.51173389</v>
      </c>
      <c r="F41" s="20" t="n">
        <v>1.8600589</v>
      </c>
      <c r="G41" s="18" t="n">
        <v>18.70062807</v>
      </c>
      <c r="H41" s="20" t="n">
        <v>1.49188709</v>
      </c>
      <c r="I41" s="18" t="n">
        <v>47.20099906</v>
      </c>
      <c r="J41" s="20" t="n">
        <v>2.1319586</v>
      </c>
      <c r="K41" s="18" t="n">
        <v>0</v>
      </c>
      <c r="L41" s="20" t="n">
        <v>0</v>
      </c>
      <c r="M41" s="18" t="n">
        <v>0.19634312</v>
      </c>
      <c r="N41" s="20" t="n">
        <v>0.15032024</v>
      </c>
      <c r="O41" s="18" t="n">
        <v>0</v>
      </c>
      <c r="P41" s="20" t="n">
        <v>0</v>
      </c>
      <c r="Q41" s="18" t="n">
        <v>0</v>
      </c>
      <c r="R41" s="20" t="n">
        <v>0</v>
      </c>
      <c r="S41" s="18" t="n">
        <v>2.39029587</v>
      </c>
      <c r="T41" s="20" t="n">
        <v>0.51274841</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(19493.0/B46*100)</f>
        <v/>
      </c>
      <c r="D46" s="19" t="n">
        <v>3648</v>
      </c>
      <c r="E46" s="18" t="n">
        <v>42.32707191</v>
      </c>
      <c r="F46" s="20" t="n">
        <v>1.247801</v>
      </c>
      <c r="G46" s="18" t="n">
        <v>14.05756228</v>
      </c>
      <c r="H46" s="20" t="n">
        <v>0.83610048</v>
      </c>
      <c r="I46" s="18" t="n">
        <v>28.36075055</v>
      </c>
      <c r="J46" s="20" t="n">
        <v>1.11132112</v>
      </c>
      <c r="K46" s="18" t="n">
        <v>0</v>
      </c>
      <c r="L46" s="20" t="n">
        <v>0</v>
      </c>
      <c r="M46" s="18" t="n">
        <v>1.76379965</v>
      </c>
      <c r="N46" s="20" t="n">
        <v>0.32910357</v>
      </c>
      <c r="O46" s="18" t="n">
        <v>0.39722505</v>
      </c>
      <c r="P46" s="20" t="n">
        <v>0.13933217</v>
      </c>
      <c r="Q46" s="18" t="n">
        <v>0</v>
      </c>
      <c r="R46" s="20" t="n">
        <v>0</v>
      </c>
      <c r="S46" s="18" t="n">
        <v>13.09359056</v>
      </c>
      <c r="T46" s="20" t="n">
        <v>0.84028265</v>
      </c>
    </row>
    <row r="47" spans="1:20">
      <c r="A47" s="15" t="s">
        <v>606</v>
      </c>
      <c r="B47" s="17" t="n">
        <v>5928</v>
      </c>
      <c r="C47" s="18">
        <f>(4683.0/B47*100)</f>
        <v/>
      </c>
      <c r="D47" s="19" t="n">
        <v>1245</v>
      </c>
      <c r="E47" s="18" t="n">
        <v>25.57064666</v>
      </c>
      <c r="F47" s="20" t="n">
        <v>1.25142519</v>
      </c>
      <c r="G47" s="18" t="n">
        <v>22.89187026</v>
      </c>
      <c r="H47" s="20" t="n">
        <v>1.24776903</v>
      </c>
      <c r="I47" s="18" t="n">
        <v>30.29492048</v>
      </c>
      <c r="J47" s="20" t="n">
        <v>1.53207665</v>
      </c>
      <c r="K47" s="18" t="n">
        <v>0</v>
      </c>
      <c r="L47" s="20" t="n">
        <v>0</v>
      </c>
      <c r="M47" s="18" t="n">
        <v>0.71828956</v>
      </c>
      <c r="N47" s="20" t="n">
        <v>0.27801808</v>
      </c>
      <c r="O47" s="18" t="n">
        <v>0.15917929</v>
      </c>
      <c r="P47" s="20" t="n">
        <v>0.11066897</v>
      </c>
      <c r="Q47" s="18" t="n">
        <v>0</v>
      </c>
      <c r="R47" s="20" t="n">
        <v>0</v>
      </c>
      <c r="S47" s="18" t="n">
        <v>20.36509375</v>
      </c>
      <c r="T47" s="20" t="n">
        <v>1.44823717</v>
      </c>
    </row>
    <row r="48" spans="1:20">
      <c r="A48" s="15" t="s">
        <v>607</v>
      </c>
      <c r="B48" s="17" t="n">
        <v>9841</v>
      </c>
      <c r="C48" s="18">
        <f>(7654.0/B48*100)</f>
        <v/>
      </c>
      <c r="D48" s="19" t="n">
        <v>2187</v>
      </c>
      <c r="E48" s="18" t="n">
        <v>17.19492078</v>
      </c>
      <c r="F48" s="20" t="n">
        <v>1.09482655</v>
      </c>
      <c r="G48" s="18" t="n">
        <v>26.03609426</v>
      </c>
      <c r="H48" s="20" t="n">
        <v>1.35528085</v>
      </c>
      <c r="I48" s="18" t="n">
        <v>49.54176313</v>
      </c>
      <c r="J48" s="20" t="n">
        <v>1.84760987</v>
      </c>
      <c r="K48" s="18" t="n">
        <v>0</v>
      </c>
      <c r="L48" s="20" t="n">
        <v>0</v>
      </c>
      <c r="M48" s="18" t="n">
        <v>0.62329967</v>
      </c>
      <c r="N48" s="20" t="n">
        <v>0.30029332</v>
      </c>
      <c r="O48" s="18" t="n">
        <v>0</v>
      </c>
      <c r="P48" s="20" t="n">
        <v>0</v>
      </c>
      <c r="Q48" s="18" t="n">
        <v>0</v>
      </c>
      <c r="R48" s="20" t="n">
        <v>0</v>
      </c>
      <c r="S48" s="18" t="n">
        <v>6.60392217</v>
      </c>
      <c r="T48" s="20" t="n">
        <v>0.91802147</v>
      </c>
    </row>
    <row r="49" spans="1:20">
      <c r="A49" s="15" t="s">
        <v>608</v>
      </c>
      <c r="B49" s="17" t="n">
        <v>11795</v>
      </c>
      <c r="C49" s="18">
        <f>(9330.0/B49*100)</f>
        <v/>
      </c>
      <c r="D49" s="19" t="n">
        <v>2465</v>
      </c>
      <c r="E49" s="18" t="n">
        <v>32.74317833</v>
      </c>
      <c r="F49" s="20" t="n">
        <v>1.29543671</v>
      </c>
      <c r="G49" s="18" t="n">
        <v>15.43526848</v>
      </c>
      <c r="H49" s="20" t="n">
        <v>1.04451725</v>
      </c>
      <c r="I49" s="18" t="n">
        <v>45.55345323</v>
      </c>
      <c r="J49" s="20" t="n">
        <v>1.63992106</v>
      </c>
      <c r="K49" s="18" t="n">
        <v>0</v>
      </c>
      <c r="L49" s="20" t="n">
        <v>0</v>
      </c>
      <c r="M49" s="18" t="n">
        <v>2.37200989</v>
      </c>
      <c r="N49" s="20" t="n">
        <v>0.44882106</v>
      </c>
      <c r="O49" s="18" t="n">
        <v>0.15433229</v>
      </c>
      <c r="P49" s="20" t="n">
        <v>0.08996568000000001</v>
      </c>
      <c r="Q49" s="18" t="n">
        <v>0</v>
      </c>
      <c r="R49" s="20" t="n">
        <v>0</v>
      </c>
      <c r="S49" s="18" t="n">
        <v>3.74175778</v>
      </c>
      <c r="T49" s="20" t="n">
        <v>0.43069961</v>
      </c>
    </row>
    <row r="50" spans="1:20">
      <c r="A50" s="15" t="s">
        <v>609</v>
      </c>
      <c r="B50" s="17" t="n">
        <v>6866</v>
      </c>
      <c r="C50" s="18">
        <f>(5639.0/B50*100)</f>
        <v/>
      </c>
      <c r="D50" s="19" t="n">
        <v>1227</v>
      </c>
      <c r="E50" s="18" t="n">
        <v>20.66943026</v>
      </c>
      <c r="F50" s="20" t="n">
        <v>1.06192733</v>
      </c>
      <c r="G50" s="18" t="n">
        <v>30.60240928</v>
      </c>
      <c r="H50" s="20" t="n">
        <v>1.43641485</v>
      </c>
      <c r="I50" s="18" t="n">
        <v>43.99982081</v>
      </c>
      <c r="J50" s="20" t="n">
        <v>1.66062454</v>
      </c>
      <c r="K50" s="18" t="n">
        <v>0</v>
      </c>
      <c r="L50" s="20" t="n">
        <v>0</v>
      </c>
      <c r="M50" s="18" t="n">
        <v>1.23061766</v>
      </c>
      <c r="N50" s="20" t="n">
        <v>0.38379234</v>
      </c>
      <c r="O50" s="18" t="n">
        <v>0</v>
      </c>
      <c r="P50" s="20" t="n">
        <v>0</v>
      </c>
      <c r="Q50" s="18" t="n">
        <v>0</v>
      </c>
      <c r="R50" s="20" t="n">
        <v>0</v>
      </c>
      <c r="S50" s="18" t="n">
        <v>3.49772199</v>
      </c>
      <c r="T50" s="20" t="n">
        <v>0.60264574</v>
      </c>
    </row>
    <row r="51" spans="1:20">
      <c r="A51" s="15" t="s">
        <v>610</v>
      </c>
      <c r="B51" s="17" t="n">
        <v>5809</v>
      </c>
      <c r="C51" s="18">
        <f>(4525.0/B51*100)</f>
        <v/>
      </c>
      <c r="D51" s="19" t="n">
        <v>1284</v>
      </c>
      <c r="E51" s="18" t="n">
        <v>25.59046456</v>
      </c>
      <c r="F51" s="20" t="n">
        <v>1.30925724</v>
      </c>
      <c r="G51" s="18" t="n">
        <v>21.65646111</v>
      </c>
      <c r="H51" s="20" t="n">
        <v>1.16828144</v>
      </c>
      <c r="I51" s="18" t="n">
        <v>44.66733874</v>
      </c>
      <c r="J51" s="20" t="n">
        <v>1.40036297</v>
      </c>
      <c r="K51" s="18" t="n">
        <v>0</v>
      </c>
      <c r="L51" s="20" t="n">
        <v>0</v>
      </c>
      <c r="M51" s="18" t="n">
        <v>0.12856554</v>
      </c>
      <c r="N51" s="20" t="n">
        <v>0.09215944</v>
      </c>
      <c r="O51" s="18" t="n">
        <v>0</v>
      </c>
      <c r="P51" s="20" t="n">
        <v>0</v>
      </c>
      <c r="Q51" s="18" t="n">
        <v>0</v>
      </c>
      <c r="R51" s="20" t="n">
        <v>0</v>
      </c>
      <c r="S51" s="18" t="n">
        <v>7.95717004</v>
      </c>
      <c r="T51" s="20" t="n">
        <v>0.69016051</v>
      </c>
    </row>
    <row r="52" spans="1:20">
      <c r="A52" s="15" t="s">
        <v>611</v>
      </c>
      <c r="B52" s="17" t="n">
        <v>5571</v>
      </c>
      <c r="C52" s="18">
        <f>(4365.0/B52*100)</f>
        <v/>
      </c>
      <c r="D52" s="19" t="n">
        <v>1206</v>
      </c>
      <c r="E52" s="18" t="n">
        <v>34.60632219</v>
      </c>
      <c r="F52" s="20" t="n">
        <v>1.51149455</v>
      </c>
      <c r="G52" s="18" t="n">
        <v>27.46106424</v>
      </c>
      <c r="H52" s="20" t="n">
        <v>1.43766031</v>
      </c>
      <c r="I52" s="18" t="n">
        <v>22.5323951</v>
      </c>
      <c r="J52" s="20" t="n">
        <v>1.23213042</v>
      </c>
      <c r="K52" s="18" t="n">
        <v>0</v>
      </c>
      <c r="L52" s="20" t="n">
        <v>0</v>
      </c>
      <c r="M52" s="18" t="n">
        <v>0.5572660699999999</v>
      </c>
      <c r="N52" s="20" t="n">
        <v>0.24836415</v>
      </c>
      <c r="O52" s="18" t="n">
        <v>0</v>
      </c>
      <c r="P52" s="20" t="n">
        <v>0</v>
      </c>
      <c r="Q52" s="18" t="n">
        <v>0</v>
      </c>
      <c r="R52" s="20" t="n">
        <v>0</v>
      </c>
      <c r="S52" s="18" t="n">
        <v>14.84295241</v>
      </c>
      <c r="T52" s="20" t="n">
        <v>1.16547652</v>
      </c>
    </row>
    <row r="53" spans="1:20">
      <c r="A53" s="15" t="s">
        <v>612</v>
      </c>
      <c r="B53" s="17" t="n">
        <v>4740</v>
      </c>
      <c r="C53" s="18">
        <f>(3730.0/B53*100)</f>
        <v/>
      </c>
      <c r="D53" s="19" t="n">
        <v>1010</v>
      </c>
      <c r="E53" s="18" t="n">
        <v>44.01432474</v>
      </c>
      <c r="F53" s="20" t="n">
        <v>1.74206316</v>
      </c>
      <c r="G53" s="18" t="n">
        <v>8.33634808</v>
      </c>
      <c r="H53" s="20" t="n">
        <v>0.84944728</v>
      </c>
      <c r="I53" s="18" t="n">
        <v>19.22164719</v>
      </c>
      <c r="J53" s="20" t="n">
        <v>1.23010838</v>
      </c>
      <c r="K53" s="18" t="n">
        <v>0</v>
      </c>
      <c r="L53" s="20" t="n">
        <v>0</v>
      </c>
      <c r="M53" s="18" t="n">
        <v>16.34072486</v>
      </c>
      <c r="N53" s="20" t="n">
        <v>1.38822722</v>
      </c>
      <c r="O53" s="18" t="n">
        <v>0.80178274</v>
      </c>
      <c r="P53" s="20" t="n">
        <v>0.66820507</v>
      </c>
      <c r="Q53" s="18" t="n">
        <v>0</v>
      </c>
      <c r="R53" s="20" t="n">
        <v>0</v>
      </c>
      <c r="S53" s="18" t="n">
        <v>11.28517239</v>
      </c>
      <c r="T53" s="20" t="n">
        <v>1.19848142</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(4208.0/B55*100)</f>
        <v/>
      </c>
      <c r="D55" s="19" t="n">
        <v>1151</v>
      </c>
      <c r="E55" s="18" t="n">
        <v>20.28466766</v>
      </c>
      <c r="F55" s="20" t="n">
        <v>1.17859998</v>
      </c>
      <c r="G55" s="18" t="n">
        <v>25.68444561</v>
      </c>
      <c r="H55" s="20" t="n">
        <v>1.31389373</v>
      </c>
      <c r="I55" s="18" t="n">
        <v>49.84781117</v>
      </c>
      <c r="J55" s="20" t="n">
        <v>1.57459547</v>
      </c>
      <c r="K55" s="18" t="n">
        <v>0</v>
      </c>
      <c r="L55" s="20" t="n">
        <v>0</v>
      </c>
      <c r="M55" s="18" t="n">
        <v>0.16850143</v>
      </c>
      <c r="N55" s="20" t="n">
        <v>0.11946414</v>
      </c>
      <c r="O55" s="18" t="n">
        <v>0</v>
      </c>
      <c r="P55" s="20" t="n">
        <v>0</v>
      </c>
      <c r="Q55" s="18" t="n">
        <v>0</v>
      </c>
      <c r="R55" s="20" t="n">
        <v>0</v>
      </c>
      <c r="S55" s="18" t="n">
        <v>4.01457413</v>
      </c>
      <c r="T55" s="20" t="n">
        <v>0.43100884</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(5079.0/B61*100)</f>
        <v/>
      </c>
      <c r="D61" s="19" t="n">
        <v>1446</v>
      </c>
      <c r="E61" s="18" t="n">
        <v>33.44259531</v>
      </c>
      <c r="F61" s="20" t="n">
        <v>1.51190062</v>
      </c>
      <c r="G61" s="18" t="n">
        <v>20.54557987</v>
      </c>
      <c r="H61" s="20" t="n">
        <v>1.38835626</v>
      </c>
      <c r="I61" s="18" t="n">
        <v>37.22673812</v>
      </c>
      <c r="J61" s="20" t="n">
        <v>1.43916874</v>
      </c>
      <c r="K61" s="18" t="n">
        <v>0</v>
      </c>
      <c r="L61" s="20" t="n">
        <v>0</v>
      </c>
      <c r="M61" s="18" t="n">
        <v>0.34039118</v>
      </c>
      <c r="N61" s="20" t="n">
        <v>0.15618901</v>
      </c>
      <c r="O61" s="18" t="n">
        <v>0.08377361999999999</v>
      </c>
      <c r="P61" s="20" t="n">
        <v>0.08276685</v>
      </c>
      <c r="Q61" s="18" t="n">
        <v>0</v>
      </c>
      <c r="R61" s="20" t="n">
        <v>0</v>
      </c>
      <c r="S61" s="18" t="n">
        <v>8.36092191</v>
      </c>
      <c r="T61" s="20" t="n">
        <v>0.78941626</v>
      </c>
    </row>
    <row r="62" spans="1:20">
      <c r="A62" s="15" t="s">
        <v>622</v>
      </c>
      <c r="B62" s="17" t="n">
        <v>4476</v>
      </c>
      <c r="C62" s="18">
        <f>(3518.0/B62*100)</f>
        <v/>
      </c>
      <c r="D62" s="19" t="n">
        <v>958</v>
      </c>
      <c r="E62" s="18" t="n">
        <v>23.01472169</v>
      </c>
      <c r="F62" s="20" t="n">
        <v>1.25923382</v>
      </c>
      <c r="G62" s="18" t="n">
        <v>23.57275739</v>
      </c>
      <c r="H62" s="20" t="n">
        <v>1.30609603</v>
      </c>
      <c r="I62" s="18" t="n">
        <v>52.16106724</v>
      </c>
      <c r="J62" s="20" t="n">
        <v>1.45962448</v>
      </c>
      <c r="K62" s="18" t="n">
        <v>0</v>
      </c>
      <c r="L62" s="20" t="n">
        <v>0</v>
      </c>
      <c r="M62" s="18" t="n">
        <v>0</v>
      </c>
      <c r="N62" s="20" t="n">
        <v>0</v>
      </c>
      <c r="O62" s="18" t="n">
        <v>0</v>
      </c>
      <c r="P62" s="20" t="n">
        <v>0</v>
      </c>
      <c r="Q62" s="18" t="n">
        <v>0</v>
      </c>
      <c r="R62" s="20" t="n">
        <v>0</v>
      </c>
      <c r="S62" s="18" t="n">
        <v>1.25145368</v>
      </c>
      <c r="T62" s="20" t="n">
        <v>0.31968366</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(4497.0/B67*100)</f>
        <v/>
      </c>
      <c r="D67" s="19" t="n">
        <v>1168</v>
      </c>
      <c r="E67" s="18" t="n">
        <v>23.2863469</v>
      </c>
      <c r="F67" s="20" t="n">
        <v>1.27460692</v>
      </c>
      <c r="G67" s="18" t="n">
        <v>17.96819377</v>
      </c>
      <c r="H67" s="20" t="n">
        <v>1.31596398</v>
      </c>
      <c r="I67" s="18" t="n">
        <v>32.78765855</v>
      </c>
      <c r="J67" s="20" t="n">
        <v>1.45381429</v>
      </c>
      <c r="K67" s="18" t="n">
        <v>0</v>
      </c>
      <c r="L67" s="20" t="n">
        <v>0</v>
      </c>
      <c r="M67" s="18" t="n">
        <v>1.15798102</v>
      </c>
      <c r="N67" s="20" t="n">
        <v>0.30676407</v>
      </c>
      <c r="O67" s="18" t="n">
        <v>0.50466577</v>
      </c>
      <c r="P67" s="20" t="n">
        <v>0.1984044</v>
      </c>
      <c r="Q67" s="18" t="n">
        <v>0</v>
      </c>
      <c r="R67" s="20" t="n">
        <v>0</v>
      </c>
      <c r="S67" s="18" t="n">
        <v>24.29515398</v>
      </c>
      <c r="T67" s="20" t="n">
        <v>1.17239872</v>
      </c>
    </row>
    <row r="68" spans="1:20">
      <c r="A68" s="15" t="s">
        <v>628</v>
      </c>
      <c r="B68" s="17" t="n">
        <v>6971</v>
      </c>
      <c r="C68" s="18">
        <f>(5726.0/B68*100)</f>
        <v/>
      </c>
      <c r="D68" s="19" t="n">
        <v>1245</v>
      </c>
      <c r="E68" s="18" t="n">
        <v>50.8891042</v>
      </c>
      <c r="F68" s="20" t="n">
        <v>1.57857501</v>
      </c>
      <c r="G68" s="18" t="n">
        <v>11.40058012</v>
      </c>
      <c r="H68" s="20" t="n">
        <v>1.02944371</v>
      </c>
      <c r="I68" s="18" t="n">
        <v>32.459809</v>
      </c>
      <c r="J68" s="20" t="n">
        <v>1.27314246</v>
      </c>
      <c r="K68" s="18" t="n">
        <v>0</v>
      </c>
      <c r="L68" s="20" t="n">
        <v>0</v>
      </c>
      <c r="M68" s="18" t="n">
        <v>0.34615648</v>
      </c>
      <c r="N68" s="20" t="n">
        <v>0.17420137</v>
      </c>
      <c r="O68" s="18" t="n">
        <v>0.32713188</v>
      </c>
      <c r="P68" s="20" t="n">
        <v>0.16439325</v>
      </c>
      <c r="Q68" s="18" t="n">
        <v>0</v>
      </c>
      <c r="R68" s="20" t="n">
        <v>0</v>
      </c>
      <c r="S68" s="18" t="n">
        <v>4.57721833</v>
      </c>
      <c r="T68" s="20" t="n">
        <v>0.6412981</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(9452.0/B70*100)</f>
        <v/>
      </c>
      <c r="D70" s="19" t="n">
        <v>2631</v>
      </c>
      <c r="E70" s="18" t="n">
        <v>56.80546998</v>
      </c>
      <c r="F70" s="20" t="n">
        <v>0.82855324</v>
      </c>
      <c r="G70" s="18" t="n">
        <v>13.54710579</v>
      </c>
      <c r="H70" s="20" t="n">
        <v>0.71948148</v>
      </c>
      <c r="I70" s="18" t="n">
        <v>19.09323436</v>
      </c>
      <c r="J70" s="20" t="n">
        <v>0.74784407</v>
      </c>
      <c r="K70" s="18" t="n">
        <v>0</v>
      </c>
      <c r="L70" s="20" t="n">
        <v>0</v>
      </c>
      <c r="M70" s="18" t="n">
        <v>2.84255542</v>
      </c>
      <c r="N70" s="20" t="n">
        <v>0.33583337</v>
      </c>
      <c r="O70" s="18" t="n">
        <v>0.03679913</v>
      </c>
      <c r="P70" s="20" t="n">
        <v>0.0368487</v>
      </c>
      <c r="Q70" s="18" t="n">
        <v>0</v>
      </c>
      <c r="R70" s="20" t="n">
        <v>0</v>
      </c>
      <c r="S70" s="18" t="n">
        <v>7.67483532</v>
      </c>
      <c r="T70" s="20" t="n">
        <v>0.55913529</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(4758.0/B72*100)</f>
        <v/>
      </c>
      <c r="D72" s="19" t="n">
        <v>1278</v>
      </c>
      <c r="E72" s="18" t="n">
        <v>22.27450317</v>
      </c>
      <c r="F72" s="20" t="n">
        <v>1.61943889</v>
      </c>
      <c r="G72" s="18" t="n">
        <v>21.11148078</v>
      </c>
      <c r="H72" s="20" t="n">
        <v>1.44470052</v>
      </c>
      <c r="I72" s="18" t="n">
        <v>48.77426133</v>
      </c>
      <c r="J72" s="20" t="n">
        <v>1.64326973</v>
      </c>
      <c r="K72" s="18" t="n">
        <v>0</v>
      </c>
      <c r="L72" s="20" t="n">
        <v>0</v>
      </c>
      <c r="M72" s="18" t="n">
        <v>0.53208663</v>
      </c>
      <c r="N72" s="20" t="n">
        <v>0.24913653</v>
      </c>
      <c r="O72" s="18" t="n">
        <v>0.05449828</v>
      </c>
      <c r="P72" s="20" t="n">
        <v>0.03865401</v>
      </c>
      <c r="Q72" s="18" t="n">
        <v>0</v>
      </c>
      <c r="R72" s="20" t="n">
        <v>0</v>
      </c>
      <c r="S72" s="18" t="n">
        <v>7.25316981</v>
      </c>
      <c r="T72" s="20" t="n">
        <v>0.87240722</v>
      </c>
    </row>
    <row r="73" spans="1:20">
      <c r="A73" s="15" t="s">
        <v>633</v>
      </c>
      <c r="B73" s="17" t="n">
        <v>6115</v>
      </c>
      <c r="C73" s="18">
        <f>(4746.0/B73*100)</f>
        <v/>
      </c>
      <c r="D73" s="19" t="n">
        <v>1369</v>
      </c>
      <c r="E73" s="18" t="n">
        <v>20.28537722</v>
      </c>
      <c r="F73" s="20" t="n">
        <v>1.28930907</v>
      </c>
      <c r="G73" s="18" t="n">
        <v>16.36354826</v>
      </c>
      <c r="H73" s="20" t="n">
        <v>1.28309091</v>
      </c>
      <c r="I73" s="18" t="n">
        <v>61.46727429</v>
      </c>
      <c r="J73" s="20" t="n">
        <v>1.591818</v>
      </c>
      <c r="K73" s="18" t="n">
        <v>0</v>
      </c>
      <c r="L73" s="20" t="n">
        <v>0</v>
      </c>
      <c r="M73" s="18" t="n">
        <v>0.38416356</v>
      </c>
      <c r="N73" s="20" t="n">
        <v>0.16261105</v>
      </c>
      <c r="O73" s="18" t="n">
        <v>0</v>
      </c>
      <c r="P73" s="20" t="n">
        <v>0</v>
      </c>
      <c r="Q73" s="18" t="n">
        <v>0</v>
      </c>
      <c r="R73" s="20" t="n">
        <v>0</v>
      </c>
      <c r="S73" s="18" t="n">
        <v>1.49963666</v>
      </c>
      <c r="T73" s="20" t="n">
        <v>0.36001167</v>
      </c>
    </row>
    <row r="74" spans="1:20">
      <c r="A74" s="15" t="s">
        <v>634</v>
      </c>
      <c r="B74" s="17" t="n">
        <v>7708</v>
      </c>
      <c r="C74" s="18">
        <f>(5960.0/B74*100)</f>
        <v/>
      </c>
      <c r="D74" s="19" t="n">
        <v>1748</v>
      </c>
      <c r="E74" s="18" t="n">
        <v>20.43675113</v>
      </c>
      <c r="F74" s="20" t="n">
        <v>1.06446908</v>
      </c>
      <c r="G74" s="18" t="n">
        <v>19.86267581</v>
      </c>
      <c r="H74" s="20" t="n">
        <v>1.15009251</v>
      </c>
      <c r="I74" s="18" t="n">
        <v>54.00465385</v>
      </c>
      <c r="J74" s="20" t="n">
        <v>1.28352444</v>
      </c>
      <c r="K74" s="18" t="n">
        <v>0</v>
      </c>
      <c r="L74" s="20" t="n">
        <v>0</v>
      </c>
      <c r="M74" s="18" t="n">
        <v>0.24092881</v>
      </c>
      <c r="N74" s="20" t="n">
        <v>0.12584603</v>
      </c>
      <c r="O74" s="18" t="n">
        <v>0</v>
      </c>
      <c r="P74" s="20" t="n">
        <v>0</v>
      </c>
      <c r="Q74" s="18" t="n">
        <v>0</v>
      </c>
      <c r="R74" s="20" t="n">
        <v>0</v>
      </c>
      <c r="S74" s="18" t="n">
        <v>5.45499039</v>
      </c>
      <c r="T74" s="20" t="n">
        <v>0.64391168</v>
      </c>
    </row>
    <row r="75" spans="1:20">
      <c r="A75" s="15" t="s">
        <v>635</v>
      </c>
      <c r="B75" s="17" t="n">
        <v>8249</v>
      </c>
      <c r="C75" s="18">
        <f>(6547.0/B75*100)</f>
        <v/>
      </c>
      <c r="D75" s="19" t="n">
        <v>1702</v>
      </c>
      <c r="E75" s="18" t="n">
        <v>50.45160563</v>
      </c>
      <c r="F75" s="20" t="n">
        <v>1.42860293</v>
      </c>
      <c r="G75" s="18" t="n">
        <v>19.67461642</v>
      </c>
      <c r="H75" s="20" t="n">
        <v>1.29852839</v>
      </c>
      <c r="I75" s="18" t="n">
        <v>27.04943469</v>
      </c>
      <c r="J75" s="20" t="n">
        <v>1.4724089</v>
      </c>
      <c r="K75" s="18" t="n">
        <v>0</v>
      </c>
      <c r="L75" s="20" t="n">
        <v>0</v>
      </c>
      <c r="M75" s="18" t="n">
        <v>0.24723093</v>
      </c>
      <c r="N75" s="20" t="n">
        <v>0.1413415</v>
      </c>
      <c r="O75" s="18" t="n">
        <v>0.59222737</v>
      </c>
      <c r="P75" s="20" t="n">
        <v>0.22665578</v>
      </c>
      <c r="Q75" s="18" t="n">
        <v>0</v>
      </c>
      <c r="R75" s="20" t="n">
        <v>0</v>
      </c>
      <c r="S75" s="18" t="n">
        <v>1.98488495</v>
      </c>
      <c r="T75" s="20" t="n">
        <v>0.33965963</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(4340.0/B77*100)</f>
        <v/>
      </c>
      <c r="D77" s="19" t="n">
        <v>1035</v>
      </c>
      <c r="E77" s="18" t="n">
        <v>55.95333897</v>
      </c>
      <c r="F77" s="20" t="n">
        <v>1.80489446</v>
      </c>
      <c r="G77" s="18" t="n">
        <v>13.42404363</v>
      </c>
      <c r="H77" s="20" t="n">
        <v>1.11088508</v>
      </c>
      <c r="I77" s="18" t="n">
        <v>6.3160872</v>
      </c>
      <c r="J77" s="20" t="n">
        <v>0.79336023</v>
      </c>
      <c r="K77" s="18" t="n">
        <v>0</v>
      </c>
      <c r="L77" s="20" t="n">
        <v>0</v>
      </c>
      <c r="M77" s="18" t="n">
        <v>3.69765579</v>
      </c>
      <c r="N77" s="20" t="n">
        <v>0.7433701700000001</v>
      </c>
      <c r="O77" s="18" t="n">
        <v>0.7662719</v>
      </c>
      <c r="P77" s="20" t="n">
        <v>0.27177325</v>
      </c>
      <c r="Q77" s="18" t="n">
        <v>0</v>
      </c>
      <c r="R77" s="20" t="n">
        <v>0</v>
      </c>
      <c r="S77" s="18" t="n">
        <v>19.84260251</v>
      </c>
      <c r="T77" s="20" t="n">
        <v>1.5365594</v>
      </c>
    </row>
    <row r="78" spans="1:20">
      <c r="A78" s="15" t="s">
        <v>638</v>
      </c>
      <c r="B78" s="17" t="n">
        <v>14167</v>
      </c>
      <c r="C78" s="18">
        <f>(11068.0/B78*100)</f>
        <v/>
      </c>
      <c r="D78" s="19" t="n">
        <v>3099</v>
      </c>
      <c r="E78" s="18" t="n">
        <v>49.63532165</v>
      </c>
      <c r="F78" s="20" t="n">
        <v>1.36640848</v>
      </c>
      <c r="G78" s="18" t="n">
        <v>14.25819943</v>
      </c>
      <c r="H78" s="20" t="n">
        <v>0.93187584</v>
      </c>
      <c r="I78" s="18" t="n">
        <v>30.62777768</v>
      </c>
      <c r="J78" s="20" t="n">
        <v>1.19676073</v>
      </c>
      <c r="K78" s="18" t="n">
        <v>0</v>
      </c>
      <c r="L78" s="20" t="n">
        <v>0</v>
      </c>
      <c r="M78" s="18" t="n">
        <v>0.83786184</v>
      </c>
      <c r="N78" s="20" t="n">
        <v>0.17470199</v>
      </c>
      <c r="O78" s="18" t="n">
        <v>0.19308738</v>
      </c>
      <c r="P78" s="20" t="n">
        <v>0.08205728</v>
      </c>
      <c r="Q78" s="18" t="n">
        <v>0</v>
      </c>
      <c r="R78" s="20" t="n">
        <v>0</v>
      </c>
      <c r="S78" s="18" t="n">
        <v>4.44775202</v>
      </c>
      <c r="T78" s="20" t="n">
        <v>0.52601821</v>
      </c>
    </row>
    <row r="79" spans="1:20">
      <c r="A79" s="15" t="s">
        <v>639</v>
      </c>
      <c r="B79" s="17" t="n">
        <v>6062</v>
      </c>
      <c r="C79" s="18">
        <f>(4797.0/B79*100)</f>
        <v/>
      </c>
      <c r="D79" s="19" t="n">
        <v>1265</v>
      </c>
      <c r="E79" s="18" t="n">
        <v>14.91808611</v>
      </c>
      <c r="F79" s="20" t="n">
        <v>1.072398</v>
      </c>
      <c r="G79" s="18" t="n">
        <v>22.49379938</v>
      </c>
      <c r="H79" s="20" t="n">
        <v>1.27059206</v>
      </c>
      <c r="I79" s="18" t="n">
        <v>50.31605716</v>
      </c>
      <c r="J79" s="20" t="n">
        <v>1.42662219</v>
      </c>
      <c r="K79" s="18" t="n">
        <v>0</v>
      </c>
      <c r="L79" s="20" t="n">
        <v>0</v>
      </c>
      <c r="M79" s="18" t="n">
        <v>1.31706269</v>
      </c>
      <c r="N79" s="20" t="n">
        <v>0.31248179</v>
      </c>
      <c r="O79" s="18" t="n">
        <v>0</v>
      </c>
      <c r="P79" s="20" t="n">
        <v>0</v>
      </c>
      <c r="Q79" s="18" t="n">
        <v>0</v>
      </c>
      <c r="R79" s="20" t="n">
        <v>0</v>
      </c>
      <c r="S79" s="18" t="n">
        <v>10.95499465</v>
      </c>
      <c r="T79" s="20" t="n">
        <v>0.99536706</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(25410.0/B82*100)</f>
        <v/>
      </c>
      <c r="D82" s="19" t="n">
        <v>6920</v>
      </c>
      <c r="E82" s="18" t="n">
        <v>24.49938046</v>
      </c>
      <c r="F82" s="20" t="n">
        <v>0.71874604</v>
      </c>
      <c r="G82" s="18" t="n">
        <v>28.80559276</v>
      </c>
      <c r="H82" s="20" t="n">
        <v>0.86508683</v>
      </c>
      <c r="I82" s="18" t="n">
        <v>42.86795717</v>
      </c>
      <c r="J82" s="20" t="n">
        <v>0.89012434</v>
      </c>
      <c r="K82" s="18" t="n">
        <v>0</v>
      </c>
      <c r="L82" s="20" t="n">
        <v>0</v>
      </c>
      <c r="M82" s="18" t="n">
        <v>0.40584381</v>
      </c>
      <c r="N82" s="20" t="n">
        <v>0.11859964</v>
      </c>
      <c r="O82" s="18" t="n">
        <v>0.09629032</v>
      </c>
      <c r="P82" s="20" t="n">
        <v>0.06443098999999999</v>
      </c>
      <c r="Q82" s="18" t="n">
        <v>0</v>
      </c>
      <c r="R82" s="20" t="n">
        <v>0</v>
      </c>
      <c r="S82" s="18" t="n">
        <v>3.32493548</v>
      </c>
      <c r="T82" s="20" t="n">
        <v>0.29697581</v>
      </c>
    </row>
    <row r="83" spans="1:20">
      <c r="A83" s="15" t="s">
        <v>643</v>
      </c>
      <c r="B83" s="17" t="n">
        <v>1652</v>
      </c>
      <c r="C83" s="18">
        <f>(1305.0/B83*100)</f>
        <v/>
      </c>
      <c r="D83" s="19" t="n">
        <v>347</v>
      </c>
      <c r="E83" s="18" t="n">
        <v>29.30538606</v>
      </c>
      <c r="F83" s="20" t="n">
        <v>2.84644831</v>
      </c>
      <c r="G83" s="18" t="n">
        <v>18.86638106</v>
      </c>
      <c r="H83" s="20" t="n">
        <v>1.88871937</v>
      </c>
      <c r="I83" s="18" t="n">
        <v>50.56265075</v>
      </c>
      <c r="J83" s="20" t="n">
        <v>3.07938681</v>
      </c>
      <c r="K83" s="18" t="n">
        <v>0</v>
      </c>
      <c r="L83" s="20" t="n">
        <v>0</v>
      </c>
      <c r="M83" s="18" t="n">
        <v>0</v>
      </c>
      <c r="N83" s="20" t="n">
        <v>0</v>
      </c>
      <c r="O83" s="18" t="n">
        <v>0</v>
      </c>
      <c r="P83" s="20" t="n">
        <v>0</v>
      </c>
      <c r="Q83" s="18" t="n">
        <v>0</v>
      </c>
      <c r="R83" s="20" t="n">
        <v>0</v>
      </c>
      <c r="S83" s="18" t="n">
        <v>1.26558213</v>
      </c>
      <c r="T83" s="20" t="n">
        <v>0.5782351100000001</v>
      </c>
    </row>
    <row r="84" spans="1:20">
      <c r="A84" s="23" t="s">
        <v>644</v>
      </c>
      <c r="B84" s="24" t="n">
        <v>1887</v>
      </c>
      <c r="C84" s="25">
        <f>(1480.0/B84*100)</f>
        <v/>
      </c>
      <c r="D84" s="19" t="n">
        <v>407</v>
      </c>
      <c r="E84" s="18" t="n">
        <v>35.47389258</v>
      </c>
      <c r="F84" s="20" t="n">
        <v>2.62247621</v>
      </c>
      <c r="G84" s="18" t="n">
        <v>20.81478756</v>
      </c>
      <c r="H84" s="20" t="n">
        <v>1.64395881</v>
      </c>
      <c r="I84" s="18" t="n">
        <v>41.27306796</v>
      </c>
      <c r="J84" s="20" t="n">
        <v>2.1963685</v>
      </c>
      <c r="K84" s="18" t="n">
        <v>0</v>
      </c>
      <c r="L84" s="20" t="n">
        <v>0</v>
      </c>
      <c r="M84" s="18" t="n">
        <v>0</v>
      </c>
      <c r="N84" s="20" t="n">
        <v>0</v>
      </c>
      <c r="O84" s="18" t="n">
        <v>0</v>
      </c>
      <c r="P84" s="20" t="n">
        <v>0</v>
      </c>
      <c r="Q84" s="18" t="n">
        <v>0</v>
      </c>
      <c r="R84" s="20" t="n">
        <v>0</v>
      </c>
      <c r="S84" s="18" t="n">
        <v>2.4382519</v>
      </c>
      <c r="T84" s="20" t="n">
        <v>0.79805892</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(11415.0/B7*100)</f>
        <v/>
      </c>
      <c r="D7" s="19" t="n">
        <v>3115</v>
      </c>
      <c r="E7" s="18" t="n">
        <v>54.11919123</v>
      </c>
      <c r="F7" s="20" t="n">
        <v>1.09449777</v>
      </c>
      <c r="G7" s="18" t="n">
        <v>44.67016945</v>
      </c>
      <c r="H7" s="20" t="n">
        <v>1.13540452</v>
      </c>
      <c r="I7" s="18" t="n">
        <v>0</v>
      </c>
      <c r="J7" s="20" t="n">
        <v>0</v>
      </c>
      <c r="K7" s="18" t="n">
        <v>0.51676795</v>
      </c>
      <c r="L7" s="20" t="n">
        <v>0.13837236</v>
      </c>
      <c r="M7" s="18" t="n">
        <v>0</v>
      </c>
      <c r="N7" s="20" t="n">
        <v>0</v>
      </c>
      <c r="O7" s="18" t="n">
        <v>0</v>
      </c>
      <c r="P7" s="20" t="n">
        <v>0</v>
      </c>
      <c r="Q7" s="18" t="n">
        <v>0.69387137</v>
      </c>
      <c r="R7" s="20" t="n">
        <v>0.16004476</v>
      </c>
    </row>
    <row r="8" spans="1:18">
      <c r="A8" s="15" t="s">
        <v>566</v>
      </c>
      <c r="B8" s="17" t="n">
        <v>7007</v>
      </c>
      <c r="C8" s="18">
        <f>(5471.0/B8*100)</f>
        <v/>
      </c>
      <c r="D8" s="19" t="n">
        <v>1536</v>
      </c>
      <c r="E8" s="18" t="n">
        <v>51.51555936</v>
      </c>
      <c r="F8" s="20" t="n">
        <v>1.36706091</v>
      </c>
      <c r="G8" s="18" t="n">
        <v>48.16922476</v>
      </c>
      <c r="H8" s="20" t="n">
        <v>1.37349816</v>
      </c>
      <c r="I8" s="18" t="n">
        <v>0</v>
      </c>
      <c r="J8" s="20" t="n">
        <v>0</v>
      </c>
      <c r="K8" s="18" t="n">
        <v>0.1426135</v>
      </c>
      <c r="L8" s="20" t="n">
        <v>0.10833806</v>
      </c>
      <c r="M8" s="18" t="n">
        <v>0</v>
      </c>
      <c r="N8" s="20" t="n">
        <v>0</v>
      </c>
      <c r="O8" s="18" t="n">
        <v>0</v>
      </c>
      <c r="P8" s="20" t="n">
        <v>0</v>
      </c>
      <c r="Q8" s="18" t="n">
        <v>0.17260238</v>
      </c>
      <c r="R8" s="20" t="n">
        <v>0.09234041</v>
      </c>
    </row>
    <row r="9" spans="1:18">
      <c r="A9" s="15" t="s">
        <v>567</v>
      </c>
      <c r="B9" s="17" t="n">
        <v>9651</v>
      </c>
      <c r="C9" s="18">
        <f>(7619.0/B9*100)</f>
        <v/>
      </c>
      <c r="D9" s="19" t="n">
        <v>2032</v>
      </c>
      <c r="E9" s="18" t="n">
        <v>58.46538766</v>
      </c>
      <c r="F9" s="20" t="n">
        <v>1.03444484</v>
      </c>
      <c r="G9" s="18" t="n">
        <v>40.5466726</v>
      </c>
      <c r="H9" s="20" t="n">
        <v>1.07828718</v>
      </c>
      <c r="I9" s="18" t="n">
        <v>0</v>
      </c>
      <c r="J9" s="20" t="n">
        <v>0</v>
      </c>
      <c r="K9" s="18" t="n">
        <v>0.42774173</v>
      </c>
      <c r="L9" s="20" t="n">
        <v>0.11808826</v>
      </c>
      <c r="M9" s="18" t="n">
        <v>0</v>
      </c>
      <c r="N9" s="20" t="n">
        <v>0</v>
      </c>
      <c r="O9" s="18" t="n">
        <v>0</v>
      </c>
      <c r="P9" s="20" t="n">
        <v>0</v>
      </c>
      <c r="Q9" s="18" t="n">
        <v>0.56019801</v>
      </c>
      <c r="R9" s="20" t="n">
        <v>0.15826738</v>
      </c>
    </row>
    <row r="10" spans="1:18">
      <c r="A10" s="15" t="s">
        <v>568</v>
      </c>
      <c r="B10" s="17" t="n">
        <v>20058</v>
      </c>
      <c r="C10" s="18">
        <f>(15717.0/B10*100)</f>
        <v/>
      </c>
      <c r="D10" s="19" t="n">
        <v>4341</v>
      </c>
      <c r="E10" s="18" t="n">
        <v>53.44948559</v>
      </c>
      <c r="F10" s="20" t="n">
        <v>1.13574805</v>
      </c>
      <c r="G10" s="18" t="n">
        <v>45.5891465</v>
      </c>
      <c r="H10" s="20" t="n">
        <v>1.15095192</v>
      </c>
      <c r="I10" s="18" t="n">
        <v>0</v>
      </c>
      <c r="J10" s="20" t="n">
        <v>0</v>
      </c>
      <c r="K10" s="18" t="n">
        <v>0.6118556000000001</v>
      </c>
      <c r="L10" s="20" t="n">
        <v>0.17011347</v>
      </c>
      <c r="M10" s="18" t="n">
        <v>0</v>
      </c>
      <c r="N10" s="20" t="n">
        <v>0</v>
      </c>
      <c r="O10" s="18" t="n">
        <v>0</v>
      </c>
      <c r="P10" s="20" t="n">
        <v>0</v>
      </c>
      <c r="Q10" s="18" t="n">
        <v>0.34951231</v>
      </c>
      <c r="R10" s="20" t="n">
        <v>0.13167637</v>
      </c>
    </row>
    <row r="11" spans="1:18">
      <c r="A11" s="15" t="s">
        <v>569</v>
      </c>
      <c r="B11" s="17" t="n">
        <v>7053</v>
      </c>
      <c r="C11" s="18">
        <f>(5583.0/B11*100)</f>
        <v/>
      </c>
      <c r="D11" s="19" t="n">
        <v>1470</v>
      </c>
      <c r="E11" s="18" t="n">
        <v>65.66584748</v>
      </c>
      <c r="F11" s="20" t="n">
        <v>1.55716003</v>
      </c>
      <c r="G11" s="18" t="n">
        <v>32.32968557</v>
      </c>
      <c r="H11" s="20" t="n">
        <v>1.54184518</v>
      </c>
      <c r="I11" s="18" t="n">
        <v>0</v>
      </c>
      <c r="J11" s="20" t="n">
        <v>0</v>
      </c>
      <c r="K11" s="18" t="n">
        <v>1.55547746</v>
      </c>
      <c r="L11" s="20" t="n">
        <v>0.35028752</v>
      </c>
      <c r="M11" s="18" t="n">
        <v>0</v>
      </c>
      <c r="N11" s="20" t="n">
        <v>0</v>
      </c>
      <c r="O11" s="18" t="n">
        <v>0</v>
      </c>
      <c r="P11" s="20" t="n">
        <v>0</v>
      </c>
      <c r="Q11" s="18" t="n">
        <v>0.44898949</v>
      </c>
      <c r="R11" s="20" t="n">
        <v>0.23275405</v>
      </c>
    </row>
    <row r="12" spans="1:18">
      <c r="A12" s="15" t="s">
        <v>570</v>
      </c>
      <c r="B12" s="17" t="n">
        <v>6894</v>
      </c>
      <c r="C12" s="18">
        <f>(5422.0/B12*100)</f>
        <v/>
      </c>
      <c r="D12" s="19" t="n">
        <v>1472</v>
      </c>
      <c r="E12" s="18" t="n">
        <v>51.66434485</v>
      </c>
      <c r="F12" s="20" t="n">
        <v>1.70602125</v>
      </c>
      <c r="G12" s="18" t="n">
        <v>47.5405982</v>
      </c>
      <c r="H12" s="20" t="n">
        <v>1.67721472</v>
      </c>
      <c r="I12" s="18" t="n">
        <v>0</v>
      </c>
      <c r="J12" s="20" t="n">
        <v>0</v>
      </c>
      <c r="K12" s="18" t="n">
        <v>0.38402924</v>
      </c>
      <c r="L12" s="20" t="n">
        <v>0.19270627</v>
      </c>
      <c r="M12" s="18" t="n">
        <v>0</v>
      </c>
      <c r="N12" s="20" t="n">
        <v>0</v>
      </c>
      <c r="O12" s="18" t="n">
        <v>0</v>
      </c>
      <c r="P12" s="20" t="n">
        <v>0</v>
      </c>
      <c r="Q12" s="18" t="n">
        <v>0.41102771</v>
      </c>
      <c r="R12" s="20" t="n">
        <v>0.12141907</v>
      </c>
    </row>
    <row r="13" spans="1:18">
      <c r="A13" s="15" t="s">
        <v>571</v>
      </c>
      <c r="B13" s="17" t="n">
        <v>7161</v>
      </c>
      <c r="C13" s="18">
        <f>(5671.0/B13*100)</f>
        <v/>
      </c>
      <c r="D13" s="19" t="n">
        <v>1490</v>
      </c>
      <c r="E13" s="18" t="n">
        <v>52.08802075</v>
      </c>
      <c r="F13" s="20" t="n">
        <v>1.77463415</v>
      </c>
      <c r="G13" s="18" t="n">
        <v>47.01209438</v>
      </c>
      <c r="H13" s="20" t="n">
        <v>1.81782045</v>
      </c>
      <c r="I13" s="18" t="n">
        <v>0</v>
      </c>
      <c r="J13" s="20" t="n">
        <v>0</v>
      </c>
      <c r="K13" s="18" t="n">
        <v>0.36728506</v>
      </c>
      <c r="L13" s="20" t="n">
        <v>0.18099374</v>
      </c>
      <c r="M13" s="18" t="n">
        <v>0</v>
      </c>
      <c r="N13" s="20" t="n">
        <v>0</v>
      </c>
      <c r="O13" s="18" t="n">
        <v>0</v>
      </c>
      <c r="P13" s="20" t="n">
        <v>0</v>
      </c>
      <c r="Q13" s="18" t="n">
        <v>0.53259981</v>
      </c>
      <c r="R13" s="20" t="n">
        <v>0.22934354</v>
      </c>
    </row>
    <row r="14" spans="1:18">
      <c r="A14" s="15" t="s">
        <v>572</v>
      </c>
      <c r="B14" s="17" t="n">
        <v>5587</v>
      </c>
      <c r="C14" s="18">
        <f>(4371.0/B14*100)</f>
        <v/>
      </c>
      <c r="D14" s="19" t="n">
        <v>1216</v>
      </c>
      <c r="E14" s="18" t="n">
        <v>42.26727153</v>
      </c>
      <c r="F14" s="20" t="n">
        <v>1.82969179</v>
      </c>
      <c r="G14" s="18" t="n">
        <v>57.45977003</v>
      </c>
      <c r="H14" s="20" t="n">
        <v>1.84870394</v>
      </c>
      <c r="I14" s="18" t="n">
        <v>0</v>
      </c>
      <c r="J14" s="20" t="n">
        <v>0</v>
      </c>
      <c r="K14" s="18" t="n">
        <v>0.19145791</v>
      </c>
      <c r="L14" s="20" t="n">
        <v>0.11043438</v>
      </c>
      <c r="M14" s="18" t="n">
        <v>0</v>
      </c>
      <c r="N14" s="20" t="n">
        <v>0</v>
      </c>
      <c r="O14" s="18" t="n">
        <v>0</v>
      </c>
      <c r="P14" s="20" t="n">
        <v>0</v>
      </c>
      <c r="Q14" s="18" t="n">
        <v>0.08150054</v>
      </c>
      <c r="R14" s="20" t="n">
        <v>0.07945512</v>
      </c>
    </row>
    <row r="15" spans="1:18">
      <c r="A15" s="15" t="s">
        <v>573</v>
      </c>
      <c r="B15" s="17" t="n">
        <v>5882</v>
      </c>
      <c r="C15" s="18">
        <f>(4632.0/B15*100)</f>
        <v/>
      </c>
      <c r="D15" s="19" t="n">
        <v>1250</v>
      </c>
      <c r="E15" s="18" t="n">
        <v>52.13500397</v>
      </c>
      <c r="F15" s="20" t="n">
        <v>1.53323154</v>
      </c>
      <c r="G15" s="18" t="n">
        <v>47.39271415</v>
      </c>
      <c r="H15" s="20" t="n">
        <v>1.5665774</v>
      </c>
      <c r="I15" s="18" t="n">
        <v>0</v>
      </c>
      <c r="J15" s="20" t="n">
        <v>0</v>
      </c>
      <c r="K15" s="18" t="n">
        <v>0.31450296</v>
      </c>
      <c r="L15" s="20" t="n">
        <v>0.15890349</v>
      </c>
      <c r="M15" s="18" t="n">
        <v>0</v>
      </c>
      <c r="N15" s="20" t="n">
        <v>0</v>
      </c>
      <c r="O15" s="18" t="n">
        <v>0</v>
      </c>
      <c r="P15" s="20" t="n">
        <v>0</v>
      </c>
      <c r="Q15" s="18" t="n">
        <v>0.15777892</v>
      </c>
      <c r="R15" s="20" t="n">
        <v>0.11134224</v>
      </c>
    </row>
    <row r="16" spans="1:18">
      <c r="A16" s="15" t="s">
        <v>574</v>
      </c>
      <c r="B16" s="17" t="n">
        <v>6108</v>
      </c>
      <c r="C16" s="18">
        <f>(4775.0/B16*100)</f>
        <v/>
      </c>
      <c r="D16" s="19" t="n">
        <v>1333</v>
      </c>
      <c r="E16" s="18" t="n">
        <v>67.32371738000001</v>
      </c>
      <c r="F16" s="20" t="n">
        <v>1.45801604</v>
      </c>
      <c r="G16" s="18" t="n">
        <v>29.863764</v>
      </c>
      <c r="H16" s="20" t="n">
        <v>1.42962502</v>
      </c>
      <c r="I16" s="18" t="n">
        <v>0</v>
      </c>
      <c r="J16" s="20" t="n">
        <v>0</v>
      </c>
      <c r="K16" s="18" t="n">
        <v>1.8095903</v>
      </c>
      <c r="L16" s="20" t="n">
        <v>0.45731341</v>
      </c>
      <c r="M16" s="18" t="n">
        <v>0</v>
      </c>
      <c r="N16" s="20" t="n">
        <v>0</v>
      </c>
      <c r="O16" s="18" t="n">
        <v>0</v>
      </c>
      <c r="P16" s="20" t="n">
        <v>0</v>
      </c>
      <c r="Q16" s="18" t="n">
        <v>1.00292833</v>
      </c>
      <c r="R16" s="20" t="n">
        <v>0.25950928</v>
      </c>
    </row>
    <row r="17" spans="1:18">
      <c r="A17" s="15" t="s">
        <v>575</v>
      </c>
      <c r="B17" s="17" t="n">
        <v>6504</v>
      </c>
      <c r="C17" s="18">
        <f>(5098.0/B17*100)</f>
        <v/>
      </c>
      <c r="D17" s="19" t="n">
        <v>1406</v>
      </c>
      <c r="E17" s="18" t="n">
        <v>51.09639607</v>
      </c>
      <c r="F17" s="20" t="n">
        <v>1.5916729</v>
      </c>
      <c r="G17" s="18" t="n">
        <v>48.15633857</v>
      </c>
      <c r="H17" s="20" t="n">
        <v>1.60481429</v>
      </c>
      <c r="I17" s="18" t="n">
        <v>0</v>
      </c>
      <c r="J17" s="20" t="n">
        <v>0</v>
      </c>
      <c r="K17" s="18" t="n">
        <v>0.41171798</v>
      </c>
      <c r="L17" s="20" t="n">
        <v>0.16436786</v>
      </c>
      <c r="M17" s="18" t="n">
        <v>0</v>
      </c>
      <c r="N17" s="20" t="n">
        <v>0</v>
      </c>
      <c r="O17" s="18" t="n">
        <v>0</v>
      </c>
      <c r="P17" s="20" t="n">
        <v>0</v>
      </c>
      <c r="Q17" s="18" t="n">
        <v>0.33554738</v>
      </c>
      <c r="R17" s="20" t="n">
        <v>0.14171364</v>
      </c>
    </row>
    <row r="18" spans="1:18">
      <c r="A18" s="15" t="s">
        <v>576</v>
      </c>
      <c r="B18" s="17" t="n">
        <v>5532</v>
      </c>
      <c r="C18" s="18">
        <f>(4309.0/B18*100)</f>
        <v/>
      </c>
      <c r="D18" s="19" t="n">
        <v>1223</v>
      </c>
      <c r="E18" s="18" t="n">
        <v>63.75241176</v>
      </c>
      <c r="F18" s="20" t="n">
        <v>1.53245871</v>
      </c>
      <c r="G18" s="18" t="n">
        <v>34.91477834</v>
      </c>
      <c r="H18" s="20" t="n">
        <v>1.49336547</v>
      </c>
      <c r="I18" s="18" t="n">
        <v>0</v>
      </c>
      <c r="J18" s="20" t="n">
        <v>0</v>
      </c>
      <c r="K18" s="18" t="n">
        <v>0.51501876</v>
      </c>
      <c r="L18" s="20" t="n">
        <v>0.21493589</v>
      </c>
      <c r="M18" s="18" t="n">
        <v>0</v>
      </c>
      <c r="N18" s="20" t="n">
        <v>0</v>
      </c>
      <c r="O18" s="18" t="n">
        <v>0</v>
      </c>
      <c r="P18" s="20" t="n">
        <v>0</v>
      </c>
      <c r="Q18" s="18" t="n">
        <v>0.81779114</v>
      </c>
      <c r="R18" s="20" t="n">
        <v>0.28414335</v>
      </c>
    </row>
    <row r="19" spans="1:18">
      <c r="A19" s="15" t="s">
        <v>577</v>
      </c>
      <c r="B19" s="17" t="n">
        <v>5658</v>
      </c>
      <c r="C19" s="18">
        <f>(4438.0/B19*100)</f>
        <v/>
      </c>
      <c r="D19" s="19" t="n">
        <v>1220</v>
      </c>
      <c r="E19" s="18" t="n">
        <v>57.33160244</v>
      </c>
      <c r="F19" s="20" t="n">
        <v>1.35705723</v>
      </c>
      <c r="G19" s="18" t="n">
        <v>42.15955135</v>
      </c>
      <c r="H19" s="20" t="n">
        <v>1.36679239</v>
      </c>
      <c r="I19" s="18" t="n">
        <v>0</v>
      </c>
      <c r="J19" s="20" t="n">
        <v>0</v>
      </c>
      <c r="K19" s="18" t="n">
        <v>0.21226632</v>
      </c>
      <c r="L19" s="20" t="n">
        <v>0.12578366</v>
      </c>
      <c r="M19" s="18" t="n">
        <v>0</v>
      </c>
      <c r="N19" s="20" t="n">
        <v>0</v>
      </c>
      <c r="O19" s="18" t="n">
        <v>0</v>
      </c>
      <c r="P19" s="20" t="n">
        <v>0</v>
      </c>
      <c r="Q19" s="18" t="n">
        <v>0.29657989</v>
      </c>
      <c r="R19" s="20" t="n">
        <v>0.14066025</v>
      </c>
    </row>
    <row r="20" spans="1:18">
      <c r="A20" s="15" t="s">
        <v>578</v>
      </c>
      <c r="B20" s="17" t="n">
        <v>3371</v>
      </c>
      <c r="C20" s="18">
        <f>(2639.0/B20*100)</f>
        <v/>
      </c>
      <c r="D20" s="19" t="n">
        <v>732</v>
      </c>
      <c r="E20" s="18" t="n">
        <v>66.49546866</v>
      </c>
      <c r="F20" s="20" t="n">
        <v>1.76694399</v>
      </c>
      <c r="G20" s="18" t="n">
        <v>32.25472008</v>
      </c>
      <c r="H20" s="20" t="n">
        <v>1.7853446</v>
      </c>
      <c r="I20" s="18" t="n">
        <v>0</v>
      </c>
      <c r="J20" s="20" t="n">
        <v>0</v>
      </c>
      <c r="K20" s="18" t="n">
        <v>0.55619816</v>
      </c>
      <c r="L20" s="20" t="n">
        <v>0.28293009</v>
      </c>
      <c r="M20" s="18" t="n">
        <v>0</v>
      </c>
      <c r="N20" s="20" t="n">
        <v>0</v>
      </c>
      <c r="O20" s="18" t="n">
        <v>0</v>
      </c>
      <c r="P20" s="20" t="n">
        <v>0</v>
      </c>
      <c r="Q20" s="18" t="n">
        <v>0.6936131</v>
      </c>
      <c r="R20" s="20" t="n">
        <v>0.3146727</v>
      </c>
    </row>
    <row r="21" spans="1:18">
      <c r="A21" s="15" t="s">
        <v>579</v>
      </c>
      <c r="B21" s="17" t="n">
        <v>5741</v>
      </c>
      <c r="C21" s="18">
        <f>(4464.0/B21*100)</f>
        <v/>
      </c>
      <c r="D21" s="19" t="n">
        <v>1277</v>
      </c>
      <c r="E21" s="18" t="n">
        <v>61.14995923</v>
      </c>
      <c r="F21" s="20" t="n">
        <v>1.40697705</v>
      </c>
      <c r="G21" s="18" t="n">
        <v>37.93693192</v>
      </c>
      <c r="H21" s="20" t="n">
        <v>1.45402866</v>
      </c>
      <c r="I21" s="18" t="n">
        <v>0</v>
      </c>
      <c r="J21" s="20" t="n">
        <v>0</v>
      </c>
      <c r="K21" s="18" t="n">
        <v>0.4947636</v>
      </c>
      <c r="L21" s="20" t="n">
        <v>0.20503822</v>
      </c>
      <c r="M21" s="18" t="n">
        <v>0</v>
      </c>
      <c r="N21" s="20" t="n">
        <v>0</v>
      </c>
      <c r="O21" s="18" t="n">
        <v>0</v>
      </c>
      <c r="P21" s="20" t="n">
        <v>0</v>
      </c>
      <c r="Q21" s="18" t="n">
        <v>0.41834525</v>
      </c>
      <c r="R21" s="20" t="n">
        <v>0.19649903</v>
      </c>
    </row>
    <row r="22" spans="1:18">
      <c r="A22" s="15" t="s">
        <v>580</v>
      </c>
      <c r="B22" s="17" t="n">
        <v>6598</v>
      </c>
      <c r="C22" s="18">
        <f>(5191.0/B22*100)</f>
        <v/>
      </c>
      <c r="D22" s="19" t="n">
        <v>1407</v>
      </c>
      <c r="E22" s="18" t="n">
        <v>53.21440192</v>
      </c>
      <c r="F22" s="20" t="n">
        <v>1.68174728</v>
      </c>
      <c r="G22" s="18" t="n">
        <v>44.4096109</v>
      </c>
      <c r="H22" s="20" t="n">
        <v>1.6452421</v>
      </c>
      <c r="I22" s="18" t="n">
        <v>0</v>
      </c>
      <c r="J22" s="20" t="n">
        <v>0</v>
      </c>
      <c r="K22" s="18" t="n">
        <v>0.75333857</v>
      </c>
      <c r="L22" s="20" t="n">
        <v>0.31858993</v>
      </c>
      <c r="M22" s="18" t="n">
        <v>0</v>
      </c>
      <c r="N22" s="20" t="n">
        <v>0</v>
      </c>
      <c r="O22" s="18" t="n">
        <v>0</v>
      </c>
      <c r="P22" s="20" t="n">
        <v>0</v>
      </c>
      <c r="Q22" s="18" t="n">
        <v>1.62264861</v>
      </c>
      <c r="R22" s="20" t="n">
        <v>0.42982811</v>
      </c>
    </row>
    <row r="23" spans="1:18">
      <c r="A23" s="15" t="s">
        <v>581</v>
      </c>
      <c r="B23" s="17" t="n">
        <v>11583</v>
      </c>
      <c r="C23" s="18">
        <f>(9037.0/B23*100)</f>
        <v/>
      </c>
      <c r="D23" s="19" t="n">
        <v>2546</v>
      </c>
      <c r="E23" s="18" t="n">
        <v>63.18762202</v>
      </c>
      <c r="F23" s="20" t="n">
        <v>1.44242212</v>
      </c>
      <c r="G23" s="18" t="n">
        <v>34.74753772</v>
      </c>
      <c r="H23" s="20" t="n">
        <v>1.48621164</v>
      </c>
      <c r="I23" s="18" t="n">
        <v>0</v>
      </c>
      <c r="J23" s="20" t="n">
        <v>0</v>
      </c>
      <c r="K23" s="18" t="n">
        <v>1.06662791</v>
      </c>
      <c r="L23" s="20" t="n">
        <v>0.3441495</v>
      </c>
      <c r="M23" s="18" t="n">
        <v>0</v>
      </c>
      <c r="N23" s="20" t="n">
        <v>0</v>
      </c>
      <c r="O23" s="18" t="n">
        <v>0</v>
      </c>
      <c r="P23" s="20" t="n">
        <v>0</v>
      </c>
      <c r="Q23" s="18" t="n">
        <v>0.99821235</v>
      </c>
      <c r="R23" s="20" t="n">
        <v>0.26000829</v>
      </c>
    </row>
    <row r="24" spans="1:18">
      <c r="A24" s="15" t="s">
        <v>582</v>
      </c>
      <c r="B24" s="17" t="n">
        <v>6647</v>
      </c>
      <c r="C24" s="18">
        <f>(5204.0/B24*100)</f>
        <v/>
      </c>
      <c r="D24" s="19" t="n">
        <v>1443</v>
      </c>
      <c r="E24" s="18" t="n">
        <v>43.69237092</v>
      </c>
      <c r="F24" s="20" t="n">
        <v>1.59007757</v>
      </c>
      <c r="G24" s="18" t="n">
        <v>55.54462338</v>
      </c>
      <c r="H24" s="20" t="n">
        <v>1.59164771</v>
      </c>
      <c r="I24" s="18" t="n">
        <v>0</v>
      </c>
      <c r="J24" s="20" t="n">
        <v>0</v>
      </c>
      <c r="K24" s="18" t="n">
        <v>0.50431032</v>
      </c>
      <c r="L24" s="20" t="n">
        <v>0.19107382</v>
      </c>
      <c r="M24" s="18" t="n">
        <v>0</v>
      </c>
      <c r="N24" s="20" t="n">
        <v>0</v>
      </c>
      <c r="O24" s="18" t="n">
        <v>0</v>
      </c>
      <c r="P24" s="20" t="n">
        <v>0</v>
      </c>
      <c r="Q24" s="18" t="n">
        <v>0.25869539</v>
      </c>
      <c r="R24" s="20" t="n">
        <v>0.16036238</v>
      </c>
    </row>
    <row r="25" spans="1:18">
      <c r="A25" s="15" t="s">
        <v>583</v>
      </c>
      <c r="B25" s="17" t="n">
        <v>5581</v>
      </c>
      <c r="C25" s="18">
        <f>(4322.0/B25*100)</f>
        <v/>
      </c>
      <c r="D25" s="19" t="n">
        <v>1259</v>
      </c>
      <c r="E25" s="18" t="n">
        <v>45.15323954</v>
      </c>
      <c r="F25" s="20" t="n">
        <v>1.40151233</v>
      </c>
      <c r="G25" s="18" t="n">
        <v>54.16772853</v>
      </c>
      <c r="H25" s="20" t="n">
        <v>1.41124933</v>
      </c>
      <c r="I25" s="18" t="n">
        <v>0</v>
      </c>
      <c r="J25" s="20" t="n">
        <v>0</v>
      </c>
      <c r="K25" s="18" t="n">
        <v>0.45054408</v>
      </c>
      <c r="L25" s="20" t="n">
        <v>0.1800428</v>
      </c>
      <c r="M25" s="18" t="n">
        <v>0</v>
      </c>
      <c r="N25" s="20" t="n">
        <v>0</v>
      </c>
      <c r="O25" s="18" t="n">
        <v>0</v>
      </c>
      <c r="P25" s="20" t="n">
        <v>0</v>
      </c>
      <c r="Q25" s="18" t="n">
        <v>0.22848785</v>
      </c>
      <c r="R25" s="20" t="n">
        <v>0.13323946</v>
      </c>
    </row>
    <row r="26" spans="1:18">
      <c r="A26" s="15" t="s">
        <v>584</v>
      </c>
      <c r="B26" s="17" t="n">
        <v>4869</v>
      </c>
      <c r="C26" s="18">
        <f>(3800.0/B26*100)</f>
        <v/>
      </c>
      <c r="D26" s="19" t="n">
        <v>1069</v>
      </c>
      <c r="E26" s="18" t="n">
        <v>55.6718045</v>
      </c>
      <c r="F26" s="20" t="n">
        <v>1.80698883</v>
      </c>
      <c r="G26" s="18" t="n">
        <v>44.17564363</v>
      </c>
      <c r="H26" s="20" t="n">
        <v>1.79591529</v>
      </c>
      <c r="I26" s="18" t="n">
        <v>0</v>
      </c>
      <c r="J26" s="20" t="n">
        <v>0</v>
      </c>
      <c r="K26" s="18" t="n">
        <v>0.07993558000000001</v>
      </c>
      <c r="L26" s="20" t="n">
        <v>0.08162498</v>
      </c>
      <c r="M26" s="18" t="n">
        <v>0</v>
      </c>
      <c r="N26" s="20" t="n">
        <v>0</v>
      </c>
      <c r="O26" s="18" t="n">
        <v>0</v>
      </c>
      <c r="P26" s="20" t="n">
        <v>0</v>
      </c>
      <c r="Q26" s="18" t="n">
        <v>0.07261629</v>
      </c>
      <c r="R26" s="20" t="n">
        <v>0.07302537000000001</v>
      </c>
    </row>
    <row r="27" spans="1:18">
      <c r="A27" s="15" t="s">
        <v>585</v>
      </c>
      <c r="B27" s="17" t="n">
        <v>5299</v>
      </c>
      <c r="C27" s="18">
        <f>(4156.0/B27*100)</f>
        <v/>
      </c>
      <c r="D27" s="19" t="n">
        <v>1143</v>
      </c>
      <c r="E27" s="18" t="n">
        <v>64.78975</v>
      </c>
      <c r="F27" s="20" t="n">
        <v>1.37503305</v>
      </c>
      <c r="G27" s="18" t="n">
        <v>34.40013784</v>
      </c>
      <c r="H27" s="20" t="n">
        <v>1.39591744</v>
      </c>
      <c r="I27" s="18" t="n">
        <v>0</v>
      </c>
      <c r="J27" s="20" t="n">
        <v>0</v>
      </c>
      <c r="K27" s="18" t="n">
        <v>0.2673575</v>
      </c>
      <c r="L27" s="20" t="n">
        <v>0.15591573</v>
      </c>
      <c r="M27" s="18" t="n">
        <v>0</v>
      </c>
      <c r="N27" s="20" t="n">
        <v>0</v>
      </c>
      <c r="O27" s="18" t="n">
        <v>0</v>
      </c>
      <c r="P27" s="20" t="n">
        <v>0</v>
      </c>
      <c r="Q27" s="18" t="n">
        <v>0.5427546600000001</v>
      </c>
      <c r="R27" s="20" t="n">
        <v>0.22360176</v>
      </c>
    </row>
    <row r="28" spans="1:18">
      <c r="A28" s="15" t="s">
        <v>586</v>
      </c>
      <c r="B28" s="17" t="n">
        <v>7568</v>
      </c>
      <c r="C28" s="18">
        <f>(6109.0/B28*100)</f>
        <v/>
      </c>
      <c r="D28" s="19" t="n">
        <v>1459</v>
      </c>
      <c r="E28" s="18" t="n">
        <v>81.32880169000001</v>
      </c>
      <c r="F28" s="20" t="n">
        <v>1.02038684</v>
      </c>
      <c r="G28" s="18" t="n">
        <v>17.03149941</v>
      </c>
      <c r="H28" s="20" t="n">
        <v>1.02550183</v>
      </c>
      <c r="I28" s="18" t="n">
        <v>0</v>
      </c>
      <c r="J28" s="20" t="n">
        <v>0</v>
      </c>
      <c r="K28" s="18" t="n">
        <v>1.38306231</v>
      </c>
      <c r="L28" s="20" t="n">
        <v>0.44401542</v>
      </c>
      <c r="M28" s="18" t="n">
        <v>0</v>
      </c>
      <c r="N28" s="20" t="n">
        <v>0</v>
      </c>
      <c r="O28" s="18" t="n">
        <v>0</v>
      </c>
      <c r="P28" s="20" t="n">
        <v>0</v>
      </c>
      <c r="Q28" s="18" t="n">
        <v>0.25663659</v>
      </c>
      <c r="R28" s="20" t="n">
        <v>0.12705808</v>
      </c>
    </row>
    <row r="29" spans="1:18">
      <c r="A29" s="15" t="s">
        <v>587</v>
      </c>
      <c r="B29" s="17" t="n">
        <v>5385</v>
      </c>
      <c r="C29" s="18">
        <f>(4191.0/B29*100)</f>
        <v/>
      </c>
      <c r="D29" s="19" t="n">
        <v>1194</v>
      </c>
      <c r="E29" s="18" t="n">
        <v>53.52266413</v>
      </c>
      <c r="F29" s="20" t="n">
        <v>1.68220543</v>
      </c>
      <c r="G29" s="18" t="n">
        <v>45.74295038</v>
      </c>
      <c r="H29" s="20" t="n">
        <v>1.67841056</v>
      </c>
      <c r="I29" s="18" t="n">
        <v>0</v>
      </c>
      <c r="J29" s="20" t="n">
        <v>0</v>
      </c>
      <c r="K29" s="18" t="n">
        <v>0.28208774</v>
      </c>
      <c r="L29" s="20" t="n">
        <v>0.14686184</v>
      </c>
      <c r="M29" s="18" t="n">
        <v>0</v>
      </c>
      <c r="N29" s="20" t="n">
        <v>0</v>
      </c>
      <c r="O29" s="18" t="n">
        <v>0</v>
      </c>
      <c r="P29" s="20" t="n">
        <v>0</v>
      </c>
      <c r="Q29" s="18" t="n">
        <v>0.45229775</v>
      </c>
      <c r="R29" s="20" t="n">
        <v>0.20082213</v>
      </c>
    </row>
    <row r="30" spans="1:18">
      <c r="A30" s="15" t="s">
        <v>588</v>
      </c>
      <c r="B30" s="17" t="n">
        <v>4520</v>
      </c>
      <c r="C30" s="18">
        <f>(3578.0/B30*100)</f>
        <v/>
      </c>
      <c r="D30" s="19" t="n">
        <v>942</v>
      </c>
      <c r="E30" s="18" t="n">
        <v>52.44810378</v>
      </c>
      <c r="F30" s="20" t="n">
        <v>1.70307905</v>
      </c>
      <c r="G30" s="18" t="n">
        <v>46.09909431</v>
      </c>
      <c r="H30" s="20" t="n">
        <v>1.65367381</v>
      </c>
      <c r="I30" s="18" t="n">
        <v>0</v>
      </c>
      <c r="J30" s="20" t="n">
        <v>0</v>
      </c>
      <c r="K30" s="18" t="n">
        <v>0.8580078799999999</v>
      </c>
      <c r="L30" s="20" t="n">
        <v>0.34359415</v>
      </c>
      <c r="M30" s="18" t="n">
        <v>0</v>
      </c>
      <c r="N30" s="20" t="n">
        <v>0</v>
      </c>
      <c r="O30" s="18" t="n">
        <v>0</v>
      </c>
      <c r="P30" s="20" t="n">
        <v>0</v>
      </c>
      <c r="Q30" s="18" t="n">
        <v>0.59479403</v>
      </c>
      <c r="R30" s="20" t="n">
        <v>0.28624605</v>
      </c>
    </row>
    <row r="31" spans="1:18">
      <c r="A31" s="15" t="s">
        <v>589</v>
      </c>
      <c r="B31" s="17" t="n">
        <v>5456</v>
      </c>
      <c r="C31" s="18">
        <f>(4265.0/B31*100)</f>
        <v/>
      </c>
      <c r="D31" s="19" t="n">
        <v>1191</v>
      </c>
      <c r="E31" s="18" t="n">
        <v>54.93586113</v>
      </c>
      <c r="F31" s="20" t="n">
        <v>1.46432326</v>
      </c>
      <c r="G31" s="18" t="n">
        <v>43.42977054</v>
      </c>
      <c r="H31" s="20" t="n">
        <v>1.44531606</v>
      </c>
      <c r="I31" s="18" t="n">
        <v>0</v>
      </c>
      <c r="J31" s="20" t="n">
        <v>0</v>
      </c>
      <c r="K31" s="18" t="n">
        <v>0.99062362</v>
      </c>
      <c r="L31" s="20" t="n">
        <v>0.28120797</v>
      </c>
      <c r="M31" s="18" t="n">
        <v>0</v>
      </c>
      <c r="N31" s="20" t="n">
        <v>0</v>
      </c>
      <c r="O31" s="18" t="n">
        <v>0</v>
      </c>
      <c r="P31" s="20" t="n">
        <v>0</v>
      </c>
      <c r="Q31" s="18" t="n">
        <v>0.64374471</v>
      </c>
      <c r="R31" s="20" t="n">
        <v>0.22880131</v>
      </c>
    </row>
    <row r="32" spans="1:18">
      <c r="A32" s="15" t="s">
        <v>590</v>
      </c>
      <c r="B32" s="17" t="n">
        <v>4478</v>
      </c>
      <c r="C32" s="18">
        <f>(3490.0/B32*100)</f>
        <v/>
      </c>
      <c r="D32" s="19" t="n">
        <v>988</v>
      </c>
      <c r="E32" s="18" t="n">
        <v>56.13792963</v>
      </c>
      <c r="F32" s="20" t="n">
        <v>1.45360595</v>
      </c>
      <c r="G32" s="18" t="n">
        <v>43.33650239</v>
      </c>
      <c r="H32" s="20" t="n">
        <v>1.44542318</v>
      </c>
      <c r="I32" s="18" t="n">
        <v>0</v>
      </c>
      <c r="J32" s="20" t="n">
        <v>0</v>
      </c>
      <c r="K32" s="18" t="n">
        <v>0.22515697</v>
      </c>
      <c r="L32" s="20" t="n">
        <v>0.16565008</v>
      </c>
      <c r="M32" s="18" t="n">
        <v>0</v>
      </c>
      <c r="N32" s="20" t="n">
        <v>0</v>
      </c>
      <c r="O32" s="18" t="n">
        <v>0</v>
      </c>
      <c r="P32" s="20" t="n">
        <v>0</v>
      </c>
      <c r="Q32" s="18" t="n">
        <v>0.300411</v>
      </c>
      <c r="R32" s="20" t="n">
        <v>0.16831933</v>
      </c>
    </row>
    <row r="33" spans="1:18">
      <c r="A33" s="15" t="s">
        <v>591</v>
      </c>
      <c r="B33" s="17" t="n">
        <v>7325</v>
      </c>
      <c r="C33" s="18">
        <f>(5775.0/B33*100)</f>
        <v/>
      </c>
      <c r="D33" s="19" t="n">
        <v>1550</v>
      </c>
      <c r="E33" s="18" t="n">
        <v>59.18632164</v>
      </c>
      <c r="F33" s="20" t="n">
        <v>1.35770195</v>
      </c>
      <c r="G33" s="18" t="n">
        <v>39.73869311</v>
      </c>
      <c r="H33" s="20" t="n">
        <v>1.32518715</v>
      </c>
      <c r="I33" s="18" t="n">
        <v>0</v>
      </c>
      <c r="J33" s="20" t="n">
        <v>0</v>
      </c>
      <c r="K33" s="18" t="n">
        <v>0.87737424</v>
      </c>
      <c r="L33" s="20" t="n">
        <v>0.29264384</v>
      </c>
      <c r="M33" s="18" t="n">
        <v>0</v>
      </c>
      <c r="N33" s="20" t="n">
        <v>0</v>
      </c>
      <c r="O33" s="18" t="n">
        <v>0</v>
      </c>
      <c r="P33" s="20" t="n">
        <v>0</v>
      </c>
      <c r="Q33" s="18" t="n">
        <v>0.197611</v>
      </c>
      <c r="R33" s="20" t="n">
        <v>0.12604785</v>
      </c>
    </row>
    <row r="34" spans="1:18">
      <c r="A34" s="15" t="s">
        <v>592</v>
      </c>
      <c r="B34" s="17" t="n">
        <v>6350</v>
      </c>
      <c r="C34" s="18">
        <f>(5005.0/B34*100)</f>
        <v/>
      </c>
      <c r="D34" s="19" t="n">
        <v>1345</v>
      </c>
      <c r="E34" s="18" t="n">
        <v>58.47882741</v>
      </c>
      <c r="F34" s="20" t="n">
        <v>1.37240666</v>
      </c>
      <c r="G34" s="18" t="n">
        <v>40.34067376</v>
      </c>
      <c r="H34" s="20" t="n">
        <v>1.34633158</v>
      </c>
      <c r="I34" s="18" t="n">
        <v>0</v>
      </c>
      <c r="J34" s="20" t="n">
        <v>0</v>
      </c>
      <c r="K34" s="18" t="n">
        <v>0.47292682</v>
      </c>
      <c r="L34" s="20" t="n">
        <v>0.18264337</v>
      </c>
      <c r="M34" s="18" t="n">
        <v>0</v>
      </c>
      <c r="N34" s="20" t="n">
        <v>0</v>
      </c>
      <c r="O34" s="18" t="n">
        <v>0</v>
      </c>
      <c r="P34" s="20" t="n">
        <v>0</v>
      </c>
      <c r="Q34" s="18" t="n">
        <v>0.70757201</v>
      </c>
      <c r="R34" s="20" t="n">
        <v>0.23136764</v>
      </c>
    </row>
    <row r="35" spans="1:18">
      <c r="A35" s="15" t="s">
        <v>593</v>
      </c>
      <c r="B35" s="17" t="n">
        <v>6406</v>
      </c>
      <c r="C35" s="18">
        <f>(5035.0/B35*100)</f>
        <v/>
      </c>
      <c r="D35" s="19" t="n">
        <v>1371</v>
      </c>
      <c r="E35" s="18" t="n">
        <v>47.04532533</v>
      </c>
      <c r="F35" s="20" t="n">
        <v>1.91950994</v>
      </c>
      <c r="G35" s="18" t="n">
        <v>52.14715581</v>
      </c>
      <c r="H35" s="20" t="n">
        <v>1.89665687</v>
      </c>
      <c r="I35" s="18" t="n">
        <v>0</v>
      </c>
      <c r="J35" s="20" t="n">
        <v>0</v>
      </c>
      <c r="K35" s="18" t="n">
        <v>0.63579621</v>
      </c>
      <c r="L35" s="20" t="n">
        <v>0.40052428</v>
      </c>
      <c r="M35" s="18" t="n">
        <v>0</v>
      </c>
      <c r="N35" s="20" t="n">
        <v>0</v>
      </c>
      <c r="O35" s="18" t="n">
        <v>0</v>
      </c>
      <c r="P35" s="20" t="n">
        <v>0</v>
      </c>
      <c r="Q35" s="18" t="n">
        <v>0.17172265</v>
      </c>
      <c r="R35" s="20" t="n">
        <v>0.08655838</v>
      </c>
    </row>
    <row r="36" spans="1:18">
      <c r="A36" s="15" t="s">
        <v>594</v>
      </c>
      <c r="B36" s="17" t="n">
        <v>6736</v>
      </c>
      <c r="C36" s="18">
        <f>(5314.0/B36*100)</f>
        <v/>
      </c>
      <c r="D36" s="19" t="n">
        <v>1422</v>
      </c>
      <c r="E36" s="18" t="n">
        <v>61.66123424</v>
      </c>
      <c r="F36" s="20" t="n">
        <v>1.43566073</v>
      </c>
      <c r="G36" s="18" t="n">
        <v>37.5665789</v>
      </c>
      <c r="H36" s="20" t="n">
        <v>1.43418371</v>
      </c>
      <c r="I36" s="18" t="n">
        <v>0</v>
      </c>
      <c r="J36" s="20" t="n">
        <v>0</v>
      </c>
      <c r="K36" s="18" t="n">
        <v>0.61162467</v>
      </c>
      <c r="L36" s="20" t="n">
        <v>0.20587825</v>
      </c>
      <c r="M36" s="18" t="n">
        <v>0</v>
      </c>
      <c r="N36" s="20" t="n">
        <v>0</v>
      </c>
      <c r="O36" s="18" t="n">
        <v>0</v>
      </c>
      <c r="P36" s="20" t="n">
        <v>0</v>
      </c>
      <c r="Q36" s="18" t="n">
        <v>0.16056219</v>
      </c>
      <c r="R36" s="20" t="n">
        <v>0.10057771</v>
      </c>
    </row>
    <row r="37" spans="1:18">
      <c r="A37" s="15" t="s">
        <v>595</v>
      </c>
      <c r="B37" s="17" t="n">
        <v>5458</v>
      </c>
      <c r="C37" s="18">
        <f>(4288.0/B37*100)</f>
        <v/>
      </c>
      <c r="D37" s="19" t="n">
        <v>1170</v>
      </c>
      <c r="E37" s="18" t="n">
        <v>59.0480934</v>
      </c>
      <c r="F37" s="20" t="n">
        <v>1.57187802</v>
      </c>
      <c r="G37" s="18" t="n">
        <v>38.50463444</v>
      </c>
      <c r="H37" s="20" t="n">
        <v>1.69934675</v>
      </c>
      <c r="I37" s="18" t="n">
        <v>0</v>
      </c>
      <c r="J37" s="20" t="n">
        <v>0</v>
      </c>
      <c r="K37" s="18" t="n">
        <v>1.29540722</v>
      </c>
      <c r="L37" s="20" t="n">
        <v>0.40223264</v>
      </c>
      <c r="M37" s="18" t="n">
        <v>0</v>
      </c>
      <c r="N37" s="20" t="n">
        <v>0</v>
      </c>
      <c r="O37" s="18" t="n">
        <v>0</v>
      </c>
      <c r="P37" s="20" t="n">
        <v>0</v>
      </c>
      <c r="Q37" s="18" t="n">
        <v>1.15186494</v>
      </c>
      <c r="R37" s="20" t="n">
        <v>0.31147547</v>
      </c>
    </row>
    <row r="38" spans="1:18">
      <c r="A38" s="15" t="s">
        <v>596</v>
      </c>
      <c r="B38" s="17" t="n">
        <v>5860</v>
      </c>
      <c r="C38" s="18">
        <f>(4560.0/B38*100)</f>
        <v/>
      </c>
      <c r="D38" s="19" t="n">
        <v>1300</v>
      </c>
      <c r="E38" s="18" t="n">
        <v>57.19874329</v>
      </c>
      <c r="F38" s="20" t="n">
        <v>1.50804899</v>
      </c>
      <c r="G38" s="18" t="n">
        <v>41.13397258</v>
      </c>
      <c r="H38" s="20" t="n">
        <v>1.53013234</v>
      </c>
      <c r="I38" s="18" t="n">
        <v>0</v>
      </c>
      <c r="J38" s="20" t="n">
        <v>0</v>
      </c>
      <c r="K38" s="18" t="n">
        <v>0.3673371</v>
      </c>
      <c r="L38" s="20" t="n">
        <v>0.17847746</v>
      </c>
      <c r="M38" s="18" t="n">
        <v>0</v>
      </c>
      <c r="N38" s="20" t="n">
        <v>0</v>
      </c>
      <c r="O38" s="18" t="n">
        <v>0</v>
      </c>
      <c r="P38" s="20" t="n">
        <v>0</v>
      </c>
      <c r="Q38" s="18" t="n">
        <v>1.29994703</v>
      </c>
      <c r="R38" s="20" t="n">
        <v>0.35167163</v>
      </c>
    </row>
    <row r="39" spans="1:18">
      <c r="A39" s="15" t="s">
        <v>597</v>
      </c>
      <c r="B39" s="17" t="n">
        <v>5895</v>
      </c>
      <c r="C39" s="18">
        <f>(4593.0/B39*100)</f>
        <v/>
      </c>
      <c r="D39" s="19" t="n">
        <v>1302</v>
      </c>
      <c r="E39" s="18" t="n">
        <v>61.87779042</v>
      </c>
      <c r="F39" s="20" t="n">
        <v>1.74765579</v>
      </c>
      <c r="G39" s="18" t="n">
        <v>37.5593231</v>
      </c>
      <c r="H39" s="20" t="n">
        <v>1.76631344</v>
      </c>
      <c r="I39" s="18" t="n">
        <v>0</v>
      </c>
      <c r="J39" s="20" t="n">
        <v>0</v>
      </c>
      <c r="K39" s="18" t="n">
        <v>0.28289614</v>
      </c>
      <c r="L39" s="20" t="n">
        <v>0.1479234</v>
      </c>
      <c r="M39" s="18" t="n">
        <v>0</v>
      </c>
      <c r="N39" s="20" t="n">
        <v>0</v>
      </c>
      <c r="O39" s="18" t="n">
        <v>0</v>
      </c>
      <c r="P39" s="20" t="n">
        <v>0</v>
      </c>
      <c r="Q39" s="18" t="n">
        <v>0.27999033</v>
      </c>
      <c r="R39" s="20" t="n">
        <v>0.13324889</v>
      </c>
    </row>
    <row r="40" spans="1:18">
      <c r="A40" s="15" t="s">
        <v>598</v>
      </c>
      <c r="B40" s="17" t="n">
        <v>14157</v>
      </c>
      <c r="C40" s="18">
        <f>(10992.0/B40*100)</f>
        <v/>
      </c>
      <c r="D40" s="19" t="n">
        <v>3165</v>
      </c>
      <c r="E40" s="18" t="n">
        <v>61.03785962</v>
      </c>
      <c r="F40" s="20" t="n">
        <v>1.49032747</v>
      </c>
      <c r="G40" s="18" t="n">
        <v>37.56989925</v>
      </c>
      <c r="H40" s="20" t="n">
        <v>1.56161917</v>
      </c>
      <c r="I40" s="18" t="n">
        <v>0</v>
      </c>
      <c r="J40" s="20" t="n">
        <v>0</v>
      </c>
      <c r="K40" s="18" t="n">
        <v>0.5084005</v>
      </c>
      <c r="L40" s="20" t="n">
        <v>0.21390795</v>
      </c>
      <c r="M40" s="18" t="n">
        <v>0</v>
      </c>
      <c r="N40" s="20" t="n">
        <v>0</v>
      </c>
      <c r="O40" s="18" t="n">
        <v>0</v>
      </c>
      <c r="P40" s="20" t="n">
        <v>0</v>
      </c>
      <c r="Q40" s="18" t="n">
        <v>0.88384063</v>
      </c>
      <c r="R40" s="20" t="n">
        <v>0.28956169</v>
      </c>
    </row>
    <row r="41" spans="1:18">
      <c r="A41" s="15" t="s">
        <v>599</v>
      </c>
      <c r="B41" s="17" t="n">
        <v>5712</v>
      </c>
      <c r="C41" s="18">
        <f>(4480.0/B41*100)</f>
        <v/>
      </c>
      <c r="D41" s="19" t="n">
        <v>1232</v>
      </c>
      <c r="E41" s="18" t="n">
        <v>60.59838393</v>
      </c>
      <c r="F41" s="20" t="n">
        <v>1.80366316</v>
      </c>
      <c r="G41" s="18" t="n">
        <v>38.43085615</v>
      </c>
      <c r="H41" s="20" t="n">
        <v>1.76677811</v>
      </c>
      <c r="I41" s="18" t="n">
        <v>0</v>
      </c>
      <c r="J41" s="20" t="n">
        <v>0</v>
      </c>
      <c r="K41" s="18" t="n">
        <v>0.1942453</v>
      </c>
      <c r="L41" s="20" t="n">
        <v>0.14885574</v>
      </c>
      <c r="M41" s="18" t="n">
        <v>0</v>
      </c>
      <c r="N41" s="20" t="n">
        <v>0</v>
      </c>
      <c r="O41" s="18" t="n">
        <v>0</v>
      </c>
      <c r="P41" s="20" t="n">
        <v>0</v>
      </c>
      <c r="Q41" s="18" t="n">
        <v>0.77651462</v>
      </c>
      <c r="R41" s="20" t="n">
        <v>0.26208875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(19299.0/B46*100)</f>
        <v/>
      </c>
      <c r="D46" s="19" t="n">
        <v>3842</v>
      </c>
      <c r="E46" s="18" t="n">
        <v>78.33146592</v>
      </c>
      <c r="F46" s="20" t="n">
        <v>1.00479306</v>
      </c>
      <c r="G46" s="18" t="n">
        <v>18.29154365</v>
      </c>
      <c r="H46" s="20" t="n">
        <v>0.91073411</v>
      </c>
      <c r="I46" s="18" t="n">
        <v>0</v>
      </c>
      <c r="J46" s="20" t="n">
        <v>0</v>
      </c>
      <c r="K46" s="18" t="n">
        <v>1.85175163</v>
      </c>
      <c r="L46" s="20" t="n">
        <v>0.32686854</v>
      </c>
      <c r="M46" s="18" t="n">
        <v>0</v>
      </c>
      <c r="N46" s="20" t="n">
        <v>0</v>
      </c>
      <c r="O46" s="18" t="n">
        <v>0</v>
      </c>
      <c r="P46" s="20" t="n">
        <v>0</v>
      </c>
      <c r="Q46" s="18" t="n">
        <v>1.5252388</v>
      </c>
      <c r="R46" s="20" t="n">
        <v>0.25844625</v>
      </c>
    </row>
    <row r="47" spans="1:18">
      <c r="A47" s="15" t="s">
        <v>606</v>
      </c>
      <c r="B47" s="17" t="n">
        <v>5928</v>
      </c>
      <c r="C47" s="18">
        <f>(4670.0/B47*100)</f>
        <v/>
      </c>
      <c r="D47" s="19" t="n">
        <v>1258</v>
      </c>
      <c r="E47" s="18" t="n">
        <v>59.4862683</v>
      </c>
      <c r="F47" s="20" t="n">
        <v>1.38980156</v>
      </c>
      <c r="G47" s="18" t="n">
        <v>38.57216332</v>
      </c>
      <c r="H47" s="20" t="n">
        <v>1.47271256</v>
      </c>
      <c r="I47" s="18" t="n">
        <v>0</v>
      </c>
      <c r="J47" s="20" t="n">
        <v>0</v>
      </c>
      <c r="K47" s="18" t="n">
        <v>0.95069064</v>
      </c>
      <c r="L47" s="20" t="n">
        <v>0.32834392</v>
      </c>
      <c r="M47" s="18" t="n">
        <v>0</v>
      </c>
      <c r="N47" s="20" t="n">
        <v>0</v>
      </c>
      <c r="O47" s="18" t="n">
        <v>0</v>
      </c>
      <c r="P47" s="20" t="n">
        <v>0</v>
      </c>
      <c r="Q47" s="18" t="n">
        <v>0.99087774</v>
      </c>
      <c r="R47" s="20" t="n">
        <v>0.3441161</v>
      </c>
    </row>
    <row r="48" spans="1:18">
      <c r="A48" s="15" t="s">
        <v>607</v>
      </c>
      <c r="B48" s="17" t="n">
        <v>9841</v>
      </c>
      <c r="C48" s="18">
        <f>(7646.0/B48*100)</f>
        <v/>
      </c>
      <c r="D48" s="19" t="n">
        <v>2195</v>
      </c>
      <c r="E48" s="18" t="n">
        <v>56.79749444</v>
      </c>
      <c r="F48" s="20" t="n">
        <v>1.65866718</v>
      </c>
      <c r="G48" s="18" t="n">
        <v>42.24815287</v>
      </c>
      <c r="H48" s="20" t="n">
        <v>1.66947756</v>
      </c>
      <c r="I48" s="18" t="n">
        <v>0</v>
      </c>
      <c r="J48" s="20" t="n">
        <v>0</v>
      </c>
      <c r="K48" s="18" t="n">
        <v>0.62136197</v>
      </c>
      <c r="L48" s="20" t="n">
        <v>0.29941613</v>
      </c>
      <c r="M48" s="18" t="n">
        <v>0</v>
      </c>
      <c r="N48" s="20" t="n">
        <v>0</v>
      </c>
      <c r="O48" s="18" t="n">
        <v>0</v>
      </c>
      <c r="P48" s="20" t="n">
        <v>0</v>
      </c>
      <c r="Q48" s="18" t="n">
        <v>0.33299072</v>
      </c>
      <c r="R48" s="20" t="n">
        <v>0.13089145</v>
      </c>
    </row>
    <row r="49" spans="1:18">
      <c r="A49" s="15" t="s">
        <v>608</v>
      </c>
      <c r="B49" s="17" t="n">
        <v>11795</v>
      </c>
      <c r="C49" s="18">
        <f>(9303.0/B49*100)</f>
        <v/>
      </c>
      <c r="D49" s="19" t="n">
        <v>2492</v>
      </c>
      <c r="E49" s="18" t="n">
        <v>84.51535991</v>
      </c>
      <c r="F49" s="20" t="n">
        <v>1.00742615</v>
      </c>
      <c r="G49" s="18" t="n">
        <v>11.77159067</v>
      </c>
      <c r="H49" s="20" t="n">
        <v>0.8940466500000001</v>
      </c>
      <c r="I49" s="18" t="n">
        <v>0</v>
      </c>
      <c r="J49" s="20" t="n">
        <v>0</v>
      </c>
      <c r="K49" s="18" t="n">
        <v>2.73833447</v>
      </c>
      <c r="L49" s="20" t="n">
        <v>0.46138392</v>
      </c>
      <c r="M49" s="18" t="n">
        <v>0</v>
      </c>
      <c r="N49" s="20" t="n">
        <v>0</v>
      </c>
      <c r="O49" s="18" t="n">
        <v>0</v>
      </c>
      <c r="P49" s="20" t="n">
        <v>0</v>
      </c>
      <c r="Q49" s="18" t="n">
        <v>0.97471496</v>
      </c>
      <c r="R49" s="20" t="n">
        <v>0.22907161</v>
      </c>
    </row>
    <row r="50" spans="1:18">
      <c r="A50" s="15" t="s">
        <v>609</v>
      </c>
      <c r="B50" s="17" t="n">
        <v>6866</v>
      </c>
      <c r="C50" s="18">
        <f>(5608.0/B50*100)</f>
        <v/>
      </c>
      <c r="D50" s="19" t="n">
        <v>1258</v>
      </c>
      <c r="E50" s="18" t="n">
        <v>83.73686701</v>
      </c>
      <c r="F50" s="20" t="n">
        <v>1.11748997</v>
      </c>
      <c r="G50" s="18" t="n">
        <v>14.54755037</v>
      </c>
      <c r="H50" s="20" t="n">
        <v>1.06085108</v>
      </c>
      <c r="I50" s="18" t="n">
        <v>0</v>
      </c>
      <c r="J50" s="20" t="n">
        <v>0</v>
      </c>
      <c r="K50" s="18" t="n">
        <v>1.27949228</v>
      </c>
      <c r="L50" s="20" t="n">
        <v>0.37852695</v>
      </c>
      <c r="M50" s="18" t="n">
        <v>0</v>
      </c>
      <c r="N50" s="20" t="n">
        <v>0</v>
      </c>
      <c r="O50" s="18" t="n">
        <v>0</v>
      </c>
      <c r="P50" s="20" t="n">
        <v>0</v>
      </c>
      <c r="Q50" s="18" t="n">
        <v>0.43609033</v>
      </c>
      <c r="R50" s="20" t="n">
        <v>0.17048597</v>
      </c>
    </row>
    <row r="51" spans="1:18">
      <c r="A51" s="15" t="s">
        <v>610</v>
      </c>
      <c r="B51" s="17" t="n">
        <v>5809</v>
      </c>
      <c r="C51" s="18">
        <f>(4518.0/B51*100)</f>
        <v/>
      </c>
      <c r="D51" s="19" t="n">
        <v>1291</v>
      </c>
      <c r="E51" s="18" t="n">
        <v>62.00047947</v>
      </c>
      <c r="F51" s="20" t="n">
        <v>1.34448557</v>
      </c>
      <c r="G51" s="18" t="n">
        <v>37.27847499</v>
      </c>
      <c r="H51" s="20" t="n">
        <v>1.41516776</v>
      </c>
      <c r="I51" s="18" t="n">
        <v>0</v>
      </c>
      <c r="J51" s="20" t="n">
        <v>0</v>
      </c>
      <c r="K51" s="18" t="n">
        <v>0.12788049</v>
      </c>
      <c r="L51" s="20" t="n">
        <v>0.09171561</v>
      </c>
      <c r="M51" s="18" t="n">
        <v>0</v>
      </c>
      <c r="N51" s="20" t="n">
        <v>0</v>
      </c>
      <c r="O51" s="18" t="n">
        <v>0</v>
      </c>
      <c r="P51" s="20" t="n">
        <v>0</v>
      </c>
      <c r="Q51" s="18" t="n">
        <v>0.59316505</v>
      </c>
      <c r="R51" s="20" t="n">
        <v>0.30235336</v>
      </c>
    </row>
    <row r="52" spans="1:18">
      <c r="A52" s="15" t="s">
        <v>611</v>
      </c>
      <c r="B52" s="17" t="n">
        <v>5571</v>
      </c>
      <c r="C52" s="18">
        <f>(4356.0/B52*100)</f>
        <v/>
      </c>
      <c r="D52" s="19" t="n">
        <v>1215</v>
      </c>
      <c r="E52" s="18" t="n">
        <v>74.18442505</v>
      </c>
      <c r="F52" s="20" t="n">
        <v>1.23750464</v>
      </c>
      <c r="G52" s="18" t="n">
        <v>23.75912187</v>
      </c>
      <c r="H52" s="20" t="n">
        <v>1.19208298</v>
      </c>
      <c r="I52" s="18" t="n">
        <v>0</v>
      </c>
      <c r="J52" s="20" t="n">
        <v>0</v>
      </c>
      <c r="K52" s="18" t="n">
        <v>0.67088548</v>
      </c>
      <c r="L52" s="20" t="n">
        <v>0.26111087</v>
      </c>
      <c r="M52" s="18" t="n">
        <v>0</v>
      </c>
      <c r="N52" s="20" t="n">
        <v>0</v>
      </c>
      <c r="O52" s="18" t="n">
        <v>0</v>
      </c>
      <c r="P52" s="20" t="n">
        <v>0</v>
      </c>
      <c r="Q52" s="18" t="n">
        <v>1.3855676</v>
      </c>
      <c r="R52" s="20" t="n">
        <v>0.30302735</v>
      </c>
    </row>
    <row r="53" spans="1:18">
      <c r="A53" s="15" t="s">
        <v>612</v>
      </c>
      <c r="B53" s="17" t="n">
        <v>4740</v>
      </c>
      <c r="C53" s="18">
        <f>(3727.0/B53*100)</f>
        <v/>
      </c>
      <c r="D53" s="19" t="n">
        <v>1013</v>
      </c>
      <c r="E53" s="18" t="n">
        <v>75.0790695</v>
      </c>
      <c r="F53" s="20" t="n">
        <v>1.49827301</v>
      </c>
      <c r="G53" s="18" t="n">
        <v>4.36780328</v>
      </c>
      <c r="H53" s="20" t="n">
        <v>0.58355969</v>
      </c>
      <c r="I53" s="18" t="n">
        <v>0</v>
      </c>
      <c r="J53" s="20" t="n">
        <v>0</v>
      </c>
      <c r="K53" s="18" t="n">
        <v>17.55179999</v>
      </c>
      <c r="L53" s="20" t="n">
        <v>1.53315116</v>
      </c>
      <c r="M53" s="18" t="n">
        <v>0</v>
      </c>
      <c r="N53" s="20" t="n">
        <v>0</v>
      </c>
      <c r="O53" s="18" t="n">
        <v>0</v>
      </c>
      <c r="P53" s="20" t="n">
        <v>0</v>
      </c>
      <c r="Q53" s="18" t="n">
        <v>3.00132723</v>
      </c>
      <c r="R53" s="20" t="n">
        <v>0.68475779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(4206.0/B55*100)</f>
        <v/>
      </c>
      <c r="D55" s="19" t="n">
        <v>1153</v>
      </c>
      <c r="E55" s="18" t="n">
        <v>49.42948209</v>
      </c>
      <c r="F55" s="20" t="n">
        <v>1.58654897</v>
      </c>
      <c r="G55" s="18" t="n">
        <v>50.23797434</v>
      </c>
      <c r="H55" s="20" t="n">
        <v>1.58082238</v>
      </c>
      <c r="I55" s="18" t="n">
        <v>0</v>
      </c>
      <c r="J55" s="20" t="n">
        <v>0</v>
      </c>
      <c r="K55" s="18" t="n">
        <v>0.23922986</v>
      </c>
      <c r="L55" s="20" t="n">
        <v>0.13429595</v>
      </c>
      <c r="M55" s="18" t="n">
        <v>0</v>
      </c>
      <c r="N55" s="20" t="n">
        <v>0</v>
      </c>
      <c r="O55" s="18" t="n">
        <v>0</v>
      </c>
      <c r="P55" s="20" t="n">
        <v>0</v>
      </c>
      <c r="Q55" s="18" t="n">
        <v>0.09331372</v>
      </c>
      <c r="R55" s="20" t="n">
        <v>0.09328874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(5079.0/B61*100)</f>
        <v/>
      </c>
      <c r="D61" s="19" t="n">
        <v>1446</v>
      </c>
      <c r="E61" s="18" t="n">
        <v>53.9179949</v>
      </c>
      <c r="F61" s="20" t="n">
        <v>1.55597469</v>
      </c>
      <c r="G61" s="18" t="n">
        <v>45.14210337</v>
      </c>
      <c r="H61" s="20" t="n">
        <v>1.50725809</v>
      </c>
      <c r="I61" s="18" t="n">
        <v>0</v>
      </c>
      <c r="J61" s="20" t="n">
        <v>0</v>
      </c>
      <c r="K61" s="18" t="n">
        <v>0.34057681</v>
      </c>
      <c r="L61" s="20" t="n">
        <v>0.15627386</v>
      </c>
      <c r="M61" s="18" t="n">
        <v>0</v>
      </c>
      <c r="N61" s="20" t="n">
        <v>0</v>
      </c>
      <c r="O61" s="18" t="n">
        <v>0</v>
      </c>
      <c r="P61" s="20" t="n">
        <v>0</v>
      </c>
      <c r="Q61" s="18" t="n">
        <v>0.59932492</v>
      </c>
      <c r="R61" s="20" t="n">
        <v>0.28158996</v>
      </c>
    </row>
    <row r="62" spans="1:18">
      <c r="A62" s="15" t="s">
        <v>622</v>
      </c>
      <c r="B62" s="17" t="n">
        <v>4476</v>
      </c>
      <c r="C62" s="18">
        <f>(3506.0/B62*100)</f>
        <v/>
      </c>
      <c r="D62" s="19" t="n">
        <v>970</v>
      </c>
      <c r="E62" s="18" t="n">
        <v>54.86516543</v>
      </c>
      <c r="F62" s="20" t="n">
        <v>1.63010654</v>
      </c>
      <c r="G62" s="18" t="n">
        <v>45.13483457</v>
      </c>
      <c r="H62" s="20" t="n">
        <v>1.63010654</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(4486.0/B67*100)</f>
        <v/>
      </c>
      <c r="D67" s="19" t="n">
        <v>1179</v>
      </c>
      <c r="E67" s="18" t="n">
        <v>74.35007575</v>
      </c>
      <c r="F67" s="20" t="n">
        <v>1.25058413</v>
      </c>
      <c r="G67" s="18" t="n">
        <v>20.9487882</v>
      </c>
      <c r="H67" s="20" t="n">
        <v>1.14518133</v>
      </c>
      <c r="I67" s="18" t="n">
        <v>0</v>
      </c>
      <c r="J67" s="20" t="n">
        <v>0</v>
      </c>
      <c r="K67" s="18" t="n">
        <v>1.54672129</v>
      </c>
      <c r="L67" s="20" t="n">
        <v>0.38731913</v>
      </c>
      <c r="M67" s="18" t="n">
        <v>0</v>
      </c>
      <c r="N67" s="20" t="n">
        <v>0</v>
      </c>
      <c r="O67" s="18" t="n">
        <v>0</v>
      </c>
      <c r="P67" s="20" t="n">
        <v>0</v>
      </c>
      <c r="Q67" s="18" t="n">
        <v>3.15441475</v>
      </c>
      <c r="R67" s="20" t="n">
        <v>0.44731548</v>
      </c>
    </row>
    <row r="68" spans="1:18">
      <c r="A68" s="15" t="s">
        <v>628</v>
      </c>
      <c r="B68" s="17" t="n">
        <v>6971</v>
      </c>
      <c r="C68" s="18">
        <f>(5688.0/B68*100)</f>
        <v/>
      </c>
      <c r="D68" s="19" t="n">
        <v>1283</v>
      </c>
      <c r="E68" s="18" t="n">
        <v>86.76610262</v>
      </c>
      <c r="F68" s="20" t="n">
        <v>1.1680704</v>
      </c>
      <c r="G68" s="18" t="n">
        <v>12.38738189</v>
      </c>
      <c r="H68" s="20" t="n">
        <v>1.13957479</v>
      </c>
      <c r="I68" s="18" t="n">
        <v>0</v>
      </c>
      <c r="J68" s="20" t="n">
        <v>0</v>
      </c>
      <c r="K68" s="18" t="n">
        <v>0.41013343</v>
      </c>
      <c r="L68" s="20" t="n">
        <v>0.18462959</v>
      </c>
      <c r="M68" s="18" t="n">
        <v>0</v>
      </c>
      <c r="N68" s="20" t="n">
        <v>0</v>
      </c>
      <c r="O68" s="18" t="n">
        <v>0</v>
      </c>
      <c r="P68" s="20" t="n">
        <v>0</v>
      </c>
      <c r="Q68" s="18" t="n">
        <v>0.43638205</v>
      </c>
      <c r="R68" s="20" t="n">
        <v>0.20202833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(9452.0/B70*100)</f>
        <v/>
      </c>
      <c r="D70" s="19" t="n">
        <v>2631</v>
      </c>
      <c r="E70" s="18" t="n">
        <v>65.22884875</v>
      </c>
      <c r="F70" s="20" t="n">
        <v>1.04676754</v>
      </c>
      <c r="G70" s="18" t="n">
        <v>30.25565486</v>
      </c>
      <c r="H70" s="20" t="n">
        <v>1.01362078</v>
      </c>
      <c r="I70" s="18" t="n">
        <v>0</v>
      </c>
      <c r="J70" s="20" t="n">
        <v>0</v>
      </c>
      <c r="K70" s="18" t="n">
        <v>3.28258467</v>
      </c>
      <c r="L70" s="20" t="n">
        <v>0.36236706</v>
      </c>
      <c r="M70" s="18" t="n">
        <v>0</v>
      </c>
      <c r="N70" s="20" t="n">
        <v>0</v>
      </c>
      <c r="O70" s="18" t="n">
        <v>0</v>
      </c>
      <c r="P70" s="20" t="n">
        <v>0</v>
      </c>
      <c r="Q70" s="18" t="n">
        <v>1.23291173</v>
      </c>
      <c r="R70" s="20" t="n">
        <v>0.20568834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(4745.0/B72*100)</f>
        <v/>
      </c>
      <c r="D72" s="19" t="n">
        <v>1291</v>
      </c>
      <c r="E72" s="18" t="n">
        <v>51.58514147</v>
      </c>
      <c r="F72" s="20" t="n">
        <v>1.44720699</v>
      </c>
      <c r="G72" s="18" t="n">
        <v>47.54315563</v>
      </c>
      <c r="H72" s="20" t="n">
        <v>1.35708085</v>
      </c>
      <c r="I72" s="18" t="n">
        <v>0</v>
      </c>
      <c r="J72" s="20" t="n">
        <v>0</v>
      </c>
      <c r="K72" s="18" t="n">
        <v>0.52647495</v>
      </c>
      <c r="L72" s="20" t="n">
        <v>0.24727899</v>
      </c>
      <c r="M72" s="18" t="n">
        <v>0</v>
      </c>
      <c r="N72" s="20" t="n">
        <v>0</v>
      </c>
      <c r="O72" s="18" t="n">
        <v>0</v>
      </c>
      <c r="P72" s="20" t="n">
        <v>0</v>
      </c>
      <c r="Q72" s="18" t="n">
        <v>0.34522794</v>
      </c>
      <c r="R72" s="20" t="n">
        <v>0.16376299</v>
      </c>
    </row>
    <row r="73" spans="1:18">
      <c r="A73" s="15" t="s">
        <v>633</v>
      </c>
      <c r="B73" s="17" t="n">
        <v>6115</v>
      </c>
      <c r="C73" s="18">
        <f>(4744.0/B73*100)</f>
        <v/>
      </c>
      <c r="D73" s="19" t="n">
        <v>1371</v>
      </c>
      <c r="E73" s="18" t="n">
        <v>47.14812314</v>
      </c>
      <c r="F73" s="20" t="n">
        <v>1.47970346</v>
      </c>
      <c r="G73" s="18" t="n">
        <v>52.3500071</v>
      </c>
      <c r="H73" s="20" t="n">
        <v>1.51138382</v>
      </c>
      <c r="I73" s="18" t="n">
        <v>0</v>
      </c>
      <c r="J73" s="20" t="n">
        <v>0</v>
      </c>
      <c r="K73" s="18" t="n">
        <v>0.4608577</v>
      </c>
      <c r="L73" s="20" t="n">
        <v>0.18018875</v>
      </c>
      <c r="M73" s="18" t="n">
        <v>0</v>
      </c>
      <c r="N73" s="20" t="n">
        <v>0</v>
      </c>
      <c r="O73" s="18" t="n">
        <v>0</v>
      </c>
      <c r="P73" s="20" t="n">
        <v>0</v>
      </c>
      <c r="Q73" s="18" t="n">
        <v>0.04101206</v>
      </c>
      <c r="R73" s="20" t="n">
        <v>0.04120756</v>
      </c>
    </row>
    <row r="74" spans="1:18">
      <c r="A74" s="15" t="s">
        <v>634</v>
      </c>
      <c r="B74" s="17" t="n">
        <v>7708</v>
      </c>
      <c r="C74" s="18">
        <f>(5959.0/B74*100)</f>
        <v/>
      </c>
      <c r="D74" s="19" t="n">
        <v>1749</v>
      </c>
      <c r="E74" s="18" t="n">
        <v>42.98760614</v>
      </c>
      <c r="F74" s="20" t="n">
        <v>1.19477637</v>
      </c>
      <c r="G74" s="18" t="n">
        <v>56.5756922</v>
      </c>
      <c r="H74" s="20" t="n">
        <v>1.17554133</v>
      </c>
      <c r="I74" s="18" t="n">
        <v>0</v>
      </c>
      <c r="J74" s="20" t="n">
        <v>0</v>
      </c>
      <c r="K74" s="18" t="n">
        <v>0.24077081</v>
      </c>
      <c r="L74" s="20" t="n">
        <v>0.12576886</v>
      </c>
      <c r="M74" s="18" t="n">
        <v>0</v>
      </c>
      <c r="N74" s="20" t="n">
        <v>0</v>
      </c>
      <c r="O74" s="18" t="n">
        <v>0</v>
      </c>
      <c r="P74" s="20" t="n">
        <v>0</v>
      </c>
      <c r="Q74" s="18" t="n">
        <v>0.19593085</v>
      </c>
      <c r="R74" s="20" t="n">
        <v>0.1004992</v>
      </c>
    </row>
    <row r="75" spans="1:18">
      <c r="A75" s="15" t="s">
        <v>635</v>
      </c>
      <c r="B75" s="17" t="n">
        <v>8249</v>
      </c>
      <c r="C75" s="18">
        <f>(6518.0/B75*100)</f>
        <v/>
      </c>
      <c r="D75" s="19" t="n">
        <v>1731</v>
      </c>
      <c r="E75" s="18" t="n">
        <v>77.59400744</v>
      </c>
      <c r="F75" s="20" t="n">
        <v>1.38240024</v>
      </c>
      <c r="G75" s="18" t="n">
        <v>21.93915571</v>
      </c>
      <c r="H75" s="20" t="n">
        <v>1.3364936</v>
      </c>
      <c r="I75" s="18" t="n">
        <v>0</v>
      </c>
      <c r="J75" s="20" t="n">
        <v>0</v>
      </c>
      <c r="K75" s="18" t="n">
        <v>0.24531405</v>
      </c>
      <c r="L75" s="20" t="n">
        <v>0.13885478</v>
      </c>
      <c r="M75" s="18" t="n">
        <v>0</v>
      </c>
      <c r="N75" s="20" t="n">
        <v>0</v>
      </c>
      <c r="O75" s="18" t="n">
        <v>0</v>
      </c>
      <c r="P75" s="20" t="n">
        <v>0</v>
      </c>
      <c r="Q75" s="18" t="n">
        <v>0.2215228</v>
      </c>
      <c r="R75" s="20" t="n">
        <v>0.14099314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(4313.0/B77*100)</f>
        <v/>
      </c>
      <c r="D77" s="19" t="n">
        <v>1062</v>
      </c>
      <c r="E77" s="18" t="n">
        <v>76.29365869999999</v>
      </c>
      <c r="F77" s="20" t="n">
        <v>1.39202787</v>
      </c>
      <c r="G77" s="18" t="n">
        <v>17.56904619</v>
      </c>
      <c r="H77" s="20" t="n">
        <v>1.22293878</v>
      </c>
      <c r="I77" s="18" t="n">
        <v>0</v>
      </c>
      <c r="J77" s="20" t="n">
        <v>0</v>
      </c>
      <c r="K77" s="18" t="n">
        <v>4.13592261</v>
      </c>
      <c r="L77" s="20" t="n">
        <v>0.77635675</v>
      </c>
      <c r="M77" s="18" t="n">
        <v>0</v>
      </c>
      <c r="N77" s="20" t="n">
        <v>0</v>
      </c>
      <c r="O77" s="18" t="n">
        <v>0</v>
      </c>
      <c r="P77" s="20" t="n">
        <v>0</v>
      </c>
      <c r="Q77" s="18" t="n">
        <v>2.0013725</v>
      </c>
      <c r="R77" s="20" t="n">
        <v>0.33851716</v>
      </c>
    </row>
    <row r="78" spans="1:18">
      <c r="A78" s="15" t="s">
        <v>638</v>
      </c>
      <c r="B78" s="17" t="n">
        <v>14167</v>
      </c>
      <c r="C78" s="18">
        <f>(11066.0/B78*100)</f>
        <v/>
      </c>
      <c r="D78" s="19" t="n">
        <v>3101</v>
      </c>
      <c r="E78" s="18" t="n">
        <v>64.76803549</v>
      </c>
      <c r="F78" s="20" t="n">
        <v>0.98769996</v>
      </c>
      <c r="G78" s="18" t="n">
        <v>33.42421143</v>
      </c>
      <c r="H78" s="20" t="n">
        <v>1.00102708</v>
      </c>
      <c r="I78" s="18" t="n">
        <v>0</v>
      </c>
      <c r="J78" s="20" t="n">
        <v>0</v>
      </c>
      <c r="K78" s="18" t="n">
        <v>0.89460469</v>
      </c>
      <c r="L78" s="20" t="n">
        <v>0.17986006</v>
      </c>
      <c r="M78" s="18" t="n">
        <v>0</v>
      </c>
      <c r="N78" s="20" t="n">
        <v>0</v>
      </c>
      <c r="O78" s="18" t="n">
        <v>0</v>
      </c>
      <c r="P78" s="20" t="n">
        <v>0</v>
      </c>
      <c r="Q78" s="18" t="n">
        <v>0.91314839</v>
      </c>
      <c r="R78" s="20" t="n">
        <v>0.21909674</v>
      </c>
    </row>
    <row r="79" spans="1:18">
      <c r="A79" s="15" t="s">
        <v>639</v>
      </c>
      <c r="B79" s="17" t="n">
        <v>6062</v>
      </c>
      <c r="C79" s="18">
        <f>(4779.0/B79*100)</f>
        <v/>
      </c>
      <c r="D79" s="19" t="n">
        <v>1283</v>
      </c>
      <c r="E79" s="18" t="n">
        <v>72.19877352</v>
      </c>
      <c r="F79" s="20" t="n">
        <v>1.58951518</v>
      </c>
      <c r="G79" s="18" t="n">
        <v>24.68593878</v>
      </c>
      <c r="H79" s="20" t="n">
        <v>1.45305268</v>
      </c>
      <c r="I79" s="18" t="n">
        <v>0</v>
      </c>
      <c r="J79" s="20" t="n">
        <v>0</v>
      </c>
      <c r="K79" s="18" t="n">
        <v>1.37079519</v>
      </c>
      <c r="L79" s="20" t="n">
        <v>0.31762032</v>
      </c>
      <c r="M79" s="18" t="n">
        <v>0</v>
      </c>
      <c r="N79" s="20" t="n">
        <v>0</v>
      </c>
      <c r="O79" s="18" t="n">
        <v>0</v>
      </c>
      <c r="P79" s="20" t="n">
        <v>0</v>
      </c>
      <c r="Q79" s="18" t="n">
        <v>1.7444925</v>
      </c>
      <c r="R79" s="20" t="n">
        <v>0.40603368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(25357.0/B82*100)</f>
        <v/>
      </c>
      <c r="D82" s="19" t="n">
        <v>6973</v>
      </c>
      <c r="E82" s="18" t="n">
        <v>60.54856104</v>
      </c>
      <c r="F82" s="20" t="n">
        <v>0.98865604</v>
      </c>
      <c r="G82" s="18" t="n">
        <v>38.49760577</v>
      </c>
      <c r="H82" s="20" t="n">
        <v>1.00321337</v>
      </c>
      <c r="I82" s="18" t="n">
        <v>0</v>
      </c>
      <c r="J82" s="20" t="n">
        <v>0</v>
      </c>
      <c r="K82" s="18" t="n">
        <v>0.50872383</v>
      </c>
      <c r="L82" s="20" t="n">
        <v>0.13338382</v>
      </c>
      <c r="M82" s="18" t="n">
        <v>0</v>
      </c>
      <c r="N82" s="20" t="n">
        <v>0</v>
      </c>
      <c r="O82" s="18" t="n">
        <v>0</v>
      </c>
      <c r="P82" s="20" t="n">
        <v>0</v>
      </c>
      <c r="Q82" s="18" t="n">
        <v>0.44510937</v>
      </c>
      <c r="R82" s="20" t="n">
        <v>0.14211581</v>
      </c>
    </row>
    <row r="83" spans="1:18">
      <c r="A83" s="15" t="s">
        <v>643</v>
      </c>
      <c r="B83" s="17" t="n">
        <v>1652</v>
      </c>
      <c r="C83" s="18">
        <f>(1300.0/B83*100)</f>
        <v/>
      </c>
      <c r="D83" s="19" t="n">
        <v>352</v>
      </c>
      <c r="E83" s="18" t="n">
        <v>54.21237936</v>
      </c>
      <c r="F83" s="20" t="n">
        <v>2.71583869</v>
      </c>
      <c r="G83" s="18" t="n">
        <v>45.19119186</v>
      </c>
      <c r="H83" s="20" t="n">
        <v>2.88646269</v>
      </c>
      <c r="I83" s="18" t="n">
        <v>0</v>
      </c>
      <c r="J83" s="20" t="n">
        <v>0</v>
      </c>
      <c r="K83" s="18" t="n">
        <v>0</v>
      </c>
      <c r="L83" s="20" t="n">
        <v>0</v>
      </c>
      <c r="M83" s="18" t="n">
        <v>0</v>
      </c>
      <c r="N83" s="20" t="n">
        <v>0</v>
      </c>
      <c r="O83" s="18" t="n">
        <v>0</v>
      </c>
      <c r="P83" s="20" t="n">
        <v>0</v>
      </c>
      <c r="Q83" s="18" t="n">
        <v>0.5964287700000001</v>
      </c>
      <c r="R83" s="20" t="n">
        <v>0.41303108</v>
      </c>
    </row>
    <row r="84" spans="1:18">
      <c r="A84" s="23" t="s">
        <v>644</v>
      </c>
      <c r="B84" s="24" t="n">
        <v>1887</v>
      </c>
      <c r="C84" s="25">
        <f>(1476.0/B84*100)</f>
        <v/>
      </c>
      <c r="D84" s="19" t="n">
        <v>411</v>
      </c>
      <c r="E84" s="18" t="n">
        <v>57.86645967</v>
      </c>
      <c r="F84" s="20" t="n">
        <v>2.5300955</v>
      </c>
      <c r="G84" s="18" t="n">
        <v>41.43680275</v>
      </c>
      <c r="H84" s="20" t="n">
        <v>2.56299225</v>
      </c>
      <c r="I84" s="18" t="n">
        <v>0</v>
      </c>
      <c r="J84" s="20" t="n">
        <v>0</v>
      </c>
      <c r="K84" s="18" t="n">
        <v>0</v>
      </c>
      <c r="L84" s="20" t="n">
        <v>0</v>
      </c>
      <c r="M84" s="18" t="n">
        <v>0</v>
      </c>
      <c r="N84" s="20" t="n">
        <v>0</v>
      </c>
      <c r="O84" s="18" t="n">
        <v>0</v>
      </c>
      <c r="P84" s="20" t="n">
        <v>0</v>
      </c>
      <c r="Q84" s="18" t="n">
        <v>0.69673759</v>
      </c>
      <c r="R84" s="20" t="n">
        <v>0.39394634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(11440.0/B7*100)</f>
        <v/>
      </c>
      <c r="D7" s="19" t="n">
        <v>3090</v>
      </c>
      <c r="E7" s="18" t="n">
        <v>34.89004965</v>
      </c>
      <c r="F7" s="20" t="n">
        <v>1.0189578</v>
      </c>
      <c r="G7" s="18" t="n">
        <v>63.08571425</v>
      </c>
      <c r="H7" s="20" t="n">
        <v>1.05380214</v>
      </c>
      <c r="I7" s="18" t="n">
        <v>0</v>
      </c>
      <c r="J7" s="20" t="n">
        <v>0</v>
      </c>
      <c r="K7" s="18" t="n">
        <v>0.52802485</v>
      </c>
      <c r="L7" s="20" t="n">
        <v>0.13935104</v>
      </c>
      <c r="M7" s="18" t="n">
        <v>0.13753295</v>
      </c>
      <c r="N7" s="20" t="n">
        <v>0.0899725</v>
      </c>
      <c r="O7" s="18" t="n">
        <v>0</v>
      </c>
      <c r="P7" s="20" t="n">
        <v>0</v>
      </c>
      <c r="Q7" s="18" t="n">
        <v>1.3586783</v>
      </c>
      <c r="R7" s="20" t="n">
        <v>0.22637608</v>
      </c>
    </row>
    <row r="8" spans="1:18">
      <c r="A8" s="15" t="s">
        <v>566</v>
      </c>
      <c r="B8" s="17" t="n">
        <v>7007</v>
      </c>
      <c r="C8" s="18">
        <f>(5473.0/B8*100)</f>
        <v/>
      </c>
      <c r="D8" s="19" t="n">
        <v>1534</v>
      </c>
      <c r="E8" s="18" t="n">
        <v>50.29218473</v>
      </c>
      <c r="F8" s="20" t="n">
        <v>1.64104134</v>
      </c>
      <c r="G8" s="18" t="n">
        <v>48.68642341</v>
      </c>
      <c r="H8" s="20" t="n">
        <v>1.69114188</v>
      </c>
      <c r="I8" s="18" t="n">
        <v>0</v>
      </c>
      <c r="J8" s="20" t="n">
        <v>0</v>
      </c>
      <c r="K8" s="18" t="n">
        <v>0.14270672</v>
      </c>
      <c r="L8" s="20" t="n">
        <v>0.10827237</v>
      </c>
      <c r="M8" s="18" t="n">
        <v>0</v>
      </c>
      <c r="N8" s="20" t="n">
        <v>0</v>
      </c>
      <c r="O8" s="18" t="n">
        <v>0</v>
      </c>
      <c r="P8" s="20" t="n">
        <v>0</v>
      </c>
      <c r="Q8" s="18" t="n">
        <v>0.87868515</v>
      </c>
      <c r="R8" s="20" t="n">
        <v>0.21436143</v>
      </c>
    </row>
    <row r="9" spans="1:18">
      <c r="A9" s="15" t="s">
        <v>567</v>
      </c>
      <c r="B9" s="17" t="n">
        <v>9651</v>
      </c>
      <c r="C9" s="18">
        <f>(7635.0/B9*100)</f>
        <v/>
      </c>
      <c r="D9" s="19" t="n">
        <v>2016</v>
      </c>
      <c r="E9" s="18" t="n">
        <v>37.77827573</v>
      </c>
      <c r="F9" s="20" t="n">
        <v>1.16131235</v>
      </c>
      <c r="G9" s="18" t="n">
        <v>59.57492149</v>
      </c>
      <c r="H9" s="20" t="n">
        <v>1.22946464</v>
      </c>
      <c r="I9" s="18" t="n">
        <v>0</v>
      </c>
      <c r="J9" s="20" t="n">
        <v>0</v>
      </c>
      <c r="K9" s="18" t="n">
        <v>0.6011956899999999</v>
      </c>
      <c r="L9" s="20" t="n">
        <v>0.15572205</v>
      </c>
      <c r="M9" s="18" t="n">
        <v>0.2404949</v>
      </c>
      <c r="N9" s="20" t="n">
        <v>0.11517359</v>
      </c>
      <c r="O9" s="18" t="n">
        <v>0</v>
      </c>
      <c r="P9" s="20" t="n">
        <v>0</v>
      </c>
      <c r="Q9" s="18" t="n">
        <v>1.8051122</v>
      </c>
      <c r="R9" s="20" t="n">
        <v>0.34344197</v>
      </c>
    </row>
    <row r="10" spans="1:18">
      <c r="A10" s="15" t="s">
        <v>568</v>
      </c>
      <c r="B10" s="17" t="n">
        <v>20058</v>
      </c>
      <c r="C10" s="18">
        <f>(15736.0/B10*100)</f>
        <v/>
      </c>
      <c r="D10" s="19" t="n">
        <v>4322</v>
      </c>
      <c r="E10" s="18" t="n">
        <v>35.43792947</v>
      </c>
      <c r="F10" s="20" t="n">
        <v>1.04530308</v>
      </c>
      <c r="G10" s="18" t="n">
        <v>62.8954497</v>
      </c>
      <c r="H10" s="20" t="n">
        <v>1.14061479</v>
      </c>
      <c r="I10" s="18" t="n">
        <v>0</v>
      </c>
      <c r="J10" s="20" t="n">
        <v>0</v>
      </c>
      <c r="K10" s="18" t="n">
        <v>0.7780603699999999</v>
      </c>
      <c r="L10" s="20" t="n">
        <v>0.19718969</v>
      </c>
      <c r="M10" s="18" t="n">
        <v>0.0209246</v>
      </c>
      <c r="N10" s="20" t="n">
        <v>0.01476813</v>
      </c>
      <c r="O10" s="18" t="n">
        <v>0</v>
      </c>
      <c r="P10" s="20" t="n">
        <v>0</v>
      </c>
      <c r="Q10" s="18" t="n">
        <v>0.86763587</v>
      </c>
      <c r="R10" s="20" t="n">
        <v>0.20532113</v>
      </c>
    </row>
    <row r="11" spans="1:18">
      <c r="A11" s="15" t="s">
        <v>569</v>
      </c>
      <c r="B11" s="17" t="n">
        <v>7053</v>
      </c>
      <c r="C11" s="18">
        <f>(5598.0/B11*100)</f>
        <v/>
      </c>
      <c r="D11" s="19" t="n">
        <v>1455</v>
      </c>
      <c r="E11" s="18" t="n">
        <v>56.86789133</v>
      </c>
      <c r="F11" s="20" t="n">
        <v>1.45966334</v>
      </c>
      <c r="G11" s="18" t="n">
        <v>38.59702889</v>
      </c>
      <c r="H11" s="20" t="n">
        <v>1.54694847</v>
      </c>
      <c r="I11" s="18" t="n">
        <v>0</v>
      </c>
      <c r="J11" s="20" t="n">
        <v>0</v>
      </c>
      <c r="K11" s="18" t="n">
        <v>2.02697854</v>
      </c>
      <c r="L11" s="20" t="n">
        <v>0.41637596</v>
      </c>
      <c r="M11" s="18" t="n">
        <v>0.00738441</v>
      </c>
      <c r="N11" s="20" t="n">
        <v>0.00743947</v>
      </c>
      <c r="O11" s="18" t="n">
        <v>0</v>
      </c>
      <c r="P11" s="20" t="n">
        <v>0</v>
      </c>
      <c r="Q11" s="18" t="n">
        <v>2.50071683</v>
      </c>
      <c r="R11" s="20" t="n">
        <v>0.50741695</v>
      </c>
    </row>
    <row r="12" spans="1:18">
      <c r="A12" s="15" t="s">
        <v>570</v>
      </c>
      <c r="B12" s="17" t="n">
        <v>6894</v>
      </c>
      <c r="C12" s="18">
        <f>(5432.0/B12*100)</f>
        <v/>
      </c>
      <c r="D12" s="19" t="n">
        <v>1462</v>
      </c>
      <c r="E12" s="18" t="n">
        <v>49.14864032</v>
      </c>
      <c r="F12" s="20" t="n">
        <v>1.42958671</v>
      </c>
      <c r="G12" s="18" t="n">
        <v>48.9124282</v>
      </c>
      <c r="H12" s="20" t="n">
        <v>1.46780676</v>
      </c>
      <c r="I12" s="18" t="n">
        <v>0</v>
      </c>
      <c r="J12" s="20" t="n">
        <v>0</v>
      </c>
      <c r="K12" s="18" t="n">
        <v>0.48277562</v>
      </c>
      <c r="L12" s="20" t="n">
        <v>0.22328623</v>
      </c>
      <c r="M12" s="18" t="n">
        <v>0</v>
      </c>
      <c r="N12" s="20" t="n">
        <v>0</v>
      </c>
      <c r="O12" s="18" t="n">
        <v>0</v>
      </c>
      <c r="P12" s="20" t="n">
        <v>0</v>
      </c>
      <c r="Q12" s="18" t="n">
        <v>1.45615585</v>
      </c>
      <c r="R12" s="20" t="n">
        <v>0.32683548</v>
      </c>
    </row>
    <row r="13" spans="1:18">
      <c r="A13" s="15" t="s">
        <v>571</v>
      </c>
      <c r="B13" s="17" t="n">
        <v>7161</v>
      </c>
      <c r="C13" s="18">
        <f>(5679.0/B13*100)</f>
        <v/>
      </c>
      <c r="D13" s="19" t="n">
        <v>1482</v>
      </c>
      <c r="E13" s="18" t="n">
        <v>41.49475237</v>
      </c>
      <c r="F13" s="20" t="n">
        <v>1.69847583</v>
      </c>
      <c r="G13" s="18" t="n">
        <v>57.79366238</v>
      </c>
      <c r="H13" s="20" t="n">
        <v>1.73114729</v>
      </c>
      <c r="I13" s="18" t="n">
        <v>0</v>
      </c>
      <c r="J13" s="20" t="n">
        <v>0</v>
      </c>
      <c r="K13" s="18" t="n">
        <v>0.4523586</v>
      </c>
      <c r="L13" s="20" t="n">
        <v>0.19158546</v>
      </c>
      <c r="M13" s="18" t="n">
        <v>0.0136439</v>
      </c>
      <c r="N13" s="20" t="n">
        <v>0.01358329</v>
      </c>
      <c r="O13" s="18" t="n">
        <v>0</v>
      </c>
      <c r="P13" s="20" t="n">
        <v>0</v>
      </c>
      <c r="Q13" s="18" t="n">
        <v>0.24558275</v>
      </c>
      <c r="R13" s="20" t="n">
        <v>0.08175714000000001</v>
      </c>
    </row>
    <row r="14" spans="1:18">
      <c r="A14" s="15" t="s">
        <v>572</v>
      </c>
      <c r="B14" s="17" t="n">
        <v>5587</v>
      </c>
      <c r="C14" s="18">
        <f>(4379.0/B14*100)</f>
        <v/>
      </c>
      <c r="D14" s="19" t="n">
        <v>1208</v>
      </c>
      <c r="E14" s="18" t="n">
        <v>28.89399533</v>
      </c>
      <c r="F14" s="20" t="n">
        <v>1.24723045</v>
      </c>
      <c r="G14" s="18" t="n">
        <v>69.79274518</v>
      </c>
      <c r="H14" s="20" t="n">
        <v>1.28281275</v>
      </c>
      <c r="I14" s="18" t="n">
        <v>0</v>
      </c>
      <c r="J14" s="20" t="n">
        <v>0</v>
      </c>
      <c r="K14" s="18" t="n">
        <v>0.19233527</v>
      </c>
      <c r="L14" s="20" t="n">
        <v>0.11096508</v>
      </c>
      <c r="M14" s="18" t="n">
        <v>0</v>
      </c>
      <c r="N14" s="20" t="n">
        <v>0</v>
      </c>
      <c r="O14" s="18" t="n">
        <v>0</v>
      </c>
      <c r="P14" s="20" t="n">
        <v>0</v>
      </c>
      <c r="Q14" s="18" t="n">
        <v>1.12092422</v>
      </c>
      <c r="R14" s="20" t="n">
        <v>0.34527156</v>
      </c>
    </row>
    <row r="15" spans="1:18">
      <c r="A15" s="15" t="s">
        <v>573</v>
      </c>
      <c r="B15" s="17" t="n">
        <v>5882</v>
      </c>
      <c r="C15" s="18">
        <f>(4637.0/B15*100)</f>
        <v/>
      </c>
      <c r="D15" s="19" t="n">
        <v>1245</v>
      </c>
      <c r="E15" s="18" t="n">
        <v>32.47712377</v>
      </c>
      <c r="F15" s="20" t="n">
        <v>1.43100399</v>
      </c>
      <c r="G15" s="18" t="n">
        <v>66.77838484</v>
      </c>
      <c r="H15" s="20" t="n">
        <v>1.46984648</v>
      </c>
      <c r="I15" s="18" t="n">
        <v>0</v>
      </c>
      <c r="J15" s="20" t="n">
        <v>0</v>
      </c>
      <c r="K15" s="18" t="n">
        <v>0.39550708</v>
      </c>
      <c r="L15" s="20" t="n">
        <v>0.17803264</v>
      </c>
      <c r="M15" s="18" t="n">
        <v>0</v>
      </c>
      <c r="N15" s="20" t="n">
        <v>0</v>
      </c>
      <c r="O15" s="18" t="n">
        <v>0</v>
      </c>
      <c r="P15" s="20" t="n">
        <v>0</v>
      </c>
      <c r="Q15" s="18" t="n">
        <v>0.34898431</v>
      </c>
      <c r="R15" s="20" t="n">
        <v>0.12055643</v>
      </c>
    </row>
    <row r="16" spans="1:18">
      <c r="A16" s="15" t="s">
        <v>574</v>
      </c>
      <c r="B16" s="17" t="n">
        <v>6108</v>
      </c>
      <c r="C16" s="18">
        <f>(4783.0/B16*100)</f>
        <v/>
      </c>
      <c r="D16" s="19" t="n">
        <v>1325</v>
      </c>
      <c r="E16" s="18" t="n">
        <v>36.76718166</v>
      </c>
      <c r="F16" s="20" t="n">
        <v>1.18419905</v>
      </c>
      <c r="G16" s="18" t="n">
        <v>57.30504683</v>
      </c>
      <c r="H16" s="20" t="n">
        <v>1.39787225</v>
      </c>
      <c r="I16" s="18" t="n">
        <v>0</v>
      </c>
      <c r="J16" s="20" t="n">
        <v>0</v>
      </c>
      <c r="K16" s="18" t="n">
        <v>2.12062871</v>
      </c>
      <c r="L16" s="20" t="n">
        <v>0.49247684</v>
      </c>
      <c r="M16" s="18" t="n">
        <v>0</v>
      </c>
      <c r="N16" s="20" t="n">
        <v>0</v>
      </c>
      <c r="O16" s="18" t="n">
        <v>0</v>
      </c>
      <c r="P16" s="20" t="n">
        <v>0</v>
      </c>
      <c r="Q16" s="18" t="n">
        <v>3.8071428</v>
      </c>
      <c r="R16" s="20" t="n">
        <v>0.51795624</v>
      </c>
    </row>
    <row r="17" spans="1:18">
      <c r="A17" s="15" t="s">
        <v>575</v>
      </c>
      <c r="B17" s="17" t="n">
        <v>6504</v>
      </c>
      <c r="C17" s="18">
        <f>(5107.0/B17*100)</f>
        <v/>
      </c>
      <c r="D17" s="19" t="n">
        <v>1397</v>
      </c>
      <c r="E17" s="18" t="n">
        <v>38.9268998</v>
      </c>
      <c r="F17" s="20" t="n">
        <v>1.53213321</v>
      </c>
      <c r="G17" s="18" t="n">
        <v>58.63590885</v>
      </c>
      <c r="H17" s="20" t="n">
        <v>1.59426426</v>
      </c>
      <c r="I17" s="18" t="n">
        <v>0</v>
      </c>
      <c r="J17" s="20" t="n">
        <v>0</v>
      </c>
      <c r="K17" s="18" t="n">
        <v>0.41454063</v>
      </c>
      <c r="L17" s="20" t="n">
        <v>0.16570589</v>
      </c>
      <c r="M17" s="18" t="n">
        <v>0</v>
      </c>
      <c r="N17" s="20" t="n">
        <v>0</v>
      </c>
      <c r="O17" s="18" t="n">
        <v>0</v>
      </c>
      <c r="P17" s="20" t="n">
        <v>0</v>
      </c>
      <c r="Q17" s="18" t="n">
        <v>2.02265072</v>
      </c>
      <c r="R17" s="20" t="n">
        <v>0.58515568</v>
      </c>
    </row>
    <row r="18" spans="1:18">
      <c r="A18" s="15" t="s">
        <v>576</v>
      </c>
      <c r="B18" s="17" t="n">
        <v>5532</v>
      </c>
      <c r="C18" s="18">
        <f>(4313.0/B18*100)</f>
        <v/>
      </c>
      <c r="D18" s="19" t="n">
        <v>1219</v>
      </c>
      <c r="E18" s="18" t="n">
        <v>46.27699806</v>
      </c>
      <c r="F18" s="20" t="n">
        <v>1.75753542</v>
      </c>
      <c r="G18" s="18" t="n">
        <v>50.57109715</v>
      </c>
      <c r="H18" s="20" t="n">
        <v>1.66263164</v>
      </c>
      <c r="I18" s="18" t="n">
        <v>0</v>
      </c>
      <c r="J18" s="20" t="n">
        <v>0</v>
      </c>
      <c r="K18" s="18" t="n">
        <v>0.62555356</v>
      </c>
      <c r="L18" s="20" t="n">
        <v>0.24268351</v>
      </c>
      <c r="M18" s="18" t="n">
        <v>0</v>
      </c>
      <c r="N18" s="20" t="n">
        <v>0</v>
      </c>
      <c r="O18" s="18" t="n">
        <v>0</v>
      </c>
      <c r="P18" s="20" t="n">
        <v>0</v>
      </c>
      <c r="Q18" s="18" t="n">
        <v>2.52635123</v>
      </c>
      <c r="R18" s="20" t="n">
        <v>0.47117179</v>
      </c>
    </row>
    <row r="19" spans="1:18">
      <c r="A19" s="15" t="s">
        <v>577</v>
      </c>
      <c r="B19" s="17" t="n">
        <v>5658</v>
      </c>
      <c r="C19" s="18">
        <f>(4453.0/B19*100)</f>
        <v/>
      </c>
      <c r="D19" s="19" t="n">
        <v>1205</v>
      </c>
      <c r="E19" s="18" t="n">
        <v>47.00927071</v>
      </c>
      <c r="F19" s="20" t="n">
        <v>1.50934308</v>
      </c>
      <c r="G19" s="18" t="n">
        <v>51.72715351</v>
      </c>
      <c r="H19" s="20" t="n">
        <v>1.43275675</v>
      </c>
      <c r="I19" s="18" t="n">
        <v>0</v>
      </c>
      <c r="J19" s="20" t="n">
        <v>0</v>
      </c>
      <c r="K19" s="18" t="n">
        <v>0.21477184</v>
      </c>
      <c r="L19" s="20" t="n">
        <v>0.1272621</v>
      </c>
      <c r="M19" s="18" t="n">
        <v>0</v>
      </c>
      <c r="N19" s="20" t="n">
        <v>0</v>
      </c>
      <c r="O19" s="18" t="n">
        <v>0</v>
      </c>
      <c r="P19" s="20" t="n">
        <v>0</v>
      </c>
      <c r="Q19" s="18" t="n">
        <v>1.04880394</v>
      </c>
      <c r="R19" s="20" t="n">
        <v>0.337826</v>
      </c>
    </row>
    <row r="20" spans="1:18">
      <c r="A20" s="15" t="s">
        <v>578</v>
      </c>
      <c r="B20" s="17" t="n">
        <v>3371</v>
      </c>
      <c r="C20" s="18">
        <f>(2646.0/B20*100)</f>
        <v/>
      </c>
      <c r="D20" s="19" t="n">
        <v>725</v>
      </c>
      <c r="E20" s="18" t="n">
        <v>58.06536446</v>
      </c>
      <c r="F20" s="20" t="n">
        <v>2.01706421</v>
      </c>
      <c r="G20" s="18" t="n">
        <v>38.91926827</v>
      </c>
      <c r="H20" s="20" t="n">
        <v>1.89582283</v>
      </c>
      <c r="I20" s="18" t="n">
        <v>0</v>
      </c>
      <c r="J20" s="20" t="n">
        <v>0</v>
      </c>
      <c r="K20" s="18" t="n">
        <v>0.84918665</v>
      </c>
      <c r="L20" s="20" t="n">
        <v>0.35236816</v>
      </c>
      <c r="M20" s="18" t="n">
        <v>0.7617674</v>
      </c>
      <c r="N20" s="20" t="n">
        <v>0.28915027</v>
      </c>
      <c r="O20" s="18" t="n">
        <v>0</v>
      </c>
      <c r="P20" s="20" t="n">
        <v>0</v>
      </c>
      <c r="Q20" s="18" t="n">
        <v>1.40441322</v>
      </c>
      <c r="R20" s="20" t="n">
        <v>0.44560454</v>
      </c>
    </row>
    <row r="21" spans="1:18">
      <c r="A21" s="15" t="s">
        <v>579</v>
      </c>
      <c r="B21" s="17" t="n">
        <v>5741</v>
      </c>
      <c r="C21" s="18">
        <f>(4466.0/B21*100)</f>
        <v/>
      </c>
      <c r="D21" s="19" t="n">
        <v>1275</v>
      </c>
      <c r="E21" s="18" t="n">
        <v>30.15179982</v>
      </c>
      <c r="F21" s="20" t="n">
        <v>1.53652552</v>
      </c>
      <c r="G21" s="18" t="n">
        <v>68.91586306000001</v>
      </c>
      <c r="H21" s="20" t="n">
        <v>1.49941465</v>
      </c>
      <c r="I21" s="18" t="n">
        <v>0</v>
      </c>
      <c r="J21" s="20" t="n">
        <v>0</v>
      </c>
      <c r="K21" s="18" t="n">
        <v>0.49546022</v>
      </c>
      <c r="L21" s="20" t="n">
        <v>0.20531836</v>
      </c>
      <c r="M21" s="18" t="n">
        <v>0</v>
      </c>
      <c r="N21" s="20" t="n">
        <v>0</v>
      </c>
      <c r="O21" s="18" t="n">
        <v>0</v>
      </c>
      <c r="P21" s="20" t="n">
        <v>0</v>
      </c>
      <c r="Q21" s="18" t="n">
        <v>0.4368769</v>
      </c>
      <c r="R21" s="20" t="n">
        <v>0.19757983</v>
      </c>
    </row>
    <row r="22" spans="1:18">
      <c r="A22" s="15" t="s">
        <v>580</v>
      </c>
      <c r="B22" s="17" t="n">
        <v>6598</v>
      </c>
      <c r="C22" s="18">
        <f>(5203.0/B22*100)</f>
        <v/>
      </c>
      <c r="D22" s="19" t="n">
        <v>1395</v>
      </c>
      <c r="E22" s="18" t="n">
        <v>49.19747042</v>
      </c>
      <c r="F22" s="20" t="n">
        <v>1.5768417</v>
      </c>
      <c r="G22" s="18" t="n">
        <v>46.63337584</v>
      </c>
      <c r="H22" s="20" t="n">
        <v>1.66947911</v>
      </c>
      <c r="I22" s="18" t="n">
        <v>0</v>
      </c>
      <c r="J22" s="20" t="n">
        <v>0</v>
      </c>
      <c r="K22" s="18" t="n">
        <v>0.97531611</v>
      </c>
      <c r="L22" s="20" t="n">
        <v>0.3598904</v>
      </c>
      <c r="M22" s="18" t="n">
        <v>0</v>
      </c>
      <c r="N22" s="20" t="n">
        <v>0</v>
      </c>
      <c r="O22" s="18" t="n">
        <v>0</v>
      </c>
      <c r="P22" s="20" t="n">
        <v>0</v>
      </c>
      <c r="Q22" s="18" t="n">
        <v>3.19383763</v>
      </c>
      <c r="R22" s="20" t="n">
        <v>0.55476331</v>
      </c>
    </row>
    <row r="23" spans="1:18">
      <c r="A23" s="15" t="s">
        <v>581</v>
      </c>
      <c r="B23" s="17" t="n">
        <v>11583</v>
      </c>
      <c r="C23" s="18">
        <f>(9053.0/B23*100)</f>
        <v/>
      </c>
      <c r="D23" s="19" t="n">
        <v>2530</v>
      </c>
      <c r="E23" s="18" t="n">
        <v>45.08788348</v>
      </c>
      <c r="F23" s="20" t="n">
        <v>1.38935426</v>
      </c>
      <c r="G23" s="18" t="n">
        <v>51.55650944</v>
      </c>
      <c r="H23" s="20" t="n">
        <v>1.45070281</v>
      </c>
      <c r="I23" s="18" t="n">
        <v>0</v>
      </c>
      <c r="J23" s="20" t="n">
        <v>0</v>
      </c>
      <c r="K23" s="18" t="n">
        <v>1.21304161</v>
      </c>
      <c r="L23" s="20" t="n">
        <v>0.35928431</v>
      </c>
      <c r="M23" s="18" t="n">
        <v>0</v>
      </c>
      <c r="N23" s="20" t="n">
        <v>0</v>
      </c>
      <c r="O23" s="18" t="n">
        <v>0</v>
      </c>
      <c r="P23" s="20" t="n">
        <v>0</v>
      </c>
      <c r="Q23" s="18" t="n">
        <v>2.14256546</v>
      </c>
      <c r="R23" s="20" t="n">
        <v>0.41624826</v>
      </c>
    </row>
    <row r="24" spans="1:18">
      <c r="A24" s="15" t="s">
        <v>582</v>
      </c>
      <c r="B24" s="17" t="n">
        <v>6647</v>
      </c>
      <c r="C24" s="18">
        <f>(5214.0/B24*100)</f>
        <v/>
      </c>
      <c r="D24" s="19" t="n">
        <v>1433</v>
      </c>
      <c r="E24" s="18" t="n">
        <v>31.73166332</v>
      </c>
      <c r="F24" s="20" t="n">
        <v>1.24338827</v>
      </c>
      <c r="G24" s="18" t="n">
        <v>65.74905187</v>
      </c>
      <c r="H24" s="20" t="n">
        <v>1.23557982</v>
      </c>
      <c r="I24" s="18" t="n">
        <v>0</v>
      </c>
      <c r="J24" s="20" t="n">
        <v>0</v>
      </c>
      <c r="K24" s="18" t="n">
        <v>0.50795315</v>
      </c>
      <c r="L24" s="20" t="n">
        <v>0.19250588</v>
      </c>
      <c r="M24" s="18" t="n">
        <v>0</v>
      </c>
      <c r="N24" s="20" t="n">
        <v>0</v>
      </c>
      <c r="O24" s="18" t="n">
        <v>0</v>
      </c>
      <c r="P24" s="20" t="n">
        <v>0</v>
      </c>
      <c r="Q24" s="18" t="n">
        <v>2.01133166</v>
      </c>
      <c r="R24" s="20" t="n">
        <v>0.35028732</v>
      </c>
    </row>
    <row r="25" spans="1:18">
      <c r="A25" s="15" t="s">
        <v>583</v>
      </c>
      <c r="B25" s="17" t="n">
        <v>5581</v>
      </c>
      <c r="C25" s="18">
        <f>(4321.0/B25*100)</f>
        <v/>
      </c>
      <c r="D25" s="19" t="n">
        <v>1260</v>
      </c>
      <c r="E25" s="18" t="n">
        <v>30.27632143</v>
      </c>
      <c r="F25" s="20" t="n">
        <v>1.28037399</v>
      </c>
      <c r="G25" s="18" t="n">
        <v>68.9251184</v>
      </c>
      <c r="H25" s="20" t="n">
        <v>1.26979672</v>
      </c>
      <c r="I25" s="18" t="n">
        <v>0</v>
      </c>
      <c r="J25" s="20" t="n">
        <v>0</v>
      </c>
      <c r="K25" s="18" t="n">
        <v>0.45019972</v>
      </c>
      <c r="L25" s="20" t="n">
        <v>0.17990077</v>
      </c>
      <c r="M25" s="18" t="n">
        <v>0</v>
      </c>
      <c r="N25" s="20" t="n">
        <v>0</v>
      </c>
      <c r="O25" s="18" t="n">
        <v>0</v>
      </c>
      <c r="P25" s="20" t="n">
        <v>0</v>
      </c>
      <c r="Q25" s="18" t="n">
        <v>0.34836045</v>
      </c>
      <c r="R25" s="20" t="n">
        <v>0.15750913</v>
      </c>
    </row>
    <row r="26" spans="1:18">
      <c r="A26" s="15" t="s">
        <v>584</v>
      </c>
      <c r="B26" s="17" t="n">
        <v>4869</v>
      </c>
      <c r="C26" s="18">
        <f>(3804.0/B26*100)</f>
        <v/>
      </c>
      <c r="D26" s="19" t="n">
        <v>1065</v>
      </c>
      <c r="E26" s="18" t="n">
        <v>44.97117412</v>
      </c>
      <c r="F26" s="20" t="n">
        <v>1.70963552</v>
      </c>
      <c r="G26" s="18" t="n">
        <v>54.22495821</v>
      </c>
      <c r="H26" s="20" t="n">
        <v>1.68288984</v>
      </c>
      <c r="I26" s="18" t="n">
        <v>0</v>
      </c>
      <c r="J26" s="20" t="n">
        <v>0</v>
      </c>
      <c r="K26" s="18" t="n">
        <v>0.08016754</v>
      </c>
      <c r="L26" s="20" t="n">
        <v>0.08186394</v>
      </c>
      <c r="M26" s="18" t="n">
        <v>0.23931537</v>
      </c>
      <c r="N26" s="20" t="n">
        <v>0.15225829</v>
      </c>
      <c r="O26" s="18" t="n">
        <v>0</v>
      </c>
      <c r="P26" s="20" t="n">
        <v>0</v>
      </c>
      <c r="Q26" s="18" t="n">
        <v>0.48438476</v>
      </c>
      <c r="R26" s="20" t="n">
        <v>0.23156902</v>
      </c>
    </row>
    <row r="27" spans="1:18">
      <c r="A27" s="15" t="s">
        <v>585</v>
      </c>
      <c r="B27" s="17" t="n">
        <v>5299</v>
      </c>
      <c r="C27" s="18">
        <f>(4171.0/B27*100)</f>
        <v/>
      </c>
      <c r="D27" s="19" t="n">
        <v>1128</v>
      </c>
      <c r="E27" s="18" t="n">
        <v>47.45836468</v>
      </c>
      <c r="F27" s="20" t="n">
        <v>1.33030447</v>
      </c>
      <c r="G27" s="18" t="n">
        <v>49.84569141</v>
      </c>
      <c r="H27" s="20" t="n">
        <v>1.34681156</v>
      </c>
      <c r="I27" s="18" t="n">
        <v>0</v>
      </c>
      <c r="J27" s="20" t="n">
        <v>0</v>
      </c>
      <c r="K27" s="18" t="n">
        <v>0.27092466</v>
      </c>
      <c r="L27" s="20" t="n">
        <v>0.15802602</v>
      </c>
      <c r="M27" s="18" t="n">
        <v>0</v>
      </c>
      <c r="N27" s="20" t="n">
        <v>0</v>
      </c>
      <c r="O27" s="18" t="n">
        <v>0</v>
      </c>
      <c r="P27" s="20" t="n">
        <v>0</v>
      </c>
      <c r="Q27" s="18" t="n">
        <v>2.42501925</v>
      </c>
      <c r="R27" s="20" t="n">
        <v>0.49961017</v>
      </c>
    </row>
    <row r="28" spans="1:18">
      <c r="A28" s="15" t="s">
        <v>586</v>
      </c>
      <c r="B28" s="17" t="n">
        <v>7568</v>
      </c>
      <c r="C28" s="18">
        <f>(6138.0/B28*100)</f>
        <v/>
      </c>
      <c r="D28" s="19" t="n">
        <v>1430</v>
      </c>
      <c r="E28" s="18" t="n">
        <v>63.24282479</v>
      </c>
      <c r="F28" s="20" t="n">
        <v>1.39418714</v>
      </c>
      <c r="G28" s="18" t="n">
        <v>34.41423901</v>
      </c>
      <c r="H28" s="20" t="n">
        <v>1.46580403</v>
      </c>
      <c r="I28" s="18" t="n">
        <v>0</v>
      </c>
      <c r="J28" s="20" t="n">
        <v>0</v>
      </c>
      <c r="K28" s="18" t="n">
        <v>1.50828945</v>
      </c>
      <c r="L28" s="20" t="n">
        <v>0.46235176</v>
      </c>
      <c r="M28" s="18" t="n">
        <v>0.05790549</v>
      </c>
      <c r="N28" s="20" t="n">
        <v>0.05757476</v>
      </c>
      <c r="O28" s="18" t="n">
        <v>0</v>
      </c>
      <c r="P28" s="20" t="n">
        <v>0</v>
      </c>
      <c r="Q28" s="18" t="n">
        <v>0.77674126</v>
      </c>
      <c r="R28" s="20" t="n">
        <v>0.2098058</v>
      </c>
    </row>
    <row r="29" spans="1:18">
      <c r="A29" s="15" t="s">
        <v>587</v>
      </c>
      <c r="B29" s="17" t="n">
        <v>5385</v>
      </c>
      <c r="C29" s="18">
        <f>(4191.0/B29*100)</f>
        <v/>
      </c>
      <c r="D29" s="19" t="n">
        <v>1194</v>
      </c>
      <c r="E29" s="18" t="n">
        <v>38.05321512</v>
      </c>
      <c r="F29" s="20" t="n">
        <v>1.63643029</v>
      </c>
      <c r="G29" s="18" t="n">
        <v>61.16259384</v>
      </c>
      <c r="H29" s="20" t="n">
        <v>1.61190855</v>
      </c>
      <c r="I29" s="18" t="n">
        <v>0</v>
      </c>
      <c r="J29" s="20" t="n">
        <v>0</v>
      </c>
      <c r="K29" s="18" t="n">
        <v>0.28208774</v>
      </c>
      <c r="L29" s="20" t="n">
        <v>0.14686184</v>
      </c>
      <c r="M29" s="18" t="n">
        <v>0</v>
      </c>
      <c r="N29" s="20" t="n">
        <v>0</v>
      </c>
      <c r="O29" s="18" t="n">
        <v>0</v>
      </c>
      <c r="P29" s="20" t="n">
        <v>0</v>
      </c>
      <c r="Q29" s="18" t="n">
        <v>0.5021033</v>
      </c>
      <c r="R29" s="20" t="n">
        <v>0.20634548</v>
      </c>
    </row>
    <row r="30" spans="1:18">
      <c r="A30" s="15" t="s">
        <v>588</v>
      </c>
      <c r="B30" s="17" t="n">
        <v>4520</v>
      </c>
      <c r="C30" s="18">
        <f>(3585.0/B30*100)</f>
        <v/>
      </c>
      <c r="D30" s="19" t="n">
        <v>935</v>
      </c>
      <c r="E30" s="18" t="n">
        <v>33.25727617</v>
      </c>
      <c r="F30" s="20" t="n">
        <v>1.5277077</v>
      </c>
      <c r="G30" s="18" t="n">
        <v>63.54382965</v>
      </c>
      <c r="H30" s="20" t="n">
        <v>1.5983632</v>
      </c>
      <c r="I30" s="18" t="n">
        <v>0</v>
      </c>
      <c r="J30" s="20" t="n">
        <v>0</v>
      </c>
      <c r="K30" s="18" t="n">
        <v>0.965606</v>
      </c>
      <c r="L30" s="20" t="n">
        <v>0.36273928</v>
      </c>
      <c r="M30" s="18" t="n">
        <v>0.19740413</v>
      </c>
      <c r="N30" s="20" t="n">
        <v>0.14003052</v>
      </c>
      <c r="O30" s="18" t="n">
        <v>0</v>
      </c>
      <c r="P30" s="20" t="n">
        <v>0</v>
      </c>
      <c r="Q30" s="18" t="n">
        <v>2.03588405</v>
      </c>
      <c r="R30" s="20" t="n">
        <v>0.3971163</v>
      </c>
    </row>
    <row r="31" spans="1:18">
      <c r="A31" s="15" t="s">
        <v>589</v>
      </c>
      <c r="B31" s="17" t="n">
        <v>5456</v>
      </c>
      <c r="C31" s="18">
        <f>(4274.0/B31*100)</f>
        <v/>
      </c>
      <c r="D31" s="19" t="n">
        <v>1182</v>
      </c>
      <c r="E31" s="18" t="n">
        <v>40.30362665</v>
      </c>
      <c r="F31" s="20" t="n">
        <v>1.57159225</v>
      </c>
      <c r="G31" s="18" t="n">
        <v>56.64150008</v>
      </c>
      <c r="H31" s="20" t="n">
        <v>1.6259639</v>
      </c>
      <c r="I31" s="18" t="n">
        <v>0</v>
      </c>
      <c r="J31" s="20" t="n">
        <v>0</v>
      </c>
      <c r="K31" s="18" t="n">
        <v>1.2237305</v>
      </c>
      <c r="L31" s="20" t="n">
        <v>0.32884606</v>
      </c>
      <c r="M31" s="18" t="n">
        <v>0.07770203000000001</v>
      </c>
      <c r="N31" s="20" t="n">
        <v>0.07721960999999999</v>
      </c>
      <c r="O31" s="18" t="n">
        <v>0</v>
      </c>
      <c r="P31" s="20" t="n">
        <v>0</v>
      </c>
      <c r="Q31" s="18" t="n">
        <v>1.75344074</v>
      </c>
      <c r="R31" s="20" t="n">
        <v>0.42125195</v>
      </c>
    </row>
    <row r="32" spans="1:18">
      <c r="A32" s="15" t="s">
        <v>590</v>
      </c>
      <c r="B32" s="17" t="n">
        <v>4478</v>
      </c>
      <c r="C32" s="18">
        <f>(3493.0/B32*100)</f>
        <v/>
      </c>
      <c r="D32" s="19" t="n">
        <v>985</v>
      </c>
      <c r="E32" s="18" t="n">
        <v>51.71160016</v>
      </c>
      <c r="F32" s="20" t="n">
        <v>1.57255792</v>
      </c>
      <c r="G32" s="18" t="n">
        <v>46.67017878</v>
      </c>
      <c r="H32" s="20" t="n">
        <v>1.61337143</v>
      </c>
      <c r="I32" s="18" t="n">
        <v>0</v>
      </c>
      <c r="J32" s="20" t="n">
        <v>0</v>
      </c>
      <c r="K32" s="18" t="n">
        <v>0.22578948</v>
      </c>
      <c r="L32" s="20" t="n">
        <v>0.1661118</v>
      </c>
      <c r="M32" s="18" t="n">
        <v>0.43218861</v>
      </c>
      <c r="N32" s="20" t="n">
        <v>0.46114366</v>
      </c>
      <c r="O32" s="18" t="n">
        <v>0</v>
      </c>
      <c r="P32" s="20" t="n">
        <v>0</v>
      </c>
      <c r="Q32" s="18" t="n">
        <v>0.96024297</v>
      </c>
      <c r="R32" s="20" t="n">
        <v>0.31824564</v>
      </c>
    </row>
    <row r="33" spans="1:18">
      <c r="A33" s="15" t="s">
        <v>591</v>
      </c>
      <c r="B33" s="17" t="n">
        <v>7325</v>
      </c>
      <c r="C33" s="18">
        <f>(5799.0/B33*100)</f>
        <v/>
      </c>
      <c r="D33" s="19" t="n">
        <v>1526</v>
      </c>
      <c r="E33" s="18" t="n">
        <v>45.48526559</v>
      </c>
      <c r="F33" s="20" t="n">
        <v>1.51219309</v>
      </c>
      <c r="G33" s="18" t="n">
        <v>52.67904948</v>
      </c>
      <c r="H33" s="20" t="n">
        <v>1.48768604</v>
      </c>
      <c r="I33" s="18" t="n">
        <v>0</v>
      </c>
      <c r="J33" s="20" t="n">
        <v>0</v>
      </c>
      <c r="K33" s="18" t="n">
        <v>0.9377642899999999</v>
      </c>
      <c r="L33" s="20" t="n">
        <v>0.2991484</v>
      </c>
      <c r="M33" s="18" t="n">
        <v>0.26517053</v>
      </c>
      <c r="N33" s="20" t="n">
        <v>0.13742792</v>
      </c>
      <c r="O33" s="18" t="n">
        <v>0</v>
      </c>
      <c r="P33" s="20" t="n">
        <v>0</v>
      </c>
      <c r="Q33" s="18" t="n">
        <v>0.63275011</v>
      </c>
      <c r="R33" s="20" t="n">
        <v>0.2185468</v>
      </c>
    </row>
    <row r="34" spans="1:18">
      <c r="A34" s="15" t="s">
        <v>592</v>
      </c>
      <c r="B34" s="17" t="n">
        <v>6350</v>
      </c>
      <c r="C34" s="18">
        <f>(5013.0/B34*100)</f>
        <v/>
      </c>
      <c r="D34" s="19" t="n">
        <v>1337</v>
      </c>
      <c r="E34" s="18" t="n">
        <v>58.10235504</v>
      </c>
      <c r="F34" s="20" t="n">
        <v>1.43376534</v>
      </c>
      <c r="G34" s="18" t="n">
        <v>39.19238213</v>
      </c>
      <c r="H34" s="20" t="n">
        <v>1.52699855</v>
      </c>
      <c r="I34" s="18" t="n">
        <v>0</v>
      </c>
      <c r="J34" s="20" t="n">
        <v>0</v>
      </c>
      <c r="K34" s="18" t="n">
        <v>0.55131375</v>
      </c>
      <c r="L34" s="20" t="n">
        <v>0.19962305</v>
      </c>
      <c r="M34" s="18" t="n">
        <v>0.33265755</v>
      </c>
      <c r="N34" s="20" t="n">
        <v>0.23217901</v>
      </c>
      <c r="O34" s="18" t="n">
        <v>0</v>
      </c>
      <c r="P34" s="20" t="n">
        <v>0</v>
      </c>
      <c r="Q34" s="18" t="n">
        <v>1.82129152</v>
      </c>
      <c r="R34" s="20" t="n">
        <v>0.37353543</v>
      </c>
    </row>
    <row r="35" spans="1:18">
      <c r="A35" s="15" t="s">
        <v>593</v>
      </c>
      <c r="B35" s="17" t="n">
        <v>6406</v>
      </c>
      <c r="C35" s="18">
        <f>(5034.0/B35*100)</f>
        <v/>
      </c>
      <c r="D35" s="19" t="n">
        <v>1372</v>
      </c>
      <c r="E35" s="18" t="n">
        <v>46.23239098</v>
      </c>
      <c r="F35" s="20" t="n">
        <v>1.68551198</v>
      </c>
      <c r="G35" s="18" t="n">
        <v>52.40631898</v>
      </c>
      <c r="H35" s="20" t="n">
        <v>1.69856951</v>
      </c>
      <c r="I35" s="18" t="n">
        <v>0</v>
      </c>
      <c r="J35" s="20" t="n">
        <v>0</v>
      </c>
      <c r="K35" s="18" t="n">
        <v>0.6356192000000001</v>
      </c>
      <c r="L35" s="20" t="n">
        <v>0.40041428</v>
      </c>
      <c r="M35" s="18" t="n">
        <v>0.12359839</v>
      </c>
      <c r="N35" s="20" t="n">
        <v>0.12325776</v>
      </c>
      <c r="O35" s="18" t="n">
        <v>0</v>
      </c>
      <c r="P35" s="20" t="n">
        <v>0</v>
      </c>
      <c r="Q35" s="18" t="n">
        <v>0.60207245</v>
      </c>
      <c r="R35" s="20" t="n">
        <v>0.16726125</v>
      </c>
    </row>
    <row r="36" spans="1:18">
      <c r="A36" s="15" t="s">
        <v>594</v>
      </c>
      <c r="B36" s="17" t="n">
        <v>6736</v>
      </c>
      <c r="C36" s="18">
        <f>(5326.0/B36*100)</f>
        <v/>
      </c>
      <c r="D36" s="19" t="n">
        <v>1410</v>
      </c>
      <c r="E36" s="18" t="n">
        <v>35.26210474</v>
      </c>
      <c r="F36" s="20" t="n">
        <v>1.37994617</v>
      </c>
      <c r="G36" s="18" t="n">
        <v>63.31177876</v>
      </c>
      <c r="H36" s="20" t="n">
        <v>1.48926612</v>
      </c>
      <c r="I36" s="18" t="n">
        <v>0</v>
      </c>
      <c r="J36" s="20" t="n">
        <v>0</v>
      </c>
      <c r="K36" s="18" t="n">
        <v>0.61697007</v>
      </c>
      <c r="L36" s="20" t="n">
        <v>0.20755894</v>
      </c>
      <c r="M36" s="18" t="n">
        <v>0.13861135</v>
      </c>
      <c r="N36" s="20" t="n">
        <v>0.09623901</v>
      </c>
      <c r="O36" s="18" t="n">
        <v>0</v>
      </c>
      <c r="P36" s="20" t="n">
        <v>0</v>
      </c>
      <c r="Q36" s="18" t="n">
        <v>0.67053509</v>
      </c>
      <c r="R36" s="20" t="n">
        <v>0.25636807</v>
      </c>
    </row>
    <row r="37" spans="1:18">
      <c r="A37" s="15" t="s">
        <v>595</v>
      </c>
      <c r="B37" s="17" t="n">
        <v>5458</v>
      </c>
      <c r="C37" s="18">
        <f>(4304.0/B37*100)</f>
        <v/>
      </c>
      <c r="D37" s="19" t="n">
        <v>1154</v>
      </c>
      <c r="E37" s="18" t="n">
        <v>34.35338549</v>
      </c>
      <c r="F37" s="20" t="n">
        <v>1.58950443</v>
      </c>
      <c r="G37" s="18" t="n">
        <v>61.67851879</v>
      </c>
      <c r="H37" s="20" t="n">
        <v>1.70140854</v>
      </c>
      <c r="I37" s="18" t="n">
        <v>0</v>
      </c>
      <c r="J37" s="20" t="n">
        <v>0</v>
      </c>
      <c r="K37" s="18" t="n">
        <v>1.39898308</v>
      </c>
      <c r="L37" s="20" t="n">
        <v>0.41903428</v>
      </c>
      <c r="M37" s="18" t="n">
        <v>0.08097664</v>
      </c>
      <c r="N37" s="20" t="n">
        <v>0.08084703</v>
      </c>
      <c r="O37" s="18" t="n">
        <v>0</v>
      </c>
      <c r="P37" s="20" t="n">
        <v>0</v>
      </c>
      <c r="Q37" s="18" t="n">
        <v>2.48813599</v>
      </c>
      <c r="R37" s="20" t="n">
        <v>0.50214382</v>
      </c>
    </row>
    <row r="38" spans="1:18">
      <c r="A38" s="15" t="s">
        <v>596</v>
      </c>
      <c r="B38" s="17" t="n">
        <v>5860</v>
      </c>
      <c r="C38" s="18">
        <f>(4571.0/B38*100)</f>
        <v/>
      </c>
      <c r="D38" s="19" t="n">
        <v>1289</v>
      </c>
      <c r="E38" s="18" t="n">
        <v>37.6004685</v>
      </c>
      <c r="F38" s="20" t="n">
        <v>1.66343729</v>
      </c>
      <c r="G38" s="18" t="n">
        <v>57.03947532</v>
      </c>
      <c r="H38" s="20" t="n">
        <v>1.78850682</v>
      </c>
      <c r="I38" s="18" t="n">
        <v>0</v>
      </c>
      <c r="J38" s="20" t="n">
        <v>0</v>
      </c>
      <c r="K38" s="18" t="n">
        <v>0.37012886</v>
      </c>
      <c r="L38" s="20" t="n">
        <v>0.17998123</v>
      </c>
      <c r="M38" s="18" t="n">
        <v>2.74360552</v>
      </c>
      <c r="N38" s="20" t="n">
        <v>0.6029790900000001</v>
      </c>
      <c r="O38" s="18" t="n">
        <v>0</v>
      </c>
      <c r="P38" s="20" t="n">
        <v>0</v>
      </c>
      <c r="Q38" s="18" t="n">
        <v>2.24632181</v>
      </c>
      <c r="R38" s="20" t="n">
        <v>0.46907092</v>
      </c>
    </row>
    <row r="39" spans="1:18">
      <c r="A39" s="15" t="s">
        <v>597</v>
      </c>
      <c r="B39" s="17" t="n">
        <v>5895</v>
      </c>
      <c r="C39" s="18">
        <f>(4594.0/B39*100)</f>
        <v/>
      </c>
      <c r="D39" s="19" t="n">
        <v>1301</v>
      </c>
      <c r="E39" s="18" t="n">
        <v>64.03438944</v>
      </c>
      <c r="F39" s="20" t="n">
        <v>1.74475323</v>
      </c>
      <c r="G39" s="18" t="n">
        <v>33.46790067</v>
      </c>
      <c r="H39" s="20" t="n">
        <v>1.76335742</v>
      </c>
      <c r="I39" s="18" t="n">
        <v>0</v>
      </c>
      <c r="J39" s="20" t="n">
        <v>0</v>
      </c>
      <c r="K39" s="18" t="n">
        <v>0.43467551</v>
      </c>
      <c r="L39" s="20" t="n">
        <v>0.2096208</v>
      </c>
      <c r="M39" s="18" t="n">
        <v>0</v>
      </c>
      <c r="N39" s="20" t="n">
        <v>0</v>
      </c>
      <c r="O39" s="18" t="n">
        <v>0</v>
      </c>
      <c r="P39" s="20" t="n">
        <v>0</v>
      </c>
      <c r="Q39" s="18" t="n">
        <v>2.06303438</v>
      </c>
      <c r="R39" s="20" t="n">
        <v>0.3307412</v>
      </c>
    </row>
    <row r="40" spans="1:18">
      <c r="A40" s="15" t="s">
        <v>598</v>
      </c>
      <c r="B40" s="17" t="n">
        <v>14157</v>
      </c>
      <c r="C40" s="18">
        <f>(10997.0/B40*100)</f>
        <v/>
      </c>
      <c r="D40" s="19" t="n">
        <v>3160</v>
      </c>
      <c r="E40" s="18" t="n">
        <v>36.28861344</v>
      </c>
      <c r="F40" s="20" t="n">
        <v>1.43630897</v>
      </c>
      <c r="G40" s="18" t="n">
        <v>61.00853724</v>
      </c>
      <c r="H40" s="20" t="n">
        <v>1.4730247</v>
      </c>
      <c r="I40" s="18" t="n">
        <v>0</v>
      </c>
      <c r="J40" s="20" t="n">
        <v>0</v>
      </c>
      <c r="K40" s="18" t="n">
        <v>0.60478084</v>
      </c>
      <c r="L40" s="20" t="n">
        <v>0.22819191</v>
      </c>
      <c r="M40" s="18" t="n">
        <v>0</v>
      </c>
      <c r="N40" s="20" t="n">
        <v>0</v>
      </c>
      <c r="O40" s="18" t="n">
        <v>0</v>
      </c>
      <c r="P40" s="20" t="n">
        <v>0</v>
      </c>
      <c r="Q40" s="18" t="n">
        <v>2.09806848</v>
      </c>
      <c r="R40" s="20" t="n">
        <v>0.41991596</v>
      </c>
    </row>
    <row r="41" spans="1:18">
      <c r="A41" s="15" t="s">
        <v>599</v>
      </c>
      <c r="B41" s="17" t="n">
        <v>5712</v>
      </c>
      <c r="C41" s="18">
        <f>(4494.0/B41*100)</f>
        <v/>
      </c>
      <c r="D41" s="19" t="n">
        <v>1218</v>
      </c>
      <c r="E41" s="18" t="n">
        <v>46.87190051</v>
      </c>
      <c r="F41" s="20" t="n">
        <v>1.67588322</v>
      </c>
      <c r="G41" s="18" t="n">
        <v>51.90995452</v>
      </c>
      <c r="H41" s="20" t="n">
        <v>1.71746433</v>
      </c>
      <c r="I41" s="18" t="n">
        <v>0</v>
      </c>
      <c r="J41" s="20" t="n">
        <v>0</v>
      </c>
      <c r="K41" s="18" t="n">
        <v>0.19634312</v>
      </c>
      <c r="L41" s="20" t="n">
        <v>0.15032024</v>
      </c>
      <c r="M41" s="18" t="n">
        <v>0</v>
      </c>
      <c r="N41" s="20" t="n">
        <v>0</v>
      </c>
      <c r="O41" s="18" t="n">
        <v>0</v>
      </c>
      <c r="P41" s="20" t="n">
        <v>0</v>
      </c>
      <c r="Q41" s="18" t="n">
        <v>1.02180185</v>
      </c>
      <c r="R41" s="20" t="n">
        <v>0.28953952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(19489.0/B46*100)</f>
        <v/>
      </c>
      <c r="D46" s="19" t="n">
        <v>3652</v>
      </c>
      <c r="E46" s="18" t="n">
        <v>65.44295722</v>
      </c>
      <c r="F46" s="20" t="n">
        <v>1.16775855</v>
      </c>
      <c r="G46" s="18" t="n">
        <v>27.01230741</v>
      </c>
      <c r="H46" s="20" t="n">
        <v>1.15879713</v>
      </c>
      <c r="I46" s="18" t="n">
        <v>0</v>
      </c>
      <c r="J46" s="20" t="n">
        <v>0</v>
      </c>
      <c r="K46" s="18" t="n">
        <v>2.31157245</v>
      </c>
      <c r="L46" s="20" t="n">
        <v>0.35337955</v>
      </c>
      <c r="M46" s="18" t="n">
        <v>0.39643421</v>
      </c>
      <c r="N46" s="20" t="n">
        <v>0.13904078</v>
      </c>
      <c r="O46" s="18" t="n">
        <v>0</v>
      </c>
      <c r="P46" s="20" t="n">
        <v>0</v>
      </c>
      <c r="Q46" s="18" t="n">
        <v>4.83672872</v>
      </c>
      <c r="R46" s="20" t="n">
        <v>0.4523296</v>
      </c>
    </row>
    <row r="47" spans="1:18">
      <c r="A47" s="15" t="s">
        <v>606</v>
      </c>
      <c r="B47" s="17" t="n">
        <v>5928</v>
      </c>
      <c r="C47" s="18">
        <f>(4682.0/B47*100)</f>
        <v/>
      </c>
      <c r="D47" s="19" t="n">
        <v>1246</v>
      </c>
      <c r="E47" s="18" t="n">
        <v>63.58249789</v>
      </c>
      <c r="F47" s="20" t="n">
        <v>1.60276966</v>
      </c>
      <c r="G47" s="18" t="n">
        <v>32.93484485</v>
      </c>
      <c r="H47" s="20" t="n">
        <v>1.64897914</v>
      </c>
      <c r="I47" s="18" t="n">
        <v>0</v>
      </c>
      <c r="J47" s="20" t="n">
        <v>0</v>
      </c>
      <c r="K47" s="18" t="n">
        <v>0.9595675</v>
      </c>
      <c r="L47" s="20" t="n">
        <v>0.33163655</v>
      </c>
      <c r="M47" s="18" t="n">
        <v>0.15905149</v>
      </c>
      <c r="N47" s="20" t="n">
        <v>0.11057844</v>
      </c>
      <c r="O47" s="18" t="n">
        <v>0</v>
      </c>
      <c r="P47" s="20" t="n">
        <v>0</v>
      </c>
      <c r="Q47" s="18" t="n">
        <v>2.36403828</v>
      </c>
      <c r="R47" s="20" t="n">
        <v>0.41835558</v>
      </c>
    </row>
    <row r="48" spans="1:18">
      <c r="A48" s="15" t="s">
        <v>607</v>
      </c>
      <c r="B48" s="17" t="n">
        <v>9841</v>
      </c>
      <c r="C48" s="18">
        <f>(7653.0/B48*100)</f>
        <v/>
      </c>
      <c r="D48" s="19" t="n">
        <v>2188</v>
      </c>
      <c r="E48" s="18" t="n">
        <v>49.62641656</v>
      </c>
      <c r="F48" s="20" t="n">
        <v>1.5725893</v>
      </c>
      <c r="G48" s="18" t="n">
        <v>47.64528431</v>
      </c>
      <c r="H48" s="20" t="n">
        <v>1.64074832</v>
      </c>
      <c r="I48" s="18" t="n">
        <v>0</v>
      </c>
      <c r="J48" s="20" t="n">
        <v>0</v>
      </c>
      <c r="K48" s="18" t="n">
        <v>0.91726028</v>
      </c>
      <c r="L48" s="20" t="n">
        <v>0.35366202</v>
      </c>
      <c r="M48" s="18" t="n">
        <v>0</v>
      </c>
      <c r="N48" s="20" t="n">
        <v>0</v>
      </c>
      <c r="O48" s="18" t="n">
        <v>0</v>
      </c>
      <c r="P48" s="20" t="n">
        <v>0</v>
      </c>
      <c r="Q48" s="18" t="n">
        <v>1.81103885</v>
      </c>
      <c r="R48" s="20" t="n">
        <v>0.39353797</v>
      </c>
    </row>
    <row r="49" spans="1:18">
      <c r="A49" s="15" t="s">
        <v>608</v>
      </c>
      <c r="B49" s="17" t="n">
        <v>11795</v>
      </c>
      <c r="C49" s="18">
        <f>(9331.0/B49*100)</f>
        <v/>
      </c>
      <c r="D49" s="19" t="n">
        <v>2464</v>
      </c>
      <c r="E49" s="18" t="n">
        <v>60.40702625</v>
      </c>
      <c r="F49" s="20" t="n">
        <v>1.40869322</v>
      </c>
      <c r="G49" s="18" t="n">
        <v>34.20989311</v>
      </c>
      <c r="H49" s="20" t="n">
        <v>1.36981663</v>
      </c>
      <c r="I49" s="18" t="n">
        <v>0</v>
      </c>
      <c r="J49" s="20" t="n">
        <v>0</v>
      </c>
      <c r="K49" s="18" t="n">
        <v>3.35159934</v>
      </c>
      <c r="L49" s="20" t="n">
        <v>0.50393721</v>
      </c>
      <c r="M49" s="18" t="n">
        <v>0.15439866</v>
      </c>
      <c r="N49" s="20" t="n">
        <v>0.09000344</v>
      </c>
      <c r="O49" s="18" t="n">
        <v>0</v>
      </c>
      <c r="P49" s="20" t="n">
        <v>0</v>
      </c>
      <c r="Q49" s="18" t="n">
        <v>1.87708264</v>
      </c>
      <c r="R49" s="20" t="n">
        <v>0.30862002</v>
      </c>
    </row>
    <row r="50" spans="1:18">
      <c r="A50" s="15" t="s">
        <v>609</v>
      </c>
      <c r="B50" s="17" t="n">
        <v>6866</v>
      </c>
      <c r="C50" s="18">
        <f>(5639.0/B50*100)</f>
        <v/>
      </c>
      <c r="D50" s="19" t="n">
        <v>1227</v>
      </c>
      <c r="E50" s="18" t="n">
        <v>65.60551934999999</v>
      </c>
      <c r="F50" s="20" t="n">
        <v>1.85291598</v>
      </c>
      <c r="G50" s="18" t="n">
        <v>30.46881562</v>
      </c>
      <c r="H50" s="20" t="n">
        <v>1.68632557</v>
      </c>
      <c r="I50" s="18" t="n">
        <v>0</v>
      </c>
      <c r="J50" s="20" t="n">
        <v>0</v>
      </c>
      <c r="K50" s="18" t="n">
        <v>1.38982638</v>
      </c>
      <c r="L50" s="20" t="n">
        <v>0.3956691</v>
      </c>
      <c r="M50" s="18" t="n">
        <v>0</v>
      </c>
      <c r="N50" s="20" t="n">
        <v>0</v>
      </c>
      <c r="O50" s="18" t="n">
        <v>0</v>
      </c>
      <c r="P50" s="20" t="n">
        <v>0</v>
      </c>
      <c r="Q50" s="18" t="n">
        <v>2.53583865</v>
      </c>
      <c r="R50" s="20" t="n">
        <v>0.48844319</v>
      </c>
    </row>
    <row r="51" spans="1:18">
      <c r="A51" s="15" t="s">
        <v>610</v>
      </c>
      <c r="B51" s="17" t="n">
        <v>5809</v>
      </c>
      <c r="C51" s="18">
        <f>(4525.0/B51*100)</f>
        <v/>
      </c>
      <c r="D51" s="19" t="n">
        <v>1284</v>
      </c>
      <c r="E51" s="18" t="n">
        <v>41.39135431</v>
      </c>
      <c r="F51" s="20" t="n">
        <v>1.6362602</v>
      </c>
      <c r="G51" s="18" t="n">
        <v>55.53059289</v>
      </c>
      <c r="H51" s="20" t="n">
        <v>1.69316947</v>
      </c>
      <c r="I51" s="18" t="n">
        <v>0</v>
      </c>
      <c r="J51" s="20" t="n">
        <v>0</v>
      </c>
      <c r="K51" s="18" t="n">
        <v>0.21073439</v>
      </c>
      <c r="L51" s="20" t="n">
        <v>0.12403483</v>
      </c>
      <c r="M51" s="18" t="n">
        <v>0</v>
      </c>
      <c r="N51" s="20" t="n">
        <v>0</v>
      </c>
      <c r="O51" s="18" t="n">
        <v>0</v>
      </c>
      <c r="P51" s="20" t="n">
        <v>0</v>
      </c>
      <c r="Q51" s="18" t="n">
        <v>2.8673184</v>
      </c>
      <c r="R51" s="20" t="n">
        <v>0.47398592</v>
      </c>
    </row>
    <row r="52" spans="1:18">
      <c r="A52" s="15" t="s">
        <v>611</v>
      </c>
      <c r="B52" s="17" t="n">
        <v>5571</v>
      </c>
      <c r="C52" s="18">
        <f>(4364.0/B52*100)</f>
        <v/>
      </c>
      <c r="D52" s="19" t="n">
        <v>1207</v>
      </c>
      <c r="E52" s="18" t="n">
        <v>62.15918082</v>
      </c>
      <c r="F52" s="20" t="n">
        <v>1.48706384</v>
      </c>
      <c r="G52" s="18" t="n">
        <v>32.90487869</v>
      </c>
      <c r="H52" s="20" t="n">
        <v>1.39695556</v>
      </c>
      <c r="I52" s="18" t="n">
        <v>0</v>
      </c>
      <c r="J52" s="20" t="n">
        <v>0</v>
      </c>
      <c r="K52" s="18" t="n">
        <v>0.9655109200000001</v>
      </c>
      <c r="L52" s="20" t="n">
        <v>0.3012007</v>
      </c>
      <c r="M52" s="18" t="n">
        <v>0</v>
      </c>
      <c r="N52" s="20" t="n">
        <v>0</v>
      </c>
      <c r="O52" s="18" t="n">
        <v>0</v>
      </c>
      <c r="P52" s="20" t="n">
        <v>0</v>
      </c>
      <c r="Q52" s="18" t="n">
        <v>3.97042957</v>
      </c>
      <c r="R52" s="20" t="n">
        <v>0.58205385</v>
      </c>
    </row>
    <row r="53" spans="1:18">
      <c r="A53" s="15" t="s">
        <v>612</v>
      </c>
      <c r="B53" s="17" t="n">
        <v>4740</v>
      </c>
      <c r="C53" s="18">
        <f>(3730.0/B53*100)</f>
        <v/>
      </c>
      <c r="D53" s="19" t="n">
        <v>1010</v>
      </c>
      <c r="E53" s="18" t="n">
        <v>60.38644064</v>
      </c>
      <c r="F53" s="20" t="n">
        <v>1.86724305</v>
      </c>
      <c r="G53" s="18" t="n">
        <v>14.59384377</v>
      </c>
      <c r="H53" s="20" t="n">
        <v>1.44199963</v>
      </c>
      <c r="I53" s="18" t="n">
        <v>0</v>
      </c>
      <c r="J53" s="20" t="n">
        <v>0</v>
      </c>
      <c r="K53" s="18" t="n">
        <v>18.71267352</v>
      </c>
      <c r="L53" s="20" t="n">
        <v>1.63958071</v>
      </c>
      <c r="M53" s="18" t="n">
        <v>0.80178274</v>
      </c>
      <c r="N53" s="20" t="n">
        <v>0.66820507</v>
      </c>
      <c r="O53" s="18" t="n">
        <v>0</v>
      </c>
      <c r="P53" s="20" t="n">
        <v>0</v>
      </c>
      <c r="Q53" s="18" t="n">
        <v>5.50525934</v>
      </c>
      <c r="R53" s="20" t="n">
        <v>0.87032699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(4208.0/B55*100)</f>
        <v/>
      </c>
      <c r="D55" s="19" t="n">
        <v>1151</v>
      </c>
      <c r="E55" s="18" t="n">
        <v>33.6497673</v>
      </c>
      <c r="F55" s="20" t="n">
        <v>1.54851125</v>
      </c>
      <c r="G55" s="18" t="n">
        <v>64.80173766</v>
      </c>
      <c r="H55" s="20" t="n">
        <v>1.51129815</v>
      </c>
      <c r="I55" s="18" t="n">
        <v>0</v>
      </c>
      <c r="J55" s="20" t="n">
        <v>0</v>
      </c>
      <c r="K55" s="18" t="n">
        <v>0.24889562</v>
      </c>
      <c r="L55" s="20" t="n">
        <v>0.13479839</v>
      </c>
      <c r="M55" s="18" t="n">
        <v>0</v>
      </c>
      <c r="N55" s="20" t="n">
        <v>0</v>
      </c>
      <c r="O55" s="18" t="n">
        <v>0</v>
      </c>
      <c r="P55" s="20" t="n">
        <v>0</v>
      </c>
      <c r="Q55" s="18" t="n">
        <v>1.29959941</v>
      </c>
      <c r="R55" s="20" t="n">
        <v>0.32048669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(5079.0/B61*100)</f>
        <v/>
      </c>
      <c r="D61" s="19" t="n">
        <v>1446</v>
      </c>
      <c r="E61" s="18" t="n">
        <v>47.9978166</v>
      </c>
      <c r="F61" s="20" t="n">
        <v>1.62280971</v>
      </c>
      <c r="G61" s="18" t="n">
        <v>50.34613881</v>
      </c>
      <c r="H61" s="20" t="n">
        <v>1.61605728</v>
      </c>
      <c r="I61" s="18" t="n">
        <v>0</v>
      </c>
      <c r="J61" s="20" t="n">
        <v>0</v>
      </c>
      <c r="K61" s="18" t="n">
        <v>0.34039118</v>
      </c>
      <c r="L61" s="20" t="n">
        <v>0.15618901</v>
      </c>
      <c r="M61" s="18" t="n">
        <v>0.08377361999999999</v>
      </c>
      <c r="N61" s="20" t="n">
        <v>0.08276685</v>
      </c>
      <c r="O61" s="18" t="n">
        <v>0</v>
      </c>
      <c r="P61" s="20" t="n">
        <v>0</v>
      </c>
      <c r="Q61" s="18" t="n">
        <v>1.23187979</v>
      </c>
      <c r="R61" s="20" t="n">
        <v>0.35470913</v>
      </c>
    </row>
    <row r="62" spans="1:18">
      <c r="A62" s="15" t="s">
        <v>622</v>
      </c>
      <c r="B62" s="17" t="n">
        <v>4476</v>
      </c>
      <c r="C62" s="18">
        <f>(3518.0/B62*100)</f>
        <v/>
      </c>
      <c r="D62" s="19" t="n">
        <v>958</v>
      </c>
      <c r="E62" s="18" t="n">
        <v>29.255241</v>
      </c>
      <c r="F62" s="20" t="n">
        <v>1.58157072</v>
      </c>
      <c r="G62" s="18" t="n">
        <v>70.53750685999999</v>
      </c>
      <c r="H62" s="20" t="n">
        <v>1.58203786</v>
      </c>
      <c r="I62" s="18" t="n">
        <v>0</v>
      </c>
      <c r="J62" s="20" t="n">
        <v>0</v>
      </c>
      <c r="K62" s="18" t="n">
        <v>0</v>
      </c>
      <c r="L62" s="20" t="n">
        <v>0</v>
      </c>
      <c r="M62" s="18" t="n">
        <v>0</v>
      </c>
      <c r="N62" s="20" t="n">
        <v>0</v>
      </c>
      <c r="O62" s="18" t="n">
        <v>0</v>
      </c>
      <c r="P62" s="20" t="n">
        <v>0</v>
      </c>
      <c r="Q62" s="18" t="n">
        <v>0.20725214</v>
      </c>
      <c r="R62" s="20" t="n">
        <v>0.2068877</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(4495.0/B67*100)</f>
        <v/>
      </c>
      <c r="D67" s="19" t="n">
        <v>1170</v>
      </c>
      <c r="E67" s="18" t="n">
        <v>53.75152123</v>
      </c>
      <c r="F67" s="20" t="n">
        <v>1.66148052</v>
      </c>
      <c r="G67" s="18" t="n">
        <v>36.83590585</v>
      </c>
      <c r="H67" s="20" t="n">
        <v>1.54862375</v>
      </c>
      <c r="I67" s="18" t="n">
        <v>0</v>
      </c>
      <c r="J67" s="20" t="n">
        <v>0</v>
      </c>
      <c r="K67" s="18" t="n">
        <v>1.8357114</v>
      </c>
      <c r="L67" s="20" t="n">
        <v>0.43948108</v>
      </c>
      <c r="M67" s="18" t="n">
        <v>0.50297741</v>
      </c>
      <c r="N67" s="20" t="n">
        <v>0.19774663</v>
      </c>
      <c r="O67" s="18" t="n">
        <v>0</v>
      </c>
      <c r="P67" s="20" t="n">
        <v>0</v>
      </c>
      <c r="Q67" s="18" t="n">
        <v>7.07388411</v>
      </c>
      <c r="R67" s="20" t="n">
        <v>0.81283583</v>
      </c>
    </row>
    <row r="68" spans="1:18">
      <c r="A68" s="15" t="s">
        <v>628</v>
      </c>
      <c r="B68" s="17" t="n">
        <v>6971</v>
      </c>
      <c r="C68" s="18">
        <f>(5726.0/B68*100)</f>
        <v/>
      </c>
      <c r="D68" s="19" t="n">
        <v>1245</v>
      </c>
      <c r="E68" s="18" t="n">
        <v>69.89770835</v>
      </c>
      <c r="F68" s="20" t="n">
        <v>1.30977271</v>
      </c>
      <c r="G68" s="18" t="n">
        <v>26.44849467</v>
      </c>
      <c r="H68" s="20" t="n">
        <v>1.26981211</v>
      </c>
      <c r="I68" s="18" t="n">
        <v>0</v>
      </c>
      <c r="J68" s="20" t="n">
        <v>0</v>
      </c>
      <c r="K68" s="18" t="n">
        <v>0.49842382</v>
      </c>
      <c r="L68" s="20" t="n">
        <v>0.20388968</v>
      </c>
      <c r="M68" s="18" t="n">
        <v>0.32713188</v>
      </c>
      <c r="N68" s="20" t="n">
        <v>0.16439325</v>
      </c>
      <c r="O68" s="18" t="n">
        <v>0</v>
      </c>
      <c r="P68" s="20" t="n">
        <v>0</v>
      </c>
      <c r="Q68" s="18" t="n">
        <v>2.82824128</v>
      </c>
      <c r="R68" s="20" t="n">
        <v>0.5157240199999999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(9451.0/B70*100)</f>
        <v/>
      </c>
      <c r="D70" s="19" t="n">
        <v>2632</v>
      </c>
      <c r="E70" s="18" t="n">
        <v>60.97297657</v>
      </c>
      <c r="F70" s="20" t="n">
        <v>1.07833278</v>
      </c>
      <c r="G70" s="18" t="n">
        <v>30.62601839</v>
      </c>
      <c r="H70" s="20" t="n">
        <v>0.95933935</v>
      </c>
      <c r="I70" s="18" t="n">
        <v>0</v>
      </c>
      <c r="J70" s="20" t="n">
        <v>0</v>
      </c>
      <c r="K70" s="18" t="n">
        <v>4.11738967</v>
      </c>
      <c r="L70" s="20" t="n">
        <v>0.3917333</v>
      </c>
      <c r="M70" s="18" t="n">
        <v>0.03678746</v>
      </c>
      <c r="N70" s="20" t="n">
        <v>0.03683692</v>
      </c>
      <c r="O70" s="18" t="n">
        <v>0</v>
      </c>
      <c r="P70" s="20" t="n">
        <v>0</v>
      </c>
      <c r="Q70" s="18" t="n">
        <v>4.24682791</v>
      </c>
      <c r="R70" s="20" t="n">
        <v>0.36145021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(4758.0/B72*100)</f>
        <v/>
      </c>
      <c r="D72" s="19" t="n">
        <v>1278</v>
      </c>
      <c r="E72" s="18" t="n">
        <v>64.92557436</v>
      </c>
      <c r="F72" s="20" t="n">
        <v>1.97542666</v>
      </c>
      <c r="G72" s="18" t="n">
        <v>32.97341436</v>
      </c>
      <c r="H72" s="20" t="n">
        <v>1.88588399</v>
      </c>
      <c r="I72" s="18" t="n">
        <v>0</v>
      </c>
      <c r="J72" s="20" t="n">
        <v>0</v>
      </c>
      <c r="K72" s="18" t="n">
        <v>0.57173883</v>
      </c>
      <c r="L72" s="20" t="n">
        <v>0.25287632</v>
      </c>
      <c r="M72" s="18" t="n">
        <v>0.05449828</v>
      </c>
      <c r="N72" s="20" t="n">
        <v>0.03865401</v>
      </c>
      <c r="O72" s="18" t="n">
        <v>0</v>
      </c>
      <c r="P72" s="20" t="n">
        <v>0</v>
      </c>
      <c r="Q72" s="18" t="n">
        <v>1.47477417</v>
      </c>
      <c r="R72" s="20" t="n">
        <v>0.34263323</v>
      </c>
    </row>
    <row r="73" spans="1:18">
      <c r="A73" s="15" t="s">
        <v>633</v>
      </c>
      <c r="B73" s="17" t="n">
        <v>6115</v>
      </c>
      <c r="C73" s="18">
        <f>(4746.0/B73*100)</f>
        <v/>
      </c>
      <c r="D73" s="19" t="n">
        <v>1369</v>
      </c>
      <c r="E73" s="18" t="n">
        <v>29.65080511</v>
      </c>
      <c r="F73" s="20" t="n">
        <v>1.35823995</v>
      </c>
      <c r="G73" s="18" t="n">
        <v>69.43726323999999</v>
      </c>
      <c r="H73" s="20" t="n">
        <v>1.40823981</v>
      </c>
      <c r="I73" s="18" t="n">
        <v>0</v>
      </c>
      <c r="J73" s="20" t="n">
        <v>0</v>
      </c>
      <c r="K73" s="18" t="n">
        <v>0.46158416</v>
      </c>
      <c r="L73" s="20" t="n">
        <v>0.18046805</v>
      </c>
      <c r="M73" s="18" t="n">
        <v>0</v>
      </c>
      <c r="N73" s="20" t="n">
        <v>0</v>
      </c>
      <c r="O73" s="18" t="n">
        <v>0</v>
      </c>
      <c r="P73" s="20" t="n">
        <v>0</v>
      </c>
      <c r="Q73" s="18" t="n">
        <v>0.4503475</v>
      </c>
      <c r="R73" s="20" t="n">
        <v>0.1643541</v>
      </c>
    </row>
    <row r="74" spans="1:18">
      <c r="A74" s="15" t="s">
        <v>634</v>
      </c>
      <c r="B74" s="17" t="n">
        <v>7708</v>
      </c>
      <c r="C74" s="18">
        <f>(5960.0/B74*100)</f>
        <v/>
      </c>
      <c r="D74" s="19" t="n">
        <v>1748</v>
      </c>
      <c r="E74" s="18" t="n">
        <v>41.12464754</v>
      </c>
      <c r="F74" s="20" t="n">
        <v>1.17568843</v>
      </c>
      <c r="G74" s="18" t="n">
        <v>57.85771623</v>
      </c>
      <c r="H74" s="20" t="n">
        <v>1.20338913</v>
      </c>
      <c r="I74" s="18" t="n">
        <v>0</v>
      </c>
      <c r="J74" s="20" t="n">
        <v>0</v>
      </c>
      <c r="K74" s="18" t="n">
        <v>0.27704853</v>
      </c>
      <c r="L74" s="20" t="n">
        <v>0.13123889</v>
      </c>
      <c r="M74" s="18" t="n">
        <v>0</v>
      </c>
      <c r="N74" s="20" t="n">
        <v>0</v>
      </c>
      <c r="O74" s="18" t="n">
        <v>0</v>
      </c>
      <c r="P74" s="20" t="n">
        <v>0</v>
      </c>
      <c r="Q74" s="18" t="n">
        <v>0.7405877</v>
      </c>
      <c r="R74" s="20" t="n">
        <v>0.23639093</v>
      </c>
    </row>
    <row r="75" spans="1:18">
      <c r="A75" s="15" t="s">
        <v>635</v>
      </c>
      <c r="B75" s="17" t="n">
        <v>8249</v>
      </c>
      <c r="C75" s="18">
        <f>(6545.0/B75*100)</f>
        <v/>
      </c>
      <c r="D75" s="19" t="n">
        <v>1704</v>
      </c>
      <c r="E75" s="18" t="n">
        <v>64.73569669</v>
      </c>
      <c r="F75" s="20" t="n">
        <v>1.50576503</v>
      </c>
      <c r="G75" s="18" t="n">
        <v>33.47907788</v>
      </c>
      <c r="H75" s="20" t="n">
        <v>1.50006482</v>
      </c>
      <c r="I75" s="18" t="n">
        <v>0</v>
      </c>
      <c r="J75" s="20" t="n">
        <v>0</v>
      </c>
      <c r="K75" s="18" t="n">
        <v>0.24952638</v>
      </c>
      <c r="L75" s="20" t="n">
        <v>0.14118501</v>
      </c>
      <c r="M75" s="18" t="n">
        <v>0.74062086</v>
      </c>
      <c r="N75" s="20" t="n">
        <v>0.20565571</v>
      </c>
      <c r="O75" s="18" t="n">
        <v>0</v>
      </c>
      <c r="P75" s="20" t="n">
        <v>0</v>
      </c>
      <c r="Q75" s="18" t="n">
        <v>0.7950782</v>
      </c>
      <c r="R75" s="20" t="n">
        <v>0.23676748</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(4338.0/B77*100)</f>
        <v/>
      </c>
      <c r="D77" s="19" t="n">
        <v>1037</v>
      </c>
      <c r="E77" s="18" t="n">
        <v>76.95657537</v>
      </c>
      <c r="F77" s="20" t="n">
        <v>1.46541931</v>
      </c>
      <c r="G77" s="18" t="n">
        <v>9.277884609999999</v>
      </c>
      <c r="H77" s="20" t="n">
        <v>1.02674062</v>
      </c>
      <c r="I77" s="18" t="n">
        <v>0</v>
      </c>
      <c r="J77" s="20" t="n">
        <v>0</v>
      </c>
      <c r="K77" s="18" t="n">
        <v>4.75464484</v>
      </c>
      <c r="L77" s="20" t="n">
        <v>0.81535806</v>
      </c>
      <c r="M77" s="18" t="n">
        <v>0.76512309</v>
      </c>
      <c r="N77" s="20" t="n">
        <v>0.27123617</v>
      </c>
      <c r="O77" s="18" t="n">
        <v>0</v>
      </c>
      <c r="P77" s="20" t="n">
        <v>0</v>
      </c>
      <c r="Q77" s="18" t="n">
        <v>8.245772090000001</v>
      </c>
      <c r="R77" s="20" t="n">
        <v>1.034747</v>
      </c>
    </row>
    <row r="78" spans="1:18">
      <c r="A78" s="15" t="s">
        <v>638</v>
      </c>
      <c r="B78" s="17" t="n">
        <v>14167</v>
      </c>
      <c r="C78" s="18">
        <f>(11067.0/B78*100)</f>
        <v/>
      </c>
      <c r="D78" s="19" t="n">
        <v>3100</v>
      </c>
      <c r="E78" s="18" t="n">
        <v>57.34123404</v>
      </c>
      <c r="F78" s="20" t="n">
        <v>1.18562782</v>
      </c>
      <c r="G78" s="18" t="n">
        <v>38.7304374</v>
      </c>
      <c r="H78" s="20" t="n">
        <v>1.26635163</v>
      </c>
      <c r="I78" s="18" t="n">
        <v>0</v>
      </c>
      <c r="J78" s="20" t="n">
        <v>0</v>
      </c>
      <c r="K78" s="18" t="n">
        <v>1.03850878</v>
      </c>
      <c r="L78" s="20" t="n">
        <v>0.16722565</v>
      </c>
      <c r="M78" s="18" t="n">
        <v>0.19313196</v>
      </c>
      <c r="N78" s="20" t="n">
        <v>0.08207472</v>
      </c>
      <c r="O78" s="18" t="n">
        <v>0</v>
      </c>
      <c r="P78" s="20" t="n">
        <v>0</v>
      </c>
      <c r="Q78" s="18" t="n">
        <v>2.69668782</v>
      </c>
      <c r="R78" s="20" t="n">
        <v>0.35060331</v>
      </c>
    </row>
    <row r="79" spans="1:18">
      <c r="A79" s="15" t="s">
        <v>639</v>
      </c>
      <c r="B79" s="17" t="n">
        <v>6062</v>
      </c>
      <c r="C79" s="18">
        <f>(4796.0/B79*100)</f>
        <v/>
      </c>
      <c r="D79" s="19" t="n">
        <v>1266</v>
      </c>
      <c r="E79" s="18" t="n">
        <v>50.10027323</v>
      </c>
      <c r="F79" s="20" t="n">
        <v>1.66904304</v>
      </c>
      <c r="G79" s="18" t="n">
        <v>44.67055613</v>
      </c>
      <c r="H79" s="20" t="n">
        <v>1.59572108</v>
      </c>
      <c r="I79" s="18" t="n">
        <v>0</v>
      </c>
      <c r="J79" s="20" t="n">
        <v>0</v>
      </c>
      <c r="K79" s="18" t="n">
        <v>1.85693766</v>
      </c>
      <c r="L79" s="20" t="n">
        <v>0.35914556</v>
      </c>
      <c r="M79" s="18" t="n">
        <v>0</v>
      </c>
      <c r="N79" s="20" t="n">
        <v>0</v>
      </c>
      <c r="O79" s="18" t="n">
        <v>0</v>
      </c>
      <c r="P79" s="20" t="n">
        <v>0</v>
      </c>
      <c r="Q79" s="18" t="n">
        <v>3.37223298</v>
      </c>
      <c r="R79" s="20" t="n">
        <v>0.56677586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(25408.0/B82*100)</f>
        <v/>
      </c>
      <c r="D82" s="19" t="n">
        <v>6922</v>
      </c>
      <c r="E82" s="18" t="n">
        <v>34.9357829</v>
      </c>
      <c r="F82" s="20" t="n">
        <v>0.90602888</v>
      </c>
      <c r="G82" s="18" t="n">
        <v>63.27023235</v>
      </c>
      <c r="H82" s="20" t="n">
        <v>0.97749047</v>
      </c>
      <c r="I82" s="18" t="n">
        <v>0</v>
      </c>
      <c r="J82" s="20" t="n">
        <v>0</v>
      </c>
      <c r="K82" s="18" t="n">
        <v>0.54749647</v>
      </c>
      <c r="L82" s="20" t="n">
        <v>0.13544753</v>
      </c>
      <c r="M82" s="18" t="n">
        <v>0.09623654</v>
      </c>
      <c r="N82" s="20" t="n">
        <v>0.06439522</v>
      </c>
      <c r="O82" s="18" t="n">
        <v>0</v>
      </c>
      <c r="P82" s="20" t="n">
        <v>0</v>
      </c>
      <c r="Q82" s="18" t="n">
        <v>1.15025173</v>
      </c>
      <c r="R82" s="20" t="n">
        <v>0.23280312</v>
      </c>
    </row>
    <row r="83" spans="1:18">
      <c r="A83" s="15" t="s">
        <v>643</v>
      </c>
      <c r="B83" s="17" t="n">
        <v>1652</v>
      </c>
      <c r="C83" s="18">
        <f>(1305.0/B83*100)</f>
        <v/>
      </c>
      <c r="D83" s="19" t="n">
        <v>347</v>
      </c>
      <c r="E83" s="18" t="n">
        <v>38.32455838</v>
      </c>
      <c r="F83" s="20" t="n">
        <v>3.34765778</v>
      </c>
      <c r="G83" s="18" t="n">
        <v>60.89569371</v>
      </c>
      <c r="H83" s="20" t="n">
        <v>3.42944255</v>
      </c>
      <c r="I83" s="18" t="n">
        <v>0</v>
      </c>
      <c r="J83" s="20" t="n">
        <v>0</v>
      </c>
      <c r="K83" s="18" t="n">
        <v>0</v>
      </c>
      <c r="L83" s="20" t="n">
        <v>0</v>
      </c>
      <c r="M83" s="18" t="n">
        <v>0</v>
      </c>
      <c r="N83" s="20" t="n">
        <v>0</v>
      </c>
      <c r="O83" s="18" t="n">
        <v>0</v>
      </c>
      <c r="P83" s="20" t="n">
        <v>0</v>
      </c>
      <c r="Q83" s="18" t="n">
        <v>0.77974791</v>
      </c>
      <c r="R83" s="20" t="n">
        <v>0.44656993</v>
      </c>
    </row>
    <row r="84" spans="1:18">
      <c r="A84" s="23" t="s">
        <v>644</v>
      </c>
      <c r="B84" s="24" t="n">
        <v>1887</v>
      </c>
      <c r="C84" s="25">
        <f>(1480.0/B84*100)</f>
        <v/>
      </c>
      <c r="D84" s="19" t="n">
        <v>407</v>
      </c>
      <c r="E84" s="18" t="n">
        <v>43.42664057</v>
      </c>
      <c r="F84" s="20" t="n">
        <v>2.60579621</v>
      </c>
      <c r="G84" s="18" t="n">
        <v>56.32118957</v>
      </c>
      <c r="H84" s="20" t="n">
        <v>2.69823403</v>
      </c>
      <c r="I84" s="18" t="n">
        <v>0</v>
      </c>
      <c r="J84" s="20" t="n">
        <v>0</v>
      </c>
      <c r="K84" s="18" t="n">
        <v>0</v>
      </c>
      <c r="L84" s="20" t="n">
        <v>0</v>
      </c>
      <c r="M84" s="18" t="n">
        <v>0</v>
      </c>
      <c r="N84" s="20" t="n">
        <v>0</v>
      </c>
      <c r="O84" s="18" t="n">
        <v>0</v>
      </c>
      <c r="P84" s="20" t="n">
        <v>0</v>
      </c>
      <c r="Q84" s="18" t="n">
        <v>0.25216986</v>
      </c>
      <c r="R84" s="20" t="n">
        <v>0.25261228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829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(11444.0/B7*100)</f>
        <v/>
      </c>
      <c r="D7" s="19" t="n">
        <v>3086</v>
      </c>
      <c r="E7" s="18" t="n">
        <v>33.88861791</v>
      </c>
      <c r="F7" s="20" t="n">
        <v>0.9862529799999999</v>
      </c>
      <c r="G7" s="18" t="n">
        <v>65.06125139</v>
      </c>
      <c r="H7" s="20" t="n">
        <v>0.98311287</v>
      </c>
      <c r="I7" s="18" t="n">
        <v>0</v>
      </c>
      <c r="J7" s="20" t="n">
        <v>0</v>
      </c>
      <c r="K7" s="18" t="n">
        <v>0.64180635</v>
      </c>
      <c r="L7" s="20" t="n">
        <v>0.15509328</v>
      </c>
      <c r="M7" s="18" t="n">
        <v>0</v>
      </c>
      <c r="N7" s="20" t="n">
        <v>0</v>
      </c>
      <c r="O7" s="18" t="n">
        <v>0</v>
      </c>
      <c r="P7" s="20" t="n">
        <v>0</v>
      </c>
      <c r="Q7" s="18" t="n">
        <v>0.40832435</v>
      </c>
      <c r="R7" s="20" t="n">
        <v>0.11940769</v>
      </c>
    </row>
    <row r="8" spans="1:18">
      <c r="A8" s="15" t="s">
        <v>566</v>
      </c>
      <c r="B8" s="17" t="n">
        <v>7007</v>
      </c>
      <c r="C8" s="18">
        <f>(5472.0/B8*100)</f>
        <v/>
      </c>
      <c r="D8" s="19" t="n">
        <v>1535</v>
      </c>
      <c r="E8" s="18" t="n">
        <v>44.57224153</v>
      </c>
      <c r="F8" s="20" t="n">
        <v>1.473284</v>
      </c>
      <c r="G8" s="18" t="n">
        <v>55.00128468</v>
      </c>
      <c r="H8" s="20" t="n">
        <v>1.48705427</v>
      </c>
      <c r="I8" s="18" t="n">
        <v>0</v>
      </c>
      <c r="J8" s="20" t="n">
        <v>0</v>
      </c>
      <c r="K8" s="18" t="n">
        <v>0.27279513</v>
      </c>
      <c r="L8" s="20" t="n">
        <v>0.14288372</v>
      </c>
      <c r="M8" s="18" t="n">
        <v>0</v>
      </c>
      <c r="N8" s="20" t="n">
        <v>0</v>
      </c>
      <c r="O8" s="18" t="n">
        <v>0</v>
      </c>
      <c r="P8" s="20" t="n">
        <v>0</v>
      </c>
      <c r="Q8" s="18" t="n">
        <v>0.15367866</v>
      </c>
      <c r="R8" s="20" t="n">
        <v>0.07377482</v>
      </c>
    </row>
    <row r="9" spans="1:18">
      <c r="A9" s="15" t="s">
        <v>567</v>
      </c>
      <c r="B9" s="17" t="n">
        <v>9651</v>
      </c>
      <c r="C9" s="18">
        <f>(7636.0/B9*100)</f>
        <v/>
      </c>
      <c r="D9" s="19" t="n">
        <v>2015</v>
      </c>
      <c r="E9" s="18" t="n">
        <v>39.85118806</v>
      </c>
      <c r="F9" s="20" t="n">
        <v>1.08001165</v>
      </c>
      <c r="G9" s="18" t="n">
        <v>58.73143517</v>
      </c>
      <c r="H9" s="20" t="n">
        <v>1.07445231</v>
      </c>
      <c r="I9" s="18" t="n">
        <v>0</v>
      </c>
      <c r="J9" s="20" t="n">
        <v>0</v>
      </c>
      <c r="K9" s="18" t="n">
        <v>0.87148605</v>
      </c>
      <c r="L9" s="20" t="n">
        <v>0.23502089</v>
      </c>
      <c r="M9" s="18" t="n">
        <v>0</v>
      </c>
      <c r="N9" s="20" t="n">
        <v>0</v>
      </c>
      <c r="O9" s="18" t="n">
        <v>0</v>
      </c>
      <c r="P9" s="20" t="n">
        <v>0</v>
      </c>
      <c r="Q9" s="18" t="n">
        <v>0.5458907200000001</v>
      </c>
      <c r="R9" s="20" t="n">
        <v>0.18261538</v>
      </c>
    </row>
    <row r="10" spans="1:18">
      <c r="A10" s="15" t="s">
        <v>568</v>
      </c>
      <c r="B10" s="17" t="n">
        <v>20058</v>
      </c>
      <c r="C10" s="18">
        <f>(15735.0/B10*100)</f>
        <v/>
      </c>
      <c r="D10" s="19" t="n">
        <v>4323</v>
      </c>
      <c r="E10" s="18" t="n">
        <v>36.65367238</v>
      </c>
      <c r="F10" s="20" t="n">
        <v>1.14029059</v>
      </c>
      <c r="G10" s="18" t="n">
        <v>62.12571301</v>
      </c>
      <c r="H10" s="20" t="n">
        <v>1.12853452</v>
      </c>
      <c r="I10" s="18" t="n">
        <v>0</v>
      </c>
      <c r="J10" s="20" t="n">
        <v>0</v>
      </c>
      <c r="K10" s="18" t="n">
        <v>0.90167973</v>
      </c>
      <c r="L10" s="20" t="n">
        <v>0.20209017</v>
      </c>
      <c r="M10" s="18" t="n">
        <v>0</v>
      </c>
      <c r="N10" s="20" t="n">
        <v>0</v>
      </c>
      <c r="O10" s="18" t="n">
        <v>0</v>
      </c>
      <c r="P10" s="20" t="n">
        <v>0</v>
      </c>
      <c r="Q10" s="18" t="n">
        <v>0.31893488</v>
      </c>
      <c r="R10" s="20" t="n">
        <v>0.14263712</v>
      </c>
    </row>
    <row r="11" spans="1:18">
      <c r="A11" s="15" t="s">
        <v>569</v>
      </c>
      <c r="B11" s="17" t="n">
        <v>7053</v>
      </c>
      <c r="C11" s="18">
        <f>(5597.0/B11*100)</f>
        <v/>
      </c>
      <c r="D11" s="19" t="n">
        <v>1456</v>
      </c>
      <c r="E11" s="18" t="n">
        <v>52.95821856</v>
      </c>
      <c r="F11" s="20" t="n">
        <v>1.63061428</v>
      </c>
      <c r="G11" s="18" t="n">
        <v>43.88254754</v>
      </c>
      <c r="H11" s="20" t="n">
        <v>1.55111002</v>
      </c>
      <c r="I11" s="18" t="n">
        <v>0</v>
      </c>
      <c r="J11" s="20" t="n">
        <v>0</v>
      </c>
      <c r="K11" s="18" t="n">
        <v>2.50939037</v>
      </c>
      <c r="L11" s="20" t="n">
        <v>0.42859955</v>
      </c>
      <c r="M11" s="18" t="n">
        <v>0</v>
      </c>
      <c r="N11" s="20" t="n">
        <v>0</v>
      </c>
      <c r="O11" s="18" t="n">
        <v>0</v>
      </c>
      <c r="P11" s="20" t="n">
        <v>0</v>
      </c>
      <c r="Q11" s="18" t="n">
        <v>0.64984354</v>
      </c>
      <c r="R11" s="20" t="n">
        <v>0.2674696</v>
      </c>
    </row>
    <row r="12" spans="1:18">
      <c r="A12" s="15" t="s">
        <v>570</v>
      </c>
      <c r="B12" s="17" t="n">
        <v>6894</v>
      </c>
      <c r="C12" s="18">
        <f>(5432.0/B12*100)</f>
        <v/>
      </c>
      <c r="D12" s="19" t="n">
        <v>1462</v>
      </c>
      <c r="E12" s="18" t="n">
        <v>52.62176319</v>
      </c>
      <c r="F12" s="20" t="n">
        <v>1.38917304</v>
      </c>
      <c r="G12" s="18" t="n">
        <v>46.48159162</v>
      </c>
      <c r="H12" s="20" t="n">
        <v>1.38183427</v>
      </c>
      <c r="I12" s="18" t="n">
        <v>0</v>
      </c>
      <c r="J12" s="20" t="n">
        <v>0</v>
      </c>
      <c r="K12" s="18" t="n">
        <v>0.48277562</v>
      </c>
      <c r="L12" s="20" t="n">
        <v>0.22328623</v>
      </c>
      <c r="M12" s="18" t="n">
        <v>0</v>
      </c>
      <c r="N12" s="20" t="n">
        <v>0</v>
      </c>
      <c r="O12" s="18" t="n">
        <v>0</v>
      </c>
      <c r="P12" s="20" t="n">
        <v>0</v>
      </c>
      <c r="Q12" s="18" t="n">
        <v>0.41386957</v>
      </c>
      <c r="R12" s="20" t="n">
        <v>0.17904931</v>
      </c>
    </row>
    <row r="13" spans="1:18">
      <c r="A13" s="15" t="s">
        <v>571</v>
      </c>
      <c r="B13" s="17" t="n">
        <v>7161</v>
      </c>
      <c r="C13" s="18">
        <f>(5679.0/B13*100)</f>
        <v/>
      </c>
      <c r="D13" s="19" t="n">
        <v>1482</v>
      </c>
      <c r="E13" s="18" t="n">
        <v>34.42264175</v>
      </c>
      <c r="F13" s="20" t="n">
        <v>1.47342867</v>
      </c>
      <c r="G13" s="18" t="n">
        <v>64.46439429</v>
      </c>
      <c r="H13" s="20" t="n">
        <v>1.43967989</v>
      </c>
      <c r="I13" s="18" t="n">
        <v>0</v>
      </c>
      <c r="J13" s="20" t="n">
        <v>0</v>
      </c>
      <c r="K13" s="18" t="n">
        <v>0.81188025</v>
      </c>
      <c r="L13" s="20" t="n">
        <v>0.28748886</v>
      </c>
      <c r="M13" s="18" t="n">
        <v>0</v>
      </c>
      <c r="N13" s="20" t="n">
        <v>0</v>
      </c>
      <c r="O13" s="18" t="n">
        <v>0</v>
      </c>
      <c r="P13" s="20" t="n">
        <v>0</v>
      </c>
      <c r="Q13" s="18" t="n">
        <v>0.30108371</v>
      </c>
      <c r="R13" s="20" t="n">
        <v>0.11752607</v>
      </c>
    </row>
    <row r="14" spans="1:18">
      <c r="A14" s="15" t="s">
        <v>572</v>
      </c>
      <c r="B14" s="17" t="n">
        <v>5587</v>
      </c>
      <c r="C14" s="18">
        <f>(4379.0/B14*100)</f>
        <v/>
      </c>
      <c r="D14" s="19" t="n">
        <v>1208</v>
      </c>
      <c r="E14" s="18" t="n">
        <v>45.52933983</v>
      </c>
      <c r="F14" s="20" t="n">
        <v>1.62855899</v>
      </c>
      <c r="G14" s="18" t="n">
        <v>54.1318274</v>
      </c>
      <c r="H14" s="20" t="n">
        <v>1.62302038</v>
      </c>
      <c r="I14" s="18" t="n">
        <v>0</v>
      </c>
      <c r="J14" s="20" t="n">
        <v>0</v>
      </c>
      <c r="K14" s="18" t="n">
        <v>0.19233527</v>
      </c>
      <c r="L14" s="20" t="n">
        <v>0.11096508</v>
      </c>
      <c r="M14" s="18" t="n">
        <v>0</v>
      </c>
      <c r="N14" s="20" t="n">
        <v>0</v>
      </c>
      <c r="O14" s="18" t="n">
        <v>0</v>
      </c>
      <c r="P14" s="20" t="n">
        <v>0</v>
      </c>
      <c r="Q14" s="18" t="n">
        <v>0.1464975</v>
      </c>
      <c r="R14" s="20" t="n">
        <v>0.10318046</v>
      </c>
    </row>
    <row r="15" spans="1:18">
      <c r="A15" s="15" t="s">
        <v>573</v>
      </c>
      <c r="B15" s="17" t="n">
        <v>5882</v>
      </c>
      <c r="C15" s="18">
        <f>(4636.0/B15*100)</f>
        <v/>
      </c>
      <c r="D15" s="19" t="n">
        <v>1246</v>
      </c>
      <c r="E15" s="18" t="n">
        <v>36.42707536</v>
      </c>
      <c r="F15" s="20" t="n">
        <v>1.45902726</v>
      </c>
      <c r="G15" s="18" t="n">
        <v>62.84676682</v>
      </c>
      <c r="H15" s="20" t="n">
        <v>1.46275928</v>
      </c>
      <c r="I15" s="18" t="n">
        <v>0</v>
      </c>
      <c r="J15" s="20" t="n">
        <v>0</v>
      </c>
      <c r="K15" s="18" t="n">
        <v>0.46618706</v>
      </c>
      <c r="L15" s="20" t="n">
        <v>0.19136951</v>
      </c>
      <c r="M15" s="18" t="n">
        <v>0</v>
      </c>
      <c r="N15" s="20" t="n">
        <v>0</v>
      </c>
      <c r="O15" s="18" t="n">
        <v>0</v>
      </c>
      <c r="P15" s="20" t="n">
        <v>0</v>
      </c>
      <c r="Q15" s="18" t="n">
        <v>0.25997076</v>
      </c>
      <c r="R15" s="20" t="n">
        <v>0.14580788</v>
      </c>
    </row>
    <row r="16" spans="1:18">
      <c r="A16" s="15" t="s">
        <v>574</v>
      </c>
      <c r="B16" s="17" t="n">
        <v>6108</v>
      </c>
      <c r="C16" s="18">
        <f>(4782.0/B16*100)</f>
        <v/>
      </c>
      <c r="D16" s="19" t="n">
        <v>1326</v>
      </c>
      <c r="E16" s="18" t="n">
        <v>46.51422057</v>
      </c>
      <c r="F16" s="20" t="n">
        <v>1.43772285</v>
      </c>
      <c r="G16" s="18" t="n">
        <v>49.7693943</v>
      </c>
      <c r="H16" s="20" t="n">
        <v>1.38876173</v>
      </c>
      <c r="I16" s="18" t="n">
        <v>0</v>
      </c>
      <c r="J16" s="20" t="n">
        <v>0</v>
      </c>
      <c r="K16" s="18" t="n">
        <v>2.52488564</v>
      </c>
      <c r="L16" s="20" t="n">
        <v>0.53479288</v>
      </c>
      <c r="M16" s="18" t="n">
        <v>0</v>
      </c>
      <c r="N16" s="20" t="n">
        <v>0</v>
      </c>
      <c r="O16" s="18" t="n">
        <v>0</v>
      </c>
      <c r="P16" s="20" t="n">
        <v>0</v>
      </c>
      <c r="Q16" s="18" t="n">
        <v>1.19149949</v>
      </c>
      <c r="R16" s="20" t="n">
        <v>0.24529665</v>
      </c>
    </row>
    <row r="17" spans="1:18">
      <c r="A17" s="15" t="s">
        <v>575</v>
      </c>
      <c r="B17" s="17" t="n">
        <v>6504</v>
      </c>
      <c r="C17" s="18">
        <f>(5107.0/B17*100)</f>
        <v/>
      </c>
      <c r="D17" s="19" t="n">
        <v>1397</v>
      </c>
      <c r="E17" s="18" t="n">
        <v>39.84081357</v>
      </c>
      <c r="F17" s="20" t="n">
        <v>1.3432443</v>
      </c>
      <c r="G17" s="18" t="n">
        <v>59.23514723</v>
      </c>
      <c r="H17" s="20" t="n">
        <v>1.37157635</v>
      </c>
      <c r="I17" s="18" t="n">
        <v>0</v>
      </c>
      <c r="J17" s="20" t="n">
        <v>0</v>
      </c>
      <c r="K17" s="18" t="n">
        <v>0.57183199</v>
      </c>
      <c r="L17" s="20" t="n">
        <v>0.20259398</v>
      </c>
      <c r="M17" s="18" t="n">
        <v>0</v>
      </c>
      <c r="N17" s="20" t="n">
        <v>0</v>
      </c>
      <c r="O17" s="18" t="n">
        <v>0</v>
      </c>
      <c r="P17" s="20" t="n">
        <v>0</v>
      </c>
      <c r="Q17" s="18" t="n">
        <v>0.35220721</v>
      </c>
      <c r="R17" s="20" t="n">
        <v>0.16835112</v>
      </c>
    </row>
    <row r="18" spans="1:18">
      <c r="A18" s="15" t="s">
        <v>576</v>
      </c>
      <c r="B18" s="17" t="n">
        <v>5532</v>
      </c>
      <c r="C18" s="18">
        <f>(4313.0/B18*100)</f>
        <v/>
      </c>
      <c r="D18" s="19" t="n">
        <v>1219</v>
      </c>
      <c r="E18" s="18" t="n">
        <v>52.7679524</v>
      </c>
      <c r="F18" s="20" t="n">
        <v>1.8695861</v>
      </c>
      <c r="G18" s="18" t="n">
        <v>46.03600359</v>
      </c>
      <c r="H18" s="20" t="n">
        <v>1.82680971</v>
      </c>
      <c r="I18" s="18" t="n">
        <v>0</v>
      </c>
      <c r="J18" s="20" t="n">
        <v>0</v>
      </c>
      <c r="K18" s="18" t="n">
        <v>0.69963072</v>
      </c>
      <c r="L18" s="20" t="n">
        <v>0.25602141</v>
      </c>
      <c r="M18" s="18" t="n">
        <v>0</v>
      </c>
      <c r="N18" s="20" t="n">
        <v>0</v>
      </c>
      <c r="O18" s="18" t="n">
        <v>0</v>
      </c>
      <c r="P18" s="20" t="n">
        <v>0</v>
      </c>
      <c r="Q18" s="18" t="n">
        <v>0.49641328</v>
      </c>
      <c r="R18" s="20" t="n">
        <v>0.21427332</v>
      </c>
    </row>
    <row r="19" spans="1:18">
      <c r="A19" s="15" t="s">
        <v>577</v>
      </c>
      <c r="B19" s="17" t="n">
        <v>5658</v>
      </c>
      <c r="C19" s="18">
        <f>(4452.0/B19*100)</f>
        <v/>
      </c>
      <c r="D19" s="19" t="n">
        <v>1206</v>
      </c>
      <c r="E19" s="18" t="n">
        <v>48.35200027</v>
      </c>
      <c r="F19" s="20" t="n">
        <v>1.5986891</v>
      </c>
      <c r="G19" s="18" t="n">
        <v>51.32361151</v>
      </c>
      <c r="H19" s="20" t="n">
        <v>1.58597291</v>
      </c>
      <c r="I19" s="18" t="n">
        <v>0</v>
      </c>
      <c r="J19" s="20" t="n">
        <v>0</v>
      </c>
      <c r="K19" s="18" t="n">
        <v>0.21462131</v>
      </c>
      <c r="L19" s="20" t="n">
        <v>0.12717802</v>
      </c>
      <c r="M19" s="18" t="n">
        <v>0</v>
      </c>
      <c r="N19" s="20" t="n">
        <v>0</v>
      </c>
      <c r="O19" s="18" t="n">
        <v>0</v>
      </c>
      <c r="P19" s="20" t="n">
        <v>0</v>
      </c>
      <c r="Q19" s="18" t="n">
        <v>0.10976691</v>
      </c>
      <c r="R19" s="20" t="n">
        <v>0.1091823</v>
      </c>
    </row>
    <row r="20" spans="1:18">
      <c r="A20" s="15" t="s">
        <v>578</v>
      </c>
      <c r="B20" s="17" t="n">
        <v>3371</v>
      </c>
      <c r="C20" s="18">
        <f>(2646.0/B20*100)</f>
        <v/>
      </c>
      <c r="D20" s="19" t="n">
        <v>725</v>
      </c>
      <c r="E20" s="18" t="n">
        <v>51.31547247</v>
      </c>
      <c r="F20" s="20" t="n">
        <v>1.72243563</v>
      </c>
      <c r="G20" s="18" t="n">
        <v>47.15170325</v>
      </c>
      <c r="H20" s="20" t="n">
        <v>1.66367319</v>
      </c>
      <c r="I20" s="18" t="n">
        <v>0</v>
      </c>
      <c r="J20" s="20" t="n">
        <v>0</v>
      </c>
      <c r="K20" s="18" t="n">
        <v>0.84918665</v>
      </c>
      <c r="L20" s="20" t="n">
        <v>0.35236816</v>
      </c>
      <c r="M20" s="18" t="n">
        <v>0</v>
      </c>
      <c r="N20" s="20" t="n">
        <v>0</v>
      </c>
      <c r="O20" s="18" t="n">
        <v>0</v>
      </c>
      <c r="P20" s="20" t="n">
        <v>0</v>
      </c>
      <c r="Q20" s="18" t="n">
        <v>0.6836376199999999</v>
      </c>
      <c r="R20" s="20" t="n">
        <v>0.31028993</v>
      </c>
    </row>
    <row r="21" spans="1:18">
      <c r="A21" s="15" t="s">
        <v>579</v>
      </c>
      <c r="B21" s="17" t="n">
        <v>5741</v>
      </c>
      <c r="C21" s="18">
        <f>(4467.0/B21*100)</f>
        <v/>
      </c>
      <c r="D21" s="19" t="n">
        <v>1274</v>
      </c>
      <c r="E21" s="18" t="n">
        <v>40.18969524</v>
      </c>
      <c r="F21" s="20" t="n">
        <v>1.37400072</v>
      </c>
      <c r="G21" s="18" t="n">
        <v>58.72812004</v>
      </c>
      <c r="H21" s="20" t="n">
        <v>1.50161822</v>
      </c>
      <c r="I21" s="18" t="n">
        <v>0</v>
      </c>
      <c r="J21" s="20" t="n">
        <v>0</v>
      </c>
      <c r="K21" s="18" t="n">
        <v>0.66020771</v>
      </c>
      <c r="L21" s="20" t="n">
        <v>0.24001612</v>
      </c>
      <c r="M21" s="18" t="n">
        <v>0</v>
      </c>
      <c r="N21" s="20" t="n">
        <v>0</v>
      </c>
      <c r="O21" s="18" t="n">
        <v>0</v>
      </c>
      <c r="P21" s="20" t="n">
        <v>0</v>
      </c>
      <c r="Q21" s="18" t="n">
        <v>0.42197702</v>
      </c>
      <c r="R21" s="20" t="n">
        <v>0.19746325</v>
      </c>
    </row>
    <row r="22" spans="1:18">
      <c r="A22" s="15" t="s">
        <v>580</v>
      </c>
      <c r="B22" s="17" t="n">
        <v>6598</v>
      </c>
      <c r="C22" s="18">
        <f>(5202.0/B22*100)</f>
        <v/>
      </c>
      <c r="D22" s="19" t="n">
        <v>1396</v>
      </c>
      <c r="E22" s="18" t="n">
        <v>45.24548597</v>
      </c>
      <c r="F22" s="20" t="n">
        <v>1.27959586</v>
      </c>
      <c r="G22" s="18" t="n">
        <v>52.63005013</v>
      </c>
      <c r="H22" s="20" t="n">
        <v>1.30246971</v>
      </c>
      <c r="I22" s="18" t="n">
        <v>0</v>
      </c>
      <c r="J22" s="20" t="n">
        <v>0</v>
      </c>
      <c r="K22" s="18" t="n">
        <v>1.03920333</v>
      </c>
      <c r="L22" s="20" t="n">
        <v>0.36642115</v>
      </c>
      <c r="M22" s="18" t="n">
        <v>0</v>
      </c>
      <c r="N22" s="20" t="n">
        <v>0</v>
      </c>
      <c r="O22" s="18" t="n">
        <v>0</v>
      </c>
      <c r="P22" s="20" t="n">
        <v>0</v>
      </c>
      <c r="Q22" s="18" t="n">
        <v>1.08526057</v>
      </c>
      <c r="R22" s="20" t="n">
        <v>0.22925267</v>
      </c>
    </row>
    <row r="23" spans="1:18">
      <c r="A23" s="15" t="s">
        <v>581</v>
      </c>
      <c r="B23" s="17" t="n">
        <v>11583</v>
      </c>
      <c r="C23" s="18">
        <f>(9054.0/B23*100)</f>
        <v/>
      </c>
      <c r="D23" s="19" t="n">
        <v>2529</v>
      </c>
      <c r="E23" s="18" t="n">
        <v>48.0189511</v>
      </c>
      <c r="F23" s="20" t="n">
        <v>1.62283398</v>
      </c>
      <c r="G23" s="18" t="n">
        <v>49.58933975</v>
      </c>
      <c r="H23" s="20" t="n">
        <v>1.57646286</v>
      </c>
      <c r="I23" s="18" t="n">
        <v>0</v>
      </c>
      <c r="J23" s="20" t="n">
        <v>0</v>
      </c>
      <c r="K23" s="18" t="n">
        <v>1.24848375</v>
      </c>
      <c r="L23" s="20" t="n">
        <v>0.35709023</v>
      </c>
      <c r="M23" s="18" t="n">
        <v>0</v>
      </c>
      <c r="N23" s="20" t="n">
        <v>0</v>
      </c>
      <c r="O23" s="18" t="n">
        <v>0</v>
      </c>
      <c r="P23" s="20" t="n">
        <v>0</v>
      </c>
      <c r="Q23" s="18" t="n">
        <v>1.14322539</v>
      </c>
      <c r="R23" s="20" t="n">
        <v>0.30089643</v>
      </c>
    </row>
    <row r="24" spans="1:18">
      <c r="A24" s="15" t="s">
        <v>582</v>
      </c>
      <c r="B24" s="17" t="n">
        <v>6647</v>
      </c>
      <c r="C24" s="18">
        <f>(5214.0/B24*100)</f>
        <v/>
      </c>
      <c r="D24" s="19" t="n">
        <v>1433</v>
      </c>
      <c r="E24" s="18" t="n">
        <v>35.05338907</v>
      </c>
      <c r="F24" s="20" t="n">
        <v>1.34900718</v>
      </c>
      <c r="G24" s="18" t="n">
        <v>64.08715992</v>
      </c>
      <c r="H24" s="20" t="n">
        <v>1.36926734</v>
      </c>
      <c r="I24" s="18" t="n">
        <v>0</v>
      </c>
      <c r="J24" s="20" t="n">
        <v>0</v>
      </c>
      <c r="K24" s="18" t="n">
        <v>0.50795315</v>
      </c>
      <c r="L24" s="20" t="n">
        <v>0.19250588</v>
      </c>
      <c r="M24" s="18" t="n">
        <v>0</v>
      </c>
      <c r="N24" s="20" t="n">
        <v>0</v>
      </c>
      <c r="O24" s="18" t="n">
        <v>0</v>
      </c>
      <c r="P24" s="20" t="n">
        <v>0</v>
      </c>
      <c r="Q24" s="18" t="n">
        <v>0.35149786</v>
      </c>
      <c r="R24" s="20" t="n">
        <v>0.15777656</v>
      </c>
    </row>
    <row r="25" spans="1:18">
      <c r="A25" s="15" t="s">
        <v>583</v>
      </c>
      <c r="B25" s="17" t="n">
        <v>5581</v>
      </c>
      <c r="C25" s="18">
        <f>(4322.0/B25*100)</f>
        <v/>
      </c>
      <c r="D25" s="19" t="n">
        <v>1259</v>
      </c>
      <c r="E25" s="18" t="n">
        <v>48.40159437</v>
      </c>
      <c r="F25" s="20" t="n">
        <v>1.55306164</v>
      </c>
      <c r="G25" s="18" t="n">
        <v>50.79658172</v>
      </c>
      <c r="H25" s="20" t="n">
        <v>1.50609669</v>
      </c>
      <c r="I25" s="18" t="n">
        <v>0</v>
      </c>
      <c r="J25" s="20" t="n">
        <v>0</v>
      </c>
      <c r="K25" s="18" t="n">
        <v>0.45054408</v>
      </c>
      <c r="L25" s="20" t="n">
        <v>0.1800428</v>
      </c>
      <c r="M25" s="18" t="n">
        <v>0</v>
      </c>
      <c r="N25" s="20" t="n">
        <v>0</v>
      </c>
      <c r="O25" s="18" t="n">
        <v>0</v>
      </c>
      <c r="P25" s="20" t="n">
        <v>0</v>
      </c>
      <c r="Q25" s="18" t="n">
        <v>0.35127984</v>
      </c>
      <c r="R25" s="20" t="n">
        <v>0.17446907</v>
      </c>
    </row>
    <row r="26" spans="1:18">
      <c r="A26" s="15" t="s">
        <v>584</v>
      </c>
      <c r="B26" s="17" t="n">
        <v>4869</v>
      </c>
      <c r="C26" s="18">
        <f>(3804.0/B26*100)</f>
        <v/>
      </c>
      <c r="D26" s="19" t="n">
        <v>1065</v>
      </c>
      <c r="E26" s="18" t="n">
        <v>49.45396308</v>
      </c>
      <c r="F26" s="20" t="n">
        <v>1.39815592</v>
      </c>
      <c r="G26" s="18" t="n">
        <v>50.23721338</v>
      </c>
      <c r="H26" s="20" t="n">
        <v>1.40582006</v>
      </c>
      <c r="I26" s="18" t="n">
        <v>0</v>
      </c>
      <c r="J26" s="20" t="n">
        <v>0</v>
      </c>
      <c r="K26" s="18" t="n">
        <v>0.08016754</v>
      </c>
      <c r="L26" s="20" t="n">
        <v>0.08186394</v>
      </c>
      <c r="M26" s="18" t="n">
        <v>0</v>
      </c>
      <c r="N26" s="20" t="n">
        <v>0</v>
      </c>
      <c r="O26" s="18" t="n">
        <v>0</v>
      </c>
      <c r="P26" s="20" t="n">
        <v>0</v>
      </c>
      <c r="Q26" s="18" t="n">
        <v>0.228656</v>
      </c>
      <c r="R26" s="20" t="n">
        <v>0.12569607</v>
      </c>
    </row>
    <row r="27" spans="1:18">
      <c r="A27" s="15" t="s">
        <v>585</v>
      </c>
      <c r="B27" s="17" t="n">
        <v>5299</v>
      </c>
      <c r="C27" s="18">
        <f>(4171.0/B27*100)</f>
        <v/>
      </c>
      <c r="D27" s="19" t="n">
        <v>1128</v>
      </c>
      <c r="E27" s="18" t="n">
        <v>49.84891321</v>
      </c>
      <c r="F27" s="20" t="n">
        <v>1.50639837</v>
      </c>
      <c r="G27" s="18" t="n">
        <v>49.16909959</v>
      </c>
      <c r="H27" s="20" t="n">
        <v>1.50494683</v>
      </c>
      <c r="I27" s="18" t="n">
        <v>0</v>
      </c>
      <c r="J27" s="20" t="n">
        <v>0</v>
      </c>
      <c r="K27" s="18" t="n">
        <v>0.36025079</v>
      </c>
      <c r="L27" s="20" t="n">
        <v>0.18221599</v>
      </c>
      <c r="M27" s="18" t="n">
        <v>0</v>
      </c>
      <c r="N27" s="20" t="n">
        <v>0</v>
      </c>
      <c r="O27" s="18" t="n">
        <v>0</v>
      </c>
      <c r="P27" s="20" t="n">
        <v>0</v>
      </c>
      <c r="Q27" s="18" t="n">
        <v>0.62173642</v>
      </c>
      <c r="R27" s="20" t="n">
        <v>0.26569148</v>
      </c>
    </row>
    <row r="28" spans="1:18">
      <c r="A28" s="15" t="s">
        <v>586</v>
      </c>
      <c r="B28" s="17" t="n">
        <v>7568</v>
      </c>
      <c r="C28" s="18">
        <f>(6138.0/B28*100)</f>
        <v/>
      </c>
      <c r="D28" s="19" t="n">
        <v>1430</v>
      </c>
      <c r="E28" s="18" t="n">
        <v>50.82281003</v>
      </c>
      <c r="F28" s="20" t="n">
        <v>1.77401</v>
      </c>
      <c r="G28" s="18" t="n">
        <v>47.24031287</v>
      </c>
      <c r="H28" s="20" t="n">
        <v>1.82708732</v>
      </c>
      <c r="I28" s="18" t="n">
        <v>0</v>
      </c>
      <c r="J28" s="20" t="n">
        <v>0</v>
      </c>
      <c r="K28" s="18" t="n">
        <v>1.81833376</v>
      </c>
      <c r="L28" s="20" t="n">
        <v>0.48741266</v>
      </c>
      <c r="M28" s="18" t="n">
        <v>0</v>
      </c>
      <c r="N28" s="20" t="n">
        <v>0</v>
      </c>
      <c r="O28" s="18" t="n">
        <v>0</v>
      </c>
      <c r="P28" s="20" t="n">
        <v>0</v>
      </c>
      <c r="Q28" s="18" t="n">
        <v>0.11854333</v>
      </c>
      <c r="R28" s="20" t="n">
        <v>0.08641432</v>
      </c>
    </row>
    <row r="29" spans="1:18">
      <c r="A29" s="15" t="s">
        <v>587</v>
      </c>
      <c r="B29" s="17" t="n">
        <v>5385</v>
      </c>
      <c r="C29" s="18">
        <f>(4191.0/B29*100)</f>
        <v/>
      </c>
      <c r="D29" s="19" t="n">
        <v>1194</v>
      </c>
      <c r="E29" s="18" t="n">
        <v>32.72191487</v>
      </c>
      <c r="F29" s="20" t="n">
        <v>1.46477442</v>
      </c>
      <c r="G29" s="18" t="n">
        <v>66.83614541</v>
      </c>
      <c r="H29" s="20" t="n">
        <v>1.46425196</v>
      </c>
      <c r="I29" s="18" t="n">
        <v>0</v>
      </c>
      <c r="J29" s="20" t="n">
        <v>0</v>
      </c>
      <c r="K29" s="18" t="n">
        <v>0.28208774</v>
      </c>
      <c r="L29" s="20" t="n">
        <v>0.14686184</v>
      </c>
      <c r="M29" s="18" t="n">
        <v>0</v>
      </c>
      <c r="N29" s="20" t="n">
        <v>0</v>
      </c>
      <c r="O29" s="18" t="n">
        <v>0</v>
      </c>
      <c r="P29" s="20" t="n">
        <v>0</v>
      </c>
      <c r="Q29" s="18" t="n">
        <v>0.15985197</v>
      </c>
      <c r="R29" s="20" t="n">
        <v>0.11226956</v>
      </c>
    </row>
    <row r="30" spans="1:18">
      <c r="A30" s="15" t="s">
        <v>588</v>
      </c>
      <c r="B30" s="17" t="n">
        <v>4520</v>
      </c>
      <c r="C30" s="18">
        <f>(3585.0/B30*100)</f>
        <v/>
      </c>
      <c r="D30" s="19" t="n">
        <v>935</v>
      </c>
      <c r="E30" s="18" t="n">
        <v>39.10979933</v>
      </c>
      <c r="F30" s="20" t="n">
        <v>1.63986443</v>
      </c>
      <c r="G30" s="18" t="n">
        <v>59.10164802</v>
      </c>
      <c r="H30" s="20" t="n">
        <v>1.5787911</v>
      </c>
      <c r="I30" s="18" t="n">
        <v>0</v>
      </c>
      <c r="J30" s="20" t="n">
        <v>0</v>
      </c>
      <c r="K30" s="18" t="n">
        <v>1.20915579</v>
      </c>
      <c r="L30" s="20" t="n">
        <v>0.40580178</v>
      </c>
      <c r="M30" s="18" t="n">
        <v>0</v>
      </c>
      <c r="N30" s="20" t="n">
        <v>0</v>
      </c>
      <c r="O30" s="18" t="n">
        <v>0</v>
      </c>
      <c r="P30" s="20" t="n">
        <v>0</v>
      </c>
      <c r="Q30" s="18" t="n">
        <v>0.57939686</v>
      </c>
      <c r="R30" s="20" t="n">
        <v>0.32044064</v>
      </c>
    </row>
    <row r="31" spans="1:18">
      <c r="A31" s="15" t="s">
        <v>589</v>
      </c>
      <c r="B31" s="17" t="n">
        <v>5456</v>
      </c>
      <c r="C31" s="18">
        <f>(4272.0/B31*100)</f>
        <v/>
      </c>
      <c r="D31" s="19" t="n">
        <v>1184</v>
      </c>
      <c r="E31" s="18" t="n">
        <v>43.41799619</v>
      </c>
      <c r="F31" s="20" t="n">
        <v>1.57918036</v>
      </c>
      <c r="G31" s="18" t="n">
        <v>54.30802502</v>
      </c>
      <c r="H31" s="20" t="n">
        <v>1.62108857</v>
      </c>
      <c r="I31" s="18" t="n">
        <v>0</v>
      </c>
      <c r="J31" s="20" t="n">
        <v>0</v>
      </c>
      <c r="K31" s="18" t="n">
        <v>1.45403989</v>
      </c>
      <c r="L31" s="20" t="n">
        <v>0.35137289</v>
      </c>
      <c r="M31" s="18" t="n">
        <v>0</v>
      </c>
      <c r="N31" s="20" t="n">
        <v>0</v>
      </c>
      <c r="O31" s="18" t="n">
        <v>0</v>
      </c>
      <c r="P31" s="20" t="n">
        <v>0</v>
      </c>
      <c r="Q31" s="18" t="n">
        <v>0.8199389</v>
      </c>
      <c r="R31" s="20" t="n">
        <v>0.23533887</v>
      </c>
    </row>
    <row r="32" spans="1:18">
      <c r="A32" s="15" t="s">
        <v>590</v>
      </c>
      <c r="B32" s="17" t="n">
        <v>4478</v>
      </c>
      <c r="C32" s="18">
        <f>(3493.0/B32*100)</f>
        <v/>
      </c>
      <c r="D32" s="19" t="n">
        <v>985</v>
      </c>
      <c r="E32" s="18" t="n">
        <v>38.09182073</v>
      </c>
      <c r="F32" s="20" t="n">
        <v>1.65236982</v>
      </c>
      <c r="G32" s="18" t="n">
        <v>61.49124819</v>
      </c>
      <c r="H32" s="20" t="n">
        <v>1.6341267</v>
      </c>
      <c r="I32" s="18" t="n">
        <v>0</v>
      </c>
      <c r="J32" s="20" t="n">
        <v>0</v>
      </c>
      <c r="K32" s="18" t="n">
        <v>0.32579449</v>
      </c>
      <c r="L32" s="20" t="n">
        <v>0.19131969</v>
      </c>
      <c r="M32" s="18" t="n">
        <v>0</v>
      </c>
      <c r="N32" s="20" t="n">
        <v>0</v>
      </c>
      <c r="O32" s="18" t="n">
        <v>0</v>
      </c>
      <c r="P32" s="20" t="n">
        <v>0</v>
      </c>
      <c r="Q32" s="18" t="n">
        <v>0.09113659</v>
      </c>
      <c r="R32" s="20" t="n">
        <v>0.09099516000000001</v>
      </c>
    </row>
    <row r="33" spans="1:18">
      <c r="A33" s="15" t="s">
        <v>591</v>
      </c>
      <c r="B33" s="17" t="n">
        <v>7325</v>
      </c>
      <c r="C33" s="18">
        <f>(5798.0/B33*100)</f>
        <v/>
      </c>
      <c r="D33" s="19" t="n">
        <v>1527</v>
      </c>
      <c r="E33" s="18" t="n">
        <v>42.20737039</v>
      </c>
      <c r="F33" s="20" t="n">
        <v>1.58572862</v>
      </c>
      <c r="G33" s="18" t="n">
        <v>55.90078091</v>
      </c>
      <c r="H33" s="20" t="n">
        <v>1.49536628</v>
      </c>
      <c r="I33" s="18" t="n">
        <v>0</v>
      </c>
      <c r="J33" s="20" t="n">
        <v>0</v>
      </c>
      <c r="K33" s="18" t="n">
        <v>1.15531273</v>
      </c>
      <c r="L33" s="20" t="n">
        <v>0.32688662</v>
      </c>
      <c r="M33" s="18" t="n">
        <v>0</v>
      </c>
      <c r="N33" s="20" t="n">
        <v>0</v>
      </c>
      <c r="O33" s="18" t="n">
        <v>0</v>
      </c>
      <c r="P33" s="20" t="n">
        <v>0</v>
      </c>
      <c r="Q33" s="18" t="n">
        <v>0.73653597</v>
      </c>
      <c r="R33" s="20" t="n">
        <v>0.23557015</v>
      </c>
    </row>
    <row r="34" spans="1:18">
      <c r="A34" s="15" t="s">
        <v>592</v>
      </c>
      <c r="B34" s="17" t="n">
        <v>6350</v>
      </c>
      <c r="C34" s="18">
        <f>(5013.0/B34*100)</f>
        <v/>
      </c>
      <c r="D34" s="19" t="n">
        <v>1337</v>
      </c>
      <c r="E34" s="18" t="n">
        <v>54.31165899</v>
      </c>
      <c r="F34" s="20" t="n">
        <v>1.3681585</v>
      </c>
      <c r="G34" s="18" t="n">
        <v>44.68995235</v>
      </c>
      <c r="H34" s="20" t="n">
        <v>1.3908834</v>
      </c>
      <c r="I34" s="18" t="n">
        <v>0</v>
      </c>
      <c r="J34" s="20" t="n">
        <v>0</v>
      </c>
      <c r="K34" s="18" t="n">
        <v>0.55150625</v>
      </c>
      <c r="L34" s="20" t="n">
        <v>0.19970715</v>
      </c>
      <c r="M34" s="18" t="n">
        <v>0</v>
      </c>
      <c r="N34" s="20" t="n">
        <v>0</v>
      </c>
      <c r="O34" s="18" t="n">
        <v>0</v>
      </c>
      <c r="P34" s="20" t="n">
        <v>0</v>
      </c>
      <c r="Q34" s="18" t="n">
        <v>0.44688241</v>
      </c>
      <c r="R34" s="20" t="n">
        <v>0.1913599</v>
      </c>
    </row>
    <row r="35" spans="1:18">
      <c r="A35" s="15" t="s">
        <v>593</v>
      </c>
      <c r="B35" s="17" t="n">
        <v>6406</v>
      </c>
      <c r="C35" s="18">
        <f>(5035.0/B35*100)</f>
        <v/>
      </c>
      <c r="D35" s="19" t="n">
        <v>1371</v>
      </c>
      <c r="E35" s="18" t="n">
        <v>40.8440932</v>
      </c>
      <c r="F35" s="20" t="n">
        <v>1.75558731</v>
      </c>
      <c r="G35" s="18" t="n">
        <v>58.31821653</v>
      </c>
      <c r="H35" s="20" t="n">
        <v>1.7528947</v>
      </c>
      <c r="I35" s="18" t="n">
        <v>0</v>
      </c>
      <c r="J35" s="20" t="n">
        <v>0</v>
      </c>
      <c r="K35" s="18" t="n">
        <v>0.63579621</v>
      </c>
      <c r="L35" s="20" t="n">
        <v>0.40052428</v>
      </c>
      <c r="M35" s="18" t="n">
        <v>0</v>
      </c>
      <c r="N35" s="20" t="n">
        <v>0</v>
      </c>
      <c r="O35" s="18" t="n">
        <v>0</v>
      </c>
      <c r="P35" s="20" t="n">
        <v>0</v>
      </c>
      <c r="Q35" s="18" t="n">
        <v>0.20189406</v>
      </c>
      <c r="R35" s="20" t="n">
        <v>0.11412584</v>
      </c>
    </row>
    <row r="36" spans="1:18">
      <c r="A36" s="15" t="s">
        <v>594</v>
      </c>
      <c r="B36" s="17" t="n">
        <v>6736</v>
      </c>
      <c r="C36" s="18">
        <f>(5326.0/B36*100)</f>
        <v/>
      </c>
      <c r="D36" s="19" t="n">
        <v>1410</v>
      </c>
      <c r="E36" s="18" t="n">
        <v>45.94635148</v>
      </c>
      <c r="F36" s="20" t="n">
        <v>1.68087106</v>
      </c>
      <c r="G36" s="18" t="n">
        <v>53.14384993</v>
      </c>
      <c r="H36" s="20" t="n">
        <v>1.69277287</v>
      </c>
      <c r="I36" s="18" t="n">
        <v>0</v>
      </c>
      <c r="J36" s="20" t="n">
        <v>0</v>
      </c>
      <c r="K36" s="18" t="n">
        <v>0.61697007</v>
      </c>
      <c r="L36" s="20" t="n">
        <v>0.20755894</v>
      </c>
      <c r="M36" s="18" t="n">
        <v>0</v>
      </c>
      <c r="N36" s="20" t="n">
        <v>0</v>
      </c>
      <c r="O36" s="18" t="n">
        <v>0</v>
      </c>
      <c r="P36" s="20" t="n">
        <v>0</v>
      </c>
      <c r="Q36" s="18" t="n">
        <v>0.29282852</v>
      </c>
      <c r="R36" s="20" t="n">
        <v>0.12139286</v>
      </c>
    </row>
    <row r="37" spans="1:18">
      <c r="A37" s="15" t="s">
        <v>595</v>
      </c>
      <c r="B37" s="17" t="n">
        <v>5458</v>
      </c>
      <c r="C37" s="18">
        <f>(4304.0/B37*100)</f>
        <v/>
      </c>
      <c r="D37" s="19" t="n">
        <v>1154</v>
      </c>
      <c r="E37" s="18" t="n">
        <v>41.67155728</v>
      </c>
      <c r="F37" s="20" t="n">
        <v>1.49367346</v>
      </c>
      <c r="G37" s="18" t="n">
        <v>55.49278567</v>
      </c>
      <c r="H37" s="20" t="n">
        <v>1.63199518</v>
      </c>
      <c r="I37" s="18" t="n">
        <v>0</v>
      </c>
      <c r="J37" s="20" t="n">
        <v>0</v>
      </c>
      <c r="K37" s="18" t="n">
        <v>1.8011075</v>
      </c>
      <c r="L37" s="20" t="n">
        <v>0.48501946</v>
      </c>
      <c r="M37" s="18" t="n">
        <v>0</v>
      </c>
      <c r="N37" s="20" t="n">
        <v>0</v>
      </c>
      <c r="O37" s="18" t="n">
        <v>0</v>
      </c>
      <c r="P37" s="20" t="n">
        <v>0</v>
      </c>
      <c r="Q37" s="18" t="n">
        <v>1.03454955</v>
      </c>
      <c r="R37" s="20" t="n">
        <v>0.35101309</v>
      </c>
    </row>
    <row r="38" spans="1:18">
      <c r="A38" s="15" t="s">
        <v>596</v>
      </c>
      <c r="B38" s="17" t="n">
        <v>5860</v>
      </c>
      <c r="C38" s="18">
        <f>(4570.0/B38*100)</f>
        <v/>
      </c>
      <c r="D38" s="19" t="n">
        <v>1290</v>
      </c>
      <c r="E38" s="18" t="n">
        <v>47.05269232</v>
      </c>
      <c r="F38" s="20" t="n">
        <v>1.55969576</v>
      </c>
      <c r="G38" s="18" t="n">
        <v>51.55786277</v>
      </c>
      <c r="H38" s="20" t="n">
        <v>1.54709278</v>
      </c>
      <c r="I38" s="18" t="n">
        <v>0</v>
      </c>
      <c r="J38" s="20" t="n">
        <v>0</v>
      </c>
      <c r="K38" s="18" t="n">
        <v>0.36986594</v>
      </c>
      <c r="L38" s="20" t="n">
        <v>0.17985958</v>
      </c>
      <c r="M38" s="18" t="n">
        <v>0</v>
      </c>
      <c r="N38" s="20" t="n">
        <v>0</v>
      </c>
      <c r="O38" s="18" t="n">
        <v>0</v>
      </c>
      <c r="P38" s="20" t="n">
        <v>0</v>
      </c>
      <c r="Q38" s="18" t="n">
        <v>1.01957897</v>
      </c>
      <c r="R38" s="20" t="n">
        <v>0.29467519</v>
      </c>
    </row>
    <row r="39" spans="1:18">
      <c r="A39" s="15" t="s">
        <v>597</v>
      </c>
      <c r="B39" s="17" t="n">
        <v>5895</v>
      </c>
      <c r="C39" s="18">
        <f>(4594.0/B39*100)</f>
        <v/>
      </c>
      <c r="D39" s="19" t="n">
        <v>1301</v>
      </c>
      <c r="E39" s="18" t="n">
        <v>60.57882224</v>
      </c>
      <c r="F39" s="20" t="n">
        <v>1.49141897</v>
      </c>
      <c r="G39" s="18" t="n">
        <v>38.7165278</v>
      </c>
      <c r="H39" s="20" t="n">
        <v>1.5440462</v>
      </c>
      <c r="I39" s="18" t="n">
        <v>0</v>
      </c>
      <c r="J39" s="20" t="n">
        <v>0</v>
      </c>
      <c r="K39" s="18" t="n">
        <v>0.46903862</v>
      </c>
      <c r="L39" s="20" t="n">
        <v>0.21284569</v>
      </c>
      <c r="M39" s="18" t="n">
        <v>0</v>
      </c>
      <c r="N39" s="20" t="n">
        <v>0</v>
      </c>
      <c r="O39" s="18" t="n">
        <v>0</v>
      </c>
      <c r="P39" s="20" t="n">
        <v>0</v>
      </c>
      <c r="Q39" s="18" t="n">
        <v>0.23561133</v>
      </c>
      <c r="R39" s="20" t="n">
        <v>0.12763703</v>
      </c>
    </row>
    <row r="40" spans="1:18">
      <c r="A40" s="15" t="s">
        <v>598</v>
      </c>
      <c r="B40" s="17" t="n">
        <v>14157</v>
      </c>
      <c r="C40" s="18">
        <f>(10996.0/B40*100)</f>
        <v/>
      </c>
      <c r="D40" s="19" t="n">
        <v>3161</v>
      </c>
      <c r="E40" s="18" t="n">
        <v>37.77184749</v>
      </c>
      <c r="F40" s="20" t="n">
        <v>1.52769225</v>
      </c>
      <c r="G40" s="18" t="n">
        <v>60.90799782</v>
      </c>
      <c r="H40" s="20" t="n">
        <v>1.55378055</v>
      </c>
      <c r="I40" s="18" t="n">
        <v>0</v>
      </c>
      <c r="J40" s="20" t="n">
        <v>0</v>
      </c>
      <c r="K40" s="18" t="n">
        <v>0.64281725</v>
      </c>
      <c r="L40" s="20" t="n">
        <v>0.23116254</v>
      </c>
      <c r="M40" s="18" t="n">
        <v>0</v>
      </c>
      <c r="N40" s="20" t="n">
        <v>0</v>
      </c>
      <c r="O40" s="18" t="n">
        <v>0</v>
      </c>
      <c r="P40" s="20" t="n">
        <v>0</v>
      </c>
      <c r="Q40" s="18" t="n">
        <v>0.67733744</v>
      </c>
      <c r="R40" s="20" t="n">
        <v>0.24596689</v>
      </c>
    </row>
    <row r="41" spans="1:18">
      <c r="A41" s="15" t="s">
        <v>599</v>
      </c>
      <c r="B41" s="17" t="n">
        <v>5712</v>
      </c>
      <c r="C41" s="18">
        <f>(4494.0/B41*100)</f>
        <v/>
      </c>
      <c r="D41" s="19" t="n">
        <v>1218</v>
      </c>
      <c r="E41" s="18" t="n">
        <v>35.82283636</v>
      </c>
      <c r="F41" s="20" t="n">
        <v>1.82398837</v>
      </c>
      <c r="G41" s="18" t="n">
        <v>63.75147219</v>
      </c>
      <c r="H41" s="20" t="n">
        <v>1.82613368</v>
      </c>
      <c r="I41" s="18" t="n">
        <v>0</v>
      </c>
      <c r="J41" s="20" t="n">
        <v>0</v>
      </c>
      <c r="K41" s="18" t="n">
        <v>0.32167915</v>
      </c>
      <c r="L41" s="20" t="n">
        <v>0.18168037</v>
      </c>
      <c r="M41" s="18" t="n">
        <v>0</v>
      </c>
      <c r="N41" s="20" t="n">
        <v>0</v>
      </c>
      <c r="O41" s="18" t="n">
        <v>0</v>
      </c>
      <c r="P41" s="20" t="n">
        <v>0</v>
      </c>
      <c r="Q41" s="18" t="n">
        <v>0.1040123</v>
      </c>
      <c r="R41" s="20" t="n">
        <v>0.09329453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(19489.0/B46*100)</f>
        <v/>
      </c>
      <c r="D46" s="19" t="n">
        <v>3652</v>
      </c>
      <c r="E46" s="18" t="n">
        <v>62.41776997</v>
      </c>
      <c r="F46" s="20" t="n">
        <v>1.22609043</v>
      </c>
      <c r="G46" s="18" t="n">
        <v>33.23611724</v>
      </c>
      <c r="H46" s="20" t="n">
        <v>1.11663565</v>
      </c>
      <c r="I46" s="18" t="n">
        <v>0</v>
      </c>
      <c r="J46" s="20" t="n">
        <v>0</v>
      </c>
      <c r="K46" s="18" t="n">
        <v>2.82257989</v>
      </c>
      <c r="L46" s="20" t="n">
        <v>0.41940957</v>
      </c>
      <c r="M46" s="18" t="n">
        <v>0</v>
      </c>
      <c r="N46" s="20" t="n">
        <v>0</v>
      </c>
      <c r="O46" s="18" t="n">
        <v>0</v>
      </c>
      <c r="P46" s="20" t="n">
        <v>0</v>
      </c>
      <c r="Q46" s="18" t="n">
        <v>1.5235329</v>
      </c>
      <c r="R46" s="20" t="n">
        <v>0.26857308</v>
      </c>
    </row>
    <row r="47" spans="1:18">
      <c r="A47" s="15" t="s">
        <v>606</v>
      </c>
      <c r="B47" s="17" t="n">
        <v>5928</v>
      </c>
      <c r="C47" s="18">
        <f>(4682.0/B47*100)</f>
        <v/>
      </c>
      <c r="D47" s="19" t="n">
        <v>1246</v>
      </c>
      <c r="E47" s="18" t="n">
        <v>56.87699389</v>
      </c>
      <c r="F47" s="20" t="n">
        <v>1.47817725</v>
      </c>
      <c r="G47" s="18" t="n">
        <v>41.38641413</v>
      </c>
      <c r="H47" s="20" t="n">
        <v>1.53804277</v>
      </c>
      <c r="I47" s="18" t="n">
        <v>0</v>
      </c>
      <c r="J47" s="20" t="n">
        <v>0</v>
      </c>
      <c r="K47" s="18" t="n">
        <v>1.11765379</v>
      </c>
      <c r="L47" s="20" t="n">
        <v>0.34384252</v>
      </c>
      <c r="M47" s="18" t="n">
        <v>0</v>
      </c>
      <c r="N47" s="20" t="n">
        <v>0</v>
      </c>
      <c r="O47" s="18" t="n">
        <v>0</v>
      </c>
      <c r="P47" s="20" t="n">
        <v>0</v>
      </c>
      <c r="Q47" s="18" t="n">
        <v>0.6189381900000001</v>
      </c>
      <c r="R47" s="20" t="n">
        <v>0.26775972</v>
      </c>
    </row>
    <row r="48" spans="1:18">
      <c r="A48" s="15" t="s">
        <v>607</v>
      </c>
      <c r="B48" s="17" t="n">
        <v>9841</v>
      </c>
      <c r="C48" s="18">
        <f>(7654.0/B48*100)</f>
        <v/>
      </c>
      <c r="D48" s="19" t="n">
        <v>2187</v>
      </c>
      <c r="E48" s="18" t="n">
        <v>56.86431424</v>
      </c>
      <c r="F48" s="20" t="n">
        <v>1.21048921</v>
      </c>
      <c r="G48" s="18" t="n">
        <v>42.07586496</v>
      </c>
      <c r="H48" s="20" t="n">
        <v>1.29781336</v>
      </c>
      <c r="I48" s="18" t="n">
        <v>0</v>
      </c>
      <c r="J48" s="20" t="n">
        <v>0</v>
      </c>
      <c r="K48" s="18" t="n">
        <v>0.93725937</v>
      </c>
      <c r="L48" s="20" t="n">
        <v>0.35399931</v>
      </c>
      <c r="M48" s="18" t="n">
        <v>0</v>
      </c>
      <c r="N48" s="20" t="n">
        <v>0</v>
      </c>
      <c r="O48" s="18" t="n">
        <v>0</v>
      </c>
      <c r="P48" s="20" t="n">
        <v>0</v>
      </c>
      <c r="Q48" s="18" t="n">
        <v>0.12256143</v>
      </c>
      <c r="R48" s="20" t="n">
        <v>0.08586708</v>
      </c>
    </row>
    <row r="49" spans="1:18">
      <c r="A49" s="15" t="s">
        <v>608</v>
      </c>
      <c r="B49" s="17" t="n">
        <v>11795</v>
      </c>
      <c r="C49" s="18">
        <f>(9330.0/B49*100)</f>
        <v/>
      </c>
      <c r="D49" s="19" t="n">
        <v>2465</v>
      </c>
      <c r="E49" s="18" t="n">
        <v>48.78339581</v>
      </c>
      <c r="F49" s="20" t="n">
        <v>1.4192838</v>
      </c>
      <c r="G49" s="18" t="n">
        <v>46.52824837</v>
      </c>
      <c r="H49" s="20" t="n">
        <v>1.32266982</v>
      </c>
      <c r="I49" s="18" t="n">
        <v>0</v>
      </c>
      <c r="J49" s="20" t="n">
        <v>0</v>
      </c>
      <c r="K49" s="18" t="n">
        <v>3.85549492</v>
      </c>
      <c r="L49" s="20" t="n">
        <v>0.58969785</v>
      </c>
      <c r="M49" s="18" t="n">
        <v>0</v>
      </c>
      <c r="N49" s="20" t="n">
        <v>0</v>
      </c>
      <c r="O49" s="18" t="n">
        <v>0</v>
      </c>
      <c r="P49" s="20" t="n">
        <v>0</v>
      </c>
      <c r="Q49" s="18" t="n">
        <v>0.8328609</v>
      </c>
      <c r="R49" s="20" t="n">
        <v>0.22729012</v>
      </c>
    </row>
    <row r="50" spans="1:18">
      <c r="A50" s="15" t="s">
        <v>609</v>
      </c>
      <c r="B50" s="17" t="n">
        <v>6866</v>
      </c>
      <c r="C50" s="18">
        <f>(5637.0/B50*100)</f>
        <v/>
      </c>
      <c r="D50" s="19" t="n">
        <v>1229</v>
      </c>
      <c r="E50" s="18" t="n">
        <v>57.64206977</v>
      </c>
      <c r="F50" s="20" t="n">
        <v>1.53618374</v>
      </c>
      <c r="G50" s="18" t="n">
        <v>40.51324257</v>
      </c>
      <c r="H50" s="20" t="n">
        <v>1.49615415</v>
      </c>
      <c r="I50" s="18" t="n">
        <v>0</v>
      </c>
      <c r="J50" s="20" t="n">
        <v>0</v>
      </c>
      <c r="K50" s="18" t="n">
        <v>1.47788794</v>
      </c>
      <c r="L50" s="20" t="n">
        <v>0.40355388</v>
      </c>
      <c r="M50" s="18" t="n">
        <v>0</v>
      </c>
      <c r="N50" s="20" t="n">
        <v>0</v>
      </c>
      <c r="O50" s="18" t="n">
        <v>0</v>
      </c>
      <c r="P50" s="20" t="n">
        <v>0</v>
      </c>
      <c r="Q50" s="18" t="n">
        <v>0.36679972</v>
      </c>
      <c r="R50" s="20" t="n">
        <v>0.13551137</v>
      </c>
    </row>
    <row r="51" spans="1:18">
      <c r="A51" s="15" t="s">
        <v>610</v>
      </c>
      <c r="B51" s="17" t="n">
        <v>5809</v>
      </c>
      <c r="C51" s="18">
        <f>(4527.0/B51*100)</f>
        <v/>
      </c>
      <c r="D51" s="19" t="n">
        <v>1282</v>
      </c>
      <c r="E51" s="18" t="n">
        <v>58.87020529</v>
      </c>
      <c r="F51" s="20" t="n">
        <v>1.55763959</v>
      </c>
      <c r="G51" s="18" t="n">
        <v>40.48821325</v>
      </c>
      <c r="H51" s="20" t="n">
        <v>1.52576243</v>
      </c>
      <c r="I51" s="18" t="n">
        <v>0</v>
      </c>
      <c r="J51" s="20" t="n">
        <v>0</v>
      </c>
      <c r="K51" s="18" t="n">
        <v>0.21108104</v>
      </c>
      <c r="L51" s="20" t="n">
        <v>0.12430542</v>
      </c>
      <c r="M51" s="18" t="n">
        <v>0</v>
      </c>
      <c r="N51" s="20" t="n">
        <v>0</v>
      </c>
      <c r="O51" s="18" t="n">
        <v>0</v>
      </c>
      <c r="P51" s="20" t="n">
        <v>0</v>
      </c>
      <c r="Q51" s="18" t="n">
        <v>0.43050041</v>
      </c>
      <c r="R51" s="20" t="n">
        <v>0.20565778</v>
      </c>
    </row>
    <row r="52" spans="1:18">
      <c r="A52" s="15" t="s">
        <v>611</v>
      </c>
      <c r="B52" s="17" t="n">
        <v>5571</v>
      </c>
      <c r="C52" s="18">
        <f>(4364.0/B52*100)</f>
        <v/>
      </c>
      <c r="D52" s="19" t="n">
        <v>1207</v>
      </c>
      <c r="E52" s="18" t="n">
        <v>59.82851453</v>
      </c>
      <c r="F52" s="20" t="n">
        <v>1.44216904</v>
      </c>
      <c r="G52" s="18" t="n">
        <v>38.61165371</v>
      </c>
      <c r="H52" s="20" t="n">
        <v>1.37635867</v>
      </c>
      <c r="I52" s="18" t="n">
        <v>0</v>
      </c>
      <c r="J52" s="20" t="n">
        <v>0</v>
      </c>
      <c r="K52" s="18" t="n">
        <v>1.11348968</v>
      </c>
      <c r="L52" s="20" t="n">
        <v>0.31796276</v>
      </c>
      <c r="M52" s="18" t="n">
        <v>0</v>
      </c>
      <c r="N52" s="20" t="n">
        <v>0</v>
      </c>
      <c r="O52" s="18" t="n">
        <v>0</v>
      </c>
      <c r="P52" s="20" t="n">
        <v>0</v>
      </c>
      <c r="Q52" s="18" t="n">
        <v>0.44634208</v>
      </c>
      <c r="R52" s="20" t="n">
        <v>0.20798649</v>
      </c>
    </row>
    <row r="53" spans="1:18">
      <c r="A53" s="15" t="s">
        <v>612</v>
      </c>
      <c r="B53" s="17" t="n">
        <v>4740</v>
      </c>
      <c r="C53" s="18">
        <f>(3730.0/B53*100)</f>
        <v/>
      </c>
      <c r="D53" s="19" t="n">
        <v>1010</v>
      </c>
      <c r="E53" s="18" t="n">
        <v>61.47393399</v>
      </c>
      <c r="F53" s="20" t="n">
        <v>1.76507171</v>
      </c>
      <c r="G53" s="18" t="n">
        <v>16.80978661</v>
      </c>
      <c r="H53" s="20" t="n">
        <v>1.27006442</v>
      </c>
      <c r="I53" s="18" t="n">
        <v>0</v>
      </c>
      <c r="J53" s="20" t="n">
        <v>0</v>
      </c>
      <c r="K53" s="18" t="n">
        <v>20.15749757</v>
      </c>
      <c r="L53" s="20" t="n">
        <v>1.66272348</v>
      </c>
      <c r="M53" s="18" t="n">
        <v>0</v>
      </c>
      <c r="N53" s="20" t="n">
        <v>0</v>
      </c>
      <c r="O53" s="18" t="n">
        <v>0</v>
      </c>
      <c r="P53" s="20" t="n">
        <v>0</v>
      </c>
      <c r="Q53" s="18" t="n">
        <v>1.55878182</v>
      </c>
      <c r="R53" s="20" t="n">
        <v>0.53251615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(4210.0/B55*100)</f>
        <v/>
      </c>
      <c r="D55" s="19" t="n">
        <v>1149</v>
      </c>
      <c r="E55" s="18" t="n">
        <v>43.84910289</v>
      </c>
      <c r="F55" s="20" t="n">
        <v>1.70574847</v>
      </c>
      <c r="G55" s="18" t="n">
        <v>55.62802894</v>
      </c>
      <c r="H55" s="20" t="n">
        <v>1.68024424</v>
      </c>
      <c r="I55" s="18" t="n">
        <v>0</v>
      </c>
      <c r="J55" s="20" t="n">
        <v>0</v>
      </c>
      <c r="K55" s="18" t="n">
        <v>0.24930402</v>
      </c>
      <c r="L55" s="20" t="n">
        <v>0.13501577</v>
      </c>
      <c r="M55" s="18" t="n">
        <v>0</v>
      </c>
      <c r="N55" s="20" t="n">
        <v>0</v>
      </c>
      <c r="O55" s="18" t="n">
        <v>0</v>
      </c>
      <c r="P55" s="20" t="n">
        <v>0</v>
      </c>
      <c r="Q55" s="18" t="n">
        <v>0.27356414</v>
      </c>
      <c r="R55" s="20" t="n">
        <v>0.13608541</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(5080.0/B61*100)</f>
        <v/>
      </c>
      <c r="D61" s="19" t="n">
        <v>1445</v>
      </c>
      <c r="E61" s="18" t="n">
        <v>46.50173394</v>
      </c>
      <c r="F61" s="20" t="n">
        <v>1.86808328</v>
      </c>
      <c r="G61" s="18" t="n">
        <v>52.75979434</v>
      </c>
      <c r="H61" s="20" t="n">
        <v>1.83368052</v>
      </c>
      <c r="I61" s="18" t="n">
        <v>0</v>
      </c>
      <c r="J61" s="20" t="n">
        <v>0</v>
      </c>
      <c r="K61" s="18" t="n">
        <v>0.34063006</v>
      </c>
      <c r="L61" s="20" t="n">
        <v>0.15629788</v>
      </c>
      <c r="M61" s="18" t="n">
        <v>0</v>
      </c>
      <c r="N61" s="20" t="n">
        <v>0</v>
      </c>
      <c r="O61" s="18" t="n">
        <v>0</v>
      </c>
      <c r="P61" s="20" t="n">
        <v>0</v>
      </c>
      <c r="Q61" s="18" t="n">
        <v>0.39784166</v>
      </c>
      <c r="R61" s="20" t="n">
        <v>0.17045263</v>
      </c>
    </row>
    <row r="62" spans="1:18">
      <c r="A62" s="15" t="s">
        <v>622</v>
      </c>
      <c r="B62" s="17" t="n">
        <v>4476</v>
      </c>
      <c r="C62" s="18">
        <f>(3518.0/B62*100)</f>
        <v/>
      </c>
      <c r="D62" s="19" t="n">
        <v>958</v>
      </c>
      <c r="E62" s="18" t="n">
        <v>37.69796659</v>
      </c>
      <c r="F62" s="20" t="n">
        <v>1.66155278</v>
      </c>
      <c r="G62" s="18" t="n">
        <v>62.19840734</v>
      </c>
      <c r="H62" s="20" t="n">
        <v>1.6574543</v>
      </c>
      <c r="I62" s="18" t="n">
        <v>0</v>
      </c>
      <c r="J62" s="20" t="n">
        <v>0</v>
      </c>
      <c r="K62" s="18" t="n">
        <v>0</v>
      </c>
      <c r="L62" s="20" t="n">
        <v>0</v>
      </c>
      <c r="M62" s="18" t="n">
        <v>0</v>
      </c>
      <c r="N62" s="20" t="n">
        <v>0</v>
      </c>
      <c r="O62" s="18" t="n">
        <v>0</v>
      </c>
      <c r="P62" s="20" t="n">
        <v>0</v>
      </c>
      <c r="Q62" s="18" t="n">
        <v>0.10362607</v>
      </c>
      <c r="R62" s="20" t="n">
        <v>0.10344385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(4495.0/B67*100)</f>
        <v/>
      </c>
      <c r="D67" s="19" t="n">
        <v>1170</v>
      </c>
      <c r="E67" s="18" t="n">
        <v>63.29248316</v>
      </c>
      <c r="F67" s="20" t="n">
        <v>1.1985491</v>
      </c>
      <c r="G67" s="18" t="n">
        <v>33.26973679</v>
      </c>
      <c r="H67" s="20" t="n">
        <v>1.26552584</v>
      </c>
      <c r="I67" s="18" t="n">
        <v>0</v>
      </c>
      <c r="J67" s="20" t="n">
        <v>0</v>
      </c>
      <c r="K67" s="18" t="n">
        <v>2.09683003</v>
      </c>
      <c r="L67" s="20" t="n">
        <v>0.45123205</v>
      </c>
      <c r="M67" s="18" t="n">
        <v>0</v>
      </c>
      <c r="N67" s="20" t="n">
        <v>0</v>
      </c>
      <c r="O67" s="18" t="n">
        <v>0</v>
      </c>
      <c r="P67" s="20" t="n">
        <v>0</v>
      </c>
      <c r="Q67" s="18" t="n">
        <v>1.34095001</v>
      </c>
      <c r="R67" s="20" t="n">
        <v>0.35372757</v>
      </c>
    </row>
    <row r="68" spans="1:18">
      <c r="A68" s="15" t="s">
        <v>628</v>
      </c>
      <c r="B68" s="17" t="n">
        <v>6971</v>
      </c>
      <c r="C68" s="18">
        <f>(5727.0/B68*100)</f>
        <v/>
      </c>
      <c r="D68" s="19" t="n">
        <v>1244</v>
      </c>
      <c r="E68" s="18" t="n">
        <v>65.94251411</v>
      </c>
      <c r="F68" s="20" t="n">
        <v>1.68652345</v>
      </c>
      <c r="G68" s="18" t="n">
        <v>32.95265715</v>
      </c>
      <c r="H68" s="20" t="n">
        <v>1.71257717</v>
      </c>
      <c r="I68" s="18" t="n">
        <v>0</v>
      </c>
      <c r="J68" s="20" t="n">
        <v>0</v>
      </c>
      <c r="K68" s="18" t="n">
        <v>0.66931247</v>
      </c>
      <c r="L68" s="20" t="n">
        <v>0.28096332</v>
      </c>
      <c r="M68" s="18" t="n">
        <v>0</v>
      </c>
      <c r="N68" s="20" t="n">
        <v>0</v>
      </c>
      <c r="O68" s="18" t="n">
        <v>0</v>
      </c>
      <c r="P68" s="20" t="n">
        <v>0</v>
      </c>
      <c r="Q68" s="18" t="n">
        <v>0.43551627</v>
      </c>
      <c r="R68" s="20" t="n">
        <v>0.18054546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(9453.0/B70*100)</f>
        <v/>
      </c>
      <c r="D70" s="19" t="n">
        <v>2630</v>
      </c>
      <c r="E70" s="18" t="n">
        <v>58.9167582</v>
      </c>
      <c r="F70" s="20" t="n">
        <v>0.96038638</v>
      </c>
      <c r="G70" s="18" t="n">
        <v>35.38317976</v>
      </c>
      <c r="H70" s="20" t="n">
        <v>0.93618709</v>
      </c>
      <c r="I70" s="18" t="n">
        <v>0</v>
      </c>
      <c r="J70" s="20" t="n">
        <v>0</v>
      </c>
      <c r="K70" s="18" t="n">
        <v>4.50551704</v>
      </c>
      <c r="L70" s="20" t="n">
        <v>0.41570294</v>
      </c>
      <c r="M70" s="18" t="n">
        <v>0</v>
      </c>
      <c r="N70" s="20" t="n">
        <v>0</v>
      </c>
      <c r="O70" s="18" t="n">
        <v>0</v>
      </c>
      <c r="P70" s="20" t="n">
        <v>0</v>
      </c>
      <c r="Q70" s="18" t="n">
        <v>1.194545</v>
      </c>
      <c r="R70" s="20" t="n">
        <v>0.20595527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(4758.0/B72*100)</f>
        <v/>
      </c>
      <c r="D72" s="19" t="n">
        <v>1278</v>
      </c>
      <c r="E72" s="18" t="n">
        <v>56.70394472</v>
      </c>
      <c r="F72" s="20" t="n">
        <v>1.78624183</v>
      </c>
      <c r="G72" s="18" t="n">
        <v>42.19882679</v>
      </c>
      <c r="H72" s="20" t="n">
        <v>1.73373666</v>
      </c>
      <c r="I72" s="18" t="n">
        <v>0</v>
      </c>
      <c r="J72" s="20" t="n">
        <v>0</v>
      </c>
      <c r="K72" s="18" t="n">
        <v>0.62024643</v>
      </c>
      <c r="L72" s="20" t="n">
        <v>0.25839294</v>
      </c>
      <c r="M72" s="18" t="n">
        <v>0</v>
      </c>
      <c r="N72" s="20" t="n">
        <v>0</v>
      </c>
      <c r="O72" s="18" t="n">
        <v>0</v>
      </c>
      <c r="P72" s="20" t="n">
        <v>0</v>
      </c>
      <c r="Q72" s="18" t="n">
        <v>0.47698206</v>
      </c>
      <c r="R72" s="20" t="n">
        <v>0.23774585</v>
      </c>
    </row>
    <row r="73" spans="1:18">
      <c r="A73" s="15" t="s">
        <v>633</v>
      </c>
      <c r="B73" s="17" t="n">
        <v>6115</v>
      </c>
      <c r="C73" s="18">
        <f>(4746.0/B73*100)</f>
        <v/>
      </c>
      <c r="D73" s="19" t="n">
        <v>1369</v>
      </c>
      <c r="E73" s="18" t="n">
        <v>37.559003</v>
      </c>
      <c r="F73" s="20" t="n">
        <v>1.29850305</v>
      </c>
      <c r="G73" s="18" t="n">
        <v>61.82220355</v>
      </c>
      <c r="H73" s="20" t="n">
        <v>1.2772015</v>
      </c>
      <c r="I73" s="18" t="n">
        <v>0</v>
      </c>
      <c r="J73" s="20" t="n">
        <v>0</v>
      </c>
      <c r="K73" s="18" t="n">
        <v>0.5347589</v>
      </c>
      <c r="L73" s="20" t="n">
        <v>0.19613323</v>
      </c>
      <c r="M73" s="18" t="n">
        <v>0</v>
      </c>
      <c r="N73" s="20" t="n">
        <v>0</v>
      </c>
      <c r="O73" s="18" t="n">
        <v>0</v>
      </c>
      <c r="P73" s="20" t="n">
        <v>0</v>
      </c>
      <c r="Q73" s="18" t="n">
        <v>0.08403454</v>
      </c>
      <c r="R73" s="20" t="n">
        <v>0.05910342</v>
      </c>
    </row>
    <row r="74" spans="1:18">
      <c r="A74" s="15" t="s">
        <v>634</v>
      </c>
      <c r="B74" s="17" t="n">
        <v>7708</v>
      </c>
      <c r="C74" s="18">
        <f>(5960.0/B74*100)</f>
        <v/>
      </c>
      <c r="D74" s="19" t="n">
        <v>1748</v>
      </c>
      <c r="E74" s="18" t="n">
        <v>46.43772033</v>
      </c>
      <c r="F74" s="20" t="n">
        <v>1.33678023</v>
      </c>
      <c r="G74" s="18" t="n">
        <v>52.82815915</v>
      </c>
      <c r="H74" s="20" t="n">
        <v>1.33065642</v>
      </c>
      <c r="I74" s="18" t="n">
        <v>0</v>
      </c>
      <c r="J74" s="20" t="n">
        <v>0</v>
      </c>
      <c r="K74" s="18" t="n">
        <v>0.31746034</v>
      </c>
      <c r="L74" s="20" t="n">
        <v>0.12579473</v>
      </c>
      <c r="M74" s="18" t="n">
        <v>0</v>
      </c>
      <c r="N74" s="20" t="n">
        <v>0</v>
      </c>
      <c r="O74" s="18" t="n">
        <v>0</v>
      </c>
      <c r="P74" s="20" t="n">
        <v>0</v>
      </c>
      <c r="Q74" s="18" t="n">
        <v>0.41666018</v>
      </c>
      <c r="R74" s="20" t="n">
        <v>0.16574636</v>
      </c>
    </row>
    <row r="75" spans="1:18">
      <c r="A75" s="15" t="s">
        <v>635</v>
      </c>
      <c r="B75" s="17" t="n">
        <v>8249</v>
      </c>
      <c r="C75" s="18">
        <f>(6545.0/B75*100)</f>
        <v/>
      </c>
      <c r="D75" s="19" t="n">
        <v>1704</v>
      </c>
      <c r="E75" s="18" t="n">
        <v>59.1922102</v>
      </c>
      <c r="F75" s="20" t="n">
        <v>1.38899283</v>
      </c>
      <c r="G75" s="18" t="n">
        <v>40.35509613</v>
      </c>
      <c r="H75" s="20" t="n">
        <v>1.40544619</v>
      </c>
      <c r="I75" s="18" t="n">
        <v>0</v>
      </c>
      <c r="J75" s="20" t="n">
        <v>0</v>
      </c>
      <c r="K75" s="18" t="n">
        <v>0.25210943</v>
      </c>
      <c r="L75" s="20" t="n">
        <v>0.14121795</v>
      </c>
      <c r="M75" s="18" t="n">
        <v>0</v>
      </c>
      <c r="N75" s="20" t="n">
        <v>0</v>
      </c>
      <c r="O75" s="18" t="n">
        <v>0</v>
      </c>
      <c r="P75" s="20" t="n">
        <v>0</v>
      </c>
      <c r="Q75" s="18" t="n">
        <v>0.20058425</v>
      </c>
      <c r="R75" s="20" t="n">
        <v>0.11952382</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(4336.0/B77*100)</f>
        <v/>
      </c>
      <c r="D77" s="19" t="n">
        <v>1039</v>
      </c>
      <c r="E77" s="18" t="n">
        <v>70.75512603999999</v>
      </c>
      <c r="F77" s="20" t="n">
        <v>1.52445277</v>
      </c>
      <c r="G77" s="18" t="n">
        <v>21.73577291</v>
      </c>
      <c r="H77" s="20" t="n">
        <v>1.39228902</v>
      </c>
      <c r="I77" s="18" t="n">
        <v>0</v>
      </c>
      <c r="J77" s="20" t="n">
        <v>0</v>
      </c>
      <c r="K77" s="18" t="n">
        <v>5.56401964</v>
      </c>
      <c r="L77" s="20" t="n">
        <v>0.89748609</v>
      </c>
      <c r="M77" s="18" t="n">
        <v>0</v>
      </c>
      <c r="N77" s="20" t="n">
        <v>0</v>
      </c>
      <c r="O77" s="18" t="n">
        <v>0</v>
      </c>
      <c r="P77" s="20" t="n">
        <v>0</v>
      </c>
      <c r="Q77" s="18" t="n">
        <v>1.94508141</v>
      </c>
      <c r="R77" s="20" t="n">
        <v>0.43593222</v>
      </c>
    </row>
    <row r="78" spans="1:18">
      <c r="A78" s="15" t="s">
        <v>638</v>
      </c>
      <c r="B78" s="17" t="n">
        <v>14167</v>
      </c>
      <c r="C78" s="18">
        <f>(11071.0/B78*100)</f>
        <v/>
      </c>
      <c r="D78" s="19" t="n">
        <v>3096</v>
      </c>
      <c r="E78" s="18" t="n">
        <v>55.10707094</v>
      </c>
      <c r="F78" s="20" t="n">
        <v>1.09130377</v>
      </c>
      <c r="G78" s="18" t="n">
        <v>42.94905686</v>
      </c>
      <c r="H78" s="20" t="n">
        <v>1.1431999</v>
      </c>
      <c r="I78" s="18" t="n">
        <v>0</v>
      </c>
      <c r="J78" s="20" t="n">
        <v>0</v>
      </c>
      <c r="K78" s="18" t="n">
        <v>1.2985885</v>
      </c>
      <c r="L78" s="20" t="n">
        <v>0.18319793</v>
      </c>
      <c r="M78" s="18" t="n">
        <v>0</v>
      </c>
      <c r="N78" s="20" t="n">
        <v>0</v>
      </c>
      <c r="O78" s="18" t="n">
        <v>0</v>
      </c>
      <c r="P78" s="20" t="n">
        <v>0</v>
      </c>
      <c r="Q78" s="18" t="n">
        <v>0.64528369</v>
      </c>
      <c r="R78" s="20" t="n">
        <v>0.21293818</v>
      </c>
    </row>
    <row r="79" spans="1:18">
      <c r="A79" s="15" t="s">
        <v>639</v>
      </c>
      <c r="B79" s="17" t="n">
        <v>6062</v>
      </c>
      <c r="C79" s="18">
        <f>(4797.0/B79*100)</f>
        <v/>
      </c>
      <c r="D79" s="19" t="n">
        <v>1265</v>
      </c>
      <c r="E79" s="18" t="n">
        <v>54.2244698</v>
      </c>
      <c r="F79" s="20" t="n">
        <v>1.80781898</v>
      </c>
      <c r="G79" s="18" t="n">
        <v>41.89051655</v>
      </c>
      <c r="H79" s="20" t="n">
        <v>1.66175897</v>
      </c>
      <c r="I79" s="18" t="n">
        <v>0</v>
      </c>
      <c r="J79" s="20" t="n">
        <v>0</v>
      </c>
      <c r="K79" s="18" t="n">
        <v>2.56599539</v>
      </c>
      <c r="L79" s="20" t="n">
        <v>0.41311786</v>
      </c>
      <c r="M79" s="18" t="n">
        <v>0</v>
      </c>
      <c r="N79" s="20" t="n">
        <v>0</v>
      </c>
      <c r="O79" s="18" t="n">
        <v>0</v>
      </c>
      <c r="P79" s="20" t="n">
        <v>0</v>
      </c>
      <c r="Q79" s="18" t="n">
        <v>1.31901825</v>
      </c>
      <c r="R79" s="20" t="n">
        <v>0.34193979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(25408.0/B82*100)</f>
        <v/>
      </c>
      <c r="D82" s="19" t="n">
        <v>6922</v>
      </c>
      <c r="E82" s="18" t="n">
        <v>45.77359966</v>
      </c>
      <c r="F82" s="20" t="n">
        <v>0.94641104</v>
      </c>
      <c r="G82" s="18" t="n">
        <v>53.24590826</v>
      </c>
      <c r="H82" s="20" t="n">
        <v>0.96074733</v>
      </c>
      <c r="I82" s="18" t="n">
        <v>0</v>
      </c>
      <c r="J82" s="20" t="n">
        <v>0</v>
      </c>
      <c r="K82" s="18" t="n">
        <v>0.59328205</v>
      </c>
      <c r="L82" s="20" t="n">
        <v>0.13853214</v>
      </c>
      <c r="M82" s="18" t="n">
        <v>0</v>
      </c>
      <c r="N82" s="20" t="n">
        <v>0</v>
      </c>
      <c r="O82" s="18" t="n">
        <v>0</v>
      </c>
      <c r="P82" s="20" t="n">
        <v>0</v>
      </c>
      <c r="Q82" s="18" t="n">
        <v>0.38721003</v>
      </c>
      <c r="R82" s="20" t="n">
        <v>0.10521133</v>
      </c>
    </row>
    <row r="83" spans="1:18">
      <c r="A83" s="15" t="s">
        <v>643</v>
      </c>
      <c r="B83" s="17" t="n">
        <v>1652</v>
      </c>
      <c r="C83" s="18">
        <f>(1305.0/B83*100)</f>
        <v/>
      </c>
      <c r="D83" s="19" t="n">
        <v>347</v>
      </c>
      <c r="E83" s="18" t="n">
        <v>29.87871192</v>
      </c>
      <c r="F83" s="20" t="n">
        <v>3.05609167</v>
      </c>
      <c r="G83" s="18" t="n">
        <v>69.33266716999999</v>
      </c>
      <c r="H83" s="20" t="n">
        <v>3.12282578</v>
      </c>
      <c r="I83" s="18" t="n">
        <v>0</v>
      </c>
      <c r="J83" s="20" t="n">
        <v>0</v>
      </c>
      <c r="K83" s="18" t="n">
        <v>0</v>
      </c>
      <c r="L83" s="20" t="n">
        <v>0</v>
      </c>
      <c r="M83" s="18" t="n">
        <v>0</v>
      </c>
      <c r="N83" s="20" t="n">
        <v>0</v>
      </c>
      <c r="O83" s="18" t="n">
        <v>0</v>
      </c>
      <c r="P83" s="20" t="n">
        <v>0</v>
      </c>
      <c r="Q83" s="18" t="n">
        <v>0.7886209199999999</v>
      </c>
      <c r="R83" s="20" t="n">
        <v>0.45166504</v>
      </c>
    </row>
    <row r="84" spans="1:18">
      <c r="A84" s="23" t="s">
        <v>644</v>
      </c>
      <c r="B84" s="24" t="n">
        <v>1887</v>
      </c>
      <c r="C84" s="25">
        <f>(1480.0/B84*100)</f>
        <v/>
      </c>
      <c r="D84" s="19" t="n">
        <v>407</v>
      </c>
      <c r="E84" s="18" t="n">
        <v>29.741651</v>
      </c>
      <c r="F84" s="20" t="n">
        <v>2.67743758</v>
      </c>
      <c r="G84" s="18" t="n">
        <v>69.68883216</v>
      </c>
      <c r="H84" s="20" t="n">
        <v>2.75970693</v>
      </c>
      <c r="I84" s="18" t="n">
        <v>0</v>
      </c>
      <c r="J84" s="20" t="n">
        <v>0</v>
      </c>
      <c r="K84" s="18" t="n">
        <v>0.27809267</v>
      </c>
      <c r="L84" s="20" t="n">
        <v>0.27737684</v>
      </c>
      <c r="M84" s="18" t="n">
        <v>0</v>
      </c>
      <c r="N84" s="20" t="n">
        <v>0</v>
      </c>
      <c r="O84" s="18" t="n">
        <v>0</v>
      </c>
      <c r="P84" s="20" t="n">
        <v>0</v>
      </c>
      <c r="Q84" s="18" t="n">
        <v>0.29142416</v>
      </c>
      <c r="R84" s="20" t="n">
        <v>0.28259799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(11557.0/B7*100)</f>
        <v/>
      </c>
      <c r="D7" s="19" t="n">
        <v>2973</v>
      </c>
      <c r="E7" s="18" t="n">
        <v>50.62161986</v>
      </c>
      <c r="F7" s="20" t="n">
        <v>1.21752256</v>
      </c>
      <c r="G7" s="18" t="n">
        <v>45.64221789</v>
      </c>
      <c r="H7" s="20" t="n">
        <v>1.26801454</v>
      </c>
      <c r="I7" s="18" t="n">
        <v>0</v>
      </c>
      <c r="J7" s="20" t="n">
        <v>0</v>
      </c>
      <c r="K7" s="18" t="n">
        <v>1.40713169</v>
      </c>
      <c r="L7" s="20" t="n">
        <v>0.24697539</v>
      </c>
      <c r="M7" s="18" t="n">
        <v>0.14335854</v>
      </c>
      <c r="N7" s="20" t="n">
        <v>0.09376853</v>
      </c>
      <c r="O7" s="18" t="n">
        <v>0</v>
      </c>
      <c r="P7" s="20" t="n">
        <v>0</v>
      </c>
      <c r="Q7" s="18" t="n">
        <v>2.18567202</v>
      </c>
      <c r="R7" s="20" t="n">
        <v>0.31528094</v>
      </c>
    </row>
    <row r="8" spans="1:18">
      <c r="A8" s="15" t="s">
        <v>566</v>
      </c>
      <c r="B8" s="17" t="n">
        <v>7007</v>
      </c>
      <c r="C8" s="18">
        <f>(5507.0/B8*100)</f>
        <v/>
      </c>
      <c r="D8" s="19" t="n">
        <v>1500</v>
      </c>
      <c r="E8" s="18" t="n">
        <v>70.76737421999999</v>
      </c>
      <c r="F8" s="20" t="n">
        <v>1.38543701</v>
      </c>
      <c r="G8" s="18" t="n">
        <v>27.29816903</v>
      </c>
      <c r="H8" s="20" t="n">
        <v>1.32521677</v>
      </c>
      <c r="I8" s="18" t="n">
        <v>0</v>
      </c>
      <c r="J8" s="20" t="n">
        <v>0</v>
      </c>
      <c r="K8" s="18" t="n">
        <v>0.68800968</v>
      </c>
      <c r="L8" s="20" t="n">
        <v>0.27270354</v>
      </c>
      <c r="M8" s="18" t="n">
        <v>0</v>
      </c>
      <c r="N8" s="20" t="n">
        <v>0</v>
      </c>
      <c r="O8" s="18" t="n">
        <v>0</v>
      </c>
      <c r="P8" s="20" t="n">
        <v>0</v>
      </c>
      <c r="Q8" s="18" t="n">
        <v>1.24644707</v>
      </c>
      <c r="R8" s="20" t="n">
        <v>0.32173658</v>
      </c>
    </row>
    <row r="9" spans="1:18">
      <c r="A9" s="15" t="s">
        <v>567</v>
      </c>
      <c r="B9" s="17" t="n">
        <v>9651</v>
      </c>
      <c r="C9" s="18">
        <f>(7727.0/B9*100)</f>
        <v/>
      </c>
      <c r="D9" s="19" t="n">
        <v>1924</v>
      </c>
      <c r="E9" s="18" t="n">
        <v>58.20198821</v>
      </c>
      <c r="F9" s="20" t="n">
        <v>1.20681903</v>
      </c>
      <c r="G9" s="18" t="n">
        <v>37.72655276</v>
      </c>
      <c r="H9" s="20" t="n">
        <v>1.16874096</v>
      </c>
      <c r="I9" s="18" t="n">
        <v>0</v>
      </c>
      <c r="J9" s="20" t="n">
        <v>0</v>
      </c>
      <c r="K9" s="18" t="n">
        <v>1.57632715</v>
      </c>
      <c r="L9" s="20" t="n">
        <v>0.31151264</v>
      </c>
      <c r="M9" s="18" t="n">
        <v>0.25924522</v>
      </c>
      <c r="N9" s="20" t="n">
        <v>0.11838232</v>
      </c>
      <c r="O9" s="18" t="n">
        <v>0</v>
      </c>
      <c r="P9" s="20" t="n">
        <v>0</v>
      </c>
      <c r="Q9" s="18" t="n">
        <v>2.23588666</v>
      </c>
      <c r="R9" s="20" t="n">
        <v>0.36701645</v>
      </c>
    </row>
    <row r="10" spans="1:18">
      <c r="A10" s="15" t="s">
        <v>568</v>
      </c>
      <c r="B10" s="17" t="n">
        <v>20058</v>
      </c>
      <c r="C10" s="18">
        <f>(15804.0/B10*100)</f>
        <v/>
      </c>
      <c r="D10" s="19" t="n">
        <v>4254</v>
      </c>
      <c r="E10" s="18" t="n">
        <v>49.11053358</v>
      </c>
      <c r="F10" s="20" t="n">
        <v>1.38013249</v>
      </c>
      <c r="G10" s="18" t="n">
        <v>48.00555376</v>
      </c>
      <c r="H10" s="20" t="n">
        <v>1.38419235</v>
      </c>
      <c r="I10" s="18" t="n">
        <v>0</v>
      </c>
      <c r="J10" s="20" t="n">
        <v>0</v>
      </c>
      <c r="K10" s="18" t="n">
        <v>1.20504393</v>
      </c>
      <c r="L10" s="20" t="n">
        <v>0.26001897</v>
      </c>
      <c r="M10" s="18" t="n">
        <v>0.02132566</v>
      </c>
      <c r="N10" s="20" t="n">
        <v>0.01504554</v>
      </c>
      <c r="O10" s="18" t="n">
        <v>0</v>
      </c>
      <c r="P10" s="20" t="n">
        <v>0</v>
      </c>
      <c r="Q10" s="18" t="n">
        <v>1.65754308</v>
      </c>
      <c r="R10" s="20" t="n">
        <v>0.33375441</v>
      </c>
    </row>
    <row r="11" spans="1:18">
      <c r="A11" s="15" t="s">
        <v>569</v>
      </c>
      <c r="B11" s="17" t="n">
        <v>7053</v>
      </c>
      <c r="C11" s="18">
        <f>(5660.0/B11*100)</f>
        <v/>
      </c>
      <c r="D11" s="19" t="n">
        <v>1393</v>
      </c>
      <c r="E11" s="18" t="n">
        <v>65.57582768</v>
      </c>
      <c r="F11" s="20" t="n">
        <v>1.571677</v>
      </c>
      <c r="G11" s="18" t="n">
        <v>26.30165681</v>
      </c>
      <c r="H11" s="20" t="n">
        <v>1.53319129</v>
      </c>
      <c r="I11" s="18" t="n">
        <v>0</v>
      </c>
      <c r="J11" s="20" t="n">
        <v>0</v>
      </c>
      <c r="K11" s="18" t="n">
        <v>4.29398902</v>
      </c>
      <c r="L11" s="20" t="n">
        <v>0.48503643</v>
      </c>
      <c r="M11" s="18" t="n">
        <v>0.00770121</v>
      </c>
      <c r="N11" s="20" t="n">
        <v>0.00775392</v>
      </c>
      <c r="O11" s="18" t="n">
        <v>0</v>
      </c>
      <c r="P11" s="20" t="n">
        <v>0</v>
      </c>
      <c r="Q11" s="18" t="n">
        <v>3.82082527</v>
      </c>
      <c r="R11" s="20" t="n">
        <v>0.6982090399999999</v>
      </c>
    </row>
    <row r="12" spans="1:18">
      <c r="A12" s="15" t="s">
        <v>570</v>
      </c>
      <c r="B12" s="17" t="n">
        <v>6894</v>
      </c>
      <c r="C12" s="18">
        <f>(5461.0/B12*100)</f>
        <v/>
      </c>
      <c r="D12" s="19" t="n">
        <v>1433</v>
      </c>
      <c r="E12" s="18" t="n">
        <v>70.74219122</v>
      </c>
      <c r="F12" s="20" t="n">
        <v>1.34652149</v>
      </c>
      <c r="G12" s="18" t="n">
        <v>26.99018364</v>
      </c>
      <c r="H12" s="20" t="n">
        <v>1.39666545</v>
      </c>
      <c r="I12" s="18" t="n">
        <v>0</v>
      </c>
      <c r="J12" s="20" t="n">
        <v>0</v>
      </c>
      <c r="K12" s="18" t="n">
        <v>1.08147083</v>
      </c>
      <c r="L12" s="20" t="n">
        <v>0.33961724</v>
      </c>
      <c r="M12" s="18" t="n">
        <v>0</v>
      </c>
      <c r="N12" s="20" t="n">
        <v>0</v>
      </c>
      <c r="O12" s="18" t="n">
        <v>0</v>
      </c>
      <c r="P12" s="20" t="n">
        <v>0</v>
      </c>
      <c r="Q12" s="18" t="n">
        <v>1.18615431</v>
      </c>
      <c r="R12" s="20" t="n">
        <v>0.32173108</v>
      </c>
    </row>
    <row r="13" spans="1:18">
      <c r="A13" s="15" t="s">
        <v>571</v>
      </c>
      <c r="B13" s="17" t="n">
        <v>7161</v>
      </c>
      <c r="C13" s="18">
        <f>(5721.0/B13*100)</f>
        <v/>
      </c>
      <c r="D13" s="19" t="n">
        <v>1440</v>
      </c>
      <c r="E13" s="18" t="n">
        <v>69.42801762000001</v>
      </c>
      <c r="F13" s="20" t="n">
        <v>1.6087032</v>
      </c>
      <c r="G13" s="18" t="n">
        <v>27.86091688</v>
      </c>
      <c r="H13" s="20" t="n">
        <v>1.67509156</v>
      </c>
      <c r="I13" s="18" t="n">
        <v>0</v>
      </c>
      <c r="J13" s="20" t="n">
        <v>0</v>
      </c>
      <c r="K13" s="18" t="n">
        <v>1.33043826</v>
      </c>
      <c r="L13" s="20" t="n">
        <v>0.38006017</v>
      </c>
      <c r="M13" s="18" t="n">
        <v>0.01405418</v>
      </c>
      <c r="N13" s="20" t="n">
        <v>0.01398114</v>
      </c>
      <c r="O13" s="18" t="n">
        <v>0</v>
      </c>
      <c r="P13" s="20" t="n">
        <v>0</v>
      </c>
      <c r="Q13" s="18" t="n">
        <v>1.36657307</v>
      </c>
      <c r="R13" s="20" t="n">
        <v>0.41724612</v>
      </c>
    </row>
    <row r="14" spans="1:18">
      <c r="A14" s="15" t="s">
        <v>572</v>
      </c>
      <c r="B14" s="17" t="n">
        <v>5587</v>
      </c>
      <c r="C14" s="18">
        <f>(4392.0/B14*100)</f>
        <v/>
      </c>
      <c r="D14" s="19" t="n">
        <v>1195</v>
      </c>
      <c r="E14" s="18" t="n">
        <v>41.77678593</v>
      </c>
      <c r="F14" s="20" t="n">
        <v>1.55201248</v>
      </c>
      <c r="G14" s="18" t="n">
        <v>56.73682189</v>
      </c>
      <c r="H14" s="20" t="n">
        <v>1.62673534</v>
      </c>
      <c r="I14" s="18" t="n">
        <v>0</v>
      </c>
      <c r="J14" s="20" t="n">
        <v>0</v>
      </c>
      <c r="K14" s="18" t="n">
        <v>0.5899609300000001</v>
      </c>
      <c r="L14" s="20" t="n">
        <v>0.21572348</v>
      </c>
      <c r="M14" s="18" t="n">
        <v>0</v>
      </c>
      <c r="N14" s="20" t="n">
        <v>0</v>
      </c>
      <c r="O14" s="18" t="n">
        <v>0</v>
      </c>
      <c r="P14" s="20" t="n">
        <v>0</v>
      </c>
      <c r="Q14" s="18" t="n">
        <v>0.89643125</v>
      </c>
      <c r="R14" s="20" t="n">
        <v>0.25460222</v>
      </c>
    </row>
    <row r="15" spans="1:18">
      <c r="A15" s="15" t="s">
        <v>573</v>
      </c>
      <c r="B15" s="17" t="n">
        <v>5882</v>
      </c>
      <c r="C15" s="18">
        <f>(4670.0/B15*100)</f>
        <v/>
      </c>
      <c r="D15" s="19" t="n">
        <v>1212</v>
      </c>
      <c r="E15" s="18" t="n">
        <v>56.34293486</v>
      </c>
      <c r="F15" s="20" t="n">
        <v>1.4258035</v>
      </c>
      <c r="G15" s="18" t="n">
        <v>42.02684088</v>
      </c>
      <c r="H15" s="20" t="n">
        <v>1.45068312</v>
      </c>
      <c r="I15" s="18" t="n">
        <v>0</v>
      </c>
      <c r="J15" s="20" t="n">
        <v>0</v>
      </c>
      <c r="K15" s="18" t="n">
        <v>0.80998267</v>
      </c>
      <c r="L15" s="20" t="n">
        <v>0.28333562</v>
      </c>
      <c r="M15" s="18" t="n">
        <v>0</v>
      </c>
      <c r="N15" s="20" t="n">
        <v>0</v>
      </c>
      <c r="O15" s="18" t="n">
        <v>0</v>
      </c>
      <c r="P15" s="20" t="n">
        <v>0</v>
      </c>
      <c r="Q15" s="18" t="n">
        <v>0.82024159</v>
      </c>
      <c r="R15" s="20" t="n">
        <v>0.22395264</v>
      </c>
    </row>
    <row r="16" spans="1:18">
      <c r="A16" s="15" t="s">
        <v>574</v>
      </c>
      <c r="B16" s="17" t="n">
        <v>6108</v>
      </c>
      <c r="C16" s="18">
        <f>(4820.0/B16*100)</f>
        <v/>
      </c>
      <c r="D16" s="19" t="n">
        <v>1288</v>
      </c>
      <c r="E16" s="18" t="n">
        <v>56.94007016</v>
      </c>
      <c r="F16" s="20" t="n">
        <v>1.34945915</v>
      </c>
      <c r="G16" s="18" t="n">
        <v>35.84475946</v>
      </c>
      <c r="H16" s="20" t="n">
        <v>1.32769913</v>
      </c>
      <c r="I16" s="18" t="n">
        <v>0</v>
      </c>
      <c r="J16" s="20" t="n">
        <v>0</v>
      </c>
      <c r="K16" s="18" t="n">
        <v>4.1903888</v>
      </c>
      <c r="L16" s="20" t="n">
        <v>0.68159451</v>
      </c>
      <c r="M16" s="18" t="n">
        <v>0</v>
      </c>
      <c r="N16" s="20" t="n">
        <v>0</v>
      </c>
      <c r="O16" s="18" t="n">
        <v>0</v>
      </c>
      <c r="P16" s="20" t="n">
        <v>0</v>
      </c>
      <c r="Q16" s="18" t="n">
        <v>3.02478157</v>
      </c>
      <c r="R16" s="20" t="n">
        <v>0.51566071</v>
      </c>
    </row>
    <row r="17" spans="1:18">
      <c r="A17" s="15" t="s">
        <v>575</v>
      </c>
      <c r="B17" s="17" t="n">
        <v>6504</v>
      </c>
      <c r="C17" s="18">
        <f>(5161.0/B17*100)</f>
        <v/>
      </c>
      <c r="D17" s="19" t="n">
        <v>1343</v>
      </c>
      <c r="E17" s="18" t="n">
        <v>62.11065506</v>
      </c>
      <c r="F17" s="20" t="n">
        <v>1.57481069</v>
      </c>
      <c r="G17" s="18" t="n">
        <v>35.25972068</v>
      </c>
      <c r="H17" s="20" t="n">
        <v>1.52520651</v>
      </c>
      <c r="I17" s="18" t="n">
        <v>0</v>
      </c>
      <c r="J17" s="20" t="n">
        <v>0</v>
      </c>
      <c r="K17" s="18" t="n">
        <v>1.00654549</v>
      </c>
      <c r="L17" s="20" t="n">
        <v>0.26863234</v>
      </c>
      <c r="M17" s="18" t="n">
        <v>0</v>
      </c>
      <c r="N17" s="20" t="n">
        <v>0</v>
      </c>
      <c r="O17" s="18" t="n">
        <v>0</v>
      </c>
      <c r="P17" s="20" t="n">
        <v>0</v>
      </c>
      <c r="Q17" s="18" t="n">
        <v>1.62307876</v>
      </c>
      <c r="R17" s="20" t="n">
        <v>0.39106034</v>
      </c>
    </row>
    <row r="18" spans="1:18">
      <c r="A18" s="15" t="s">
        <v>576</v>
      </c>
      <c r="B18" s="17" t="n">
        <v>5532</v>
      </c>
      <c r="C18" s="18">
        <f>(4325.0/B18*100)</f>
        <v/>
      </c>
      <c r="D18" s="19" t="n">
        <v>1207</v>
      </c>
      <c r="E18" s="18" t="n">
        <v>67.43309029</v>
      </c>
      <c r="F18" s="20" t="n">
        <v>1.56977908</v>
      </c>
      <c r="G18" s="18" t="n">
        <v>26.70538275</v>
      </c>
      <c r="H18" s="20" t="n">
        <v>1.60739358</v>
      </c>
      <c r="I18" s="18" t="n">
        <v>0</v>
      </c>
      <c r="J18" s="20" t="n">
        <v>0</v>
      </c>
      <c r="K18" s="18" t="n">
        <v>1.90530256</v>
      </c>
      <c r="L18" s="20" t="n">
        <v>0.38870663</v>
      </c>
      <c r="M18" s="18" t="n">
        <v>0</v>
      </c>
      <c r="N18" s="20" t="n">
        <v>0</v>
      </c>
      <c r="O18" s="18" t="n">
        <v>0</v>
      </c>
      <c r="P18" s="20" t="n">
        <v>0</v>
      </c>
      <c r="Q18" s="18" t="n">
        <v>3.9562244</v>
      </c>
      <c r="R18" s="20" t="n">
        <v>0.8679937599999999</v>
      </c>
    </row>
    <row r="19" spans="1:18">
      <c r="A19" s="15" t="s">
        <v>577</v>
      </c>
      <c r="B19" s="17" t="n">
        <v>5658</v>
      </c>
      <c r="C19" s="18">
        <f>(4497.0/B19*100)</f>
        <v/>
      </c>
      <c r="D19" s="19" t="n">
        <v>1161</v>
      </c>
      <c r="E19" s="18" t="n">
        <v>66.65481037000001</v>
      </c>
      <c r="F19" s="20" t="n">
        <v>1.68762932</v>
      </c>
      <c r="G19" s="18" t="n">
        <v>30.24957996</v>
      </c>
      <c r="H19" s="20" t="n">
        <v>1.67871931</v>
      </c>
      <c r="I19" s="18" t="n">
        <v>0</v>
      </c>
      <c r="J19" s="20" t="n">
        <v>0</v>
      </c>
      <c r="K19" s="18" t="n">
        <v>0.98636024</v>
      </c>
      <c r="L19" s="20" t="n">
        <v>0.32367346</v>
      </c>
      <c r="M19" s="18" t="n">
        <v>0</v>
      </c>
      <c r="N19" s="20" t="n">
        <v>0</v>
      </c>
      <c r="O19" s="18" t="n">
        <v>0</v>
      </c>
      <c r="P19" s="20" t="n">
        <v>0</v>
      </c>
      <c r="Q19" s="18" t="n">
        <v>2.10924943</v>
      </c>
      <c r="R19" s="20" t="n">
        <v>0.50421456</v>
      </c>
    </row>
    <row r="20" spans="1:18">
      <c r="A20" s="15" t="s">
        <v>578</v>
      </c>
      <c r="B20" s="17" t="n">
        <v>3371</v>
      </c>
      <c r="C20" s="18">
        <f>(2668.0/B20*100)</f>
        <v/>
      </c>
      <c r="D20" s="19" t="n">
        <v>703</v>
      </c>
      <c r="E20" s="18" t="n">
        <v>74.0450965</v>
      </c>
      <c r="F20" s="20" t="n">
        <v>1.74796921</v>
      </c>
      <c r="G20" s="18" t="n">
        <v>21.61535858</v>
      </c>
      <c r="H20" s="20" t="n">
        <v>1.71402589</v>
      </c>
      <c r="I20" s="18" t="n">
        <v>0</v>
      </c>
      <c r="J20" s="20" t="n">
        <v>0</v>
      </c>
      <c r="K20" s="18" t="n">
        <v>1.43596898</v>
      </c>
      <c r="L20" s="20" t="n">
        <v>0.46666292</v>
      </c>
      <c r="M20" s="18" t="n">
        <v>0.65554302</v>
      </c>
      <c r="N20" s="20" t="n">
        <v>0.38914576</v>
      </c>
      <c r="O20" s="18" t="n">
        <v>0</v>
      </c>
      <c r="P20" s="20" t="n">
        <v>0</v>
      </c>
      <c r="Q20" s="18" t="n">
        <v>2.24803292</v>
      </c>
      <c r="R20" s="20" t="n">
        <v>0.62607651</v>
      </c>
    </row>
    <row r="21" spans="1:18">
      <c r="A21" s="15" t="s">
        <v>579</v>
      </c>
      <c r="B21" s="17" t="n">
        <v>5741</v>
      </c>
      <c r="C21" s="18">
        <f>(4495.0/B21*100)</f>
        <v/>
      </c>
      <c r="D21" s="19" t="n">
        <v>1246</v>
      </c>
      <c r="E21" s="18" t="n">
        <v>55.41333343</v>
      </c>
      <c r="F21" s="20" t="n">
        <v>1.65737299</v>
      </c>
      <c r="G21" s="18" t="n">
        <v>42.46823769</v>
      </c>
      <c r="H21" s="20" t="n">
        <v>1.64925779</v>
      </c>
      <c r="I21" s="18" t="n">
        <v>0</v>
      </c>
      <c r="J21" s="20" t="n">
        <v>0</v>
      </c>
      <c r="K21" s="18" t="n">
        <v>1.09175064</v>
      </c>
      <c r="L21" s="20" t="n">
        <v>0.30823171</v>
      </c>
      <c r="M21" s="18" t="n">
        <v>0</v>
      </c>
      <c r="N21" s="20" t="n">
        <v>0</v>
      </c>
      <c r="O21" s="18" t="n">
        <v>0</v>
      </c>
      <c r="P21" s="20" t="n">
        <v>0</v>
      </c>
      <c r="Q21" s="18" t="n">
        <v>1.02667824</v>
      </c>
      <c r="R21" s="20" t="n">
        <v>0.23823603</v>
      </c>
    </row>
    <row r="22" spans="1:18">
      <c r="A22" s="15" t="s">
        <v>580</v>
      </c>
      <c r="B22" s="17" t="n">
        <v>6598</v>
      </c>
      <c r="C22" s="18">
        <f>(5346.0/B22*100)</f>
        <v/>
      </c>
      <c r="D22" s="19" t="n">
        <v>1252</v>
      </c>
      <c r="E22" s="18" t="n">
        <v>60.79122978</v>
      </c>
      <c r="F22" s="20" t="n">
        <v>1.41274835</v>
      </c>
      <c r="G22" s="18" t="n">
        <v>33.50458408</v>
      </c>
      <c r="H22" s="20" t="n">
        <v>1.55105212</v>
      </c>
      <c r="I22" s="18" t="n">
        <v>0</v>
      </c>
      <c r="J22" s="20" t="n">
        <v>0</v>
      </c>
      <c r="K22" s="18" t="n">
        <v>2.49249261</v>
      </c>
      <c r="L22" s="20" t="n">
        <v>0.57672226</v>
      </c>
      <c r="M22" s="18" t="n">
        <v>0</v>
      </c>
      <c r="N22" s="20" t="n">
        <v>0</v>
      </c>
      <c r="O22" s="18" t="n">
        <v>0</v>
      </c>
      <c r="P22" s="20" t="n">
        <v>0</v>
      </c>
      <c r="Q22" s="18" t="n">
        <v>3.21169353</v>
      </c>
      <c r="R22" s="20" t="n">
        <v>0.57964596</v>
      </c>
    </row>
    <row r="23" spans="1:18">
      <c r="A23" s="15" t="s">
        <v>581</v>
      </c>
      <c r="B23" s="17" t="n">
        <v>11583</v>
      </c>
      <c r="C23" s="18">
        <f>(9129.0/B23*100)</f>
        <v/>
      </c>
      <c r="D23" s="19" t="n">
        <v>2454</v>
      </c>
      <c r="E23" s="18" t="n">
        <v>65.18923946</v>
      </c>
      <c r="F23" s="20" t="n">
        <v>1.48226661</v>
      </c>
      <c r="G23" s="18" t="n">
        <v>28.99306977</v>
      </c>
      <c r="H23" s="20" t="n">
        <v>1.61858072</v>
      </c>
      <c r="I23" s="18" t="n">
        <v>0</v>
      </c>
      <c r="J23" s="20" t="n">
        <v>0</v>
      </c>
      <c r="K23" s="18" t="n">
        <v>2.06311637</v>
      </c>
      <c r="L23" s="20" t="n">
        <v>0.55215052</v>
      </c>
      <c r="M23" s="18" t="n">
        <v>0</v>
      </c>
      <c r="N23" s="20" t="n">
        <v>0</v>
      </c>
      <c r="O23" s="18" t="n">
        <v>0</v>
      </c>
      <c r="P23" s="20" t="n">
        <v>0</v>
      </c>
      <c r="Q23" s="18" t="n">
        <v>3.75457441</v>
      </c>
      <c r="R23" s="20" t="n">
        <v>0.7146618</v>
      </c>
    </row>
    <row r="24" spans="1:18">
      <c r="A24" s="15" t="s">
        <v>582</v>
      </c>
      <c r="B24" s="17" t="n">
        <v>6647</v>
      </c>
      <c r="C24" s="18">
        <f>(5277.0/B24*100)</f>
        <v/>
      </c>
      <c r="D24" s="19" t="n">
        <v>1370</v>
      </c>
      <c r="E24" s="18" t="n">
        <v>48.52591247</v>
      </c>
      <c r="F24" s="20" t="n">
        <v>1.48478905</v>
      </c>
      <c r="G24" s="18" t="n">
        <v>48.27505401</v>
      </c>
      <c r="H24" s="20" t="n">
        <v>1.56025655</v>
      </c>
      <c r="I24" s="18" t="n">
        <v>0</v>
      </c>
      <c r="J24" s="20" t="n">
        <v>0</v>
      </c>
      <c r="K24" s="18" t="n">
        <v>0.96347706</v>
      </c>
      <c r="L24" s="20" t="n">
        <v>0.28763943</v>
      </c>
      <c r="M24" s="18" t="n">
        <v>0</v>
      </c>
      <c r="N24" s="20" t="n">
        <v>0</v>
      </c>
      <c r="O24" s="18" t="n">
        <v>0</v>
      </c>
      <c r="P24" s="20" t="n">
        <v>0</v>
      </c>
      <c r="Q24" s="18" t="n">
        <v>2.23555646</v>
      </c>
      <c r="R24" s="20" t="n">
        <v>0.35144746</v>
      </c>
    </row>
    <row r="25" spans="1:18">
      <c r="A25" s="15" t="s">
        <v>583</v>
      </c>
      <c r="B25" s="17" t="n">
        <v>5581</v>
      </c>
      <c r="C25" s="18">
        <f>(4323.0/B25*100)</f>
        <v/>
      </c>
      <c r="D25" s="19" t="n">
        <v>1258</v>
      </c>
      <c r="E25" s="18" t="n">
        <v>51.59394882</v>
      </c>
      <c r="F25" s="20" t="n">
        <v>1.75984149</v>
      </c>
      <c r="G25" s="18" t="n">
        <v>46.06253056</v>
      </c>
      <c r="H25" s="20" t="n">
        <v>1.84404609</v>
      </c>
      <c r="I25" s="18" t="n">
        <v>0</v>
      </c>
      <c r="J25" s="20" t="n">
        <v>0</v>
      </c>
      <c r="K25" s="18" t="n">
        <v>0.74696228</v>
      </c>
      <c r="L25" s="20" t="n">
        <v>0.23454768</v>
      </c>
      <c r="M25" s="18" t="n">
        <v>0</v>
      </c>
      <c r="N25" s="20" t="n">
        <v>0</v>
      </c>
      <c r="O25" s="18" t="n">
        <v>0</v>
      </c>
      <c r="P25" s="20" t="n">
        <v>0</v>
      </c>
      <c r="Q25" s="18" t="n">
        <v>1.59655833</v>
      </c>
      <c r="R25" s="20" t="n">
        <v>0.3921158</v>
      </c>
    </row>
    <row r="26" spans="1:18">
      <c r="A26" s="15" t="s">
        <v>584</v>
      </c>
      <c r="B26" s="17" t="n">
        <v>4869</v>
      </c>
      <c r="C26" s="18">
        <f>(3822.0/B26*100)</f>
        <v/>
      </c>
      <c r="D26" s="19" t="n">
        <v>1047</v>
      </c>
      <c r="E26" s="18" t="n">
        <v>54.05476161</v>
      </c>
      <c r="F26" s="20" t="n">
        <v>1.70498795</v>
      </c>
      <c r="G26" s="18" t="n">
        <v>44.54834957</v>
      </c>
      <c r="H26" s="20" t="n">
        <v>1.65988683</v>
      </c>
      <c r="I26" s="18" t="n">
        <v>0</v>
      </c>
      <c r="J26" s="20" t="n">
        <v>0</v>
      </c>
      <c r="K26" s="18" t="n">
        <v>0.1799017</v>
      </c>
      <c r="L26" s="20" t="n">
        <v>0.12919423</v>
      </c>
      <c r="M26" s="18" t="n">
        <v>0.24390934</v>
      </c>
      <c r="N26" s="20" t="n">
        <v>0.15510057</v>
      </c>
      <c r="O26" s="18" t="n">
        <v>0</v>
      </c>
      <c r="P26" s="20" t="n">
        <v>0</v>
      </c>
      <c r="Q26" s="18" t="n">
        <v>0.97307778</v>
      </c>
      <c r="R26" s="20" t="n">
        <v>0.38891797</v>
      </c>
    </row>
    <row r="27" spans="1:18">
      <c r="A27" s="15" t="s">
        <v>585</v>
      </c>
      <c r="B27" s="17" t="n">
        <v>5299</v>
      </c>
      <c r="C27" s="18">
        <f>(4231.0/B27*100)</f>
        <v/>
      </c>
      <c r="D27" s="19" t="n">
        <v>1068</v>
      </c>
      <c r="E27" s="18" t="n">
        <v>67.48040605</v>
      </c>
      <c r="F27" s="20" t="n">
        <v>1.34243132</v>
      </c>
      <c r="G27" s="18" t="n">
        <v>28.77409967</v>
      </c>
      <c r="H27" s="20" t="n">
        <v>1.30104415</v>
      </c>
      <c r="I27" s="18" t="n">
        <v>0</v>
      </c>
      <c r="J27" s="20" t="n">
        <v>0</v>
      </c>
      <c r="K27" s="18" t="n">
        <v>1.13575256</v>
      </c>
      <c r="L27" s="20" t="n">
        <v>0.35612836</v>
      </c>
      <c r="M27" s="18" t="n">
        <v>0</v>
      </c>
      <c r="N27" s="20" t="n">
        <v>0</v>
      </c>
      <c r="O27" s="18" t="n">
        <v>0</v>
      </c>
      <c r="P27" s="20" t="n">
        <v>0</v>
      </c>
      <c r="Q27" s="18" t="n">
        <v>2.60974172</v>
      </c>
      <c r="R27" s="20" t="n">
        <v>0.49141985</v>
      </c>
    </row>
    <row r="28" spans="1:18">
      <c r="A28" s="15" t="s">
        <v>586</v>
      </c>
      <c r="B28" s="17" t="n">
        <v>7568</v>
      </c>
      <c r="C28" s="18">
        <f>(6236.0/B28*100)</f>
        <v/>
      </c>
      <c r="D28" s="19" t="n">
        <v>1332</v>
      </c>
      <c r="E28" s="18" t="n">
        <v>73.13910420000001</v>
      </c>
      <c r="F28" s="20" t="n">
        <v>1.40815419</v>
      </c>
      <c r="G28" s="18" t="n">
        <v>22.80541038</v>
      </c>
      <c r="H28" s="20" t="n">
        <v>1.50338366</v>
      </c>
      <c r="I28" s="18" t="n">
        <v>0</v>
      </c>
      <c r="J28" s="20" t="n">
        <v>0</v>
      </c>
      <c r="K28" s="18" t="n">
        <v>2.45085707</v>
      </c>
      <c r="L28" s="20" t="n">
        <v>0.59593581</v>
      </c>
      <c r="M28" s="18" t="n">
        <v>0.06251365</v>
      </c>
      <c r="N28" s="20" t="n">
        <v>0.0621719</v>
      </c>
      <c r="O28" s="18" t="n">
        <v>0</v>
      </c>
      <c r="P28" s="20" t="n">
        <v>0</v>
      </c>
      <c r="Q28" s="18" t="n">
        <v>1.54211471</v>
      </c>
      <c r="R28" s="20" t="n">
        <v>0.50188216</v>
      </c>
    </row>
    <row r="29" spans="1:18">
      <c r="A29" s="15" t="s">
        <v>587</v>
      </c>
      <c r="B29" s="17" t="n">
        <v>5385</v>
      </c>
      <c r="C29" s="18">
        <f>(4192.0/B29*100)</f>
        <v/>
      </c>
      <c r="D29" s="19" t="n">
        <v>1193</v>
      </c>
      <c r="E29" s="18" t="n">
        <v>60.46008035</v>
      </c>
      <c r="F29" s="20" t="n">
        <v>1.82108402</v>
      </c>
      <c r="G29" s="18" t="n">
        <v>38.19091839</v>
      </c>
      <c r="H29" s="20" t="n">
        <v>1.82806683</v>
      </c>
      <c r="I29" s="18" t="n">
        <v>0</v>
      </c>
      <c r="J29" s="20" t="n">
        <v>0</v>
      </c>
      <c r="K29" s="18" t="n">
        <v>0.71190662</v>
      </c>
      <c r="L29" s="20" t="n">
        <v>0.234714</v>
      </c>
      <c r="M29" s="18" t="n">
        <v>0</v>
      </c>
      <c r="N29" s="20" t="n">
        <v>0</v>
      </c>
      <c r="O29" s="18" t="n">
        <v>0</v>
      </c>
      <c r="P29" s="20" t="n">
        <v>0</v>
      </c>
      <c r="Q29" s="18" t="n">
        <v>0.63709464</v>
      </c>
      <c r="R29" s="20" t="n">
        <v>0.22724952</v>
      </c>
    </row>
    <row r="30" spans="1:18">
      <c r="A30" s="15" t="s">
        <v>588</v>
      </c>
      <c r="B30" s="17" t="n">
        <v>4520</v>
      </c>
      <c r="C30" s="18">
        <f>(3622.0/B30*100)</f>
        <v/>
      </c>
      <c r="D30" s="19" t="n">
        <v>898</v>
      </c>
      <c r="E30" s="18" t="n">
        <v>53.00926358</v>
      </c>
      <c r="F30" s="20" t="n">
        <v>1.90587735</v>
      </c>
      <c r="G30" s="18" t="n">
        <v>41.33914605</v>
      </c>
      <c r="H30" s="20" t="n">
        <v>1.79633314</v>
      </c>
      <c r="I30" s="18" t="n">
        <v>0</v>
      </c>
      <c r="J30" s="20" t="n">
        <v>0</v>
      </c>
      <c r="K30" s="18" t="n">
        <v>2.65104959</v>
      </c>
      <c r="L30" s="20" t="n">
        <v>0.59433642</v>
      </c>
      <c r="M30" s="18" t="n">
        <v>0.10169563</v>
      </c>
      <c r="N30" s="20" t="n">
        <v>0.10348135</v>
      </c>
      <c r="O30" s="18" t="n">
        <v>0</v>
      </c>
      <c r="P30" s="20" t="n">
        <v>0</v>
      </c>
      <c r="Q30" s="18" t="n">
        <v>2.89884514</v>
      </c>
      <c r="R30" s="20" t="n">
        <v>0.59175891</v>
      </c>
    </row>
    <row r="31" spans="1:18">
      <c r="A31" s="15" t="s">
        <v>589</v>
      </c>
      <c r="B31" s="17" t="n">
        <v>5456</v>
      </c>
      <c r="C31" s="18">
        <f>(4297.0/B31*100)</f>
        <v/>
      </c>
      <c r="D31" s="19" t="n">
        <v>1159</v>
      </c>
      <c r="E31" s="18" t="n">
        <v>66.7130775</v>
      </c>
      <c r="F31" s="20" t="n">
        <v>1.33975447</v>
      </c>
      <c r="G31" s="18" t="n">
        <v>28.9375771</v>
      </c>
      <c r="H31" s="20" t="n">
        <v>1.38266784</v>
      </c>
      <c r="I31" s="18" t="n">
        <v>0</v>
      </c>
      <c r="J31" s="20" t="n">
        <v>0</v>
      </c>
      <c r="K31" s="18" t="n">
        <v>2.54820317</v>
      </c>
      <c r="L31" s="20" t="n">
        <v>0.53179702</v>
      </c>
      <c r="M31" s="18" t="n">
        <v>0.09023599</v>
      </c>
      <c r="N31" s="20" t="n">
        <v>0.09805076</v>
      </c>
      <c r="O31" s="18" t="n">
        <v>0</v>
      </c>
      <c r="P31" s="20" t="n">
        <v>0</v>
      </c>
      <c r="Q31" s="18" t="n">
        <v>1.71090625</v>
      </c>
      <c r="R31" s="20" t="n">
        <v>0.36660349</v>
      </c>
    </row>
    <row r="32" spans="1:18">
      <c r="A32" s="15" t="s">
        <v>590</v>
      </c>
      <c r="B32" s="17" t="n">
        <v>4478</v>
      </c>
      <c r="C32" s="18">
        <f>(3510.0/B32*100)</f>
        <v/>
      </c>
      <c r="D32" s="19" t="n">
        <v>968</v>
      </c>
      <c r="E32" s="18" t="n">
        <v>59.86964901</v>
      </c>
      <c r="F32" s="20" t="n">
        <v>1.85780204</v>
      </c>
      <c r="G32" s="18" t="n">
        <v>38.03993516</v>
      </c>
      <c r="H32" s="20" t="n">
        <v>1.78910107</v>
      </c>
      <c r="I32" s="18" t="n">
        <v>0</v>
      </c>
      <c r="J32" s="20" t="n">
        <v>0</v>
      </c>
      <c r="K32" s="18" t="n">
        <v>0.72407552</v>
      </c>
      <c r="L32" s="20" t="n">
        <v>0.27180828</v>
      </c>
      <c r="M32" s="18" t="n">
        <v>0.43923013</v>
      </c>
      <c r="N32" s="20" t="n">
        <v>0.46876143</v>
      </c>
      <c r="O32" s="18" t="n">
        <v>0</v>
      </c>
      <c r="P32" s="20" t="n">
        <v>0</v>
      </c>
      <c r="Q32" s="18" t="n">
        <v>0.9271101899999999</v>
      </c>
      <c r="R32" s="20" t="n">
        <v>0.35592302</v>
      </c>
    </row>
    <row r="33" spans="1:18">
      <c r="A33" s="15" t="s">
        <v>591</v>
      </c>
      <c r="B33" s="17" t="n">
        <v>7325</v>
      </c>
      <c r="C33" s="18">
        <f>(5894.0/B33*100)</f>
        <v/>
      </c>
      <c r="D33" s="19" t="n">
        <v>1431</v>
      </c>
      <c r="E33" s="18" t="n">
        <v>46.34211452</v>
      </c>
      <c r="F33" s="20" t="n">
        <v>1.49594358</v>
      </c>
      <c r="G33" s="18" t="n">
        <v>51.02763612</v>
      </c>
      <c r="H33" s="20" t="n">
        <v>1.43095081</v>
      </c>
      <c r="I33" s="18" t="n">
        <v>0</v>
      </c>
      <c r="J33" s="20" t="n">
        <v>0</v>
      </c>
      <c r="K33" s="18" t="n">
        <v>1.45403506</v>
      </c>
      <c r="L33" s="20" t="n">
        <v>0.36839198</v>
      </c>
      <c r="M33" s="18" t="n">
        <v>0.28552966</v>
      </c>
      <c r="N33" s="20" t="n">
        <v>0.14840682</v>
      </c>
      <c r="O33" s="18" t="n">
        <v>0</v>
      </c>
      <c r="P33" s="20" t="n">
        <v>0</v>
      </c>
      <c r="Q33" s="18" t="n">
        <v>0.89068464</v>
      </c>
      <c r="R33" s="20" t="n">
        <v>0.28780525</v>
      </c>
    </row>
    <row r="34" spans="1:18">
      <c r="A34" s="15" t="s">
        <v>592</v>
      </c>
      <c r="B34" s="17" t="n">
        <v>6350</v>
      </c>
      <c r="C34" s="18">
        <f>(5043.0/B34*100)</f>
        <v/>
      </c>
      <c r="D34" s="19" t="n">
        <v>1307</v>
      </c>
      <c r="E34" s="18" t="n">
        <v>78.76564129</v>
      </c>
      <c r="F34" s="20" t="n">
        <v>1.20891021</v>
      </c>
      <c r="G34" s="18" t="n">
        <v>17.97209903</v>
      </c>
      <c r="H34" s="20" t="n">
        <v>1.19199719</v>
      </c>
      <c r="I34" s="18" t="n">
        <v>0</v>
      </c>
      <c r="J34" s="20" t="n">
        <v>0</v>
      </c>
      <c r="K34" s="18" t="n">
        <v>1.30552076</v>
      </c>
      <c r="L34" s="20" t="n">
        <v>0.34944559</v>
      </c>
      <c r="M34" s="18" t="n">
        <v>0.12055654</v>
      </c>
      <c r="N34" s="20" t="n">
        <v>0.10203558</v>
      </c>
      <c r="O34" s="18" t="n">
        <v>0</v>
      </c>
      <c r="P34" s="20" t="n">
        <v>0</v>
      </c>
      <c r="Q34" s="18" t="n">
        <v>1.83618238</v>
      </c>
      <c r="R34" s="20" t="n">
        <v>0.43818983</v>
      </c>
    </row>
    <row r="35" spans="1:18">
      <c r="A35" s="15" t="s">
        <v>593</v>
      </c>
      <c r="B35" s="17" t="n">
        <v>6406</v>
      </c>
      <c r="C35" s="18">
        <f>(5040.0/B35*100)</f>
        <v/>
      </c>
      <c r="D35" s="19" t="n">
        <v>1366</v>
      </c>
      <c r="E35" s="18" t="n">
        <v>60.79221006</v>
      </c>
      <c r="F35" s="20" t="n">
        <v>1.74799432</v>
      </c>
      <c r="G35" s="18" t="n">
        <v>37.67259639</v>
      </c>
      <c r="H35" s="20" t="n">
        <v>1.78124117</v>
      </c>
      <c r="I35" s="18" t="n">
        <v>0</v>
      </c>
      <c r="J35" s="20" t="n">
        <v>0</v>
      </c>
      <c r="K35" s="18" t="n">
        <v>0.74253534</v>
      </c>
      <c r="L35" s="20" t="n">
        <v>0.41023369</v>
      </c>
      <c r="M35" s="18" t="n">
        <v>0.12423774</v>
      </c>
      <c r="N35" s="20" t="n">
        <v>0.12389212</v>
      </c>
      <c r="O35" s="18" t="n">
        <v>0</v>
      </c>
      <c r="P35" s="20" t="n">
        <v>0</v>
      </c>
      <c r="Q35" s="18" t="n">
        <v>0.66842047</v>
      </c>
      <c r="R35" s="20" t="n">
        <v>0.17286372</v>
      </c>
    </row>
    <row r="36" spans="1:18">
      <c r="A36" s="15" t="s">
        <v>594</v>
      </c>
      <c r="B36" s="17" t="n">
        <v>6736</v>
      </c>
      <c r="C36" s="18">
        <f>(5378.0/B36*100)</f>
        <v/>
      </c>
      <c r="D36" s="19" t="n">
        <v>1358</v>
      </c>
      <c r="E36" s="18" t="n">
        <v>57.49699171</v>
      </c>
      <c r="F36" s="20" t="n">
        <v>1.54506808</v>
      </c>
      <c r="G36" s="18" t="n">
        <v>39.43161913</v>
      </c>
      <c r="H36" s="20" t="n">
        <v>1.5670937</v>
      </c>
      <c r="I36" s="18" t="n">
        <v>0</v>
      </c>
      <c r="J36" s="20" t="n">
        <v>0</v>
      </c>
      <c r="K36" s="18" t="n">
        <v>1.0239369</v>
      </c>
      <c r="L36" s="20" t="n">
        <v>0.32217086</v>
      </c>
      <c r="M36" s="18" t="n">
        <v>0.07381442000000001</v>
      </c>
      <c r="N36" s="20" t="n">
        <v>0.07113547000000001</v>
      </c>
      <c r="O36" s="18" t="n">
        <v>0</v>
      </c>
      <c r="P36" s="20" t="n">
        <v>0</v>
      </c>
      <c r="Q36" s="18" t="n">
        <v>1.97363784</v>
      </c>
      <c r="R36" s="20" t="n">
        <v>0.42985092</v>
      </c>
    </row>
    <row r="37" spans="1:18">
      <c r="A37" s="15" t="s">
        <v>595</v>
      </c>
      <c r="B37" s="17" t="n">
        <v>5458</v>
      </c>
      <c r="C37" s="18">
        <f>(4352.0/B37*100)</f>
        <v/>
      </c>
      <c r="D37" s="19" t="n">
        <v>1106</v>
      </c>
      <c r="E37" s="18" t="n">
        <v>61.22907533</v>
      </c>
      <c r="F37" s="20" t="n">
        <v>1.60076064</v>
      </c>
      <c r="G37" s="18" t="n">
        <v>32.8261704</v>
      </c>
      <c r="H37" s="20" t="n">
        <v>1.6079854</v>
      </c>
      <c r="I37" s="18" t="n">
        <v>0</v>
      </c>
      <c r="J37" s="20" t="n">
        <v>0</v>
      </c>
      <c r="K37" s="18" t="n">
        <v>3.5577778</v>
      </c>
      <c r="L37" s="20" t="n">
        <v>0.66291103</v>
      </c>
      <c r="M37" s="18" t="n">
        <v>0.08438864</v>
      </c>
      <c r="N37" s="20" t="n">
        <v>0.08424291</v>
      </c>
      <c r="O37" s="18" t="n">
        <v>0</v>
      </c>
      <c r="P37" s="20" t="n">
        <v>0</v>
      </c>
      <c r="Q37" s="18" t="n">
        <v>2.30258783</v>
      </c>
      <c r="R37" s="20" t="n">
        <v>0.48566571</v>
      </c>
    </row>
    <row r="38" spans="1:18">
      <c r="A38" s="15" t="s">
        <v>596</v>
      </c>
      <c r="B38" s="17" t="n">
        <v>5860</v>
      </c>
      <c r="C38" s="18">
        <f>(4608.0/B38*100)</f>
        <v/>
      </c>
      <c r="D38" s="19" t="n">
        <v>1252</v>
      </c>
      <c r="E38" s="18" t="n">
        <v>64.13468629</v>
      </c>
      <c r="F38" s="20" t="n">
        <v>1.46491427</v>
      </c>
      <c r="G38" s="18" t="n">
        <v>30.771341</v>
      </c>
      <c r="H38" s="20" t="n">
        <v>1.61806085</v>
      </c>
      <c r="I38" s="18" t="n">
        <v>0</v>
      </c>
      <c r="J38" s="20" t="n">
        <v>0</v>
      </c>
      <c r="K38" s="18" t="n">
        <v>1.26886041</v>
      </c>
      <c r="L38" s="20" t="n">
        <v>0.39360274</v>
      </c>
      <c r="M38" s="18" t="n">
        <v>2.67972867</v>
      </c>
      <c r="N38" s="20" t="n">
        <v>0.4348933</v>
      </c>
      <c r="O38" s="18" t="n">
        <v>0</v>
      </c>
      <c r="P38" s="20" t="n">
        <v>0</v>
      </c>
      <c r="Q38" s="18" t="n">
        <v>1.14538363</v>
      </c>
      <c r="R38" s="20" t="n">
        <v>0.32384293</v>
      </c>
    </row>
    <row r="39" spans="1:18">
      <c r="A39" s="15" t="s">
        <v>597</v>
      </c>
      <c r="B39" s="17" t="n">
        <v>5895</v>
      </c>
      <c r="C39" s="18">
        <f>(4596.0/B39*100)</f>
        <v/>
      </c>
      <c r="D39" s="19" t="n">
        <v>1299</v>
      </c>
      <c r="E39" s="18" t="n">
        <v>82.64179151</v>
      </c>
      <c r="F39" s="20" t="n">
        <v>1.2359836</v>
      </c>
      <c r="G39" s="18" t="n">
        <v>13.11941032</v>
      </c>
      <c r="H39" s="20" t="n">
        <v>1.29864799</v>
      </c>
      <c r="I39" s="18" t="n">
        <v>0</v>
      </c>
      <c r="J39" s="20" t="n">
        <v>0</v>
      </c>
      <c r="K39" s="18" t="n">
        <v>1.17270403</v>
      </c>
      <c r="L39" s="20" t="n">
        <v>0.29526391</v>
      </c>
      <c r="M39" s="18" t="n">
        <v>0</v>
      </c>
      <c r="N39" s="20" t="n">
        <v>0</v>
      </c>
      <c r="O39" s="18" t="n">
        <v>0</v>
      </c>
      <c r="P39" s="20" t="n">
        <v>0</v>
      </c>
      <c r="Q39" s="18" t="n">
        <v>3.06609414</v>
      </c>
      <c r="R39" s="20" t="n">
        <v>0.53193673</v>
      </c>
    </row>
    <row r="40" spans="1:18">
      <c r="A40" s="15" t="s">
        <v>598</v>
      </c>
      <c r="B40" s="17" t="n">
        <v>14157</v>
      </c>
      <c r="C40" s="18">
        <f>(11018.0/B40*100)</f>
        <v/>
      </c>
      <c r="D40" s="19" t="n">
        <v>3139</v>
      </c>
      <c r="E40" s="18" t="n">
        <v>46.45554879</v>
      </c>
      <c r="F40" s="20" t="n">
        <v>1.44348837</v>
      </c>
      <c r="G40" s="18" t="n">
        <v>50.68122981</v>
      </c>
      <c r="H40" s="20" t="n">
        <v>1.53977444</v>
      </c>
      <c r="I40" s="18" t="n">
        <v>0</v>
      </c>
      <c r="J40" s="20" t="n">
        <v>0</v>
      </c>
      <c r="K40" s="18" t="n">
        <v>1.50317378</v>
      </c>
      <c r="L40" s="20" t="n">
        <v>0.38082811</v>
      </c>
      <c r="M40" s="18" t="n">
        <v>0</v>
      </c>
      <c r="N40" s="20" t="n">
        <v>0</v>
      </c>
      <c r="O40" s="18" t="n">
        <v>0</v>
      </c>
      <c r="P40" s="20" t="n">
        <v>0</v>
      </c>
      <c r="Q40" s="18" t="n">
        <v>1.36004762</v>
      </c>
      <c r="R40" s="20" t="n">
        <v>0.28276131</v>
      </c>
    </row>
    <row r="41" spans="1:18">
      <c r="A41" s="15" t="s">
        <v>599</v>
      </c>
      <c r="B41" s="17" t="n">
        <v>5712</v>
      </c>
      <c r="C41" s="18">
        <f>(4534.0/B41*100)</f>
        <v/>
      </c>
      <c r="D41" s="19" t="n">
        <v>1178</v>
      </c>
      <c r="E41" s="18" t="n">
        <v>50.93968368</v>
      </c>
      <c r="F41" s="20" t="n">
        <v>1.76041065</v>
      </c>
      <c r="G41" s="18" t="n">
        <v>47.42563987</v>
      </c>
      <c r="H41" s="20" t="n">
        <v>1.83907759</v>
      </c>
      <c r="I41" s="18" t="n">
        <v>0</v>
      </c>
      <c r="J41" s="20" t="n">
        <v>0</v>
      </c>
      <c r="K41" s="18" t="n">
        <v>0.66355326</v>
      </c>
      <c r="L41" s="20" t="n">
        <v>0.25556105</v>
      </c>
      <c r="M41" s="18" t="n">
        <v>0</v>
      </c>
      <c r="N41" s="20" t="n">
        <v>0</v>
      </c>
      <c r="O41" s="18" t="n">
        <v>0</v>
      </c>
      <c r="P41" s="20" t="n">
        <v>0</v>
      </c>
      <c r="Q41" s="18" t="n">
        <v>0.9711232</v>
      </c>
      <c r="R41" s="20" t="n">
        <v>0.32791849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(19993.0/B46*100)</f>
        <v/>
      </c>
      <c r="D46" s="19" t="n">
        <v>3148</v>
      </c>
      <c r="E46" s="18" t="n">
        <v>56.93953838</v>
      </c>
      <c r="F46" s="20" t="n">
        <v>1.30935624</v>
      </c>
      <c r="G46" s="18" t="n">
        <v>30.47953706</v>
      </c>
      <c r="H46" s="20" t="n">
        <v>1.3780105</v>
      </c>
      <c r="I46" s="18" t="n">
        <v>0</v>
      </c>
      <c r="J46" s="20" t="n">
        <v>0</v>
      </c>
      <c r="K46" s="18" t="n">
        <v>5.69526649</v>
      </c>
      <c r="L46" s="20" t="n">
        <v>0.62767104</v>
      </c>
      <c r="M46" s="18" t="n">
        <v>0.38857959</v>
      </c>
      <c r="N46" s="20" t="n">
        <v>0.14987789</v>
      </c>
      <c r="O46" s="18" t="n">
        <v>0</v>
      </c>
      <c r="P46" s="20" t="n">
        <v>0</v>
      </c>
      <c r="Q46" s="18" t="n">
        <v>6.49707848</v>
      </c>
      <c r="R46" s="20" t="n">
        <v>0.52598649</v>
      </c>
    </row>
    <row r="47" spans="1:18">
      <c r="A47" s="15" t="s">
        <v>606</v>
      </c>
      <c r="B47" s="17" t="n">
        <v>5928</v>
      </c>
      <c r="C47" s="18">
        <f>(4728.0/B47*100)</f>
        <v/>
      </c>
      <c r="D47" s="19" t="n">
        <v>1200</v>
      </c>
      <c r="E47" s="18" t="n">
        <v>64.87958388</v>
      </c>
      <c r="F47" s="20" t="n">
        <v>1.55114462</v>
      </c>
      <c r="G47" s="18" t="n">
        <v>28.77826104</v>
      </c>
      <c r="H47" s="20" t="n">
        <v>1.55426825</v>
      </c>
      <c r="I47" s="18" t="n">
        <v>0</v>
      </c>
      <c r="J47" s="20" t="n">
        <v>0</v>
      </c>
      <c r="K47" s="18" t="n">
        <v>2.53062221</v>
      </c>
      <c r="L47" s="20" t="n">
        <v>0.48204943</v>
      </c>
      <c r="M47" s="18" t="n">
        <v>0.08335408</v>
      </c>
      <c r="N47" s="20" t="n">
        <v>0.08056565</v>
      </c>
      <c r="O47" s="18" t="n">
        <v>0</v>
      </c>
      <c r="P47" s="20" t="n">
        <v>0</v>
      </c>
      <c r="Q47" s="18" t="n">
        <v>3.72817879</v>
      </c>
      <c r="R47" s="20" t="n">
        <v>0.5289931</v>
      </c>
    </row>
    <row r="48" spans="1:18">
      <c r="A48" s="15" t="s">
        <v>607</v>
      </c>
      <c r="B48" s="17" t="n">
        <v>9841</v>
      </c>
      <c r="C48" s="18">
        <f>(7684.0/B48*100)</f>
        <v/>
      </c>
      <c r="D48" s="19" t="n">
        <v>2157</v>
      </c>
      <c r="E48" s="18" t="n">
        <v>50.38417913</v>
      </c>
      <c r="F48" s="20" t="n">
        <v>2.0582135</v>
      </c>
      <c r="G48" s="18" t="n">
        <v>46.3464149</v>
      </c>
      <c r="H48" s="20" t="n">
        <v>2.0932137</v>
      </c>
      <c r="I48" s="18" t="n">
        <v>0</v>
      </c>
      <c r="J48" s="20" t="n">
        <v>0</v>
      </c>
      <c r="K48" s="18" t="n">
        <v>1.36966633</v>
      </c>
      <c r="L48" s="20" t="n">
        <v>0.38493129</v>
      </c>
      <c r="M48" s="18" t="n">
        <v>0</v>
      </c>
      <c r="N48" s="20" t="n">
        <v>0</v>
      </c>
      <c r="O48" s="18" t="n">
        <v>0</v>
      </c>
      <c r="P48" s="20" t="n">
        <v>0</v>
      </c>
      <c r="Q48" s="18" t="n">
        <v>1.89973964</v>
      </c>
      <c r="R48" s="20" t="n">
        <v>0.43823152</v>
      </c>
    </row>
    <row r="49" spans="1:18">
      <c r="A49" s="15" t="s">
        <v>608</v>
      </c>
      <c r="B49" s="17" t="n">
        <v>11795</v>
      </c>
      <c r="C49" s="18">
        <f>(9424.0/B49*100)</f>
        <v/>
      </c>
      <c r="D49" s="19" t="n">
        <v>2371</v>
      </c>
      <c r="E49" s="18" t="n">
        <v>72.65875359</v>
      </c>
      <c r="F49" s="20" t="n">
        <v>1.41760499</v>
      </c>
      <c r="G49" s="18" t="n">
        <v>18.67824693</v>
      </c>
      <c r="H49" s="20" t="n">
        <v>1.18765699</v>
      </c>
      <c r="I49" s="18" t="n">
        <v>0</v>
      </c>
      <c r="J49" s="20" t="n">
        <v>0</v>
      </c>
      <c r="K49" s="18" t="n">
        <v>5.86660263</v>
      </c>
      <c r="L49" s="20" t="n">
        <v>0.82668453</v>
      </c>
      <c r="M49" s="18" t="n">
        <v>0.11667188</v>
      </c>
      <c r="N49" s="20" t="n">
        <v>0.07748012999999999</v>
      </c>
      <c r="O49" s="18" t="n">
        <v>0</v>
      </c>
      <c r="P49" s="20" t="n">
        <v>0</v>
      </c>
      <c r="Q49" s="18" t="n">
        <v>2.67972497</v>
      </c>
      <c r="R49" s="20" t="n">
        <v>0.46806233</v>
      </c>
    </row>
    <row r="50" spans="1:18">
      <c r="A50" s="15" t="s">
        <v>609</v>
      </c>
      <c r="B50" s="17" t="n">
        <v>6866</v>
      </c>
      <c r="C50" s="18">
        <f>(5702.0/B50*100)</f>
        <v/>
      </c>
      <c r="D50" s="19" t="n">
        <v>1164</v>
      </c>
      <c r="E50" s="18" t="n">
        <v>76.79818302</v>
      </c>
      <c r="F50" s="20" t="n">
        <v>1.28224286</v>
      </c>
      <c r="G50" s="18" t="n">
        <v>17.58712908</v>
      </c>
      <c r="H50" s="20" t="n">
        <v>1.16809495</v>
      </c>
      <c r="I50" s="18" t="n">
        <v>0</v>
      </c>
      <c r="J50" s="20" t="n">
        <v>0</v>
      </c>
      <c r="K50" s="18" t="n">
        <v>3.0520741</v>
      </c>
      <c r="L50" s="20" t="n">
        <v>0.68858272</v>
      </c>
      <c r="M50" s="18" t="n">
        <v>0</v>
      </c>
      <c r="N50" s="20" t="n">
        <v>0</v>
      </c>
      <c r="O50" s="18" t="n">
        <v>0</v>
      </c>
      <c r="P50" s="20" t="n">
        <v>0</v>
      </c>
      <c r="Q50" s="18" t="n">
        <v>2.56261381</v>
      </c>
      <c r="R50" s="20" t="n">
        <v>0.51028185</v>
      </c>
    </row>
    <row r="51" spans="1:18">
      <c r="A51" s="15" t="s">
        <v>610</v>
      </c>
      <c r="B51" s="17" t="n">
        <v>5809</v>
      </c>
      <c r="C51" s="18">
        <f>(4571.0/B51*100)</f>
        <v/>
      </c>
      <c r="D51" s="19" t="n">
        <v>1238</v>
      </c>
      <c r="E51" s="18" t="n">
        <v>65.19953473</v>
      </c>
      <c r="F51" s="20" t="n">
        <v>1.38512177</v>
      </c>
      <c r="G51" s="18" t="n">
        <v>31.5801149</v>
      </c>
      <c r="H51" s="20" t="n">
        <v>1.40916502</v>
      </c>
      <c r="I51" s="18" t="n">
        <v>0</v>
      </c>
      <c r="J51" s="20" t="n">
        <v>0</v>
      </c>
      <c r="K51" s="18" t="n">
        <v>1.30481909</v>
      </c>
      <c r="L51" s="20" t="n">
        <v>0.27542208</v>
      </c>
      <c r="M51" s="18" t="n">
        <v>0</v>
      </c>
      <c r="N51" s="20" t="n">
        <v>0</v>
      </c>
      <c r="O51" s="18" t="n">
        <v>0</v>
      </c>
      <c r="P51" s="20" t="n">
        <v>0</v>
      </c>
      <c r="Q51" s="18" t="n">
        <v>1.91553128</v>
      </c>
      <c r="R51" s="20" t="n">
        <v>0.38257868</v>
      </c>
    </row>
    <row r="52" spans="1:18">
      <c r="A52" s="15" t="s">
        <v>611</v>
      </c>
      <c r="B52" s="17" t="n">
        <v>5571</v>
      </c>
      <c r="C52" s="18">
        <f>(4392.0/B52*100)</f>
        <v/>
      </c>
      <c r="D52" s="19" t="n">
        <v>1179</v>
      </c>
      <c r="E52" s="18" t="n">
        <v>73.13420659000001</v>
      </c>
      <c r="F52" s="20" t="n">
        <v>1.24234703</v>
      </c>
      <c r="G52" s="18" t="n">
        <v>20.61835432</v>
      </c>
      <c r="H52" s="20" t="n">
        <v>1.16506333</v>
      </c>
      <c r="I52" s="18" t="n">
        <v>0</v>
      </c>
      <c r="J52" s="20" t="n">
        <v>0</v>
      </c>
      <c r="K52" s="18" t="n">
        <v>2.27152534</v>
      </c>
      <c r="L52" s="20" t="n">
        <v>0.47138647</v>
      </c>
      <c r="M52" s="18" t="n">
        <v>0</v>
      </c>
      <c r="N52" s="20" t="n">
        <v>0</v>
      </c>
      <c r="O52" s="18" t="n">
        <v>0</v>
      </c>
      <c r="P52" s="20" t="n">
        <v>0</v>
      </c>
      <c r="Q52" s="18" t="n">
        <v>3.97591376</v>
      </c>
      <c r="R52" s="20" t="n">
        <v>0.49372775</v>
      </c>
    </row>
    <row r="53" spans="1:18">
      <c r="A53" s="15" t="s">
        <v>612</v>
      </c>
      <c r="B53" s="17" t="n">
        <v>4740</v>
      </c>
      <c r="C53" s="18">
        <f>(3734.0/B53*100)</f>
        <v/>
      </c>
      <c r="D53" s="19" t="n">
        <v>1006</v>
      </c>
      <c r="E53" s="18" t="n">
        <v>59.26488317</v>
      </c>
      <c r="F53" s="20" t="n">
        <v>1.98899258</v>
      </c>
      <c r="G53" s="18" t="n">
        <v>4.04445192</v>
      </c>
      <c r="H53" s="20" t="n">
        <v>0.7184330799999999</v>
      </c>
      <c r="I53" s="18" t="n">
        <v>0</v>
      </c>
      <c r="J53" s="20" t="n">
        <v>0</v>
      </c>
      <c r="K53" s="18" t="n">
        <v>26.43677876</v>
      </c>
      <c r="L53" s="20" t="n">
        <v>1.90055009</v>
      </c>
      <c r="M53" s="18" t="n">
        <v>0.80412427</v>
      </c>
      <c r="N53" s="20" t="n">
        <v>0.66938005</v>
      </c>
      <c r="O53" s="18" t="n">
        <v>0</v>
      </c>
      <c r="P53" s="20" t="n">
        <v>0</v>
      </c>
      <c r="Q53" s="18" t="n">
        <v>9.44976187</v>
      </c>
      <c r="R53" s="20" t="n">
        <v>1.07760347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(4227.0/B55*100)</f>
        <v/>
      </c>
      <c r="D55" s="19" t="n">
        <v>1132</v>
      </c>
      <c r="E55" s="18" t="n">
        <v>49.35021909</v>
      </c>
      <c r="F55" s="20" t="n">
        <v>1.42206858</v>
      </c>
      <c r="G55" s="18" t="n">
        <v>49.23070414</v>
      </c>
      <c r="H55" s="20" t="n">
        <v>1.4962455</v>
      </c>
      <c r="I55" s="18" t="n">
        <v>0</v>
      </c>
      <c r="J55" s="20" t="n">
        <v>0</v>
      </c>
      <c r="K55" s="18" t="n">
        <v>0.72219926</v>
      </c>
      <c r="L55" s="20" t="n">
        <v>0.25324996</v>
      </c>
      <c r="M55" s="18" t="n">
        <v>0</v>
      </c>
      <c r="N55" s="20" t="n">
        <v>0</v>
      </c>
      <c r="O55" s="18" t="n">
        <v>0</v>
      </c>
      <c r="P55" s="20" t="n">
        <v>0</v>
      </c>
      <c r="Q55" s="18" t="n">
        <v>0.6968775</v>
      </c>
      <c r="R55" s="20" t="n">
        <v>0.2331668</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(5100.0/B61*100)</f>
        <v/>
      </c>
      <c r="D61" s="19" t="n">
        <v>1425</v>
      </c>
      <c r="E61" s="18" t="n">
        <v>69.5052798</v>
      </c>
      <c r="F61" s="20" t="n">
        <v>1.54304929</v>
      </c>
      <c r="G61" s="18" t="n">
        <v>27.42770935</v>
      </c>
      <c r="H61" s="20" t="n">
        <v>1.44886468</v>
      </c>
      <c r="I61" s="18" t="n">
        <v>0</v>
      </c>
      <c r="J61" s="20" t="n">
        <v>0</v>
      </c>
      <c r="K61" s="18" t="n">
        <v>0.91692734</v>
      </c>
      <c r="L61" s="20" t="n">
        <v>0.2928771</v>
      </c>
      <c r="M61" s="18" t="n">
        <v>0.08492831000000001</v>
      </c>
      <c r="N61" s="20" t="n">
        <v>0.08388355</v>
      </c>
      <c r="O61" s="18" t="n">
        <v>0</v>
      </c>
      <c r="P61" s="20" t="n">
        <v>0</v>
      </c>
      <c r="Q61" s="18" t="n">
        <v>2.0651552</v>
      </c>
      <c r="R61" s="20" t="n">
        <v>0.39487228</v>
      </c>
    </row>
    <row r="62" spans="1:18">
      <c r="A62" s="15" t="s">
        <v>622</v>
      </c>
      <c r="B62" s="17" t="n">
        <v>4476</v>
      </c>
      <c r="C62" s="18">
        <f>(3604.0/B62*100)</f>
        <v/>
      </c>
      <c r="D62" s="19" t="n">
        <v>872</v>
      </c>
      <c r="E62" s="18" t="n">
        <v>52.82265619</v>
      </c>
      <c r="F62" s="20" t="n">
        <v>1.72717182</v>
      </c>
      <c r="G62" s="18" t="n">
        <v>46.71693681</v>
      </c>
      <c r="H62" s="20" t="n">
        <v>1.7368269</v>
      </c>
      <c r="I62" s="18" t="n">
        <v>0</v>
      </c>
      <c r="J62" s="20" t="n">
        <v>0</v>
      </c>
      <c r="K62" s="18" t="n">
        <v>0</v>
      </c>
      <c r="L62" s="20" t="n">
        <v>0</v>
      </c>
      <c r="M62" s="18" t="n">
        <v>0</v>
      </c>
      <c r="N62" s="20" t="n">
        <v>0</v>
      </c>
      <c r="O62" s="18" t="n">
        <v>0</v>
      </c>
      <c r="P62" s="20" t="n">
        <v>0</v>
      </c>
      <c r="Q62" s="18" t="n">
        <v>0.460407</v>
      </c>
      <c r="R62" s="20" t="n">
        <v>0.23060768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(4528.0/B67*100)</f>
        <v/>
      </c>
      <c r="D67" s="19" t="n">
        <v>1137</v>
      </c>
      <c r="E67" s="18" t="n">
        <v>71.52949742</v>
      </c>
      <c r="F67" s="20" t="n">
        <v>1.31546941</v>
      </c>
      <c r="G67" s="18" t="n">
        <v>15.89315068</v>
      </c>
      <c r="H67" s="20" t="n">
        <v>1.13255956</v>
      </c>
      <c r="I67" s="18" t="n">
        <v>0</v>
      </c>
      <c r="J67" s="20" t="n">
        <v>0</v>
      </c>
      <c r="K67" s="18" t="n">
        <v>5.97056461</v>
      </c>
      <c r="L67" s="20" t="n">
        <v>0.68191226</v>
      </c>
      <c r="M67" s="18" t="n">
        <v>0.5186941900000001</v>
      </c>
      <c r="N67" s="20" t="n">
        <v>0.20370397</v>
      </c>
      <c r="O67" s="18" t="n">
        <v>0</v>
      </c>
      <c r="P67" s="20" t="n">
        <v>0</v>
      </c>
      <c r="Q67" s="18" t="n">
        <v>6.08809311</v>
      </c>
      <c r="R67" s="20" t="n">
        <v>0.65040437</v>
      </c>
    </row>
    <row r="68" spans="1:18">
      <c r="A68" s="15" t="s">
        <v>628</v>
      </c>
      <c r="B68" s="17" t="n">
        <v>6971</v>
      </c>
      <c r="C68" s="18">
        <f>(5890.0/B68*100)</f>
        <v/>
      </c>
      <c r="D68" s="19" t="n">
        <v>1081</v>
      </c>
      <c r="E68" s="18" t="n">
        <v>84.23382595</v>
      </c>
      <c r="F68" s="20" t="n">
        <v>1.22366354</v>
      </c>
      <c r="G68" s="18" t="n">
        <v>8.74529581</v>
      </c>
      <c r="H68" s="20" t="n">
        <v>0.81973699</v>
      </c>
      <c r="I68" s="18" t="n">
        <v>0</v>
      </c>
      <c r="J68" s="20" t="n">
        <v>0</v>
      </c>
      <c r="K68" s="18" t="n">
        <v>2.18493125</v>
      </c>
      <c r="L68" s="20" t="n">
        <v>0.63603</v>
      </c>
      <c r="M68" s="18" t="n">
        <v>0.17594873</v>
      </c>
      <c r="N68" s="20" t="n">
        <v>0.12763621</v>
      </c>
      <c r="O68" s="18" t="n">
        <v>0</v>
      </c>
      <c r="P68" s="20" t="n">
        <v>0</v>
      </c>
      <c r="Q68" s="18" t="n">
        <v>4.65999826</v>
      </c>
      <c r="R68" s="20" t="n">
        <v>0.70333596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(9453.0/B70*100)</f>
        <v/>
      </c>
      <c r="D70" s="19" t="n">
        <v>2630</v>
      </c>
      <c r="E70" s="18" t="n">
        <v>67.67082786</v>
      </c>
      <c r="F70" s="20" t="n">
        <v>0.99170801</v>
      </c>
      <c r="G70" s="18" t="n">
        <v>22.4080457</v>
      </c>
      <c r="H70" s="20" t="n">
        <v>0.78261507</v>
      </c>
      <c r="I70" s="18" t="n">
        <v>0</v>
      </c>
      <c r="J70" s="20" t="n">
        <v>0</v>
      </c>
      <c r="K70" s="18" t="n">
        <v>6.97817339</v>
      </c>
      <c r="L70" s="20" t="n">
        <v>0.57083698</v>
      </c>
      <c r="M70" s="18" t="n">
        <v>0.04005786</v>
      </c>
      <c r="N70" s="20" t="n">
        <v>0.04017539</v>
      </c>
      <c r="O70" s="18" t="n">
        <v>0</v>
      </c>
      <c r="P70" s="20" t="n">
        <v>0</v>
      </c>
      <c r="Q70" s="18" t="n">
        <v>2.90289518</v>
      </c>
      <c r="R70" s="20" t="n">
        <v>0.30056407</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(4801.0/B72*100)</f>
        <v/>
      </c>
      <c r="D72" s="19" t="n">
        <v>1235</v>
      </c>
      <c r="E72" s="18" t="n">
        <v>54.79444986</v>
      </c>
      <c r="F72" s="20" t="n">
        <v>1.91506509</v>
      </c>
      <c r="G72" s="18" t="n">
        <v>41.69875611</v>
      </c>
      <c r="H72" s="20" t="n">
        <v>1.86921265</v>
      </c>
      <c r="I72" s="18" t="n">
        <v>0</v>
      </c>
      <c r="J72" s="20" t="n">
        <v>0</v>
      </c>
      <c r="K72" s="18" t="n">
        <v>1.5930902</v>
      </c>
      <c r="L72" s="20" t="n">
        <v>0.36221259</v>
      </c>
      <c r="M72" s="18" t="n">
        <v>0.1132923</v>
      </c>
      <c r="N72" s="20" t="n">
        <v>0.0694482</v>
      </c>
      <c r="O72" s="18" t="n">
        <v>0</v>
      </c>
      <c r="P72" s="20" t="n">
        <v>0</v>
      </c>
      <c r="Q72" s="18" t="n">
        <v>1.80041153</v>
      </c>
      <c r="R72" s="20" t="n">
        <v>0.45761524</v>
      </c>
    </row>
    <row r="73" spans="1:18">
      <c r="A73" s="15" t="s">
        <v>633</v>
      </c>
      <c r="B73" s="17" t="n">
        <v>6115</v>
      </c>
      <c r="C73" s="18">
        <f>(4760.0/B73*100)</f>
        <v/>
      </c>
      <c r="D73" s="19" t="n">
        <v>1355</v>
      </c>
      <c r="E73" s="18" t="n">
        <v>34.46197408</v>
      </c>
      <c r="F73" s="20" t="n">
        <v>1.29574764</v>
      </c>
      <c r="G73" s="18" t="n">
        <v>64.00513521000001</v>
      </c>
      <c r="H73" s="20" t="n">
        <v>1.32131726</v>
      </c>
      <c r="I73" s="18" t="n">
        <v>0</v>
      </c>
      <c r="J73" s="20" t="n">
        <v>0</v>
      </c>
      <c r="K73" s="18" t="n">
        <v>0.77135764</v>
      </c>
      <c r="L73" s="20" t="n">
        <v>0.21716947</v>
      </c>
      <c r="M73" s="18" t="n">
        <v>0</v>
      </c>
      <c r="N73" s="20" t="n">
        <v>0</v>
      </c>
      <c r="O73" s="18" t="n">
        <v>0</v>
      </c>
      <c r="P73" s="20" t="n">
        <v>0</v>
      </c>
      <c r="Q73" s="18" t="n">
        <v>0.76153307</v>
      </c>
      <c r="R73" s="20" t="n">
        <v>0.20031545</v>
      </c>
    </row>
    <row r="74" spans="1:18">
      <c r="A74" s="15" t="s">
        <v>634</v>
      </c>
      <c r="B74" s="17" t="n">
        <v>7708</v>
      </c>
      <c r="C74" s="18">
        <f>(5967.0/B74*100)</f>
        <v/>
      </c>
      <c r="D74" s="19" t="n">
        <v>1741</v>
      </c>
      <c r="E74" s="18" t="n">
        <v>46.31368958</v>
      </c>
      <c r="F74" s="20" t="n">
        <v>1.70272934</v>
      </c>
      <c r="G74" s="18" t="n">
        <v>52.70514905</v>
      </c>
      <c r="H74" s="20" t="n">
        <v>1.68815759</v>
      </c>
      <c r="I74" s="18" t="n">
        <v>0</v>
      </c>
      <c r="J74" s="20" t="n">
        <v>0</v>
      </c>
      <c r="K74" s="18" t="n">
        <v>0.42784672</v>
      </c>
      <c r="L74" s="20" t="n">
        <v>0.149597</v>
      </c>
      <c r="M74" s="18" t="n">
        <v>0</v>
      </c>
      <c r="N74" s="20" t="n">
        <v>0</v>
      </c>
      <c r="O74" s="18" t="n">
        <v>0</v>
      </c>
      <c r="P74" s="20" t="n">
        <v>0</v>
      </c>
      <c r="Q74" s="18" t="n">
        <v>0.55331464</v>
      </c>
      <c r="R74" s="20" t="n">
        <v>0.15795445</v>
      </c>
    </row>
    <row r="75" spans="1:18">
      <c r="A75" s="15" t="s">
        <v>635</v>
      </c>
      <c r="B75" s="17" t="n">
        <v>8249</v>
      </c>
      <c r="C75" s="18">
        <f>(6639.0/B75*100)</f>
        <v/>
      </c>
      <c r="D75" s="19" t="n">
        <v>1610</v>
      </c>
      <c r="E75" s="18" t="n">
        <v>81.64611318999999</v>
      </c>
      <c r="F75" s="20" t="n">
        <v>1.21356878</v>
      </c>
      <c r="G75" s="18" t="n">
        <v>16.32642842</v>
      </c>
      <c r="H75" s="20" t="n">
        <v>1.18197697</v>
      </c>
      <c r="I75" s="18" t="n">
        <v>0</v>
      </c>
      <c r="J75" s="20" t="n">
        <v>0</v>
      </c>
      <c r="K75" s="18" t="n">
        <v>0.58365186</v>
      </c>
      <c r="L75" s="20" t="n">
        <v>0.17411413</v>
      </c>
      <c r="M75" s="18" t="n">
        <v>0.30661821</v>
      </c>
      <c r="N75" s="20" t="n">
        <v>0.14703162</v>
      </c>
      <c r="O75" s="18" t="n">
        <v>0</v>
      </c>
      <c r="P75" s="20" t="n">
        <v>0</v>
      </c>
      <c r="Q75" s="18" t="n">
        <v>1.13718833</v>
      </c>
      <c r="R75" s="20" t="n">
        <v>0.35121855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(4385.0/B77*100)</f>
        <v/>
      </c>
      <c r="D77" s="19" t="n">
        <v>990</v>
      </c>
      <c r="E77" s="18" t="n">
        <v>80.82076553</v>
      </c>
      <c r="F77" s="20" t="n">
        <v>1.62412577</v>
      </c>
      <c r="G77" s="18" t="n">
        <v>3.38753051</v>
      </c>
      <c r="H77" s="20" t="n">
        <v>0.6433575499999999</v>
      </c>
      <c r="I77" s="18" t="n">
        <v>0</v>
      </c>
      <c r="J77" s="20" t="n">
        <v>0</v>
      </c>
      <c r="K77" s="18" t="n">
        <v>8.193601409999999</v>
      </c>
      <c r="L77" s="20" t="n">
        <v>1.11100035</v>
      </c>
      <c r="M77" s="18" t="n">
        <v>0.79987737</v>
      </c>
      <c r="N77" s="20" t="n">
        <v>0.28458663</v>
      </c>
      <c r="O77" s="18" t="n">
        <v>0</v>
      </c>
      <c r="P77" s="20" t="n">
        <v>0</v>
      </c>
      <c r="Q77" s="18" t="n">
        <v>6.79822519</v>
      </c>
      <c r="R77" s="20" t="n">
        <v>0.79450731</v>
      </c>
    </row>
    <row r="78" spans="1:18">
      <c r="A78" s="15" t="s">
        <v>638</v>
      </c>
      <c r="B78" s="17" t="n">
        <v>14167</v>
      </c>
      <c r="C78" s="18">
        <f>(11090.0/B78*100)</f>
        <v/>
      </c>
      <c r="D78" s="19" t="n">
        <v>3077</v>
      </c>
      <c r="E78" s="18" t="n">
        <v>65.2007425</v>
      </c>
      <c r="F78" s="20" t="n">
        <v>1.04530849</v>
      </c>
      <c r="G78" s="18" t="n">
        <v>30.39210031</v>
      </c>
      <c r="H78" s="20" t="n">
        <v>1.04346342</v>
      </c>
      <c r="I78" s="18" t="n">
        <v>0</v>
      </c>
      <c r="J78" s="20" t="n">
        <v>0</v>
      </c>
      <c r="K78" s="18" t="n">
        <v>2.32544993</v>
      </c>
      <c r="L78" s="20" t="n">
        <v>0.3248624</v>
      </c>
      <c r="M78" s="18" t="n">
        <v>0.06276034</v>
      </c>
      <c r="N78" s="20" t="n">
        <v>0.03247684</v>
      </c>
      <c r="O78" s="18" t="n">
        <v>0</v>
      </c>
      <c r="P78" s="20" t="n">
        <v>0</v>
      </c>
      <c r="Q78" s="18" t="n">
        <v>2.01894693</v>
      </c>
      <c r="R78" s="20" t="n">
        <v>0.37071352</v>
      </c>
    </row>
    <row r="79" spans="1:18">
      <c r="A79" s="15" t="s">
        <v>639</v>
      </c>
      <c r="B79" s="17" t="n">
        <v>6062</v>
      </c>
      <c r="C79" s="18">
        <f>(4855.0/B79*100)</f>
        <v/>
      </c>
      <c r="D79" s="19" t="n">
        <v>1207</v>
      </c>
      <c r="E79" s="18" t="n">
        <v>69.54951330999999</v>
      </c>
      <c r="F79" s="20" t="n">
        <v>1.57275745</v>
      </c>
      <c r="G79" s="18" t="n">
        <v>21.48622228</v>
      </c>
      <c r="H79" s="20" t="n">
        <v>1.38256126</v>
      </c>
      <c r="I79" s="18" t="n">
        <v>0</v>
      </c>
      <c r="J79" s="20" t="n">
        <v>0</v>
      </c>
      <c r="K79" s="18" t="n">
        <v>5.08781767</v>
      </c>
      <c r="L79" s="20" t="n">
        <v>0.66465196</v>
      </c>
      <c r="M79" s="18" t="n">
        <v>0</v>
      </c>
      <c r="N79" s="20" t="n">
        <v>0</v>
      </c>
      <c r="O79" s="18" t="n">
        <v>0</v>
      </c>
      <c r="P79" s="20" t="n">
        <v>0</v>
      </c>
      <c r="Q79" s="18" t="n">
        <v>3.87644674</v>
      </c>
      <c r="R79" s="20" t="n">
        <v>0.61799004</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(25642.0/B82*100)</f>
        <v/>
      </c>
      <c r="D82" s="19" t="n">
        <v>6688</v>
      </c>
      <c r="E82" s="18" t="n">
        <v>57.48012693</v>
      </c>
      <c r="F82" s="20" t="n">
        <v>1.0703835</v>
      </c>
      <c r="G82" s="18" t="n">
        <v>39.29851016</v>
      </c>
      <c r="H82" s="20" t="n">
        <v>1.01786934</v>
      </c>
      <c r="I82" s="18" t="n">
        <v>0</v>
      </c>
      <c r="J82" s="20" t="n">
        <v>0</v>
      </c>
      <c r="K82" s="18" t="n">
        <v>1.02695768</v>
      </c>
      <c r="L82" s="20" t="n">
        <v>0.1697002</v>
      </c>
      <c r="M82" s="18" t="n">
        <v>0.06432514</v>
      </c>
      <c r="N82" s="20" t="n">
        <v>0.04668864</v>
      </c>
      <c r="O82" s="18" t="n">
        <v>0</v>
      </c>
      <c r="P82" s="20" t="n">
        <v>0</v>
      </c>
      <c r="Q82" s="18" t="n">
        <v>2.13008007</v>
      </c>
      <c r="R82" s="20" t="n">
        <v>0.36902813</v>
      </c>
    </row>
    <row r="83" spans="1:18">
      <c r="A83" s="15" t="s">
        <v>643</v>
      </c>
      <c r="B83" s="17" t="n">
        <v>1652</v>
      </c>
      <c r="C83" s="18">
        <f>(1315.0/B83*100)</f>
        <v/>
      </c>
      <c r="D83" s="19" t="n">
        <v>337</v>
      </c>
      <c r="E83" s="18" t="n">
        <v>37.33680425</v>
      </c>
      <c r="F83" s="20" t="n">
        <v>3.25610776</v>
      </c>
      <c r="G83" s="18" t="n">
        <v>61.77337311</v>
      </c>
      <c r="H83" s="20" t="n">
        <v>3.27786811</v>
      </c>
      <c r="I83" s="18" t="n">
        <v>0</v>
      </c>
      <c r="J83" s="20" t="n">
        <v>0</v>
      </c>
      <c r="K83" s="18" t="n">
        <v>0.29720643</v>
      </c>
      <c r="L83" s="20" t="n">
        <v>0.29918546</v>
      </c>
      <c r="M83" s="18" t="n">
        <v>0</v>
      </c>
      <c r="N83" s="20" t="n">
        <v>0</v>
      </c>
      <c r="O83" s="18" t="n">
        <v>0</v>
      </c>
      <c r="P83" s="20" t="n">
        <v>0</v>
      </c>
      <c r="Q83" s="18" t="n">
        <v>0.5926162</v>
      </c>
      <c r="R83" s="20" t="n">
        <v>0.41209705</v>
      </c>
    </row>
    <row r="84" spans="1:18">
      <c r="A84" s="23" t="s">
        <v>644</v>
      </c>
      <c r="B84" s="24" t="n">
        <v>1887</v>
      </c>
      <c r="C84" s="25">
        <f>(1492.0/B84*100)</f>
        <v/>
      </c>
      <c r="D84" s="19" t="n">
        <v>395</v>
      </c>
      <c r="E84" s="18" t="n">
        <v>52.89098872</v>
      </c>
      <c r="F84" s="20" t="n">
        <v>2.7526976</v>
      </c>
      <c r="G84" s="18" t="n">
        <v>46.32845984</v>
      </c>
      <c r="H84" s="20" t="n">
        <v>2.68771465</v>
      </c>
      <c r="I84" s="18" t="n">
        <v>0</v>
      </c>
      <c r="J84" s="20" t="n">
        <v>0</v>
      </c>
      <c r="K84" s="18" t="n">
        <v>0.28614852</v>
      </c>
      <c r="L84" s="20" t="n">
        <v>0.2853026</v>
      </c>
      <c r="M84" s="18" t="n">
        <v>0</v>
      </c>
      <c r="N84" s="20" t="n">
        <v>0</v>
      </c>
      <c r="O84" s="18" t="n">
        <v>0</v>
      </c>
      <c r="P84" s="20" t="n">
        <v>0</v>
      </c>
      <c r="Q84" s="18" t="n">
        <v>0.49440291</v>
      </c>
      <c r="R84" s="20" t="n">
        <v>0.35096454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(11479.0/B7*100)</f>
        <v/>
      </c>
      <c r="D7" s="19" t="n">
        <v>3051</v>
      </c>
      <c r="E7" s="18" t="n">
        <v>53.20311443</v>
      </c>
      <c r="F7" s="20" t="n">
        <v>1.04845739</v>
      </c>
      <c r="G7" s="18" t="n">
        <v>42.60176149</v>
      </c>
      <c r="H7" s="20" t="n">
        <v>1.1150399</v>
      </c>
      <c r="I7" s="18" t="n">
        <v>0</v>
      </c>
      <c r="J7" s="20" t="n">
        <v>0</v>
      </c>
      <c r="K7" s="18" t="n">
        <v>1.7543967</v>
      </c>
      <c r="L7" s="20" t="n">
        <v>0.27705108</v>
      </c>
      <c r="M7" s="18" t="n">
        <v>0</v>
      </c>
      <c r="N7" s="20" t="n">
        <v>0</v>
      </c>
      <c r="O7" s="18" t="n">
        <v>0</v>
      </c>
      <c r="P7" s="20" t="n">
        <v>0</v>
      </c>
      <c r="Q7" s="18" t="n">
        <v>2.44072738</v>
      </c>
      <c r="R7" s="20" t="n">
        <v>0.34575804</v>
      </c>
    </row>
    <row r="8" spans="1:18">
      <c r="A8" s="15" t="s">
        <v>566</v>
      </c>
      <c r="B8" s="17" t="n">
        <v>7007</v>
      </c>
      <c r="C8" s="18">
        <f>(5483.0/B8*100)</f>
        <v/>
      </c>
      <c r="D8" s="19" t="n">
        <v>1524</v>
      </c>
      <c r="E8" s="18" t="n">
        <v>58.62250614</v>
      </c>
      <c r="F8" s="20" t="n">
        <v>1.62188232</v>
      </c>
      <c r="G8" s="18" t="n">
        <v>38.43105187</v>
      </c>
      <c r="H8" s="20" t="n">
        <v>1.54892165</v>
      </c>
      <c r="I8" s="18" t="n">
        <v>0</v>
      </c>
      <c r="J8" s="20" t="n">
        <v>0</v>
      </c>
      <c r="K8" s="18" t="n">
        <v>1.13094706</v>
      </c>
      <c r="L8" s="20" t="n">
        <v>0.31926167</v>
      </c>
      <c r="M8" s="18" t="n">
        <v>0</v>
      </c>
      <c r="N8" s="20" t="n">
        <v>0</v>
      </c>
      <c r="O8" s="18" t="n">
        <v>0</v>
      </c>
      <c r="P8" s="20" t="n">
        <v>0</v>
      </c>
      <c r="Q8" s="18" t="n">
        <v>1.81549492</v>
      </c>
      <c r="R8" s="20" t="n">
        <v>0.41826758</v>
      </c>
    </row>
    <row r="9" spans="1:18">
      <c r="A9" s="15" t="s">
        <v>567</v>
      </c>
      <c r="B9" s="17" t="n">
        <v>9651</v>
      </c>
      <c r="C9" s="18">
        <f>(7676.0/B9*100)</f>
        <v/>
      </c>
      <c r="D9" s="19" t="n">
        <v>1975</v>
      </c>
      <c r="E9" s="18" t="n">
        <v>47.28652573</v>
      </c>
      <c r="F9" s="20" t="n">
        <v>1.2162103</v>
      </c>
      <c r="G9" s="18" t="n">
        <v>47.64638487</v>
      </c>
      <c r="H9" s="20" t="n">
        <v>1.19186729</v>
      </c>
      <c r="I9" s="18" t="n">
        <v>0</v>
      </c>
      <c r="J9" s="20" t="n">
        <v>0</v>
      </c>
      <c r="K9" s="18" t="n">
        <v>2.33857595</v>
      </c>
      <c r="L9" s="20" t="n">
        <v>0.3689354</v>
      </c>
      <c r="M9" s="18" t="n">
        <v>0</v>
      </c>
      <c r="N9" s="20" t="n">
        <v>0</v>
      </c>
      <c r="O9" s="18" t="n">
        <v>0</v>
      </c>
      <c r="P9" s="20" t="n">
        <v>0</v>
      </c>
      <c r="Q9" s="18" t="n">
        <v>2.72851345</v>
      </c>
      <c r="R9" s="20" t="n">
        <v>0.35141977</v>
      </c>
    </row>
    <row r="10" spans="1:18">
      <c r="A10" s="15" t="s">
        <v>568</v>
      </c>
      <c r="B10" s="17" t="n">
        <v>20058</v>
      </c>
      <c r="C10" s="18">
        <f>(15751.0/B10*100)</f>
        <v/>
      </c>
      <c r="D10" s="19" t="n">
        <v>4307</v>
      </c>
      <c r="E10" s="18" t="n">
        <v>48.80993144</v>
      </c>
      <c r="F10" s="20" t="n">
        <v>1.12043116</v>
      </c>
      <c r="G10" s="18" t="n">
        <v>48.29171383</v>
      </c>
      <c r="H10" s="20" t="n">
        <v>1.15831583</v>
      </c>
      <c r="I10" s="18" t="n">
        <v>0</v>
      </c>
      <c r="J10" s="20" t="n">
        <v>0</v>
      </c>
      <c r="K10" s="18" t="n">
        <v>1.50905223</v>
      </c>
      <c r="L10" s="20" t="n">
        <v>0.32400789</v>
      </c>
      <c r="M10" s="18" t="n">
        <v>0</v>
      </c>
      <c r="N10" s="20" t="n">
        <v>0</v>
      </c>
      <c r="O10" s="18" t="n">
        <v>0</v>
      </c>
      <c r="P10" s="20" t="n">
        <v>0</v>
      </c>
      <c r="Q10" s="18" t="n">
        <v>1.38930249</v>
      </c>
      <c r="R10" s="20" t="n">
        <v>0.27467268</v>
      </c>
    </row>
    <row r="11" spans="1:18">
      <c r="A11" s="15" t="s">
        <v>569</v>
      </c>
      <c r="B11" s="17" t="n">
        <v>7053</v>
      </c>
      <c r="C11" s="18">
        <f>(5617.0/B11*100)</f>
        <v/>
      </c>
      <c r="D11" s="19" t="n">
        <v>1436</v>
      </c>
      <c r="E11" s="18" t="n">
        <v>55.08428364</v>
      </c>
      <c r="F11" s="20" t="n">
        <v>1.65330262</v>
      </c>
      <c r="G11" s="18" t="n">
        <v>37.52483498</v>
      </c>
      <c r="H11" s="20" t="n">
        <v>1.6041173</v>
      </c>
      <c r="I11" s="18" t="n">
        <v>0</v>
      </c>
      <c r="J11" s="20" t="n">
        <v>0</v>
      </c>
      <c r="K11" s="18" t="n">
        <v>5.02546917</v>
      </c>
      <c r="L11" s="20" t="n">
        <v>0.5101699200000001</v>
      </c>
      <c r="M11" s="18" t="n">
        <v>0</v>
      </c>
      <c r="N11" s="20" t="n">
        <v>0</v>
      </c>
      <c r="O11" s="18" t="n">
        <v>0</v>
      </c>
      <c r="P11" s="20" t="n">
        <v>0</v>
      </c>
      <c r="Q11" s="18" t="n">
        <v>2.36541221</v>
      </c>
      <c r="R11" s="20" t="n">
        <v>0.45602971</v>
      </c>
    </row>
    <row r="12" spans="1:18">
      <c r="A12" s="15" t="s">
        <v>570</v>
      </c>
      <c r="B12" s="17" t="n">
        <v>6894</v>
      </c>
      <c r="C12" s="18">
        <f>(5442.0/B12*100)</f>
        <v/>
      </c>
      <c r="D12" s="19" t="n">
        <v>1452</v>
      </c>
      <c r="E12" s="18" t="n">
        <v>51.00598636</v>
      </c>
      <c r="F12" s="20" t="n">
        <v>1.44236</v>
      </c>
      <c r="G12" s="18" t="n">
        <v>45.45031012</v>
      </c>
      <c r="H12" s="20" t="n">
        <v>1.51760624</v>
      </c>
      <c r="I12" s="18" t="n">
        <v>0</v>
      </c>
      <c r="J12" s="20" t="n">
        <v>0</v>
      </c>
      <c r="K12" s="18" t="n">
        <v>1.65293102</v>
      </c>
      <c r="L12" s="20" t="n">
        <v>0.491303</v>
      </c>
      <c r="M12" s="18" t="n">
        <v>0</v>
      </c>
      <c r="N12" s="20" t="n">
        <v>0</v>
      </c>
      <c r="O12" s="18" t="n">
        <v>0</v>
      </c>
      <c r="P12" s="20" t="n">
        <v>0</v>
      </c>
      <c r="Q12" s="18" t="n">
        <v>1.89077249</v>
      </c>
      <c r="R12" s="20" t="n">
        <v>0.43972265</v>
      </c>
    </row>
    <row r="13" spans="1:18">
      <c r="A13" s="15" t="s">
        <v>571</v>
      </c>
      <c r="B13" s="17" t="n">
        <v>7161</v>
      </c>
      <c r="C13" s="18">
        <f>(5693.0/B13*100)</f>
        <v/>
      </c>
      <c r="D13" s="19" t="n">
        <v>1468</v>
      </c>
      <c r="E13" s="18" t="n">
        <v>69.41391032</v>
      </c>
      <c r="F13" s="20" t="n">
        <v>1.44465254</v>
      </c>
      <c r="G13" s="18" t="n">
        <v>27.75379746</v>
      </c>
      <c r="H13" s="20" t="n">
        <v>1.37942091</v>
      </c>
      <c r="I13" s="18" t="n">
        <v>0</v>
      </c>
      <c r="J13" s="20" t="n">
        <v>0</v>
      </c>
      <c r="K13" s="18" t="n">
        <v>1.66005249</v>
      </c>
      <c r="L13" s="20" t="n">
        <v>0.4060368</v>
      </c>
      <c r="M13" s="18" t="n">
        <v>0</v>
      </c>
      <c r="N13" s="20" t="n">
        <v>0</v>
      </c>
      <c r="O13" s="18" t="n">
        <v>0</v>
      </c>
      <c r="P13" s="20" t="n">
        <v>0</v>
      </c>
      <c r="Q13" s="18" t="n">
        <v>1.17223973</v>
      </c>
      <c r="R13" s="20" t="n">
        <v>0.31848094</v>
      </c>
    </row>
    <row r="14" spans="1:18">
      <c r="A14" s="15" t="s">
        <v>572</v>
      </c>
      <c r="B14" s="17" t="n">
        <v>5587</v>
      </c>
      <c r="C14" s="18">
        <f>(4383.0/B14*100)</f>
        <v/>
      </c>
      <c r="D14" s="19" t="n">
        <v>1204</v>
      </c>
      <c r="E14" s="18" t="n">
        <v>56.28183987</v>
      </c>
      <c r="F14" s="20" t="n">
        <v>1.44891238</v>
      </c>
      <c r="G14" s="18" t="n">
        <v>42.19853718</v>
      </c>
      <c r="H14" s="20" t="n">
        <v>1.49914479</v>
      </c>
      <c r="I14" s="18" t="n">
        <v>0</v>
      </c>
      <c r="J14" s="20" t="n">
        <v>0</v>
      </c>
      <c r="K14" s="18" t="n">
        <v>0.78110016</v>
      </c>
      <c r="L14" s="20" t="n">
        <v>0.24198563</v>
      </c>
      <c r="M14" s="18" t="n">
        <v>0</v>
      </c>
      <c r="N14" s="20" t="n">
        <v>0</v>
      </c>
      <c r="O14" s="18" t="n">
        <v>0</v>
      </c>
      <c r="P14" s="20" t="n">
        <v>0</v>
      </c>
      <c r="Q14" s="18" t="n">
        <v>0.73852279</v>
      </c>
      <c r="R14" s="20" t="n">
        <v>0.20658909</v>
      </c>
    </row>
    <row r="15" spans="1:18">
      <c r="A15" s="15" t="s">
        <v>573</v>
      </c>
      <c r="B15" s="17" t="n">
        <v>5882</v>
      </c>
      <c r="C15" s="18">
        <f>(4645.0/B15*100)</f>
        <v/>
      </c>
      <c r="D15" s="19" t="n">
        <v>1237</v>
      </c>
      <c r="E15" s="18" t="n">
        <v>61.90872678</v>
      </c>
      <c r="F15" s="20" t="n">
        <v>1.41777359</v>
      </c>
      <c r="G15" s="18" t="n">
        <v>35.77236734</v>
      </c>
      <c r="H15" s="20" t="n">
        <v>1.35934285</v>
      </c>
      <c r="I15" s="18" t="n">
        <v>0</v>
      </c>
      <c r="J15" s="20" t="n">
        <v>0</v>
      </c>
      <c r="K15" s="18" t="n">
        <v>1.35210505</v>
      </c>
      <c r="L15" s="20" t="n">
        <v>0.39359607</v>
      </c>
      <c r="M15" s="18" t="n">
        <v>0</v>
      </c>
      <c r="N15" s="20" t="n">
        <v>0</v>
      </c>
      <c r="O15" s="18" t="n">
        <v>0</v>
      </c>
      <c r="P15" s="20" t="n">
        <v>0</v>
      </c>
      <c r="Q15" s="18" t="n">
        <v>0.96680084</v>
      </c>
      <c r="R15" s="20" t="n">
        <v>0.29445847</v>
      </c>
    </row>
    <row r="16" spans="1:18">
      <c r="A16" s="15" t="s">
        <v>574</v>
      </c>
      <c r="B16" s="17" t="n">
        <v>6108</v>
      </c>
      <c r="C16" s="18">
        <f>(4796.0/B16*100)</f>
        <v/>
      </c>
      <c r="D16" s="19" t="n">
        <v>1312</v>
      </c>
      <c r="E16" s="18" t="n">
        <v>45.14046746</v>
      </c>
      <c r="F16" s="20" t="n">
        <v>1.32427387</v>
      </c>
      <c r="G16" s="18" t="n">
        <v>47.30319071</v>
      </c>
      <c r="H16" s="20" t="n">
        <v>1.39857032</v>
      </c>
      <c r="I16" s="18" t="n">
        <v>0</v>
      </c>
      <c r="J16" s="20" t="n">
        <v>0</v>
      </c>
      <c r="K16" s="18" t="n">
        <v>5.24960959</v>
      </c>
      <c r="L16" s="20" t="n">
        <v>0.87257182</v>
      </c>
      <c r="M16" s="18" t="n">
        <v>0</v>
      </c>
      <c r="N16" s="20" t="n">
        <v>0</v>
      </c>
      <c r="O16" s="18" t="n">
        <v>0</v>
      </c>
      <c r="P16" s="20" t="n">
        <v>0</v>
      </c>
      <c r="Q16" s="18" t="n">
        <v>2.30673224</v>
      </c>
      <c r="R16" s="20" t="n">
        <v>0.39567935</v>
      </c>
    </row>
    <row r="17" spans="1:18">
      <c r="A17" s="15" t="s">
        <v>575</v>
      </c>
      <c r="B17" s="17" t="n">
        <v>6504</v>
      </c>
      <c r="C17" s="18">
        <f>(5128.0/B17*100)</f>
        <v/>
      </c>
      <c r="D17" s="19" t="n">
        <v>1376</v>
      </c>
      <c r="E17" s="18" t="n">
        <v>56.0339572</v>
      </c>
      <c r="F17" s="20" t="n">
        <v>1.51544592</v>
      </c>
      <c r="G17" s="18" t="n">
        <v>40.39227238</v>
      </c>
      <c r="H17" s="20" t="n">
        <v>1.5749116</v>
      </c>
      <c r="I17" s="18" t="n">
        <v>0</v>
      </c>
      <c r="J17" s="20" t="n">
        <v>0</v>
      </c>
      <c r="K17" s="18" t="n">
        <v>1.41587698</v>
      </c>
      <c r="L17" s="20" t="n">
        <v>0.30651556</v>
      </c>
      <c r="M17" s="18" t="n">
        <v>0</v>
      </c>
      <c r="N17" s="20" t="n">
        <v>0</v>
      </c>
      <c r="O17" s="18" t="n">
        <v>0</v>
      </c>
      <c r="P17" s="20" t="n">
        <v>0</v>
      </c>
      <c r="Q17" s="18" t="n">
        <v>2.15789344</v>
      </c>
      <c r="R17" s="20" t="n">
        <v>0.37965187</v>
      </c>
    </row>
    <row r="18" spans="1:18">
      <c r="A18" s="15" t="s">
        <v>576</v>
      </c>
      <c r="B18" s="17" t="n">
        <v>5532</v>
      </c>
      <c r="C18" s="18">
        <f>(4323.0/B18*100)</f>
        <v/>
      </c>
      <c r="D18" s="19" t="n">
        <v>1209</v>
      </c>
      <c r="E18" s="18" t="n">
        <v>73.66182119</v>
      </c>
      <c r="F18" s="20" t="n">
        <v>1.33153763</v>
      </c>
      <c r="G18" s="18" t="n">
        <v>22.25397334</v>
      </c>
      <c r="H18" s="20" t="n">
        <v>1.30037091</v>
      </c>
      <c r="I18" s="18" t="n">
        <v>0</v>
      </c>
      <c r="J18" s="20" t="n">
        <v>0</v>
      </c>
      <c r="K18" s="18" t="n">
        <v>2.01386082</v>
      </c>
      <c r="L18" s="20" t="n">
        <v>0.38790158</v>
      </c>
      <c r="M18" s="18" t="n">
        <v>0</v>
      </c>
      <c r="N18" s="20" t="n">
        <v>0</v>
      </c>
      <c r="O18" s="18" t="n">
        <v>0</v>
      </c>
      <c r="P18" s="20" t="n">
        <v>0</v>
      </c>
      <c r="Q18" s="18" t="n">
        <v>2.07034466</v>
      </c>
      <c r="R18" s="20" t="n">
        <v>0.46158136</v>
      </c>
    </row>
    <row r="19" spans="1:18">
      <c r="A19" s="15" t="s">
        <v>577</v>
      </c>
      <c r="B19" s="17" t="n">
        <v>5658</v>
      </c>
      <c r="C19" s="18">
        <f>(4467.0/B19*100)</f>
        <v/>
      </c>
      <c r="D19" s="19" t="n">
        <v>1191</v>
      </c>
      <c r="E19" s="18" t="n">
        <v>64.1211765</v>
      </c>
      <c r="F19" s="20" t="n">
        <v>1.41759172</v>
      </c>
      <c r="G19" s="18" t="n">
        <v>32.18506537</v>
      </c>
      <c r="H19" s="20" t="n">
        <v>1.39572901</v>
      </c>
      <c r="I19" s="18" t="n">
        <v>0</v>
      </c>
      <c r="J19" s="20" t="n">
        <v>0</v>
      </c>
      <c r="K19" s="18" t="n">
        <v>1.12486824</v>
      </c>
      <c r="L19" s="20" t="n">
        <v>0.33533267</v>
      </c>
      <c r="M19" s="18" t="n">
        <v>0</v>
      </c>
      <c r="N19" s="20" t="n">
        <v>0</v>
      </c>
      <c r="O19" s="18" t="n">
        <v>0</v>
      </c>
      <c r="P19" s="20" t="n">
        <v>0</v>
      </c>
      <c r="Q19" s="18" t="n">
        <v>2.5688899</v>
      </c>
      <c r="R19" s="20" t="n">
        <v>0.54900277</v>
      </c>
    </row>
    <row r="20" spans="1:18">
      <c r="A20" s="15" t="s">
        <v>578</v>
      </c>
      <c r="B20" s="17" t="n">
        <v>3371</v>
      </c>
      <c r="C20" s="18">
        <f>(2657.0/B20*100)</f>
        <v/>
      </c>
      <c r="D20" s="19" t="n">
        <v>714</v>
      </c>
      <c r="E20" s="18" t="n">
        <v>58.42712593</v>
      </c>
      <c r="F20" s="20" t="n">
        <v>1.80266812</v>
      </c>
      <c r="G20" s="18" t="n">
        <v>38.45321513</v>
      </c>
      <c r="H20" s="20" t="n">
        <v>1.74933832</v>
      </c>
      <c r="I20" s="18" t="n">
        <v>0</v>
      </c>
      <c r="J20" s="20" t="n">
        <v>0</v>
      </c>
      <c r="K20" s="18" t="n">
        <v>1.53972105</v>
      </c>
      <c r="L20" s="20" t="n">
        <v>0.48186372</v>
      </c>
      <c r="M20" s="18" t="n">
        <v>0</v>
      </c>
      <c r="N20" s="20" t="n">
        <v>0</v>
      </c>
      <c r="O20" s="18" t="n">
        <v>0</v>
      </c>
      <c r="P20" s="20" t="n">
        <v>0</v>
      </c>
      <c r="Q20" s="18" t="n">
        <v>1.57993789</v>
      </c>
      <c r="R20" s="20" t="n">
        <v>0.45965208</v>
      </c>
    </row>
    <row r="21" spans="1:18">
      <c r="A21" s="15" t="s">
        <v>579</v>
      </c>
      <c r="B21" s="17" t="n">
        <v>5741</v>
      </c>
      <c r="C21" s="18">
        <f>(4477.0/B21*100)</f>
        <v/>
      </c>
      <c r="D21" s="19" t="n">
        <v>1264</v>
      </c>
      <c r="E21" s="18" t="n">
        <v>60.66266474</v>
      </c>
      <c r="F21" s="20" t="n">
        <v>1.44342979</v>
      </c>
      <c r="G21" s="18" t="n">
        <v>36.51089067</v>
      </c>
      <c r="H21" s="20" t="n">
        <v>1.38383966</v>
      </c>
      <c r="I21" s="18" t="n">
        <v>0</v>
      </c>
      <c r="J21" s="20" t="n">
        <v>0</v>
      </c>
      <c r="K21" s="18" t="n">
        <v>1.47270473</v>
      </c>
      <c r="L21" s="20" t="n">
        <v>0.34893892</v>
      </c>
      <c r="M21" s="18" t="n">
        <v>0</v>
      </c>
      <c r="N21" s="20" t="n">
        <v>0</v>
      </c>
      <c r="O21" s="18" t="n">
        <v>0</v>
      </c>
      <c r="P21" s="20" t="n">
        <v>0</v>
      </c>
      <c r="Q21" s="18" t="n">
        <v>1.35373987</v>
      </c>
      <c r="R21" s="20" t="n">
        <v>0.31815856</v>
      </c>
    </row>
    <row r="22" spans="1:18">
      <c r="A22" s="15" t="s">
        <v>580</v>
      </c>
      <c r="B22" s="17" t="n">
        <v>6598</v>
      </c>
      <c r="C22" s="18">
        <f>(5334.0/B22*100)</f>
        <v/>
      </c>
      <c r="D22" s="19" t="n">
        <v>1264</v>
      </c>
      <c r="E22" s="18" t="n">
        <v>64.20092767</v>
      </c>
      <c r="F22" s="20" t="n">
        <v>1.47099344</v>
      </c>
      <c r="G22" s="18" t="n">
        <v>29.95845247</v>
      </c>
      <c r="H22" s="20" t="n">
        <v>1.48305161</v>
      </c>
      <c r="I22" s="18" t="n">
        <v>0</v>
      </c>
      <c r="J22" s="20" t="n">
        <v>0</v>
      </c>
      <c r="K22" s="18" t="n">
        <v>3.16506598</v>
      </c>
      <c r="L22" s="20" t="n">
        <v>0.6107009</v>
      </c>
      <c r="M22" s="18" t="n">
        <v>0</v>
      </c>
      <c r="N22" s="20" t="n">
        <v>0</v>
      </c>
      <c r="O22" s="18" t="n">
        <v>0</v>
      </c>
      <c r="P22" s="20" t="n">
        <v>0</v>
      </c>
      <c r="Q22" s="18" t="n">
        <v>2.67555388</v>
      </c>
      <c r="R22" s="20" t="n">
        <v>0.51212905</v>
      </c>
    </row>
    <row r="23" spans="1:18">
      <c r="A23" s="15" t="s">
        <v>581</v>
      </c>
      <c r="B23" s="17" t="n">
        <v>11583</v>
      </c>
      <c r="C23" s="18">
        <f>(9088.0/B23*100)</f>
        <v/>
      </c>
      <c r="D23" s="19" t="n">
        <v>2495</v>
      </c>
      <c r="E23" s="18" t="n">
        <v>59.56850736</v>
      </c>
      <c r="F23" s="20" t="n">
        <v>1.26397736</v>
      </c>
      <c r="G23" s="18" t="n">
        <v>36.3089887</v>
      </c>
      <c r="H23" s="20" t="n">
        <v>1.3834931</v>
      </c>
      <c r="I23" s="18" t="n">
        <v>0</v>
      </c>
      <c r="J23" s="20" t="n">
        <v>0</v>
      </c>
      <c r="K23" s="18" t="n">
        <v>2.27670723</v>
      </c>
      <c r="L23" s="20" t="n">
        <v>0.55465328</v>
      </c>
      <c r="M23" s="18" t="n">
        <v>0</v>
      </c>
      <c r="N23" s="20" t="n">
        <v>0</v>
      </c>
      <c r="O23" s="18" t="n">
        <v>0</v>
      </c>
      <c r="P23" s="20" t="n">
        <v>0</v>
      </c>
      <c r="Q23" s="18" t="n">
        <v>1.84579672</v>
      </c>
      <c r="R23" s="20" t="n">
        <v>0.46064087</v>
      </c>
    </row>
    <row r="24" spans="1:18">
      <c r="A24" s="15" t="s">
        <v>582</v>
      </c>
      <c r="B24" s="17" t="n">
        <v>6647</v>
      </c>
      <c r="C24" s="18">
        <f>(5238.0/B24*100)</f>
        <v/>
      </c>
      <c r="D24" s="19" t="n">
        <v>1409</v>
      </c>
      <c r="E24" s="18" t="n">
        <v>44.83421345</v>
      </c>
      <c r="F24" s="20" t="n">
        <v>1.5090248</v>
      </c>
      <c r="G24" s="18" t="n">
        <v>52.42060207</v>
      </c>
      <c r="H24" s="20" t="n">
        <v>1.46735383</v>
      </c>
      <c r="I24" s="18" t="n">
        <v>0</v>
      </c>
      <c r="J24" s="20" t="n">
        <v>0</v>
      </c>
      <c r="K24" s="18" t="n">
        <v>1.20556289</v>
      </c>
      <c r="L24" s="20" t="n">
        <v>0.34199807</v>
      </c>
      <c r="M24" s="18" t="n">
        <v>0</v>
      </c>
      <c r="N24" s="20" t="n">
        <v>0</v>
      </c>
      <c r="O24" s="18" t="n">
        <v>0</v>
      </c>
      <c r="P24" s="20" t="n">
        <v>0</v>
      </c>
      <c r="Q24" s="18" t="n">
        <v>1.5396216</v>
      </c>
      <c r="R24" s="20" t="n">
        <v>0.35289877</v>
      </c>
    </row>
    <row r="25" spans="1:18">
      <c r="A25" s="15" t="s">
        <v>583</v>
      </c>
      <c r="B25" s="17" t="n">
        <v>5581</v>
      </c>
      <c r="C25" s="18">
        <f>(4322.0/B25*100)</f>
        <v/>
      </c>
      <c r="D25" s="19" t="n">
        <v>1259</v>
      </c>
      <c r="E25" s="18" t="n">
        <v>47.48906868</v>
      </c>
      <c r="F25" s="20" t="n">
        <v>1.5519592</v>
      </c>
      <c r="G25" s="18" t="n">
        <v>51.37324453</v>
      </c>
      <c r="H25" s="20" t="n">
        <v>1.55513312</v>
      </c>
      <c r="I25" s="18" t="n">
        <v>0</v>
      </c>
      <c r="J25" s="20" t="n">
        <v>0</v>
      </c>
      <c r="K25" s="18" t="n">
        <v>0.7463895</v>
      </c>
      <c r="L25" s="20" t="n">
        <v>0.23436717</v>
      </c>
      <c r="M25" s="18" t="n">
        <v>0</v>
      </c>
      <c r="N25" s="20" t="n">
        <v>0</v>
      </c>
      <c r="O25" s="18" t="n">
        <v>0</v>
      </c>
      <c r="P25" s="20" t="n">
        <v>0</v>
      </c>
      <c r="Q25" s="18" t="n">
        <v>0.39129729</v>
      </c>
      <c r="R25" s="20" t="n">
        <v>0.17593984</v>
      </c>
    </row>
    <row r="26" spans="1:18">
      <c r="A26" s="15" t="s">
        <v>584</v>
      </c>
      <c r="B26" s="17" t="n">
        <v>4869</v>
      </c>
      <c r="C26" s="18">
        <f>(3811.0/B26*100)</f>
        <v/>
      </c>
      <c r="D26" s="19" t="n">
        <v>1058</v>
      </c>
      <c r="E26" s="18" t="n">
        <v>59.73031107</v>
      </c>
      <c r="F26" s="20" t="n">
        <v>1.58915467</v>
      </c>
      <c r="G26" s="18" t="n">
        <v>38.0219015</v>
      </c>
      <c r="H26" s="20" t="n">
        <v>1.51729524</v>
      </c>
      <c r="I26" s="18" t="n">
        <v>0</v>
      </c>
      <c r="J26" s="20" t="n">
        <v>0</v>
      </c>
      <c r="K26" s="18" t="n">
        <v>0.62666594</v>
      </c>
      <c r="L26" s="20" t="n">
        <v>0.25670225</v>
      </c>
      <c r="M26" s="18" t="n">
        <v>0</v>
      </c>
      <c r="N26" s="20" t="n">
        <v>0</v>
      </c>
      <c r="O26" s="18" t="n">
        <v>0</v>
      </c>
      <c r="P26" s="20" t="n">
        <v>0</v>
      </c>
      <c r="Q26" s="18" t="n">
        <v>1.62112149</v>
      </c>
      <c r="R26" s="20" t="n">
        <v>0.53408133</v>
      </c>
    </row>
    <row r="27" spans="1:18">
      <c r="A27" s="15" t="s">
        <v>585</v>
      </c>
      <c r="B27" s="17" t="n">
        <v>5299</v>
      </c>
      <c r="C27" s="18">
        <f>(4191.0/B27*100)</f>
        <v/>
      </c>
      <c r="D27" s="19" t="n">
        <v>1108</v>
      </c>
      <c r="E27" s="18" t="n">
        <v>56.86712021</v>
      </c>
      <c r="F27" s="20" t="n">
        <v>1.30127796</v>
      </c>
      <c r="G27" s="18" t="n">
        <v>37.86237633</v>
      </c>
      <c r="H27" s="20" t="n">
        <v>1.27882537</v>
      </c>
      <c r="I27" s="18" t="n">
        <v>0</v>
      </c>
      <c r="J27" s="20" t="n">
        <v>0</v>
      </c>
      <c r="K27" s="18" t="n">
        <v>1.63345956</v>
      </c>
      <c r="L27" s="20" t="n">
        <v>0.4051473</v>
      </c>
      <c r="M27" s="18" t="n">
        <v>0</v>
      </c>
      <c r="N27" s="20" t="n">
        <v>0</v>
      </c>
      <c r="O27" s="18" t="n">
        <v>0</v>
      </c>
      <c r="P27" s="20" t="n">
        <v>0</v>
      </c>
      <c r="Q27" s="18" t="n">
        <v>3.6370439</v>
      </c>
      <c r="R27" s="20" t="n">
        <v>0.54804379</v>
      </c>
    </row>
    <row r="28" spans="1:18">
      <c r="A28" s="15" t="s">
        <v>586</v>
      </c>
      <c r="B28" s="17" t="n">
        <v>7568</v>
      </c>
      <c r="C28" s="18">
        <f>(6169.0/B28*100)</f>
        <v/>
      </c>
      <c r="D28" s="19" t="n">
        <v>1399</v>
      </c>
      <c r="E28" s="18" t="n">
        <v>65.12973777000001</v>
      </c>
      <c r="F28" s="20" t="n">
        <v>1.50028325</v>
      </c>
      <c r="G28" s="18" t="n">
        <v>29.06065917</v>
      </c>
      <c r="H28" s="20" t="n">
        <v>1.49627475</v>
      </c>
      <c r="I28" s="18" t="n">
        <v>0</v>
      </c>
      <c r="J28" s="20" t="n">
        <v>0</v>
      </c>
      <c r="K28" s="18" t="n">
        <v>2.69917509</v>
      </c>
      <c r="L28" s="20" t="n">
        <v>0.62316672</v>
      </c>
      <c r="M28" s="18" t="n">
        <v>0</v>
      </c>
      <c r="N28" s="20" t="n">
        <v>0</v>
      </c>
      <c r="O28" s="18" t="n">
        <v>0</v>
      </c>
      <c r="P28" s="20" t="n">
        <v>0</v>
      </c>
      <c r="Q28" s="18" t="n">
        <v>3.11042798</v>
      </c>
      <c r="R28" s="20" t="n">
        <v>0.42691373</v>
      </c>
    </row>
    <row r="29" spans="1:18">
      <c r="A29" s="15" t="s">
        <v>587</v>
      </c>
      <c r="B29" s="17" t="n">
        <v>5385</v>
      </c>
      <c r="C29" s="18">
        <f>(4191.0/B29*100)</f>
        <v/>
      </c>
      <c r="D29" s="19" t="n">
        <v>1194</v>
      </c>
      <c r="E29" s="18" t="n">
        <v>46.68654158</v>
      </c>
      <c r="F29" s="20" t="n">
        <v>1.49797282</v>
      </c>
      <c r="G29" s="18" t="n">
        <v>51.84393326</v>
      </c>
      <c r="H29" s="20" t="n">
        <v>1.4827019</v>
      </c>
      <c r="I29" s="18" t="n">
        <v>0</v>
      </c>
      <c r="J29" s="20" t="n">
        <v>0</v>
      </c>
      <c r="K29" s="18" t="n">
        <v>1.03963861</v>
      </c>
      <c r="L29" s="20" t="n">
        <v>0.31857699</v>
      </c>
      <c r="M29" s="18" t="n">
        <v>0</v>
      </c>
      <c r="N29" s="20" t="n">
        <v>0</v>
      </c>
      <c r="O29" s="18" t="n">
        <v>0</v>
      </c>
      <c r="P29" s="20" t="n">
        <v>0</v>
      </c>
      <c r="Q29" s="18" t="n">
        <v>0.42988655</v>
      </c>
      <c r="R29" s="20" t="n">
        <v>0.17543718</v>
      </c>
    </row>
    <row r="30" spans="1:18">
      <c r="A30" s="15" t="s">
        <v>588</v>
      </c>
      <c r="B30" s="17" t="n">
        <v>4520</v>
      </c>
      <c r="C30" s="18">
        <f>(3603.0/B30*100)</f>
        <v/>
      </c>
      <c r="D30" s="19" t="n">
        <v>917</v>
      </c>
      <c r="E30" s="18" t="n">
        <v>51.08278921</v>
      </c>
      <c r="F30" s="20" t="n">
        <v>1.50163169</v>
      </c>
      <c r="G30" s="18" t="n">
        <v>43.25439467</v>
      </c>
      <c r="H30" s="20" t="n">
        <v>1.42465526</v>
      </c>
      <c r="I30" s="18" t="n">
        <v>0</v>
      </c>
      <c r="J30" s="20" t="n">
        <v>0</v>
      </c>
      <c r="K30" s="18" t="n">
        <v>3.43810068</v>
      </c>
      <c r="L30" s="20" t="n">
        <v>0.78787349</v>
      </c>
      <c r="M30" s="18" t="n">
        <v>0</v>
      </c>
      <c r="N30" s="20" t="n">
        <v>0</v>
      </c>
      <c r="O30" s="18" t="n">
        <v>0</v>
      </c>
      <c r="P30" s="20" t="n">
        <v>0</v>
      </c>
      <c r="Q30" s="18" t="n">
        <v>2.22471544</v>
      </c>
      <c r="R30" s="20" t="n">
        <v>0.5633212</v>
      </c>
    </row>
    <row r="31" spans="1:18">
      <c r="A31" s="15" t="s">
        <v>589</v>
      </c>
      <c r="B31" s="17" t="n">
        <v>5456</v>
      </c>
      <c r="C31" s="18">
        <f>(4286.0/B31*100)</f>
        <v/>
      </c>
      <c r="D31" s="19" t="n">
        <v>1170</v>
      </c>
      <c r="E31" s="18" t="n">
        <v>57.75193275</v>
      </c>
      <c r="F31" s="20" t="n">
        <v>1.48784442</v>
      </c>
      <c r="G31" s="18" t="n">
        <v>36.81313437</v>
      </c>
      <c r="H31" s="20" t="n">
        <v>1.47181123</v>
      </c>
      <c r="I31" s="18" t="n">
        <v>0</v>
      </c>
      <c r="J31" s="20" t="n">
        <v>0</v>
      </c>
      <c r="K31" s="18" t="n">
        <v>3.58189457</v>
      </c>
      <c r="L31" s="20" t="n">
        <v>0.59122503</v>
      </c>
      <c r="M31" s="18" t="n">
        <v>0</v>
      </c>
      <c r="N31" s="20" t="n">
        <v>0</v>
      </c>
      <c r="O31" s="18" t="n">
        <v>0</v>
      </c>
      <c r="P31" s="20" t="n">
        <v>0</v>
      </c>
      <c r="Q31" s="18" t="n">
        <v>1.85303832</v>
      </c>
      <c r="R31" s="20" t="n">
        <v>0.39837353</v>
      </c>
    </row>
    <row r="32" spans="1:18">
      <c r="A32" s="15" t="s">
        <v>590</v>
      </c>
      <c r="B32" s="17" t="n">
        <v>4478</v>
      </c>
      <c r="C32" s="18">
        <f>(3498.0/B32*100)</f>
        <v/>
      </c>
      <c r="D32" s="19" t="n">
        <v>980</v>
      </c>
      <c r="E32" s="18" t="n">
        <v>62.25217111</v>
      </c>
      <c r="F32" s="20" t="n">
        <v>1.73604981</v>
      </c>
      <c r="G32" s="18" t="n">
        <v>36.02411478</v>
      </c>
      <c r="H32" s="20" t="n">
        <v>1.71869584</v>
      </c>
      <c r="I32" s="18" t="n">
        <v>0</v>
      </c>
      <c r="J32" s="20" t="n">
        <v>0</v>
      </c>
      <c r="K32" s="18" t="n">
        <v>1.00183951</v>
      </c>
      <c r="L32" s="20" t="n">
        <v>0.28356464</v>
      </c>
      <c r="M32" s="18" t="n">
        <v>0</v>
      </c>
      <c r="N32" s="20" t="n">
        <v>0</v>
      </c>
      <c r="O32" s="18" t="n">
        <v>0</v>
      </c>
      <c r="P32" s="20" t="n">
        <v>0</v>
      </c>
      <c r="Q32" s="18" t="n">
        <v>0.7218746</v>
      </c>
      <c r="R32" s="20" t="n">
        <v>0.20013179</v>
      </c>
    </row>
    <row r="33" spans="1:18">
      <c r="A33" s="15" t="s">
        <v>591</v>
      </c>
      <c r="B33" s="17" t="n">
        <v>7325</v>
      </c>
      <c r="C33" s="18">
        <f>(5833.0/B33*100)</f>
        <v/>
      </c>
      <c r="D33" s="19" t="n">
        <v>1492</v>
      </c>
      <c r="E33" s="18" t="n">
        <v>38.39672514</v>
      </c>
      <c r="F33" s="20" t="n">
        <v>1.39775761</v>
      </c>
      <c r="G33" s="18" t="n">
        <v>58.0097769</v>
      </c>
      <c r="H33" s="20" t="n">
        <v>1.4222428</v>
      </c>
      <c r="I33" s="18" t="n">
        <v>0</v>
      </c>
      <c r="J33" s="20" t="n">
        <v>0</v>
      </c>
      <c r="K33" s="18" t="n">
        <v>1.88954831</v>
      </c>
      <c r="L33" s="20" t="n">
        <v>0.42785419</v>
      </c>
      <c r="M33" s="18" t="n">
        <v>0</v>
      </c>
      <c r="N33" s="20" t="n">
        <v>0</v>
      </c>
      <c r="O33" s="18" t="n">
        <v>0</v>
      </c>
      <c r="P33" s="20" t="n">
        <v>0</v>
      </c>
      <c r="Q33" s="18" t="n">
        <v>1.70394964</v>
      </c>
      <c r="R33" s="20" t="n">
        <v>0.46073271</v>
      </c>
    </row>
    <row r="34" spans="1:18">
      <c r="A34" s="15" t="s">
        <v>592</v>
      </c>
      <c r="B34" s="17" t="n">
        <v>6350</v>
      </c>
      <c r="C34" s="18">
        <f>(5023.0/B34*100)</f>
        <v/>
      </c>
      <c r="D34" s="19" t="n">
        <v>1327</v>
      </c>
      <c r="E34" s="18" t="n">
        <v>70.24560040999999</v>
      </c>
      <c r="F34" s="20" t="n">
        <v>1.18818089</v>
      </c>
      <c r="G34" s="18" t="n">
        <v>25.83119041</v>
      </c>
      <c r="H34" s="20" t="n">
        <v>1.20210932</v>
      </c>
      <c r="I34" s="18" t="n">
        <v>0</v>
      </c>
      <c r="J34" s="20" t="n">
        <v>0</v>
      </c>
      <c r="K34" s="18" t="n">
        <v>1.85629548</v>
      </c>
      <c r="L34" s="20" t="n">
        <v>0.42919447</v>
      </c>
      <c r="M34" s="18" t="n">
        <v>0</v>
      </c>
      <c r="N34" s="20" t="n">
        <v>0</v>
      </c>
      <c r="O34" s="18" t="n">
        <v>0</v>
      </c>
      <c r="P34" s="20" t="n">
        <v>0</v>
      </c>
      <c r="Q34" s="18" t="n">
        <v>2.06691369</v>
      </c>
      <c r="R34" s="20" t="n">
        <v>0.5412142599999999</v>
      </c>
    </row>
    <row r="35" spans="1:18">
      <c r="A35" s="15" t="s">
        <v>593</v>
      </c>
      <c r="B35" s="17" t="n">
        <v>6406</v>
      </c>
      <c r="C35" s="18">
        <f>(5035.0/B35*100)</f>
        <v/>
      </c>
      <c r="D35" s="19" t="n">
        <v>1371</v>
      </c>
      <c r="E35" s="18" t="n">
        <v>55.89627401</v>
      </c>
      <c r="F35" s="20" t="n">
        <v>1.82811905</v>
      </c>
      <c r="G35" s="18" t="n">
        <v>41.72666769</v>
      </c>
      <c r="H35" s="20" t="n">
        <v>1.87395592</v>
      </c>
      <c r="I35" s="18" t="n">
        <v>0</v>
      </c>
      <c r="J35" s="20" t="n">
        <v>0</v>
      </c>
      <c r="K35" s="18" t="n">
        <v>0.97115046</v>
      </c>
      <c r="L35" s="20" t="n">
        <v>0.46399318</v>
      </c>
      <c r="M35" s="18" t="n">
        <v>0</v>
      </c>
      <c r="N35" s="20" t="n">
        <v>0</v>
      </c>
      <c r="O35" s="18" t="n">
        <v>0</v>
      </c>
      <c r="P35" s="20" t="n">
        <v>0</v>
      </c>
      <c r="Q35" s="18" t="n">
        <v>1.40590784</v>
      </c>
      <c r="R35" s="20" t="n">
        <v>0.37015056</v>
      </c>
    </row>
    <row r="36" spans="1:18">
      <c r="A36" s="15" t="s">
        <v>594</v>
      </c>
      <c r="B36" s="17" t="n">
        <v>6736</v>
      </c>
      <c r="C36" s="18">
        <f>(5344.0/B36*100)</f>
        <v/>
      </c>
      <c r="D36" s="19" t="n">
        <v>1392</v>
      </c>
      <c r="E36" s="18" t="n">
        <v>48.310619</v>
      </c>
      <c r="F36" s="20" t="n">
        <v>1.60405278</v>
      </c>
      <c r="G36" s="18" t="n">
        <v>48.39407622</v>
      </c>
      <c r="H36" s="20" t="n">
        <v>1.66799138</v>
      </c>
      <c r="I36" s="18" t="n">
        <v>0</v>
      </c>
      <c r="J36" s="20" t="n">
        <v>0</v>
      </c>
      <c r="K36" s="18" t="n">
        <v>1.36482368</v>
      </c>
      <c r="L36" s="20" t="n">
        <v>0.37013536</v>
      </c>
      <c r="M36" s="18" t="n">
        <v>0</v>
      </c>
      <c r="N36" s="20" t="n">
        <v>0</v>
      </c>
      <c r="O36" s="18" t="n">
        <v>0</v>
      </c>
      <c r="P36" s="20" t="n">
        <v>0</v>
      </c>
      <c r="Q36" s="18" t="n">
        <v>1.9304811</v>
      </c>
      <c r="R36" s="20" t="n">
        <v>0.39243406</v>
      </c>
    </row>
    <row r="37" spans="1:18">
      <c r="A37" s="15" t="s">
        <v>595</v>
      </c>
      <c r="B37" s="17" t="n">
        <v>5458</v>
      </c>
      <c r="C37" s="18">
        <f>(4319.0/B37*100)</f>
        <v/>
      </c>
      <c r="D37" s="19" t="n">
        <v>1139</v>
      </c>
      <c r="E37" s="18" t="n">
        <v>53.89547387</v>
      </c>
      <c r="F37" s="20" t="n">
        <v>1.61744678</v>
      </c>
      <c r="G37" s="18" t="n">
        <v>38.33650834</v>
      </c>
      <c r="H37" s="20" t="n">
        <v>1.65981133</v>
      </c>
      <c r="I37" s="18" t="n">
        <v>0</v>
      </c>
      <c r="J37" s="20" t="n">
        <v>0</v>
      </c>
      <c r="K37" s="18" t="n">
        <v>4.96858574</v>
      </c>
      <c r="L37" s="20" t="n">
        <v>0.86685041</v>
      </c>
      <c r="M37" s="18" t="n">
        <v>0</v>
      </c>
      <c r="N37" s="20" t="n">
        <v>0</v>
      </c>
      <c r="O37" s="18" t="n">
        <v>0</v>
      </c>
      <c r="P37" s="20" t="n">
        <v>0</v>
      </c>
      <c r="Q37" s="18" t="n">
        <v>2.79943205</v>
      </c>
      <c r="R37" s="20" t="n">
        <v>0.51214436</v>
      </c>
    </row>
    <row r="38" spans="1:18">
      <c r="A38" s="15" t="s">
        <v>596</v>
      </c>
      <c r="B38" s="17" t="n">
        <v>5860</v>
      </c>
      <c r="C38" s="18">
        <f>(4582.0/B38*100)</f>
        <v/>
      </c>
      <c r="D38" s="19" t="n">
        <v>1278</v>
      </c>
      <c r="E38" s="18" t="n">
        <v>55.66803584</v>
      </c>
      <c r="F38" s="20" t="n">
        <v>1.5764311</v>
      </c>
      <c r="G38" s="18" t="n">
        <v>40.75667661</v>
      </c>
      <c r="H38" s="20" t="n">
        <v>1.63611064</v>
      </c>
      <c r="I38" s="18" t="n">
        <v>0</v>
      </c>
      <c r="J38" s="20" t="n">
        <v>0</v>
      </c>
      <c r="K38" s="18" t="n">
        <v>2.61418174</v>
      </c>
      <c r="L38" s="20" t="n">
        <v>0.57756464</v>
      </c>
      <c r="M38" s="18" t="n">
        <v>0</v>
      </c>
      <c r="N38" s="20" t="n">
        <v>0</v>
      </c>
      <c r="O38" s="18" t="n">
        <v>0</v>
      </c>
      <c r="P38" s="20" t="n">
        <v>0</v>
      </c>
      <c r="Q38" s="18" t="n">
        <v>0.9611058099999999</v>
      </c>
      <c r="R38" s="20" t="n">
        <v>0.2630219</v>
      </c>
    </row>
    <row r="39" spans="1:18">
      <c r="A39" s="15" t="s">
        <v>597</v>
      </c>
      <c r="B39" s="17" t="n">
        <v>5895</v>
      </c>
      <c r="C39" s="18">
        <f>(4595.0/B39*100)</f>
        <v/>
      </c>
      <c r="D39" s="19" t="n">
        <v>1300</v>
      </c>
      <c r="E39" s="18" t="n">
        <v>73.10296510000001</v>
      </c>
      <c r="F39" s="20" t="n">
        <v>1.42167615</v>
      </c>
      <c r="G39" s="18" t="n">
        <v>22.58973512</v>
      </c>
      <c r="H39" s="20" t="n">
        <v>1.39740029</v>
      </c>
      <c r="I39" s="18" t="n">
        <v>0</v>
      </c>
      <c r="J39" s="20" t="n">
        <v>0</v>
      </c>
      <c r="K39" s="18" t="n">
        <v>1.29412081</v>
      </c>
      <c r="L39" s="20" t="n">
        <v>0.28513845</v>
      </c>
      <c r="M39" s="18" t="n">
        <v>0</v>
      </c>
      <c r="N39" s="20" t="n">
        <v>0</v>
      </c>
      <c r="O39" s="18" t="n">
        <v>0</v>
      </c>
      <c r="P39" s="20" t="n">
        <v>0</v>
      </c>
      <c r="Q39" s="18" t="n">
        <v>3.01317897</v>
      </c>
      <c r="R39" s="20" t="n">
        <v>0.5302528399999999</v>
      </c>
    </row>
    <row r="40" spans="1:18">
      <c r="A40" s="15" t="s">
        <v>598</v>
      </c>
      <c r="B40" s="17" t="n">
        <v>14157</v>
      </c>
      <c r="C40" s="18">
        <f>(11005.0/B40*100)</f>
        <v/>
      </c>
      <c r="D40" s="19" t="n">
        <v>3152</v>
      </c>
      <c r="E40" s="18" t="n">
        <v>54.33462975</v>
      </c>
      <c r="F40" s="20" t="n">
        <v>1.40303106</v>
      </c>
      <c r="G40" s="18" t="n">
        <v>42.85775603</v>
      </c>
      <c r="H40" s="20" t="n">
        <v>1.49229583</v>
      </c>
      <c r="I40" s="18" t="n">
        <v>0</v>
      </c>
      <c r="J40" s="20" t="n">
        <v>0</v>
      </c>
      <c r="K40" s="18" t="n">
        <v>2.09051832</v>
      </c>
      <c r="L40" s="20" t="n">
        <v>0.42151737</v>
      </c>
      <c r="M40" s="18" t="n">
        <v>0</v>
      </c>
      <c r="N40" s="20" t="n">
        <v>0</v>
      </c>
      <c r="O40" s="18" t="n">
        <v>0</v>
      </c>
      <c r="P40" s="20" t="n">
        <v>0</v>
      </c>
      <c r="Q40" s="18" t="n">
        <v>0.7170959</v>
      </c>
      <c r="R40" s="20" t="n">
        <v>0.18742685</v>
      </c>
    </row>
    <row r="41" spans="1:18">
      <c r="A41" s="15" t="s">
        <v>599</v>
      </c>
      <c r="B41" s="17" t="n">
        <v>5712</v>
      </c>
      <c r="C41" s="18">
        <f>(4504.0/B41*100)</f>
        <v/>
      </c>
      <c r="D41" s="19" t="n">
        <v>1208</v>
      </c>
      <c r="E41" s="18" t="n">
        <v>51.23748955</v>
      </c>
      <c r="F41" s="20" t="n">
        <v>1.39666521</v>
      </c>
      <c r="G41" s="18" t="n">
        <v>46.96783167</v>
      </c>
      <c r="H41" s="20" t="n">
        <v>1.41849071</v>
      </c>
      <c r="I41" s="18" t="n">
        <v>0</v>
      </c>
      <c r="J41" s="20" t="n">
        <v>0</v>
      </c>
      <c r="K41" s="18" t="n">
        <v>0.81945956</v>
      </c>
      <c r="L41" s="20" t="n">
        <v>0.2498461</v>
      </c>
      <c r="M41" s="18" t="n">
        <v>0</v>
      </c>
      <c r="N41" s="20" t="n">
        <v>0</v>
      </c>
      <c r="O41" s="18" t="n">
        <v>0</v>
      </c>
      <c r="P41" s="20" t="n">
        <v>0</v>
      </c>
      <c r="Q41" s="18" t="n">
        <v>0.9752192200000001</v>
      </c>
      <c r="R41" s="20" t="n">
        <v>0.29578125</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(19718.0/B46*100)</f>
        <v/>
      </c>
      <c r="D46" s="19" t="n">
        <v>3423</v>
      </c>
      <c r="E46" s="18" t="n">
        <v>64.46098846</v>
      </c>
      <c r="F46" s="20" t="n">
        <v>1.23923965</v>
      </c>
      <c r="G46" s="18" t="n">
        <v>23.7479976</v>
      </c>
      <c r="H46" s="20" t="n">
        <v>1.1602759</v>
      </c>
      <c r="I46" s="18" t="n">
        <v>0</v>
      </c>
      <c r="J46" s="20" t="n">
        <v>0</v>
      </c>
      <c r="K46" s="18" t="n">
        <v>6.23852663</v>
      </c>
      <c r="L46" s="20" t="n">
        <v>0.64472953</v>
      </c>
      <c r="M46" s="18" t="n">
        <v>0</v>
      </c>
      <c r="N46" s="20" t="n">
        <v>0</v>
      </c>
      <c r="O46" s="18" t="n">
        <v>0</v>
      </c>
      <c r="P46" s="20" t="n">
        <v>0</v>
      </c>
      <c r="Q46" s="18" t="n">
        <v>5.55248732</v>
      </c>
      <c r="R46" s="20" t="n">
        <v>0.56067141</v>
      </c>
    </row>
    <row r="47" spans="1:18">
      <c r="A47" s="15" t="s">
        <v>606</v>
      </c>
      <c r="B47" s="17" t="n">
        <v>5928</v>
      </c>
      <c r="C47" s="18">
        <f>(4691.0/B47*100)</f>
        <v/>
      </c>
      <c r="D47" s="19" t="n">
        <v>1237</v>
      </c>
      <c r="E47" s="18" t="n">
        <v>63.20769978</v>
      </c>
      <c r="F47" s="20" t="n">
        <v>1.59259759</v>
      </c>
      <c r="G47" s="18" t="n">
        <v>31.34460954</v>
      </c>
      <c r="H47" s="20" t="n">
        <v>1.70353493</v>
      </c>
      <c r="I47" s="18" t="n">
        <v>0</v>
      </c>
      <c r="J47" s="20" t="n">
        <v>0</v>
      </c>
      <c r="K47" s="18" t="n">
        <v>3.22026964</v>
      </c>
      <c r="L47" s="20" t="n">
        <v>0.5220358899999999</v>
      </c>
      <c r="M47" s="18" t="n">
        <v>0</v>
      </c>
      <c r="N47" s="20" t="n">
        <v>0</v>
      </c>
      <c r="O47" s="18" t="n">
        <v>0</v>
      </c>
      <c r="P47" s="20" t="n">
        <v>0</v>
      </c>
      <c r="Q47" s="18" t="n">
        <v>2.22742104</v>
      </c>
      <c r="R47" s="20" t="n">
        <v>0.46754284</v>
      </c>
    </row>
    <row r="48" spans="1:18">
      <c r="A48" s="15" t="s">
        <v>607</v>
      </c>
      <c r="B48" s="17" t="n">
        <v>9841</v>
      </c>
      <c r="C48" s="18">
        <f>(7661.0/B48*100)</f>
        <v/>
      </c>
      <c r="D48" s="19" t="n">
        <v>2180</v>
      </c>
      <c r="E48" s="18" t="n">
        <v>55.81100989</v>
      </c>
      <c r="F48" s="20" t="n">
        <v>1.57616358</v>
      </c>
      <c r="G48" s="18" t="n">
        <v>40.82110929</v>
      </c>
      <c r="H48" s="20" t="n">
        <v>1.52387545</v>
      </c>
      <c r="I48" s="18" t="n">
        <v>0</v>
      </c>
      <c r="J48" s="20" t="n">
        <v>0</v>
      </c>
      <c r="K48" s="18" t="n">
        <v>1.97123066</v>
      </c>
      <c r="L48" s="20" t="n">
        <v>0.59511133</v>
      </c>
      <c r="M48" s="18" t="n">
        <v>0</v>
      </c>
      <c r="N48" s="20" t="n">
        <v>0</v>
      </c>
      <c r="O48" s="18" t="n">
        <v>0</v>
      </c>
      <c r="P48" s="20" t="n">
        <v>0</v>
      </c>
      <c r="Q48" s="18" t="n">
        <v>1.39665016</v>
      </c>
      <c r="R48" s="20" t="n">
        <v>0.34636685</v>
      </c>
    </row>
    <row r="49" spans="1:18">
      <c r="A49" s="15" t="s">
        <v>608</v>
      </c>
      <c r="B49" s="17" t="n">
        <v>11795</v>
      </c>
      <c r="C49" s="18">
        <f>(9360.0/B49*100)</f>
        <v/>
      </c>
      <c r="D49" s="19" t="n">
        <v>2435</v>
      </c>
      <c r="E49" s="18" t="n">
        <v>62.84900253</v>
      </c>
      <c r="F49" s="20" t="n">
        <v>1.38888475</v>
      </c>
      <c r="G49" s="18" t="n">
        <v>27.08115754</v>
      </c>
      <c r="H49" s="20" t="n">
        <v>1.41553101</v>
      </c>
      <c r="I49" s="18" t="n">
        <v>0</v>
      </c>
      <c r="J49" s="20" t="n">
        <v>0</v>
      </c>
      <c r="K49" s="18" t="n">
        <v>6.81025346</v>
      </c>
      <c r="L49" s="20" t="n">
        <v>0.86422802</v>
      </c>
      <c r="M49" s="18" t="n">
        <v>0</v>
      </c>
      <c r="N49" s="20" t="n">
        <v>0</v>
      </c>
      <c r="O49" s="18" t="n">
        <v>0</v>
      </c>
      <c r="P49" s="20" t="n">
        <v>0</v>
      </c>
      <c r="Q49" s="18" t="n">
        <v>3.25958647</v>
      </c>
      <c r="R49" s="20" t="n">
        <v>0.58946814</v>
      </c>
    </row>
    <row r="50" spans="1:18">
      <c r="A50" s="15" t="s">
        <v>609</v>
      </c>
      <c r="B50" s="17" t="n">
        <v>6866</v>
      </c>
      <c r="C50" s="18">
        <f>(5654.0/B50*100)</f>
        <v/>
      </c>
      <c r="D50" s="19" t="n">
        <v>1212</v>
      </c>
      <c r="E50" s="18" t="n">
        <v>65.37911866</v>
      </c>
      <c r="F50" s="20" t="n">
        <v>1.53891708</v>
      </c>
      <c r="G50" s="18" t="n">
        <v>28.48945603</v>
      </c>
      <c r="H50" s="20" t="n">
        <v>1.32861213</v>
      </c>
      <c r="I50" s="18" t="n">
        <v>0</v>
      </c>
      <c r="J50" s="20" t="n">
        <v>0</v>
      </c>
      <c r="K50" s="18" t="n">
        <v>3.37748705</v>
      </c>
      <c r="L50" s="20" t="n">
        <v>0.6959546</v>
      </c>
      <c r="M50" s="18" t="n">
        <v>0</v>
      </c>
      <c r="N50" s="20" t="n">
        <v>0</v>
      </c>
      <c r="O50" s="18" t="n">
        <v>0</v>
      </c>
      <c r="P50" s="20" t="n">
        <v>0</v>
      </c>
      <c r="Q50" s="18" t="n">
        <v>2.75393825</v>
      </c>
      <c r="R50" s="20" t="n">
        <v>0.45440743</v>
      </c>
    </row>
    <row r="51" spans="1:18">
      <c r="A51" s="15" t="s">
        <v>610</v>
      </c>
      <c r="B51" s="17" t="n">
        <v>5809</v>
      </c>
      <c r="C51" s="18">
        <f>(4540.0/B51*100)</f>
        <v/>
      </c>
      <c r="D51" s="19" t="n">
        <v>1269</v>
      </c>
      <c r="E51" s="18" t="n">
        <v>65.69411685999999</v>
      </c>
      <c r="F51" s="20" t="n">
        <v>1.41736539</v>
      </c>
      <c r="G51" s="18" t="n">
        <v>30.78260212</v>
      </c>
      <c r="H51" s="20" t="n">
        <v>1.47851768</v>
      </c>
      <c r="I51" s="18" t="n">
        <v>0</v>
      </c>
      <c r="J51" s="20" t="n">
        <v>0</v>
      </c>
      <c r="K51" s="18" t="n">
        <v>1.62826047</v>
      </c>
      <c r="L51" s="20" t="n">
        <v>0.31065457</v>
      </c>
      <c r="M51" s="18" t="n">
        <v>0</v>
      </c>
      <c r="N51" s="20" t="n">
        <v>0</v>
      </c>
      <c r="O51" s="18" t="n">
        <v>0</v>
      </c>
      <c r="P51" s="20" t="n">
        <v>0</v>
      </c>
      <c r="Q51" s="18" t="n">
        <v>1.89502055</v>
      </c>
      <c r="R51" s="20" t="n">
        <v>0.41440148</v>
      </c>
    </row>
    <row r="52" spans="1:18">
      <c r="A52" s="15" t="s">
        <v>611</v>
      </c>
      <c r="B52" s="17" t="n">
        <v>5571</v>
      </c>
      <c r="C52" s="18">
        <f>(4376.0/B52*100)</f>
        <v/>
      </c>
      <c r="D52" s="19" t="n">
        <v>1195</v>
      </c>
      <c r="E52" s="18" t="n">
        <v>67.60428055</v>
      </c>
      <c r="F52" s="20" t="n">
        <v>1.31843737</v>
      </c>
      <c r="G52" s="18" t="n">
        <v>27.0957126</v>
      </c>
      <c r="H52" s="20" t="n">
        <v>1.19163347</v>
      </c>
      <c r="I52" s="18" t="n">
        <v>0</v>
      </c>
      <c r="J52" s="20" t="n">
        <v>0</v>
      </c>
      <c r="K52" s="18" t="n">
        <v>2.97421045</v>
      </c>
      <c r="L52" s="20" t="n">
        <v>0.54580253</v>
      </c>
      <c r="M52" s="18" t="n">
        <v>0</v>
      </c>
      <c r="N52" s="20" t="n">
        <v>0</v>
      </c>
      <c r="O52" s="18" t="n">
        <v>0</v>
      </c>
      <c r="P52" s="20" t="n">
        <v>0</v>
      </c>
      <c r="Q52" s="18" t="n">
        <v>2.32579639</v>
      </c>
      <c r="R52" s="20" t="n">
        <v>0.44297673</v>
      </c>
    </row>
    <row r="53" spans="1:18">
      <c r="A53" s="15" t="s">
        <v>612</v>
      </c>
      <c r="B53" s="17" t="n">
        <v>4740</v>
      </c>
      <c r="C53" s="18">
        <f>(3731.0/B53*100)</f>
        <v/>
      </c>
      <c r="D53" s="19" t="n">
        <v>1009</v>
      </c>
      <c r="E53" s="18" t="n">
        <v>50.61206659</v>
      </c>
      <c r="F53" s="20" t="n">
        <v>1.71731431</v>
      </c>
      <c r="G53" s="18" t="n">
        <v>10.72807599</v>
      </c>
      <c r="H53" s="20" t="n">
        <v>1.00986919</v>
      </c>
      <c r="I53" s="18" t="n">
        <v>0</v>
      </c>
      <c r="J53" s="20" t="n">
        <v>0</v>
      </c>
      <c r="K53" s="18" t="n">
        <v>28.88468566</v>
      </c>
      <c r="L53" s="20" t="n">
        <v>1.83002459</v>
      </c>
      <c r="M53" s="18" t="n">
        <v>0</v>
      </c>
      <c r="N53" s="20" t="n">
        <v>0</v>
      </c>
      <c r="O53" s="18" t="n">
        <v>0</v>
      </c>
      <c r="P53" s="20" t="n">
        <v>0</v>
      </c>
      <c r="Q53" s="18" t="n">
        <v>9.775171759999999</v>
      </c>
      <c r="R53" s="20" t="n">
        <v>1.27595097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(4217.0/B55*100)</f>
        <v/>
      </c>
      <c r="D55" s="19" t="n">
        <v>1142</v>
      </c>
      <c r="E55" s="18" t="n">
        <v>64.16388478</v>
      </c>
      <c r="F55" s="20" t="n">
        <v>1.39570002</v>
      </c>
      <c r="G55" s="18" t="n">
        <v>34.42362696</v>
      </c>
      <c r="H55" s="20" t="n">
        <v>1.37143899</v>
      </c>
      <c r="I55" s="18" t="n">
        <v>0</v>
      </c>
      <c r="J55" s="20" t="n">
        <v>0</v>
      </c>
      <c r="K55" s="18" t="n">
        <v>0.88443633</v>
      </c>
      <c r="L55" s="20" t="n">
        <v>0.27977075</v>
      </c>
      <c r="M55" s="18" t="n">
        <v>0</v>
      </c>
      <c r="N55" s="20" t="n">
        <v>0</v>
      </c>
      <c r="O55" s="18" t="n">
        <v>0</v>
      </c>
      <c r="P55" s="20" t="n">
        <v>0</v>
      </c>
      <c r="Q55" s="18" t="n">
        <v>0.5280519299999999</v>
      </c>
      <c r="R55" s="20" t="n">
        <v>0.21756322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(5089.0/B61*100)</f>
        <v/>
      </c>
      <c r="D61" s="19" t="n">
        <v>1436</v>
      </c>
      <c r="E61" s="18" t="n">
        <v>70.70533041</v>
      </c>
      <c r="F61" s="20" t="n">
        <v>1.54869663</v>
      </c>
      <c r="G61" s="18" t="n">
        <v>26.61771499</v>
      </c>
      <c r="H61" s="20" t="n">
        <v>1.42763168</v>
      </c>
      <c r="I61" s="18" t="n">
        <v>0</v>
      </c>
      <c r="J61" s="20" t="n">
        <v>0</v>
      </c>
      <c r="K61" s="18" t="n">
        <v>1.21262633</v>
      </c>
      <c r="L61" s="20" t="n">
        <v>0.32559078</v>
      </c>
      <c r="M61" s="18" t="n">
        <v>0</v>
      </c>
      <c r="N61" s="20" t="n">
        <v>0</v>
      </c>
      <c r="O61" s="18" t="n">
        <v>0</v>
      </c>
      <c r="P61" s="20" t="n">
        <v>0</v>
      </c>
      <c r="Q61" s="18" t="n">
        <v>1.46432827</v>
      </c>
      <c r="R61" s="20" t="n">
        <v>0.33385067</v>
      </c>
    </row>
    <row r="62" spans="1:18">
      <c r="A62" s="15" t="s">
        <v>622</v>
      </c>
      <c r="B62" s="17" t="n">
        <v>4476</v>
      </c>
      <c r="C62" s="18">
        <f>(3540.0/B62*100)</f>
        <v/>
      </c>
      <c r="D62" s="19" t="n">
        <v>936</v>
      </c>
      <c r="E62" s="18" t="n">
        <v>60.07281726</v>
      </c>
      <c r="F62" s="20" t="n">
        <v>1.60696966</v>
      </c>
      <c r="G62" s="18" t="n">
        <v>38.74860595</v>
      </c>
      <c r="H62" s="20" t="n">
        <v>1.60572542</v>
      </c>
      <c r="I62" s="18" t="n">
        <v>0</v>
      </c>
      <c r="J62" s="20" t="n">
        <v>0</v>
      </c>
      <c r="K62" s="18" t="n">
        <v>0</v>
      </c>
      <c r="L62" s="20" t="n">
        <v>0</v>
      </c>
      <c r="M62" s="18" t="n">
        <v>0</v>
      </c>
      <c r="N62" s="20" t="n">
        <v>0</v>
      </c>
      <c r="O62" s="18" t="n">
        <v>0</v>
      </c>
      <c r="P62" s="20" t="n">
        <v>0</v>
      </c>
      <c r="Q62" s="18" t="n">
        <v>1.17857679</v>
      </c>
      <c r="R62" s="20" t="n">
        <v>0.35418606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(4511.0/B67*100)</f>
        <v/>
      </c>
      <c r="D67" s="19" t="n">
        <v>1154</v>
      </c>
      <c r="E67" s="18" t="n">
        <v>62.29209024</v>
      </c>
      <c r="F67" s="20" t="n">
        <v>1.47875932</v>
      </c>
      <c r="G67" s="18" t="n">
        <v>24.83904199</v>
      </c>
      <c r="H67" s="20" t="n">
        <v>1.09369426</v>
      </c>
      <c r="I67" s="18" t="n">
        <v>0</v>
      </c>
      <c r="J67" s="20" t="n">
        <v>0</v>
      </c>
      <c r="K67" s="18" t="n">
        <v>7.30179186</v>
      </c>
      <c r="L67" s="20" t="n">
        <v>0.81933996</v>
      </c>
      <c r="M67" s="18" t="n">
        <v>0</v>
      </c>
      <c r="N67" s="20" t="n">
        <v>0</v>
      </c>
      <c r="O67" s="18" t="n">
        <v>0</v>
      </c>
      <c r="P67" s="20" t="n">
        <v>0</v>
      </c>
      <c r="Q67" s="18" t="n">
        <v>5.56707591</v>
      </c>
      <c r="R67" s="20" t="n">
        <v>0.68286284</v>
      </c>
    </row>
    <row r="68" spans="1:18">
      <c r="A68" s="15" t="s">
        <v>628</v>
      </c>
      <c r="B68" s="17" t="n">
        <v>6971</v>
      </c>
      <c r="C68" s="18">
        <f>(5792.0/B68*100)</f>
        <v/>
      </c>
      <c r="D68" s="19" t="n">
        <v>1179</v>
      </c>
      <c r="E68" s="18" t="n">
        <v>63.91428516</v>
      </c>
      <c r="F68" s="20" t="n">
        <v>1.60918729</v>
      </c>
      <c r="G68" s="18" t="n">
        <v>28.07693238</v>
      </c>
      <c r="H68" s="20" t="n">
        <v>1.49938771</v>
      </c>
      <c r="I68" s="18" t="n">
        <v>0</v>
      </c>
      <c r="J68" s="20" t="n">
        <v>0</v>
      </c>
      <c r="K68" s="18" t="n">
        <v>2.42138033</v>
      </c>
      <c r="L68" s="20" t="n">
        <v>0.61115257</v>
      </c>
      <c r="M68" s="18" t="n">
        <v>0</v>
      </c>
      <c r="N68" s="20" t="n">
        <v>0</v>
      </c>
      <c r="O68" s="18" t="n">
        <v>0</v>
      </c>
      <c r="P68" s="20" t="n">
        <v>0</v>
      </c>
      <c r="Q68" s="18" t="n">
        <v>5.58740213</v>
      </c>
      <c r="R68" s="20" t="n">
        <v>0.66461613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(9455.0/B70*100)</f>
        <v/>
      </c>
      <c r="D70" s="19" t="n">
        <v>2628</v>
      </c>
      <c r="E70" s="18" t="n">
        <v>61.27297507</v>
      </c>
      <c r="F70" s="20" t="n">
        <v>0.96319155</v>
      </c>
      <c r="G70" s="18" t="n">
        <v>28.44221293</v>
      </c>
      <c r="H70" s="20" t="n">
        <v>0.8938782199999999</v>
      </c>
      <c r="I70" s="18" t="n">
        <v>0</v>
      </c>
      <c r="J70" s="20" t="n">
        <v>0</v>
      </c>
      <c r="K70" s="18" t="n">
        <v>8.27758043</v>
      </c>
      <c r="L70" s="20" t="n">
        <v>0.61945583</v>
      </c>
      <c r="M70" s="18" t="n">
        <v>0</v>
      </c>
      <c r="N70" s="20" t="n">
        <v>0</v>
      </c>
      <c r="O70" s="18" t="n">
        <v>0</v>
      </c>
      <c r="P70" s="20" t="n">
        <v>0</v>
      </c>
      <c r="Q70" s="18" t="n">
        <v>2.00723157</v>
      </c>
      <c r="R70" s="20" t="n">
        <v>0.28220779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(4777.0/B72*100)</f>
        <v/>
      </c>
      <c r="D72" s="19" t="n">
        <v>1259</v>
      </c>
      <c r="E72" s="18" t="n">
        <v>67.76015291</v>
      </c>
      <c r="F72" s="20" t="n">
        <v>1.94754122</v>
      </c>
      <c r="G72" s="18" t="n">
        <v>29.30673537</v>
      </c>
      <c r="H72" s="20" t="n">
        <v>1.96609594</v>
      </c>
      <c r="I72" s="18" t="n">
        <v>0</v>
      </c>
      <c r="J72" s="20" t="n">
        <v>0</v>
      </c>
      <c r="K72" s="18" t="n">
        <v>1.68617156</v>
      </c>
      <c r="L72" s="20" t="n">
        <v>0.36513467</v>
      </c>
      <c r="M72" s="18" t="n">
        <v>0</v>
      </c>
      <c r="N72" s="20" t="n">
        <v>0</v>
      </c>
      <c r="O72" s="18" t="n">
        <v>0</v>
      </c>
      <c r="P72" s="20" t="n">
        <v>0</v>
      </c>
      <c r="Q72" s="18" t="n">
        <v>1.24694016</v>
      </c>
      <c r="R72" s="20" t="n">
        <v>0.28988449</v>
      </c>
    </row>
    <row r="73" spans="1:18">
      <c r="A73" s="15" t="s">
        <v>633</v>
      </c>
      <c r="B73" s="17" t="n">
        <v>6115</v>
      </c>
      <c r="C73" s="18">
        <f>(4748.0/B73*100)</f>
        <v/>
      </c>
      <c r="D73" s="19" t="n">
        <v>1367</v>
      </c>
      <c r="E73" s="18" t="n">
        <v>37.79328222</v>
      </c>
      <c r="F73" s="20" t="n">
        <v>1.17360806</v>
      </c>
      <c r="G73" s="18" t="n">
        <v>60.44269808</v>
      </c>
      <c r="H73" s="20" t="n">
        <v>1.16024829</v>
      </c>
      <c r="I73" s="18" t="n">
        <v>0</v>
      </c>
      <c r="J73" s="20" t="n">
        <v>0</v>
      </c>
      <c r="K73" s="18" t="n">
        <v>0.98268951</v>
      </c>
      <c r="L73" s="20" t="n">
        <v>0.25141047</v>
      </c>
      <c r="M73" s="18" t="n">
        <v>0</v>
      </c>
      <c r="N73" s="20" t="n">
        <v>0</v>
      </c>
      <c r="O73" s="18" t="n">
        <v>0</v>
      </c>
      <c r="P73" s="20" t="n">
        <v>0</v>
      </c>
      <c r="Q73" s="18" t="n">
        <v>0.78133019</v>
      </c>
      <c r="R73" s="20" t="n">
        <v>0.25218045</v>
      </c>
    </row>
    <row r="74" spans="1:18">
      <c r="A74" s="15" t="s">
        <v>634</v>
      </c>
      <c r="B74" s="17" t="n">
        <v>7708</v>
      </c>
      <c r="C74" s="18">
        <f>(5962.0/B74*100)</f>
        <v/>
      </c>
      <c r="D74" s="19" t="n">
        <v>1746</v>
      </c>
      <c r="E74" s="18" t="n">
        <v>53.28713244</v>
      </c>
      <c r="F74" s="20" t="n">
        <v>1.41115346</v>
      </c>
      <c r="G74" s="18" t="n">
        <v>45.84930508</v>
      </c>
      <c r="H74" s="20" t="n">
        <v>1.3943475</v>
      </c>
      <c r="I74" s="18" t="n">
        <v>0</v>
      </c>
      <c r="J74" s="20" t="n">
        <v>0</v>
      </c>
      <c r="K74" s="18" t="n">
        <v>0.61927595</v>
      </c>
      <c r="L74" s="20" t="n">
        <v>0.18562227</v>
      </c>
      <c r="M74" s="18" t="n">
        <v>0</v>
      </c>
      <c r="N74" s="20" t="n">
        <v>0</v>
      </c>
      <c r="O74" s="18" t="n">
        <v>0</v>
      </c>
      <c r="P74" s="20" t="n">
        <v>0</v>
      </c>
      <c r="Q74" s="18" t="n">
        <v>0.24428653</v>
      </c>
      <c r="R74" s="20" t="n">
        <v>0.11866116</v>
      </c>
    </row>
    <row r="75" spans="1:18">
      <c r="A75" s="15" t="s">
        <v>635</v>
      </c>
      <c r="B75" s="17" t="n">
        <v>8249</v>
      </c>
      <c r="C75" s="18">
        <f>(6581.0/B75*100)</f>
        <v/>
      </c>
      <c r="D75" s="19" t="n">
        <v>1668</v>
      </c>
      <c r="E75" s="18" t="n">
        <v>71.27516457</v>
      </c>
      <c r="F75" s="20" t="n">
        <v>1.32414942</v>
      </c>
      <c r="G75" s="18" t="n">
        <v>26.78319718</v>
      </c>
      <c r="H75" s="20" t="n">
        <v>1.27020014</v>
      </c>
      <c r="I75" s="18" t="n">
        <v>0</v>
      </c>
      <c r="J75" s="20" t="n">
        <v>0</v>
      </c>
      <c r="K75" s="18" t="n">
        <v>0.56566433</v>
      </c>
      <c r="L75" s="20" t="n">
        <v>0.16907032</v>
      </c>
      <c r="M75" s="18" t="n">
        <v>0</v>
      </c>
      <c r="N75" s="20" t="n">
        <v>0</v>
      </c>
      <c r="O75" s="18" t="n">
        <v>0</v>
      </c>
      <c r="P75" s="20" t="n">
        <v>0</v>
      </c>
      <c r="Q75" s="18" t="n">
        <v>1.37597392</v>
      </c>
      <c r="R75" s="20" t="n">
        <v>0.36788633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(4363.0/B77*100)</f>
        <v/>
      </c>
      <c r="D77" s="19" t="n">
        <v>1012</v>
      </c>
      <c r="E77" s="18" t="n">
        <v>69.77472856999999</v>
      </c>
      <c r="F77" s="20" t="n">
        <v>1.50286349</v>
      </c>
      <c r="G77" s="18" t="n">
        <v>16.76009899</v>
      </c>
      <c r="H77" s="20" t="n">
        <v>1.1245861</v>
      </c>
      <c r="I77" s="18" t="n">
        <v>0</v>
      </c>
      <c r="J77" s="20" t="n">
        <v>0</v>
      </c>
      <c r="K77" s="18" t="n">
        <v>9.28911166</v>
      </c>
      <c r="L77" s="20" t="n">
        <v>1.16822118</v>
      </c>
      <c r="M77" s="18" t="n">
        <v>0</v>
      </c>
      <c r="N77" s="20" t="n">
        <v>0</v>
      </c>
      <c r="O77" s="18" t="n">
        <v>0</v>
      </c>
      <c r="P77" s="20" t="n">
        <v>0</v>
      </c>
      <c r="Q77" s="18" t="n">
        <v>4.17606078</v>
      </c>
      <c r="R77" s="20" t="n">
        <v>0.73034361</v>
      </c>
    </row>
    <row r="78" spans="1:18">
      <c r="A78" s="15" t="s">
        <v>638</v>
      </c>
      <c r="B78" s="17" t="n">
        <v>14167</v>
      </c>
      <c r="C78" s="18">
        <f>(11079.0/B78*100)</f>
        <v/>
      </c>
      <c r="D78" s="19" t="n">
        <v>3088</v>
      </c>
      <c r="E78" s="18" t="n">
        <v>59.74654667</v>
      </c>
      <c r="F78" s="20" t="n">
        <v>1.0771972</v>
      </c>
      <c r="G78" s="18" t="n">
        <v>35.44859797</v>
      </c>
      <c r="H78" s="20" t="n">
        <v>1.02126684</v>
      </c>
      <c r="I78" s="18" t="n">
        <v>0</v>
      </c>
      <c r="J78" s="20" t="n">
        <v>0</v>
      </c>
      <c r="K78" s="18" t="n">
        <v>2.7005279</v>
      </c>
      <c r="L78" s="20" t="n">
        <v>0.33708915</v>
      </c>
      <c r="M78" s="18" t="n">
        <v>0</v>
      </c>
      <c r="N78" s="20" t="n">
        <v>0</v>
      </c>
      <c r="O78" s="18" t="n">
        <v>0</v>
      </c>
      <c r="P78" s="20" t="n">
        <v>0</v>
      </c>
      <c r="Q78" s="18" t="n">
        <v>2.10432746</v>
      </c>
      <c r="R78" s="20" t="n">
        <v>0.5226277499999999</v>
      </c>
    </row>
    <row r="79" spans="1:18">
      <c r="A79" s="15" t="s">
        <v>639</v>
      </c>
      <c r="B79" s="17" t="n">
        <v>6062</v>
      </c>
      <c r="C79" s="18">
        <f>(4823.0/B79*100)</f>
        <v/>
      </c>
      <c r="D79" s="19" t="n">
        <v>1239</v>
      </c>
      <c r="E79" s="18" t="n">
        <v>62.0518251</v>
      </c>
      <c r="F79" s="20" t="n">
        <v>1.61327242</v>
      </c>
      <c r="G79" s="18" t="n">
        <v>26.5292392</v>
      </c>
      <c r="H79" s="20" t="n">
        <v>1.40544296</v>
      </c>
      <c r="I79" s="18" t="n">
        <v>0</v>
      </c>
      <c r="J79" s="20" t="n">
        <v>0</v>
      </c>
      <c r="K79" s="18" t="n">
        <v>6.18380315</v>
      </c>
      <c r="L79" s="20" t="n">
        <v>0.78955672</v>
      </c>
      <c r="M79" s="18" t="n">
        <v>0</v>
      </c>
      <c r="N79" s="20" t="n">
        <v>0</v>
      </c>
      <c r="O79" s="18" t="n">
        <v>0</v>
      </c>
      <c r="P79" s="20" t="n">
        <v>0</v>
      </c>
      <c r="Q79" s="18" t="n">
        <v>5.23513255</v>
      </c>
      <c r="R79" s="20" t="n">
        <v>0.74866458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(25486.0/B82*100)</f>
        <v/>
      </c>
      <c r="D82" s="19" t="n">
        <v>6844</v>
      </c>
      <c r="E82" s="18" t="n">
        <v>49.5395776</v>
      </c>
      <c r="F82" s="20" t="n">
        <v>1.04069809</v>
      </c>
      <c r="G82" s="18" t="n">
        <v>47.36469085</v>
      </c>
      <c r="H82" s="20" t="n">
        <v>1.06117932</v>
      </c>
      <c r="I82" s="18" t="n">
        <v>0</v>
      </c>
      <c r="J82" s="20" t="n">
        <v>0</v>
      </c>
      <c r="K82" s="18" t="n">
        <v>1.33705023</v>
      </c>
      <c r="L82" s="20" t="n">
        <v>0.21274108</v>
      </c>
      <c r="M82" s="18" t="n">
        <v>0</v>
      </c>
      <c r="N82" s="20" t="n">
        <v>0</v>
      </c>
      <c r="O82" s="18" t="n">
        <v>0</v>
      </c>
      <c r="P82" s="20" t="n">
        <v>0</v>
      </c>
      <c r="Q82" s="18" t="n">
        <v>1.75868133</v>
      </c>
      <c r="R82" s="20" t="n">
        <v>0.20915964</v>
      </c>
    </row>
    <row r="83" spans="1:18">
      <c r="A83" s="15" t="s">
        <v>643</v>
      </c>
      <c r="B83" s="17" t="n">
        <v>1652</v>
      </c>
      <c r="C83" s="18">
        <f>(1305.0/B83*100)</f>
        <v/>
      </c>
      <c r="D83" s="19" t="n">
        <v>347</v>
      </c>
      <c r="E83" s="18" t="n">
        <v>46.85648427</v>
      </c>
      <c r="F83" s="20" t="n">
        <v>2.72493312</v>
      </c>
      <c r="G83" s="18" t="n">
        <v>51.00589293</v>
      </c>
      <c r="H83" s="20" t="n">
        <v>2.98876393</v>
      </c>
      <c r="I83" s="18" t="n">
        <v>0</v>
      </c>
      <c r="J83" s="20" t="n">
        <v>0</v>
      </c>
      <c r="K83" s="18" t="n">
        <v>0.53678422</v>
      </c>
      <c r="L83" s="20" t="n">
        <v>0.38264627</v>
      </c>
      <c r="M83" s="18" t="n">
        <v>0</v>
      </c>
      <c r="N83" s="20" t="n">
        <v>0</v>
      </c>
      <c r="O83" s="18" t="n">
        <v>0</v>
      </c>
      <c r="P83" s="20" t="n">
        <v>0</v>
      </c>
      <c r="Q83" s="18" t="n">
        <v>1.60083858</v>
      </c>
      <c r="R83" s="20" t="n">
        <v>0.67507302</v>
      </c>
    </row>
    <row r="84" spans="1:18">
      <c r="A84" s="23" t="s">
        <v>644</v>
      </c>
      <c r="B84" s="24" t="n">
        <v>1887</v>
      </c>
      <c r="C84" s="25">
        <f>(1487.0/B84*100)</f>
        <v/>
      </c>
      <c r="D84" s="19" t="n">
        <v>400</v>
      </c>
      <c r="E84" s="18" t="n">
        <v>50.72521216</v>
      </c>
      <c r="F84" s="20" t="n">
        <v>2.80381042</v>
      </c>
      <c r="G84" s="18" t="n">
        <v>48.7356858</v>
      </c>
      <c r="H84" s="20" t="n">
        <v>2.92917364</v>
      </c>
      <c r="I84" s="18" t="n">
        <v>0</v>
      </c>
      <c r="J84" s="20" t="n">
        <v>0</v>
      </c>
      <c r="K84" s="18" t="n">
        <v>0.28272849</v>
      </c>
      <c r="L84" s="20" t="n">
        <v>0.28191673</v>
      </c>
      <c r="M84" s="18" t="n">
        <v>0</v>
      </c>
      <c r="N84" s="20" t="n">
        <v>0</v>
      </c>
      <c r="O84" s="18" t="n">
        <v>0</v>
      </c>
      <c r="P84" s="20" t="n">
        <v>0</v>
      </c>
      <c r="Q84" s="18" t="n">
        <v>0.25637354</v>
      </c>
      <c r="R84" s="20" t="n">
        <v>0.25674171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(11532.0/B7*100)</f>
        <v/>
      </c>
      <c r="D7" s="19" t="n">
        <v>2998</v>
      </c>
      <c r="E7" s="18" t="n">
        <v>34.77529179</v>
      </c>
      <c r="F7" s="20" t="n">
        <v>1.0158151</v>
      </c>
      <c r="G7" s="18" t="n">
        <v>61.97348844</v>
      </c>
      <c r="H7" s="20" t="n">
        <v>1.09574961</v>
      </c>
      <c r="I7" s="18" t="n">
        <v>0</v>
      </c>
      <c r="J7" s="20" t="n">
        <v>0</v>
      </c>
      <c r="K7" s="18" t="n">
        <v>2.87597857</v>
      </c>
      <c r="L7" s="20" t="n">
        <v>0.35171316</v>
      </c>
      <c r="M7" s="18" t="n">
        <v>0</v>
      </c>
      <c r="N7" s="20" t="n">
        <v>0</v>
      </c>
      <c r="O7" s="18" t="n">
        <v>0</v>
      </c>
      <c r="P7" s="20" t="n">
        <v>0</v>
      </c>
      <c r="Q7" s="18" t="n">
        <v>0.37524121</v>
      </c>
      <c r="R7" s="20" t="n">
        <v>0.12812254</v>
      </c>
    </row>
    <row r="8" spans="1:18">
      <c r="A8" s="15" t="s">
        <v>566</v>
      </c>
      <c r="B8" s="17" t="n">
        <v>7007</v>
      </c>
      <c r="C8" s="18">
        <f>(5496.0/B8*100)</f>
        <v/>
      </c>
      <c r="D8" s="19" t="n">
        <v>1511</v>
      </c>
      <c r="E8" s="18" t="n">
        <v>38.00804321</v>
      </c>
      <c r="F8" s="20" t="n">
        <v>1.51262757</v>
      </c>
      <c r="G8" s="18" t="n">
        <v>59.91702738</v>
      </c>
      <c r="H8" s="20" t="n">
        <v>1.47557405</v>
      </c>
      <c r="I8" s="18" t="n">
        <v>0</v>
      </c>
      <c r="J8" s="20" t="n">
        <v>0</v>
      </c>
      <c r="K8" s="18" t="n">
        <v>1.79826838</v>
      </c>
      <c r="L8" s="20" t="n">
        <v>0.38639602</v>
      </c>
      <c r="M8" s="18" t="n">
        <v>0</v>
      </c>
      <c r="N8" s="20" t="n">
        <v>0</v>
      </c>
      <c r="O8" s="18" t="n">
        <v>0</v>
      </c>
      <c r="P8" s="20" t="n">
        <v>0</v>
      </c>
      <c r="Q8" s="18" t="n">
        <v>0.27666104</v>
      </c>
      <c r="R8" s="20" t="n">
        <v>0.1112842</v>
      </c>
    </row>
    <row r="9" spans="1:18">
      <c r="A9" s="15" t="s">
        <v>567</v>
      </c>
      <c r="B9" s="17" t="n">
        <v>9651</v>
      </c>
      <c r="C9" s="18">
        <f>(7715.0/B9*100)</f>
        <v/>
      </c>
      <c r="D9" s="19" t="n">
        <v>1936</v>
      </c>
      <c r="E9" s="18" t="n">
        <v>39.04564854</v>
      </c>
      <c r="F9" s="20" t="n">
        <v>1.34869149</v>
      </c>
      <c r="G9" s="18" t="n">
        <v>57.03764314</v>
      </c>
      <c r="H9" s="20" t="n">
        <v>1.35725932</v>
      </c>
      <c r="I9" s="18" t="n">
        <v>0</v>
      </c>
      <c r="J9" s="20" t="n">
        <v>0</v>
      </c>
      <c r="K9" s="18" t="n">
        <v>3.51060714</v>
      </c>
      <c r="L9" s="20" t="n">
        <v>0.46661433</v>
      </c>
      <c r="M9" s="18" t="n">
        <v>0</v>
      </c>
      <c r="N9" s="20" t="n">
        <v>0</v>
      </c>
      <c r="O9" s="18" t="n">
        <v>0</v>
      </c>
      <c r="P9" s="20" t="n">
        <v>0</v>
      </c>
      <c r="Q9" s="18" t="n">
        <v>0.40610118</v>
      </c>
      <c r="R9" s="20" t="n">
        <v>0.15282972</v>
      </c>
    </row>
    <row r="10" spans="1:18">
      <c r="A10" s="15" t="s">
        <v>568</v>
      </c>
      <c r="B10" s="17" t="n">
        <v>20058</v>
      </c>
      <c r="C10" s="18">
        <f>(15790.0/B10*100)</f>
        <v/>
      </c>
      <c r="D10" s="19" t="n">
        <v>4268</v>
      </c>
      <c r="E10" s="18" t="n">
        <v>33.50261866</v>
      </c>
      <c r="F10" s="20" t="n">
        <v>0.8346755300000001</v>
      </c>
      <c r="G10" s="18" t="n">
        <v>63.63336928</v>
      </c>
      <c r="H10" s="20" t="n">
        <v>0.94313567</v>
      </c>
      <c r="I10" s="18" t="n">
        <v>0</v>
      </c>
      <c r="J10" s="20" t="n">
        <v>0</v>
      </c>
      <c r="K10" s="18" t="n">
        <v>2.41427707</v>
      </c>
      <c r="L10" s="20" t="n">
        <v>0.44049136</v>
      </c>
      <c r="M10" s="18" t="n">
        <v>0</v>
      </c>
      <c r="N10" s="20" t="n">
        <v>0</v>
      </c>
      <c r="O10" s="18" t="n">
        <v>0</v>
      </c>
      <c r="P10" s="20" t="n">
        <v>0</v>
      </c>
      <c r="Q10" s="18" t="n">
        <v>0.44973499</v>
      </c>
      <c r="R10" s="20" t="n">
        <v>0.10459614</v>
      </c>
    </row>
    <row r="11" spans="1:18">
      <c r="A11" s="15" t="s">
        <v>569</v>
      </c>
      <c r="B11" s="17" t="n">
        <v>7053</v>
      </c>
      <c r="C11" s="18">
        <f>(5645.0/B11*100)</f>
        <v/>
      </c>
      <c r="D11" s="19" t="n">
        <v>1408</v>
      </c>
      <c r="E11" s="18" t="n">
        <v>34.59864835</v>
      </c>
      <c r="F11" s="20" t="n">
        <v>1.59060698</v>
      </c>
      <c r="G11" s="18" t="n">
        <v>56.35329509</v>
      </c>
      <c r="H11" s="20" t="n">
        <v>1.66464502</v>
      </c>
      <c r="I11" s="18" t="n">
        <v>0</v>
      </c>
      <c r="J11" s="20" t="n">
        <v>0</v>
      </c>
      <c r="K11" s="18" t="n">
        <v>7.50629284</v>
      </c>
      <c r="L11" s="20" t="n">
        <v>0.60809601</v>
      </c>
      <c r="M11" s="18" t="n">
        <v>0</v>
      </c>
      <c r="N11" s="20" t="n">
        <v>0</v>
      </c>
      <c r="O11" s="18" t="n">
        <v>0</v>
      </c>
      <c r="P11" s="20" t="n">
        <v>0</v>
      </c>
      <c r="Q11" s="18" t="n">
        <v>1.54176372</v>
      </c>
      <c r="R11" s="20" t="n">
        <v>0.47483803</v>
      </c>
    </row>
    <row r="12" spans="1:18">
      <c r="A12" s="15" t="s">
        <v>570</v>
      </c>
      <c r="B12" s="17" t="n">
        <v>6894</v>
      </c>
      <c r="C12" s="18">
        <f>(5455.0/B12*100)</f>
        <v/>
      </c>
      <c r="D12" s="19" t="n">
        <v>1439</v>
      </c>
      <c r="E12" s="18" t="n">
        <v>40.67583579</v>
      </c>
      <c r="F12" s="20" t="n">
        <v>1.55000133</v>
      </c>
      <c r="G12" s="18" t="n">
        <v>56.75625929</v>
      </c>
      <c r="H12" s="20" t="n">
        <v>1.59086565</v>
      </c>
      <c r="I12" s="18" t="n">
        <v>0</v>
      </c>
      <c r="J12" s="20" t="n">
        <v>0</v>
      </c>
      <c r="K12" s="18" t="n">
        <v>2.08979739</v>
      </c>
      <c r="L12" s="20" t="n">
        <v>0.51465371</v>
      </c>
      <c r="M12" s="18" t="n">
        <v>0</v>
      </c>
      <c r="N12" s="20" t="n">
        <v>0</v>
      </c>
      <c r="O12" s="18" t="n">
        <v>0</v>
      </c>
      <c r="P12" s="20" t="n">
        <v>0</v>
      </c>
      <c r="Q12" s="18" t="n">
        <v>0.47810754</v>
      </c>
      <c r="R12" s="20" t="n">
        <v>0.15598549</v>
      </c>
    </row>
    <row r="13" spans="1:18">
      <c r="A13" s="15" t="s">
        <v>571</v>
      </c>
      <c r="B13" s="17" t="n">
        <v>7161</v>
      </c>
      <c r="C13" s="18">
        <f>(5713.0/B13*100)</f>
        <v/>
      </c>
      <c r="D13" s="19" t="n">
        <v>1448</v>
      </c>
      <c r="E13" s="18" t="n">
        <v>44.1306988</v>
      </c>
      <c r="F13" s="20" t="n">
        <v>1.70880209</v>
      </c>
      <c r="G13" s="18" t="n">
        <v>53.19300787</v>
      </c>
      <c r="H13" s="20" t="n">
        <v>1.76750835</v>
      </c>
      <c r="I13" s="18" t="n">
        <v>0</v>
      </c>
      <c r="J13" s="20" t="n">
        <v>0</v>
      </c>
      <c r="K13" s="18" t="n">
        <v>2.36842008</v>
      </c>
      <c r="L13" s="20" t="n">
        <v>0.52325556</v>
      </c>
      <c r="M13" s="18" t="n">
        <v>0</v>
      </c>
      <c r="N13" s="20" t="n">
        <v>0</v>
      </c>
      <c r="O13" s="18" t="n">
        <v>0</v>
      </c>
      <c r="P13" s="20" t="n">
        <v>0</v>
      </c>
      <c r="Q13" s="18" t="n">
        <v>0.30787325</v>
      </c>
      <c r="R13" s="20" t="n">
        <v>0.17197818</v>
      </c>
    </row>
    <row r="14" spans="1:18">
      <c r="A14" s="15" t="s">
        <v>572</v>
      </c>
      <c r="B14" s="17" t="n">
        <v>5587</v>
      </c>
      <c r="C14" s="18">
        <f>(4392.0/B14*100)</f>
        <v/>
      </c>
      <c r="D14" s="19" t="n">
        <v>1195</v>
      </c>
      <c r="E14" s="18" t="n">
        <v>36.62123451</v>
      </c>
      <c r="F14" s="20" t="n">
        <v>1.76748574</v>
      </c>
      <c r="G14" s="18" t="n">
        <v>61.45204618</v>
      </c>
      <c r="H14" s="20" t="n">
        <v>1.81056521</v>
      </c>
      <c r="I14" s="18" t="n">
        <v>0</v>
      </c>
      <c r="J14" s="20" t="n">
        <v>0</v>
      </c>
      <c r="K14" s="18" t="n">
        <v>1.72238102</v>
      </c>
      <c r="L14" s="20" t="n">
        <v>0.39418145</v>
      </c>
      <c r="M14" s="18" t="n">
        <v>0</v>
      </c>
      <c r="N14" s="20" t="n">
        <v>0</v>
      </c>
      <c r="O14" s="18" t="n">
        <v>0</v>
      </c>
      <c r="P14" s="20" t="n">
        <v>0</v>
      </c>
      <c r="Q14" s="18" t="n">
        <v>0.20433828</v>
      </c>
      <c r="R14" s="20" t="n">
        <v>0.11825561</v>
      </c>
    </row>
    <row r="15" spans="1:18">
      <c r="A15" s="15" t="s">
        <v>573</v>
      </c>
      <c r="B15" s="17" t="n">
        <v>5882</v>
      </c>
      <c r="C15" s="18">
        <f>(4661.0/B15*100)</f>
        <v/>
      </c>
      <c r="D15" s="19" t="n">
        <v>1221</v>
      </c>
      <c r="E15" s="18" t="n">
        <v>36.10060191</v>
      </c>
      <c r="F15" s="20" t="n">
        <v>1.21959955</v>
      </c>
      <c r="G15" s="18" t="n">
        <v>61.56982122</v>
      </c>
      <c r="H15" s="20" t="n">
        <v>1.24625071</v>
      </c>
      <c r="I15" s="18" t="n">
        <v>0</v>
      </c>
      <c r="J15" s="20" t="n">
        <v>0</v>
      </c>
      <c r="K15" s="18" t="n">
        <v>1.70056404</v>
      </c>
      <c r="L15" s="20" t="n">
        <v>0.41429124</v>
      </c>
      <c r="M15" s="18" t="n">
        <v>0</v>
      </c>
      <c r="N15" s="20" t="n">
        <v>0</v>
      </c>
      <c r="O15" s="18" t="n">
        <v>0</v>
      </c>
      <c r="P15" s="20" t="n">
        <v>0</v>
      </c>
      <c r="Q15" s="18" t="n">
        <v>0.62901283</v>
      </c>
      <c r="R15" s="20" t="n">
        <v>0.22881822</v>
      </c>
    </row>
    <row r="16" spans="1:18">
      <c r="A16" s="15" t="s">
        <v>574</v>
      </c>
      <c r="B16" s="17" t="n">
        <v>6108</v>
      </c>
      <c r="C16" s="18">
        <f>(4809.0/B16*100)</f>
        <v/>
      </c>
      <c r="D16" s="19" t="n">
        <v>1299</v>
      </c>
      <c r="E16" s="18" t="n">
        <v>36.53512014</v>
      </c>
      <c r="F16" s="20" t="n">
        <v>1.19341838</v>
      </c>
      <c r="G16" s="18" t="n">
        <v>56.55410251</v>
      </c>
      <c r="H16" s="20" t="n">
        <v>1.53762858</v>
      </c>
      <c r="I16" s="18" t="n">
        <v>0</v>
      </c>
      <c r="J16" s="20" t="n">
        <v>0</v>
      </c>
      <c r="K16" s="18" t="n">
        <v>6.46002073</v>
      </c>
      <c r="L16" s="20" t="n">
        <v>0.97715886</v>
      </c>
      <c r="M16" s="18" t="n">
        <v>0</v>
      </c>
      <c r="N16" s="20" t="n">
        <v>0</v>
      </c>
      <c r="O16" s="18" t="n">
        <v>0</v>
      </c>
      <c r="P16" s="20" t="n">
        <v>0</v>
      </c>
      <c r="Q16" s="18" t="n">
        <v>0.45075662</v>
      </c>
      <c r="R16" s="20" t="n">
        <v>0.18891477</v>
      </c>
    </row>
    <row r="17" spans="1:18">
      <c r="A17" s="15" t="s">
        <v>575</v>
      </c>
      <c r="B17" s="17" t="n">
        <v>6504</v>
      </c>
      <c r="C17" s="18">
        <f>(5146.0/B17*100)</f>
        <v/>
      </c>
      <c r="D17" s="19" t="n">
        <v>1358</v>
      </c>
      <c r="E17" s="18" t="n">
        <v>35.89108765</v>
      </c>
      <c r="F17" s="20" t="n">
        <v>1.37070945</v>
      </c>
      <c r="G17" s="18" t="n">
        <v>61.29586565</v>
      </c>
      <c r="H17" s="20" t="n">
        <v>1.35575033</v>
      </c>
      <c r="I17" s="18" t="n">
        <v>0</v>
      </c>
      <c r="J17" s="20" t="n">
        <v>0</v>
      </c>
      <c r="K17" s="18" t="n">
        <v>2.23835207</v>
      </c>
      <c r="L17" s="20" t="n">
        <v>0.41908088</v>
      </c>
      <c r="M17" s="18" t="n">
        <v>0</v>
      </c>
      <c r="N17" s="20" t="n">
        <v>0</v>
      </c>
      <c r="O17" s="18" t="n">
        <v>0</v>
      </c>
      <c r="P17" s="20" t="n">
        <v>0</v>
      </c>
      <c r="Q17" s="18" t="n">
        <v>0.57469464</v>
      </c>
      <c r="R17" s="20" t="n">
        <v>0.21585673</v>
      </c>
    </row>
    <row r="18" spans="1:18">
      <c r="A18" s="15" t="s">
        <v>576</v>
      </c>
      <c r="B18" s="17" t="n">
        <v>5532</v>
      </c>
      <c r="C18" s="18">
        <f>(4328.0/B18*100)</f>
        <v/>
      </c>
      <c r="D18" s="19" t="n">
        <v>1204</v>
      </c>
      <c r="E18" s="18" t="n">
        <v>45.28394409</v>
      </c>
      <c r="F18" s="20" t="n">
        <v>1.63935351</v>
      </c>
      <c r="G18" s="18" t="n">
        <v>51.30339005</v>
      </c>
      <c r="H18" s="20" t="n">
        <v>1.53517515</v>
      </c>
      <c r="I18" s="18" t="n">
        <v>0</v>
      </c>
      <c r="J18" s="20" t="n">
        <v>0</v>
      </c>
      <c r="K18" s="18" t="n">
        <v>2.88453951</v>
      </c>
      <c r="L18" s="20" t="n">
        <v>0.53551159</v>
      </c>
      <c r="M18" s="18" t="n">
        <v>0</v>
      </c>
      <c r="N18" s="20" t="n">
        <v>0</v>
      </c>
      <c r="O18" s="18" t="n">
        <v>0</v>
      </c>
      <c r="P18" s="20" t="n">
        <v>0</v>
      </c>
      <c r="Q18" s="18" t="n">
        <v>0.52812634</v>
      </c>
      <c r="R18" s="20" t="n">
        <v>0.26095362</v>
      </c>
    </row>
    <row r="19" spans="1:18">
      <c r="A19" s="15" t="s">
        <v>577</v>
      </c>
      <c r="B19" s="17" t="n">
        <v>5658</v>
      </c>
      <c r="C19" s="18">
        <f>(4488.0/B19*100)</f>
        <v/>
      </c>
      <c r="D19" s="19" t="n">
        <v>1170</v>
      </c>
      <c r="E19" s="18" t="n">
        <v>40.68239159</v>
      </c>
      <c r="F19" s="20" t="n">
        <v>1.68701512</v>
      </c>
      <c r="G19" s="18" t="n">
        <v>56.74199192</v>
      </c>
      <c r="H19" s="20" t="n">
        <v>1.69364281</v>
      </c>
      <c r="I19" s="18" t="n">
        <v>0</v>
      </c>
      <c r="J19" s="20" t="n">
        <v>0</v>
      </c>
      <c r="K19" s="18" t="n">
        <v>2.15309681</v>
      </c>
      <c r="L19" s="20" t="n">
        <v>0.5352656099999999</v>
      </c>
      <c r="M19" s="18" t="n">
        <v>0</v>
      </c>
      <c r="N19" s="20" t="n">
        <v>0</v>
      </c>
      <c r="O19" s="18" t="n">
        <v>0</v>
      </c>
      <c r="P19" s="20" t="n">
        <v>0</v>
      </c>
      <c r="Q19" s="18" t="n">
        <v>0.42251969</v>
      </c>
      <c r="R19" s="20" t="n">
        <v>0.21896866</v>
      </c>
    </row>
    <row r="20" spans="1:18">
      <c r="A20" s="15" t="s">
        <v>578</v>
      </c>
      <c r="B20" s="17" t="n">
        <v>3371</v>
      </c>
      <c r="C20" s="18">
        <f>(2665.0/B20*100)</f>
        <v/>
      </c>
      <c r="D20" s="19" t="n">
        <v>706</v>
      </c>
      <c r="E20" s="18" t="n">
        <v>41.13012612</v>
      </c>
      <c r="F20" s="20" t="n">
        <v>1.99886306</v>
      </c>
      <c r="G20" s="18" t="n">
        <v>54.98868445</v>
      </c>
      <c r="H20" s="20" t="n">
        <v>2.03379925</v>
      </c>
      <c r="I20" s="18" t="n">
        <v>0</v>
      </c>
      <c r="J20" s="20" t="n">
        <v>0</v>
      </c>
      <c r="K20" s="18" t="n">
        <v>2.84614507</v>
      </c>
      <c r="L20" s="20" t="n">
        <v>0.66963328</v>
      </c>
      <c r="M20" s="18" t="n">
        <v>0</v>
      </c>
      <c r="N20" s="20" t="n">
        <v>0</v>
      </c>
      <c r="O20" s="18" t="n">
        <v>0</v>
      </c>
      <c r="P20" s="20" t="n">
        <v>0</v>
      </c>
      <c r="Q20" s="18" t="n">
        <v>1.03504437</v>
      </c>
      <c r="R20" s="20" t="n">
        <v>0.41736278</v>
      </c>
    </row>
    <row r="21" spans="1:18">
      <c r="A21" s="15" t="s">
        <v>579</v>
      </c>
      <c r="B21" s="17" t="n">
        <v>5741</v>
      </c>
      <c r="C21" s="18">
        <f>(4489.0/B21*100)</f>
        <v/>
      </c>
      <c r="D21" s="19" t="n">
        <v>1252</v>
      </c>
      <c r="E21" s="18" t="n">
        <v>35.26541306</v>
      </c>
      <c r="F21" s="20" t="n">
        <v>1.48851475</v>
      </c>
      <c r="G21" s="18" t="n">
        <v>61.84415883</v>
      </c>
      <c r="H21" s="20" t="n">
        <v>1.46331864</v>
      </c>
      <c r="I21" s="18" t="n">
        <v>0</v>
      </c>
      <c r="J21" s="20" t="n">
        <v>0</v>
      </c>
      <c r="K21" s="18" t="n">
        <v>2.54595185</v>
      </c>
      <c r="L21" s="20" t="n">
        <v>0.47369128</v>
      </c>
      <c r="M21" s="18" t="n">
        <v>0</v>
      </c>
      <c r="N21" s="20" t="n">
        <v>0</v>
      </c>
      <c r="O21" s="18" t="n">
        <v>0</v>
      </c>
      <c r="P21" s="20" t="n">
        <v>0</v>
      </c>
      <c r="Q21" s="18" t="n">
        <v>0.34447626</v>
      </c>
      <c r="R21" s="20" t="n">
        <v>0.22594787</v>
      </c>
    </row>
    <row r="22" spans="1:18">
      <c r="A22" s="15" t="s">
        <v>580</v>
      </c>
      <c r="B22" s="17" t="n">
        <v>6598</v>
      </c>
      <c r="C22" s="18">
        <f>(5344.0/B22*100)</f>
        <v/>
      </c>
      <c r="D22" s="19" t="n">
        <v>1254</v>
      </c>
      <c r="E22" s="18" t="n">
        <v>44.52962425</v>
      </c>
      <c r="F22" s="20" t="n">
        <v>1.72541902</v>
      </c>
      <c r="G22" s="18" t="n">
        <v>49.55921625</v>
      </c>
      <c r="H22" s="20" t="n">
        <v>1.68332191</v>
      </c>
      <c r="I22" s="18" t="n">
        <v>0</v>
      </c>
      <c r="J22" s="20" t="n">
        <v>0</v>
      </c>
      <c r="K22" s="18" t="n">
        <v>4.92853903</v>
      </c>
      <c r="L22" s="20" t="n">
        <v>0.71834621</v>
      </c>
      <c r="M22" s="18" t="n">
        <v>0</v>
      </c>
      <c r="N22" s="20" t="n">
        <v>0</v>
      </c>
      <c r="O22" s="18" t="n">
        <v>0</v>
      </c>
      <c r="P22" s="20" t="n">
        <v>0</v>
      </c>
      <c r="Q22" s="18" t="n">
        <v>0.98262047</v>
      </c>
      <c r="R22" s="20" t="n">
        <v>0.30832712</v>
      </c>
    </row>
    <row r="23" spans="1:18">
      <c r="A23" s="15" t="s">
        <v>581</v>
      </c>
      <c r="B23" s="17" t="n">
        <v>11583</v>
      </c>
      <c r="C23" s="18">
        <f>(9110.0/B23*100)</f>
        <v/>
      </c>
      <c r="D23" s="19" t="n">
        <v>2473</v>
      </c>
      <c r="E23" s="18" t="n">
        <v>40.53663181</v>
      </c>
      <c r="F23" s="20" t="n">
        <v>1.52152196</v>
      </c>
      <c r="G23" s="18" t="n">
        <v>55.5041606</v>
      </c>
      <c r="H23" s="20" t="n">
        <v>1.62587144</v>
      </c>
      <c r="I23" s="18" t="n">
        <v>0</v>
      </c>
      <c r="J23" s="20" t="n">
        <v>0</v>
      </c>
      <c r="K23" s="18" t="n">
        <v>3.73774519</v>
      </c>
      <c r="L23" s="20" t="n">
        <v>0.56956693</v>
      </c>
      <c r="M23" s="18" t="n">
        <v>0</v>
      </c>
      <c r="N23" s="20" t="n">
        <v>0</v>
      </c>
      <c r="O23" s="18" t="n">
        <v>0</v>
      </c>
      <c r="P23" s="20" t="n">
        <v>0</v>
      </c>
      <c r="Q23" s="18" t="n">
        <v>0.2214624</v>
      </c>
      <c r="R23" s="20" t="n">
        <v>0.1325814</v>
      </c>
    </row>
    <row r="24" spans="1:18">
      <c r="A24" s="15" t="s">
        <v>582</v>
      </c>
      <c r="B24" s="17" t="n">
        <v>6647</v>
      </c>
      <c r="C24" s="18">
        <f>(5253.0/B24*100)</f>
        <v/>
      </c>
      <c r="D24" s="19" t="n">
        <v>1394</v>
      </c>
      <c r="E24" s="18" t="n">
        <v>47.60624349</v>
      </c>
      <c r="F24" s="20" t="n">
        <v>1.35374141</v>
      </c>
      <c r="G24" s="18" t="n">
        <v>50.43440018</v>
      </c>
      <c r="H24" s="20" t="n">
        <v>1.41342778</v>
      </c>
      <c r="I24" s="18" t="n">
        <v>0</v>
      </c>
      <c r="J24" s="20" t="n">
        <v>0</v>
      </c>
      <c r="K24" s="18" t="n">
        <v>1.78633422</v>
      </c>
      <c r="L24" s="20" t="n">
        <v>0.43995779</v>
      </c>
      <c r="M24" s="18" t="n">
        <v>0</v>
      </c>
      <c r="N24" s="20" t="n">
        <v>0</v>
      </c>
      <c r="O24" s="18" t="n">
        <v>0</v>
      </c>
      <c r="P24" s="20" t="n">
        <v>0</v>
      </c>
      <c r="Q24" s="18" t="n">
        <v>0.17302212</v>
      </c>
      <c r="R24" s="20" t="n">
        <v>0.10057196</v>
      </c>
    </row>
    <row r="25" spans="1:18">
      <c r="A25" s="15" t="s">
        <v>583</v>
      </c>
      <c r="B25" s="17" t="n">
        <v>5581</v>
      </c>
      <c r="C25" s="18">
        <f>(4323.0/B25*100)</f>
        <v/>
      </c>
      <c r="D25" s="19" t="n">
        <v>1258</v>
      </c>
      <c r="E25" s="18" t="n">
        <v>46.2008428</v>
      </c>
      <c r="F25" s="20" t="n">
        <v>1.49979307</v>
      </c>
      <c r="G25" s="18" t="n">
        <v>52.03496567</v>
      </c>
      <c r="H25" s="20" t="n">
        <v>1.52692783</v>
      </c>
      <c r="I25" s="18" t="n">
        <v>0</v>
      </c>
      <c r="J25" s="20" t="n">
        <v>0</v>
      </c>
      <c r="K25" s="18" t="n">
        <v>1.37943586</v>
      </c>
      <c r="L25" s="20" t="n">
        <v>0.38134762</v>
      </c>
      <c r="M25" s="18" t="n">
        <v>0</v>
      </c>
      <c r="N25" s="20" t="n">
        <v>0</v>
      </c>
      <c r="O25" s="18" t="n">
        <v>0</v>
      </c>
      <c r="P25" s="20" t="n">
        <v>0</v>
      </c>
      <c r="Q25" s="18" t="n">
        <v>0.38475566</v>
      </c>
      <c r="R25" s="20" t="n">
        <v>0.16794066</v>
      </c>
    </row>
    <row r="26" spans="1:18">
      <c r="A26" s="15" t="s">
        <v>584</v>
      </c>
      <c r="B26" s="17" t="n">
        <v>4869</v>
      </c>
      <c r="C26" s="18">
        <f>(3821.0/B26*100)</f>
        <v/>
      </c>
      <c r="D26" s="19" t="n">
        <v>1048</v>
      </c>
      <c r="E26" s="18" t="n">
        <v>34.73499521</v>
      </c>
      <c r="F26" s="20" t="n">
        <v>1.5092801</v>
      </c>
      <c r="G26" s="18" t="n">
        <v>63.84579261</v>
      </c>
      <c r="H26" s="20" t="n">
        <v>1.52805738</v>
      </c>
      <c r="I26" s="18" t="n">
        <v>0</v>
      </c>
      <c r="J26" s="20" t="n">
        <v>0</v>
      </c>
      <c r="K26" s="18" t="n">
        <v>0.87166427</v>
      </c>
      <c r="L26" s="20" t="n">
        <v>0.29223412</v>
      </c>
      <c r="M26" s="18" t="n">
        <v>0</v>
      </c>
      <c r="N26" s="20" t="n">
        <v>0</v>
      </c>
      <c r="O26" s="18" t="n">
        <v>0</v>
      </c>
      <c r="P26" s="20" t="n">
        <v>0</v>
      </c>
      <c r="Q26" s="18" t="n">
        <v>0.54754791</v>
      </c>
      <c r="R26" s="20" t="n">
        <v>0.20593706</v>
      </c>
    </row>
    <row r="27" spans="1:18">
      <c r="A27" s="15" t="s">
        <v>585</v>
      </c>
      <c r="B27" s="17" t="n">
        <v>5299</v>
      </c>
      <c r="C27" s="18">
        <f>(4216.0/B27*100)</f>
        <v/>
      </c>
      <c r="D27" s="19" t="n">
        <v>1083</v>
      </c>
      <c r="E27" s="18" t="n">
        <v>37.23835285</v>
      </c>
      <c r="F27" s="20" t="n">
        <v>1.36766307</v>
      </c>
      <c r="G27" s="18" t="n">
        <v>59.6034124</v>
      </c>
      <c r="H27" s="20" t="n">
        <v>1.43148197</v>
      </c>
      <c r="I27" s="18" t="n">
        <v>0</v>
      </c>
      <c r="J27" s="20" t="n">
        <v>0</v>
      </c>
      <c r="K27" s="18" t="n">
        <v>2.50879387</v>
      </c>
      <c r="L27" s="20" t="n">
        <v>0.47781442</v>
      </c>
      <c r="M27" s="18" t="n">
        <v>0</v>
      </c>
      <c r="N27" s="20" t="n">
        <v>0</v>
      </c>
      <c r="O27" s="18" t="n">
        <v>0</v>
      </c>
      <c r="P27" s="20" t="n">
        <v>0</v>
      </c>
      <c r="Q27" s="18" t="n">
        <v>0.6494408699999999</v>
      </c>
      <c r="R27" s="20" t="n">
        <v>0.24699893</v>
      </c>
    </row>
    <row r="28" spans="1:18">
      <c r="A28" s="15" t="s">
        <v>586</v>
      </c>
      <c r="B28" s="17" t="n">
        <v>7568</v>
      </c>
      <c r="C28" s="18">
        <f>(6208.0/B28*100)</f>
        <v/>
      </c>
      <c r="D28" s="19" t="n">
        <v>1360</v>
      </c>
      <c r="E28" s="18" t="n">
        <v>42.98155031</v>
      </c>
      <c r="F28" s="20" t="n">
        <v>1.43493186</v>
      </c>
      <c r="G28" s="18" t="n">
        <v>52.13541686</v>
      </c>
      <c r="H28" s="20" t="n">
        <v>1.49057168</v>
      </c>
      <c r="I28" s="18" t="n">
        <v>0</v>
      </c>
      <c r="J28" s="20" t="n">
        <v>0</v>
      </c>
      <c r="K28" s="18" t="n">
        <v>3.56000254</v>
      </c>
      <c r="L28" s="20" t="n">
        <v>0.67335725</v>
      </c>
      <c r="M28" s="18" t="n">
        <v>0</v>
      </c>
      <c r="N28" s="20" t="n">
        <v>0</v>
      </c>
      <c r="O28" s="18" t="n">
        <v>0</v>
      </c>
      <c r="P28" s="20" t="n">
        <v>0</v>
      </c>
      <c r="Q28" s="18" t="n">
        <v>1.32303028</v>
      </c>
      <c r="R28" s="20" t="n">
        <v>0.33107172</v>
      </c>
    </row>
    <row r="29" spans="1:18">
      <c r="A29" s="15" t="s">
        <v>587</v>
      </c>
      <c r="B29" s="17" t="n">
        <v>5385</v>
      </c>
      <c r="C29" s="18">
        <f>(4191.0/B29*100)</f>
        <v/>
      </c>
      <c r="D29" s="19" t="n">
        <v>1194</v>
      </c>
      <c r="E29" s="18" t="n">
        <v>41.83960811</v>
      </c>
      <c r="F29" s="20" t="n">
        <v>1.65185321</v>
      </c>
      <c r="G29" s="18" t="n">
        <v>56.95564028</v>
      </c>
      <c r="H29" s="20" t="n">
        <v>1.61102844</v>
      </c>
      <c r="I29" s="18" t="n">
        <v>0</v>
      </c>
      <c r="J29" s="20" t="n">
        <v>0</v>
      </c>
      <c r="K29" s="18" t="n">
        <v>1.20475161</v>
      </c>
      <c r="L29" s="20" t="n">
        <v>0.33583766</v>
      </c>
      <c r="M29" s="18" t="n">
        <v>0</v>
      </c>
      <c r="N29" s="20" t="n">
        <v>0</v>
      </c>
      <c r="O29" s="18" t="n">
        <v>0</v>
      </c>
      <c r="P29" s="20" t="n">
        <v>0</v>
      </c>
      <c r="Q29" s="18" t="n">
        <v>0</v>
      </c>
      <c r="R29" s="20" t="n">
        <v>0</v>
      </c>
    </row>
    <row r="30" spans="1:18">
      <c r="A30" s="15" t="s">
        <v>588</v>
      </c>
      <c r="B30" s="17" t="n">
        <v>4520</v>
      </c>
      <c r="C30" s="18">
        <f>(3611.0/B30*100)</f>
        <v/>
      </c>
      <c r="D30" s="19" t="n">
        <v>909</v>
      </c>
      <c r="E30" s="18" t="n">
        <v>29.01675208</v>
      </c>
      <c r="F30" s="20" t="n">
        <v>1.56499609</v>
      </c>
      <c r="G30" s="18" t="n">
        <v>65.92921938000001</v>
      </c>
      <c r="H30" s="20" t="n">
        <v>1.62919694</v>
      </c>
      <c r="I30" s="18" t="n">
        <v>0</v>
      </c>
      <c r="J30" s="20" t="n">
        <v>0</v>
      </c>
      <c r="K30" s="18" t="n">
        <v>4.14374426</v>
      </c>
      <c r="L30" s="20" t="n">
        <v>0.84590826</v>
      </c>
      <c r="M30" s="18" t="n">
        <v>0</v>
      </c>
      <c r="N30" s="20" t="n">
        <v>0</v>
      </c>
      <c r="O30" s="18" t="n">
        <v>0</v>
      </c>
      <c r="P30" s="20" t="n">
        <v>0</v>
      </c>
      <c r="Q30" s="18" t="n">
        <v>0.9102842799999999</v>
      </c>
      <c r="R30" s="20" t="n">
        <v>0.35366236</v>
      </c>
    </row>
    <row r="31" spans="1:18">
      <c r="A31" s="15" t="s">
        <v>589</v>
      </c>
      <c r="B31" s="17" t="n">
        <v>5456</v>
      </c>
      <c r="C31" s="18">
        <f>(4292.0/B31*100)</f>
        <v/>
      </c>
      <c r="D31" s="19" t="n">
        <v>1164</v>
      </c>
      <c r="E31" s="18" t="n">
        <v>41.58686686</v>
      </c>
      <c r="F31" s="20" t="n">
        <v>1.52591095</v>
      </c>
      <c r="G31" s="18" t="n">
        <v>53.09546772</v>
      </c>
      <c r="H31" s="20" t="n">
        <v>1.69715744</v>
      </c>
      <c r="I31" s="18" t="n">
        <v>0</v>
      </c>
      <c r="J31" s="20" t="n">
        <v>0</v>
      </c>
      <c r="K31" s="18" t="n">
        <v>4.73076561</v>
      </c>
      <c r="L31" s="20" t="n">
        <v>0.67499634</v>
      </c>
      <c r="M31" s="18" t="n">
        <v>0</v>
      </c>
      <c r="N31" s="20" t="n">
        <v>0</v>
      </c>
      <c r="O31" s="18" t="n">
        <v>0</v>
      </c>
      <c r="P31" s="20" t="n">
        <v>0</v>
      </c>
      <c r="Q31" s="18" t="n">
        <v>0.58689981</v>
      </c>
      <c r="R31" s="20" t="n">
        <v>0.25506298</v>
      </c>
    </row>
    <row r="32" spans="1:18">
      <c r="A32" s="15" t="s">
        <v>590</v>
      </c>
      <c r="B32" s="17" t="n">
        <v>4478</v>
      </c>
      <c r="C32" s="18">
        <f>(3503.0/B32*100)</f>
        <v/>
      </c>
      <c r="D32" s="19" t="n">
        <v>975</v>
      </c>
      <c r="E32" s="18" t="n">
        <v>36.69754425</v>
      </c>
      <c r="F32" s="20" t="n">
        <v>1.60629476</v>
      </c>
      <c r="G32" s="18" t="n">
        <v>61.37561894</v>
      </c>
      <c r="H32" s="20" t="n">
        <v>1.65286355</v>
      </c>
      <c r="I32" s="18" t="n">
        <v>0</v>
      </c>
      <c r="J32" s="20" t="n">
        <v>0</v>
      </c>
      <c r="K32" s="18" t="n">
        <v>1.92683681</v>
      </c>
      <c r="L32" s="20" t="n">
        <v>0.442391</v>
      </c>
      <c r="M32" s="18" t="n">
        <v>0</v>
      </c>
      <c r="N32" s="20" t="n">
        <v>0</v>
      </c>
      <c r="O32" s="18" t="n">
        <v>0</v>
      </c>
      <c r="P32" s="20" t="n">
        <v>0</v>
      </c>
      <c r="Q32" s="18" t="n">
        <v>0</v>
      </c>
      <c r="R32" s="20" t="n">
        <v>0</v>
      </c>
    </row>
    <row r="33" spans="1:18">
      <c r="A33" s="15" t="s">
        <v>591</v>
      </c>
      <c r="B33" s="17" t="n">
        <v>7325</v>
      </c>
      <c r="C33" s="18">
        <f>(5864.0/B33*100)</f>
        <v/>
      </c>
      <c r="D33" s="19" t="n">
        <v>1461</v>
      </c>
      <c r="E33" s="18" t="n">
        <v>37.88156743</v>
      </c>
      <c r="F33" s="20" t="n">
        <v>1.47456893</v>
      </c>
      <c r="G33" s="18" t="n">
        <v>59.55919838</v>
      </c>
      <c r="H33" s="20" t="n">
        <v>1.42849682</v>
      </c>
      <c r="I33" s="18" t="n">
        <v>0</v>
      </c>
      <c r="J33" s="20" t="n">
        <v>0</v>
      </c>
      <c r="K33" s="18" t="n">
        <v>2.55923419</v>
      </c>
      <c r="L33" s="20" t="n">
        <v>0.5232666500000001</v>
      </c>
      <c r="M33" s="18" t="n">
        <v>0</v>
      </c>
      <c r="N33" s="20" t="n">
        <v>0</v>
      </c>
      <c r="O33" s="18" t="n">
        <v>0</v>
      </c>
      <c r="P33" s="20" t="n">
        <v>0</v>
      </c>
      <c r="Q33" s="18" t="n">
        <v>0</v>
      </c>
      <c r="R33" s="20" t="n">
        <v>0</v>
      </c>
    </row>
    <row r="34" spans="1:18">
      <c r="A34" s="15" t="s">
        <v>592</v>
      </c>
      <c r="B34" s="17" t="n">
        <v>6350</v>
      </c>
      <c r="C34" s="18">
        <f>(5037.0/B34*100)</f>
        <v/>
      </c>
      <c r="D34" s="19" t="n">
        <v>1313</v>
      </c>
      <c r="E34" s="18" t="n">
        <v>42.21929453</v>
      </c>
      <c r="F34" s="20" t="n">
        <v>1.2575388</v>
      </c>
      <c r="G34" s="18" t="n">
        <v>52.71250551</v>
      </c>
      <c r="H34" s="20" t="n">
        <v>1.3975236</v>
      </c>
      <c r="I34" s="18" t="n">
        <v>0</v>
      </c>
      <c r="J34" s="20" t="n">
        <v>0</v>
      </c>
      <c r="K34" s="18" t="n">
        <v>3.79106349</v>
      </c>
      <c r="L34" s="20" t="n">
        <v>0.59786469</v>
      </c>
      <c r="M34" s="18" t="n">
        <v>0</v>
      </c>
      <c r="N34" s="20" t="n">
        <v>0</v>
      </c>
      <c r="O34" s="18" t="n">
        <v>0</v>
      </c>
      <c r="P34" s="20" t="n">
        <v>0</v>
      </c>
      <c r="Q34" s="18" t="n">
        <v>1.27713647</v>
      </c>
      <c r="R34" s="20" t="n">
        <v>0.36426611</v>
      </c>
    </row>
    <row r="35" spans="1:18">
      <c r="A35" s="15" t="s">
        <v>593</v>
      </c>
      <c r="B35" s="17" t="n">
        <v>6406</v>
      </c>
      <c r="C35" s="18">
        <f>(5037.0/B35*100)</f>
        <v/>
      </c>
      <c r="D35" s="19" t="n">
        <v>1369</v>
      </c>
      <c r="E35" s="18" t="n">
        <v>39.05348495</v>
      </c>
      <c r="F35" s="20" t="n">
        <v>1.5397256</v>
      </c>
      <c r="G35" s="18" t="n">
        <v>58.95141922</v>
      </c>
      <c r="H35" s="20" t="n">
        <v>1.61520788</v>
      </c>
      <c r="I35" s="18" t="n">
        <v>0</v>
      </c>
      <c r="J35" s="20" t="n">
        <v>0</v>
      </c>
      <c r="K35" s="18" t="n">
        <v>1.77513629</v>
      </c>
      <c r="L35" s="20" t="n">
        <v>0.53757796</v>
      </c>
      <c r="M35" s="18" t="n">
        <v>0</v>
      </c>
      <c r="N35" s="20" t="n">
        <v>0</v>
      </c>
      <c r="O35" s="18" t="n">
        <v>0</v>
      </c>
      <c r="P35" s="20" t="n">
        <v>0</v>
      </c>
      <c r="Q35" s="18" t="n">
        <v>0.21995954</v>
      </c>
      <c r="R35" s="20" t="n">
        <v>0.12406553</v>
      </c>
    </row>
    <row r="36" spans="1:18">
      <c r="A36" s="15" t="s">
        <v>594</v>
      </c>
      <c r="B36" s="17" t="n">
        <v>6736</v>
      </c>
      <c r="C36" s="18">
        <f>(5367.0/B36*100)</f>
        <v/>
      </c>
      <c r="D36" s="19" t="n">
        <v>1369</v>
      </c>
      <c r="E36" s="18" t="n">
        <v>36.77164017</v>
      </c>
      <c r="F36" s="20" t="n">
        <v>1.6770421</v>
      </c>
      <c r="G36" s="18" t="n">
        <v>59.94334538</v>
      </c>
      <c r="H36" s="20" t="n">
        <v>1.60398394</v>
      </c>
      <c r="I36" s="18" t="n">
        <v>0</v>
      </c>
      <c r="J36" s="20" t="n">
        <v>0</v>
      </c>
      <c r="K36" s="18" t="n">
        <v>2.60587563</v>
      </c>
      <c r="L36" s="20" t="n">
        <v>0.5549744599999999</v>
      </c>
      <c r="M36" s="18" t="n">
        <v>0</v>
      </c>
      <c r="N36" s="20" t="n">
        <v>0</v>
      </c>
      <c r="O36" s="18" t="n">
        <v>0</v>
      </c>
      <c r="P36" s="20" t="n">
        <v>0</v>
      </c>
      <c r="Q36" s="18" t="n">
        <v>0.67913881</v>
      </c>
      <c r="R36" s="20" t="n">
        <v>0.2246632</v>
      </c>
    </row>
    <row r="37" spans="1:18">
      <c r="A37" s="15" t="s">
        <v>595</v>
      </c>
      <c r="B37" s="17" t="n">
        <v>5458</v>
      </c>
      <c r="C37" s="18">
        <f>(4342.0/B37*100)</f>
        <v/>
      </c>
      <c r="D37" s="19" t="n">
        <v>1116</v>
      </c>
      <c r="E37" s="18" t="n">
        <v>43.0129414</v>
      </c>
      <c r="F37" s="20" t="n">
        <v>1.43935565</v>
      </c>
      <c r="G37" s="18" t="n">
        <v>48.28559346</v>
      </c>
      <c r="H37" s="20" t="n">
        <v>1.54594248</v>
      </c>
      <c r="I37" s="18" t="n">
        <v>0</v>
      </c>
      <c r="J37" s="20" t="n">
        <v>0</v>
      </c>
      <c r="K37" s="18" t="n">
        <v>7.47068962</v>
      </c>
      <c r="L37" s="20" t="n">
        <v>1.1065611</v>
      </c>
      <c r="M37" s="18" t="n">
        <v>0</v>
      </c>
      <c r="N37" s="20" t="n">
        <v>0</v>
      </c>
      <c r="O37" s="18" t="n">
        <v>0</v>
      </c>
      <c r="P37" s="20" t="n">
        <v>0</v>
      </c>
      <c r="Q37" s="18" t="n">
        <v>1.23077552</v>
      </c>
      <c r="R37" s="20" t="n">
        <v>0.40727224</v>
      </c>
    </row>
    <row r="38" spans="1:18">
      <c r="A38" s="15" t="s">
        <v>596</v>
      </c>
      <c r="B38" s="17" t="n">
        <v>5860</v>
      </c>
      <c r="C38" s="18">
        <f>(4602.0/B38*100)</f>
        <v/>
      </c>
      <c r="D38" s="19" t="n">
        <v>1258</v>
      </c>
      <c r="E38" s="18" t="n">
        <v>40.34033022</v>
      </c>
      <c r="F38" s="20" t="n">
        <v>1.63593379</v>
      </c>
      <c r="G38" s="18" t="n">
        <v>55.63891351</v>
      </c>
      <c r="H38" s="20" t="n">
        <v>1.69777858</v>
      </c>
      <c r="I38" s="18" t="n">
        <v>0</v>
      </c>
      <c r="J38" s="20" t="n">
        <v>0</v>
      </c>
      <c r="K38" s="18" t="n">
        <v>3.76586724</v>
      </c>
      <c r="L38" s="20" t="n">
        <v>0.69153244</v>
      </c>
      <c r="M38" s="18" t="n">
        <v>0</v>
      </c>
      <c r="N38" s="20" t="n">
        <v>0</v>
      </c>
      <c r="O38" s="18" t="n">
        <v>0</v>
      </c>
      <c r="P38" s="20" t="n">
        <v>0</v>
      </c>
      <c r="Q38" s="18" t="n">
        <v>0.25488902</v>
      </c>
      <c r="R38" s="20" t="n">
        <v>0.16359666</v>
      </c>
    </row>
    <row r="39" spans="1:18">
      <c r="A39" s="15" t="s">
        <v>597</v>
      </c>
      <c r="B39" s="17" t="n">
        <v>5895</v>
      </c>
      <c r="C39" s="18">
        <f>(4597.0/B39*100)</f>
        <v/>
      </c>
      <c r="D39" s="19" t="n">
        <v>1298</v>
      </c>
      <c r="E39" s="18" t="n">
        <v>41.62775193</v>
      </c>
      <c r="F39" s="20" t="n">
        <v>1.6801763</v>
      </c>
      <c r="G39" s="18" t="n">
        <v>54.82559397</v>
      </c>
      <c r="H39" s="20" t="n">
        <v>1.68515136</v>
      </c>
      <c r="I39" s="18" t="n">
        <v>0</v>
      </c>
      <c r="J39" s="20" t="n">
        <v>0</v>
      </c>
      <c r="K39" s="18" t="n">
        <v>2.2757232</v>
      </c>
      <c r="L39" s="20" t="n">
        <v>0.42517707</v>
      </c>
      <c r="M39" s="18" t="n">
        <v>0</v>
      </c>
      <c r="N39" s="20" t="n">
        <v>0</v>
      </c>
      <c r="O39" s="18" t="n">
        <v>0</v>
      </c>
      <c r="P39" s="20" t="n">
        <v>0</v>
      </c>
      <c r="Q39" s="18" t="n">
        <v>1.2709309</v>
      </c>
      <c r="R39" s="20" t="n">
        <v>0.31758824</v>
      </c>
    </row>
    <row r="40" spans="1:18">
      <c r="A40" s="15" t="s">
        <v>598</v>
      </c>
      <c r="B40" s="17" t="n">
        <v>14157</v>
      </c>
      <c r="C40" s="18">
        <f>(11012.0/B40*100)</f>
        <v/>
      </c>
      <c r="D40" s="19" t="n">
        <v>3145</v>
      </c>
      <c r="E40" s="18" t="n">
        <v>34.1168756</v>
      </c>
      <c r="F40" s="20" t="n">
        <v>1.24645402</v>
      </c>
      <c r="G40" s="18" t="n">
        <v>62.94034482</v>
      </c>
      <c r="H40" s="20" t="n">
        <v>1.31666943</v>
      </c>
      <c r="I40" s="18" t="n">
        <v>0</v>
      </c>
      <c r="J40" s="20" t="n">
        <v>0</v>
      </c>
      <c r="K40" s="18" t="n">
        <v>2.7637594</v>
      </c>
      <c r="L40" s="20" t="n">
        <v>0.46076634</v>
      </c>
      <c r="M40" s="18" t="n">
        <v>0</v>
      </c>
      <c r="N40" s="20" t="n">
        <v>0</v>
      </c>
      <c r="O40" s="18" t="n">
        <v>0</v>
      </c>
      <c r="P40" s="20" t="n">
        <v>0</v>
      </c>
      <c r="Q40" s="18" t="n">
        <v>0.17902018</v>
      </c>
      <c r="R40" s="20" t="n">
        <v>0.09264293</v>
      </c>
    </row>
    <row r="41" spans="1:18">
      <c r="A41" s="15" t="s">
        <v>599</v>
      </c>
      <c r="B41" s="17" t="n">
        <v>5712</v>
      </c>
      <c r="C41" s="18">
        <f>(4522.0/B41*100)</f>
        <v/>
      </c>
      <c r="D41" s="19" t="n">
        <v>1190</v>
      </c>
      <c r="E41" s="18" t="n">
        <v>31.82380808</v>
      </c>
      <c r="F41" s="20" t="n">
        <v>1.24044114</v>
      </c>
      <c r="G41" s="18" t="n">
        <v>66.00798737</v>
      </c>
      <c r="H41" s="20" t="n">
        <v>1.45363906</v>
      </c>
      <c r="I41" s="18" t="n">
        <v>0</v>
      </c>
      <c r="J41" s="20" t="n">
        <v>0</v>
      </c>
      <c r="K41" s="18" t="n">
        <v>1.1010727</v>
      </c>
      <c r="L41" s="20" t="n">
        <v>0.37140514</v>
      </c>
      <c r="M41" s="18" t="n">
        <v>0</v>
      </c>
      <c r="N41" s="20" t="n">
        <v>0</v>
      </c>
      <c r="O41" s="18" t="n">
        <v>0</v>
      </c>
      <c r="P41" s="20" t="n">
        <v>0</v>
      </c>
      <c r="Q41" s="18" t="n">
        <v>1.06713186</v>
      </c>
      <c r="R41" s="20" t="n">
        <v>0.42972474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(19881.0/B46*100)</f>
        <v/>
      </c>
      <c r="D46" s="19" t="n">
        <v>3260</v>
      </c>
      <c r="E46" s="18" t="n">
        <v>40.95361831</v>
      </c>
      <c r="F46" s="20" t="n">
        <v>1.30484369</v>
      </c>
      <c r="G46" s="18" t="n">
        <v>43.60212275</v>
      </c>
      <c r="H46" s="20" t="n">
        <v>1.21923804</v>
      </c>
      <c r="I46" s="18" t="n">
        <v>0</v>
      </c>
      <c r="J46" s="20" t="n">
        <v>0</v>
      </c>
      <c r="K46" s="18" t="n">
        <v>10.83012827</v>
      </c>
      <c r="L46" s="20" t="n">
        <v>0.93353229</v>
      </c>
      <c r="M46" s="18" t="n">
        <v>0</v>
      </c>
      <c r="N46" s="20" t="n">
        <v>0</v>
      </c>
      <c r="O46" s="18" t="n">
        <v>0</v>
      </c>
      <c r="P46" s="20" t="n">
        <v>0</v>
      </c>
      <c r="Q46" s="18" t="n">
        <v>4.61413067</v>
      </c>
      <c r="R46" s="20" t="n">
        <v>0.54298297</v>
      </c>
    </row>
    <row r="47" spans="1:18">
      <c r="A47" s="15" t="s">
        <v>606</v>
      </c>
      <c r="B47" s="17" t="n">
        <v>5928</v>
      </c>
      <c r="C47" s="18">
        <f>(4714.0/B47*100)</f>
        <v/>
      </c>
      <c r="D47" s="19" t="n">
        <v>1214</v>
      </c>
      <c r="E47" s="18" t="n">
        <v>42.69081391</v>
      </c>
      <c r="F47" s="20" t="n">
        <v>1.30113682</v>
      </c>
      <c r="G47" s="18" t="n">
        <v>48.48419001</v>
      </c>
      <c r="H47" s="20" t="n">
        <v>1.53445879</v>
      </c>
      <c r="I47" s="18" t="n">
        <v>0</v>
      </c>
      <c r="J47" s="20" t="n">
        <v>0</v>
      </c>
      <c r="K47" s="18" t="n">
        <v>7.53094755</v>
      </c>
      <c r="L47" s="20" t="n">
        <v>0.94647012</v>
      </c>
      <c r="M47" s="18" t="n">
        <v>0</v>
      </c>
      <c r="N47" s="20" t="n">
        <v>0</v>
      </c>
      <c r="O47" s="18" t="n">
        <v>0</v>
      </c>
      <c r="P47" s="20" t="n">
        <v>0</v>
      </c>
      <c r="Q47" s="18" t="n">
        <v>1.29404853</v>
      </c>
      <c r="R47" s="20" t="n">
        <v>0.35452973</v>
      </c>
    </row>
    <row r="48" spans="1:18">
      <c r="A48" s="15" t="s">
        <v>607</v>
      </c>
      <c r="B48" s="17" t="n">
        <v>9841</v>
      </c>
      <c r="C48" s="18">
        <f>(7675.0/B48*100)</f>
        <v/>
      </c>
      <c r="D48" s="19" t="n">
        <v>2166</v>
      </c>
      <c r="E48" s="18" t="n">
        <v>41.8223992</v>
      </c>
      <c r="F48" s="20" t="n">
        <v>1.69872964</v>
      </c>
      <c r="G48" s="18" t="n">
        <v>53.73468794</v>
      </c>
      <c r="H48" s="20" t="n">
        <v>1.70179612</v>
      </c>
      <c r="I48" s="18" t="n">
        <v>0</v>
      </c>
      <c r="J48" s="20" t="n">
        <v>0</v>
      </c>
      <c r="K48" s="18" t="n">
        <v>3.11564821</v>
      </c>
      <c r="L48" s="20" t="n">
        <v>0.8734659</v>
      </c>
      <c r="M48" s="18" t="n">
        <v>0</v>
      </c>
      <c r="N48" s="20" t="n">
        <v>0</v>
      </c>
      <c r="O48" s="18" t="n">
        <v>0</v>
      </c>
      <c r="P48" s="20" t="n">
        <v>0</v>
      </c>
      <c r="Q48" s="18" t="n">
        <v>1.32726466</v>
      </c>
      <c r="R48" s="20" t="n">
        <v>0.43613074</v>
      </c>
    </row>
    <row r="49" spans="1:18">
      <c r="A49" s="15" t="s">
        <v>608</v>
      </c>
      <c r="B49" s="17" t="n">
        <v>11795</v>
      </c>
      <c r="C49" s="18">
        <f>(9404.0/B49*100)</f>
        <v/>
      </c>
      <c r="D49" s="19" t="n">
        <v>2391</v>
      </c>
      <c r="E49" s="18" t="n">
        <v>40.03767771</v>
      </c>
      <c r="F49" s="20" t="n">
        <v>1.29584583</v>
      </c>
      <c r="G49" s="18" t="n">
        <v>46.69307431</v>
      </c>
      <c r="H49" s="20" t="n">
        <v>1.27783792</v>
      </c>
      <c r="I49" s="18" t="n">
        <v>0</v>
      </c>
      <c r="J49" s="20" t="n">
        <v>0</v>
      </c>
      <c r="K49" s="18" t="n">
        <v>8.90457091</v>
      </c>
      <c r="L49" s="20" t="n">
        <v>0.99245607</v>
      </c>
      <c r="M49" s="18" t="n">
        <v>0</v>
      </c>
      <c r="N49" s="20" t="n">
        <v>0</v>
      </c>
      <c r="O49" s="18" t="n">
        <v>0</v>
      </c>
      <c r="P49" s="20" t="n">
        <v>0</v>
      </c>
      <c r="Q49" s="18" t="n">
        <v>4.36467706</v>
      </c>
      <c r="R49" s="20" t="n">
        <v>0.73546805</v>
      </c>
    </row>
    <row r="50" spans="1:18">
      <c r="A50" s="15" t="s">
        <v>609</v>
      </c>
      <c r="B50" s="17" t="n">
        <v>6866</v>
      </c>
      <c r="C50" s="18">
        <f>(5680.0/B50*100)</f>
        <v/>
      </c>
      <c r="D50" s="19" t="n">
        <v>1186</v>
      </c>
      <c r="E50" s="18" t="n">
        <v>32.74743374</v>
      </c>
      <c r="F50" s="20" t="n">
        <v>1.7031964</v>
      </c>
      <c r="G50" s="18" t="n">
        <v>59.9253901</v>
      </c>
      <c r="H50" s="20" t="n">
        <v>1.80001758</v>
      </c>
      <c r="I50" s="18" t="n">
        <v>0</v>
      </c>
      <c r="J50" s="20" t="n">
        <v>0</v>
      </c>
      <c r="K50" s="18" t="n">
        <v>4.62849264</v>
      </c>
      <c r="L50" s="20" t="n">
        <v>0.72620912</v>
      </c>
      <c r="M50" s="18" t="n">
        <v>0</v>
      </c>
      <c r="N50" s="20" t="n">
        <v>0</v>
      </c>
      <c r="O50" s="18" t="n">
        <v>0</v>
      </c>
      <c r="P50" s="20" t="n">
        <v>0</v>
      </c>
      <c r="Q50" s="18" t="n">
        <v>2.69868353</v>
      </c>
      <c r="R50" s="20" t="n">
        <v>0.48787405</v>
      </c>
    </row>
    <row r="51" spans="1:18">
      <c r="A51" s="15" t="s">
        <v>610</v>
      </c>
      <c r="B51" s="17" t="n">
        <v>5809</v>
      </c>
      <c r="C51" s="18">
        <f>(4561.0/B51*100)</f>
        <v/>
      </c>
      <c r="D51" s="19" t="n">
        <v>1248</v>
      </c>
      <c r="E51" s="18" t="n">
        <v>38.97179813</v>
      </c>
      <c r="F51" s="20" t="n">
        <v>1.3542213</v>
      </c>
      <c r="G51" s="18" t="n">
        <v>57.02520675</v>
      </c>
      <c r="H51" s="20" t="n">
        <v>1.48354677</v>
      </c>
      <c r="I51" s="18" t="n">
        <v>0</v>
      </c>
      <c r="J51" s="20" t="n">
        <v>0</v>
      </c>
      <c r="K51" s="18" t="n">
        <v>3.40011615</v>
      </c>
      <c r="L51" s="20" t="n">
        <v>0.47050555</v>
      </c>
      <c r="M51" s="18" t="n">
        <v>0</v>
      </c>
      <c r="N51" s="20" t="n">
        <v>0</v>
      </c>
      <c r="O51" s="18" t="n">
        <v>0</v>
      </c>
      <c r="P51" s="20" t="n">
        <v>0</v>
      </c>
      <c r="Q51" s="18" t="n">
        <v>0.60287898</v>
      </c>
      <c r="R51" s="20" t="n">
        <v>0.2276416</v>
      </c>
    </row>
    <row r="52" spans="1:18">
      <c r="A52" s="15" t="s">
        <v>611</v>
      </c>
      <c r="B52" s="17" t="n">
        <v>5571</v>
      </c>
      <c r="C52" s="18">
        <f>(4386.0/B52*100)</f>
        <v/>
      </c>
      <c r="D52" s="19" t="n">
        <v>1185</v>
      </c>
      <c r="E52" s="18" t="n">
        <v>46.31132021</v>
      </c>
      <c r="F52" s="20" t="n">
        <v>1.36927443</v>
      </c>
      <c r="G52" s="18" t="n">
        <v>48.45010503</v>
      </c>
      <c r="H52" s="20" t="n">
        <v>1.34862224</v>
      </c>
      <c r="I52" s="18" t="n">
        <v>0</v>
      </c>
      <c r="J52" s="20" t="n">
        <v>0</v>
      </c>
      <c r="K52" s="18" t="n">
        <v>4.20664713</v>
      </c>
      <c r="L52" s="20" t="n">
        <v>0.5856435800000001</v>
      </c>
      <c r="M52" s="18" t="n">
        <v>0</v>
      </c>
      <c r="N52" s="20" t="n">
        <v>0</v>
      </c>
      <c r="O52" s="18" t="n">
        <v>0</v>
      </c>
      <c r="P52" s="20" t="n">
        <v>0</v>
      </c>
      <c r="Q52" s="18" t="n">
        <v>1.03192763</v>
      </c>
      <c r="R52" s="20" t="n">
        <v>0.29354695</v>
      </c>
    </row>
    <row r="53" spans="1:18">
      <c r="A53" s="15" t="s">
        <v>612</v>
      </c>
      <c r="B53" s="17" t="n">
        <v>4740</v>
      </c>
      <c r="C53" s="18">
        <f>(3740.0/B53*100)</f>
        <v/>
      </c>
      <c r="D53" s="19" t="n">
        <v>1000</v>
      </c>
      <c r="E53" s="18" t="n">
        <v>29.12002534</v>
      </c>
      <c r="F53" s="20" t="n">
        <v>1.57954885</v>
      </c>
      <c r="G53" s="18" t="n">
        <v>24.61975696</v>
      </c>
      <c r="H53" s="20" t="n">
        <v>1.58477169</v>
      </c>
      <c r="I53" s="18" t="n">
        <v>0</v>
      </c>
      <c r="J53" s="20" t="n">
        <v>0</v>
      </c>
      <c r="K53" s="18" t="n">
        <v>36.03471176</v>
      </c>
      <c r="L53" s="20" t="n">
        <v>1.83423178</v>
      </c>
      <c r="M53" s="18" t="n">
        <v>0</v>
      </c>
      <c r="N53" s="20" t="n">
        <v>0</v>
      </c>
      <c r="O53" s="18" t="n">
        <v>0</v>
      </c>
      <c r="P53" s="20" t="n">
        <v>0</v>
      </c>
      <c r="Q53" s="18" t="n">
        <v>10.22550594</v>
      </c>
      <c r="R53" s="20" t="n">
        <v>1.22706717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(4222.0/B55*100)</f>
        <v/>
      </c>
      <c r="D55" s="19" t="n">
        <v>1137</v>
      </c>
      <c r="E55" s="18" t="n">
        <v>46.34721483</v>
      </c>
      <c r="F55" s="20" t="n">
        <v>1.54251157</v>
      </c>
      <c r="G55" s="18" t="n">
        <v>51.42302926</v>
      </c>
      <c r="H55" s="20" t="n">
        <v>1.48756904</v>
      </c>
      <c r="I55" s="18" t="n">
        <v>0</v>
      </c>
      <c r="J55" s="20" t="n">
        <v>0</v>
      </c>
      <c r="K55" s="18" t="n">
        <v>1.74832599</v>
      </c>
      <c r="L55" s="20" t="n">
        <v>0.34121792</v>
      </c>
      <c r="M55" s="18" t="n">
        <v>0</v>
      </c>
      <c r="N55" s="20" t="n">
        <v>0</v>
      </c>
      <c r="O55" s="18" t="n">
        <v>0</v>
      </c>
      <c r="P55" s="20" t="n">
        <v>0</v>
      </c>
      <c r="Q55" s="18" t="n">
        <v>0.48142991</v>
      </c>
      <c r="R55" s="20" t="n">
        <v>0.16124942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(5099.0/B61*100)</f>
        <v/>
      </c>
      <c r="D61" s="19" t="n">
        <v>1426</v>
      </c>
      <c r="E61" s="18" t="n">
        <v>37.5853957</v>
      </c>
      <c r="F61" s="20" t="n">
        <v>1.53303404</v>
      </c>
      <c r="G61" s="18" t="n">
        <v>58.89224483</v>
      </c>
      <c r="H61" s="20" t="n">
        <v>1.57666159</v>
      </c>
      <c r="I61" s="18" t="n">
        <v>0</v>
      </c>
      <c r="J61" s="20" t="n">
        <v>0</v>
      </c>
      <c r="K61" s="18" t="n">
        <v>2.29393389</v>
      </c>
      <c r="L61" s="20" t="n">
        <v>0.45395054</v>
      </c>
      <c r="M61" s="18" t="n">
        <v>0</v>
      </c>
      <c r="N61" s="20" t="n">
        <v>0</v>
      </c>
      <c r="O61" s="18" t="n">
        <v>0</v>
      </c>
      <c r="P61" s="20" t="n">
        <v>0</v>
      </c>
      <c r="Q61" s="18" t="n">
        <v>1.22842557</v>
      </c>
      <c r="R61" s="20" t="n">
        <v>0.34345385</v>
      </c>
    </row>
    <row r="62" spans="1:18">
      <c r="A62" s="15" t="s">
        <v>622</v>
      </c>
      <c r="B62" s="17" t="n">
        <v>4476</v>
      </c>
      <c r="C62" s="18">
        <f>(3564.0/B62*100)</f>
        <v/>
      </c>
      <c r="D62" s="19" t="n">
        <v>912</v>
      </c>
      <c r="E62" s="18" t="n">
        <v>45.10278938</v>
      </c>
      <c r="F62" s="20" t="n">
        <v>1.635325</v>
      </c>
      <c r="G62" s="18" t="n">
        <v>54.6794944</v>
      </c>
      <c r="H62" s="20" t="n">
        <v>1.64092938</v>
      </c>
      <c r="I62" s="18" t="n">
        <v>0</v>
      </c>
      <c r="J62" s="20" t="n">
        <v>0</v>
      </c>
      <c r="K62" s="18" t="n">
        <v>0.10885811</v>
      </c>
      <c r="L62" s="20" t="n">
        <v>0.10942461</v>
      </c>
      <c r="M62" s="18" t="n">
        <v>0</v>
      </c>
      <c r="N62" s="20" t="n">
        <v>0</v>
      </c>
      <c r="O62" s="18" t="n">
        <v>0</v>
      </c>
      <c r="P62" s="20" t="n">
        <v>0</v>
      </c>
      <c r="Q62" s="18" t="n">
        <v>0.10885811</v>
      </c>
      <c r="R62" s="20" t="n">
        <v>0.1088892</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(4528.0/B67*100)</f>
        <v/>
      </c>
      <c r="D67" s="19" t="n">
        <v>1137</v>
      </c>
      <c r="E67" s="18" t="n">
        <v>42.28366455</v>
      </c>
      <c r="F67" s="20" t="n">
        <v>1.36160629</v>
      </c>
      <c r="G67" s="18" t="n">
        <v>41.9710336</v>
      </c>
      <c r="H67" s="20" t="n">
        <v>1.36427239</v>
      </c>
      <c r="I67" s="18" t="n">
        <v>0</v>
      </c>
      <c r="J67" s="20" t="n">
        <v>0</v>
      </c>
      <c r="K67" s="18" t="n">
        <v>13.47822121</v>
      </c>
      <c r="L67" s="20" t="n">
        <v>1.05290971</v>
      </c>
      <c r="M67" s="18" t="n">
        <v>0</v>
      </c>
      <c r="N67" s="20" t="n">
        <v>0</v>
      </c>
      <c r="O67" s="18" t="n">
        <v>0</v>
      </c>
      <c r="P67" s="20" t="n">
        <v>0</v>
      </c>
      <c r="Q67" s="18" t="n">
        <v>2.26708064</v>
      </c>
      <c r="R67" s="20" t="n">
        <v>0.4270942</v>
      </c>
    </row>
    <row r="68" spans="1:18">
      <c r="A68" s="15" t="s">
        <v>628</v>
      </c>
      <c r="B68" s="17" t="n">
        <v>6971</v>
      </c>
      <c r="C68" s="18">
        <f>(5844.0/B68*100)</f>
        <v/>
      </c>
      <c r="D68" s="19" t="n">
        <v>1127</v>
      </c>
      <c r="E68" s="18" t="n">
        <v>39.70656981</v>
      </c>
      <c r="F68" s="20" t="n">
        <v>1.44701631</v>
      </c>
      <c r="G68" s="18" t="n">
        <v>52.91860345</v>
      </c>
      <c r="H68" s="20" t="n">
        <v>1.58293809</v>
      </c>
      <c r="I68" s="18" t="n">
        <v>0</v>
      </c>
      <c r="J68" s="20" t="n">
        <v>0</v>
      </c>
      <c r="K68" s="18" t="n">
        <v>3.72611938</v>
      </c>
      <c r="L68" s="20" t="n">
        <v>0.7398626</v>
      </c>
      <c r="M68" s="18" t="n">
        <v>0</v>
      </c>
      <c r="N68" s="20" t="n">
        <v>0</v>
      </c>
      <c r="O68" s="18" t="n">
        <v>0</v>
      </c>
      <c r="P68" s="20" t="n">
        <v>0</v>
      </c>
      <c r="Q68" s="18" t="n">
        <v>3.64870736</v>
      </c>
      <c r="R68" s="20" t="n">
        <v>0.55829778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(9457.0/B70*100)</f>
        <v/>
      </c>
      <c r="D70" s="19" t="n">
        <v>2626</v>
      </c>
      <c r="E70" s="18" t="n">
        <v>40.62128605</v>
      </c>
      <c r="F70" s="20" t="n">
        <v>0.90953599</v>
      </c>
      <c r="G70" s="18" t="n">
        <v>47.03460327</v>
      </c>
      <c r="H70" s="20" t="n">
        <v>0.90214599</v>
      </c>
      <c r="I70" s="18" t="n">
        <v>0</v>
      </c>
      <c r="J70" s="20" t="n">
        <v>0</v>
      </c>
      <c r="K70" s="18" t="n">
        <v>10.31256915</v>
      </c>
      <c r="L70" s="20" t="n">
        <v>0.67613205</v>
      </c>
      <c r="M70" s="18" t="n">
        <v>0</v>
      </c>
      <c r="N70" s="20" t="n">
        <v>0</v>
      </c>
      <c r="O70" s="18" t="n">
        <v>0</v>
      </c>
      <c r="P70" s="20" t="n">
        <v>0</v>
      </c>
      <c r="Q70" s="18" t="n">
        <v>2.03154153</v>
      </c>
      <c r="R70" s="20" t="n">
        <v>0.30054659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(4791.0/B72*100)</f>
        <v/>
      </c>
      <c r="D72" s="19" t="n">
        <v>1245</v>
      </c>
      <c r="E72" s="18" t="n">
        <v>32.79308805</v>
      </c>
      <c r="F72" s="20" t="n">
        <v>1.46113322</v>
      </c>
      <c r="G72" s="18" t="n">
        <v>64.31832961000001</v>
      </c>
      <c r="H72" s="20" t="n">
        <v>1.37511974</v>
      </c>
      <c r="I72" s="18" t="n">
        <v>0</v>
      </c>
      <c r="J72" s="20" t="n">
        <v>0</v>
      </c>
      <c r="K72" s="18" t="n">
        <v>2.47860481</v>
      </c>
      <c r="L72" s="20" t="n">
        <v>0.45949974</v>
      </c>
      <c r="M72" s="18" t="n">
        <v>0</v>
      </c>
      <c r="N72" s="20" t="n">
        <v>0</v>
      </c>
      <c r="O72" s="18" t="n">
        <v>0</v>
      </c>
      <c r="P72" s="20" t="n">
        <v>0</v>
      </c>
      <c r="Q72" s="18" t="n">
        <v>0.40997753</v>
      </c>
      <c r="R72" s="20" t="n">
        <v>0.1799888</v>
      </c>
    </row>
    <row r="73" spans="1:18">
      <c r="A73" s="15" t="s">
        <v>633</v>
      </c>
      <c r="B73" s="17" t="n">
        <v>6115</v>
      </c>
      <c r="C73" s="18">
        <f>(4756.0/B73*100)</f>
        <v/>
      </c>
      <c r="D73" s="19" t="n">
        <v>1359</v>
      </c>
      <c r="E73" s="18" t="n">
        <v>34.9540102</v>
      </c>
      <c r="F73" s="20" t="n">
        <v>1.22954522</v>
      </c>
      <c r="G73" s="18" t="n">
        <v>63.78092641</v>
      </c>
      <c r="H73" s="20" t="n">
        <v>1.23711057</v>
      </c>
      <c r="I73" s="18" t="n">
        <v>0</v>
      </c>
      <c r="J73" s="20" t="n">
        <v>0</v>
      </c>
      <c r="K73" s="18" t="n">
        <v>1.26506339</v>
      </c>
      <c r="L73" s="20" t="n">
        <v>0.29942063</v>
      </c>
      <c r="M73" s="18" t="n">
        <v>0</v>
      </c>
      <c r="N73" s="20" t="n">
        <v>0</v>
      </c>
      <c r="O73" s="18" t="n">
        <v>0</v>
      </c>
      <c r="P73" s="20" t="n">
        <v>0</v>
      </c>
      <c r="Q73" s="18" t="n">
        <v>0</v>
      </c>
      <c r="R73" s="20" t="n">
        <v>0</v>
      </c>
    </row>
    <row r="74" spans="1:18">
      <c r="A74" s="15" t="s">
        <v>634</v>
      </c>
      <c r="B74" s="17" t="n">
        <v>7708</v>
      </c>
      <c r="C74" s="18">
        <f>(5963.0/B74*100)</f>
        <v/>
      </c>
      <c r="D74" s="19" t="n">
        <v>1745</v>
      </c>
      <c r="E74" s="18" t="n">
        <v>46.30223055</v>
      </c>
      <c r="F74" s="20" t="n">
        <v>1.28989028</v>
      </c>
      <c r="G74" s="18" t="n">
        <v>52.23122613</v>
      </c>
      <c r="H74" s="20" t="n">
        <v>1.28120981</v>
      </c>
      <c r="I74" s="18" t="n">
        <v>0</v>
      </c>
      <c r="J74" s="20" t="n">
        <v>0</v>
      </c>
      <c r="K74" s="18" t="n">
        <v>0.98335039</v>
      </c>
      <c r="L74" s="20" t="n">
        <v>0.2421083</v>
      </c>
      <c r="M74" s="18" t="n">
        <v>0</v>
      </c>
      <c r="N74" s="20" t="n">
        <v>0</v>
      </c>
      <c r="O74" s="18" t="n">
        <v>0</v>
      </c>
      <c r="P74" s="20" t="n">
        <v>0</v>
      </c>
      <c r="Q74" s="18" t="n">
        <v>0.48319293</v>
      </c>
      <c r="R74" s="20" t="n">
        <v>0.16893671</v>
      </c>
    </row>
    <row r="75" spans="1:18">
      <c r="A75" s="15" t="s">
        <v>635</v>
      </c>
      <c r="B75" s="17" t="n">
        <v>8249</v>
      </c>
      <c r="C75" s="18">
        <f>(6613.0/B75*100)</f>
        <v/>
      </c>
      <c r="D75" s="19" t="n">
        <v>1636</v>
      </c>
      <c r="E75" s="18" t="n">
        <v>46.29193278</v>
      </c>
      <c r="F75" s="20" t="n">
        <v>1.71697513</v>
      </c>
      <c r="G75" s="18" t="n">
        <v>50.35496639</v>
      </c>
      <c r="H75" s="20" t="n">
        <v>1.77030717</v>
      </c>
      <c r="I75" s="18" t="n">
        <v>0</v>
      </c>
      <c r="J75" s="20" t="n">
        <v>0</v>
      </c>
      <c r="K75" s="18" t="n">
        <v>0.91755869</v>
      </c>
      <c r="L75" s="20" t="n">
        <v>0.24530372</v>
      </c>
      <c r="M75" s="18" t="n">
        <v>0</v>
      </c>
      <c r="N75" s="20" t="n">
        <v>0</v>
      </c>
      <c r="O75" s="18" t="n">
        <v>0</v>
      </c>
      <c r="P75" s="20" t="n">
        <v>0</v>
      </c>
      <c r="Q75" s="18" t="n">
        <v>2.43554214</v>
      </c>
      <c r="R75" s="20" t="n">
        <v>0.56869747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(4373.0/B77*100)</f>
        <v/>
      </c>
      <c r="D77" s="19" t="n">
        <v>1002</v>
      </c>
      <c r="E77" s="18" t="n">
        <v>45.90130376</v>
      </c>
      <c r="F77" s="20" t="n">
        <v>1.65257234</v>
      </c>
      <c r="G77" s="18" t="n">
        <v>41.89862156</v>
      </c>
      <c r="H77" s="20" t="n">
        <v>1.72119341</v>
      </c>
      <c r="I77" s="18" t="n">
        <v>0</v>
      </c>
      <c r="J77" s="20" t="n">
        <v>0</v>
      </c>
      <c r="K77" s="18" t="n">
        <v>11.29926209</v>
      </c>
      <c r="L77" s="20" t="n">
        <v>1.31417001</v>
      </c>
      <c r="M77" s="18" t="n">
        <v>0</v>
      </c>
      <c r="N77" s="20" t="n">
        <v>0</v>
      </c>
      <c r="O77" s="18" t="n">
        <v>0</v>
      </c>
      <c r="P77" s="20" t="n">
        <v>0</v>
      </c>
      <c r="Q77" s="18" t="n">
        <v>0.90081259</v>
      </c>
      <c r="R77" s="20" t="n">
        <v>0.2988896</v>
      </c>
    </row>
    <row r="78" spans="1:18">
      <c r="A78" s="15" t="s">
        <v>638</v>
      </c>
      <c r="B78" s="17" t="n">
        <v>14167</v>
      </c>
      <c r="C78" s="18">
        <f>(11091.0/B78*100)</f>
        <v/>
      </c>
      <c r="D78" s="19" t="n">
        <v>3076</v>
      </c>
      <c r="E78" s="18" t="n">
        <v>41.81662921</v>
      </c>
      <c r="F78" s="20" t="n">
        <v>1.07034568</v>
      </c>
      <c r="G78" s="18" t="n">
        <v>52.76015938</v>
      </c>
      <c r="H78" s="20" t="n">
        <v>1.17149591</v>
      </c>
      <c r="I78" s="18" t="n">
        <v>0</v>
      </c>
      <c r="J78" s="20" t="n">
        <v>0</v>
      </c>
      <c r="K78" s="18" t="n">
        <v>3.5945538</v>
      </c>
      <c r="L78" s="20" t="n">
        <v>0.38044713</v>
      </c>
      <c r="M78" s="18" t="n">
        <v>0</v>
      </c>
      <c r="N78" s="20" t="n">
        <v>0</v>
      </c>
      <c r="O78" s="18" t="n">
        <v>0</v>
      </c>
      <c r="P78" s="20" t="n">
        <v>0</v>
      </c>
      <c r="Q78" s="18" t="n">
        <v>1.8286576</v>
      </c>
      <c r="R78" s="20" t="n">
        <v>0.36171029</v>
      </c>
    </row>
    <row r="79" spans="1:18">
      <c r="A79" s="15" t="s">
        <v>639</v>
      </c>
      <c r="B79" s="17" t="n">
        <v>6062</v>
      </c>
      <c r="C79" s="18">
        <f>(4849.0/B79*100)</f>
        <v/>
      </c>
      <c r="D79" s="19" t="n">
        <v>1213</v>
      </c>
      <c r="E79" s="18" t="n">
        <v>39.96783297</v>
      </c>
      <c r="F79" s="20" t="n">
        <v>1.53442131</v>
      </c>
      <c r="G79" s="18" t="n">
        <v>49.58531439</v>
      </c>
      <c r="H79" s="20" t="n">
        <v>1.40767782</v>
      </c>
      <c r="I79" s="18" t="n">
        <v>0</v>
      </c>
      <c r="J79" s="20" t="n">
        <v>0</v>
      </c>
      <c r="K79" s="18" t="n">
        <v>9.40502188</v>
      </c>
      <c r="L79" s="20" t="n">
        <v>1.01063194</v>
      </c>
      <c r="M79" s="18" t="n">
        <v>0</v>
      </c>
      <c r="N79" s="20" t="n">
        <v>0</v>
      </c>
      <c r="O79" s="18" t="n">
        <v>0</v>
      </c>
      <c r="P79" s="20" t="n">
        <v>0</v>
      </c>
      <c r="Q79" s="18" t="n">
        <v>1.04183077</v>
      </c>
      <c r="R79" s="20" t="n">
        <v>0.28090838</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(25573.0/B82*100)</f>
        <v/>
      </c>
      <c r="D82" s="19" t="n">
        <v>6757</v>
      </c>
      <c r="E82" s="18" t="n">
        <v>35.98498928</v>
      </c>
      <c r="F82" s="20" t="n">
        <v>0.84220778</v>
      </c>
      <c r="G82" s="18" t="n">
        <v>61.21925919</v>
      </c>
      <c r="H82" s="20" t="n">
        <v>0.87101967</v>
      </c>
      <c r="I82" s="18" t="n">
        <v>0</v>
      </c>
      <c r="J82" s="20" t="n">
        <v>0</v>
      </c>
      <c r="K82" s="18" t="n">
        <v>2.27110405</v>
      </c>
      <c r="L82" s="20" t="n">
        <v>0.35157821</v>
      </c>
      <c r="M82" s="18" t="n">
        <v>0</v>
      </c>
      <c r="N82" s="20" t="n">
        <v>0</v>
      </c>
      <c r="O82" s="18" t="n">
        <v>0</v>
      </c>
      <c r="P82" s="20" t="n">
        <v>0</v>
      </c>
      <c r="Q82" s="18" t="n">
        <v>0.5246474800000001</v>
      </c>
      <c r="R82" s="20" t="n">
        <v>0.12531401</v>
      </c>
    </row>
    <row r="83" spans="1:18">
      <c r="A83" s="15" t="s">
        <v>643</v>
      </c>
      <c r="B83" s="17" t="n">
        <v>1652</v>
      </c>
      <c r="C83" s="18">
        <f>(1310.0/B83*100)</f>
        <v/>
      </c>
      <c r="D83" s="19" t="n">
        <v>342</v>
      </c>
      <c r="E83" s="18" t="n">
        <v>24.6557242</v>
      </c>
      <c r="F83" s="20" t="n">
        <v>1.70948097</v>
      </c>
      <c r="G83" s="18" t="n">
        <v>73.09615664</v>
      </c>
      <c r="H83" s="20" t="n">
        <v>1.64831132</v>
      </c>
      <c r="I83" s="18" t="n">
        <v>0</v>
      </c>
      <c r="J83" s="20" t="n">
        <v>0</v>
      </c>
      <c r="K83" s="18" t="n">
        <v>1.13917266</v>
      </c>
      <c r="L83" s="20" t="n">
        <v>0.61779946</v>
      </c>
      <c r="M83" s="18" t="n">
        <v>0</v>
      </c>
      <c r="N83" s="20" t="n">
        <v>0</v>
      </c>
      <c r="O83" s="18" t="n">
        <v>0</v>
      </c>
      <c r="P83" s="20" t="n">
        <v>0</v>
      </c>
      <c r="Q83" s="18" t="n">
        <v>1.10894649</v>
      </c>
      <c r="R83" s="20" t="n">
        <v>0.56479946</v>
      </c>
    </row>
    <row r="84" spans="1:18">
      <c r="A84" s="23" t="s">
        <v>644</v>
      </c>
      <c r="B84" s="24" t="n">
        <v>1887</v>
      </c>
      <c r="C84" s="25">
        <f>(1490.0/B84*100)</f>
        <v/>
      </c>
      <c r="D84" s="19" t="n">
        <v>397</v>
      </c>
      <c r="E84" s="18" t="n">
        <v>32.28729004</v>
      </c>
      <c r="F84" s="20" t="n">
        <v>2.64654892</v>
      </c>
      <c r="G84" s="18" t="n">
        <v>66.62111489</v>
      </c>
      <c r="H84" s="20" t="n">
        <v>2.88321246</v>
      </c>
      <c r="I84" s="18" t="n">
        <v>0</v>
      </c>
      <c r="J84" s="20" t="n">
        <v>0</v>
      </c>
      <c r="K84" s="18" t="n">
        <v>0.57540722</v>
      </c>
      <c r="L84" s="20" t="n">
        <v>0.39855841</v>
      </c>
      <c r="M84" s="18" t="n">
        <v>0</v>
      </c>
      <c r="N84" s="20" t="n">
        <v>0</v>
      </c>
      <c r="O84" s="18" t="n">
        <v>0</v>
      </c>
      <c r="P84" s="20" t="n">
        <v>0</v>
      </c>
      <c r="Q84" s="18" t="n">
        <v>0.51618784</v>
      </c>
      <c r="R84" s="20" t="n">
        <v>0.5168941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(11557.0/B7*100)</f>
        <v/>
      </c>
      <c r="D7" s="19" t="n">
        <v>2973</v>
      </c>
      <c r="E7" s="18" t="n">
        <v>48.11200983</v>
      </c>
      <c r="F7" s="20" t="n">
        <v>1.09855247</v>
      </c>
      <c r="G7" s="18" t="n">
        <v>32.5383494</v>
      </c>
      <c r="H7" s="20" t="n">
        <v>1.13157498</v>
      </c>
      <c r="I7" s="18" t="n">
        <v>0</v>
      </c>
      <c r="J7" s="20" t="n">
        <v>0</v>
      </c>
      <c r="K7" s="18" t="n">
        <v>19.20628223</v>
      </c>
      <c r="L7" s="20" t="n">
        <v>0.90048996</v>
      </c>
      <c r="M7" s="18" t="n">
        <v>0.14335854</v>
      </c>
      <c r="N7" s="20" t="n">
        <v>0.09376853</v>
      </c>
      <c r="O7" s="18" t="n">
        <v>0</v>
      </c>
      <c r="P7" s="20" t="n">
        <v>0</v>
      </c>
      <c r="Q7" s="18" t="n">
        <v>0</v>
      </c>
      <c r="R7" s="20" t="n">
        <v>0</v>
      </c>
    </row>
    <row r="8" spans="1:18">
      <c r="A8" s="15" t="s">
        <v>566</v>
      </c>
      <c r="B8" s="17" t="n">
        <v>7007</v>
      </c>
      <c r="C8" s="18">
        <f>(5508.0/B8*100)</f>
        <v/>
      </c>
      <c r="D8" s="19" t="n">
        <v>1499</v>
      </c>
      <c r="E8" s="18" t="n">
        <v>40.70889676</v>
      </c>
      <c r="F8" s="20" t="n">
        <v>1.51264621</v>
      </c>
      <c r="G8" s="18" t="n">
        <v>29.91305909</v>
      </c>
      <c r="H8" s="20" t="n">
        <v>1.45035073</v>
      </c>
      <c r="I8" s="18" t="n">
        <v>0</v>
      </c>
      <c r="J8" s="20" t="n">
        <v>0</v>
      </c>
      <c r="K8" s="18" t="n">
        <v>29.37804415</v>
      </c>
      <c r="L8" s="20" t="n">
        <v>1.36601635</v>
      </c>
      <c r="M8" s="18" t="n">
        <v>0</v>
      </c>
      <c r="N8" s="20" t="n">
        <v>0</v>
      </c>
      <c r="O8" s="18" t="n">
        <v>0</v>
      </c>
      <c r="P8" s="20" t="n">
        <v>0</v>
      </c>
      <c r="Q8" s="18" t="n">
        <v>0</v>
      </c>
      <c r="R8" s="20" t="n">
        <v>0</v>
      </c>
    </row>
    <row r="9" spans="1:18">
      <c r="A9" s="15" t="s">
        <v>567</v>
      </c>
      <c r="B9" s="17" t="n">
        <v>9651</v>
      </c>
      <c r="C9" s="18">
        <f>(7727.0/B9*100)</f>
        <v/>
      </c>
      <c r="D9" s="19" t="n">
        <v>1924</v>
      </c>
      <c r="E9" s="18" t="n">
        <v>43.50047131</v>
      </c>
      <c r="F9" s="20" t="n">
        <v>1.21485712</v>
      </c>
      <c r="G9" s="18" t="n">
        <v>32.91705501</v>
      </c>
      <c r="H9" s="20" t="n">
        <v>1.22517266</v>
      </c>
      <c r="I9" s="18" t="n">
        <v>0</v>
      </c>
      <c r="J9" s="20" t="n">
        <v>0</v>
      </c>
      <c r="K9" s="18" t="n">
        <v>23.32322846</v>
      </c>
      <c r="L9" s="20" t="n">
        <v>0.94367651</v>
      </c>
      <c r="M9" s="18" t="n">
        <v>0.25924522</v>
      </c>
      <c r="N9" s="20" t="n">
        <v>0.11838232</v>
      </c>
      <c r="O9" s="18" t="n">
        <v>0</v>
      </c>
      <c r="P9" s="20" t="n">
        <v>0</v>
      </c>
      <c r="Q9" s="18" t="n">
        <v>0</v>
      </c>
      <c r="R9" s="20" t="n">
        <v>0</v>
      </c>
    </row>
    <row r="10" spans="1:18">
      <c r="A10" s="15" t="s">
        <v>568</v>
      </c>
      <c r="B10" s="17" t="n">
        <v>20058</v>
      </c>
      <c r="C10" s="18">
        <f>(15804.0/B10*100)</f>
        <v/>
      </c>
      <c r="D10" s="19" t="n">
        <v>4254</v>
      </c>
      <c r="E10" s="18" t="n">
        <v>42.80799077</v>
      </c>
      <c r="F10" s="20" t="n">
        <v>1.30962629</v>
      </c>
      <c r="G10" s="18" t="n">
        <v>43.65975251</v>
      </c>
      <c r="H10" s="20" t="n">
        <v>1.26042054</v>
      </c>
      <c r="I10" s="18" t="n">
        <v>0</v>
      </c>
      <c r="J10" s="20" t="n">
        <v>0</v>
      </c>
      <c r="K10" s="18" t="n">
        <v>13.50929853</v>
      </c>
      <c r="L10" s="20" t="n">
        <v>0.8694395</v>
      </c>
      <c r="M10" s="18" t="n">
        <v>0.02295819</v>
      </c>
      <c r="N10" s="20" t="n">
        <v>0.01508255</v>
      </c>
      <c r="O10" s="18" t="n">
        <v>0</v>
      </c>
      <c r="P10" s="20" t="n">
        <v>0</v>
      </c>
      <c r="Q10" s="18" t="n">
        <v>0</v>
      </c>
      <c r="R10" s="20" t="n">
        <v>0</v>
      </c>
    </row>
    <row r="11" spans="1:18">
      <c r="A11" s="15" t="s">
        <v>569</v>
      </c>
      <c r="B11" s="17" t="n">
        <v>7053</v>
      </c>
      <c r="C11" s="18">
        <f>(5660.0/B11*100)</f>
        <v/>
      </c>
      <c r="D11" s="19" t="n">
        <v>1393</v>
      </c>
      <c r="E11" s="18" t="n">
        <v>48.6631299</v>
      </c>
      <c r="F11" s="20" t="n">
        <v>1.48753392</v>
      </c>
      <c r="G11" s="18" t="n">
        <v>16.64119789</v>
      </c>
      <c r="H11" s="20" t="n">
        <v>0.9935087</v>
      </c>
      <c r="I11" s="18" t="n">
        <v>0</v>
      </c>
      <c r="J11" s="20" t="n">
        <v>0</v>
      </c>
      <c r="K11" s="18" t="n">
        <v>34.68797099</v>
      </c>
      <c r="L11" s="20" t="n">
        <v>1.56723632</v>
      </c>
      <c r="M11" s="18" t="n">
        <v>0.00770121</v>
      </c>
      <c r="N11" s="20" t="n">
        <v>0.00775392</v>
      </c>
      <c r="O11" s="18" t="n">
        <v>0</v>
      </c>
      <c r="P11" s="20" t="n">
        <v>0</v>
      </c>
      <c r="Q11" s="18" t="n">
        <v>0</v>
      </c>
      <c r="R11" s="20" t="n">
        <v>0</v>
      </c>
    </row>
    <row r="12" spans="1:18">
      <c r="A12" s="15" t="s">
        <v>570</v>
      </c>
      <c r="B12" s="17" t="n">
        <v>6894</v>
      </c>
      <c r="C12" s="18">
        <f>(5461.0/B12*100)</f>
        <v/>
      </c>
      <c r="D12" s="19" t="n">
        <v>1433</v>
      </c>
      <c r="E12" s="18" t="n">
        <v>45.35823726</v>
      </c>
      <c r="F12" s="20" t="n">
        <v>1.63017297</v>
      </c>
      <c r="G12" s="18" t="n">
        <v>24.20123742</v>
      </c>
      <c r="H12" s="20" t="n">
        <v>1.22465596</v>
      </c>
      <c r="I12" s="18" t="n">
        <v>0</v>
      </c>
      <c r="J12" s="20" t="n">
        <v>0</v>
      </c>
      <c r="K12" s="18" t="n">
        <v>30.44052532</v>
      </c>
      <c r="L12" s="20" t="n">
        <v>1.39336418</v>
      </c>
      <c r="M12" s="18" t="n">
        <v>0</v>
      </c>
      <c r="N12" s="20" t="n">
        <v>0</v>
      </c>
      <c r="O12" s="18" t="n">
        <v>0</v>
      </c>
      <c r="P12" s="20" t="n">
        <v>0</v>
      </c>
      <c r="Q12" s="18" t="n">
        <v>0</v>
      </c>
      <c r="R12" s="20" t="n">
        <v>0</v>
      </c>
    </row>
    <row r="13" spans="1:18">
      <c r="A13" s="15" t="s">
        <v>571</v>
      </c>
      <c r="B13" s="17" t="n">
        <v>7161</v>
      </c>
      <c r="C13" s="18">
        <f>(5721.0/B13*100)</f>
        <v/>
      </c>
      <c r="D13" s="19" t="n">
        <v>1440</v>
      </c>
      <c r="E13" s="18" t="n">
        <v>50.92825356</v>
      </c>
      <c r="F13" s="20" t="n">
        <v>1.49111714</v>
      </c>
      <c r="G13" s="18" t="n">
        <v>27.93249693</v>
      </c>
      <c r="H13" s="20" t="n">
        <v>1.4405832</v>
      </c>
      <c r="I13" s="18" t="n">
        <v>0</v>
      </c>
      <c r="J13" s="20" t="n">
        <v>0</v>
      </c>
      <c r="K13" s="18" t="n">
        <v>21.12519534</v>
      </c>
      <c r="L13" s="20" t="n">
        <v>1.38919778</v>
      </c>
      <c r="M13" s="18" t="n">
        <v>0.01405418</v>
      </c>
      <c r="N13" s="20" t="n">
        <v>0.01398114</v>
      </c>
      <c r="O13" s="18" t="n">
        <v>0</v>
      </c>
      <c r="P13" s="20" t="n">
        <v>0</v>
      </c>
      <c r="Q13" s="18" t="n">
        <v>0</v>
      </c>
      <c r="R13" s="20" t="n">
        <v>0</v>
      </c>
    </row>
    <row r="14" spans="1:18">
      <c r="A14" s="15" t="s">
        <v>572</v>
      </c>
      <c r="B14" s="17" t="n">
        <v>5587</v>
      </c>
      <c r="C14" s="18">
        <f>(4392.0/B14*100)</f>
        <v/>
      </c>
      <c r="D14" s="19" t="n">
        <v>1195</v>
      </c>
      <c r="E14" s="18" t="n">
        <v>40.42551822</v>
      </c>
      <c r="F14" s="20" t="n">
        <v>1.53535808</v>
      </c>
      <c r="G14" s="18" t="n">
        <v>45.77034503</v>
      </c>
      <c r="H14" s="20" t="n">
        <v>1.57059793</v>
      </c>
      <c r="I14" s="18" t="n">
        <v>0</v>
      </c>
      <c r="J14" s="20" t="n">
        <v>0</v>
      </c>
      <c r="K14" s="18" t="n">
        <v>13.80413676</v>
      </c>
      <c r="L14" s="20" t="n">
        <v>0.98907954</v>
      </c>
      <c r="M14" s="18" t="n">
        <v>0</v>
      </c>
      <c r="N14" s="20" t="n">
        <v>0</v>
      </c>
      <c r="O14" s="18" t="n">
        <v>0</v>
      </c>
      <c r="P14" s="20" t="n">
        <v>0</v>
      </c>
      <c r="Q14" s="18" t="n">
        <v>0</v>
      </c>
      <c r="R14" s="20" t="n">
        <v>0</v>
      </c>
    </row>
    <row r="15" spans="1:18">
      <c r="A15" s="15" t="s">
        <v>573</v>
      </c>
      <c r="B15" s="17" t="n">
        <v>5882</v>
      </c>
      <c r="C15" s="18">
        <f>(4670.0/B15*100)</f>
        <v/>
      </c>
      <c r="D15" s="19" t="n">
        <v>1212</v>
      </c>
      <c r="E15" s="18" t="n">
        <v>41.30633368</v>
      </c>
      <c r="F15" s="20" t="n">
        <v>1.54533369</v>
      </c>
      <c r="G15" s="18" t="n">
        <v>45.04246592</v>
      </c>
      <c r="H15" s="20" t="n">
        <v>1.45035823</v>
      </c>
      <c r="I15" s="18" t="n">
        <v>0</v>
      </c>
      <c r="J15" s="20" t="n">
        <v>0</v>
      </c>
      <c r="K15" s="18" t="n">
        <v>13.6512004</v>
      </c>
      <c r="L15" s="20" t="n">
        <v>0.93648754</v>
      </c>
      <c r="M15" s="18" t="n">
        <v>0</v>
      </c>
      <c r="N15" s="20" t="n">
        <v>0</v>
      </c>
      <c r="O15" s="18" t="n">
        <v>0</v>
      </c>
      <c r="P15" s="20" t="n">
        <v>0</v>
      </c>
      <c r="Q15" s="18" t="n">
        <v>0</v>
      </c>
      <c r="R15" s="20" t="n">
        <v>0</v>
      </c>
    </row>
    <row r="16" spans="1:18">
      <c r="A16" s="15" t="s">
        <v>574</v>
      </c>
      <c r="B16" s="17" t="n">
        <v>6108</v>
      </c>
      <c r="C16" s="18">
        <f>(4820.0/B16*100)</f>
        <v/>
      </c>
      <c r="D16" s="19" t="n">
        <v>1288</v>
      </c>
      <c r="E16" s="18" t="n">
        <v>29.45514636</v>
      </c>
      <c r="F16" s="20" t="n">
        <v>1.61901558</v>
      </c>
      <c r="G16" s="18" t="n">
        <v>35.70747801</v>
      </c>
      <c r="H16" s="20" t="n">
        <v>1.38099486</v>
      </c>
      <c r="I16" s="18" t="n">
        <v>0</v>
      </c>
      <c r="J16" s="20" t="n">
        <v>0</v>
      </c>
      <c r="K16" s="18" t="n">
        <v>34.83737563</v>
      </c>
      <c r="L16" s="20" t="n">
        <v>1.95267428</v>
      </c>
      <c r="M16" s="18" t="n">
        <v>0</v>
      </c>
      <c r="N16" s="20" t="n">
        <v>0</v>
      </c>
      <c r="O16" s="18" t="n">
        <v>0</v>
      </c>
      <c r="P16" s="20" t="n">
        <v>0</v>
      </c>
      <c r="Q16" s="18" t="n">
        <v>0</v>
      </c>
      <c r="R16" s="20" t="n">
        <v>0</v>
      </c>
    </row>
    <row r="17" spans="1:18">
      <c r="A17" s="15" t="s">
        <v>575</v>
      </c>
      <c r="B17" s="17" t="n">
        <v>6504</v>
      </c>
      <c r="C17" s="18">
        <f>(5161.0/B17*100)</f>
        <v/>
      </c>
      <c r="D17" s="19" t="n">
        <v>1343</v>
      </c>
      <c r="E17" s="18" t="n">
        <v>35.51252778</v>
      </c>
      <c r="F17" s="20" t="n">
        <v>1.43100613</v>
      </c>
      <c r="G17" s="18" t="n">
        <v>36.51343901</v>
      </c>
      <c r="H17" s="20" t="n">
        <v>1.63600397</v>
      </c>
      <c r="I17" s="18" t="n">
        <v>0</v>
      </c>
      <c r="J17" s="20" t="n">
        <v>0</v>
      </c>
      <c r="K17" s="18" t="n">
        <v>27.97403321</v>
      </c>
      <c r="L17" s="20" t="n">
        <v>1.2940802</v>
      </c>
      <c r="M17" s="18" t="n">
        <v>0</v>
      </c>
      <c r="N17" s="20" t="n">
        <v>0</v>
      </c>
      <c r="O17" s="18" t="n">
        <v>0</v>
      </c>
      <c r="P17" s="20" t="n">
        <v>0</v>
      </c>
      <c r="Q17" s="18" t="n">
        <v>0</v>
      </c>
      <c r="R17" s="20" t="n">
        <v>0</v>
      </c>
    </row>
    <row r="18" spans="1:18">
      <c r="A18" s="15" t="s">
        <v>576</v>
      </c>
      <c r="B18" s="17" t="n">
        <v>5532</v>
      </c>
      <c r="C18" s="18">
        <f>(4325.0/B18*100)</f>
        <v/>
      </c>
      <c r="D18" s="19" t="n">
        <v>1207</v>
      </c>
      <c r="E18" s="18" t="n">
        <v>49.91923293</v>
      </c>
      <c r="F18" s="20" t="n">
        <v>1.64558597</v>
      </c>
      <c r="G18" s="18" t="n">
        <v>20.43409693</v>
      </c>
      <c r="H18" s="20" t="n">
        <v>1.39553501</v>
      </c>
      <c r="I18" s="18" t="n">
        <v>0</v>
      </c>
      <c r="J18" s="20" t="n">
        <v>0</v>
      </c>
      <c r="K18" s="18" t="n">
        <v>29.64667014</v>
      </c>
      <c r="L18" s="20" t="n">
        <v>1.63407662</v>
      </c>
      <c r="M18" s="18" t="n">
        <v>0</v>
      </c>
      <c r="N18" s="20" t="n">
        <v>0</v>
      </c>
      <c r="O18" s="18" t="n">
        <v>0</v>
      </c>
      <c r="P18" s="20" t="n">
        <v>0</v>
      </c>
      <c r="Q18" s="18" t="n">
        <v>0</v>
      </c>
      <c r="R18" s="20" t="n">
        <v>0</v>
      </c>
    </row>
    <row r="19" spans="1:18">
      <c r="A19" s="15" t="s">
        <v>577</v>
      </c>
      <c r="B19" s="17" t="n">
        <v>5658</v>
      </c>
      <c r="C19" s="18">
        <f>(4498.0/B19*100)</f>
        <v/>
      </c>
      <c r="D19" s="19" t="n">
        <v>1160</v>
      </c>
      <c r="E19" s="18" t="n">
        <v>34.15026507</v>
      </c>
      <c r="F19" s="20" t="n">
        <v>1.62561364</v>
      </c>
      <c r="G19" s="18" t="n">
        <v>39.77443063</v>
      </c>
      <c r="H19" s="20" t="n">
        <v>1.44144863</v>
      </c>
      <c r="I19" s="18" t="n">
        <v>0</v>
      </c>
      <c r="J19" s="20" t="n">
        <v>0</v>
      </c>
      <c r="K19" s="18" t="n">
        <v>25.9997784</v>
      </c>
      <c r="L19" s="20" t="n">
        <v>1.52573647</v>
      </c>
      <c r="M19" s="18" t="n">
        <v>0.07552590000000001</v>
      </c>
      <c r="N19" s="20" t="n">
        <v>0.07003711999999999</v>
      </c>
      <c r="O19" s="18" t="n">
        <v>0</v>
      </c>
      <c r="P19" s="20" t="n">
        <v>0</v>
      </c>
      <c r="Q19" s="18" t="n">
        <v>0</v>
      </c>
      <c r="R19" s="20" t="n">
        <v>0</v>
      </c>
    </row>
    <row r="20" spans="1:18">
      <c r="A20" s="15" t="s">
        <v>578</v>
      </c>
      <c r="B20" s="17" t="n">
        <v>3371</v>
      </c>
      <c r="C20" s="18">
        <f>(2668.0/B20*100)</f>
        <v/>
      </c>
      <c r="D20" s="19" t="n">
        <v>703</v>
      </c>
      <c r="E20" s="18" t="n">
        <v>49.60488438</v>
      </c>
      <c r="F20" s="20" t="n">
        <v>1.84018207</v>
      </c>
      <c r="G20" s="18" t="n">
        <v>26.68168363</v>
      </c>
      <c r="H20" s="20" t="n">
        <v>1.59963446</v>
      </c>
      <c r="I20" s="18" t="n">
        <v>0</v>
      </c>
      <c r="J20" s="20" t="n">
        <v>0</v>
      </c>
      <c r="K20" s="18" t="n">
        <v>23.05788896</v>
      </c>
      <c r="L20" s="20" t="n">
        <v>1.59266939</v>
      </c>
      <c r="M20" s="18" t="n">
        <v>0.65554302</v>
      </c>
      <c r="N20" s="20" t="n">
        <v>0.38914576</v>
      </c>
      <c r="O20" s="18" t="n">
        <v>0</v>
      </c>
      <c r="P20" s="20" t="n">
        <v>0</v>
      </c>
      <c r="Q20" s="18" t="n">
        <v>0</v>
      </c>
      <c r="R20" s="20" t="n">
        <v>0</v>
      </c>
    </row>
    <row r="21" spans="1:18">
      <c r="A21" s="15" t="s">
        <v>579</v>
      </c>
      <c r="B21" s="17" t="n">
        <v>5741</v>
      </c>
      <c r="C21" s="18">
        <f>(4495.0/B21*100)</f>
        <v/>
      </c>
      <c r="D21" s="19" t="n">
        <v>1246</v>
      </c>
      <c r="E21" s="18" t="n">
        <v>53.15913067</v>
      </c>
      <c r="F21" s="20" t="n">
        <v>1.66060379</v>
      </c>
      <c r="G21" s="18" t="n">
        <v>26.06383281</v>
      </c>
      <c r="H21" s="20" t="n">
        <v>1.4719282</v>
      </c>
      <c r="I21" s="18" t="n">
        <v>0</v>
      </c>
      <c r="J21" s="20" t="n">
        <v>0</v>
      </c>
      <c r="K21" s="18" t="n">
        <v>20.77703652</v>
      </c>
      <c r="L21" s="20" t="n">
        <v>1.40564902</v>
      </c>
      <c r="M21" s="18" t="n">
        <v>0</v>
      </c>
      <c r="N21" s="20" t="n">
        <v>0</v>
      </c>
      <c r="O21" s="18" t="n">
        <v>0</v>
      </c>
      <c r="P21" s="20" t="n">
        <v>0</v>
      </c>
      <c r="Q21" s="18" t="n">
        <v>0</v>
      </c>
      <c r="R21" s="20" t="n">
        <v>0</v>
      </c>
    </row>
    <row r="22" spans="1:18">
      <c r="A22" s="15" t="s">
        <v>580</v>
      </c>
      <c r="B22" s="17" t="n">
        <v>6598</v>
      </c>
      <c r="C22" s="18">
        <f>(5346.0/B22*100)</f>
        <v/>
      </c>
      <c r="D22" s="19" t="n">
        <v>1252</v>
      </c>
      <c r="E22" s="18" t="n">
        <v>36.38922826</v>
      </c>
      <c r="F22" s="20" t="n">
        <v>1.30533458</v>
      </c>
      <c r="G22" s="18" t="n">
        <v>28.54123908</v>
      </c>
      <c r="H22" s="20" t="n">
        <v>1.54687492</v>
      </c>
      <c r="I22" s="18" t="n">
        <v>0</v>
      </c>
      <c r="J22" s="20" t="n">
        <v>0</v>
      </c>
      <c r="K22" s="18" t="n">
        <v>35.06953266</v>
      </c>
      <c r="L22" s="20" t="n">
        <v>1.60924721</v>
      </c>
      <c r="M22" s="18" t="n">
        <v>0</v>
      </c>
      <c r="N22" s="20" t="n">
        <v>0</v>
      </c>
      <c r="O22" s="18" t="n">
        <v>0</v>
      </c>
      <c r="P22" s="20" t="n">
        <v>0</v>
      </c>
      <c r="Q22" s="18" t="n">
        <v>0</v>
      </c>
      <c r="R22" s="20" t="n">
        <v>0</v>
      </c>
    </row>
    <row r="23" spans="1:18">
      <c r="A23" s="15" t="s">
        <v>581</v>
      </c>
      <c r="B23" s="17" t="n">
        <v>11583</v>
      </c>
      <c r="C23" s="18">
        <f>(9128.0/B23*100)</f>
        <v/>
      </c>
      <c r="D23" s="19" t="n">
        <v>2455</v>
      </c>
      <c r="E23" s="18" t="n">
        <v>40.90229165</v>
      </c>
      <c r="F23" s="20" t="n">
        <v>1.50008692</v>
      </c>
      <c r="G23" s="18" t="n">
        <v>21.60621907</v>
      </c>
      <c r="H23" s="20" t="n">
        <v>1.24073812</v>
      </c>
      <c r="I23" s="18" t="n">
        <v>0</v>
      </c>
      <c r="J23" s="20" t="n">
        <v>0</v>
      </c>
      <c r="K23" s="18" t="n">
        <v>37.49148928</v>
      </c>
      <c r="L23" s="20" t="n">
        <v>1.78673891</v>
      </c>
      <c r="M23" s="18" t="n">
        <v>0</v>
      </c>
      <c r="N23" s="20" t="n">
        <v>0</v>
      </c>
      <c r="O23" s="18" t="n">
        <v>0</v>
      </c>
      <c r="P23" s="20" t="n">
        <v>0</v>
      </c>
      <c r="Q23" s="18" t="n">
        <v>0</v>
      </c>
      <c r="R23" s="20" t="n">
        <v>0</v>
      </c>
    </row>
    <row r="24" spans="1:18">
      <c r="A24" s="15" t="s">
        <v>582</v>
      </c>
      <c r="B24" s="17" t="n">
        <v>6647</v>
      </c>
      <c r="C24" s="18">
        <f>(5277.0/B24*100)</f>
        <v/>
      </c>
      <c r="D24" s="19" t="n">
        <v>1370</v>
      </c>
      <c r="E24" s="18" t="n">
        <v>36.03531092</v>
      </c>
      <c r="F24" s="20" t="n">
        <v>1.47608715</v>
      </c>
      <c r="G24" s="18" t="n">
        <v>31.03047822</v>
      </c>
      <c r="H24" s="20" t="n">
        <v>1.54378327</v>
      </c>
      <c r="I24" s="18" t="n">
        <v>0</v>
      </c>
      <c r="J24" s="20" t="n">
        <v>0</v>
      </c>
      <c r="K24" s="18" t="n">
        <v>32.93421086</v>
      </c>
      <c r="L24" s="20" t="n">
        <v>1.38443759</v>
      </c>
      <c r="M24" s="18" t="n">
        <v>0</v>
      </c>
      <c r="N24" s="20" t="n">
        <v>0</v>
      </c>
      <c r="O24" s="18" t="n">
        <v>0</v>
      </c>
      <c r="P24" s="20" t="n">
        <v>0</v>
      </c>
      <c r="Q24" s="18" t="n">
        <v>0</v>
      </c>
      <c r="R24" s="20" t="n">
        <v>0</v>
      </c>
    </row>
    <row r="25" spans="1:18">
      <c r="A25" s="15" t="s">
        <v>583</v>
      </c>
      <c r="B25" s="17" t="n">
        <v>5581</v>
      </c>
      <c r="C25" s="18">
        <f>(4323.0/B25*100)</f>
        <v/>
      </c>
      <c r="D25" s="19" t="n">
        <v>1258</v>
      </c>
      <c r="E25" s="18" t="n">
        <v>36.78829864</v>
      </c>
      <c r="F25" s="20" t="n">
        <v>1.60695081</v>
      </c>
      <c r="G25" s="18" t="n">
        <v>44.25541528</v>
      </c>
      <c r="H25" s="20" t="n">
        <v>1.95854881</v>
      </c>
      <c r="I25" s="18" t="n">
        <v>0</v>
      </c>
      <c r="J25" s="20" t="n">
        <v>0</v>
      </c>
      <c r="K25" s="18" t="n">
        <v>18.95628607</v>
      </c>
      <c r="L25" s="20" t="n">
        <v>1.27633436</v>
      </c>
      <c r="M25" s="18" t="n">
        <v>0</v>
      </c>
      <c r="N25" s="20" t="n">
        <v>0</v>
      </c>
      <c r="O25" s="18" t="n">
        <v>0</v>
      </c>
      <c r="P25" s="20" t="n">
        <v>0</v>
      </c>
      <c r="Q25" s="18" t="n">
        <v>0</v>
      </c>
      <c r="R25" s="20" t="n">
        <v>0</v>
      </c>
    </row>
    <row r="26" spans="1:18">
      <c r="A26" s="15" t="s">
        <v>584</v>
      </c>
      <c r="B26" s="17" t="n">
        <v>4869</v>
      </c>
      <c r="C26" s="18">
        <f>(3822.0/B26*100)</f>
        <v/>
      </c>
      <c r="D26" s="19" t="n">
        <v>1047</v>
      </c>
      <c r="E26" s="18" t="n">
        <v>54.54930031</v>
      </c>
      <c r="F26" s="20" t="n">
        <v>1.52975188</v>
      </c>
      <c r="G26" s="18" t="n">
        <v>31.58184204</v>
      </c>
      <c r="H26" s="20" t="n">
        <v>1.66082291</v>
      </c>
      <c r="I26" s="18" t="n">
        <v>0</v>
      </c>
      <c r="J26" s="20" t="n">
        <v>0</v>
      </c>
      <c r="K26" s="18" t="n">
        <v>13.6249483</v>
      </c>
      <c r="L26" s="20" t="n">
        <v>1.22568811</v>
      </c>
      <c r="M26" s="18" t="n">
        <v>0.24390934</v>
      </c>
      <c r="N26" s="20" t="n">
        <v>0.15510057</v>
      </c>
      <c r="O26" s="18" t="n">
        <v>0</v>
      </c>
      <c r="P26" s="20" t="n">
        <v>0</v>
      </c>
      <c r="Q26" s="18" t="n">
        <v>0</v>
      </c>
      <c r="R26" s="20" t="n">
        <v>0</v>
      </c>
    </row>
    <row r="27" spans="1:18">
      <c r="A27" s="15" t="s">
        <v>585</v>
      </c>
      <c r="B27" s="17" t="n">
        <v>5299</v>
      </c>
      <c r="C27" s="18">
        <f>(4231.0/B27*100)</f>
        <v/>
      </c>
      <c r="D27" s="19" t="n">
        <v>1068</v>
      </c>
      <c r="E27" s="18" t="n">
        <v>45.9412831</v>
      </c>
      <c r="F27" s="20" t="n">
        <v>1.63188346</v>
      </c>
      <c r="G27" s="18" t="n">
        <v>23.24963704</v>
      </c>
      <c r="H27" s="20" t="n">
        <v>1.34654511</v>
      </c>
      <c r="I27" s="18" t="n">
        <v>0</v>
      </c>
      <c r="J27" s="20" t="n">
        <v>0</v>
      </c>
      <c r="K27" s="18" t="n">
        <v>30.80907985</v>
      </c>
      <c r="L27" s="20" t="n">
        <v>1.28417211</v>
      </c>
      <c r="M27" s="18" t="n">
        <v>0</v>
      </c>
      <c r="N27" s="20" t="n">
        <v>0</v>
      </c>
      <c r="O27" s="18" t="n">
        <v>0</v>
      </c>
      <c r="P27" s="20" t="n">
        <v>0</v>
      </c>
      <c r="Q27" s="18" t="n">
        <v>0</v>
      </c>
      <c r="R27" s="20" t="n">
        <v>0</v>
      </c>
    </row>
    <row r="28" spans="1:18">
      <c r="A28" s="15" t="s">
        <v>586</v>
      </c>
      <c r="B28" s="17" t="n">
        <v>7568</v>
      </c>
      <c r="C28" s="18">
        <f>(6236.0/B28*100)</f>
        <v/>
      </c>
      <c r="D28" s="19" t="n">
        <v>1332</v>
      </c>
      <c r="E28" s="18" t="n">
        <v>76.69460792</v>
      </c>
      <c r="F28" s="20" t="n">
        <v>1.47925983</v>
      </c>
      <c r="G28" s="18" t="n">
        <v>10.90836162</v>
      </c>
      <c r="H28" s="20" t="n">
        <v>1.08401868</v>
      </c>
      <c r="I28" s="18" t="n">
        <v>0</v>
      </c>
      <c r="J28" s="20" t="n">
        <v>0</v>
      </c>
      <c r="K28" s="18" t="n">
        <v>12.33451682</v>
      </c>
      <c r="L28" s="20" t="n">
        <v>1.05897538</v>
      </c>
      <c r="M28" s="18" t="n">
        <v>0.06251365</v>
      </c>
      <c r="N28" s="20" t="n">
        <v>0.0621719</v>
      </c>
      <c r="O28" s="18" t="n">
        <v>0</v>
      </c>
      <c r="P28" s="20" t="n">
        <v>0</v>
      </c>
      <c r="Q28" s="18" t="n">
        <v>0</v>
      </c>
      <c r="R28" s="20" t="n">
        <v>0</v>
      </c>
    </row>
    <row r="29" spans="1:18">
      <c r="A29" s="15" t="s">
        <v>587</v>
      </c>
      <c r="B29" s="17" t="n">
        <v>5385</v>
      </c>
      <c r="C29" s="18">
        <f>(4191.0/B29*100)</f>
        <v/>
      </c>
      <c r="D29" s="19" t="n">
        <v>1194</v>
      </c>
      <c r="E29" s="18" t="n">
        <v>53.6782484</v>
      </c>
      <c r="F29" s="20" t="n">
        <v>1.77337719</v>
      </c>
      <c r="G29" s="18" t="n">
        <v>35.63351488</v>
      </c>
      <c r="H29" s="20" t="n">
        <v>1.62605905</v>
      </c>
      <c r="I29" s="18" t="n">
        <v>0</v>
      </c>
      <c r="J29" s="20" t="n">
        <v>0</v>
      </c>
      <c r="K29" s="18" t="n">
        <v>10.68823672</v>
      </c>
      <c r="L29" s="20" t="n">
        <v>1.04610032</v>
      </c>
      <c r="M29" s="18" t="n">
        <v>0</v>
      </c>
      <c r="N29" s="20" t="n">
        <v>0</v>
      </c>
      <c r="O29" s="18" t="n">
        <v>0</v>
      </c>
      <c r="P29" s="20" t="n">
        <v>0</v>
      </c>
      <c r="Q29" s="18" t="n">
        <v>0</v>
      </c>
      <c r="R29" s="20" t="n">
        <v>0</v>
      </c>
    </row>
    <row r="30" spans="1:18">
      <c r="A30" s="15" t="s">
        <v>588</v>
      </c>
      <c r="B30" s="17" t="n">
        <v>4520</v>
      </c>
      <c r="C30" s="18">
        <f>(3622.0/B30*100)</f>
        <v/>
      </c>
      <c r="D30" s="19" t="n">
        <v>898</v>
      </c>
      <c r="E30" s="18" t="n">
        <v>52.32949005</v>
      </c>
      <c r="F30" s="20" t="n">
        <v>1.49916865</v>
      </c>
      <c r="G30" s="18" t="n">
        <v>19.59080059</v>
      </c>
      <c r="H30" s="20" t="n">
        <v>1.33316535</v>
      </c>
      <c r="I30" s="18" t="n">
        <v>0</v>
      </c>
      <c r="J30" s="20" t="n">
        <v>0</v>
      </c>
      <c r="K30" s="18" t="n">
        <v>27.97801372</v>
      </c>
      <c r="L30" s="20" t="n">
        <v>1.40868081</v>
      </c>
      <c r="M30" s="18" t="n">
        <v>0.10169563</v>
      </c>
      <c r="N30" s="20" t="n">
        <v>0.10348135</v>
      </c>
      <c r="O30" s="18" t="n">
        <v>0</v>
      </c>
      <c r="P30" s="20" t="n">
        <v>0</v>
      </c>
      <c r="Q30" s="18" t="n">
        <v>0</v>
      </c>
      <c r="R30" s="20" t="n">
        <v>0</v>
      </c>
    </row>
    <row r="31" spans="1:18">
      <c r="A31" s="15" t="s">
        <v>589</v>
      </c>
      <c r="B31" s="17" t="n">
        <v>5456</v>
      </c>
      <c r="C31" s="18">
        <f>(4297.0/B31*100)</f>
        <v/>
      </c>
      <c r="D31" s="19" t="n">
        <v>1159</v>
      </c>
      <c r="E31" s="18" t="n">
        <v>48.27129135</v>
      </c>
      <c r="F31" s="20" t="n">
        <v>1.56217343</v>
      </c>
      <c r="G31" s="18" t="n">
        <v>27.68309052</v>
      </c>
      <c r="H31" s="20" t="n">
        <v>1.42134301</v>
      </c>
      <c r="I31" s="18" t="n">
        <v>0</v>
      </c>
      <c r="J31" s="20" t="n">
        <v>0</v>
      </c>
      <c r="K31" s="18" t="n">
        <v>24.04561813</v>
      </c>
      <c r="L31" s="20" t="n">
        <v>1.17474441</v>
      </c>
      <c r="M31" s="18" t="n">
        <v>0</v>
      </c>
      <c r="N31" s="20" t="n">
        <v>0</v>
      </c>
      <c r="O31" s="18" t="n">
        <v>0</v>
      </c>
      <c r="P31" s="20" t="n">
        <v>0</v>
      </c>
      <c r="Q31" s="18" t="n">
        <v>0</v>
      </c>
      <c r="R31" s="20" t="n">
        <v>0</v>
      </c>
    </row>
    <row r="32" spans="1:18">
      <c r="A32" s="15" t="s">
        <v>590</v>
      </c>
      <c r="B32" s="17" t="n">
        <v>4478</v>
      </c>
      <c r="C32" s="18">
        <f>(3510.0/B32*100)</f>
        <v/>
      </c>
      <c r="D32" s="19" t="n">
        <v>968</v>
      </c>
      <c r="E32" s="18" t="n">
        <v>43.14880948</v>
      </c>
      <c r="F32" s="20" t="n">
        <v>1.62147832</v>
      </c>
      <c r="G32" s="18" t="n">
        <v>28.07976959</v>
      </c>
      <c r="H32" s="20" t="n">
        <v>1.46840924</v>
      </c>
      <c r="I32" s="18" t="n">
        <v>0</v>
      </c>
      <c r="J32" s="20" t="n">
        <v>0</v>
      </c>
      <c r="K32" s="18" t="n">
        <v>28.33219081</v>
      </c>
      <c r="L32" s="20" t="n">
        <v>1.33525484</v>
      </c>
      <c r="M32" s="18" t="n">
        <v>0.43923013</v>
      </c>
      <c r="N32" s="20" t="n">
        <v>0.46876143</v>
      </c>
      <c r="O32" s="18" t="n">
        <v>0</v>
      </c>
      <c r="P32" s="20" t="n">
        <v>0</v>
      </c>
      <c r="Q32" s="18" t="n">
        <v>0</v>
      </c>
      <c r="R32" s="20" t="n">
        <v>0</v>
      </c>
    </row>
    <row r="33" spans="1:18">
      <c r="A33" s="15" t="s">
        <v>591</v>
      </c>
      <c r="B33" s="17" t="n">
        <v>7325</v>
      </c>
      <c r="C33" s="18">
        <f>(5894.0/B33*100)</f>
        <v/>
      </c>
      <c r="D33" s="19" t="n">
        <v>1431</v>
      </c>
      <c r="E33" s="18" t="n">
        <v>35.67639901</v>
      </c>
      <c r="F33" s="20" t="n">
        <v>1.56886381</v>
      </c>
      <c r="G33" s="18" t="n">
        <v>34.09234855</v>
      </c>
      <c r="H33" s="20" t="n">
        <v>1.45846592</v>
      </c>
      <c r="I33" s="18" t="n">
        <v>0</v>
      </c>
      <c r="J33" s="20" t="n">
        <v>0</v>
      </c>
      <c r="K33" s="18" t="n">
        <v>29.94572279</v>
      </c>
      <c r="L33" s="20" t="n">
        <v>1.36353122</v>
      </c>
      <c r="M33" s="18" t="n">
        <v>0.28552966</v>
      </c>
      <c r="N33" s="20" t="n">
        <v>0.14840682</v>
      </c>
      <c r="O33" s="18" t="n">
        <v>0</v>
      </c>
      <c r="P33" s="20" t="n">
        <v>0</v>
      </c>
      <c r="Q33" s="18" t="n">
        <v>0</v>
      </c>
      <c r="R33" s="20" t="n">
        <v>0</v>
      </c>
    </row>
    <row r="34" spans="1:18">
      <c r="A34" s="15" t="s">
        <v>592</v>
      </c>
      <c r="B34" s="17" t="n">
        <v>6350</v>
      </c>
      <c r="C34" s="18">
        <f>(5045.0/B34*100)</f>
        <v/>
      </c>
      <c r="D34" s="19" t="n">
        <v>1305</v>
      </c>
      <c r="E34" s="18" t="n">
        <v>47.61292914</v>
      </c>
      <c r="F34" s="20" t="n">
        <v>1.50848607</v>
      </c>
      <c r="G34" s="18" t="n">
        <v>18.6655155</v>
      </c>
      <c r="H34" s="20" t="n">
        <v>1.05648697</v>
      </c>
      <c r="I34" s="18" t="n">
        <v>0</v>
      </c>
      <c r="J34" s="20" t="n">
        <v>0</v>
      </c>
      <c r="K34" s="18" t="n">
        <v>33.66929742</v>
      </c>
      <c r="L34" s="20" t="n">
        <v>1.4522909</v>
      </c>
      <c r="M34" s="18" t="n">
        <v>0.05225795</v>
      </c>
      <c r="N34" s="20" t="n">
        <v>0.07546122</v>
      </c>
      <c r="O34" s="18" t="n">
        <v>0</v>
      </c>
      <c r="P34" s="20" t="n">
        <v>0</v>
      </c>
      <c r="Q34" s="18" t="n">
        <v>0</v>
      </c>
      <c r="R34" s="20" t="n">
        <v>0</v>
      </c>
    </row>
    <row r="35" spans="1:18">
      <c r="A35" s="15" t="s">
        <v>593</v>
      </c>
      <c r="B35" s="17" t="n">
        <v>6406</v>
      </c>
      <c r="C35" s="18">
        <f>(5040.0/B35*100)</f>
        <v/>
      </c>
      <c r="D35" s="19" t="n">
        <v>1366</v>
      </c>
      <c r="E35" s="18" t="n">
        <v>58.44268119</v>
      </c>
      <c r="F35" s="20" t="n">
        <v>1.64384372</v>
      </c>
      <c r="G35" s="18" t="n">
        <v>22.52722418</v>
      </c>
      <c r="H35" s="20" t="n">
        <v>1.36018866</v>
      </c>
      <c r="I35" s="18" t="n">
        <v>0</v>
      </c>
      <c r="J35" s="20" t="n">
        <v>0</v>
      </c>
      <c r="K35" s="18" t="n">
        <v>18.9058569</v>
      </c>
      <c r="L35" s="20" t="n">
        <v>1.32062475</v>
      </c>
      <c r="M35" s="18" t="n">
        <v>0.12423774</v>
      </c>
      <c r="N35" s="20" t="n">
        <v>0.12389212</v>
      </c>
      <c r="O35" s="18" t="n">
        <v>0</v>
      </c>
      <c r="P35" s="20" t="n">
        <v>0</v>
      </c>
      <c r="Q35" s="18" t="n">
        <v>0</v>
      </c>
      <c r="R35" s="20" t="n">
        <v>0</v>
      </c>
    </row>
    <row r="36" spans="1:18">
      <c r="A36" s="15" t="s">
        <v>594</v>
      </c>
      <c r="B36" s="17" t="n">
        <v>6736</v>
      </c>
      <c r="C36" s="18">
        <f>(5377.0/B36*100)</f>
        <v/>
      </c>
      <c r="D36" s="19" t="n">
        <v>1359</v>
      </c>
      <c r="E36" s="18" t="n">
        <v>42.20374573</v>
      </c>
      <c r="F36" s="20" t="n">
        <v>1.23712776</v>
      </c>
      <c r="G36" s="18" t="n">
        <v>32.54245773</v>
      </c>
      <c r="H36" s="20" t="n">
        <v>1.18730633</v>
      </c>
      <c r="I36" s="18" t="n">
        <v>0</v>
      </c>
      <c r="J36" s="20" t="n">
        <v>0</v>
      </c>
      <c r="K36" s="18" t="n">
        <v>25.18004039</v>
      </c>
      <c r="L36" s="20" t="n">
        <v>1.2438726</v>
      </c>
      <c r="M36" s="18" t="n">
        <v>0.07375615000000001</v>
      </c>
      <c r="N36" s="20" t="n">
        <v>0.07107954</v>
      </c>
      <c r="O36" s="18" t="n">
        <v>0</v>
      </c>
      <c r="P36" s="20" t="n">
        <v>0</v>
      </c>
      <c r="Q36" s="18" t="n">
        <v>0</v>
      </c>
      <c r="R36" s="20" t="n">
        <v>0</v>
      </c>
    </row>
    <row r="37" spans="1:18">
      <c r="A37" s="15" t="s">
        <v>595</v>
      </c>
      <c r="B37" s="17" t="n">
        <v>5458</v>
      </c>
      <c r="C37" s="18">
        <f>(4352.0/B37*100)</f>
        <v/>
      </c>
      <c r="D37" s="19" t="n">
        <v>1106</v>
      </c>
      <c r="E37" s="18" t="n">
        <v>38.24424941</v>
      </c>
      <c r="F37" s="20" t="n">
        <v>1.44827781</v>
      </c>
      <c r="G37" s="18" t="n">
        <v>33.73591472</v>
      </c>
      <c r="H37" s="20" t="n">
        <v>1.6544556</v>
      </c>
      <c r="I37" s="18" t="n">
        <v>0</v>
      </c>
      <c r="J37" s="20" t="n">
        <v>0</v>
      </c>
      <c r="K37" s="18" t="n">
        <v>27.93544724</v>
      </c>
      <c r="L37" s="20" t="n">
        <v>1.77323682</v>
      </c>
      <c r="M37" s="18" t="n">
        <v>0.08438864</v>
      </c>
      <c r="N37" s="20" t="n">
        <v>0.08424291</v>
      </c>
      <c r="O37" s="18" t="n">
        <v>0</v>
      </c>
      <c r="P37" s="20" t="n">
        <v>0</v>
      </c>
      <c r="Q37" s="18" t="n">
        <v>0</v>
      </c>
      <c r="R37" s="20" t="n">
        <v>0</v>
      </c>
    </row>
    <row r="38" spans="1:18">
      <c r="A38" s="15" t="s">
        <v>596</v>
      </c>
      <c r="B38" s="17" t="n">
        <v>5860</v>
      </c>
      <c r="C38" s="18">
        <f>(4608.0/B38*100)</f>
        <v/>
      </c>
      <c r="D38" s="19" t="n">
        <v>1252</v>
      </c>
      <c r="E38" s="18" t="n">
        <v>50.84489878</v>
      </c>
      <c r="F38" s="20" t="n">
        <v>1.7808143</v>
      </c>
      <c r="G38" s="18" t="n">
        <v>21.64011339</v>
      </c>
      <c r="H38" s="20" t="n">
        <v>1.48084554</v>
      </c>
      <c r="I38" s="18" t="n">
        <v>0</v>
      </c>
      <c r="J38" s="20" t="n">
        <v>0</v>
      </c>
      <c r="K38" s="18" t="n">
        <v>25.39719576</v>
      </c>
      <c r="L38" s="20" t="n">
        <v>1.50165546</v>
      </c>
      <c r="M38" s="18" t="n">
        <v>2.11779206</v>
      </c>
      <c r="N38" s="20" t="n">
        <v>0.45827697</v>
      </c>
      <c r="O38" s="18" t="n">
        <v>0</v>
      </c>
      <c r="P38" s="20" t="n">
        <v>0</v>
      </c>
      <c r="Q38" s="18" t="n">
        <v>0</v>
      </c>
      <c r="R38" s="20" t="n">
        <v>0</v>
      </c>
    </row>
    <row r="39" spans="1:18">
      <c r="A39" s="15" t="s">
        <v>597</v>
      </c>
      <c r="B39" s="17" t="n">
        <v>5895</v>
      </c>
      <c r="C39" s="18">
        <f>(4596.0/B39*100)</f>
        <v/>
      </c>
      <c r="D39" s="19" t="n">
        <v>1299</v>
      </c>
      <c r="E39" s="18" t="n">
        <v>59.98442722</v>
      </c>
      <c r="F39" s="20" t="n">
        <v>1.50299921</v>
      </c>
      <c r="G39" s="18" t="n">
        <v>9.541817999999999</v>
      </c>
      <c r="H39" s="20" t="n">
        <v>0.9827996</v>
      </c>
      <c r="I39" s="18" t="n">
        <v>0</v>
      </c>
      <c r="J39" s="20" t="n">
        <v>0</v>
      </c>
      <c r="K39" s="18" t="n">
        <v>30.47375478</v>
      </c>
      <c r="L39" s="20" t="n">
        <v>1.27942085</v>
      </c>
      <c r="M39" s="18" t="n">
        <v>0</v>
      </c>
      <c r="N39" s="20" t="n">
        <v>0</v>
      </c>
      <c r="O39" s="18" t="n">
        <v>0</v>
      </c>
      <c r="P39" s="20" t="n">
        <v>0</v>
      </c>
      <c r="Q39" s="18" t="n">
        <v>0</v>
      </c>
      <c r="R39" s="20" t="n">
        <v>0</v>
      </c>
    </row>
    <row r="40" spans="1:18">
      <c r="A40" s="15" t="s">
        <v>598</v>
      </c>
      <c r="B40" s="17" t="n">
        <v>14157</v>
      </c>
      <c r="C40" s="18">
        <f>(11019.0/B40*100)</f>
        <v/>
      </c>
      <c r="D40" s="19" t="n">
        <v>3138</v>
      </c>
      <c r="E40" s="18" t="n">
        <v>45.62108367</v>
      </c>
      <c r="F40" s="20" t="n">
        <v>1.51852433</v>
      </c>
      <c r="G40" s="18" t="n">
        <v>28.95810662</v>
      </c>
      <c r="H40" s="20" t="n">
        <v>1.50104966</v>
      </c>
      <c r="I40" s="18" t="n">
        <v>0</v>
      </c>
      <c r="J40" s="20" t="n">
        <v>0</v>
      </c>
      <c r="K40" s="18" t="n">
        <v>25.34322009</v>
      </c>
      <c r="L40" s="20" t="n">
        <v>1.25541948</v>
      </c>
      <c r="M40" s="18" t="n">
        <v>0.07758962</v>
      </c>
      <c r="N40" s="20" t="n">
        <v>0.07795079000000001</v>
      </c>
      <c r="O40" s="18" t="n">
        <v>0</v>
      </c>
      <c r="P40" s="20" t="n">
        <v>0</v>
      </c>
      <c r="Q40" s="18" t="n">
        <v>0</v>
      </c>
      <c r="R40" s="20" t="n">
        <v>0</v>
      </c>
    </row>
    <row r="41" spans="1:18">
      <c r="A41" s="15" t="s">
        <v>599</v>
      </c>
      <c r="B41" s="17" t="n">
        <v>5712</v>
      </c>
      <c r="C41" s="18">
        <f>(4535.0/B41*100)</f>
        <v/>
      </c>
      <c r="D41" s="19" t="n">
        <v>1177</v>
      </c>
      <c r="E41" s="18" t="n">
        <v>64.93607407</v>
      </c>
      <c r="F41" s="20" t="n">
        <v>1.53162297</v>
      </c>
      <c r="G41" s="18" t="n">
        <v>25.37179507</v>
      </c>
      <c r="H41" s="20" t="n">
        <v>1.45682956</v>
      </c>
      <c r="I41" s="18" t="n">
        <v>0</v>
      </c>
      <c r="J41" s="20" t="n">
        <v>0</v>
      </c>
      <c r="K41" s="18" t="n">
        <v>9.692130860000001</v>
      </c>
      <c r="L41" s="20" t="n">
        <v>0.95878253</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(19995.0/B46*100)</f>
        <v/>
      </c>
      <c r="D46" s="19" t="n">
        <v>3146</v>
      </c>
      <c r="E46" s="18" t="n">
        <v>51.69227727</v>
      </c>
      <c r="F46" s="20" t="n">
        <v>1.26238494</v>
      </c>
      <c r="G46" s="18" t="n">
        <v>6.6434916</v>
      </c>
      <c r="H46" s="20" t="n">
        <v>0.69283354</v>
      </c>
      <c r="I46" s="18" t="n">
        <v>0</v>
      </c>
      <c r="J46" s="20" t="n">
        <v>0</v>
      </c>
      <c r="K46" s="18" t="n">
        <v>41.27535045</v>
      </c>
      <c r="L46" s="20" t="n">
        <v>1.23534681</v>
      </c>
      <c r="M46" s="18" t="n">
        <v>0.38888068</v>
      </c>
      <c r="N46" s="20" t="n">
        <v>0.14991703</v>
      </c>
      <c r="O46" s="18" t="n">
        <v>0</v>
      </c>
      <c r="P46" s="20" t="n">
        <v>0</v>
      </c>
      <c r="Q46" s="18" t="n">
        <v>0</v>
      </c>
      <c r="R46" s="20" t="n">
        <v>0</v>
      </c>
    </row>
    <row r="47" spans="1:18">
      <c r="A47" s="15" t="s">
        <v>606</v>
      </c>
      <c r="B47" s="17" t="n">
        <v>5928</v>
      </c>
      <c r="C47" s="18">
        <f>(4730.0/B47*100)</f>
        <v/>
      </c>
      <c r="D47" s="19" t="n">
        <v>1198</v>
      </c>
      <c r="E47" s="18" t="n">
        <v>34.99818245</v>
      </c>
      <c r="F47" s="20" t="n">
        <v>1.50053651</v>
      </c>
      <c r="G47" s="18" t="n">
        <v>22.20576976</v>
      </c>
      <c r="H47" s="20" t="n">
        <v>1.59053306</v>
      </c>
      <c r="I47" s="18" t="n">
        <v>0</v>
      </c>
      <c r="J47" s="20" t="n">
        <v>0</v>
      </c>
      <c r="K47" s="18" t="n">
        <v>42.71256161</v>
      </c>
      <c r="L47" s="20" t="n">
        <v>1.89326283</v>
      </c>
      <c r="M47" s="18" t="n">
        <v>0.08348617999999999</v>
      </c>
      <c r="N47" s="20" t="n">
        <v>0.08069398</v>
      </c>
      <c r="O47" s="18" t="n">
        <v>0</v>
      </c>
      <c r="P47" s="20" t="n">
        <v>0</v>
      </c>
      <c r="Q47" s="18" t="n">
        <v>0</v>
      </c>
      <c r="R47" s="20" t="n">
        <v>0</v>
      </c>
    </row>
    <row r="48" spans="1:18">
      <c r="A48" s="15" t="s">
        <v>607</v>
      </c>
      <c r="B48" s="17" t="n">
        <v>9841</v>
      </c>
      <c r="C48" s="18">
        <f>(7684.0/B48*100)</f>
        <v/>
      </c>
      <c r="D48" s="19" t="n">
        <v>2157</v>
      </c>
      <c r="E48" s="18" t="n">
        <v>36.02310918</v>
      </c>
      <c r="F48" s="20" t="n">
        <v>1.70766002</v>
      </c>
      <c r="G48" s="18" t="n">
        <v>46.37353391</v>
      </c>
      <c r="H48" s="20" t="n">
        <v>1.89742175</v>
      </c>
      <c r="I48" s="18" t="n">
        <v>0</v>
      </c>
      <c r="J48" s="20" t="n">
        <v>0</v>
      </c>
      <c r="K48" s="18" t="n">
        <v>17.60335691</v>
      </c>
      <c r="L48" s="20" t="n">
        <v>1.38852433</v>
      </c>
      <c r="M48" s="18" t="n">
        <v>0</v>
      </c>
      <c r="N48" s="20" t="n">
        <v>0</v>
      </c>
      <c r="O48" s="18" t="n">
        <v>0</v>
      </c>
      <c r="P48" s="20" t="n">
        <v>0</v>
      </c>
      <c r="Q48" s="18" t="n">
        <v>0</v>
      </c>
      <c r="R48" s="20" t="n">
        <v>0</v>
      </c>
    </row>
    <row r="49" spans="1:18">
      <c r="A49" s="15" t="s">
        <v>608</v>
      </c>
      <c r="B49" s="17" t="n">
        <v>11795</v>
      </c>
      <c r="C49" s="18">
        <f>(9424.0/B49*100)</f>
        <v/>
      </c>
      <c r="D49" s="19" t="n">
        <v>2371</v>
      </c>
      <c r="E49" s="18" t="n">
        <v>65.17120674</v>
      </c>
      <c r="F49" s="20" t="n">
        <v>1.47159272</v>
      </c>
      <c r="G49" s="18" t="n">
        <v>13.53389251</v>
      </c>
      <c r="H49" s="20" t="n">
        <v>1.03562323</v>
      </c>
      <c r="I49" s="18" t="n">
        <v>0</v>
      </c>
      <c r="J49" s="20" t="n">
        <v>0</v>
      </c>
      <c r="K49" s="18" t="n">
        <v>21.17822888</v>
      </c>
      <c r="L49" s="20" t="n">
        <v>1.31197772</v>
      </c>
      <c r="M49" s="18" t="n">
        <v>0.11667188</v>
      </c>
      <c r="N49" s="20" t="n">
        <v>0.07748012999999999</v>
      </c>
      <c r="O49" s="18" t="n">
        <v>0</v>
      </c>
      <c r="P49" s="20" t="n">
        <v>0</v>
      </c>
      <c r="Q49" s="18" t="n">
        <v>0</v>
      </c>
      <c r="R49" s="20" t="n">
        <v>0</v>
      </c>
    </row>
    <row r="50" spans="1:18">
      <c r="A50" s="15" t="s">
        <v>609</v>
      </c>
      <c r="B50" s="17" t="n">
        <v>6866</v>
      </c>
      <c r="C50" s="18">
        <f>(5701.0/B50*100)</f>
        <v/>
      </c>
      <c r="D50" s="19" t="n">
        <v>1165</v>
      </c>
      <c r="E50" s="18" t="n">
        <v>65.00543601</v>
      </c>
      <c r="F50" s="20" t="n">
        <v>1.42705448</v>
      </c>
      <c r="G50" s="18" t="n">
        <v>13.87461355</v>
      </c>
      <c r="H50" s="20" t="n">
        <v>1.1652083</v>
      </c>
      <c r="I50" s="18" t="n">
        <v>0</v>
      </c>
      <c r="J50" s="20" t="n">
        <v>0</v>
      </c>
      <c r="K50" s="18" t="n">
        <v>21.11995044</v>
      </c>
      <c r="L50" s="20" t="n">
        <v>1.4467048</v>
      </c>
      <c r="M50" s="18" t="n">
        <v>0</v>
      </c>
      <c r="N50" s="20" t="n">
        <v>0</v>
      </c>
      <c r="O50" s="18" t="n">
        <v>0</v>
      </c>
      <c r="P50" s="20" t="n">
        <v>0</v>
      </c>
      <c r="Q50" s="18" t="n">
        <v>0</v>
      </c>
      <c r="R50" s="20" t="n">
        <v>0</v>
      </c>
    </row>
    <row r="51" spans="1:18">
      <c r="A51" s="15" t="s">
        <v>610</v>
      </c>
      <c r="B51" s="17" t="n">
        <v>5809</v>
      </c>
      <c r="C51" s="18">
        <f>(4570.0/B51*100)</f>
        <v/>
      </c>
      <c r="D51" s="19" t="n">
        <v>1239</v>
      </c>
      <c r="E51" s="18" t="n">
        <v>47.54551515</v>
      </c>
      <c r="F51" s="20" t="n">
        <v>1.39944959</v>
      </c>
      <c r="G51" s="18" t="n">
        <v>22.84683293</v>
      </c>
      <c r="H51" s="20" t="n">
        <v>1.31029475</v>
      </c>
      <c r="I51" s="18" t="n">
        <v>0</v>
      </c>
      <c r="J51" s="20" t="n">
        <v>0</v>
      </c>
      <c r="K51" s="18" t="n">
        <v>29.60765192</v>
      </c>
      <c r="L51" s="20" t="n">
        <v>1.47449111</v>
      </c>
      <c r="M51" s="18" t="n">
        <v>0</v>
      </c>
      <c r="N51" s="20" t="n">
        <v>0</v>
      </c>
      <c r="O51" s="18" t="n">
        <v>0</v>
      </c>
      <c r="P51" s="20" t="n">
        <v>0</v>
      </c>
      <c r="Q51" s="18" t="n">
        <v>0</v>
      </c>
      <c r="R51" s="20" t="n">
        <v>0</v>
      </c>
    </row>
    <row r="52" spans="1:18">
      <c r="A52" s="15" t="s">
        <v>611</v>
      </c>
      <c r="B52" s="17" t="n">
        <v>5571</v>
      </c>
      <c r="C52" s="18">
        <f>(4392.0/B52*100)</f>
        <v/>
      </c>
      <c r="D52" s="19" t="n">
        <v>1179</v>
      </c>
      <c r="E52" s="18" t="n">
        <v>46.21747194</v>
      </c>
      <c r="F52" s="20" t="n">
        <v>1.40825621</v>
      </c>
      <c r="G52" s="18" t="n">
        <v>15.95950749</v>
      </c>
      <c r="H52" s="20" t="n">
        <v>1.02209606</v>
      </c>
      <c r="I52" s="18" t="n">
        <v>0</v>
      </c>
      <c r="J52" s="20" t="n">
        <v>0</v>
      </c>
      <c r="K52" s="18" t="n">
        <v>37.82302057</v>
      </c>
      <c r="L52" s="20" t="n">
        <v>1.50740685</v>
      </c>
      <c r="M52" s="18" t="n">
        <v>0</v>
      </c>
      <c r="N52" s="20" t="n">
        <v>0</v>
      </c>
      <c r="O52" s="18" t="n">
        <v>0</v>
      </c>
      <c r="P52" s="20" t="n">
        <v>0</v>
      </c>
      <c r="Q52" s="18" t="n">
        <v>0</v>
      </c>
      <c r="R52" s="20" t="n">
        <v>0</v>
      </c>
    </row>
    <row r="53" spans="1:18">
      <c r="A53" s="15" t="s">
        <v>612</v>
      </c>
      <c r="B53" s="17" t="n">
        <v>4740</v>
      </c>
      <c r="C53" s="18">
        <f>(3735.0/B53*100)</f>
        <v/>
      </c>
      <c r="D53" s="19" t="n">
        <v>1005</v>
      </c>
      <c r="E53" s="18" t="n">
        <v>42.33153802</v>
      </c>
      <c r="F53" s="20" t="n">
        <v>1.63234981</v>
      </c>
      <c r="G53" s="18" t="n">
        <v>4.17536488</v>
      </c>
      <c r="H53" s="20" t="n">
        <v>0.74224774</v>
      </c>
      <c r="I53" s="18" t="n">
        <v>0</v>
      </c>
      <c r="J53" s="20" t="n">
        <v>0</v>
      </c>
      <c r="K53" s="18" t="n">
        <v>52.68818809</v>
      </c>
      <c r="L53" s="20" t="n">
        <v>1.71792952</v>
      </c>
      <c r="M53" s="18" t="n">
        <v>0.804909</v>
      </c>
      <c r="N53" s="20" t="n">
        <v>0.67001282</v>
      </c>
      <c r="O53" s="18" t="n">
        <v>0</v>
      </c>
      <c r="P53" s="20" t="n">
        <v>0</v>
      </c>
      <c r="Q53" s="18" t="n">
        <v>0</v>
      </c>
      <c r="R53" s="20" t="n">
        <v>0</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(4227.0/B55*100)</f>
        <v/>
      </c>
      <c r="D55" s="19" t="n">
        <v>1132</v>
      </c>
      <c r="E55" s="18" t="n">
        <v>26.14093221</v>
      </c>
      <c r="F55" s="20" t="n">
        <v>1.59193128</v>
      </c>
      <c r="G55" s="18" t="n">
        <v>58.60981835</v>
      </c>
      <c r="H55" s="20" t="n">
        <v>1.65057424</v>
      </c>
      <c r="I55" s="18" t="n">
        <v>0</v>
      </c>
      <c r="J55" s="20" t="n">
        <v>0</v>
      </c>
      <c r="K55" s="18" t="n">
        <v>15.24924945</v>
      </c>
      <c r="L55" s="20" t="n">
        <v>0.95241358</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(5100.0/B61*100)</f>
        <v/>
      </c>
      <c r="D61" s="19" t="n">
        <v>1425</v>
      </c>
      <c r="E61" s="18" t="n">
        <v>60.13685037</v>
      </c>
      <c r="F61" s="20" t="n">
        <v>1.53788033</v>
      </c>
      <c r="G61" s="18" t="n">
        <v>18.22437326</v>
      </c>
      <c r="H61" s="20" t="n">
        <v>1.18492993</v>
      </c>
      <c r="I61" s="18" t="n">
        <v>0</v>
      </c>
      <c r="J61" s="20" t="n">
        <v>0</v>
      </c>
      <c r="K61" s="18" t="n">
        <v>21.55384806</v>
      </c>
      <c r="L61" s="20" t="n">
        <v>1.25451298</v>
      </c>
      <c r="M61" s="18" t="n">
        <v>0.08492831000000001</v>
      </c>
      <c r="N61" s="20" t="n">
        <v>0.08388355</v>
      </c>
      <c r="O61" s="18" t="n">
        <v>0</v>
      </c>
      <c r="P61" s="20" t="n">
        <v>0</v>
      </c>
      <c r="Q61" s="18" t="n">
        <v>0</v>
      </c>
      <c r="R61" s="20" t="n">
        <v>0</v>
      </c>
    </row>
    <row r="62" spans="1:18">
      <c r="A62" s="15" t="s">
        <v>622</v>
      </c>
      <c r="B62" s="17" t="n">
        <v>4476</v>
      </c>
      <c r="C62" s="18">
        <f>(3604.0/B62*100)</f>
        <v/>
      </c>
      <c r="D62" s="19" t="n">
        <v>872</v>
      </c>
      <c r="E62" s="18" t="n">
        <v>43.45473067</v>
      </c>
      <c r="F62" s="20" t="n">
        <v>1.70466137</v>
      </c>
      <c r="G62" s="18" t="n">
        <v>47.57085341</v>
      </c>
      <c r="H62" s="20" t="n">
        <v>1.73338467</v>
      </c>
      <c r="I62" s="18" t="n">
        <v>0</v>
      </c>
      <c r="J62" s="20" t="n">
        <v>0</v>
      </c>
      <c r="K62" s="18" t="n">
        <v>8.97441592</v>
      </c>
      <c r="L62" s="20" t="n">
        <v>0.99609643</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(4527.0/B67*100)</f>
        <v/>
      </c>
      <c r="D67" s="19" t="n">
        <v>1138</v>
      </c>
      <c r="E67" s="18" t="n">
        <v>29.5556506</v>
      </c>
      <c r="F67" s="20" t="n">
        <v>1.42384687</v>
      </c>
      <c r="G67" s="18" t="n">
        <v>17.42912062</v>
      </c>
      <c r="H67" s="20" t="n">
        <v>1.1833344</v>
      </c>
      <c r="I67" s="18" t="n">
        <v>0</v>
      </c>
      <c r="J67" s="20" t="n">
        <v>0</v>
      </c>
      <c r="K67" s="18" t="n">
        <v>52.4971244</v>
      </c>
      <c r="L67" s="20" t="n">
        <v>1.54124166</v>
      </c>
      <c r="M67" s="18" t="n">
        <v>0.51810438</v>
      </c>
      <c r="N67" s="20" t="n">
        <v>0.20348144</v>
      </c>
      <c r="O67" s="18" t="n">
        <v>0</v>
      </c>
      <c r="P67" s="20" t="n">
        <v>0</v>
      </c>
      <c r="Q67" s="18" t="n">
        <v>0</v>
      </c>
      <c r="R67" s="20" t="n">
        <v>0</v>
      </c>
    </row>
    <row r="68" spans="1:18">
      <c r="A68" s="15" t="s">
        <v>628</v>
      </c>
      <c r="B68" s="17" t="n">
        <v>6971</v>
      </c>
      <c r="C68" s="18">
        <f>(5890.0/B68*100)</f>
        <v/>
      </c>
      <c r="D68" s="19" t="n">
        <v>1081</v>
      </c>
      <c r="E68" s="18" t="n">
        <v>70.20448893</v>
      </c>
      <c r="F68" s="20" t="n">
        <v>1.74394101</v>
      </c>
      <c r="G68" s="18" t="n">
        <v>7.93603297</v>
      </c>
      <c r="H68" s="20" t="n">
        <v>0.99405534</v>
      </c>
      <c r="I68" s="18" t="n">
        <v>0</v>
      </c>
      <c r="J68" s="20" t="n">
        <v>0</v>
      </c>
      <c r="K68" s="18" t="n">
        <v>21.68352937</v>
      </c>
      <c r="L68" s="20" t="n">
        <v>1.50774659</v>
      </c>
      <c r="M68" s="18" t="n">
        <v>0.17594873</v>
      </c>
      <c r="N68" s="20" t="n">
        <v>0.12763621</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(9453.0/B70*100)</f>
        <v/>
      </c>
      <c r="D70" s="19" t="n">
        <v>2630</v>
      </c>
      <c r="E70" s="18" t="n">
        <v>47.70961445</v>
      </c>
      <c r="F70" s="20" t="n">
        <v>1.06639671</v>
      </c>
      <c r="G70" s="18" t="n">
        <v>17.2471857</v>
      </c>
      <c r="H70" s="20" t="n">
        <v>0.79672327</v>
      </c>
      <c r="I70" s="18" t="n">
        <v>0</v>
      </c>
      <c r="J70" s="20" t="n">
        <v>0</v>
      </c>
      <c r="K70" s="18" t="n">
        <v>35.04319985</v>
      </c>
      <c r="L70" s="20" t="n">
        <v>0.83908439</v>
      </c>
      <c r="M70" s="18" t="n">
        <v>0</v>
      </c>
      <c r="N70" s="20" t="n">
        <v>0</v>
      </c>
      <c r="O70" s="18" t="n">
        <v>0</v>
      </c>
      <c r="P70" s="20" t="n">
        <v>0</v>
      </c>
      <c r="Q70" s="18" t="n">
        <v>0</v>
      </c>
      <c r="R70" s="20" t="n">
        <v>0</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(4801.0/B72*100)</f>
        <v/>
      </c>
      <c r="D72" s="19" t="n">
        <v>1235</v>
      </c>
      <c r="E72" s="18" t="n">
        <v>40.15837166</v>
      </c>
      <c r="F72" s="20" t="n">
        <v>1.54801463</v>
      </c>
      <c r="G72" s="18" t="n">
        <v>34.00791648</v>
      </c>
      <c r="H72" s="20" t="n">
        <v>1.83374511</v>
      </c>
      <c r="I72" s="18" t="n">
        <v>0</v>
      </c>
      <c r="J72" s="20" t="n">
        <v>0</v>
      </c>
      <c r="K72" s="18" t="n">
        <v>25.72041957</v>
      </c>
      <c r="L72" s="20" t="n">
        <v>1.41220645</v>
      </c>
      <c r="M72" s="18" t="n">
        <v>0.1132923</v>
      </c>
      <c r="N72" s="20" t="n">
        <v>0.0694482</v>
      </c>
      <c r="O72" s="18" t="n">
        <v>0</v>
      </c>
      <c r="P72" s="20" t="n">
        <v>0</v>
      </c>
      <c r="Q72" s="18" t="n">
        <v>0</v>
      </c>
      <c r="R72" s="20" t="n">
        <v>0</v>
      </c>
    </row>
    <row r="73" spans="1:18">
      <c r="A73" s="15" t="s">
        <v>633</v>
      </c>
      <c r="B73" s="17" t="n">
        <v>6115</v>
      </c>
      <c r="C73" s="18">
        <f>(4760.0/B73*100)</f>
        <v/>
      </c>
      <c r="D73" s="19" t="n">
        <v>1355</v>
      </c>
      <c r="E73" s="18" t="n">
        <v>50.43390705</v>
      </c>
      <c r="F73" s="20" t="n">
        <v>1.4573714</v>
      </c>
      <c r="G73" s="18" t="n">
        <v>41.00235312</v>
      </c>
      <c r="H73" s="20" t="n">
        <v>1.44894552</v>
      </c>
      <c r="I73" s="18" t="n">
        <v>0</v>
      </c>
      <c r="J73" s="20" t="n">
        <v>0</v>
      </c>
      <c r="K73" s="18" t="n">
        <v>8.56373984</v>
      </c>
      <c r="L73" s="20" t="n">
        <v>0.7709383</v>
      </c>
      <c r="M73" s="18" t="n">
        <v>0</v>
      </c>
      <c r="N73" s="20" t="n">
        <v>0</v>
      </c>
      <c r="O73" s="18" t="n">
        <v>0</v>
      </c>
      <c r="P73" s="20" t="n">
        <v>0</v>
      </c>
      <c r="Q73" s="18" t="n">
        <v>0</v>
      </c>
      <c r="R73" s="20" t="n">
        <v>0</v>
      </c>
    </row>
    <row r="74" spans="1:18">
      <c r="A74" s="15" t="s">
        <v>634</v>
      </c>
      <c r="B74" s="17" t="n">
        <v>7708</v>
      </c>
      <c r="C74" s="18">
        <f>(5967.0/B74*100)</f>
        <v/>
      </c>
      <c r="D74" s="19" t="n">
        <v>1741</v>
      </c>
      <c r="E74" s="18" t="n">
        <v>30.84820047</v>
      </c>
      <c r="F74" s="20" t="n">
        <v>1.25477767</v>
      </c>
      <c r="G74" s="18" t="n">
        <v>56.33909979</v>
      </c>
      <c r="H74" s="20" t="n">
        <v>1.28007548</v>
      </c>
      <c r="I74" s="18" t="n">
        <v>0</v>
      </c>
      <c r="J74" s="20" t="n">
        <v>0</v>
      </c>
      <c r="K74" s="18" t="n">
        <v>12.81269974</v>
      </c>
      <c r="L74" s="20" t="n">
        <v>0.9451646500000001</v>
      </c>
      <c r="M74" s="18" t="n">
        <v>0</v>
      </c>
      <c r="N74" s="20" t="n">
        <v>0</v>
      </c>
      <c r="O74" s="18" t="n">
        <v>0</v>
      </c>
      <c r="P74" s="20" t="n">
        <v>0</v>
      </c>
      <c r="Q74" s="18" t="n">
        <v>0</v>
      </c>
      <c r="R74" s="20" t="n">
        <v>0</v>
      </c>
    </row>
    <row r="75" spans="1:18">
      <c r="A75" s="15" t="s">
        <v>635</v>
      </c>
      <c r="B75" s="17" t="n">
        <v>8249</v>
      </c>
      <c r="C75" s="18">
        <f>(6639.0/B75*100)</f>
        <v/>
      </c>
      <c r="D75" s="19" t="n">
        <v>1610</v>
      </c>
      <c r="E75" s="18" t="n">
        <v>85.72852579000001</v>
      </c>
      <c r="F75" s="20" t="n">
        <v>1.47597592</v>
      </c>
      <c r="G75" s="18" t="n">
        <v>6.0060109</v>
      </c>
      <c r="H75" s="20" t="n">
        <v>0.83285321</v>
      </c>
      <c r="I75" s="18" t="n">
        <v>0</v>
      </c>
      <c r="J75" s="20" t="n">
        <v>0</v>
      </c>
      <c r="K75" s="18" t="n">
        <v>8.04547131</v>
      </c>
      <c r="L75" s="20" t="n">
        <v>0.99341724</v>
      </c>
      <c r="M75" s="18" t="n">
        <v>0.219992</v>
      </c>
      <c r="N75" s="20" t="n">
        <v>0.13447663</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(4385.0/B77*100)</f>
        <v/>
      </c>
      <c r="D77" s="19" t="n">
        <v>990</v>
      </c>
      <c r="E77" s="18" t="n">
        <v>38.4934951</v>
      </c>
      <c r="F77" s="20" t="n">
        <v>2.02919562</v>
      </c>
      <c r="G77" s="18" t="n">
        <v>2.09554583</v>
      </c>
      <c r="H77" s="20" t="n">
        <v>0.54292624</v>
      </c>
      <c r="I77" s="18" t="n">
        <v>0</v>
      </c>
      <c r="J77" s="20" t="n">
        <v>0</v>
      </c>
      <c r="K77" s="18" t="n">
        <v>58.61108171</v>
      </c>
      <c r="L77" s="20" t="n">
        <v>2.07085997</v>
      </c>
      <c r="M77" s="18" t="n">
        <v>0.79987737</v>
      </c>
      <c r="N77" s="20" t="n">
        <v>0.28458663</v>
      </c>
      <c r="O77" s="18" t="n">
        <v>0</v>
      </c>
      <c r="P77" s="20" t="n">
        <v>0</v>
      </c>
      <c r="Q77" s="18" t="n">
        <v>0</v>
      </c>
      <c r="R77" s="20" t="n">
        <v>0</v>
      </c>
    </row>
    <row r="78" spans="1:18">
      <c r="A78" s="15" t="s">
        <v>638</v>
      </c>
      <c r="B78" s="17" t="n">
        <v>14167</v>
      </c>
      <c r="C78" s="18">
        <f>(11091.0/B78*100)</f>
        <v/>
      </c>
      <c r="D78" s="19" t="n">
        <v>3076</v>
      </c>
      <c r="E78" s="18" t="n">
        <v>60.7009841</v>
      </c>
      <c r="F78" s="20" t="n">
        <v>1.01651</v>
      </c>
      <c r="G78" s="18" t="n">
        <v>17.43443954</v>
      </c>
      <c r="H78" s="20" t="n">
        <v>0.92933438</v>
      </c>
      <c r="I78" s="18" t="n">
        <v>0</v>
      </c>
      <c r="J78" s="20" t="n">
        <v>0</v>
      </c>
      <c r="K78" s="18" t="n">
        <v>21.80178775</v>
      </c>
      <c r="L78" s="20" t="n">
        <v>0.97094121</v>
      </c>
      <c r="M78" s="18" t="n">
        <v>0.06278862</v>
      </c>
      <c r="N78" s="20" t="n">
        <v>0.03248994</v>
      </c>
      <c r="O78" s="18" t="n">
        <v>0</v>
      </c>
      <c r="P78" s="20" t="n">
        <v>0</v>
      </c>
      <c r="Q78" s="18" t="n">
        <v>0</v>
      </c>
      <c r="R78" s="20" t="n">
        <v>0</v>
      </c>
    </row>
    <row r="79" spans="1:18">
      <c r="A79" s="15" t="s">
        <v>639</v>
      </c>
      <c r="B79" s="17" t="n">
        <v>6062</v>
      </c>
      <c r="C79" s="18">
        <f>(4855.0/B79*100)</f>
        <v/>
      </c>
      <c r="D79" s="19" t="n">
        <v>1207</v>
      </c>
      <c r="E79" s="18" t="n">
        <v>37.10956758</v>
      </c>
      <c r="F79" s="20" t="n">
        <v>1.49621252</v>
      </c>
      <c r="G79" s="18" t="n">
        <v>15.28942944</v>
      </c>
      <c r="H79" s="20" t="n">
        <v>1.18786613</v>
      </c>
      <c r="I79" s="18" t="n">
        <v>0</v>
      </c>
      <c r="J79" s="20" t="n">
        <v>0</v>
      </c>
      <c r="K79" s="18" t="n">
        <v>47.60100298</v>
      </c>
      <c r="L79" s="20" t="n">
        <v>1.65912176</v>
      </c>
      <c r="M79" s="18" t="n">
        <v>0</v>
      </c>
      <c r="N79" s="20" t="n">
        <v>0</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(25641.0/B82*100)</f>
        <v/>
      </c>
      <c r="D82" s="19" t="n">
        <v>6689</v>
      </c>
      <c r="E82" s="18" t="n">
        <v>40.32987729</v>
      </c>
      <c r="F82" s="20" t="n">
        <v>0.83644564</v>
      </c>
      <c r="G82" s="18" t="n">
        <v>34.25530729</v>
      </c>
      <c r="H82" s="20" t="n">
        <v>0.84426502</v>
      </c>
      <c r="I82" s="18" t="n">
        <v>0</v>
      </c>
      <c r="J82" s="20" t="n">
        <v>0</v>
      </c>
      <c r="K82" s="18" t="n">
        <v>25.35051404</v>
      </c>
      <c r="L82" s="20" t="n">
        <v>0.93742636</v>
      </c>
      <c r="M82" s="18" t="n">
        <v>0.06430138000000001</v>
      </c>
      <c r="N82" s="20" t="n">
        <v>0.04667177</v>
      </c>
      <c r="O82" s="18" t="n">
        <v>0</v>
      </c>
      <c r="P82" s="20" t="n">
        <v>0</v>
      </c>
      <c r="Q82" s="18" t="n">
        <v>0</v>
      </c>
      <c r="R82" s="20" t="n">
        <v>0</v>
      </c>
    </row>
    <row r="83" spans="1:18">
      <c r="A83" s="15" t="s">
        <v>643</v>
      </c>
      <c r="B83" s="17" t="n">
        <v>1652</v>
      </c>
      <c r="C83" s="18">
        <f>(1315.0/B83*100)</f>
        <v/>
      </c>
      <c r="D83" s="19" t="n">
        <v>337</v>
      </c>
      <c r="E83" s="18" t="n">
        <v>60.22916294</v>
      </c>
      <c r="F83" s="20" t="n">
        <v>2.61935814</v>
      </c>
      <c r="G83" s="18" t="n">
        <v>34.9504965</v>
      </c>
      <c r="H83" s="20" t="n">
        <v>2.51874092</v>
      </c>
      <c r="I83" s="18" t="n">
        <v>0</v>
      </c>
      <c r="J83" s="20" t="n">
        <v>0</v>
      </c>
      <c r="K83" s="18" t="n">
        <v>4.82034057</v>
      </c>
      <c r="L83" s="20" t="n">
        <v>1.04880296</v>
      </c>
      <c r="M83" s="18" t="n">
        <v>0</v>
      </c>
      <c r="N83" s="20" t="n">
        <v>0</v>
      </c>
      <c r="O83" s="18" t="n">
        <v>0</v>
      </c>
      <c r="P83" s="20" t="n">
        <v>0</v>
      </c>
      <c r="Q83" s="18" t="n">
        <v>0</v>
      </c>
      <c r="R83" s="20" t="n">
        <v>0</v>
      </c>
    </row>
    <row r="84" spans="1:18">
      <c r="A84" s="23" t="s">
        <v>644</v>
      </c>
      <c r="B84" s="24" t="n">
        <v>1887</v>
      </c>
      <c r="C84" s="25">
        <f>(1492.0/B84*100)</f>
        <v/>
      </c>
      <c r="D84" s="19" t="n">
        <v>395</v>
      </c>
      <c r="E84" s="18" t="n">
        <v>69.45861241999999</v>
      </c>
      <c r="F84" s="20" t="n">
        <v>2.61320795</v>
      </c>
      <c r="G84" s="18" t="n">
        <v>25.39767236</v>
      </c>
      <c r="H84" s="20" t="n">
        <v>2.38239363</v>
      </c>
      <c r="I84" s="18" t="n">
        <v>0</v>
      </c>
      <c r="J84" s="20" t="n">
        <v>0</v>
      </c>
      <c r="K84" s="18" t="n">
        <v>5.14371523</v>
      </c>
      <c r="L84" s="20" t="n">
        <v>1.3652767</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(11360.0/B7*100)</f>
        <v/>
      </c>
      <c r="D7" s="19" t="n">
        <v>3170</v>
      </c>
      <c r="E7" s="18" t="n">
        <v>60.46430139</v>
      </c>
      <c r="F7" s="20" t="n">
        <v>1.16580041</v>
      </c>
      <c r="G7" s="18" t="n">
        <v>38.46324634</v>
      </c>
      <c r="H7" s="20" t="n">
        <v>1.11729466</v>
      </c>
      <c r="I7" s="18" t="n">
        <v>0</v>
      </c>
      <c r="J7" s="20" t="n">
        <v>0</v>
      </c>
      <c r="K7" s="18" t="n">
        <v>0.16462264</v>
      </c>
      <c r="L7" s="20" t="n">
        <v>0.0837706</v>
      </c>
      <c r="M7" s="18" t="n">
        <v>0</v>
      </c>
      <c r="N7" s="20" t="n">
        <v>0</v>
      </c>
      <c r="O7" s="18" t="n">
        <v>0</v>
      </c>
      <c r="P7" s="20" t="n">
        <v>0</v>
      </c>
      <c r="Q7" s="18" t="n">
        <v>0.90782962</v>
      </c>
      <c r="R7" s="20" t="n">
        <v>0.20666977</v>
      </c>
    </row>
    <row r="8" spans="1:18">
      <c r="A8" s="15" t="s">
        <v>566</v>
      </c>
      <c r="B8" s="17" t="n">
        <v>7007</v>
      </c>
      <c r="C8" s="18">
        <f>(5454.0/B8*100)</f>
        <v/>
      </c>
      <c r="D8" s="19" t="n">
        <v>1553</v>
      </c>
      <c r="E8" s="18" t="n">
        <v>42.55643658</v>
      </c>
      <c r="F8" s="20" t="n">
        <v>1.43759147</v>
      </c>
      <c r="G8" s="18" t="n">
        <v>56.71554108</v>
      </c>
      <c r="H8" s="20" t="n">
        <v>1.44875887</v>
      </c>
      <c r="I8" s="18" t="n">
        <v>0</v>
      </c>
      <c r="J8" s="20" t="n">
        <v>0</v>
      </c>
      <c r="K8" s="18" t="n">
        <v>0.15165234</v>
      </c>
      <c r="L8" s="20" t="n">
        <v>0.10568234</v>
      </c>
      <c r="M8" s="18" t="n">
        <v>0</v>
      </c>
      <c r="N8" s="20" t="n">
        <v>0</v>
      </c>
      <c r="O8" s="18" t="n">
        <v>0</v>
      </c>
      <c r="P8" s="20" t="n">
        <v>0</v>
      </c>
      <c r="Q8" s="18" t="n">
        <v>0.57636999</v>
      </c>
      <c r="R8" s="20" t="n">
        <v>0.23144567</v>
      </c>
    </row>
    <row r="9" spans="1:18">
      <c r="A9" s="15" t="s">
        <v>567</v>
      </c>
      <c r="B9" s="17" t="n">
        <v>9651</v>
      </c>
      <c r="C9" s="18">
        <f>(7534.0/B9*100)</f>
        <v/>
      </c>
      <c r="D9" s="19" t="n">
        <v>2117</v>
      </c>
      <c r="E9" s="18" t="n">
        <v>37.10209273</v>
      </c>
      <c r="F9" s="20" t="n">
        <v>1.1228239</v>
      </c>
      <c r="G9" s="18" t="n">
        <v>61.88757981</v>
      </c>
      <c r="H9" s="20" t="n">
        <v>1.10307008</v>
      </c>
      <c r="I9" s="18" t="n">
        <v>0</v>
      </c>
      <c r="J9" s="20" t="n">
        <v>0</v>
      </c>
      <c r="K9" s="18" t="n">
        <v>0.21465708</v>
      </c>
      <c r="L9" s="20" t="n">
        <v>0.10046758</v>
      </c>
      <c r="M9" s="18" t="n">
        <v>0</v>
      </c>
      <c r="N9" s="20" t="n">
        <v>0</v>
      </c>
      <c r="O9" s="18" t="n">
        <v>0</v>
      </c>
      <c r="P9" s="20" t="n">
        <v>0</v>
      </c>
      <c r="Q9" s="18" t="n">
        <v>0.79567038</v>
      </c>
      <c r="R9" s="20" t="n">
        <v>0.18088784</v>
      </c>
    </row>
    <row r="10" spans="1:18">
      <c r="A10" s="15" t="s">
        <v>568</v>
      </c>
      <c r="B10" s="17" t="n">
        <v>20058</v>
      </c>
      <c r="C10" s="18">
        <f>(15594.0/B10*100)</f>
        <v/>
      </c>
      <c r="D10" s="19" t="n">
        <v>4464</v>
      </c>
      <c r="E10" s="18" t="n">
        <v>48.82940737</v>
      </c>
      <c r="F10" s="20" t="n">
        <v>1.04014249</v>
      </c>
      <c r="G10" s="18" t="n">
        <v>50.55893443</v>
      </c>
      <c r="H10" s="20" t="n">
        <v>1.02971045</v>
      </c>
      <c r="I10" s="18" t="n">
        <v>0</v>
      </c>
      <c r="J10" s="20" t="n">
        <v>0</v>
      </c>
      <c r="K10" s="18" t="n">
        <v>0.20096155</v>
      </c>
      <c r="L10" s="20" t="n">
        <v>0.10704473</v>
      </c>
      <c r="M10" s="18" t="n">
        <v>0</v>
      </c>
      <c r="N10" s="20" t="n">
        <v>0</v>
      </c>
      <c r="O10" s="18" t="n">
        <v>0</v>
      </c>
      <c r="P10" s="20" t="n">
        <v>0</v>
      </c>
      <c r="Q10" s="18" t="n">
        <v>0.41069665</v>
      </c>
      <c r="R10" s="20" t="n">
        <v>0.13067684</v>
      </c>
    </row>
    <row r="11" spans="1:18">
      <c r="A11" s="15" t="s">
        <v>569</v>
      </c>
      <c r="B11" s="17" t="n">
        <v>7053</v>
      </c>
      <c r="C11" s="18">
        <f>(5462.0/B11*100)</f>
        <v/>
      </c>
      <c r="D11" s="19" t="n">
        <v>1591</v>
      </c>
      <c r="E11" s="18" t="n">
        <v>32.2468134</v>
      </c>
      <c r="F11" s="20" t="n">
        <v>1.33997241</v>
      </c>
      <c r="G11" s="18" t="n">
        <v>66.47139119000001</v>
      </c>
      <c r="H11" s="20" t="n">
        <v>1.37957796</v>
      </c>
      <c r="I11" s="18" t="n">
        <v>0</v>
      </c>
      <c r="J11" s="20" t="n">
        <v>0</v>
      </c>
      <c r="K11" s="18" t="n">
        <v>0</v>
      </c>
      <c r="L11" s="20" t="n">
        <v>0</v>
      </c>
      <c r="M11" s="18" t="n">
        <v>0</v>
      </c>
      <c r="N11" s="20" t="n">
        <v>0</v>
      </c>
      <c r="O11" s="18" t="n">
        <v>0</v>
      </c>
      <c r="P11" s="20" t="n">
        <v>0</v>
      </c>
      <c r="Q11" s="18" t="n">
        <v>1.28179541</v>
      </c>
      <c r="R11" s="20" t="n">
        <v>0.376825</v>
      </c>
    </row>
    <row r="12" spans="1:18">
      <c r="A12" s="15" t="s">
        <v>570</v>
      </c>
      <c r="B12" s="17" t="n">
        <v>6894</v>
      </c>
      <c r="C12" s="18">
        <f>(5410.0/B12*100)</f>
        <v/>
      </c>
      <c r="D12" s="19" t="n">
        <v>1484</v>
      </c>
      <c r="E12" s="18" t="n">
        <v>30.26572505</v>
      </c>
      <c r="F12" s="20" t="n">
        <v>1.18291119</v>
      </c>
      <c r="G12" s="18" t="n">
        <v>69.26708739999999</v>
      </c>
      <c r="H12" s="20" t="n">
        <v>1.16804513</v>
      </c>
      <c r="I12" s="18" t="n">
        <v>0</v>
      </c>
      <c r="J12" s="20" t="n">
        <v>0</v>
      </c>
      <c r="K12" s="18" t="n">
        <v>0.05890158</v>
      </c>
      <c r="L12" s="20" t="n">
        <v>0.0559212</v>
      </c>
      <c r="M12" s="18" t="n">
        <v>0</v>
      </c>
      <c r="N12" s="20" t="n">
        <v>0</v>
      </c>
      <c r="O12" s="18" t="n">
        <v>0</v>
      </c>
      <c r="P12" s="20" t="n">
        <v>0</v>
      </c>
      <c r="Q12" s="18" t="n">
        <v>0.40828598</v>
      </c>
      <c r="R12" s="20" t="n">
        <v>0.14721478</v>
      </c>
    </row>
    <row r="13" spans="1:18">
      <c r="A13" s="15" t="s">
        <v>571</v>
      </c>
      <c r="B13" s="17" t="n">
        <v>7161</v>
      </c>
      <c r="C13" s="18">
        <f>(5694.0/B13*100)</f>
        <v/>
      </c>
      <c r="D13" s="19" t="n">
        <v>1467</v>
      </c>
      <c r="E13" s="18" t="n">
        <v>44.26314193</v>
      </c>
      <c r="F13" s="20" t="n">
        <v>1.64721271</v>
      </c>
      <c r="G13" s="18" t="n">
        <v>55.35766958</v>
      </c>
      <c r="H13" s="20" t="n">
        <v>1.63884143</v>
      </c>
      <c r="I13" s="18" t="n">
        <v>0</v>
      </c>
      <c r="J13" s="20" t="n">
        <v>0</v>
      </c>
      <c r="K13" s="18" t="n">
        <v>0.10959909</v>
      </c>
      <c r="L13" s="20" t="n">
        <v>0.09499645</v>
      </c>
      <c r="M13" s="18" t="n">
        <v>0</v>
      </c>
      <c r="N13" s="20" t="n">
        <v>0</v>
      </c>
      <c r="O13" s="18" t="n">
        <v>0</v>
      </c>
      <c r="P13" s="20" t="n">
        <v>0</v>
      </c>
      <c r="Q13" s="18" t="n">
        <v>0.2695894</v>
      </c>
      <c r="R13" s="20" t="n">
        <v>0.15463167</v>
      </c>
    </row>
    <row r="14" spans="1:18">
      <c r="A14" s="15" t="s">
        <v>572</v>
      </c>
      <c r="B14" s="17" t="n">
        <v>5587</v>
      </c>
      <c r="C14" s="18">
        <f>(4318.0/B14*100)</f>
        <v/>
      </c>
      <c r="D14" s="19" t="n">
        <v>1269</v>
      </c>
      <c r="E14" s="18" t="n">
        <v>17.93188172</v>
      </c>
      <c r="F14" s="20" t="n">
        <v>1.23685955</v>
      </c>
      <c r="G14" s="18" t="n">
        <v>81.63377945000001</v>
      </c>
      <c r="H14" s="20" t="n">
        <v>1.24135005</v>
      </c>
      <c r="I14" s="18" t="n">
        <v>0</v>
      </c>
      <c r="J14" s="20" t="n">
        <v>0</v>
      </c>
      <c r="K14" s="18" t="n">
        <v>0.07223605</v>
      </c>
      <c r="L14" s="20" t="n">
        <v>0.07222094</v>
      </c>
      <c r="M14" s="18" t="n">
        <v>0</v>
      </c>
      <c r="N14" s="20" t="n">
        <v>0</v>
      </c>
      <c r="O14" s="18" t="n">
        <v>0</v>
      </c>
      <c r="P14" s="20" t="n">
        <v>0</v>
      </c>
      <c r="Q14" s="18" t="n">
        <v>0.36210278</v>
      </c>
      <c r="R14" s="20" t="n">
        <v>0.16324796</v>
      </c>
    </row>
    <row r="15" spans="1:18">
      <c r="A15" s="15" t="s">
        <v>573</v>
      </c>
      <c r="B15" s="17" t="n">
        <v>5882</v>
      </c>
      <c r="C15" s="18">
        <f>(4520.0/B15*100)</f>
        <v/>
      </c>
      <c r="D15" s="19" t="n">
        <v>1362</v>
      </c>
      <c r="E15" s="18" t="n">
        <v>20.62803862</v>
      </c>
      <c r="F15" s="20" t="n">
        <v>1.23289012</v>
      </c>
      <c r="G15" s="18" t="n">
        <v>78.87737555</v>
      </c>
      <c r="H15" s="20" t="n">
        <v>1.22550717</v>
      </c>
      <c r="I15" s="18" t="n">
        <v>0</v>
      </c>
      <c r="J15" s="20" t="n">
        <v>0</v>
      </c>
      <c r="K15" s="18" t="n">
        <v>0.08265755</v>
      </c>
      <c r="L15" s="20" t="n">
        <v>0.09069918</v>
      </c>
      <c r="M15" s="18" t="n">
        <v>0</v>
      </c>
      <c r="N15" s="20" t="n">
        <v>0</v>
      </c>
      <c r="O15" s="18" t="n">
        <v>0</v>
      </c>
      <c r="P15" s="20" t="n">
        <v>0</v>
      </c>
      <c r="Q15" s="18" t="n">
        <v>0.41192828</v>
      </c>
      <c r="R15" s="20" t="n">
        <v>0.16877321</v>
      </c>
    </row>
    <row r="16" spans="1:18">
      <c r="A16" s="15" t="s">
        <v>574</v>
      </c>
      <c r="B16" s="17" t="n">
        <v>6108</v>
      </c>
      <c r="C16" s="18">
        <f>(4755.0/B16*100)</f>
        <v/>
      </c>
      <c r="D16" s="19" t="n">
        <v>1353</v>
      </c>
      <c r="E16" s="18" t="n">
        <v>21.94963144</v>
      </c>
      <c r="F16" s="20" t="n">
        <v>1.09007369</v>
      </c>
      <c r="G16" s="18" t="n">
        <v>76.89816698</v>
      </c>
      <c r="H16" s="20" t="n">
        <v>1.14825642</v>
      </c>
      <c r="I16" s="18" t="n">
        <v>0</v>
      </c>
      <c r="J16" s="20" t="n">
        <v>0</v>
      </c>
      <c r="K16" s="18" t="n">
        <v>0.56069115</v>
      </c>
      <c r="L16" s="20" t="n">
        <v>0.22271419</v>
      </c>
      <c r="M16" s="18" t="n">
        <v>0</v>
      </c>
      <c r="N16" s="20" t="n">
        <v>0</v>
      </c>
      <c r="O16" s="18" t="n">
        <v>0</v>
      </c>
      <c r="P16" s="20" t="n">
        <v>0</v>
      </c>
      <c r="Q16" s="18" t="n">
        <v>0.59151042</v>
      </c>
      <c r="R16" s="20" t="n">
        <v>0.2020192</v>
      </c>
    </row>
    <row r="17" spans="1:18">
      <c r="A17" s="15" t="s">
        <v>575</v>
      </c>
      <c r="B17" s="17" t="n">
        <v>6504</v>
      </c>
      <c r="C17" s="18">
        <f>(5117.0/B17*100)</f>
        <v/>
      </c>
      <c r="D17" s="19" t="n">
        <v>1387</v>
      </c>
      <c r="E17" s="18" t="n">
        <v>42.80282598</v>
      </c>
      <c r="F17" s="20" t="n">
        <v>1.4655948</v>
      </c>
      <c r="G17" s="18" t="n">
        <v>56.60243832</v>
      </c>
      <c r="H17" s="20" t="n">
        <v>1.44503119</v>
      </c>
      <c r="I17" s="18" t="n">
        <v>0</v>
      </c>
      <c r="J17" s="20" t="n">
        <v>0</v>
      </c>
      <c r="K17" s="18" t="n">
        <v>0.07091358</v>
      </c>
      <c r="L17" s="20" t="n">
        <v>0.07129289</v>
      </c>
      <c r="M17" s="18" t="n">
        <v>0</v>
      </c>
      <c r="N17" s="20" t="n">
        <v>0</v>
      </c>
      <c r="O17" s="18" t="n">
        <v>0</v>
      </c>
      <c r="P17" s="20" t="n">
        <v>0</v>
      </c>
      <c r="Q17" s="18" t="n">
        <v>0.5238221199999999</v>
      </c>
      <c r="R17" s="20" t="n">
        <v>0.20158885</v>
      </c>
    </row>
    <row r="18" spans="1:18">
      <c r="A18" s="15" t="s">
        <v>576</v>
      </c>
      <c r="B18" s="17" t="n">
        <v>5532</v>
      </c>
      <c r="C18" s="18">
        <f>(4320.0/B18*100)</f>
        <v/>
      </c>
      <c r="D18" s="19" t="n">
        <v>1212</v>
      </c>
      <c r="E18" s="18" t="n">
        <v>31.36389935</v>
      </c>
      <c r="F18" s="20" t="n">
        <v>1.67497871</v>
      </c>
      <c r="G18" s="18" t="n">
        <v>67.38512412</v>
      </c>
      <c r="H18" s="20" t="n">
        <v>1.71952194</v>
      </c>
      <c r="I18" s="18" t="n">
        <v>0</v>
      </c>
      <c r="J18" s="20" t="n">
        <v>0</v>
      </c>
      <c r="K18" s="18" t="n">
        <v>0.11359063</v>
      </c>
      <c r="L18" s="20" t="n">
        <v>0.08136283</v>
      </c>
      <c r="M18" s="18" t="n">
        <v>0</v>
      </c>
      <c r="N18" s="20" t="n">
        <v>0</v>
      </c>
      <c r="O18" s="18" t="n">
        <v>0</v>
      </c>
      <c r="P18" s="20" t="n">
        <v>0</v>
      </c>
      <c r="Q18" s="18" t="n">
        <v>1.13738591</v>
      </c>
      <c r="R18" s="20" t="n">
        <v>0.31007143</v>
      </c>
    </row>
    <row r="19" spans="1:18">
      <c r="A19" s="15" t="s">
        <v>577</v>
      </c>
      <c r="B19" s="17" t="n">
        <v>5658</v>
      </c>
      <c r="C19" s="18">
        <f>(4373.0/B19*100)</f>
        <v/>
      </c>
      <c r="D19" s="19" t="n">
        <v>1285</v>
      </c>
      <c r="E19" s="18" t="n">
        <v>32.22984258</v>
      </c>
      <c r="F19" s="20" t="n">
        <v>1.37889896</v>
      </c>
      <c r="G19" s="18" t="n">
        <v>66.60385837</v>
      </c>
      <c r="H19" s="20" t="n">
        <v>1.3819204</v>
      </c>
      <c r="I19" s="18" t="n">
        <v>0</v>
      </c>
      <c r="J19" s="20" t="n">
        <v>0</v>
      </c>
      <c r="K19" s="18" t="n">
        <v>0.07177188</v>
      </c>
      <c r="L19" s="20" t="n">
        <v>0.06069013</v>
      </c>
      <c r="M19" s="18" t="n">
        <v>0</v>
      </c>
      <c r="N19" s="20" t="n">
        <v>0</v>
      </c>
      <c r="O19" s="18" t="n">
        <v>0</v>
      </c>
      <c r="P19" s="20" t="n">
        <v>0</v>
      </c>
      <c r="Q19" s="18" t="n">
        <v>1.09452718</v>
      </c>
      <c r="R19" s="20" t="n">
        <v>0.32636829</v>
      </c>
    </row>
    <row r="20" spans="1:18">
      <c r="A20" s="15" t="s">
        <v>578</v>
      </c>
      <c r="B20" s="17" t="n">
        <v>3371</v>
      </c>
      <c r="C20" s="18">
        <f>(2630.0/B20*100)</f>
        <v/>
      </c>
      <c r="D20" s="19" t="n">
        <v>741</v>
      </c>
      <c r="E20" s="18" t="n">
        <v>25.36892111</v>
      </c>
      <c r="F20" s="20" t="n">
        <v>1.70791054</v>
      </c>
      <c r="G20" s="18" t="n">
        <v>73.96853983</v>
      </c>
      <c r="H20" s="20" t="n">
        <v>1.74763769</v>
      </c>
      <c r="I20" s="18" t="n">
        <v>0</v>
      </c>
      <c r="J20" s="20" t="n">
        <v>0</v>
      </c>
      <c r="K20" s="18" t="n">
        <v>0.13198385</v>
      </c>
      <c r="L20" s="20" t="n">
        <v>0.13222865</v>
      </c>
      <c r="M20" s="18" t="n">
        <v>0</v>
      </c>
      <c r="N20" s="20" t="n">
        <v>0</v>
      </c>
      <c r="O20" s="18" t="n">
        <v>0</v>
      </c>
      <c r="P20" s="20" t="n">
        <v>0</v>
      </c>
      <c r="Q20" s="18" t="n">
        <v>0.5305552100000001</v>
      </c>
      <c r="R20" s="20" t="n">
        <v>0.26320623</v>
      </c>
    </row>
    <row r="21" spans="1:18">
      <c r="A21" s="15" t="s">
        <v>579</v>
      </c>
      <c r="B21" s="17" t="n">
        <v>5741</v>
      </c>
      <c r="C21" s="18">
        <f>(4488.0/B21*100)</f>
        <v/>
      </c>
      <c r="D21" s="19" t="n">
        <v>1253</v>
      </c>
      <c r="E21" s="18" t="n">
        <v>65.50723823</v>
      </c>
      <c r="F21" s="20" t="n">
        <v>1.28490648</v>
      </c>
      <c r="G21" s="18" t="n">
        <v>34.08958522</v>
      </c>
      <c r="H21" s="20" t="n">
        <v>1.28897855</v>
      </c>
      <c r="I21" s="18" t="n">
        <v>0</v>
      </c>
      <c r="J21" s="20" t="n">
        <v>0</v>
      </c>
      <c r="K21" s="18" t="n">
        <v>0</v>
      </c>
      <c r="L21" s="20" t="n">
        <v>0</v>
      </c>
      <c r="M21" s="18" t="n">
        <v>0</v>
      </c>
      <c r="N21" s="20" t="n">
        <v>0</v>
      </c>
      <c r="O21" s="18" t="n">
        <v>0</v>
      </c>
      <c r="P21" s="20" t="n">
        <v>0</v>
      </c>
      <c r="Q21" s="18" t="n">
        <v>0.40317655</v>
      </c>
      <c r="R21" s="20" t="n">
        <v>0.16523373</v>
      </c>
    </row>
    <row r="22" spans="1:18">
      <c r="A22" s="15" t="s">
        <v>580</v>
      </c>
      <c r="B22" s="17" t="n">
        <v>6598</v>
      </c>
      <c r="C22" s="18">
        <f>(5197.0/B22*100)</f>
        <v/>
      </c>
      <c r="D22" s="19" t="n">
        <v>1401</v>
      </c>
      <c r="E22" s="18" t="n">
        <v>39.59704706</v>
      </c>
      <c r="F22" s="20" t="n">
        <v>1.3515711</v>
      </c>
      <c r="G22" s="18" t="n">
        <v>58.41208865</v>
      </c>
      <c r="H22" s="20" t="n">
        <v>1.4390159</v>
      </c>
      <c r="I22" s="18" t="n">
        <v>0</v>
      </c>
      <c r="J22" s="20" t="n">
        <v>0</v>
      </c>
      <c r="K22" s="18" t="n">
        <v>0.33998652</v>
      </c>
      <c r="L22" s="20" t="n">
        <v>0.21131244</v>
      </c>
      <c r="M22" s="18" t="n">
        <v>0</v>
      </c>
      <c r="N22" s="20" t="n">
        <v>0</v>
      </c>
      <c r="O22" s="18" t="n">
        <v>0</v>
      </c>
      <c r="P22" s="20" t="n">
        <v>0</v>
      </c>
      <c r="Q22" s="18" t="n">
        <v>1.65087777</v>
      </c>
      <c r="R22" s="20" t="n">
        <v>0.42200993</v>
      </c>
    </row>
    <row r="23" spans="1:18">
      <c r="A23" s="15" t="s">
        <v>581</v>
      </c>
      <c r="B23" s="17" t="n">
        <v>11583</v>
      </c>
      <c r="C23" s="18">
        <f>(9001.0/B23*100)</f>
        <v/>
      </c>
      <c r="D23" s="19" t="n">
        <v>2582</v>
      </c>
      <c r="E23" s="18" t="n">
        <v>34.64102215</v>
      </c>
      <c r="F23" s="20" t="n">
        <v>1.29880282</v>
      </c>
      <c r="G23" s="18" t="n">
        <v>64.71172728000001</v>
      </c>
      <c r="H23" s="20" t="n">
        <v>1.30644645</v>
      </c>
      <c r="I23" s="18" t="n">
        <v>0</v>
      </c>
      <c r="J23" s="20" t="n">
        <v>0</v>
      </c>
      <c r="K23" s="18" t="n">
        <v>0.26344625</v>
      </c>
      <c r="L23" s="20" t="n">
        <v>0.15913179</v>
      </c>
      <c r="M23" s="18" t="n">
        <v>0</v>
      </c>
      <c r="N23" s="20" t="n">
        <v>0</v>
      </c>
      <c r="O23" s="18" t="n">
        <v>0</v>
      </c>
      <c r="P23" s="20" t="n">
        <v>0</v>
      </c>
      <c r="Q23" s="18" t="n">
        <v>0.38380432</v>
      </c>
      <c r="R23" s="20" t="n">
        <v>0.21046826</v>
      </c>
    </row>
    <row r="24" spans="1:18">
      <c r="A24" s="15" t="s">
        <v>582</v>
      </c>
      <c r="B24" s="17" t="n">
        <v>6647</v>
      </c>
      <c r="C24" s="18">
        <f>(5202.0/B24*100)</f>
        <v/>
      </c>
      <c r="D24" s="19" t="n">
        <v>1445</v>
      </c>
      <c r="E24" s="18" t="n">
        <v>60.16862389</v>
      </c>
      <c r="F24" s="20" t="n">
        <v>1.5461752</v>
      </c>
      <c r="G24" s="18" t="n">
        <v>39.17536984</v>
      </c>
      <c r="H24" s="20" t="n">
        <v>1.51937577</v>
      </c>
      <c r="I24" s="18" t="n">
        <v>0</v>
      </c>
      <c r="J24" s="20" t="n">
        <v>0</v>
      </c>
      <c r="K24" s="18" t="n">
        <v>0.11446762</v>
      </c>
      <c r="L24" s="20" t="n">
        <v>0.08240053999999999</v>
      </c>
      <c r="M24" s="18" t="n">
        <v>0</v>
      </c>
      <c r="N24" s="20" t="n">
        <v>0</v>
      </c>
      <c r="O24" s="18" t="n">
        <v>0</v>
      </c>
      <c r="P24" s="20" t="n">
        <v>0</v>
      </c>
      <c r="Q24" s="18" t="n">
        <v>0.54153865</v>
      </c>
      <c r="R24" s="20" t="n">
        <v>0.22962119</v>
      </c>
    </row>
    <row r="25" spans="1:18">
      <c r="A25" s="15" t="s">
        <v>583</v>
      </c>
      <c r="B25" s="17" t="n">
        <v>5581</v>
      </c>
      <c r="C25" s="18">
        <f>(4366.0/B25*100)</f>
        <v/>
      </c>
      <c r="D25" s="19" t="n">
        <v>1215</v>
      </c>
      <c r="E25" s="18" t="n">
        <v>56.68954661</v>
      </c>
      <c r="F25" s="20" t="n">
        <v>1.62332928</v>
      </c>
      <c r="G25" s="18" t="n">
        <v>42.84471185</v>
      </c>
      <c r="H25" s="20" t="n">
        <v>1.61931085</v>
      </c>
      <c r="I25" s="18" t="n">
        <v>0</v>
      </c>
      <c r="J25" s="20" t="n">
        <v>0</v>
      </c>
      <c r="K25" s="18" t="n">
        <v>0</v>
      </c>
      <c r="L25" s="20" t="n">
        <v>0</v>
      </c>
      <c r="M25" s="18" t="n">
        <v>0</v>
      </c>
      <c r="N25" s="20" t="n">
        <v>0</v>
      </c>
      <c r="O25" s="18" t="n">
        <v>0</v>
      </c>
      <c r="P25" s="20" t="n">
        <v>0</v>
      </c>
      <c r="Q25" s="18" t="n">
        <v>0.46574154</v>
      </c>
      <c r="R25" s="20" t="n">
        <v>0.15553973</v>
      </c>
    </row>
    <row r="26" spans="1:18">
      <c r="A26" s="15" t="s">
        <v>584</v>
      </c>
      <c r="B26" s="17" t="n">
        <v>4869</v>
      </c>
      <c r="C26" s="18">
        <f>(3760.0/B26*100)</f>
        <v/>
      </c>
      <c r="D26" s="19" t="n">
        <v>1109</v>
      </c>
      <c r="E26" s="18" t="n">
        <v>41.31453251</v>
      </c>
      <c r="F26" s="20" t="n">
        <v>1.75976033</v>
      </c>
      <c r="G26" s="18" t="n">
        <v>58.60893902</v>
      </c>
      <c r="H26" s="20" t="n">
        <v>1.75336576</v>
      </c>
      <c r="I26" s="18" t="n">
        <v>0</v>
      </c>
      <c r="J26" s="20" t="n">
        <v>0</v>
      </c>
      <c r="K26" s="18" t="n">
        <v>0</v>
      </c>
      <c r="L26" s="20" t="n">
        <v>0</v>
      </c>
      <c r="M26" s="18" t="n">
        <v>0</v>
      </c>
      <c r="N26" s="20" t="n">
        <v>0</v>
      </c>
      <c r="O26" s="18" t="n">
        <v>0</v>
      </c>
      <c r="P26" s="20" t="n">
        <v>0</v>
      </c>
      <c r="Q26" s="18" t="n">
        <v>0.07652847</v>
      </c>
      <c r="R26" s="20" t="n">
        <v>0.07848576</v>
      </c>
    </row>
    <row r="27" spans="1:18">
      <c r="A27" s="15" t="s">
        <v>585</v>
      </c>
      <c r="B27" s="17" t="n">
        <v>5299</v>
      </c>
      <c r="C27" s="18">
        <f>(4153.0/B27*100)</f>
        <v/>
      </c>
      <c r="D27" s="19" t="n">
        <v>1146</v>
      </c>
      <c r="E27" s="18" t="n">
        <v>49.49982682</v>
      </c>
      <c r="F27" s="20" t="n">
        <v>1.51131545</v>
      </c>
      <c r="G27" s="18" t="n">
        <v>49.95922543</v>
      </c>
      <c r="H27" s="20" t="n">
        <v>1.50302441</v>
      </c>
      <c r="I27" s="18" t="n">
        <v>0</v>
      </c>
      <c r="J27" s="20" t="n">
        <v>0</v>
      </c>
      <c r="K27" s="18" t="n">
        <v>0</v>
      </c>
      <c r="L27" s="20" t="n">
        <v>0</v>
      </c>
      <c r="M27" s="18" t="n">
        <v>0</v>
      </c>
      <c r="N27" s="20" t="n">
        <v>0</v>
      </c>
      <c r="O27" s="18" t="n">
        <v>0</v>
      </c>
      <c r="P27" s="20" t="n">
        <v>0</v>
      </c>
      <c r="Q27" s="18" t="n">
        <v>0.5409477499999999</v>
      </c>
      <c r="R27" s="20" t="n">
        <v>0.22184294</v>
      </c>
    </row>
    <row r="28" spans="1:18">
      <c r="A28" s="15" t="s">
        <v>586</v>
      </c>
      <c r="B28" s="17" t="n">
        <v>7568</v>
      </c>
      <c r="C28" s="18">
        <f>(5921.0/B28*100)</f>
        <v/>
      </c>
      <c r="D28" s="19" t="n">
        <v>1647</v>
      </c>
      <c r="E28" s="18" t="n">
        <v>50.73302644</v>
      </c>
      <c r="F28" s="20" t="n">
        <v>1.1651337</v>
      </c>
      <c r="G28" s="18" t="n">
        <v>48.5321759</v>
      </c>
      <c r="H28" s="20" t="n">
        <v>1.22938326</v>
      </c>
      <c r="I28" s="18" t="n">
        <v>0</v>
      </c>
      <c r="J28" s="20" t="n">
        <v>0</v>
      </c>
      <c r="K28" s="18" t="n">
        <v>0.1586226</v>
      </c>
      <c r="L28" s="20" t="n">
        <v>0.11616719</v>
      </c>
      <c r="M28" s="18" t="n">
        <v>0</v>
      </c>
      <c r="N28" s="20" t="n">
        <v>0</v>
      </c>
      <c r="O28" s="18" t="n">
        <v>0</v>
      </c>
      <c r="P28" s="20" t="n">
        <v>0</v>
      </c>
      <c r="Q28" s="18" t="n">
        <v>0.57617506</v>
      </c>
      <c r="R28" s="20" t="n">
        <v>0.22421343</v>
      </c>
    </row>
    <row r="29" spans="1:18">
      <c r="A29" s="15" t="s">
        <v>587</v>
      </c>
      <c r="B29" s="17" t="n">
        <v>5385</v>
      </c>
      <c r="C29" s="18">
        <f>(4212.0/B29*100)</f>
        <v/>
      </c>
      <c r="D29" s="19" t="n">
        <v>1173</v>
      </c>
      <c r="E29" s="18" t="n">
        <v>37.68599396</v>
      </c>
      <c r="F29" s="20" t="n">
        <v>1.3589297</v>
      </c>
      <c r="G29" s="18" t="n">
        <v>61.96886938</v>
      </c>
      <c r="H29" s="20" t="n">
        <v>1.39893939</v>
      </c>
      <c r="I29" s="18" t="n">
        <v>0</v>
      </c>
      <c r="J29" s="20" t="n">
        <v>0</v>
      </c>
      <c r="K29" s="18" t="n">
        <v>0.18276465</v>
      </c>
      <c r="L29" s="20" t="n">
        <v>0.11150843</v>
      </c>
      <c r="M29" s="18" t="n">
        <v>0</v>
      </c>
      <c r="N29" s="20" t="n">
        <v>0</v>
      </c>
      <c r="O29" s="18" t="n">
        <v>0</v>
      </c>
      <c r="P29" s="20" t="n">
        <v>0</v>
      </c>
      <c r="Q29" s="18" t="n">
        <v>0.16237202</v>
      </c>
      <c r="R29" s="20" t="n">
        <v>0.11763704</v>
      </c>
    </row>
    <row r="30" spans="1:18">
      <c r="A30" s="15" t="s">
        <v>588</v>
      </c>
      <c r="B30" s="17" t="n">
        <v>4520</v>
      </c>
      <c r="C30" s="18">
        <f>(3542.0/B30*100)</f>
        <v/>
      </c>
      <c r="D30" s="19" t="n">
        <v>978</v>
      </c>
      <c r="E30" s="18" t="n">
        <v>56.12342915</v>
      </c>
      <c r="F30" s="20" t="n">
        <v>1.71464937</v>
      </c>
      <c r="G30" s="18" t="n">
        <v>43.13633126</v>
      </c>
      <c r="H30" s="20" t="n">
        <v>1.65579552</v>
      </c>
      <c r="I30" s="18" t="n">
        <v>0</v>
      </c>
      <c r="J30" s="20" t="n">
        <v>0</v>
      </c>
      <c r="K30" s="18" t="n">
        <v>0.09768092</v>
      </c>
      <c r="L30" s="20" t="n">
        <v>0.0841582</v>
      </c>
      <c r="M30" s="18" t="n">
        <v>0</v>
      </c>
      <c r="N30" s="20" t="n">
        <v>0</v>
      </c>
      <c r="O30" s="18" t="n">
        <v>0</v>
      </c>
      <c r="P30" s="20" t="n">
        <v>0</v>
      </c>
      <c r="Q30" s="18" t="n">
        <v>0.64255867</v>
      </c>
      <c r="R30" s="20" t="n">
        <v>0.25733195</v>
      </c>
    </row>
    <row r="31" spans="1:18">
      <c r="A31" s="15" t="s">
        <v>589</v>
      </c>
      <c r="B31" s="17" t="n">
        <v>5456</v>
      </c>
      <c r="C31" s="18">
        <f>(4275.0/B31*100)</f>
        <v/>
      </c>
      <c r="D31" s="19" t="n">
        <v>1181</v>
      </c>
      <c r="E31" s="18" t="n">
        <v>48.49051148</v>
      </c>
      <c r="F31" s="20" t="n">
        <v>1.63917915</v>
      </c>
      <c r="G31" s="18" t="n">
        <v>51.00383485</v>
      </c>
      <c r="H31" s="20" t="n">
        <v>1.61671017</v>
      </c>
      <c r="I31" s="18" t="n">
        <v>0</v>
      </c>
      <c r="J31" s="20" t="n">
        <v>0</v>
      </c>
      <c r="K31" s="18" t="n">
        <v>0.33165012</v>
      </c>
      <c r="L31" s="20" t="n">
        <v>0.16648343</v>
      </c>
      <c r="M31" s="18" t="n">
        <v>0</v>
      </c>
      <c r="N31" s="20" t="n">
        <v>0</v>
      </c>
      <c r="O31" s="18" t="n">
        <v>0</v>
      </c>
      <c r="P31" s="20" t="n">
        <v>0</v>
      </c>
      <c r="Q31" s="18" t="n">
        <v>0.17400355</v>
      </c>
      <c r="R31" s="20" t="n">
        <v>0.1299601</v>
      </c>
    </row>
    <row r="32" spans="1:18">
      <c r="A32" s="15" t="s">
        <v>590</v>
      </c>
      <c r="B32" s="17" t="n">
        <v>4478</v>
      </c>
      <c r="C32" s="18">
        <f>(3533.0/B32*100)</f>
        <v/>
      </c>
      <c r="D32" s="19" t="n">
        <v>945</v>
      </c>
      <c r="E32" s="18" t="n">
        <v>30.26541219</v>
      </c>
      <c r="F32" s="20" t="n">
        <v>1.37518754</v>
      </c>
      <c r="G32" s="18" t="n">
        <v>69.55542335</v>
      </c>
      <c r="H32" s="20" t="n">
        <v>1.39165245</v>
      </c>
      <c r="I32" s="18" t="n">
        <v>0</v>
      </c>
      <c r="J32" s="20" t="n">
        <v>0</v>
      </c>
      <c r="K32" s="18" t="n">
        <v>0</v>
      </c>
      <c r="L32" s="20" t="n">
        <v>0</v>
      </c>
      <c r="M32" s="18" t="n">
        <v>0</v>
      </c>
      <c r="N32" s="20" t="n">
        <v>0</v>
      </c>
      <c r="O32" s="18" t="n">
        <v>0</v>
      </c>
      <c r="P32" s="20" t="n">
        <v>0</v>
      </c>
      <c r="Q32" s="18" t="n">
        <v>0.17916446</v>
      </c>
      <c r="R32" s="20" t="n">
        <v>0.1263384</v>
      </c>
    </row>
    <row r="33" spans="1:18">
      <c r="A33" s="15" t="s">
        <v>591</v>
      </c>
      <c r="B33" s="17" t="n">
        <v>7325</v>
      </c>
      <c r="C33" s="18">
        <f>(5682.0/B33*100)</f>
        <v/>
      </c>
      <c r="D33" s="19" t="n">
        <v>1643</v>
      </c>
      <c r="E33" s="18" t="n">
        <v>25.72940641</v>
      </c>
      <c r="F33" s="20" t="n">
        <v>1.57147927</v>
      </c>
      <c r="G33" s="18" t="n">
        <v>73.98713404</v>
      </c>
      <c r="H33" s="20" t="n">
        <v>1.58464222</v>
      </c>
      <c r="I33" s="18" t="n">
        <v>0</v>
      </c>
      <c r="J33" s="20" t="n">
        <v>0</v>
      </c>
      <c r="K33" s="18" t="n">
        <v>0</v>
      </c>
      <c r="L33" s="20" t="n">
        <v>0</v>
      </c>
      <c r="M33" s="18" t="n">
        <v>0</v>
      </c>
      <c r="N33" s="20" t="n">
        <v>0</v>
      </c>
      <c r="O33" s="18" t="n">
        <v>0</v>
      </c>
      <c r="P33" s="20" t="n">
        <v>0</v>
      </c>
      <c r="Q33" s="18" t="n">
        <v>0.28345955</v>
      </c>
      <c r="R33" s="20" t="n">
        <v>0.13768969</v>
      </c>
    </row>
    <row r="34" spans="1:18">
      <c r="A34" s="15" t="s">
        <v>592</v>
      </c>
      <c r="B34" s="17" t="n">
        <v>6350</v>
      </c>
      <c r="C34" s="18">
        <f>(4981.0/B34*100)</f>
        <v/>
      </c>
      <c r="D34" s="19" t="n">
        <v>1369</v>
      </c>
      <c r="E34" s="18" t="n">
        <v>29.43867222</v>
      </c>
      <c r="F34" s="20" t="n">
        <v>1.47213825</v>
      </c>
      <c r="G34" s="18" t="n">
        <v>69.95620802000001</v>
      </c>
      <c r="H34" s="20" t="n">
        <v>1.47268711</v>
      </c>
      <c r="I34" s="18" t="n">
        <v>0</v>
      </c>
      <c r="J34" s="20" t="n">
        <v>0</v>
      </c>
      <c r="K34" s="18" t="n">
        <v>0</v>
      </c>
      <c r="L34" s="20" t="n">
        <v>0</v>
      </c>
      <c r="M34" s="18" t="n">
        <v>0</v>
      </c>
      <c r="N34" s="20" t="n">
        <v>0</v>
      </c>
      <c r="O34" s="18" t="n">
        <v>0</v>
      </c>
      <c r="P34" s="20" t="n">
        <v>0</v>
      </c>
      <c r="Q34" s="18" t="n">
        <v>0.60511976</v>
      </c>
      <c r="R34" s="20" t="n">
        <v>0.22687474</v>
      </c>
    </row>
    <row r="35" spans="1:18">
      <c r="A35" s="15" t="s">
        <v>593</v>
      </c>
      <c r="B35" s="17" t="n">
        <v>6406</v>
      </c>
      <c r="C35" s="18">
        <f>(4977.0/B35*100)</f>
        <v/>
      </c>
      <c r="D35" s="19" t="n">
        <v>1429</v>
      </c>
      <c r="E35" s="18" t="n">
        <v>42.88433052</v>
      </c>
      <c r="F35" s="20" t="n">
        <v>1.71561899</v>
      </c>
      <c r="G35" s="18" t="n">
        <v>56.73117268</v>
      </c>
      <c r="H35" s="20" t="n">
        <v>1.72310353</v>
      </c>
      <c r="I35" s="18" t="n">
        <v>0</v>
      </c>
      <c r="J35" s="20" t="n">
        <v>0</v>
      </c>
      <c r="K35" s="18" t="n">
        <v>0.03359138</v>
      </c>
      <c r="L35" s="20" t="n">
        <v>0.03369092</v>
      </c>
      <c r="M35" s="18" t="n">
        <v>0</v>
      </c>
      <c r="N35" s="20" t="n">
        <v>0</v>
      </c>
      <c r="O35" s="18" t="n">
        <v>0</v>
      </c>
      <c r="P35" s="20" t="n">
        <v>0</v>
      </c>
      <c r="Q35" s="18" t="n">
        <v>0.35090542</v>
      </c>
      <c r="R35" s="20" t="n">
        <v>0.15778342</v>
      </c>
    </row>
    <row r="36" spans="1:18">
      <c r="A36" s="15" t="s">
        <v>594</v>
      </c>
      <c r="B36" s="17" t="n">
        <v>6736</v>
      </c>
      <c r="C36" s="18">
        <f>(5227.0/B36*100)</f>
        <v/>
      </c>
      <c r="D36" s="19" t="n">
        <v>1509</v>
      </c>
      <c r="E36" s="18" t="n">
        <v>24.8406726</v>
      </c>
      <c r="F36" s="20" t="n">
        <v>1.18900844</v>
      </c>
      <c r="G36" s="18" t="n">
        <v>74.20359508</v>
      </c>
      <c r="H36" s="20" t="n">
        <v>1.2070877</v>
      </c>
      <c r="I36" s="18" t="n">
        <v>0</v>
      </c>
      <c r="J36" s="20" t="n">
        <v>0</v>
      </c>
      <c r="K36" s="18" t="n">
        <v>0.0734484</v>
      </c>
      <c r="L36" s="20" t="n">
        <v>0.07376056</v>
      </c>
      <c r="M36" s="18" t="n">
        <v>0</v>
      </c>
      <c r="N36" s="20" t="n">
        <v>0</v>
      </c>
      <c r="O36" s="18" t="n">
        <v>0</v>
      </c>
      <c r="P36" s="20" t="n">
        <v>0</v>
      </c>
      <c r="Q36" s="18" t="n">
        <v>0.8822839099999999</v>
      </c>
      <c r="R36" s="20" t="n">
        <v>0.27837932</v>
      </c>
    </row>
    <row r="37" spans="1:18">
      <c r="A37" s="15" t="s">
        <v>595</v>
      </c>
      <c r="B37" s="17" t="n">
        <v>5458</v>
      </c>
      <c r="C37" s="18">
        <f>(4251.0/B37*100)</f>
        <v/>
      </c>
      <c r="D37" s="19" t="n">
        <v>1207</v>
      </c>
      <c r="E37" s="18" t="n">
        <v>62.38925728</v>
      </c>
      <c r="F37" s="20" t="n">
        <v>1.55387471</v>
      </c>
      <c r="G37" s="18" t="n">
        <v>36.59951581</v>
      </c>
      <c r="H37" s="20" t="n">
        <v>1.54582486</v>
      </c>
      <c r="I37" s="18" t="n">
        <v>0</v>
      </c>
      <c r="J37" s="20" t="n">
        <v>0</v>
      </c>
      <c r="K37" s="18" t="n">
        <v>0.42281928</v>
      </c>
      <c r="L37" s="20" t="n">
        <v>0.18442239</v>
      </c>
      <c r="M37" s="18" t="n">
        <v>0</v>
      </c>
      <c r="N37" s="20" t="n">
        <v>0</v>
      </c>
      <c r="O37" s="18" t="n">
        <v>0</v>
      </c>
      <c r="P37" s="20" t="n">
        <v>0</v>
      </c>
      <c r="Q37" s="18" t="n">
        <v>0.58840763</v>
      </c>
      <c r="R37" s="20" t="n">
        <v>0.20714338</v>
      </c>
    </row>
    <row r="38" spans="1:18">
      <c r="A38" s="15" t="s">
        <v>596</v>
      </c>
      <c r="B38" s="17" t="n">
        <v>5860</v>
      </c>
      <c r="C38" s="18">
        <f>(4502.0/B38*100)</f>
        <v/>
      </c>
      <c r="D38" s="19" t="n">
        <v>1358</v>
      </c>
      <c r="E38" s="18" t="n">
        <v>30.31319684</v>
      </c>
      <c r="F38" s="20" t="n">
        <v>1.53024601</v>
      </c>
      <c r="G38" s="18" t="n">
        <v>69.2071931</v>
      </c>
      <c r="H38" s="20" t="n">
        <v>1.54384079</v>
      </c>
      <c r="I38" s="18" t="n">
        <v>0</v>
      </c>
      <c r="J38" s="20" t="n">
        <v>0</v>
      </c>
      <c r="K38" s="18" t="n">
        <v>0</v>
      </c>
      <c r="L38" s="20" t="n">
        <v>0</v>
      </c>
      <c r="M38" s="18" t="n">
        <v>0</v>
      </c>
      <c r="N38" s="20" t="n">
        <v>0</v>
      </c>
      <c r="O38" s="18" t="n">
        <v>0</v>
      </c>
      <c r="P38" s="20" t="n">
        <v>0</v>
      </c>
      <c r="Q38" s="18" t="n">
        <v>0.47961007</v>
      </c>
      <c r="R38" s="20" t="n">
        <v>0.30522609</v>
      </c>
    </row>
    <row r="39" spans="1:18">
      <c r="A39" s="15" t="s">
        <v>597</v>
      </c>
      <c r="B39" s="17" t="n">
        <v>5895</v>
      </c>
      <c r="C39" s="18">
        <f>(4591.0/B39*100)</f>
        <v/>
      </c>
      <c r="D39" s="19" t="n">
        <v>1304</v>
      </c>
      <c r="E39" s="18" t="n">
        <v>47.21400861</v>
      </c>
      <c r="F39" s="20" t="n">
        <v>1.33788558</v>
      </c>
      <c r="G39" s="18" t="n">
        <v>51.75503562</v>
      </c>
      <c r="H39" s="20" t="n">
        <v>1.29866164</v>
      </c>
      <c r="I39" s="18" t="n">
        <v>0</v>
      </c>
      <c r="J39" s="20" t="n">
        <v>0</v>
      </c>
      <c r="K39" s="18" t="n">
        <v>0.17012167</v>
      </c>
      <c r="L39" s="20" t="n">
        <v>0.12143719</v>
      </c>
      <c r="M39" s="18" t="n">
        <v>0</v>
      </c>
      <c r="N39" s="20" t="n">
        <v>0</v>
      </c>
      <c r="O39" s="18" t="n">
        <v>0</v>
      </c>
      <c r="P39" s="20" t="n">
        <v>0</v>
      </c>
      <c r="Q39" s="18" t="n">
        <v>0.8608341</v>
      </c>
      <c r="R39" s="20" t="n">
        <v>0.19923273</v>
      </c>
    </row>
    <row r="40" spans="1:18">
      <c r="A40" s="15" t="s">
        <v>598</v>
      </c>
      <c r="B40" s="17" t="n">
        <v>14157</v>
      </c>
      <c r="C40" s="18">
        <f>(10972.0/B40*100)</f>
        <v/>
      </c>
      <c r="D40" s="19" t="n">
        <v>3185</v>
      </c>
      <c r="E40" s="18" t="n">
        <v>60.90011187</v>
      </c>
      <c r="F40" s="20" t="n">
        <v>1.08505977</v>
      </c>
      <c r="G40" s="18" t="n">
        <v>38.36591845</v>
      </c>
      <c r="H40" s="20" t="n">
        <v>1.09916697</v>
      </c>
      <c r="I40" s="18" t="n">
        <v>0</v>
      </c>
      <c r="J40" s="20" t="n">
        <v>0</v>
      </c>
      <c r="K40" s="18" t="n">
        <v>0.05969021</v>
      </c>
      <c r="L40" s="20" t="n">
        <v>0.05662439</v>
      </c>
      <c r="M40" s="18" t="n">
        <v>0</v>
      </c>
      <c r="N40" s="20" t="n">
        <v>0</v>
      </c>
      <c r="O40" s="18" t="n">
        <v>0</v>
      </c>
      <c r="P40" s="20" t="n">
        <v>0</v>
      </c>
      <c r="Q40" s="18" t="n">
        <v>0.67427947</v>
      </c>
      <c r="R40" s="20" t="n">
        <v>0.21570781</v>
      </c>
    </row>
    <row r="41" spans="1:18">
      <c r="A41" s="15" t="s">
        <v>599</v>
      </c>
      <c r="B41" s="17" t="n">
        <v>5712</v>
      </c>
      <c r="C41" s="18">
        <f>(4493.0/B41*100)</f>
        <v/>
      </c>
      <c r="D41" s="19" t="n">
        <v>1219</v>
      </c>
      <c r="E41" s="18" t="n">
        <v>53.52404396</v>
      </c>
      <c r="F41" s="20" t="n">
        <v>1.49832045</v>
      </c>
      <c r="G41" s="18" t="n">
        <v>45.70146284</v>
      </c>
      <c r="H41" s="20" t="n">
        <v>1.44163529</v>
      </c>
      <c r="I41" s="18" t="n">
        <v>0</v>
      </c>
      <c r="J41" s="20" t="n">
        <v>0</v>
      </c>
      <c r="K41" s="18" t="n">
        <v>0.11191034</v>
      </c>
      <c r="L41" s="20" t="n">
        <v>0.09151500999999999</v>
      </c>
      <c r="M41" s="18" t="n">
        <v>0</v>
      </c>
      <c r="N41" s="20" t="n">
        <v>0</v>
      </c>
      <c r="O41" s="18" t="n">
        <v>0</v>
      </c>
      <c r="P41" s="20" t="n">
        <v>0</v>
      </c>
      <c r="Q41" s="18" t="n">
        <v>0.66258286</v>
      </c>
      <c r="R41" s="20" t="n">
        <v>0.22900328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(18369.0/B46*100)</f>
        <v/>
      </c>
      <c r="D46" s="19" t="n">
        <v>4772</v>
      </c>
      <c r="E46" s="18" t="n">
        <v>56.21009415</v>
      </c>
      <c r="F46" s="20" t="n">
        <v>1.05613258</v>
      </c>
      <c r="G46" s="18" t="n">
        <v>41.56095131</v>
      </c>
      <c r="H46" s="20" t="n">
        <v>1.06951511</v>
      </c>
      <c r="I46" s="18" t="n">
        <v>0</v>
      </c>
      <c r="J46" s="20" t="n">
        <v>0</v>
      </c>
      <c r="K46" s="18" t="n">
        <v>0.53964977</v>
      </c>
      <c r="L46" s="20" t="n">
        <v>0.17750603</v>
      </c>
      <c r="M46" s="18" t="n">
        <v>0</v>
      </c>
      <c r="N46" s="20" t="n">
        <v>0</v>
      </c>
      <c r="O46" s="18" t="n">
        <v>0</v>
      </c>
      <c r="P46" s="20" t="n">
        <v>0</v>
      </c>
      <c r="Q46" s="18" t="n">
        <v>1.68930476</v>
      </c>
      <c r="R46" s="20" t="n">
        <v>0.25733283</v>
      </c>
    </row>
    <row r="47" spans="1:18">
      <c r="A47" s="15" t="s">
        <v>606</v>
      </c>
      <c r="B47" s="17" t="n">
        <v>5928</v>
      </c>
      <c r="C47" s="18">
        <f>(4615.0/B47*100)</f>
        <v/>
      </c>
      <c r="D47" s="19" t="n">
        <v>1313</v>
      </c>
      <c r="E47" s="18" t="n">
        <v>45.62038722</v>
      </c>
      <c r="F47" s="20" t="n">
        <v>1.24972248</v>
      </c>
      <c r="G47" s="18" t="n">
        <v>53.11198006</v>
      </c>
      <c r="H47" s="20" t="n">
        <v>1.31211599</v>
      </c>
      <c r="I47" s="18" t="n">
        <v>0</v>
      </c>
      <c r="J47" s="20" t="n">
        <v>0</v>
      </c>
      <c r="K47" s="18" t="n">
        <v>0.37821094</v>
      </c>
      <c r="L47" s="20" t="n">
        <v>0.18362163</v>
      </c>
      <c r="M47" s="18" t="n">
        <v>0</v>
      </c>
      <c r="N47" s="20" t="n">
        <v>0</v>
      </c>
      <c r="O47" s="18" t="n">
        <v>0</v>
      </c>
      <c r="P47" s="20" t="n">
        <v>0</v>
      </c>
      <c r="Q47" s="18" t="n">
        <v>0.8894217800000001</v>
      </c>
      <c r="R47" s="20" t="n">
        <v>0.29177999</v>
      </c>
    </row>
    <row r="48" spans="1:18">
      <c r="A48" s="15" t="s">
        <v>607</v>
      </c>
      <c r="B48" s="17" t="n">
        <v>9841</v>
      </c>
      <c r="C48" s="18">
        <f>(7687.0/B48*100)</f>
        <v/>
      </c>
      <c r="D48" s="19" t="n">
        <v>2154</v>
      </c>
      <c r="E48" s="18" t="n">
        <v>60.89050971</v>
      </c>
      <c r="F48" s="20" t="n">
        <v>1.44429184</v>
      </c>
      <c r="G48" s="18" t="n">
        <v>37.75768457</v>
      </c>
      <c r="H48" s="20" t="n">
        <v>1.5064256</v>
      </c>
      <c r="I48" s="18" t="n">
        <v>0</v>
      </c>
      <c r="J48" s="20" t="n">
        <v>0</v>
      </c>
      <c r="K48" s="18" t="n">
        <v>0.31479559</v>
      </c>
      <c r="L48" s="20" t="n">
        <v>0.15063673</v>
      </c>
      <c r="M48" s="18" t="n">
        <v>0</v>
      </c>
      <c r="N48" s="20" t="n">
        <v>0</v>
      </c>
      <c r="O48" s="18" t="n">
        <v>0</v>
      </c>
      <c r="P48" s="20" t="n">
        <v>0</v>
      </c>
      <c r="Q48" s="18" t="n">
        <v>1.03701013</v>
      </c>
      <c r="R48" s="20" t="n">
        <v>0.28940198</v>
      </c>
    </row>
    <row r="49" spans="1:18">
      <c r="A49" s="15" t="s">
        <v>608</v>
      </c>
      <c r="B49" s="17" t="n">
        <v>11795</v>
      </c>
      <c r="C49" s="18">
        <f>(9191.0/B49*100)</f>
        <v/>
      </c>
      <c r="D49" s="19" t="n">
        <v>2604</v>
      </c>
      <c r="E49" s="18" t="n">
        <v>47.72115995</v>
      </c>
      <c r="F49" s="20" t="n">
        <v>1.54209308</v>
      </c>
      <c r="G49" s="18" t="n">
        <v>51.24442311</v>
      </c>
      <c r="H49" s="20" t="n">
        <v>1.52181128</v>
      </c>
      <c r="I49" s="18" t="n">
        <v>0</v>
      </c>
      <c r="J49" s="20" t="n">
        <v>0</v>
      </c>
      <c r="K49" s="18" t="n">
        <v>0.49745858</v>
      </c>
      <c r="L49" s="20" t="n">
        <v>0.19649559</v>
      </c>
      <c r="M49" s="18" t="n">
        <v>0</v>
      </c>
      <c r="N49" s="20" t="n">
        <v>0</v>
      </c>
      <c r="O49" s="18" t="n">
        <v>0</v>
      </c>
      <c r="P49" s="20" t="n">
        <v>0</v>
      </c>
      <c r="Q49" s="18" t="n">
        <v>0.53695836</v>
      </c>
      <c r="R49" s="20" t="n">
        <v>0.18623204</v>
      </c>
    </row>
    <row r="50" spans="1:18">
      <c r="A50" s="15" t="s">
        <v>609</v>
      </c>
      <c r="B50" s="17" t="n">
        <v>6866</v>
      </c>
      <c r="C50" s="18">
        <f>(5520.0/B50*100)</f>
        <v/>
      </c>
      <c r="D50" s="19" t="n">
        <v>1346</v>
      </c>
      <c r="E50" s="18" t="n">
        <v>38.87753507</v>
      </c>
      <c r="F50" s="20" t="n">
        <v>1.51130289</v>
      </c>
      <c r="G50" s="18" t="n">
        <v>60.57633202</v>
      </c>
      <c r="H50" s="20" t="n">
        <v>1.51289341</v>
      </c>
      <c r="I50" s="18" t="n">
        <v>0</v>
      </c>
      <c r="J50" s="20" t="n">
        <v>0</v>
      </c>
      <c r="K50" s="18" t="n">
        <v>0.07309717</v>
      </c>
      <c r="L50" s="20" t="n">
        <v>0.07765356</v>
      </c>
      <c r="M50" s="18" t="n">
        <v>0</v>
      </c>
      <c r="N50" s="20" t="n">
        <v>0</v>
      </c>
      <c r="O50" s="18" t="n">
        <v>0</v>
      </c>
      <c r="P50" s="20" t="n">
        <v>0</v>
      </c>
      <c r="Q50" s="18" t="n">
        <v>0.47303575</v>
      </c>
      <c r="R50" s="20" t="n">
        <v>0.19260174</v>
      </c>
    </row>
    <row r="51" spans="1:18">
      <c r="A51" s="15" t="s">
        <v>610</v>
      </c>
      <c r="B51" s="17" t="n">
        <v>5809</v>
      </c>
      <c r="C51" s="18">
        <f>(4537.0/B51*100)</f>
        <v/>
      </c>
      <c r="D51" s="19" t="n">
        <v>1272</v>
      </c>
      <c r="E51" s="18" t="n">
        <v>42.92049052</v>
      </c>
      <c r="F51" s="20" t="n">
        <v>1.28917415</v>
      </c>
      <c r="G51" s="18" t="n">
        <v>56.18011457</v>
      </c>
      <c r="H51" s="20" t="n">
        <v>1.34873387</v>
      </c>
      <c r="I51" s="18" t="n">
        <v>0</v>
      </c>
      <c r="J51" s="20" t="n">
        <v>0</v>
      </c>
      <c r="K51" s="18" t="n">
        <v>0.07996137</v>
      </c>
      <c r="L51" s="20" t="n">
        <v>0.07826097</v>
      </c>
      <c r="M51" s="18" t="n">
        <v>0</v>
      </c>
      <c r="N51" s="20" t="n">
        <v>0</v>
      </c>
      <c r="O51" s="18" t="n">
        <v>0</v>
      </c>
      <c r="P51" s="20" t="n">
        <v>0</v>
      </c>
      <c r="Q51" s="18" t="n">
        <v>0.81943354</v>
      </c>
      <c r="R51" s="20" t="n">
        <v>0.29397852</v>
      </c>
    </row>
    <row r="52" spans="1:18">
      <c r="A52" s="15" t="s">
        <v>611</v>
      </c>
      <c r="B52" s="17" t="n">
        <v>5571</v>
      </c>
      <c r="C52" s="18">
        <f>(4336.0/B52*100)</f>
        <v/>
      </c>
      <c r="D52" s="19" t="n">
        <v>1235</v>
      </c>
      <c r="E52" s="18" t="n">
        <v>39.06353038</v>
      </c>
      <c r="F52" s="20" t="n">
        <v>1.40441407</v>
      </c>
      <c r="G52" s="18" t="n">
        <v>59.75405129</v>
      </c>
      <c r="H52" s="20" t="n">
        <v>1.40242897</v>
      </c>
      <c r="I52" s="18" t="n">
        <v>0</v>
      </c>
      <c r="J52" s="20" t="n">
        <v>0</v>
      </c>
      <c r="K52" s="18" t="n">
        <v>0.10650695</v>
      </c>
      <c r="L52" s="20" t="n">
        <v>0.10664222</v>
      </c>
      <c r="M52" s="18" t="n">
        <v>0</v>
      </c>
      <c r="N52" s="20" t="n">
        <v>0</v>
      </c>
      <c r="O52" s="18" t="n">
        <v>0</v>
      </c>
      <c r="P52" s="20" t="n">
        <v>0</v>
      </c>
      <c r="Q52" s="18" t="n">
        <v>1.07591137</v>
      </c>
      <c r="R52" s="20" t="n">
        <v>0.25086364</v>
      </c>
    </row>
    <row r="53" spans="1:18">
      <c r="A53" s="15" t="s">
        <v>612</v>
      </c>
      <c r="B53" s="17" t="n">
        <v>4740</v>
      </c>
      <c r="C53" s="18">
        <f>(3675.0/B53*100)</f>
        <v/>
      </c>
      <c r="D53" s="19" t="n">
        <v>1065</v>
      </c>
      <c r="E53" s="18" t="n">
        <v>58.97841085</v>
      </c>
      <c r="F53" s="20" t="n">
        <v>1.64685708</v>
      </c>
      <c r="G53" s="18" t="n">
        <v>34.75885197</v>
      </c>
      <c r="H53" s="20" t="n">
        <v>1.51244457</v>
      </c>
      <c r="I53" s="18" t="n">
        <v>0</v>
      </c>
      <c r="J53" s="20" t="n">
        <v>0</v>
      </c>
      <c r="K53" s="18" t="n">
        <v>2.92727408</v>
      </c>
      <c r="L53" s="20" t="n">
        <v>0.59029198</v>
      </c>
      <c r="M53" s="18" t="n">
        <v>0</v>
      </c>
      <c r="N53" s="20" t="n">
        <v>0</v>
      </c>
      <c r="O53" s="18" t="n">
        <v>0</v>
      </c>
      <c r="P53" s="20" t="n">
        <v>0</v>
      </c>
      <c r="Q53" s="18" t="n">
        <v>3.3354631</v>
      </c>
      <c r="R53" s="20" t="n">
        <v>0.58410279</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(4154.0/B55*100)</f>
        <v/>
      </c>
      <c r="D55" s="19" t="n">
        <v>1205</v>
      </c>
      <c r="E55" s="18" t="n">
        <v>38.47489924</v>
      </c>
      <c r="F55" s="20" t="n">
        <v>1.6035019</v>
      </c>
      <c r="G55" s="18" t="n">
        <v>60.88512386</v>
      </c>
      <c r="H55" s="20" t="n">
        <v>1.58363202</v>
      </c>
      <c r="I55" s="18" t="n">
        <v>0</v>
      </c>
      <c r="J55" s="20" t="n">
        <v>0</v>
      </c>
      <c r="K55" s="18" t="n">
        <v>0.07104524</v>
      </c>
      <c r="L55" s="20" t="n">
        <v>0.07110875999999999</v>
      </c>
      <c r="M55" s="18" t="n">
        <v>0</v>
      </c>
      <c r="N55" s="20" t="n">
        <v>0</v>
      </c>
      <c r="O55" s="18" t="n">
        <v>0</v>
      </c>
      <c r="P55" s="20" t="n">
        <v>0</v>
      </c>
      <c r="Q55" s="18" t="n">
        <v>0.56893166</v>
      </c>
      <c r="R55" s="20" t="n">
        <v>0.21888375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(5087.0/B61*100)</f>
        <v/>
      </c>
      <c r="D61" s="19" t="n">
        <v>1438</v>
      </c>
      <c r="E61" s="18" t="n">
        <v>56.10395234</v>
      </c>
      <c r="F61" s="20" t="n">
        <v>1.48110832</v>
      </c>
      <c r="G61" s="18" t="n">
        <v>42.8813672</v>
      </c>
      <c r="H61" s="20" t="n">
        <v>1.49583609</v>
      </c>
      <c r="I61" s="18" t="n">
        <v>0</v>
      </c>
      <c r="J61" s="20" t="n">
        <v>0</v>
      </c>
      <c r="K61" s="18" t="n">
        <v>0.30300875</v>
      </c>
      <c r="L61" s="20" t="n">
        <v>0.21728752</v>
      </c>
      <c r="M61" s="18" t="n">
        <v>0</v>
      </c>
      <c r="N61" s="20" t="n">
        <v>0</v>
      </c>
      <c r="O61" s="18" t="n">
        <v>0</v>
      </c>
      <c r="P61" s="20" t="n">
        <v>0</v>
      </c>
      <c r="Q61" s="18" t="n">
        <v>0.71167171</v>
      </c>
      <c r="R61" s="20" t="n">
        <v>0.23890493</v>
      </c>
    </row>
    <row r="62" spans="1:18">
      <c r="A62" s="15" t="s">
        <v>622</v>
      </c>
      <c r="B62" s="17" t="n">
        <v>4476</v>
      </c>
      <c r="C62" s="18">
        <f>(3477.0/B62*100)</f>
        <v/>
      </c>
      <c r="D62" s="19" t="n">
        <v>999</v>
      </c>
      <c r="E62" s="18" t="n">
        <v>47.63517617</v>
      </c>
      <c r="F62" s="20" t="n">
        <v>1.74810622</v>
      </c>
      <c r="G62" s="18" t="n">
        <v>52.26537126</v>
      </c>
      <c r="H62" s="20" t="n">
        <v>1.75948967</v>
      </c>
      <c r="I62" s="18" t="n">
        <v>0</v>
      </c>
      <c r="J62" s="20" t="n">
        <v>0</v>
      </c>
      <c r="K62" s="18" t="n">
        <v>0</v>
      </c>
      <c r="L62" s="20" t="n">
        <v>0</v>
      </c>
      <c r="M62" s="18" t="n">
        <v>0</v>
      </c>
      <c r="N62" s="20" t="n">
        <v>0</v>
      </c>
      <c r="O62" s="18" t="n">
        <v>0</v>
      </c>
      <c r="P62" s="20" t="n">
        <v>0</v>
      </c>
      <c r="Q62" s="18" t="n">
        <v>0.09945256</v>
      </c>
      <c r="R62" s="20" t="n">
        <v>0.09936759000000001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(4452.0/B67*100)</f>
        <v/>
      </c>
      <c r="D67" s="19" t="n">
        <v>1213</v>
      </c>
      <c r="E67" s="18" t="n">
        <v>52.53616099</v>
      </c>
      <c r="F67" s="20" t="n">
        <v>1.40327619</v>
      </c>
      <c r="G67" s="18" t="n">
        <v>45.01388098</v>
      </c>
      <c r="H67" s="20" t="n">
        <v>1.37732981</v>
      </c>
      <c r="I67" s="18" t="n">
        <v>0</v>
      </c>
      <c r="J67" s="20" t="n">
        <v>0</v>
      </c>
      <c r="K67" s="18" t="n">
        <v>0.2256498</v>
      </c>
      <c r="L67" s="20" t="n">
        <v>0.1294108</v>
      </c>
      <c r="M67" s="18" t="n">
        <v>0</v>
      </c>
      <c r="N67" s="20" t="n">
        <v>0</v>
      </c>
      <c r="O67" s="18" t="n">
        <v>0</v>
      </c>
      <c r="P67" s="20" t="n">
        <v>0</v>
      </c>
      <c r="Q67" s="18" t="n">
        <v>2.22430823</v>
      </c>
      <c r="R67" s="20" t="n">
        <v>0.41477903</v>
      </c>
    </row>
    <row r="68" spans="1:18">
      <c r="A68" s="15" t="s">
        <v>628</v>
      </c>
      <c r="B68" s="17" t="n">
        <v>6971</v>
      </c>
      <c r="C68" s="18">
        <f>(5488.0/B68*100)</f>
        <v/>
      </c>
      <c r="D68" s="19" t="n">
        <v>1483</v>
      </c>
      <c r="E68" s="18" t="n">
        <v>44.73767093</v>
      </c>
      <c r="F68" s="20" t="n">
        <v>1.60321147</v>
      </c>
      <c r="G68" s="18" t="n">
        <v>53.82876845</v>
      </c>
      <c r="H68" s="20" t="n">
        <v>1.52080129</v>
      </c>
      <c r="I68" s="18" t="n">
        <v>0</v>
      </c>
      <c r="J68" s="20" t="n">
        <v>0</v>
      </c>
      <c r="K68" s="18" t="n">
        <v>0.17778584</v>
      </c>
      <c r="L68" s="20" t="n">
        <v>0.1775208</v>
      </c>
      <c r="M68" s="18" t="n">
        <v>0</v>
      </c>
      <c r="N68" s="20" t="n">
        <v>0</v>
      </c>
      <c r="O68" s="18" t="n">
        <v>0</v>
      </c>
      <c r="P68" s="20" t="n">
        <v>0</v>
      </c>
      <c r="Q68" s="18" t="n">
        <v>1.25577478</v>
      </c>
      <c r="R68" s="20" t="n">
        <v>0.34953854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(9358.0/B70*100)</f>
        <v/>
      </c>
      <c r="D70" s="19" t="n">
        <v>2725</v>
      </c>
      <c r="E70" s="18" t="n">
        <v>46.69990538</v>
      </c>
      <c r="F70" s="20" t="n">
        <v>0.88487271</v>
      </c>
      <c r="G70" s="18" t="n">
        <v>51.2989898</v>
      </c>
      <c r="H70" s="20" t="n">
        <v>0.9023441800000001</v>
      </c>
      <c r="I70" s="18" t="n">
        <v>0</v>
      </c>
      <c r="J70" s="20" t="n">
        <v>0</v>
      </c>
      <c r="K70" s="18" t="n">
        <v>0.89554656</v>
      </c>
      <c r="L70" s="20" t="n">
        <v>0.18349735</v>
      </c>
      <c r="M70" s="18" t="n">
        <v>0</v>
      </c>
      <c r="N70" s="20" t="n">
        <v>0</v>
      </c>
      <c r="O70" s="18" t="n">
        <v>0</v>
      </c>
      <c r="P70" s="20" t="n">
        <v>0</v>
      </c>
      <c r="Q70" s="18" t="n">
        <v>1.10555825</v>
      </c>
      <c r="R70" s="20" t="n">
        <v>0.19267401</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(4699.0/B72*100)</f>
        <v/>
      </c>
      <c r="D72" s="19" t="n">
        <v>1337</v>
      </c>
      <c r="E72" s="18" t="n">
        <v>23.00023165</v>
      </c>
      <c r="F72" s="20" t="n">
        <v>1.56935197</v>
      </c>
      <c r="G72" s="18" t="n">
        <v>76.5092252</v>
      </c>
      <c r="H72" s="20" t="n">
        <v>1.57623648</v>
      </c>
      <c r="I72" s="18" t="n">
        <v>0</v>
      </c>
      <c r="J72" s="20" t="n">
        <v>0</v>
      </c>
      <c r="K72" s="18" t="n">
        <v>0</v>
      </c>
      <c r="L72" s="20" t="n">
        <v>0</v>
      </c>
      <c r="M72" s="18" t="n">
        <v>0</v>
      </c>
      <c r="N72" s="20" t="n">
        <v>0</v>
      </c>
      <c r="O72" s="18" t="n">
        <v>0</v>
      </c>
      <c r="P72" s="20" t="n">
        <v>0</v>
      </c>
      <c r="Q72" s="18" t="n">
        <v>0.49054316</v>
      </c>
      <c r="R72" s="20" t="n">
        <v>0.19540368</v>
      </c>
    </row>
    <row r="73" spans="1:18">
      <c r="A73" s="15" t="s">
        <v>633</v>
      </c>
      <c r="B73" s="17" t="n">
        <v>6115</v>
      </c>
      <c r="C73" s="18">
        <f>(4789.0/B73*100)</f>
        <v/>
      </c>
      <c r="D73" s="19" t="n">
        <v>1326</v>
      </c>
      <c r="E73" s="18" t="n">
        <v>51.50925466</v>
      </c>
      <c r="F73" s="20" t="n">
        <v>1.428008</v>
      </c>
      <c r="G73" s="18" t="n">
        <v>48.13866071</v>
      </c>
      <c r="H73" s="20" t="n">
        <v>1.4449501</v>
      </c>
      <c r="I73" s="18" t="n">
        <v>0</v>
      </c>
      <c r="J73" s="20" t="n">
        <v>0</v>
      </c>
      <c r="K73" s="18" t="n">
        <v>0.15055594</v>
      </c>
      <c r="L73" s="20" t="n">
        <v>0.1072219</v>
      </c>
      <c r="M73" s="18" t="n">
        <v>0</v>
      </c>
      <c r="N73" s="20" t="n">
        <v>0</v>
      </c>
      <c r="O73" s="18" t="n">
        <v>0</v>
      </c>
      <c r="P73" s="20" t="n">
        <v>0</v>
      </c>
      <c r="Q73" s="18" t="n">
        <v>0.20152869</v>
      </c>
      <c r="R73" s="20" t="n">
        <v>0.11475458</v>
      </c>
    </row>
    <row r="74" spans="1:18">
      <c r="A74" s="15" t="s">
        <v>634</v>
      </c>
      <c r="B74" s="17" t="n">
        <v>7708</v>
      </c>
      <c r="C74" s="18">
        <f>(6067.0/B74*100)</f>
        <v/>
      </c>
      <c r="D74" s="19" t="n">
        <v>1641</v>
      </c>
      <c r="E74" s="18" t="n">
        <v>32.28885742</v>
      </c>
      <c r="F74" s="20" t="n">
        <v>1.43480896</v>
      </c>
      <c r="G74" s="18" t="n">
        <v>67.17201847</v>
      </c>
      <c r="H74" s="20" t="n">
        <v>1.43120859</v>
      </c>
      <c r="I74" s="18" t="n">
        <v>0</v>
      </c>
      <c r="J74" s="20" t="n">
        <v>0</v>
      </c>
      <c r="K74" s="18" t="n">
        <v>0.04013576</v>
      </c>
      <c r="L74" s="20" t="n">
        <v>0.04149988</v>
      </c>
      <c r="M74" s="18" t="n">
        <v>0</v>
      </c>
      <c r="N74" s="20" t="n">
        <v>0</v>
      </c>
      <c r="O74" s="18" t="n">
        <v>0</v>
      </c>
      <c r="P74" s="20" t="n">
        <v>0</v>
      </c>
      <c r="Q74" s="18" t="n">
        <v>0.49898835</v>
      </c>
      <c r="R74" s="20" t="n">
        <v>0.20254246</v>
      </c>
    </row>
    <row r="75" spans="1:18">
      <c r="A75" s="15" t="s">
        <v>635</v>
      </c>
      <c r="B75" s="17" t="n">
        <v>8249</v>
      </c>
      <c r="C75" s="18">
        <f>(6427.0/B75*100)</f>
        <v/>
      </c>
      <c r="D75" s="19" t="n">
        <v>1822</v>
      </c>
      <c r="E75" s="18" t="n">
        <v>48.94570858</v>
      </c>
      <c r="F75" s="20" t="n">
        <v>1.75057679</v>
      </c>
      <c r="G75" s="18" t="n">
        <v>50.17905233</v>
      </c>
      <c r="H75" s="20" t="n">
        <v>1.79235292</v>
      </c>
      <c r="I75" s="18" t="n">
        <v>0</v>
      </c>
      <c r="J75" s="20" t="n">
        <v>0</v>
      </c>
      <c r="K75" s="18" t="n">
        <v>0.07949012</v>
      </c>
      <c r="L75" s="20" t="n">
        <v>0.07980609</v>
      </c>
      <c r="M75" s="18" t="n">
        <v>0</v>
      </c>
      <c r="N75" s="20" t="n">
        <v>0</v>
      </c>
      <c r="O75" s="18" t="n">
        <v>0</v>
      </c>
      <c r="P75" s="20" t="n">
        <v>0</v>
      </c>
      <c r="Q75" s="18" t="n">
        <v>0.79574897</v>
      </c>
      <c r="R75" s="20" t="n">
        <v>0.25000914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(4254.0/B77*100)</f>
        <v/>
      </c>
      <c r="D77" s="19" t="n">
        <v>1121</v>
      </c>
      <c r="E77" s="18" t="n">
        <v>65.67561993</v>
      </c>
      <c r="F77" s="20" t="n">
        <v>1.3748402</v>
      </c>
      <c r="G77" s="18" t="n">
        <v>31.95710506</v>
      </c>
      <c r="H77" s="20" t="n">
        <v>1.27354964</v>
      </c>
      <c r="I77" s="18" t="n">
        <v>0</v>
      </c>
      <c r="J77" s="20" t="n">
        <v>0</v>
      </c>
      <c r="K77" s="18" t="n">
        <v>0.56605234</v>
      </c>
      <c r="L77" s="20" t="n">
        <v>0.27330251</v>
      </c>
      <c r="M77" s="18" t="n">
        <v>0</v>
      </c>
      <c r="N77" s="20" t="n">
        <v>0</v>
      </c>
      <c r="O77" s="18" t="n">
        <v>0</v>
      </c>
      <c r="P77" s="20" t="n">
        <v>0</v>
      </c>
      <c r="Q77" s="18" t="n">
        <v>1.80122267</v>
      </c>
      <c r="R77" s="20" t="n">
        <v>0.53815872</v>
      </c>
    </row>
    <row r="78" spans="1:18">
      <c r="A78" s="15" t="s">
        <v>638</v>
      </c>
      <c r="B78" s="17" t="n">
        <v>14167</v>
      </c>
      <c r="C78" s="18">
        <f>(11015.0/B78*100)</f>
        <v/>
      </c>
      <c r="D78" s="19" t="n">
        <v>3152</v>
      </c>
      <c r="E78" s="18" t="n">
        <v>53.2322574</v>
      </c>
      <c r="F78" s="20" t="n">
        <v>1.09958649</v>
      </c>
      <c r="G78" s="18" t="n">
        <v>45.13848448</v>
      </c>
      <c r="H78" s="20" t="n">
        <v>1.11338444</v>
      </c>
      <c r="I78" s="18" t="n">
        <v>0</v>
      </c>
      <c r="J78" s="20" t="n">
        <v>0</v>
      </c>
      <c r="K78" s="18" t="n">
        <v>0.56749631</v>
      </c>
      <c r="L78" s="20" t="n">
        <v>0.16963049</v>
      </c>
      <c r="M78" s="18" t="n">
        <v>0</v>
      </c>
      <c r="N78" s="20" t="n">
        <v>0</v>
      </c>
      <c r="O78" s="18" t="n">
        <v>0</v>
      </c>
      <c r="P78" s="20" t="n">
        <v>0</v>
      </c>
      <c r="Q78" s="18" t="n">
        <v>1.06176181</v>
      </c>
      <c r="R78" s="20" t="n">
        <v>0.2790513</v>
      </c>
    </row>
    <row r="79" spans="1:18">
      <c r="A79" s="15" t="s">
        <v>639</v>
      </c>
      <c r="B79" s="17" t="n">
        <v>6062</v>
      </c>
      <c r="C79" s="18">
        <f>(4696.0/B79*100)</f>
        <v/>
      </c>
      <c r="D79" s="19" t="n">
        <v>1366</v>
      </c>
      <c r="E79" s="18" t="n">
        <v>38.00914467</v>
      </c>
      <c r="F79" s="20" t="n">
        <v>1.46176272</v>
      </c>
      <c r="G79" s="18" t="n">
        <v>60.96482111</v>
      </c>
      <c r="H79" s="20" t="n">
        <v>1.48277416</v>
      </c>
      <c r="I79" s="18" t="n">
        <v>0</v>
      </c>
      <c r="J79" s="20" t="n">
        <v>0</v>
      </c>
      <c r="K79" s="18" t="n">
        <v>0.11225562</v>
      </c>
      <c r="L79" s="20" t="n">
        <v>0.12139553</v>
      </c>
      <c r="M79" s="18" t="n">
        <v>0</v>
      </c>
      <c r="N79" s="20" t="n">
        <v>0</v>
      </c>
      <c r="O79" s="18" t="n">
        <v>0</v>
      </c>
      <c r="P79" s="20" t="n">
        <v>0</v>
      </c>
      <c r="Q79" s="18" t="n">
        <v>0.9137786</v>
      </c>
      <c r="R79" s="20" t="n">
        <v>0.33470619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(25141.0/B82*100)</f>
        <v/>
      </c>
      <c r="D82" s="19" t="n">
        <v>7189</v>
      </c>
      <c r="E82" s="18" t="n">
        <v>23.5086814</v>
      </c>
      <c r="F82" s="20" t="n">
        <v>0.75516511</v>
      </c>
      <c r="G82" s="18" t="n">
        <v>75.77652483</v>
      </c>
      <c r="H82" s="20" t="n">
        <v>0.77796727</v>
      </c>
      <c r="I82" s="18" t="n">
        <v>0</v>
      </c>
      <c r="J82" s="20" t="n">
        <v>0</v>
      </c>
      <c r="K82" s="18" t="n">
        <v>0.14914243</v>
      </c>
      <c r="L82" s="20" t="n">
        <v>0.06502858</v>
      </c>
      <c r="M82" s="18" t="n">
        <v>0</v>
      </c>
      <c r="N82" s="20" t="n">
        <v>0</v>
      </c>
      <c r="O82" s="18" t="n">
        <v>0</v>
      </c>
      <c r="P82" s="20" t="n">
        <v>0</v>
      </c>
      <c r="Q82" s="18" t="n">
        <v>0.5656513399999999</v>
      </c>
      <c r="R82" s="20" t="n">
        <v>0.15655147</v>
      </c>
    </row>
    <row r="83" spans="1:18">
      <c r="A83" s="15" t="s">
        <v>643</v>
      </c>
      <c r="B83" s="17" t="n">
        <v>1652</v>
      </c>
      <c r="C83" s="18">
        <f>(1290.0/B83*100)</f>
        <v/>
      </c>
      <c r="D83" s="19" t="n">
        <v>362</v>
      </c>
      <c r="E83" s="18" t="n">
        <v>51.72577118</v>
      </c>
      <c r="F83" s="20" t="n">
        <v>2.62375875</v>
      </c>
      <c r="G83" s="18" t="n">
        <v>47.98810046</v>
      </c>
      <c r="H83" s="20" t="n">
        <v>2.53261586</v>
      </c>
      <c r="I83" s="18" t="n">
        <v>0</v>
      </c>
      <c r="J83" s="20" t="n">
        <v>0</v>
      </c>
      <c r="K83" s="18" t="n">
        <v>0</v>
      </c>
      <c r="L83" s="20" t="n">
        <v>0</v>
      </c>
      <c r="M83" s="18" t="n">
        <v>0</v>
      </c>
      <c r="N83" s="20" t="n">
        <v>0</v>
      </c>
      <c r="O83" s="18" t="n">
        <v>0</v>
      </c>
      <c r="P83" s="20" t="n">
        <v>0</v>
      </c>
      <c r="Q83" s="18" t="n">
        <v>0.28612836</v>
      </c>
      <c r="R83" s="20" t="n">
        <v>0.28647729</v>
      </c>
    </row>
    <row r="84" spans="1:18">
      <c r="A84" s="23" t="s">
        <v>644</v>
      </c>
      <c r="B84" s="24" t="n">
        <v>1887</v>
      </c>
      <c r="C84" s="25">
        <f>(1493.0/B84*100)</f>
        <v/>
      </c>
      <c r="D84" s="19" t="n">
        <v>394</v>
      </c>
      <c r="E84" s="18" t="n">
        <v>57.72485504</v>
      </c>
      <c r="F84" s="20" t="n">
        <v>2.63107292</v>
      </c>
      <c r="G84" s="18" t="n">
        <v>42.27514496</v>
      </c>
      <c r="H84" s="20" t="n">
        <v>2.63107292</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(11361.0/B7*100)</f>
        <v/>
      </c>
      <c r="D7" s="19" t="n">
        <v>3169</v>
      </c>
      <c r="E7" s="18" t="n">
        <v>32.0557026</v>
      </c>
      <c r="F7" s="20" t="n">
        <v>1.06106156</v>
      </c>
      <c r="G7" s="18" t="n">
        <v>67.04723231</v>
      </c>
      <c r="H7" s="20" t="n">
        <v>1.07064854</v>
      </c>
      <c r="I7" s="18" t="n">
        <v>0</v>
      </c>
      <c r="J7" s="20" t="n">
        <v>0</v>
      </c>
      <c r="K7" s="18" t="n">
        <v>0.17157937</v>
      </c>
      <c r="L7" s="20" t="n">
        <v>0.0840534</v>
      </c>
      <c r="M7" s="18" t="n">
        <v>0</v>
      </c>
      <c r="N7" s="20" t="n">
        <v>0</v>
      </c>
      <c r="O7" s="18" t="n">
        <v>0</v>
      </c>
      <c r="P7" s="20" t="n">
        <v>0</v>
      </c>
      <c r="Q7" s="18" t="n">
        <v>0.72548572</v>
      </c>
      <c r="R7" s="20" t="n">
        <v>0.1782159</v>
      </c>
    </row>
    <row r="8" spans="1:18">
      <c r="A8" s="15" t="s">
        <v>566</v>
      </c>
      <c r="B8" s="17" t="n">
        <v>7007</v>
      </c>
      <c r="C8" s="18">
        <f>(5454.0/B8*100)</f>
        <v/>
      </c>
      <c r="D8" s="19" t="n">
        <v>1553</v>
      </c>
      <c r="E8" s="18" t="n">
        <v>30.96870128</v>
      </c>
      <c r="F8" s="20" t="n">
        <v>1.3618797</v>
      </c>
      <c r="G8" s="18" t="n">
        <v>68.53842723</v>
      </c>
      <c r="H8" s="20" t="n">
        <v>1.43381994</v>
      </c>
      <c r="I8" s="18" t="n">
        <v>0</v>
      </c>
      <c r="J8" s="20" t="n">
        <v>0</v>
      </c>
      <c r="K8" s="18" t="n">
        <v>0.15165234</v>
      </c>
      <c r="L8" s="20" t="n">
        <v>0.10568234</v>
      </c>
      <c r="M8" s="18" t="n">
        <v>0</v>
      </c>
      <c r="N8" s="20" t="n">
        <v>0</v>
      </c>
      <c r="O8" s="18" t="n">
        <v>0</v>
      </c>
      <c r="P8" s="20" t="n">
        <v>0</v>
      </c>
      <c r="Q8" s="18" t="n">
        <v>0.34121915</v>
      </c>
      <c r="R8" s="20" t="n">
        <v>0.15752422</v>
      </c>
    </row>
    <row r="9" spans="1:18">
      <c r="A9" s="15" t="s">
        <v>567</v>
      </c>
      <c r="B9" s="17" t="n">
        <v>9651</v>
      </c>
      <c r="C9" s="18">
        <f>(7534.0/B9*100)</f>
        <v/>
      </c>
      <c r="D9" s="19" t="n">
        <v>2117</v>
      </c>
      <c r="E9" s="18" t="n">
        <v>46.9292927</v>
      </c>
      <c r="F9" s="20" t="n">
        <v>1.17024156</v>
      </c>
      <c r="G9" s="18" t="n">
        <v>52.21405738</v>
      </c>
      <c r="H9" s="20" t="n">
        <v>1.18432098</v>
      </c>
      <c r="I9" s="18" t="n">
        <v>0</v>
      </c>
      <c r="J9" s="20" t="n">
        <v>0</v>
      </c>
      <c r="K9" s="18" t="n">
        <v>0.21465708</v>
      </c>
      <c r="L9" s="20" t="n">
        <v>0.10046758</v>
      </c>
      <c r="M9" s="18" t="n">
        <v>0</v>
      </c>
      <c r="N9" s="20" t="n">
        <v>0</v>
      </c>
      <c r="O9" s="18" t="n">
        <v>0</v>
      </c>
      <c r="P9" s="20" t="n">
        <v>0</v>
      </c>
      <c r="Q9" s="18" t="n">
        <v>0.64199284</v>
      </c>
      <c r="R9" s="20" t="n">
        <v>0.18388014</v>
      </c>
    </row>
    <row r="10" spans="1:18">
      <c r="A10" s="15" t="s">
        <v>568</v>
      </c>
      <c r="B10" s="17" t="n">
        <v>20058</v>
      </c>
      <c r="C10" s="18">
        <f>(15586.0/B10*100)</f>
        <v/>
      </c>
      <c r="D10" s="19" t="n">
        <v>4472</v>
      </c>
      <c r="E10" s="18" t="n">
        <v>29.82247876</v>
      </c>
      <c r="F10" s="20" t="n">
        <v>1.06452192</v>
      </c>
      <c r="G10" s="18" t="n">
        <v>69.67589852</v>
      </c>
      <c r="H10" s="20" t="n">
        <v>1.04882334</v>
      </c>
      <c r="I10" s="18" t="n">
        <v>0</v>
      </c>
      <c r="J10" s="20" t="n">
        <v>0</v>
      </c>
      <c r="K10" s="18" t="n">
        <v>0.21127655</v>
      </c>
      <c r="L10" s="20" t="n">
        <v>0.107314</v>
      </c>
      <c r="M10" s="18" t="n">
        <v>0</v>
      </c>
      <c r="N10" s="20" t="n">
        <v>0</v>
      </c>
      <c r="O10" s="18" t="n">
        <v>0</v>
      </c>
      <c r="P10" s="20" t="n">
        <v>0</v>
      </c>
      <c r="Q10" s="18" t="n">
        <v>0.29034616</v>
      </c>
      <c r="R10" s="20" t="n">
        <v>0.08057066</v>
      </c>
    </row>
    <row r="11" spans="1:18">
      <c r="A11" s="15" t="s">
        <v>569</v>
      </c>
      <c r="B11" s="17" t="n">
        <v>7053</v>
      </c>
      <c r="C11" s="18">
        <f>(5460.0/B11*100)</f>
        <v/>
      </c>
      <c r="D11" s="19" t="n">
        <v>1593</v>
      </c>
      <c r="E11" s="18" t="n">
        <v>38.37434663</v>
      </c>
      <c r="F11" s="20" t="n">
        <v>1.29297489</v>
      </c>
      <c r="G11" s="18" t="n">
        <v>60.29200149</v>
      </c>
      <c r="H11" s="20" t="n">
        <v>1.29065904</v>
      </c>
      <c r="I11" s="18" t="n">
        <v>0</v>
      </c>
      <c r="J11" s="20" t="n">
        <v>0</v>
      </c>
      <c r="K11" s="18" t="n">
        <v>0.08234072000000001</v>
      </c>
      <c r="L11" s="20" t="n">
        <v>0.08077795</v>
      </c>
      <c r="M11" s="18" t="n">
        <v>0</v>
      </c>
      <c r="N11" s="20" t="n">
        <v>0</v>
      </c>
      <c r="O11" s="18" t="n">
        <v>0</v>
      </c>
      <c r="P11" s="20" t="n">
        <v>0</v>
      </c>
      <c r="Q11" s="18" t="n">
        <v>1.25131116</v>
      </c>
      <c r="R11" s="20" t="n">
        <v>0.33407515</v>
      </c>
    </row>
    <row r="12" spans="1:18">
      <c r="A12" s="15" t="s">
        <v>570</v>
      </c>
      <c r="B12" s="17" t="n">
        <v>6894</v>
      </c>
      <c r="C12" s="18">
        <f>(5410.0/B12*100)</f>
        <v/>
      </c>
      <c r="D12" s="19" t="n">
        <v>1484</v>
      </c>
      <c r="E12" s="18" t="n">
        <v>25.05204079</v>
      </c>
      <c r="F12" s="20" t="n">
        <v>1.37377294</v>
      </c>
      <c r="G12" s="18" t="n">
        <v>74.59005474999999</v>
      </c>
      <c r="H12" s="20" t="n">
        <v>1.40311219</v>
      </c>
      <c r="I12" s="18" t="n">
        <v>0</v>
      </c>
      <c r="J12" s="20" t="n">
        <v>0</v>
      </c>
      <c r="K12" s="18" t="n">
        <v>0.05890158</v>
      </c>
      <c r="L12" s="20" t="n">
        <v>0.0559212</v>
      </c>
      <c r="M12" s="18" t="n">
        <v>0</v>
      </c>
      <c r="N12" s="20" t="n">
        <v>0</v>
      </c>
      <c r="O12" s="18" t="n">
        <v>0</v>
      </c>
      <c r="P12" s="20" t="n">
        <v>0</v>
      </c>
      <c r="Q12" s="18" t="n">
        <v>0.29900289</v>
      </c>
      <c r="R12" s="20" t="n">
        <v>0.15965079</v>
      </c>
    </row>
    <row r="13" spans="1:18">
      <c r="A13" s="15" t="s">
        <v>571</v>
      </c>
      <c r="B13" s="17" t="n">
        <v>7161</v>
      </c>
      <c r="C13" s="18">
        <f>(5691.0/B13*100)</f>
        <v/>
      </c>
      <c r="D13" s="19" t="n">
        <v>1470</v>
      </c>
      <c r="E13" s="18" t="n">
        <v>18.6682976</v>
      </c>
      <c r="F13" s="20" t="n">
        <v>1.23251232</v>
      </c>
      <c r="G13" s="18" t="n">
        <v>80.9133398</v>
      </c>
      <c r="H13" s="20" t="n">
        <v>1.23436198</v>
      </c>
      <c r="I13" s="18" t="n">
        <v>0</v>
      </c>
      <c r="J13" s="20" t="n">
        <v>0</v>
      </c>
      <c r="K13" s="18" t="n">
        <v>0.14708143</v>
      </c>
      <c r="L13" s="20" t="n">
        <v>0.1018606</v>
      </c>
      <c r="M13" s="18" t="n">
        <v>0</v>
      </c>
      <c r="N13" s="20" t="n">
        <v>0</v>
      </c>
      <c r="O13" s="18" t="n">
        <v>0</v>
      </c>
      <c r="P13" s="20" t="n">
        <v>0</v>
      </c>
      <c r="Q13" s="18" t="n">
        <v>0.27128117</v>
      </c>
      <c r="R13" s="20" t="n">
        <v>0.10611676</v>
      </c>
    </row>
    <row r="14" spans="1:18">
      <c r="A14" s="15" t="s">
        <v>572</v>
      </c>
      <c r="B14" s="17" t="n">
        <v>5587</v>
      </c>
      <c r="C14" s="18">
        <f>(4318.0/B14*100)</f>
        <v/>
      </c>
      <c r="D14" s="19" t="n">
        <v>1269</v>
      </c>
      <c r="E14" s="18" t="n">
        <v>14.77841314</v>
      </c>
      <c r="F14" s="20" t="n">
        <v>1.22087137</v>
      </c>
      <c r="G14" s="18" t="n">
        <v>84.82658958</v>
      </c>
      <c r="H14" s="20" t="n">
        <v>1.21280747</v>
      </c>
      <c r="I14" s="18" t="n">
        <v>0</v>
      </c>
      <c r="J14" s="20" t="n">
        <v>0</v>
      </c>
      <c r="K14" s="18" t="n">
        <v>0.07223605</v>
      </c>
      <c r="L14" s="20" t="n">
        <v>0.07222094</v>
      </c>
      <c r="M14" s="18" t="n">
        <v>0</v>
      </c>
      <c r="N14" s="20" t="n">
        <v>0</v>
      </c>
      <c r="O14" s="18" t="n">
        <v>0</v>
      </c>
      <c r="P14" s="20" t="n">
        <v>0</v>
      </c>
      <c r="Q14" s="18" t="n">
        <v>0.32276123</v>
      </c>
      <c r="R14" s="20" t="n">
        <v>0.14658578</v>
      </c>
    </row>
    <row r="15" spans="1:18">
      <c r="A15" s="15" t="s">
        <v>573</v>
      </c>
      <c r="B15" s="17" t="n">
        <v>5882</v>
      </c>
      <c r="C15" s="18">
        <f>(4520.0/B15*100)</f>
        <v/>
      </c>
      <c r="D15" s="19" t="n">
        <v>1362</v>
      </c>
      <c r="E15" s="18" t="n">
        <v>23.07363026</v>
      </c>
      <c r="F15" s="20" t="n">
        <v>1.24584751</v>
      </c>
      <c r="G15" s="18" t="n">
        <v>76.4264342</v>
      </c>
      <c r="H15" s="20" t="n">
        <v>1.22154737</v>
      </c>
      <c r="I15" s="18" t="n">
        <v>0</v>
      </c>
      <c r="J15" s="20" t="n">
        <v>0</v>
      </c>
      <c r="K15" s="18" t="n">
        <v>0.08265755</v>
      </c>
      <c r="L15" s="20" t="n">
        <v>0.09069918</v>
      </c>
      <c r="M15" s="18" t="n">
        <v>0</v>
      </c>
      <c r="N15" s="20" t="n">
        <v>0</v>
      </c>
      <c r="O15" s="18" t="n">
        <v>0</v>
      </c>
      <c r="P15" s="20" t="n">
        <v>0</v>
      </c>
      <c r="Q15" s="18" t="n">
        <v>0.41727799</v>
      </c>
      <c r="R15" s="20" t="n">
        <v>0.17083504</v>
      </c>
    </row>
    <row r="16" spans="1:18">
      <c r="A16" s="15" t="s">
        <v>574</v>
      </c>
      <c r="B16" s="17" t="n">
        <v>6108</v>
      </c>
      <c r="C16" s="18">
        <f>(4754.0/B16*100)</f>
        <v/>
      </c>
      <c r="D16" s="19" t="n">
        <v>1354</v>
      </c>
      <c r="E16" s="18" t="n">
        <v>31.58141036</v>
      </c>
      <c r="F16" s="20" t="n">
        <v>1.29346853</v>
      </c>
      <c r="G16" s="18" t="n">
        <v>66.34688082</v>
      </c>
      <c r="H16" s="20" t="n">
        <v>1.32919318</v>
      </c>
      <c r="I16" s="18" t="n">
        <v>0</v>
      </c>
      <c r="J16" s="20" t="n">
        <v>0</v>
      </c>
      <c r="K16" s="18" t="n">
        <v>0.56027973</v>
      </c>
      <c r="L16" s="20" t="n">
        <v>0.22270717</v>
      </c>
      <c r="M16" s="18" t="n">
        <v>0</v>
      </c>
      <c r="N16" s="20" t="n">
        <v>0</v>
      </c>
      <c r="O16" s="18" t="n">
        <v>0</v>
      </c>
      <c r="P16" s="20" t="n">
        <v>0</v>
      </c>
      <c r="Q16" s="18" t="n">
        <v>1.51142909</v>
      </c>
      <c r="R16" s="20" t="n">
        <v>0.39197446</v>
      </c>
    </row>
    <row r="17" spans="1:18">
      <c r="A17" s="15" t="s">
        <v>575</v>
      </c>
      <c r="B17" s="17" t="n">
        <v>6504</v>
      </c>
      <c r="C17" s="18">
        <f>(5117.0/B17*100)</f>
        <v/>
      </c>
      <c r="D17" s="19" t="n">
        <v>1387</v>
      </c>
      <c r="E17" s="18" t="n">
        <v>26.63227074</v>
      </c>
      <c r="F17" s="20" t="n">
        <v>1.1438312</v>
      </c>
      <c r="G17" s="18" t="n">
        <v>73.10872433</v>
      </c>
      <c r="H17" s="20" t="n">
        <v>1.17469473</v>
      </c>
      <c r="I17" s="18" t="n">
        <v>0</v>
      </c>
      <c r="J17" s="20" t="n">
        <v>0</v>
      </c>
      <c r="K17" s="18" t="n">
        <v>0.07091358</v>
      </c>
      <c r="L17" s="20" t="n">
        <v>0.07129289</v>
      </c>
      <c r="M17" s="18" t="n">
        <v>0</v>
      </c>
      <c r="N17" s="20" t="n">
        <v>0</v>
      </c>
      <c r="O17" s="18" t="n">
        <v>0</v>
      </c>
      <c r="P17" s="20" t="n">
        <v>0</v>
      </c>
      <c r="Q17" s="18" t="n">
        <v>0.18809135</v>
      </c>
      <c r="R17" s="20" t="n">
        <v>0.09877345999999999</v>
      </c>
    </row>
    <row r="18" spans="1:18">
      <c r="A18" s="15" t="s">
        <v>576</v>
      </c>
      <c r="B18" s="17" t="n">
        <v>5532</v>
      </c>
      <c r="C18" s="18">
        <f>(4319.0/B18*100)</f>
        <v/>
      </c>
      <c r="D18" s="19" t="n">
        <v>1213</v>
      </c>
      <c r="E18" s="18" t="n">
        <v>31.08052317</v>
      </c>
      <c r="F18" s="20" t="n">
        <v>1.57803597</v>
      </c>
      <c r="G18" s="18" t="n">
        <v>67.76092718</v>
      </c>
      <c r="H18" s="20" t="n">
        <v>1.58200963</v>
      </c>
      <c r="I18" s="18" t="n">
        <v>0</v>
      </c>
      <c r="J18" s="20" t="n">
        <v>0</v>
      </c>
      <c r="K18" s="18" t="n">
        <v>0.11348971</v>
      </c>
      <c r="L18" s="20" t="n">
        <v>0.08129453</v>
      </c>
      <c r="M18" s="18" t="n">
        <v>0</v>
      </c>
      <c r="N18" s="20" t="n">
        <v>0</v>
      </c>
      <c r="O18" s="18" t="n">
        <v>0</v>
      </c>
      <c r="P18" s="20" t="n">
        <v>0</v>
      </c>
      <c r="Q18" s="18" t="n">
        <v>1.04505993</v>
      </c>
      <c r="R18" s="20" t="n">
        <v>0.31829164</v>
      </c>
    </row>
    <row r="19" spans="1:18">
      <c r="A19" s="15" t="s">
        <v>577</v>
      </c>
      <c r="B19" s="17" t="n">
        <v>5658</v>
      </c>
      <c r="C19" s="18">
        <f>(4373.0/B19*100)</f>
        <v/>
      </c>
      <c r="D19" s="19" t="n">
        <v>1285</v>
      </c>
      <c r="E19" s="18" t="n">
        <v>30.58499336</v>
      </c>
      <c r="F19" s="20" t="n">
        <v>1.34409578</v>
      </c>
      <c r="G19" s="18" t="n">
        <v>68.48045444</v>
      </c>
      <c r="H19" s="20" t="n">
        <v>1.43935634</v>
      </c>
      <c r="I19" s="18" t="n">
        <v>0</v>
      </c>
      <c r="J19" s="20" t="n">
        <v>0</v>
      </c>
      <c r="K19" s="18" t="n">
        <v>0.07177188</v>
      </c>
      <c r="L19" s="20" t="n">
        <v>0.06069013</v>
      </c>
      <c r="M19" s="18" t="n">
        <v>0</v>
      </c>
      <c r="N19" s="20" t="n">
        <v>0</v>
      </c>
      <c r="O19" s="18" t="n">
        <v>0</v>
      </c>
      <c r="P19" s="20" t="n">
        <v>0</v>
      </c>
      <c r="Q19" s="18" t="n">
        <v>0.86278032</v>
      </c>
      <c r="R19" s="20" t="n">
        <v>0.29919969</v>
      </c>
    </row>
    <row r="20" spans="1:18">
      <c r="A20" s="15" t="s">
        <v>578</v>
      </c>
      <c r="B20" s="17" t="n">
        <v>3371</v>
      </c>
      <c r="C20" s="18">
        <f>(2630.0/B20*100)</f>
        <v/>
      </c>
      <c r="D20" s="19" t="n">
        <v>741</v>
      </c>
      <c r="E20" s="18" t="n">
        <v>37.59446778</v>
      </c>
      <c r="F20" s="20" t="n">
        <v>1.59221883</v>
      </c>
      <c r="G20" s="18" t="n">
        <v>61.74093894</v>
      </c>
      <c r="H20" s="20" t="n">
        <v>1.60284846</v>
      </c>
      <c r="I20" s="18" t="n">
        <v>0</v>
      </c>
      <c r="J20" s="20" t="n">
        <v>0</v>
      </c>
      <c r="K20" s="18" t="n">
        <v>0.13198385</v>
      </c>
      <c r="L20" s="20" t="n">
        <v>0.13222865</v>
      </c>
      <c r="M20" s="18" t="n">
        <v>0</v>
      </c>
      <c r="N20" s="20" t="n">
        <v>0</v>
      </c>
      <c r="O20" s="18" t="n">
        <v>0</v>
      </c>
      <c r="P20" s="20" t="n">
        <v>0</v>
      </c>
      <c r="Q20" s="18" t="n">
        <v>0.5326094300000001</v>
      </c>
      <c r="R20" s="20" t="n">
        <v>0.26343976</v>
      </c>
    </row>
    <row r="21" spans="1:18">
      <c r="A21" s="15" t="s">
        <v>579</v>
      </c>
      <c r="B21" s="17" t="n">
        <v>5741</v>
      </c>
      <c r="C21" s="18">
        <f>(4488.0/B21*100)</f>
        <v/>
      </c>
      <c r="D21" s="19" t="n">
        <v>1253</v>
      </c>
      <c r="E21" s="18" t="n">
        <v>35.92691101</v>
      </c>
      <c r="F21" s="20" t="n">
        <v>1.52609685</v>
      </c>
      <c r="G21" s="18" t="n">
        <v>63.81343714</v>
      </c>
      <c r="H21" s="20" t="n">
        <v>1.5419046</v>
      </c>
      <c r="I21" s="18" t="n">
        <v>0</v>
      </c>
      <c r="J21" s="20" t="n">
        <v>0</v>
      </c>
      <c r="K21" s="18" t="n">
        <v>0</v>
      </c>
      <c r="L21" s="20" t="n">
        <v>0</v>
      </c>
      <c r="M21" s="18" t="n">
        <v>0</v>
      </c>
      <c r="N21" s="20" t="n">
        <v>0</v>
      </c>
      <c r="O21" s="18" t="n">
        <v>0</v>
      </c>
      <c r="P21" s="20" t="n">
        <v>0</v>
      </c>
      <c r="Q21" s="18" t="n">
        <v>0.25965185</v>
      </c>
      <c r="R21" s="20" t="n">
        <v>0.15265529</v>
      </c>
    </row>
    <row r="22" spans="1:18">
      <c r="A22" s="15" t="s">
        <v>580</v>
      </c>
      <c r="B22" s="17" t="n">
        <v>6598</v>
      </c>
      <c r="C22" s="18">
        <f>(5197.0/B22*100)</f>
        <v/>
      </c>
      <c r="D22" s="19" t="n">
        <v>1401</v>
      </c>
      <c r="E22" s="18" t="n">
        <v>43.13539074</v>
      </c>
      <c r="F22" s="20" t="n">
        <v>1.26793104</v>
      </c>
      <c r="G22" s="18" t="n">
        <v>55.22583808</v>
      </c>
      <c r="H22" s="20" t="n">
        <v>1.29145998</v>
      </c>
      <c r="I22" s="18" t="n">
        <v>0</v>
      </c>
      <c r="J22" s="20" t="n">
        <v>0</v>
      </c>
      <c r="K22" s="18" t="n">
        <v>0.33998652</v>
      </c>
      <c r="L22" s="20" t="n">
        <v>0.21131244</v>
      </c>
      <c r="M22" s="18" t="n">
        <v>0</v>
      </c>
      <c r="N22" s="20" t="n">
        <v>0</v>
      </c>
      <c r="O22" s="18" t="n">
        <v>0</v>
      </c>
      <c r="P22" s="20" t="n">
        <v>0</v>
      </c>
      <c r="Q22" s="18" t="n">
        <v>1.29878466</v>
      </c>
      <c r="R22" s="20" t="n">
        <v>0.34675657</v>
      </c>
    </row>
    <row r="23" spans="1:18">
      <c r="A23" s="15" t="s">
        <v>581</v>
      </c>
      <c r="B23" s="17" t="n">
        <v>11583</v>
      </c>
      <c r="C23" s="18">
        <f>(8999.0/B23*100)</f>
        <v/>
      </c>
      <c r="D23" s="19" t="n">
        <v>2584</v>
      </c>
      <c r="E23" s="18" t="n">
        <v>28.60223215</v>
      </c>
      <c r="F23" s="20" t="n">
        <v>1.18056211</v>
      </c>
      <c r="G23" s="18" t="n">
        <v>70.44890716</v>
      </c>
      <c r="H23" s="20" t="n">
        <v>1.21542524</v>
      </c>
      <c r="I23" s="18" t="n">
        <v>0</v>
      </c>
      <c r="J23" s="20" t="n">
        <v>0</v>
      </c>
      <c r="K23" s="18" t="n">
        <v>0.26310574</v>
      </c>
      <c r="L23" s="20" t="n">
        <v>0.15895638</v>
      </c>
      <c r="M23" s="18" t="n">
        <v>0</v>
      </c>
      <c r="N23" s="20" t="n">
        <v>0</v>
      </c>
      <c r="O23" s="18" t="n">
        <v>0</v>
      </c>
      <c r="P23" s="20" t="n">
        <v>0</v>
      </c>
      <c r="Q23" s="18" t="n">
        <v>0.68575495</v>
      </c>
      <c r="R23" s="20" t="n">
        <v>0.25136136</v>
      </c>
    </row>
    <row r="24" spans="1:18">
      <c r="A24" s="15" t="s">
        <v>582</v>
      </c>
      <c r="B24" s="17" t="n">
        <v>6647</v>
      </c>
      <c r="C24" s="18">
        <f>(5202.0/B24*100)</f>
        <v/>
      </c>
      <c r="D24" s="19" t="n">
        <v>1445</v>
      </c>
      <c r="E24" s="18" t="n">
        <v>36.50044172</v>
      </c>
      <c r="F24" s="20" t="n">
        <v>1.67981349</v>
      </c>
      <c r="G24" s="18" t="n">
        <v>62.88036855</v>
      </c>
      <c r="H24" s="20" t="n">
        <v>1.7765818</v>
      </c>
      <c r="I24" s="18" t="n">
        <v>0</v>
      </c>
      <c r="J24" s="20" t="n">
        <v>0</v>
      </c>
      <c r="K24" s="18" t="n">
        <v>0.11446762</v>
      </c>
      <c r="L24" s="20" t="n">
        <v>0.08240053999999999</v>
      </c>
      <c r="M24" s="18" t="n">
        <v>0</v>
      </c>
      <c r="N24" s="20" t="n">
        <v>0</v>
      </c>
      <c r="O24" s="18" t="n">
        <v>0</v>
      </c>
      <c r="P24" s="20" t="n">
        <v>0</v>
      </c>
      <c r="Q24" s="18" t="n">
        <v>0.50472211</v>
      </c>
      <c r="R24" s="20" t="n">
        <v>0.22708413</v>
      </c>
    </row>
    <row r="25" spans="1:18">
      <c r="A25" s="15" t="s">
        <v>583</v>
      </c>
      <c r="B25" s="17" t="n">
        <v>5581</v>
      </c>
      <c r="C25" s="18">
        <f>(4366.0/B25*100)</f>
        <v/>
      </c>
      <c r="D25" s="19" t="n">
        <v>1215</v>
      </c>
      <c r="E25" s="18" t="n">
        <v>31.90441925</v>
      </c>
      <c r="F25" s="20" t="n">
        <v>1.38413241</v>
      </c>
      <c r="G25" s="18" t="n">
        <v>67.86207537999999</v>
      </c>
      <c r="H25" s="20" t="n">
        <v>1.38273909</v>
      </c>
      <c r="I25" s="18" t="n">
        <v>0</v>
      </c>
      <c r="J25" s="20" t="n">
        <v>0</v>
      </c>
      <c r="K25" s="18" t="n">
        <v>0</v>
      </c>
      <c r="L25" s="20" t="n">
        <v>0</v>
      </c>
      <c r="M25" s="18" t="n">
        <v>0</v>
      </c>
      <c r="N25" s="20" t="n">
        <v>0</v>
      </c>
      <c r="O25" s="18" t="n">
        <v>0</v>
      </c>
      <c r="P25" s="20" t="n">
        <v>0</v>
      </c>
      <c r="Q25" s="18" t="n">
        <v>0.23350538</v>
      </c>
      <c r="R25" s="20" t="n">
        <v>0.07782451</v>
      </c>
    </row>
    <row r="26" spans="1:18">
      <c r="A26" s="15" t="s">
        <v>584</v>
      </c>
      <c r="B26" s="17" t="n">
        <v>4869</v>
      </c>
      <c r="C26" s="18">
        <f>(3760.0/B26*100)</f>
        <v/>
      </c>
      <c r="D26" s="19" t="n">
        <v>1109</v>
      </c>
      <c r="E26" s="18" t="n">
        <v>19.88142005</v>
      </c>
      <c r="F26" s="20" t="n">
        <v>1.24689616</v>
      </c>
      <c r="G26" s="18" t="n">
        <v>80.11857995</v>
      </c>
      <c r="H26" s="20" t="n">
        <v>1.24689616</v>
      </c>
      <c r="I26" s="18" t="n">
        <v>0</v>
      </c>
      <c r="J26" s="20" t="n">
        <v>0</v>
      </c>
      <c r="K26" s="18" t="n">
        <v>0</v>
      </c>
      <c r="L26" s="20" t="n">
        <v>0</v>
      </c>
      <c r="M26" s="18" t="n">
        <v>0</v>
      </c>
      <c r="N26" s="20" t="n">
        <v>0</v>
      </c>
      <c r="O26" s="18" t="n">
        <v>0</v>
      </c>
      <c r="P26" s="20" t="n">
        <v>0</v>
      </c>
      <c r="Q26" s="18" t="n">
        <v>0</v>
      </c>
      <c r="R26" s="20" t="n">
        <v>0</v>
      </c>
    </row>
    <row r="27" spans="1:18">
      <c r="A27" s="15" t="s">
        <v>585</v>
      </c>
      <c r="B27" s="17" t="n">
        <v>5299</v>
      </c>
      <c r="C27" s="18">
        <f>(4153.0/B27*100)</f>
        <v/>
      </c>
      <c r="D27" s="19" t="n">
        <v>1146</v>
      </c>
      <c r="E27" s="18" t="n">
        <v>34.56457846</v>
      </c>
      <c r="F27" s="20" t="n">
        <v>1.30416884</v>
      </c>
      <c r="G27" s="18" t="n">
        <v>64.73535459999999</v>
      </c>
      <c r="H27" s="20" t="n">
        <v>1.29809117</v>
      </c>
      <c r="I27" s="18" t="n">
        <v>0</v>
      </c>
      <c r="J27" s="20" t="n">
        <v>0</v>
      </c>
      <c r="K27" s="18" t="n">
        <v>0</v>
      </c>
      <c r="L27" s="20" t="n">
        <v>0</v>
      </c>
      <c r="M27" s="18" t="n">
        <v>0</v>
      </c>
      <c r="N27" s="20" t="n">
        <v>0</v>
      </c>
      <c r="O27" s="18" t="n">
        <v>0</v>
      </c>
      <c r="P27" s="20" t="n">
        <v>0</v>
      </c>
      <c r="Q27" s="18" t="n">
        <v>0.70006694</v>
      </c>
      <c r="R27" s="20" t="n">
        <v>0.21227772</v>
      </c>
    </row>
    <row r="28" spans="1:18">
      <c r="A28" s="15" t="s">
        <v>586</v>
      </c>
      <c r="B28" s="17" t="n">
        <v>7568</v>
      </c>
      <c r="C28" s="18">
        <f>(5921.0/B28*100)</f>
        <v/>
      </c>
      <c r="D28" s="19" t="n">
        <v>1647</v>
      </c>
      <c r="E28" s="18" t="n">
        <v>41.88019285</v>
      </c>
      <c r="F28" s="20" t="n">
        <v>1.35954308</v>
      </c>
      <c r="G28" s="18" t="n">
        <v>55.07790927</v>
      </c>
      <c r="H28" s="20" t="n">
        <v>1.44903387</v>
      </c>
      <c r="I28" s="18" t="n">
        <v>0</v>
      </c>
      <c r="J28" s="20" t="n">
        <v>0</v>
      </c>
      <c r="K28" s="18" t="n">
        <v>0.1586226</v>
      </c>
      <c r="L28" s="20" t="n">
        <v>0.11616719</v>
      </c>
      <c r="M28" s="18" t="n">
        <v>0</v>
      </c>
      <c r="N28" s="20" t="n">
        <v>0</v>
      </c>
      <c r="O28" s="18" t="n">
        <v>0</v>
      </c>
      <c r="P28" s="20" t="n">
        <v>0</v>
      </c>
      <c r="Q28" s="18" t="n">
        <v>2.88327528</v>
      </c>
      <c r="R28" s="20" t="n">
        <v>0.54170933</v>
      </c>
    </row>
    <row r="29" spans="1:18">
      <c r="A29" s="15" t="s">
        <v>587</v>
      </c>
      <c r="B29" s="17" t="n">
        <v>5385</v>
      </c>
      <c r="C29" s="18">
        <f>(4212.0/B29*100)</f>
        <v/>
      </c>
      <c r="D29" s="19" t="n">
        <v>1173</v>
      </c>
      <c r="E29" s="18" t="n">
        <v>40.86613604</v>
      </c>
      <c r="F29" s="20" t="n">
        <v>1.57445267</v>
      </c>
      <c r="G29" s="18" t="n">
        <v>58.78587914</v>
      </c>
      <c r="H29" s="20" t="n">
        <v>1.58119816</v>
      </c>
      <c r="I29" s="18" t="n">
        <v>0</v>
      </c>
      <c r="J29" s="20" t="n">
        <v>0</v>
      </c>
      <c r="K29" s="18" t="n">
        <v>0.2666919</v>
      </c>
      <c r="L29" s="20" t="n">
        <v>0.08462612999999999</v>
      </c>
      <c r="M29" s="18" t="n">
        <v>0</v>
      </c>
      <c r="N29" s="20" t="n">
        <v>0</v>
      </c>
      <c r="O29" s="18" t="n">
        <v>0</v>
      </c>
      <c r="P29" s="20" t="n">
        <v>0</v>
      </c>
      <c r="Q29" s="18" t="n">
        <v>0.08129292</v>
      </c>
      <c r="R29" s="20" t="n">
        <v>0.08113611</v>
      </c>
    </row>
    <row r="30" spans="1:18">
      <c r="A30" s="15" t="s">
        <v>588</v>
      </c>
      <c r="B30" s="17" t="n">
        <v>4520</v>
      </c>
      <c r="C30" s="18">
        <f>(3542.0/B30*100)</f>
        <v/>
      </c>
      <c r="D30" s="19" t="n">
        <v>978</v>
      </c>
      <c r="E30" s="18" t="n">
        <v>28.9518231</v>
      </c>
      <c r="F30" s="20" t="n">
        <v>1.6482446</v>
      </c>
      <c r="G30" s="18" t="n">
        <v>70.0452801</v>
      </c>
      <c r="H30" s="20" t="n">
        <v>1.64703548</v>
      </c>
      <c r="I30" s="18" t="n">
        <v>0</v>
      </c>
      <c r="J30" s="20" t="n">
        <v>0</v>
      </c>
      <c r="K30" s="18" t="n">
        <v>0.09768092</v>
      </c>
      <c r="L30" s="20" t="n">
        <v>0.0841582</v>
      </c>
      <c r="M30" s="18" t="n">
        <v>0</v>
      </c>
      <c r="N30" s="20" t="n">
        <v>0</v>
      </c>
      <c r="O30" s="18" t="n">
        <v>0</v>
      </c>
      <c r="P30" s="20" t="n">
        <v>0</v>
      </c>
      <c r="Q30" s="18" t="n">
        <v>0.90521588</v>
      </c>
      <c r="R30" s="20" t="n">
        <v>0.34748521</v>
      </c>
    </row>
    <row r="31" spans="1:18">
      <c r="A31" s="15" t="s">
        <v>589</v>
      </c>
      <c r="B31" s="17" t="n">
        <v>5456</v>
      </c>
      <c r="C31" s="18">
        <f>(4274.0/B31*100)</f>
        <v/>
      </c>
      <c r="D31" s="19" t="n">
        <v>1182</v>
      </c>
      <c r="E31" s="18" t="n">
        <v>23.9423759</v>
      </c>
      <c r="F31" s="20" t="n">
        <v>1.22748292</v>
      </c>
      <c r="G31" s="18" t="n">
        <v>75.06238313</v>
      </c>
      <c r="H31" s="20" t="n">
        <v>1.25234806</v>
      </c>
      <c r="I31" s="18" t="n">
        <v>0</v>
      </c>
      <c r="J31" s="20" t="n">
        <v>0</v>
      </c>
      <c r="K31" s="18" t="n">
        <v>0.39503294</v>
      </c>
      <c r="L31" s="20" t="n">
        <v>0.17677845</v>
      </c>
      <c r="M31" s="18" t="n">
        <v>0</v>
      </c>
      <c r="N31" s="20" t="n">
        <v>0</v>
      </c>
      <c r="O31" s="18" t="n">
        <v>0</v>
      </c>
      <c r="P31" s="20" t="n">
        <v>0</v>
      </c>
      <c r="Q31" s="18" t="n">
        <v>0.60020802</v>
      </c>
      <c r="R31" s="20" t="n">
        <v>0.23052975</v>
      </c>
    </row>
    <row r="32" spans="1:18">
      <c r="A32" s="15" t="s">
        <v>590</v>
      </c>
      <c r="B32" s="17" t="n">
        <v>4478</v>
      </c>
      <c r="C32" s="18">
        <f>(3533.0/B32*100)</f>
        <v/>
      </c>
      <c r="D32" s="19" t="n">
        <v>945</v>
      </c>
      <c r="E32" s="18" t="n">
        <v>37.96117713</v>
      </c>
      <c r="F32" s="20" t="n">
        <v>1.78985459</v>
      </c>
      <c r="G32" s="18" t="n">
        <v>61.94690688</v>
      </c>
      <c r="H32" s="20" t="n">
        <v>1.79554396</v>
      </c>
      <c r="I32" s="18" t="n">
        <v>0</v>
      </c>
      <c r="J32" s="20" t="n">
        <v>0</v>
      </c>
      <c r="K32" s="18" t="n">
        <v>0</v>
      </c>
      <c r="L32" s="20" t="n">
        <v>0</v>
      </c>
      <c r="M32" s="18" t="n">
        <v>0</v>
      </c>
      <c r="N32" s="20" t="n">
        <v>0</v>
      </c>
      <c r="O32" s="18" t="n">
        <v>0</v>
      </c>
      <c r="P32" s="20" t="n">
        <v>0</v>
      </c>
      <c r="Q32" s="18" t="n">
        <v>0.091916</v>
      </c>
      <c r="R32" s="20" t="n">
        <v>0.09182607</v>
      </c>
    </row>
    <row r="33" spans="1:18">
      <c r="A33" s="15" t="s">
        <v>591</v>
      </c>
      <c r="B33" s="17" t="n">
        <v>7325</v>
      </c>
      <c r="C33" s="18">
        <f>(5681.0/B33*100)</f>
        <v/>
      </c>
      <c r="D33" s="19" t="n">
        <v>1644</v>
      </c>
      <c r="E33" s="18" t="n">
        <v>38.12334169</v>
      </c>
      <c r="F33" s="20" t="n">
        <v>1.68512287</v>
      </c>
      <c r="G33" s="18" t="n">
        <v>61.57185092</v>
      </c>
      <c r="H33" s="20" t="n">
        <v>1.73982497</v>
      </c>
      <c r="I33" s="18" t="n">
        <v>0</v>
      </c>
      <c r="J33" s="20" t="n">
        <v>0</v>
      </c>
      <c r="K33" s="18" t="n">
        <v>0</v>
      </c>
      <c r="L33" s="20" t="n">
        <v>0</v>
      </c>
      <c r="M33" s="18" t="n">
        <v>0</v>
      </c>
      <c r="N33" s="20" t="n">
        <v>0</v>
      </c>
      <c r="O33" s="18" t="n">
        <v>0</v>
      </c>
      <c r="P33" s="20" t="n">
        <v>0</v>
      </c>
      <c r="Q33" s="18" t="n">
        <v>0.30480738</v>
      </c>
      <c r="R33" s="20" t="n">
        <v>0.17310933</v>
      </c>
    </row>
    <row r="34" spans="1:18">
      <c r="A34" s="15" t="s">
        <v>592</v>
      </c>
      <c r="B34" s="17" t="n">
        <v>6350</v>
      </c>
      <c r="C34" s="18">
        <f>(4981.0/B34*100)</f>
        <v/>
      </c>
      <c r="D34" s="19" t="n">
        <v>1369</v>
      </c>
      <c r="E34" s="18" t="n">
        <v>22.29000783</v>
      </c>
      <c r="F34" s="20" t="n">
        <v>0.95606759</v>
      </c>
      <c r="G34" s="18" t="n">
        <v>76.48181178</v>
      </c>
      <c r="H34" s="20" t="n">
        <v>1.08036239</v>
      </c>
      <c r="I34" s="18" t="n">
        <v>0</v>
      </c>
      <c r="J34" s="20" t="n">
        <v>0</v>
      </c>
      <c r="K34" s="18" t="n">
        <v>0</v>
      </c>
      <c r="L34" s="20" t="n">
        <v>0</v>
      </c>
      <c r="M34" s="18" t="n">
        <v>0</v>
      </c>
      <c r="N34" s="20" t="n">
        <v>0</v>
      </c>
      <c r="O34" s="18" t="n">
        <v>0</v>
      </c>
      <c r="P34" s="20" t="n">
        <v>0</v>
      </c>
      <c r="Q34" s="18" t="n">
        <v>1.22818039</v>
      </c>
      <c r="R34" s="20" t="n">
        <v>0.33530462</v>
      </c>
    </row>
    <row r="35" spans="1:18">
      <c r="A35" s="15" t="s">
        <v>593</v>
      </c>
      <c r="B35" s="17" t="n">
        <v>6406</v>
      </c>
      <c r="C35" s="18">
        <f>(4975.0/B35*100)</f>
        <v/>
      </c>
      <c r="D35" s="19" t="n">
        <v>1431</v>
      </c>
      <c r="E35" s="18" t="n">
        <v>15.60894298</v>
      </c>
      <c r="F35" s="20" t="n">
        <v>1.09698929</v>
      </c>
      <c r="G35" s="18" t="n">
        <v>84.10871433</v>
      </c>
      <c r="H35" s="20" t="n">
        <v>1.11694038</v>
      </c>
      <c r="I35" s="18" t="n">
        <v>0</v>
      </c>
      <c r="J35" s="20" t="n">
        <v>0</v>
      </c>
      <c r="K35" s="18" t="n">
        <v>0.03354668</v>
      </c>
      <c r="L35" s="20" t="n">
        <v>0.03364537</v>
      </c>
      <c r="M35" s="18" t="n">
        <v>0</v>
      </c>
      <c r="N35" s="20" t="n">
        <v>0</v>
      </c>
      <c r="O35" s="18" t="n">
        <v>0</v>
      </c>
      <c r="P35" s="20" t="n">
        <v>0</v>
      </c>
      <c r="Q35" s="18" t="n">
        <v>0.24879601</v>
      </c>
      <c r="R35" s="20" t="n">
        <v>0.14237666</v>
      </c>
    </row>
    <row r="36" spans="1:18">
      <c r="A36" s="15" t="s">
        <v>594</v>
      </c>
      <c r="B36" s="17" t="n">
        <v>6736</v>
      </c>
      <c r="C36" s="18">
        <f>(5227.0/B36*100)</f>
        <v/>
      </c>
      <c r="D36" s="19" t="n">
        <v>1509</v>
      </c>
      <c r="E36" s="18" t="n">
        <v>34.37202674</v>
      </c>
      <c r="F36" s="20" t="n">
        <v>1.22962174</v>
      </c>
      <c r="G36" s="18" t="n">
        <v>64.75195313</v>
      </c>
      <c r="H36" s="20" t="n">
        <v>1.28078555</v>
      </c>
      <c r="I36" s="18" t="n">
        <v>0</v>
      </c>
      <c r="J36" s="20" t="n">
        <v>0</v>
      </c>
      <c r="K36" s="18" t="n">
        <v>0.0734484</v>
      </c>
      <c r="L36" s="20" t="n">
        <v>0.07376056</v>
      </c>
      <c r="M36" s="18" t="n">
        <v>0</v>
      </c>
      <c r="N36" s="20" t="n">
        <v>0</v>
      </c>
      <c r="O36" s="18" t="n">
        <v>0</v>
      </c>
      <c r="P36" s="20" t="n">
        <v>0</v>
      </c>
      <c r="Q36" s="18" t="n">
        <v>0.80257173</v>
      </c>
      <c r="R36" s="20" t="n">
        <v>0.22915188</v>
      </c>
    </row>
    <row r="37" spans="1:18">
      <c r="A37" s="15" t="s">
        <v>595</v>
      </c>
      <c r="B37" s="17" t="n">
        <v>5458</v>
      </c>
      <c r="C37" s="18">
        <f>(4251.0/B37*100)</f>
        <v/>
      </c>
      <c r="D37" s="19" t="n">
        <v>1207</v>
      </c>
      <c r="E37" s="18" t="n">
        <v>24.13119413</v>
      </c>
      <c r="F37" s="20" t="n">
        <v>1.35283126</v>
      </c>
      <c r="G37" s="18" t="n">
        <v>74.59357986000001</v>
      </c>
      <c r="H37" s="20" t="n">
        <v>1.40707472</v>
      </c>
      <c r="I37" s="18" t="n">
        <v>0</v>
      </c>
      <c r="J37" s="20" t="n">
        <v>0</v>
      </c>
      <c r="K37" s="18" t="n">
        <v>0.42281928</v>
      </c>
      <c r="L37" s="20" t="n">
        <v>0.18442239</v>
      </c>
      <c r="M37" s="18" t="n">
        <v>0</v>
      </c>
      <c r="N37" s="20" t="n">
        <v>0</v>
      </c>
      <c r="O37" s="18" t="n">
        <v>0</v>
      </c>
      <c r="P37" s="20" t="n">
        <v>0</v>
      </c>
      <c r="Q37" s="18" t="n">
        <v>0.85240673</v>
      </c>
      <c r="R37" s="20" t="n">
        <v>0.28377553</v>
      </c>
    </row>
    <row r="38" spans="1:18">
      <c r="A38" s="15" t="s">
        <v>596</v>
      </c>
      <c r="B38" s="17" t="n">
        <v>5860</v>
      </c>
      <c r="C38" s="18">
        <f>(4502.0/B38*100)</f>
        <v/>
      </c>
      <c r="D38" s="19" t="n">
        <v>1358</v>
      </c>
      <c r="E38" s="18" t="n">
        <v>27.05298281</v>
      </c>
      <c r="F38" s="20" t="n">
        <v>1.24105942</v>
      </c>
      <c r="G38" s="18" t="n">
        <v>72.62757259999999</v>
      </c>
      <c r="H38" s="20" t="n">
        <v>1.22470263</v>
      </c>
      <c r="I38" s="18" t="n">
        <v>0</v>
      </c>
      <c r="J38" s="20" t="n">
        <v>0</v>
      </c>
      <c r="K38" s="18" t="n">
        <v>0</v>
      </c>
      <c r="L38" s="20" t="n">
        <v>0</v>
      </c>
      <c r="M38" s="18" t="n">
        <v>0</v>
      </c>
      <c r="N38" s="20" t="n">
        <v>0</v>
      </c>
      <c r="O38" s="18" t="n">
        <v>0</v>
      </c>
      <c r="P38" s="20" t="n">
        <v>0</v>
      </c>
      <c r="Q38" s="18" t="n">
        <v>0.31944459</v>
      </c>
      <c r="R38" s="20" t="n">
        <v>0.1672084</v>
      </c>
    </row>
    <row r="39" spans="1:18">
      <c r="A39" s="15" t="s">
        <v>597</v>
      </c>
      <c r="B39" s="17" t="n">
        <v>5895</v>
      </c>
      <c r="C39" s="18">
        <f>(4590.0/B39*100)</f>
        <v/>
      </c>
      <c r="D39" s="19" t="n">
        <v>1305</v>
      </c>
      <c r="E39" s="18" t="n">
        <v>44.91452399</v>
      </c>
      <c r="F39" s="20" t="n">
        <v>1.78041404</v>
      </c>
      <c r="G39" s="18" t="n">
        <v>53.08098445</v>
      </c>
      <c r="H39" s="20" t="n">
        <v>1.84024348</v>
      </c>
      <c r="I39" s="18" t="n">
        <v>0</v>
      </c>
      <c r="J39" s="20" t="n">
        <v>0</v>
      </c>
      <c r="K39" s="18" t="n">
        <v>0.16997822</v>
      </c>
      <c r="L39" s="20" t="n">
        <v>0.12133308</v>
      </c>
      <c r="M39" s="18" t="n">
        <v>0</v>
      </c>
      <c r="N39" s="20" t="n">
        <v>0</v>
      </c>
      <c r="O39" s="18" t="n">
        <v>0</v>
      </c>
      <c r="P39" s="20" t="n">
        <v>0</v>
      </c>
      <c r="Q39" s="18" t="n">
        <v>1.83451334</v>
      </c>
      <c r="R39" s="20" t="n">
        <v>0.36366716</v>
      </c>
    </row>
    <row r="40" spans="1:18">
      <c r="A40" s="15" t="s">
        <v>598</v>
      </c>
      <c r="B40" s="17" t="n">
        <v>14157</v>
      </c>
      <c r="C40" s="18">
        <f>(10972.0/B40*100)</f>
        <v/>
      </c>
      <c r="D40" s="19" t="n">
        <v>3185</v>
      </c>
      <c r="E40" s="18" t="n">
        <v>38.98882328</v>
      </c>
      <c r="F40" s="20" t="n">
        <v>1.32401876</v>
      </c>
      <c r="G40" s="18" t="n">
        <v>60.38266241</v>
      </c>
      <c r="H40" s="20" t="n">
        <v>1.33850862</v>
      </c>
      <c r="I40" s="18" t="n">
        <v>0</v>
      </c>
      <c r="J40" s="20" t="n">
        <v>0</v>
      </c>
      <c r="K40" s="18" t="n">
        <v>0.05969021</v>
      </c>
      <c r="L40" s="20" t="n">
        <v>0.05662439</v>
      </c>
      <c r="M40" s="18" t="n">
        <v>0</v>
      </c>
      <c r="N40" s="20" t="n">
        <v>0</v>
      </c>
      <c r="O40" s="18" t="n">
        <v>0</v>
      </c>
      <c r="P40" s="20" t="n">
        <v>0</v>
      </c>
      <c r="Q40" s="18" t="n">
        <v>0.5688241000000001</v>
      </c>
      <c r="R40" s="20" t="n">
        <v>0.2093789</v>
      </c>
    </row>
    <row r="41" spans="1:18">
      <c r="A41" s="15" t="s">
        <v>599</v>
      </c>
      <c r="B41" s="17" t="n">
        <v>5712</v>
      </c>
      <c r="C41" s="18">
        <f>(4493.0/B41*100)</f>
        <v/>
      </c>
      <c r="D41" s="19" t="n">
        <v>1219</v>
      </c>
      <c r="E41" s="18" t="n">
        <v>30.68964179</v>
      </c>
      <c r="F41" s="20" t="n">
        <v>1.57510159</v>
      </c>
      <c r="G41" s="18" t="n">
        <v>68.79125841</v>
      </c>
      <c r="H41" s="20" t="n">
        <v>1.63103698</v>
      </c>
      <c r="I41" s="18" t="n">
        <v>0</v>
      </c>
      <c r="J41" s="20" t="n">
        <v>0</v>
      </c>
      <c r="K41" s="18" t="n">
        <v>0.11191034</v>
      </c>
      <c r="L41" s="20" t="n">
        <v>0.09151500999999999</v>
      </c>
      <c r="M41" s="18" t="n">
        <v>0</v>
      </c>
      <c r="N41" s="20" t="n">
        <v>0</v>
      </c>
      <c r="O41" s="18" t="n">
        <v>0</v>
      </c>
      <c r="P41" s="20" t="n">
        <v>0</v>
      </c>
      <c r="Q41" s="18" t="n">
        <v>0.40718946</v>
      </c>
      <c r="R41" s="20" t="n">
        <v>0.18707642</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(18365.0/B46*100)</f>
        <v/>
      </c>
      <c r="D46" s="19" t="n">
        <v>4776</v>
      </c>
      <c r="E46" s="18" t="n">
        <v>58.78198558</v>
      </c>
      <c r="F46" s="20" t="n">
        <v>1.04707496</v>
      </c>
      <c r="G46" s="18" t="n">
        <v>34.76158944</v>
      </c>
      <c r="H46" s="20" t="n">
        <v>1.0587066</v>
      </c>
      <c r="I46" s="18" t="n">
        <v>0</v>
      </c>
      <c r="J46" s="20" t="n">
        <v>0</v>
      </c>
      <c r="K46" s="18" t="n">
        <v>0.61655713</v>
      </c>
      <c r="L46" s="20" t="n">
        <v>0.20896796</v>
      </c>
      <c r="M46" s="18" t="n">
        <v>0</v>
      </c>
      <c r="N46" s="20" t="n">
        <v>0</v>
      </c>
      <c r="O46" s="18" t="n">
        <v>0</v>
      </c>
      <c r="P46" s="20" t="n">
        <v>0</v>
      </c>
      <c r="Q46" s="18" t="n">
        <v>5.83986784</v>
      </c>
      <c r="R46" s="20" t="n">
        <v>0.55219912</v>
      </c>
    </row>
    <row r="47" spans="1:18">
      <c r="A47" s="15" t="s">
        <v>606</v>
      </c>
      <c r="B47" s="17" t="n">
        <v>5928</v>
      </c>
      <c r="C47" s="18">
        <f>(4615.0/B47*100)</f>
        <v/>
      </c>
      <c r="D47" s="19" t="n">
        <v>1313</v>
      </c>
      <c r="E47" s="18" t="n">
        <v>35.35670215</v>
      </c>
      <c r="F47" s="20" t="n">
        <v>1.59077072</v>
      </c>
      <c r="G47" s="18" t="n">
        <v>62.75551419</v>
      </c>
      <c r="H47" s="20" t="n">
        <v>1.59931642</v>
      </c>
      <c r="I47" s="18" t="n">
        <v>0</v>
      </c>
      <c r="J47" s="20" t="n">
        <v>0</v>
      </c>
      <c r="K47" s="18" t="n">
        <v>0.45179675</v>
      </c>
      <c r="L47" s="20" t="n">
        <v>0.19729918</v>
      </c>
      <c r="M47" s="18" t="n">
        <v>0</v>
      </c>
      <c r="N47" s="20" t="n">
        <v>0</v>
      </c>
      <c r="O47" s="18" t="n">
        <v>0</v>
      </c>
      <c r="P47" s="20" t="n">
        <v>0</v>
      </c>
      <c r="Q47" s="18" t="n">
        <v>1.43598691</v>
      </c>
      <c r="R47" s="20" t="n">
        <v>0.3369601</v>
      </c>
    </row>
    <row r="48" spans="1:18">
      <c r="A48" s="15" t="s">
        <v>607</v>
      </c>
      <c r="B48" s="17" t="n">
        <v>9841</v>
      </c>
      <c r="C48" s="18">
        <f>(7687.0/B48*100)</f>
        <v/>
      </c>
      <c r="D48" s="19" t="n">
        <v>2154</v>
      </c>
      <c r="E48" s="18" t="n">
        <v>35.14893755</v>
      </c>
      <c r="F48" s="20" t="n">
        <v>1.28545392</v>
      </c>
      <c r="G48" s="18" t="n">
        <v>63.50519671</v>
      </c>
      <c r="H48" s="20" t="n">
        <v>1.40769526</v>
      </c>
      <c r="I48" s="18" t="n">
        <v>0</v>
      </c>
      <c r="J48" s="20" t="n">
        <v>0</v>
      </c>
      <c r="K48" s="18" t="n">
        <v>0.39655117</v>
      </c>
      <c r="L48" s="20" t="n">
        <v>0.17052999</v>
      </c>
      <c r="M48" s="18" t="n">
        <v>0</v>
      </c>
      <c r="N48" s="20" t="n">
        <v>0</v>
      </c>
      <c r="O48" s="18" t="n">
        <v>0</v>
      </c>
      <c r="P48" s="20" t="n">
        <v>0</v>
      </c>
      <c r="Q48" s="18" t="n">
        <v>0.94931457</v>
      </c>
      <c r="R48" s="20" t="n">
        <v>0.40212398</v>
      </c>
    </row>
    <row r="49" spans="1:18">
      <c r="A49" s="15" t="s">
        <v>608</v>
      </c>
      <c r="B49" s="17" t="n">
        <v>11795</v>
      </c>
      <c r="C49" s="18">
        <f>(9189.0/B49*100)</f>
        <v/>
      </c>
      <c r="D49" s="19" t="n">
        <v>2606</v>
      </c>
      <c r="E49" s="18" t="n">
        <v>49.52961758</v>
      </c>
      <c r="F49" s="20" t="n">
        <v>1.4643183</v>
      </c>
      <c r="G49" s="18" t="n">
        <v>48.22161022</v>
      </c>
      <c r="H49" s="20" t="n">
        <v>1.50405074</v>
      </c>
      <c r="I49" s="18" t="n">
        <v>0</v>
      </c>
      <c r="J49" s="20" t="n">
        <v>0</v>
      </c>
      <c r="K49" s="18" t="n">
        <v>0.4971624</v>
      </c>
      <c r="L49" s="20" t="n">
        <v>0.19637987</v>
      </c>
      <c r="M49" s="18" t="n">
        <v>0</v>
      </c>
      <c r="N49" s="20" t="n">
        <v>0</v>
      </c>
      <c r="O49" s="18" t="n">
        <v>0</v>
      </c>
      <c r="P49" s="20" t="n">
        <v>0</v>
      </c>
      <c r="Q49" s="18" t="n">
        <v>1.7516098</v>
      </c>
      <c r="R49" s="20" t="n">
        <v>0.36855406</v>
      </c>
    </row>
    <row r="50" spans="1:18">
      <c r="A50" s="15" t="s">
        <v>609</v>
      </c>
      <c r="B50" s="17" t="n">
        <v>6866</v>
      </c>
      <c r="C50" s="18">
        <f>(5518.0/B50*100)</f>
        <v/>
      </c>
      <c r="D50" s="19" t="n">
        <v>1348</v>
      </c>
      <c r="E50" s="18" t="n">
        <v>53.5635924</v>
      </c>
      <c r="F50" s="20" t="n">
        <v>1.46531012</v>
      </c>
      <c r="G50" s="18" t="n">
        <v>44.76232439</v>
      </c>
      <c r="H50" s="20" t="n">
        <v>1.46816128</v>
      </c>
      <c r="I50" s="18" t="n">
        <v>0</v>
      </c>
      <c r="J50" s="20" t="n">
        <v>0</v>
      </c>
      <c r="K50" s="18" t="n">
        <v>0.14296868</v>
      </c>
      <c r="L50" s="20" t="n">
        <v>0.10411009</v>
      </c>
      <c r="M50" s="18" t="n">
        <v>0</v>
      </c>
      <c r="N50" s="20" t="n">
        <v>0</v>
      </c>
      <c r="O50" s="18" t="n">
        <v>0</v>
      </c>
      <c r="P50" s="20" t="n">
        <v>0</v>
      </c>
      <c r="Q50" s="18" t="n">
        <v>1.53111453</v>
      </c>
      <c r="R50" s="20" t="n">
        <v>0.34078141</v>
      </c>
    </row>
    <row r="51" spans="1:18">
      <c r="A51" s="15" t="s">
        <v>610</v>
      </c>
      <c r="B51" s="17" t="n">
        <v>5809</v>
      </c>
      <c r="C51" s="18">
        <f>(4537.0/B51*100)</f>
        <v/>
      </c>
      <c r="D51" s="19" t="n">
        <v>1272</v>
      </c>
      <c r="E51" s="18" t="n">
        <v>25.72668385</v>
      </c>
      <c r="F51" s="20" t="n">
        <v>1.20395619</v>
      </c>
      <c r="G51" s="18" t="n">
        <v>73.74540450000001</v>
      </c>
      <c r="H51" s="20" t="n">
        <v>1.23984996</v>
      </c>
      <c r="I51" s="18" t="n">
        <v>0</v>
      </c>
      <c r="J51" s="20" t="n">
        <v>0</v>
      </c>
      <c r="K51" s="18" t="n">
        <v>0.07996137</v>
      </c>
      <c r="L51" s="20" t="n">
        <v>0.07826097</v>
      </c>
      <c r="M51" s="18" t="n">
        <v>0</v>
      </c>
      <c r="N51" s="20" t="n">
        <v>0</v>
      </c>
      <c r="O51" s="18" t="n">
        <v>0</v>
      </c>
      <c r="P51" s="20" t="n">
        <v>0</v>
      </c>
      <c r="Q51" s="18" t="n">
        <v>0.44795028</v>
      </c>
      <c r="R51" s="20" t="n">
        <v>0.18521065</v>
      </c>
    </row>
    <row r="52" spans="1:18">
      <c r="A52" s="15" t="s">
        <v>611</v>
      </c>
      <c r="B52" s="17" t="n">
        <v>5571</v>
      </c>
      <c r="C52" s="18">
        <f>(4336.0/B52*100)</f>
        <v/>
      </c>
      <c r="D52" s="19" t="n">
        <v>1235</v>
      </c>
      <c r="E52" s="18" t="n">
        <v>44.60929529</v>
      </c>
      <c r="F52" s="20" t="n">
        <v>1.55192223</v>
      </c>
      <c r="G52" s="18" t="n">
        <v>53.69773825</v>
      </c>
      <c r="H52" s="20" t="n">
        <v>1.602172</v>
      </c>
      <c r="I52" s="18" t="n">
        <v>0</v>
      </c>
      <c r="J52" s="20" t="n">
        <v>0</v>
      </c>
      <c r="K52" s="18" t="n">
        <v>0.10650695</v>
      </c>
      <c r="L52" s="20" t="n">
        <v>0.10664222</v>
      </c>
      <c r="M52" s="18" t="n">
        <v>0</v>
      </c>
      <c r="N52" s="20" t="n">
        <v>0</v>
      </c>
      <c r="O52" s="18" t="n">
        <v>0</v>
      </c>
      <c r="P52" s="20" t="n">
        <v>0</v>
      </c>
      <c r="Q52" s="18" t="n">
        <v>1.58645951</v>
      </c>
      <c r="R52" s="20" t="n">
        <v>0.32859788</v>
      </c>
    </row>
    <row r="53" spans="1:18">
      <c r="A53" s="15" t="s">
        <v>612</v>
      </c>
      <c r="B53" s="17" t="n">
        <v>4740</v>
      </c>
      <c r="C53" s="18">
        <f>(3674.0/B53*100)</f>
        <v/>
      </c>
      <c r="D53" s="19" t="n">
        <v>1066</v>
      </c>
      <c r="E53" s="18" t="n">
        <v>51.42447571</v>
      </c>
      <c r="F53" s="20" t="n">
        <v>1.69385656</v>
      </c>
      <c r="G53" s="18" t="n">
        <v>29.31099999</v>
      </c>
      <c r="H53" s="20" t="n">
        <v>1.35856392</v>
      </c>
      <c r="I53" s="18" t="n">
        <v>0</v>
      </c>
      <c r="J53" s="20" t="n">
        <v>0</v>
      </c>
      <c r="K53" s="18" t="n">
        <v>3.57974092</v>
      </c>
      <c r="L53" s="20" t="n">
        <v>0.58744716</v>
      </c>
      <c r="M53" s="18" t="n">
        <v>0</v>
      </c>
      <c r="N53" s="20" t="n">
        <v>0</v>
      </c>
      <c r="O53" s="18" t="n">
        <v>0</v>
      </c>
      <c r="P53" s="20" t="n">
        <v>0</v>
      </c>
      <c r="Q53" s="18" t="n">
        <v>15.68478338</v>
      </c>
      <c r="R53" s="20" t="n">
        <v>1.32662481</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(4154.0/B55*100)</f>
        <v/>
      </c>
      <c r="D55" s="19" t="n">
        <v>1205</v>
      </c>
      <c r="E55" s="18" t="n">
        <v>29.14149783</v>
      </c>
      <c r="F55" s="20" t="n">
        <v>1.50280722</v>
      </c>
      <c r="G55" s="18" t="n">
        <v>70.35656793</v>
      </c>
      <c r="H55" s="20" t="n">
        <v>1.4726109</v>
      </c>
      <c r="I55" s="18" t="n">
        <v>0</v>
      </c>
      <c r="J55" s="20" t="n">
        <v>0</v>
      </c>
      <c r="K55" s="18" t="n">
        <v>0.07104524</v>
      </c>
      <c r="L55" s="20" t="n">
        <v>0.07110875999999999</v>
      </c>
      <c r="M55" s="18" t="n">
        <v>0</v>
      </c>
      <c r="N55" s="20" t="n">
        <v>0</v>
      </c>
      <c r="O55" s="18" t="n">
        <v>0</v>
      </c>
      <c r="P55" s="20" t="n">
        <v>0</v>
      </c>
      <c r="Q55" s="18" t="n">
        <v>0.430889</v>
      </c>
      <c r="R55" s="20" t="n">
        <v>0.18044382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(5087.0/B61*100)</f>
        <v/>
      </c>
      <c r="D61" s="19" t="n">
        <v>1438</v>
      </c>
      <c r="E61" s="18" t="n">
        <v>23.11610297</v>
      </c>
      <c r="F61" s="20" t="n">
        <v>1.22128753</v>
      </c>
      <c r="G61" s="18" t="n">
        <v>76.09343036</v>
      </c>
      <c r="H61" s="20" t="n">
        <v>1.2362292</v>
      </c>
      <c r="I61" s="18" t="n">
        <v>0</v>
      </c>
      <c r="J61" s="20" t="n">
        <v>0</v>
      </c>
      <c r="K61" s="18" t="n">
        <v>0.30300875</v>
      </c>
      <c r="L61" s="20" t="n">
        <v>0.21728752</v>
      </c>
      <c r="M61" s="18" t="n">
        <v>0</v>
      </c>
      <c r="N61" s="20" t="n">
        <v>0</v>
      </c>
      <c r="O61" s="18" t="n">
        <v>0</v>
      </c>
      <c r="P61" s="20" t="n">
        <v>0</v>
      </c>
      <c r="Q61" s="18" t="n">
        <v>0.48745793</v>
      </c>
      <c r="R61" s="20" t="n">
        <v>0.17944776</v>
      </c>
    </row>
    <row r="62" spans="1:18">
      <c r="A62" s="15" t="s">
        <v>622</v>
      </c>
      <c r="B62" s="17" t="n">
        <v>4476</v>
      </c>
      <c r="C62" s="18">
        <f>(3476.0/B62*100)</f>
        <v/>
      </c>
      <c r="D62" s="19" t="n">
        <v>1000</v>
      </c>
      <c r="E62" s="18" t="n">
        <v>30.80158509</v>
      </c>
      <c r="F62" s="20" t="n">
        <v>1.51373879</v>
      </c>
      <c r="G62" s="18" t="n">
        <v>69.09906116000001</v>
      </c>
      <c r="H62" s="20" t="n">
        <v>1.50865882</v>
      </c>
      <c r="I62" s="18" t="n">
        <v>0</v>
      </c>
      <c r="J62" s="20" t="n">
        <v>0</v>
      </c>
      <c r="K62" s="18" t="n">
        <v>0</v>
      </c>
      <c r="L62" s="20" t="n">
        <v>0</v>
      </c>
      <c r="M62" s="18" t="n">
        <v>0</v>
      </c>
      <c r="N62" s="20" t="n">
        <v>0</v>
      </c>
      <c r="O62" s="18" t="n">
        <v>0</v>
      </c>
      <c r="P62" s="20" t="n">
        <v>0</v>
      </c>
      <c r="Q62" s="18" t="n">
        <v>0.09935375</v>
      </c>
      <c r="R62" s="20" t="n">
        <v>0.09926915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(4450.0/B67*100)</f>
        <v/>
      </c>
      <c r="D67" s="19" t="n">
        <v>1215</v>
      </c>
      <c r="E67" s="18" t="n">
        <v>32.95416443</v>
      </c>
      <c r="F67" s="20" t="n">
        <v>1.49332151</v>
      </c>
      <c r="G67" s="18" t="n">
        <v>62.74858432</v>
      </c>
      <c r="H67" s="20" t="n">
        <v>1.4335151</v>
      </c>
      <c r="I67" s="18" t="n">
        <v>0</v>
      </c>
      <c r="J67" s="20" t="n">
        <v>0</v>
      </c>
      <c r="K67" s="18" t="n">
        <v>0.22525616</v>
      </c>
      <c r="L67" s="20" t="n">
        <v>0.12920615</v>
      </c>
      <c r="M67" s="18" t="n">
        <v>0</v>
      </c>
      <c r="N67" s="20" t="n">
        <v>0</v>
      </c>
      <c r="O67" s="18" t="n">
        <v>0</v>
      </c>
      <c r="P67" s="20" t="n">
        <v>0</v>
      </c>
      <c r="Q67" s="18" t="n">
        <v>4.07199509</v>
      </c>
      <c r="R67" s="20" t="n">
        <v>0.48489716</v>
      </c>
    </row>
    <row r="68" spans="1:18">
      <c r="A68" s="15" t="s">
        <v>628</v>
      </c>
      <c r="B68" s="17" t="n">
        <v>6971</v>
      </c>
      <c r="C68" s="18">
        <f>(5487.0/B68*100)</f>
        <v/>
      </c>
      <c r="D68" s="19" t="n">
        <v>1484</v>
      </c>
      <c r="E68" s="18" t="n">
        <v>48.37623008</v>
      </c>
      <c r="F68" s="20" t="n">
        <v>1.51653958</v>
      </c>
      <c r="G68" s="18" t="n">
        <v>47.30186466</v>
      </c>
      <c r="H68" s="20" t="n">
        <v>1.4578486</v>
      </c>
      <c r="I68" s="18" t="n">
        <v>0</v>
      </c>
      <c r="J68" s="20" t="n">
        <v>0</v>
      </c>
      <c r="K68" s="18" t="n">
        <v>0.17764759</v>
      </c>
      <c r="L68" s="20" t="n">
        <v>0.17738358</v>
      </c>
      <c r="M68" s="18" t="n">
        <v>0</v>
      </c>
      <c r="N68" s="20" t="n">
        <v>0</v>
      </c>
      <c r="O68" s="18" t="n">
        <v>0</v>
      </c>
      <c r="P68" s="20" t="n">
        <v>0</v>
      </c>
      <c r="Q68" s="18" t="n">
        <v>4.14425766</v>
      </c>
      <c r="R68" s="20" t="n">
        <v>0.58495772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(9356.0/B70*100)</f>
        <v/>
      </c>
      <c r="D70" s="19" t="n">
        <v>2727</v>
      </c>
      <c r="E70" s="18" t="n">
        <v>40.7587089</v>
      </c>
      <c r="F70" s="20" t="n">
        <v>1.01268904</v>
      </c>
      <c r="G70" s="18" t="n">
        <v>55.95646882</v>
      </c>
      <c r="H70" s="20" t="n">
        <v>1.05413304</v>
      </c>
      <c r="I70" s="18" t="n">
        <v>0</v>
      </c>
      <c r="J70" s="20" t="n">
        <v>0</v>
      </c>
      <c r="K70" s="18" t="n">
        <v>1.14824345</v>
      </c>
      <c r="L70" s="20" t="n">
        <v>0.2048979</v>
      </c>
      <c r="M70" s="18" t="n">
        <v>0</v>
      </c>
      <c r="N70" s="20" t="n">
        <v>0</v>
      </c>
      <c r="O70" s="18" t="n">
        <v>0</v>
      </c>
      <c r="P70" s="20" t="n">
        <v>0</v>
      </c>
      <c r="Q70" s="18" t="n">
        <v>2.13657883</v>
      </c>
      <c r="R70" s="20" t="n">
        <v>0.26262172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(4699.0/B72*100)</f>
        <v/>
      </c>
      <c r="D72" s="19" t="n">
        <v>1337</v>
      </c>
      <c r="E72" s="18" t="n">
        <v>17.70535072</v>
      </c>
      <c r="F72" s="20" t="n">
        <v>1.05501334</v>
      </c>
      <c r="G72" s="18" t="n">
        <v>81.67608989</v>
      </c>
      <c r="H72" s="20" t="n">
        <v>1.1021632</v>
      </c>
      <c r="I72" s="18" t="n">
        <v>0</v>
      </c>
      <c r="J72" s="20" t="n">
        <v>0</v>
      </c>
      <c r="K72" s="18" t="n">
        <v>0</v>
      </c>
      <c r="L72" s="20" t="n">
        <v>0</v>
      </c>
      <c r="M72" s="18" t="n">
        <v>0</v>
      </c>
      <c r="N72" s="20" t="n">
        <v>0</v>
      </c>
      <c r="O72" s="18" t="n">
        <v>0</v>
      </c>
      <c r="P72" s="20" t="n">
        <v>0</v>
      </c>
      <c r="Q72" s="18" t="n">
        <v>0.61855939</v>
      </c>
      <c r="R72" s="20" t="n">
        <v>0.20485875</v>
      </c>
    </row>
    <row r="73" spans="1:18">
      <c r="A73" s="15" t="s">
        <v>633</v>
      </c>
      <c r="B73" s="17" t="n">
        <v>6115</v>
      </c>
      <c r="C73" s="18">
        <f>(4789.0/B73*100)</f>
        <v/>
      </c>
      <c r="D73" s="19" t="n">
        <v>1326</v>
      </c>
      <c r="E73" s="18" t="n">
        <v>46.00066033</v>
      </c>
      <c r="F73" s="20" t="n">
        <v>1.22116022</v>
      </c>
      <c r="G73" s="18" t="n">
        <v>53.84878372</v>
      </c>
      <c r="H73" s="20" t="n">
        <v>1.24050898</v>
      </c>
      <c r="I73" s="18" t="n">
        <v>0</v>
      </c>
      <c r="J73" s="20" t="n">
        <v>0</v>
      </c>
      <c r="K73" s="18" t="n">
        <v>0.15055594</v>
      </c>
      <c r="L73" s="20" t="n">
        <v>0.1072219</v>
      </c>
      <c r="M73" s="18" t="n">
        <v>0</v>
      </c>
      <c r="N73" s="20" t="n">
        <v>0</v>
      </c>
      <c r="O73" s="18" t="n">
        <v>0</v>
      </c>
      <c r="P73" s="20" t="n">
        <v>0</v>
      </c>
      <c r="Q73" s="18" t="n">
        <v>0</v>
      </c>
      <c r="R73" s="20" t="n">
        <v>0</v>
      </c>
    </row>
    <row r="74" spans="1:18">
      <c r="A74" s="15" t="s">
        <v>634</v>
      </c>
      <c r="B74" s="17" t="n">
        <v>7708</v>
      </c>
      <c r="C74" s="18">
        <f>(6066.0/B74*100)</f>
        <v/>
      </c>
      <c r="D74" s="19" t="n">
        <v>1642</v>
      </c>
      <c r="E74" s="18" t="n">
        <v>20.00472833</v>
      </c>
      <c r="F74" s="20" t="n">
        <v>0.9957925</v>
      </c>
      <c r="G74" s="18" t="n">
        <v>79.64328252999999</v>
      </c>
      <c r="H74" s="20" t="n">
        <v>1.01076808</v>
      </c>
      <c r="I74" s="18" t="n">
        <v>0</v>
      </c>
      <c r="J74" s="20" t="n">
        <v>0</v>
      </c>
      <c r="K74" s="18" t="n">
        <v>0.04012256</v>
      </c>
      <c r="L74" s="20" t="n">
        <v>0.04148573</v>
      </c>
      <c r="M74" s="18" t="n">
        <v>0</v>
      </c>
      <c r="N74" s="20" t="n">
        <v>0</v>
      </c>
      <c r="O74" s="18" t="n">
        <v>0</v>
      </c>
      <c r="P74" s="20" t="n">
        <v>0</v>
      </c>
      <c r="Q74" s="18" t="n">
        <v>0.31186658</v>
      </c>
      <c r="R74" s="20" t="n">
        <v>0.14532072</v>
      </c>
    </row>
    <row r="75" spans="1:18">
      <c r="A75" s="15" t="s">
        <v>635</v>
      </c>
      <c r="B75" s="17" t="n">
        <v>8249</v>
      </c>
      <c r="C75" s="18">
        <f>(6422.0/B75*100)</f>
        <v/>
      </c>
      <c r="D75" s="19" t="n">
        <v>1827</v>
      </c>
      <c r="E75" s="18" t="n">
        <v>45.40529404</v>
      </c>
      <c r="F75" s="20" t="n">
        <v>1.58286949</v>
      </c>
      <c r="G75" s="18" t="n">
        <v>53.90762189</v>
      </c>
      <c r="H75" s="20" t="n">
        <v>1.62859592</v>
      </c>
      <c r="I75" s="18" t="n">
        <v>0</v>
      </c>
      <c r="J75" s="20" t="n">
        <v>0</v>
      </c>
      <c r="K75" s="18" t="n">
        <v>0.07924111</v>
      </c>
      <c r="L75" s="20" t="n">
        <v>0.07961360000000001</v>
      </c>
      <c r="M75" s="18" t="n">
        <v>0</v>
      </c>
      <c r="N75" s="20" t="n">
        <v>0</v>
      </c>
      <c r="O75" s="18" t="n">
        <v>0</v>
      </c>
      <c r="P75" s="20" t="n">
        <v>0</v>
      </c>
      <c r="Q75" s="18" t="n">
        <v>0.60784297</v>
      </c>
      <c r="R75" s="20" t="n">
        <v>0.2474761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(4251.0/B77*100)</f>
        <v/>
      </c>
      <c r="D77" s="19" t="n">
        <v>1124</v>
      </c>
      <c r="E77" s="18" t="n">
        <v>32.66353118</v>
      </c>
      <c r="F77" s="20" t="n">
        <v>1.34808153</v>
      </c>
      <c r="G77" s="18" t="n">
        <v>64.27612393</v>
      </c>
      <c r="H77" s="20" t="n">
        <v>1.53967467</v>
      </c>
      <c r="I77" s="18" t="n">
        <v>0</v>
      </c>
      <c r="J77" s="20" t="n">
        <v>0</v>
      </c>
      <c r="K77" s="18" t="n">
        <v>0.645519</v>
      </c>
      <c r="L77" s="20" t="n">
        <v>0.28789903</v>
      </c>
      <c r="M77" s="18" t="n">
        <v>0</v>
      </c>
      <c r="N77" s="20" t="n">
        <v>0</v>
      </c>
      <c r="O77" s="18" t="n">
        <v>0</v>
      </c>
      <c r="P77" s="20" t="n">
        <v>0</v>
      </c>
      <c r="Q77" s="18" t="n">
        <v>2.41482589</v>
      </c>
      <c r="R77" s="20" t="n">
        <v>0.54644711</v>
      </c>
    </row>
    <row r="78" spans="1:18">
      <c r="A78" s="15" t="s">
        <v>638</v>
      </c>
      <c r="B78" s="17" t="n">
        <v>14167</v>
      </c>
      <c r="C78" s="18">
        <f>(11011.0/B78*100)</f>
        <v/>
      </c>
      <c r="D78" s="19" t="n">
        <v>3156</v>
      </c>
      <c r="E78" s="18" t="n">
        <v>38.94731747</v>
      </c>
      <c r="F78" s="20" t="n">
        <v>1.10080231</v>
      </c>
      <c r="G78" s="18" t="n">
        <v>58.99862356</v>
      </c>
      <c r="H78" s="20" t="n">
        <v>1.13492431</v>
      </c>
      <c r="I78" s="18" t="n">
        <v>0</v>
      </c>
      <c r="J78" s="20" t="n">
        <v>0</v>
      </c>
      <c r="K78" s="18" t="n">
        <v>0.66220569</v>
      </c>
      <c r="L78" s="20" t="n">
        <v>0.17378489</v>
      </c>
      <c r="M78" s="18" t="n">
        <v>0</v>
      </c>
      <c r="N78" s="20" t="n">
        <v>0</v>
      </c>
      <c r="O78" s="18" t="n">
        <v>0</v>
      </c>
      <c r="P78" s="20" t="n">
        <v>0</v>
      </c>
      <c r="Q78" s="18" t="n">
        <v>1.39185329</v>
      </c>
      <c r="R78" s="20" t="n">
        <v>0.26722594</v>
      </c>
    </row>
    <row r="79" spans="1:18">
      <c r="A79" s="15" t="s">
        <v>639</v>
      </c>
      <c r="B79" s="17" t="n">
        <v>6062</v>
      </c>
      <c r="C79" s="18">
        <f>(4696.0/B79*100)</f>
        <v/>
      </c>
      <c r="D79" s="19" t="n">
        <v>1366</v>
      </c>
      <c r="E79" s="18" t="n">
        <v>38.87794973</v>
      </c>
      <c r="F79" s="20" t="n">
        <v>1.4106224</v>
      </c>
      <c r="G79" s="18" t="n">
        <v>60.136294</v>
      </c>
      <c r="H79" s="20" t="n">
        <v>1.48069369</v>
      </c>
      <c r="I79" s="18" t="n">
        <v>0</v>
      </c>
      <c r="J79" s="20" t="n">
        <v>0</v>
      </c>
      <c r="K79" s="18" t="n">
        <v>0.15812346</v>
      </c>
      <c r="L79" s="20" t="n">
        <v>0.12888802</v>
      </c>
      <c r="M79" s="18" t="n">
        <v>0</v>
      </c>
      <c r="N79" s="20" t="n">
        <v>0</v>
      </c>
      <c r="O79" s="18" t="n">
        <v>0</v>
      </c>
      <c r="P79" s="20" t="n">
        <v>0</v>
      </c>
      <c r="Q79" s="18" t="n">
        <v>0.82763281</v>
      </c>
      <c r="R79" s="20" t="n">
        <v>0.27661193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(25138.0/B82*100)</f>
        <v/>
      </c>
      <c r="D82" s="19" t="n">
        <v>7192</v>
      </c>
      <c r="E82" s="18" t="n">
        <v>32.6213256</v>
      </c>
      <c r="F82" s="20" t="n">
        <v>0.87056531</v>
      </c>
      <c r="G82" s="18" t="n">
        <v>66.45732778</v>
      </c>
      <c r="H82" s="20" t="n">
        <v>0.87423292</v>
      </c>
      <c r="I82" s="18" t="n">
        <v>0</v>
      </c>
      <c r="J82" s="20" t="n">
        <v>0</v>
      </c>
      <c r="K82" s="18" t="n">
        <v>0.14909912</v>
      </c>
      <c r="L82" s="20" t="n">
        <v>0.06500886</v>
      </c>
      <c r="M82" s="18" t="n">
        <v>0</v>
      </c>
      <c r="N82" s="20" t="n">
        <v>0</v>
      </c>
      <c r="O82" s="18" t="n">
        <v>0</v>
      </c>
      <c r="P82" s="20" t="n">
        <v>0</v>
      </c>
      <c r="Q82" s="18" t="n">
        <v>0.77224751</v>
      </c>
      <c r="R82" s="20" t="n">
        <v>0.16565746</v>
      </c>
    </row>
    <row r="83" spans="1:18">
      <c r="A83" s="15" t="s">
        <v>643</v>
      </c>
      <c r="B83" s="17" t="n">
        <v>1652</v>
      </c>
      <c r="C83" s="18">
        <f>(1290.0/B83*100)</f>
        <v/>
      </c>
      <c r="D83" s="19" t="n">
        <v>362</v>
      </c>
      <c r="E83" s="18" t="n">
        <v>32.14835994</v>
      </c>
      <c r="F83" s="20" t="n">
        <v>2.60987008</v>
      </c>
      <c r="G83" s="18" t="n">
        <v>67.5283273</v>
      </c>
      <c r="H83" s="20" t="n">
        <v>2.59511383</v>
      </c>
      <c r="I83" s="18" t="n">
        <v>0</v>
      </c>
      <c r="J83" s="20" t="n">
        <v>0</v>
      </c>
      <c r="K83" s="18" t="n">
        <v>0</v>
      </c>
      <c r="L83" s="20" t="n">
        <v>0</v>
      </c>
      <c r="M83" s="18" t="n">
        <v>0</v>
      </c>
      <c r="N83" s="20" t="n">
        <v>0</v>
      </c>
      <c r="O83" s="18" t="n">
        <v>0</v>
      </c>
      <c r="P83" s="20" t="n">
        <v>0</v>
      </c>
      <c r="Q83" s="18" t="n">
        <v>0.32331276</v>
      </c>
      <c r="R83" s="20" t="n">
        <v>0.33555796</v>
      </c>
    </row>
    <row r="84" spans="1:18">
      <c r="A84" s="23" t="s">
        <v>644</v>
      </c>
      <c r="B84" s="24" t="n">
        <v>1887</v>
      </c>
      <c r="C84" s="25">
        <f>(1493.0/B84*100)</f>
        <v/>
      </c>
      <c r="D84" s="19" t="n">
        <v>394</v>
      </c>
      <c r="E84" s="18" t="n">
        <v>33.01381642</v>
      </c>
      <c r="F84" s="20" t="n">
        <v>2.63048613</v>
      </c>
      <c r="G84" s="18" t="n">
        <v>66.98618358</v>
      </c>
      <c r="H84" s="20" t="n">
        <v>2.63048613</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(11364.0/B7*100)</f>
        <v/>
      </c>
      <c r="D7" s="19" t="n">
        <v>3166</v>
      </c>
      <c r="E7" s="18" t="n">
        <v>6.57580147</v>
      </c>
      <c r="F7" s="20" t="n">
        <v>0.46204368</v>
      </c>
      <c r="G7" s="18" t="n">
        <v>92.41288184</v>
      </c>
      <c r="H7" s="20" t="n">
        <v>0.50258174</v>
      </c>
      <c r="I7" s="18" t="n">
        <v>0</v>
      </c>
      <c r="J7" s="20" t="n">
        <v>0</v>
      </c>
      <c r="K7" s="18" t="n">
        <v>0.17169585</v>
      </c>
      <c r="L7" s="20" t="n">
        <v>0.08410637</v>
      </c>
      <c r="M7" s="18" t="n">
        <v>0</v>
      </c>
      <c r="N7" s="20" t="n">
        <v>0</v>
      </c>
      <c r="O7" s="18" t="n">
        <v>0</v>
      </c>
      <c r="P7" s="20" t="n">
        <v>0</v>
      </c>
      <c r="Q7" s="18" t="n">
        <v>0.83962085</v>
      </c>
      <c r="R7" s="20" t="n">
        <v>0.18813657</v>
      </c>
    </row>
    <row r="8" spans="1:18">
      <c r="A8" s="15" t="s">
        <v>566</v>
      </c>
      <c r="B8" s="17" t="n">
        <v>7007</v>
      </c>
      <c r="C8" s="18">
        <f>(5454.0/B8*100)</f>
        <v/>
      </c>
      <c r="D8" s="19" t="n">
        <v>1553</v>
      </c>
      <c r="E8" s="18" t="n">
        <v>9.10283175</v>
      </c>
      <c r="F8" s="20" t="n">
        <v>1.01588711</v>
      </c>
      <c r="G8" s="18" t="n">
        <v>90.04794396</v>
      </c>
      <c r="H8" s="20" t="n">
        <v>1.09115652</v>
      </c>
      <c r="I8" s="18" t="n">
        <v>0</v>
      </c>
      <c r="J8" s="20" t="n">
        <v>0</v>
      </c>
      <c r="K8" s="18" t="n">
        <v>0.15165234</v>
      </c>
      <c r="L8" s="20" t="n">
        <v>0.10568234</v>
      </c>
      <c r="M8" s="18" t="n">
        <v>0</v>
      </c>
      <c r="N8" s="20" t="n">
        <v>0</v>
      </c>
      <c r="O8" s="18" t="n">
        <v>0</v>
      </c>
      <c r="P8" s="20" t="n">
        <v>0</v>
      </c>
      <c r="Q8" s="18" t="n">
        <v>0.6975719500000001</v>
      </c>
      <c r="R8" s="20" t="n">
        <v>0.2115696</v>
      </c>
    </row>
    <row r="9" spans="1:18">
      <c r="A9" s="15" t="s">
        <v>567</v>
      </c>
      <c r="B9" s="17" t="n">
        <v>9651</v>
      </c>
      <c r="C9" s="18">
        <f>(7537.0/B9*100)</f>
        <v/>
      </c>
      <c r="D9" s="19" t="n">
        <v>2114</v>
      </c>
      <c r="E9" s="18" t="n">
        <v>6.90025286</v>
      </c>
      <c r="F9" s="20" t="n">
        <v>0.56809153</v>
      </c>
      <c r="G9" s="18" t="n">
        <v>91.60030574</v>
      </c>
      <c r="H9" s="20" t="n">
        <v>0.67801852</v>
      </c>
      <c r="I9" s="18" t="n">
        <v>0</v>
      </c>
      <c r="J9" s="20" t="n">
        <v>0</v>
      </c>
      <c r="K9" s="18" t="n">
        <v>0.21491965</v>
      </c>
      <c r="L9" s="20" t="n">
        <v>0.10058121</v>
      </c>
      <c r="M9" s="18" t="n">
        <v>0</v>
      </c>
      <c r="N9" s="20" t="n">
        <v>0</v>
      </c>
      <c r="O9" s="18" t="n">
        <v>0</v>
      </c>
      <c r="P9" s="20" t="n">
        <v>0</v>
      </c>
      <c r="Q9" s="18" t="n">
        <v>1.28452174</v>
      </c>
      <c r="R9" s="20" t="n">
        <v>0.28686658</v>
      </c>
    </row>
    <row r="10" spans="1:18">
      <c r="A10" s="15" t="s">
        <v>568</v>
      </c>
      <c r="B10" s="17" t="n">
        <v>20058</v>
      </c>
      <c r="C10" s="18">
        <f>(15593.0/B10*100)</f>
        <v/>
      </c>
      <c r="D10" s="19" t="n">
        <v>4465</v>
      </c>
      <c r="E10" s="18" t="n">
        <v>5.38079715</v>
      </c>
      <c r="F10" s="20" t="n">
        <v>0.44573773</v>
      </c>
      <c r="G10" s="18" t="n">
        <v>93.68171445999999</v>
      </c>
      <c r="H10" s="20" t="n">
        <v>0.49438056</v>
      </c>
      <c r="I10" s="18" t="n">
        <v>0</v>
      </c>
      <c r="J10" s="20" t="n">
        <v>0</v>
      </c>
      <c r="K10" s="18" t="n">
        <v>0.21382885</v>
      </c>
      <c r="L10" s="20" t="n">
        <v>0.10740229</v>
      </c>
      <c r="M10" s="18" t="n">
        <v>0</v>
      </c>
      <c r="N10" s="20" t="n">
        <v>0</v>
      </c>
      <c r="O10" s="18" t="n">
        <v>0</v>
      </c>
      <c r="P10" s="20" t="n">
        <v>0</v>
      </c>
      <c r="Q10" s="18" t="n">
        <v>0.72365954</v>
      </c>
      <c r="R10" s="20" t="n">
        <v>0.1706477</v>
      </c>
    </row>
    <row r="11" spans="1:18">
      <c r="A11" s="15" t="s">
        <v>569</v>
      </c>
      <c r="B11" s="17" t="n">
        <v>7053</v>
      </c>
      <c r="C11" s="18">
        <f>(5463.0/B11*100)</f>
        <v/>
      </c>
      <c r="D11" s="19" t="n">
        <v>1590</v>
      </c>
      <c r="E11" s="18" t="n">
        <v>12.01425296</v>
      </c>
      <c r="F11" s="20" t="n">
        <v>1.11314365</v>
      </c>
      <c r="G11" s="18" t="n">
        <v>84.89049563</v>
      </c>
      <c r="H11" s="20" t="n">
        <v>1.19965384</v>
      </c>
      <c r="I11" s="18" t="n">
        <v>0</v>
      </c>
      <c r="J11" s="20" t="n">
        <v>0</v>
      </c>
      <c r="K11" s="18" t="n">
        <v>0.08257253000000001</v>
      </c>
      <c r="L11" s="20" t="n">
        <v>0.08100594</v>
      </c>
      <c r="M11" s="18" t="n">
        <v>0</v>
      </c>
      <c r="N11" s="20" t="n">
        <v>0</v>
      </c>
      <c r="O11" s="18" t="n">
        <v>0</v>
      </c>
      <c r="P11" s="20" t="n">
        <v>0</v>
      </c>
      <c r="Q11" s="18" t="n">
        <v>3.01267887</v>
      </c>
      <c r="R11" s="20" t="n">
        <v>0.47319706</v>
      </c>
    </row>
    <row r="12" spans="1:18">
      <c r="A12" s="15" t="s">
        <v>570</v>
      </c>
      <c r="B12" s="17" t="n">
        <v>6894</v>
      </c>
      <c r="C12" s="18">
        <f>(5410.0/B12*100)</f>
        <v/>
      </c>
      <c r="D12" s="19" t="n">
        <v>1484</v>
      </c>
      <c r="E12" s="18" t="n">
        <v>5.83499342</v>
      </c>
      <c r="F12" s="20" t="n">
        <v>0.64678032</v>
      </c>
      <c r="G12" s="18" t="n">
        <v>93.27794612</v>
      </c>
      <c r="H12" s="20" t="n">
        <v>0.75535713</v>
      </c>
      <c r="I12" s="18" t="n">
        <v>0</v>
      </c>
      <c r="J12" s="20" t="n">
        <v>0</v>
      </c>
      <c r="K12" s="18" t="n">
        <v>0.05890158</v>
      </c>
      <c r="L12" s="20" t="n">
        <v>0.0559212</v>
      </c>
      <c r="M12" s="18" t="n">
        <v>0</v>
      </c>
      <c r="N12" s="20" t="n">
        <v>0</v>
      </c>
      <c r="O12" s="18" t="n">
        <v>0</v>
      </c>
      <c r="P12" s="20" t="n">
        <v>0</v>
      </c>
      <c r="Q12" s="18" t="n">
        <v>0.82815888</v>
      </c>
      <c r="R12" s="20" t="n">
        <v>0.3025793</v>
      </c>
    </row>
    <row r="13" spans="1:18">
      <c r="A13" s="15" t="s">
        <v>571</v>
      </c>
      <c r="B13" s="17" t="n">
        <v>7161</v>
      </c>
      <c r="C13" s="18">
        <f>(5692.0/B13*100)</f>
        <v/>
      </c>
      <c r="D13" s="19" t="n">
        <v>1469</v>
      </c>
      <c r="E13" s="18" t="n">
        <v>6.55054581</v>
      </c>
      <c r="F13" s="20" t="n">
        <v>0.73261398</v>
      </c>
      <c r="G13" s="18" t="n">
        <v>92.58188887999999</v>
      </c>
      <c r="H13" s="20" t="n">
        <v>0.86386672</v>
      </c>
      <c r="I13" s="18" t="n">
        <v>0</v>
      </c>
      <c r="J13" s="20" t="n">
        <v>0</v>
      </c>
      <c r="K13" s="18" t="n">
        <v>0.1904042</v>
      </c>
      <c r="L13" s="20" t="n">
        <v>0.11113528</v>
      </c>
      <c r="M13" s="18" t="n">
        <v>0</v>
      </c>
      <c r="N13" s="20" t="n">
        <v>0</v>
      </c>
      <c r="O13" s="18" t="n">
        <v>0</v>
      </c>
      <c r="P13" s="20" t="n">
        <v>0</v>
      </c>
      <c r="Q13" s="18" t="n">
        <v>0.67716111</v>
      </c>
      <c r="R13" s="20" t="n">
        <v>0.26220098</v>
      </c>
    </row>
    <row r="14" spans="1:18">
      <c r="A14" s="15" t="s">
        <v>572</v>
      </c>
      <c r="B14" s="17" t="n">
        <v>5587</v>
      </c>
      <c r="C14" s="18">
        <f>(4319.0/B14*100)</f>
        <v/>
      </c>
      <c r="D14" s="19" t="n">
        <v>1268</v>
      </c>
      <c r="E14" s="18" t="n">
        <v>6.74552114</v>
      </c>
      <c r="F14" s="20" t="n">
        <v>0.78052784</v>
      </c>
      <c r="G14" s="18" t="n">
        <v>92.70391441</v>
      </c>
      <c r="H14" s="20" t="n">
        <v>0.81178312</v>
      </c>
      <c r="I14" s="18" t="n">
        <v>0</v>
      </c>
      <c r="J14" s="20" t="n">
        <v>0</v>
      </c>
      <c r="K14" s="18" t="n">
        <v>0.0722844</v>
      </c>
      <c r="L14" s="20" t="n">
        <v>0.07226920000000001</v>
      </c>
      <c r="M14" s="18" t="n">
        <v>0</v>
      </c>
      <c r="N14" s="20" t="n">
        <v>0</v>
      </c>
      <c r="O14" s="18" t="n">
        <v>0</v>
      </c>
      <c r="P14" s="20" t="n">
        <v>0</v>
      </c>
      <c r="Q14" s="18" t="n">
        <v>0.47828005</v>
      </c>
      <c r="R14" s="20" t="n">
        <v>0.18259825</v>
      </c>
    </row>
    <row r="15" spans="1:18">
      <c r="A15" s="15" t="s">
        <v>573</v>
      </c>
      <c r="B15" s="17" t="n">
        <v>5882</v>
      </c>
      <c r="C15" s="18">
        <f>(4520.0/B15*100)</f>
        <v/>
      </c>
      <c r="D15" s="19" t="n">
        <v>1362</v>
      </c>
      <c r="E15" s="18" t="n">
        <v>7.00929308</v>
      </c>
      <c r="F15" s="20" t="n">
        <v>0.7751346099999999</v>
      </c>
      <c r="G15" s="18" t="n">
        <v>92.34227159</v>
      </c>
      <c r="H15" s="20" t="n">
        <v>0.82242424</v>
      </c>
      <c r="I15" s="18" t="n">
        <v>0</v>
      </c>
      <c r="J15" s="20" t="n">
        <v>0</v>
      </c>
      <c r="K15" s="18" t="n">
        <v>0.08265755</v>
      </c>
      <c r="L15" s="20" t="n">
        <v>0.09069918</v>
      </c>
      <c r="M15" s="18" t="n">
        <v>0</v>
      </c>
      <c r="N15" s="20" t="n">
        <v>0</v>
      </c>
      <c r="O15" s="18" t="n">
        <v>0</v>
      </c>
      <c r="P15" s="20" t="n">
        <v>0</v>
      </c>
      <c r="Q15" s="18" t="n">
        <v>0.56577778</v>
      </c>
      <c r="R15" s="20" t="n">
        <v>0.19574316</v>
      </c>
    </row>
    <row r="16" spans="1:18">
      <c r="A16" s="15" t="s">
        <v>574</v>
      </c>
      <c r="B16" s="17" t="n">
        <v>6108</v>
      </c>
      <c r="C16" s="18">
        <f>(4754.0/B16*100)</f>
        <v/>
      </c>
      <c r="D16" s="19" t="n">
        <v>1354</v>
      </c>
      <c r="E16" s="18" t="n">
        <v>8.697938049999999</v>
      </c>
      <c r="F16" s="20" t="n">
        <v>0.8951745800000001</v>
      </c>
      <c r="G16" s="18" t="n">
        <v>88.63524742</v>
      </c>
      <c r="H16" s="20" t="n">
        <v>1.0878819</v>
      </c>
      <c r="I16" s="18" t="n">
        <v>0</v>
      </c>
      <c r="J16" s="20" t="n">
        <v>0</v>
      </c>
      <c r="K16" s="18" t="n">
        <v>0.56027973</v>
      </c>
      <c r="L16" s="20" t="n">
        <v>0.22270717</v>
      </c>
      <c r="M16" s="18" t="n">
        <v>0</v>
      </c>
      <c r="N16" s="20" t="n">
        <v>0</v>
      </c>
      <c r="O16" s="18" t="n">
        <v>0</v>
      </c>
      <c r="P16" s="20" t="n">
        <v>0</v>
      </c>
      <c r="Q16" s="18" t="n">
        <v>2.1065348</v>
      </c>
      <c r="R16" s="20" t="n">
        <v>0.34231405</v>
      </c>
    </row>
    <row r="17" spans="1:18">
      <c r="A17" s="15" t="s">
        <v>575</v>
      </c>
      <c r="B17" s="17" t="n">
        <v>6504</v>
      </c>
      <c r="C17" s="18">
        <f>(5118.0/B17*100)</f>
        <v/>
      </c>
      <c r="D17" s="19" t="n">
        <v>1386</v>
      </c>
      <c r="E17" s="18" t="n">
        <v>7.90599911</v>
      </c>
      <c r="F17" s="20" t="n">
        <v>0.75293979</v>
      </c>
      <c r="G17" s="18" t="n">
        <v>91.45676457</v>
      </c>
      <c r="H17" s="20" t="n">
        <v>0.81894257</v>
      </c>
      <c r="I17" s="18" t="n">
        <v>0</v>
      </c>
      <c r="J17" s="20" t="n">
        <v>0</v>
      </c>
      <c r="K17" s="18" t="n">
        <v>0.07095764</v>
      </c>
      <c r="L17" s="20" t="n">
        <v>0.07133749</v>
      </c>
      <c r="M17" s="18" t="n">
        <v>0</v>
      </c>
      <c r="N17" s="20" t="n">
        <v>0</v>
      </c>
      <c r="O17" s="18" t="n">
        <v>0</v>
      </c>
      <c r="P17" s="20" t="n">
        <v>0</v>
      </c>
      <c r="Q17" s="18" t="n">
        <v>0.56627869</v>
      </c>
      <c r="R17" s="20" t="n">
        <v>0.20935531</v>
      </c>
    </row>
    <row r="18" spans="1:18">
      <c r="A18" s="15" t="s">
        <v>576</v>
      </c>
      <c r="B18" s="17" t="n">
        <v>5532</v>
      </c>
      <c r="C18" s="18">
        <f>(4321.0/B18*100)</f>
        <v/>
      </c>
      <c r="D18" s="19" t="n">
        <v>1211</v>
      </c>
      <c r="E18" s="18" t="n">
        <v>10.78426574</v>
      </c>
      <c r="F18" s="20" t="n">
        <v>0.95965938</v>
      </c>
      <c r="G18" s="18" t="n">
        <v>87.02570432</v>
      </c>
      <c r="H18" s="20" t="n">
        <v>1.19895616</v>
      </c>
      <c r="I18" s="18" t="n">
        <v>0</v>
      </c>
      <c r="J18" s="20" t="n">
        <v>0</v>
      </c>
      <c r="K18" s="18" t="n">
        <v>0.11379313</v>
      </c>
      <c r="L18" s="20" t="n">
        <v>0.08150411</v>
      </c>
      <c r="M18" s="18" t="n">
        <v>0</v>
      </c>
      <c r="N18" s="20" t="n">
        <v>0</v>
      </c>
      <c r="O18" s="18" t="n">
        <v>0</v>
      </c>
      <c r="P18" s="20" t="n">
        <v>0</v>
      </c>
      <c r="Q18" s="18" t="n">
        <v>2.07623681</v>
      </c>
      <c r="R18" s="20" t="n">
        <v>0.5089785</v>
      </c>
    </row>
    <row r="19" spans="1:18">
      <c r="A19" s="15" t="s">
        <v>577</v>
      </c>
      <c r="B19" s="17" t="n">
        <v>5658</v>
      </c>
      <c r="C19" s="18">
        <f>(4374.0/B19*100)</f>
        <v/>
      </c>
      <c r="D19" s="19" t="n">
        <v>1284</v>
      </c>
      <c r="E19" s="18" t="n">
        <v>10.26027785</v>
      </c>
      <c r="F19" s="20" t="n">
        <v>1.10532204</v>
      </c>
      <c r="G19" s="18" t="n">
        <v>87.65570049</v>
      </c>
      <c r="H19" s="20" t="n">
        <v>1.24305864</v>
      </c>
      <c r="I19" s="18" t="n">
        <v>0</v>
      </c>
      <c r="J19" s="20" t="n">
        <v>0</v>
      </c>
      <c r="K19" s="18" t="n">
        <v>0.07190247</v>
      </c>
      <c r="L19" s="20" t="n">
        <v>0.06080082</v>
      </c>
      <c r="M19" s="18" t="n">
        <v>0</v>
      </c>
      <c r="N19" s="20" t="n">
        <v>0</v>
      </c>
      <c r="O19" s="18" t="n">
        <v>0</v>
      </c>
      <c r="P19" s="20" t="n">
        <v>0</v>
      </c>
      <c r="Q19" s="18" t="n">
        <v>2.01211919</v>
      </c>
      <c r="R19" s="20" t="n">
        <v>0.4412629</v>
      </c>
    </row>
    <row r="20" spans="1:18">
      <c r="A20" s="15" t="s">
        <v>578</v>
      </c>
      <c r="B20" s="17" t="n">
        <v>3371</v>
      </c>
      <c r="C20" s="18">
        <f>(2630.0/B20*100)</f>
        <v/>
      </c>
      <c r="D20" s="19" t="n">
        <v>741</v>
      </c>
      <c r="E20" s="18" t="n">
        <v>8.35155643</v>
      </c>
      <c r="F20" s="20" t="n">
        <v>0.92319015</v>
      </c>
      <c r="G20" s="18" t="n">
        <v>90.28471347999999</v>
      </c>
      <c r="H20" s="20" t="n">
        <v>1.05952569</v>
      </c>
      <c r="I20" s="18" t="n">
        <v>0</v>
      </c>
      <c r="J20" s="20" t="n">
        <v>0</v>
      </c>
      <c r="K20" s="18" t="n">
        <v>0.13198385</v>
      </c>
      <c r="L20" s="20" t="n">
        <v>0.13222865</v>
      </c>
      <c r="M20" s="18" t="n">
        <v>0</v>
      </c>
      <c r="N20" s="20" t="n">
        <v>0</v>
      </c>
      <c r="O20" s="18" t="n">
        <v>0</v>
      </c>
      <c r="P20" s="20" t="n">
        <v>0</v>
      </c>
      <c r="Q20" s="18" t="n">
        <v>1.23174623</v>
      </c>
      <c r="R20" s="20" t="n">
        <v>0.5014765799999999</v>
      </c>
    </row>
    <row r="21" spans="1:18">
      <c r="A21" s="15" t="s">
        <v>579</v>
      </c>
      <c r="B21" s="17" t="n">
        <v>5741</v>
      </c>
      <c r="C21" s="18">
        <f>(4488.0/B21*100)</f>
        <v/>
      </c>
      <c r="D21" s="19" t="n">
        <v>1253</v>
      </c>
      <c r="E21" s="18" t="n">
        <v>8.832061599999999</v>
      </c>
      <c r="F21" s="20" t="n">
        <v>0.91805112</v>
      </c>
      <c r="G21" s="18" t="n">
        <v>90.42318258</v>
      </c>
      <c r="H21" s="20" t="n">
        <v>0.92861642</v>
      </c>
      <c r="I21" s="18" t="n">
        <v>0</v>
      </c>
      <c r="J21" s="20" t="n">
        <v>0</v>
      </c>
      <c r="K21" s="18" t="n">
        <v>0.17883757</v>
      </c>
      <c r="L21" s="20" t="n">
        <v>0.10437317</v>
      </c>
      <c r="M21" s="18" t="n">
        <v>0</v>
      </c>
      <c r="N21" s="20" t="n">
        <v>0</v>
      </c>
      <c r="O21" s="18" t="n">
        <v>0</v>
      </c>
      <c r="P21" s="20" t="n">
        <v>0</v>
      </c>
      <c r="Q21" s="18" t="n">
        <v>0.56591826</v>
      </c>
      <c r="R21" s="20" t="n">
        <v>0.19335441</v>
      </c>
    </row>
    <row r="22" spans="1:18">
      <c r="A22" s="15" t="s">
        <v>580</v>
      </c>
      <c r="B22" s="17" t="n">
        <v>6598</v>
      </c>
      <c r="C22" s="18">
        <f>(5197.0/B22*100)</f>
        <v/>
      </c>
      <c r="D22" s="19" t="n">
        <v>1401</v>
      </c>
      <c r="E22" s="18" t="n">
        <v>12.07737836</v>
      </c>
      <c r="F22" s="20" t="n">
        <v>0.89888876</v>
      </c>
      <c r="G22" s="18" t="n">
        <v>85.31276644</v>
      </c>
      <c r="H22" s="20" t="n">
        <v>1.12509721</v>
      </c>
      <c r="I22" s="18" t="n">
        <v>0</v>
      </c>
      <c r="J22" s="20" t="n">
        <v>0</v>
      </c>
      <c r="K22" s="18" t="n">
        <v>0.33998652</v>
      </c>
      <c r="L22" s="20" t="n">
        <v>0.21131244</v>
      </c>
      <c r="M22" s="18" t="n">
        <v>0</v>
      </c>
      <c r="N22" s="20" t="n">
        <v>0</v>
      </c>
      <c r="O22" s="18" t="n">
        <v>0</v>
      </c>
      <c r="P22" s="20" t="n">
        <v>0</v>
      </c>
      <c r="Q22" s="18" t="n">
        <v>2.26986868</v>
      </c>
      <c r="R22" s="20" t="n">
        <v>0.50988494</v>
      </c>
    </row>
    <row r="23" spans="1:18">
      <c r="A23" s="15" t="s">
        <v>581</v>
      </c>
      <c r="B23" s="17" t="n">
        <v>11583</v>
      </c>
      <c r="C23" s="18">
        <f>(9000.0/B23*100)</f>
        <v/>
      </c>
      <c r="D23" s="19" t="n">
        <v>2583</v>
      </c>
      <c r="E23" s="18" t="n">
        <v>8.94594227</v>
      </c>
      <c r="F23" s="20" t="n">
        <v>0.78180721</v>
      </c>
      <c r="G23" s="18" t="n">
        <v>88.77269262</v>
      </c>
      <c r="H23" s="20" t="n">
        <v>1.01902589</v>
      </c>
      <c r="I23" s="18" t="n">
        <v>0</v>
      </c>
      <c r="J23" s="20" t="n">
        <v>0</v>
      </c>
      <c r="K23" s="18" t="n">
        <v>0.34262853</v>
      </c>
      <c r="L23" s="20" t="n">
        <v>0.21552393</v>
      </c>
      <c r="M23" s="18" t="n">
        <v>0</v>
      </c>
      <c r="N23" s="20" t="n">
        <v>0</v>
      </c>
      <c r="O23" s="18" t="n">
        <v>0</v>
      </c>
      <c r="P23" s="20" t="n">
        <v>0</v>
      </c>
      <c r="Q23" s="18" t="n">
        <v>1.93873658</v>
      </c>
      <c r="R23" s="20" t="n">
        <v>0.61023518</v>
      </c>
    </row>
    <row r="24" spans="1:18">
      <c r="A24" s="15" t="s">
        <v>582</v>
      </c>
      <c r="B24" s="17" t="n">
        <v>6647</v>
      </c>
      <c r="C24" s="18">
        <f>(5202.0/B24*100)</f>
        <v/>
      </c>
      <c r="D24" s="19" t="n">
        <v>1445</v>
      </c>
      <c r="E24" s="18" t="n">
        <v>9.16667722</v>
      </c>
      <c r="F24" s="20" t="n">
        <v>0.88859804</v>
      </c>
      <c r="G24" s="18" t="n">
        <v>89.94562487</v>
      </c>
      <c r="H24" s="20" t="n">
        <v>0.99483375</v>
      </c>
      <c r="I24" s="18" t="n">
        <v>0</v>
      </c>
      <c r="J24" s="20" t="n">
        <v>0</v>
      </c>
      <c r="K24" s="18" t="n">
        <v>0.11446762</v>
      </c>
      <c r="L24" s="20" t="n">
        <v>0.08240053999999999</v>
      </c>
      <c r="M24" s="18" t="n">
        <v>0</v>
      </c>
      <c r="N24" s="20" t="n">
        <v>0</v>
      </c>
      <c r="O24" s="18" t="n">
        <v>0</v>
      </c>
      <c r="P24" s="20" t="n">
        <v>0</v>
      </c>
      <c r="Q24" s="18" t="n">
        <v>0.77323029</v>
      </c>
      <c r="R24" s="20" t="n">
        <v>0.26105588</v>
      </c>
    </row>
    <row r="25" spans="1:18">
      <c r="A25" s="15" t="s">
        <v>583</v>
      </c>
      <c r="B25" s="17" t="n">
        <v>5581</v>
      </c>
      <c r="C25" s="18">
        <f>(4367.0/B25*100)</f>
        <v/>
      </c>
      <c r="D25" s="19" t="n">
        <v>1214</v>
      </c>
      <c r="E25" s="18" t="n">
        <v>9.588875</v>
      </c>
      <c r="F25" s="20" t="n">
        <v>0.93072732</v>
      </c>
      <c r="G25" s="18" t="n">
        <v>89.24705152</v>
      </c>
      <c r="H25" s="20" t="n">
        <v>0.89735067</v>
      </c>
      <c r="I25" s="18" t="n">
        <v>0</v>
      </c>
      <c r="J25" s="20" t="n">
        <v>0</v>
      </c>
      <c r="K25" s="18" t="n">
        <v>0</v>
      </c>
      <c r="L25" s="20" t="n">
        <v>0</v>
      </c>
      <c r="M25" s="18" t="n">
        <v>0</v>
      </c>
      <c r="N25" s="20" t="n">
        <v>0</v>
      </c>
      <c r="O25" s="18" t="n">
        <v>0</v>
      </c>
      <c r="P25" s="20" t="n">
        <v>0</v>
      </c>
      <c r="Q25" s="18" t="n">
        <v>1.16407348</v>
      </c>
      <c r="R25" s="20" t="n">
        <v>0.34749793</v>
      </c>
    </row>
    <row r="26" spans="1:18">
      <c r="A26" s="15" t="s">
        <v>584</v>
      </c>
      <c r="B26" s="17" t="n">
        <v>4869</v>
      </c>
      <c r="C26" s="18">
        <f>(3761.0/B26*100)</f>
        <v/>
      </c>
      <c r="D26" s="19" t="n">
        <v>1108</v>
      </c>
      <c r="E26" s="18" t="n">
        <v>8.057218949999999</v>
      </c>
      <c r="F26" s="20" t="n">
        <v>0.9236221999999999</v>
      </c>
      <c r="G26" s="18" t="n">
        <v>91.7135202</v>
      </c>
      <c r="H26" s="20" t="n">
        <v>0.93242671</v>
      </c>
      <c r="I26" s="18" t="n">
        <v>0</v>
      </c>
      <c r="J26" s="20" t="n">
        <v>0</v>
      </c>
      <c r="K26" s="18" t="n">
        <v>0</v>
      </c>
      <c r="L26" s="20" t="n">
        <v>0</v>
      </c>
      <c r="M26" s="18" t="n">
        <v>0</v>
      </c>
      <c r="N26" s="20" t="n">
        <v>0</v>
      </c>
      <c r="O26" s="18" t="n">
        <v>0</v>
      </c>
      <c r="P26" s="20" t="n">
        <v>0</v>
      </c>
      <c r="Q26" s="18" t="n">
        <v>0.22926085</v>
      </c>
      <c r="R26" s="20" t="n">
        <v>0.13010548</v>
      </c>
    </row>
    <row r="27" spans="1:18">
      <c r="A27" s="15" t="s">
        <v>585</v>
      </c>
      <c r="B27" s="17" t="n">
        <v>5299</v>
      </c>
      <c r="C27" s="18">
        <f>(4153.0/B27*100)</f>
        <v/>
      </c>
      <c r="D27" s="19" t="n">
        <v>1146</v>
      </c>
      <c r="E27" s="18" t="n">
        <v>8.409345650000001</v>
      </c>
      <c r="F27" s="20" t="n">
        <v>0.76041447</v>
      </c>
      <c r="G27" s="18" t="n">
        <v>90.71947412</v>
      </c>
      <c r="H27" s="20" t="n">
        <v>0.78834213</v>
      </c>
      <c r="I27" s="18" t="n">
        <v>0</v>
      </c>
      <c r="J27" s="20" t="n">
        <v>0</v>
      </c>
      <c r="K27" s="18" t="n">
        <v>0</v>
      </c>
      <c r="L27" s="20" t="n">
        <v>0</v>
      </c>
      <c r="M27" s="18" t="n">
        <v>0</v>
      </c>
      <c r="N27" s="20" t="n">
        <v>0</v>
      </c>
      <c r="O27" s="18" t="n">
        <v>0</v>
      </c>
      <c r="P27" s="20" t="n">
        <v>0</v>
      </c>
      <c r="Q27" s="18" t="n">
        <v>0.8711802199999999</v>
      </c>
      <c r="R27" s="20" t="n">
        <v>0.27345173</v>
      </c>
    </row>
    <row r="28" spans="1:18">
      <c r="A28" s="15" t="s">
        <v>586</v>
      </c>
      <c r="B28" s="17" t="n">
        <v>7568</v>
      </c>
      <c r="C28" s="18">
        <f>(5928.0/B28*100)</f>
        <v/>
      </c>
      <c r="D28" s="19" t="n">
        <v>1640</v>
      </c>
      <c r="E28" s="18" t="n">
        <v>11.66758868</v>
      </c>
      <c r="F28" s="20" t="n">
        <v>1.09564503</v>
      </c>
      <c r="G28" s="18" t="n">
        <v>84.09699189</v>
      </c>
      <c r="H28" s="20" t="n">
        <v>1.2887405</v>
      </c>
      <c r="I28" s="18" t="n">
        <v>0</v>
      </c>
      <c r="J28" s="20" t="n">
        <v>0</v>
      </c>
      <c r="K28" s="18" t="n">
        <v>0.22989415</v>
      </c>
      <c r="L28" s="20" t="n">
        <v>0.13602428</v>
      </c>
      <c r="M28" s="18" t="n">
        <v>0</v>
      </c>
      <c r="N28" s="20" t="n">
        <v>0</v>
      </c>
      <c r="O28" s="18" t="n">
        <v>0</v>
      </c>
      <c r="P28" s="20" t="n">
        <v>0</v>
      </c>
      <c r="Q28" s="18" t="n">
        <v>4.00552528</v>
      </c>
      <c r="R28" s="20" t="n">
        <v>0.62501715</v>
      </c>
    </row>
    <row r="29" spans="1:18">
      <c r="A29" s="15" t="s">
        <v>587</v>
      </c>
      <c r="B29" s="17" t="n">
        <v>5385</v>
      </c>
      <c r="C29" s="18">
        <f>(4212.0/B29*100)</f>
        <v/>
      </c>
      <c r="D29" s="19" t="n">
        <v>1173</v>
      </c>
      <c r="E29" s="18" t="n">
        <v>8.889293479999999</v>
      </c>
      <c r="F29" s="20" t="n">
        <v>1.04234489</v>
      </c>
      <c r="G29" s="18" t="n">
        <v>90.51017859</v>
      </c>
      <c r="H29" s="20" t="n">
        <v>1.111728</v>
      </c>
      <c r="I29" s="18" t="n">
        <v>0</v>
      </c>
      <c r="J29" s="20" t="n">
        <v>0</v>
      </c>
      <c r="K29" s="18" t="n">
        <v>0.2666919</v>
      </c>
      <c r="L29" s="20" t="n">
        <v>0.08462612999999999</v>
      </c>
      <c r="M29" s="18" t="n">
        <v>0</v>
      </c>
      <c r="N29" s="20" t="n">
        <v>0</v>
      </c>
      <c r="O29" s="18" t="n">
        <v>0</v>
      </c>
      <c r="P29" s="20" t="n">
        <v>0</v>
      </c>
      <c r="Q29" s="18" t="n">
        <v>0.33383603</v>
      </c>
      <c r="R29" s="20" t="n">
        <v>0.16824847</v>
      </c>
    </row>
    <row r="30" spans="1:18">
      <c r="A30" s="15" t="s">
        <v>588</v>
      </c>
      <c r="B30" s="17" t="n">
        <v>4520</v>
      </c>
      <c r="C30" s="18">
        <f>(3542.0/B30*100)</f>
        <v/>
      </c>
      <c r="D30" s="19" t="n">
        <v>978</v>
      </c>
      <c r="E30" s="18" t="n">
        <v>7.18414668</v>
      </c>
      <c r="F30" s="20" t="n">
        <v>0.90169416</v>
      </c>
      <c r="G30" s="18" t="n">
        <v>91.57747288</v>
      </c>
      <c r="H30" s="20" t="n">
        <v>0.95381566</v>
      </c>
      <c r="I30" s="18" t="n">
        <v>0</v>
      </c>
      <c r="J30" s="20" t="n">
        <v>0</v>
      </c>
      <c r="K30" s="18" t="n">
        <v>0.09768092</v>
      </c>
      <c r="L30" s="20" t="n">
        <v>0.0841582</v>
      </c>
      <c r="M30" s="18" t="n">
        <v>0</v>
      </c>
      <c r="N30" s="20" t="n">
        <v>0</v>
      </c>
      <c r="O30" s="18" t="n">
        <v>0</v>
      </c>
      <c r="P30" s="20" t="n">
        <v>0</v>
      </c>
      <c r="Q30" s="18" t="n">
        <v>1.14069952</v>
      </c>
      <c r="R30" s="20" t="n">
        <v>0.40950958</v>
      </c>
    </row>
    <row r="31" spans="1:18">
      <c r="A31" s="15" t="s">
        <v>589</v>
      </c>
      <c r="B31" s="17" t="n">
        <v>5456</v>
      </c>
      <c r="C31" s="18">
        <f>(4274.0/B31*100)</f>
        <v/>
      </c>
      <c r="D31" s="19" t="n">
        <v>1182</v>
      </c>
      <c r="E31" s="18" t="n">
        <v>9.67929724</v>
      </c>
      <c r="F31" s="20" t="n">
        <v>0.86466433</v>
      </c>
      <c r="G31" s="18" t="n">
        <v>89.47443208</v>
      </c>
      <c r="H31" s="20" t="n">
        <v>0.8884834</v>
      </c>
      <c r="I31" s="18" t="n">
        <v>0</v>
      </c>
      <c r="J31" s="20" t="n">
        <v>0</v>
      </c>
      <c r="K31" s="18" t="n">
        <v>0.39503294</v>
      </c>
      <c r="L31" s="20" t="n">
        <v>0.17677845</v>
      </c>
      <c r="M31" s="18" t="n">
        <v>0</v>
      </c>
      <c r="N31" s="20" t="n">
        <v>0</v>
      </c>
      <c r="O31" s="18" t="n">
        <v>0</v>
      </c>
      <c r="P31" s="20" t="n">
        <v>0</v>
      </c>
      <c r="Q31" s="18" t="n">
        <v>0.45123773</v>
      </c>
      <c r="R31" s="20" t="n">
        <v>0.19310194</v>
      </c>
    </row>
    <row r="32" spans="1:18">
      <c r="A32" s="15" t="s">
        <v>590</v>
      </c>
      <c r="B32" s="17" t="n">
        <v>4478</v>
      </c>
      <c r="C32" s="18">
        <f>(3533.0/B32*100)</f>
        <v/>
      </c>
      <c r="D32" s="19" t="n">
        <v>945</v>
      </c>
      <c r="E32" s="18" t="n">
        <v>7.87537144</v>
      </c>
      <c r="F32" s="20" t="n">
        <v>0.89893789</v>
      </c>
      <c r="G32" s="18" t="n">
        <v>91.33759549</v>
      </c>
      <c r="H32" s="20" t="n">
        <v>0.96449383</v>
      </c>
      <c r="I32" s="18" t="n">
        <v>0</v>
      </c>
      <c r="J32" s="20" t="n">
        <v>0</v>
      </c>
      <c r="K32" s="18" t="n">
        <v>0</v>
      </c>
      <c r="L32" s="20" t="n">
        <v>0</v>
      </c>
      <c r="M32" s="18" t="n">
        <v>0</v>
      </c>
      <c r="N32" s="20" t="n">
        <v>0</v>
      </c>
      <c r="O32" s="18" t="n">
        <v>0</v>
      </c>
      <c r="P32" s="20" t="n">
        <v>0</v>
      </c>
      <c r="Q32" s="18" t="n">
        <v>0.7870330800000001</v>
      </c>
      <c r="R32" s="20" t="n">
        <v>0.26907895</v>
      </c>
    </row>
    <row r="33" spans="1:18">
      <c r="A33" s="15" t="s">
        <v>591</v>
      </c>
      <c r="B33" s="17" t="n">
        <v>7325</v>
      </c>
      <c r="C33" s="18">
        <f>(5685.0/B33*100)</f>
        <v/>
      </c>
      <c r="D33" s="19" t="n">
        <v>1640</v>
      </c>
      <c r="E33" s="18" t="n">
        <v>8.254759330000001</v>
      </c>
      <c r="F33" s="20" t="n">
        <v>0.93030786</v>
      </c>
      <c r="G33" s="18" t="n">
        <v>91.39591469</v>
      </c>
      <c r="H33" s="20" t="n">
        <v>0.94204416</v>
      </c>
      <c r="I33" s="18" t="n">
        <v>0</v>
      </c>
      <c r="J33" s="20" t="n">
        <v>0</v>
      </c>
      <c r="K33" s="18" t="n">
        <v>0</v>
      </c>
      <c r="L33" s="20" t="n">
        <v>0</v>
      </c>
      <c r="M33" s="18" t="n">
        <v>0</v>
      </c>
      <c r="N33" s="20" t="n">
        <v>0</v>
      </c>
      <c r="O33" s="18" t="n">
        <v>0</v>
      </c>
      <c r="P33" s="20" t="n">
        <v>0</v>
      </c>
      <c r="Q33" s="18" t="n">
        <v>0.34932597</v>
      </c>
      <c r="R33" s="20" t="n">
        <v>0.15323188</v>
      </c>
    </row>
    <row r="34" spans="1:18">
      <c r="A34" s="15" t="s">
        <v>592</v>
      </c>
      <c r="B34" s="17" t="n">
        <v>6350</v>
      </c>
      <c r="C34" s="18">
        <f>(4981.0/B34*100)</f>
        <v/>
      </c>
      <c r="D34" s="19" t="n">
        <v>1369</v>
      </c>
      <c r="E34" s="18" t="n">
        <v>9.371680749999999</v>
      </c>
      <c r="F34" s="20" t="n">
        <v>0.86249877</v>
      </c>
      <c r="G34" s="18" t="n">
        <v>87.88059078000001</v>
      </c>
      <c r="H34" s="20" t="n">
        <v>0.90189335</v>
      </c>
      <c r="I34" s="18" t="n">
        <v>0</v>
      </c>
      <c r="J34" s="20" t="n">
        <v>0</v>
      </c>
      <c r="K34" s="18" t="n">
        <v>0</v>
      </c>
      <c r="L34" s="20" t="n">
        <v>0</v>
      </c>
      <c r="M34" s="18" t="n">
        <v>0</v>
      </c>
      <c r="N34" s="20" t="n">
        <v>0</v>
      </c>
      <c r="O34" s="18" t="n">
        <v>0</v>
      </c>
      <c r="P34" s="20" t="n">
        <v>0</v>
      </c>
      <c r="Q34" s="18" t="n">
        <v>2.74772847</v>
      </c>
      <c r="R34" s="20" t="n">
        <v>0.52392497</v>
      </c>
    </row>
    <row r="35" spans="1:18">
      <c r="A35" s="15" t="s">
        <v>593</v>
      </c>
      <c r="B35" s="17" t="n">
        <v>6406</v>
      </c>
      <c r="C35" s="18">
        <f>(4975.0/B35*100)</f>
        <v/>
      </c>
      <c r="D35" s="19" t="n">
        <v>1431</v>
      </c>
      <c r="E35" s="18" t="n">
        <v>6.73286237</v>
      </c>
      <c r="F35" s="20" t="n">
        <v>0.83549199</v>
      </c>
      <c r="G35" s="18" t="n">
        <v>92.51686976000001</v>
      </c>
      <c r="H35" s="20" t="n">
        <v>0.86652759</v>
      </c>
      <c r="I35" s="18" t="n">
        <v>0</v>
      </c>
      <c r="J35" s="20" t="n">
        <v>0</v>
      </c>
      <c r="K35" s="18" t="n">
        <v>0.03354668</v>
      </c>
      <c r="L35" s="20" t="n">
        <v>0.03364537</v>
      </c>
      <c r="M35" s="18" t="n">
        <v>0</v>
      </c>
      <c r="N35" s="20" t="n">
        <v>0</v>
      </c>
      <c r="O35" s="18" t="n">
        <v>0</v>
      </c>
      <c r="P35" s="20" t="n">
        <v>0</v>
      </c>
      <c r="Q35" s="18" t="n">
        <v>0.71672118</v>
      </c>
      <c r="R35" s="20" t="n">
        <v>0.2152939</v>
      </c>
    </row>
    <row r="36" spans="1:18">
      <c r="A36" s="15" t="s">
        <v>594</v>
      </c>
      <c r="B36" s="17" t="n">
        <v>6736</v>
      </c>
      <c r="C36" s="18">
        <f>(5228.0/B36*100)</f>
        <v/>
      </c>
      <c r="D36" s="19" t="n">
        <v>1508</v>
      </c>
      <c r="E36" s="18" t="n">
        <v>6.39101331</v>
      </c>
      <c r="F36" s="20" t="n">
        <v>0.65967902</v>
      </c>
      <c r="G36" s="18" t="n">
        <v>91.74840571999999</v>
      </c>
      <c r="H36" s="20" t="n">
        <v>0.80319397</v>
      </c>
      <c r="I36" s="18" t="n">
        <v>0</v>
      </c>
      <c r="J36" s="20" t="n">
        <v>0</v>
      </c>
      <c r="K36" s="18" t="n">
        <v>0.18740359</v>
      </c>
      <c r="L36" s="20" t="n">
        <v>0.14090098</v>
      </c>
      <c r="M36" s="18" t="n">
        <v>0</v>
      </c>
      <c r="N36" s="20" t="n">
        <v>0</v>
      </c>
      <c r="O36" s="18" t="n">
        <v>0</v>
      </c>
      <c r="P36" s="20" t="n">
        <v>0</v>
      </c>
      <c r="Q36" s="18" t="n">
        <v>1.67317738</v>
      </c>
      <c r="R36" s="20" t="n">
        <v>0.41124778</v>
      </c>
    </row>
    <row r="37" spans="1:18">
      <c r="A37" s="15" t="s">
        <v>595</v>
      </c>
      <c r="B37" s="17" t="n">
        <v>5458</v>
      </c>
      <c r="C37" s="18">
        <f>(4252.0/B37*100)</f>
        <v/>
      </c>
      <c r="D37" s="19" t="n">
        <v>1206</v>
      </c>
      <c r="E37" s="18" t="n">
        <v>8.08378514</v>
      </c>
      <c r="F37" s="20" t="n">
        <v>0.83764817</v>
      </c>
      <c r="G37" s="18" t="n">
        <v>89.18436515</v>
      </c>
      <c r="H37" s="20" t="n">
        <v>0.94318773</v>
      </c>
      <c r="I37" s="18" t="n">
        <v>0</v>
      </c>
      <c r="J37" s="20" t="n">
        <v>0</v>
      </c>
      <c r="K37" s="18" t="n">
        <v>0.4231449</v>
      </c>
      <c r="L37" s="20" t="n">
        <v>0.18456081</v>
      </c>
      <c r="M37" s="18" t="n">
        <v>0</v>
      </c>
      <c r="N37" s="20" t="n">
        <v>0</v>
      </c>
      <c r="O37" s="18" t="n">
        <v>0</v>
      </c>
      <c r="P37" s="20" t="n">
        <v>0</v>
      </c>
      <c r="Q37" s="18" t="n">
        <v>2.30870481</v>
      </c>
      <c r="R37" s="20" t="n">
        <v>0.43703451</v>
      </c>
    </row>
    <row r="38" spans="1:18">
      <c r="A38" s="15" t="s">
        <v>596</v>
      </c>
      <c r="B38" s="17" t="n">
        <v>5860</v>
      </c>
      <c r="C38" s="18">
        <f>(4502.0/B38*100)</f>
        <v/>
      </c>
      <c r="D38" s="19" t="n">
        <v>1358</v>
      </c>
      <c r="E38" s="18" t="n">
        <v>8.043300049999999</v>
      </c>
      <c r="F38" s="20" t="n">
        <v>1.08329256</v>
      </c>
      <c r="G38" s="18" t="n">
        <v>91.40303434</v>
      </c>
      <c r="H38" s="20" t="n">
        <v>1.0957355</v>
      </c>
      <c r="I38" s="18" t="n">
        <v>0</v>
      </c>
      <c r="J38" s="20" t="n">
        <v>0</v>
      </c>
      <c r="K38" s="18" t="n">
        <v>0</v>
      </c>
      <c r="L38" s="20" t="n">
        <v>0</v>
      </c>
      <c r="M38" s="18" t="n">
        <v>0</v>
      </c>
      <c r="N38" s="20" t="n">
        <v>0</v>
      </c>
      <c r="O38" s="18" t="n">
        <v>0</v>
      </c>
      <c r="P38" s="20" t="n">
        <v>0</v>
      </c>
      <c r="Q38" s="18" t="n">
        <v>0.55366561</v>
      </c>
      <c r="R38" s="20" t="n">
        <v>0.20673471</v>
      </c>
    </row>
    <row r="39" spans="1:18">
      <c r="A39" s="15" t="s">
        <v>597</v>
      </c>
      <c r="B39" s="17" t="n">
        <v>5895</v>
      </c>
      <c r="C39" s="18">
        <f>(4591.0/B39*100)</f>
        <v/>
      </c>
      <c r="D39" s="19" t="n">
        <v>1304</v>
      </c>
      <c r="E39" s="18" t="n">
        <v>20.62613781</v>
      </c>
      <c r="F39" s="20" t="n">
        <v>1.3058484</v>
      </c>
      <c r="G39" s="18" t="n">
        <v>77.29086918</v>
      </c>
      <c r="H39" s="20" t="n">
        <v>1.31926574</v>
      </c>
      <c r="I39" s="18" t="n">
        <v>0</v>
      </c>
      <c r="J39" s="20" t="n">
        <v>0</v>
      </c>
      <c r="K39" s="18" t="n">
        <v>0.17012167</v>
      </c>
      <c r="L39" s="20" t="n">
        <v>0.12143719</v>
      </c>
      <c r="M39" s="18" t="n">
        <v>0</v>
      </c>
      <c r="N39" s="20" t="n">
        <v>0</v>
      </c>
      <c r="O39" s="18" t="n">
        <v>0</v>
      </c>
      <c r="P39" s="20" t="n">
        <v>0</v>
      </c>
      <c r="Q39" s="18" t="n">
        <v>1.91287134</v>
      </c>
      <c r="R39" s="20" t="n">
        <v>0.4824743</v>
      </c>
    </row>
    <row r="40" spans="1:18">
      <c r="A40" s="15" t="s">
        <v>598</v>
      </c>
      <c r="B40" s="17" t="n">
        <v>14157</v>
      </c>
      <c r="C40" s="18">
        <f>(10973.0/B40*100)</f>
        <v/>
      </c>
      <c r="D40" s="19" t="n">
        <v>3184</v>
      </c>
      <c r="E40" s="18" t="n">
        <v>9.382842849999999</v>
      </c>
      <c r="F40" s="20" t="n">
        <v>0.9012982899999999</v>
      </c>
      <c r="G40" s="18" t="n">
        <v>89.8347321</v>
      </c>
      <c r="H40" s="20" t="n">
        <v>0.96469847</v>
      </c>
      <c r="I40" s="18" t="n">
        <v>0</v>
      </c>
      <c r="J40" s="20" t="n">
        <v>0</v>
      </c>
      <c r="K40" s="18" t="n">
        <v>0.05969383</v>
      </c>
      <c r="L40" s="20" t="n">
        <v>0.0566278</v>
      </c>
      <c r="M40" s="18" t="n">
        <v>0</v>
      </c>
      <c r="N40" s="20" t="n">
        <v>0</v>
      </c>
      <c r="O40" s="18" t="n">
        <v>0</v>
      </c>
      <c r="P40" s="20" t="n">
        <v>0</v>
      </c>
      <c r="Q40" s="18" t="n">
        <v>0.72273122</v>
      </c>
      <c r="R40" s="20" t="n">
        <v>0.24836117</v>
      </c>
    </row>
    <row r="41" spans="1:18">
      <c r="A41" s="15" t="s">
        <v>599</v>
      </c>
      <c r="B41" s="17" t="n">
        <v>5712</v>
      </c>
      <c r="C41" s="18">
        <f>(4504.0/B41*100)</f>
        <v/>
      </c>
      <c r="D41" s="19" t="n">
        <v>1208</v>
      </c>
      <c r="E41" s="18" t="n">
        <v>7.567785</v>
      </c>
      <c r="F41" s="20" t="n">
        <v>0.91031012</v>
      </c>
      <c r="G41" s="18" t="n">
        <v>91.07770001999999</v>
      </c>
      <c r="H41" s="20" t="n">
        <v>0.9190691600000001</v>
      </c>
      <c r="I41" s="18" t="n">
        <v>0</v>
      </c>
      <c r="J41" s="20" t="n">
        <v>0</v>
      </c>
      <c r="K41" s="18" t="n">
        <v>0.11282029</v>
      </c>
      <c r="L41" s="20" t="n">
        <v>0.09224483</v>
      </c>
      <c r="M41" s="18" t="n">
        <v>0</v>
      </c>
      <c r="N41" s="20" t="n">
        <v>0</v>
      </c>
      <c r="O41" s="18" t="n">
        <v>0</v>
      </c>
      <c r="P41" s="20" t="n">
        <v>0</v>
      </c>
      <c r="Q41" s="18" t="n">
        <v>1.2416947</v>
      </c>
      <c r="R41" s="20" t="n">
        <v>0.30308324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(18446.0/B46*100)</f>
        <v/>
      </c>
      <c r="D46" s="19" t="n">
        <v>4695</v>
      </c>
      <c r="E46" s="18" t="n">
        <v>15.04294929</v>
      </c>
      <c r="F46" s="20" t="n">
        <v>0.71416928</v>
      </c>
      <c r="G46" s="18" t="n">
        <v>77.00946607</v>
      </c>
      <c r="H46" s="20" t="n">
        <v>0.92023587</v>
      </c>
      <c r="I46" s="18" t="n">
        <v>0</v>
      </c>
      <c r="J46" s="20" t="n">
        <v>0</v>
      </c>
      <c r="K46" s="18" t="n">
        <v>0.65709067</v>
      </c>
      <c r="L46" s="20" t="n">
        <v>0.21272435</v>
      </c>
      <c r="M46" s="18" t="n">
        <v>0</v>
      </c>
      <c r="N46" s="20" t="n">
        <v>0</v>
      </c>
      <c r="O46" s="18" t="n">
        <v>0</v>
      </c>
      <c r="P46" s="20" t="n">
        <v>0</v>
      </c>
      <c r="Q46" s="18" t="n">
        <v>7.29049398</v>
      </c>
      <c r="R46" s="20" t="n">
        <v>0.5810989</v>
      </c>
    </row>
    <row r="47" spans="1:18">
      <c r="A47" s="15" t="s">
        <v>606</v>
      </c>
      <c r="B47" s="17" t="n">
        <v>5928</v>
      </c>
      <c r="C47" s="18">
        <f>(4616.0/B47*100)</f>
        <v/>
      </c>
      <c r="D47" s="19" t="n">
        <v>1312</v>
      </c>
      <c r="E47" s="18" t="n">
        <v>11.09650615</v>
      </c>
      <c r="F47" s="20" t="n">
        <v>0.89929669</v>
      </c>
      <c r="G47" s="18" t="n">
        <v>83.1297706</v>
      </c>
      <c r="H47" s="20" t="n">
        <v>1.26306277</v>
      </c>
      <c r="I47" s="18" t="n">
        <v>0</v>
      </c>
      <c r="J47" s="20" t="n">
        <v>0</v>
      </c>
      <c r="K47" s="18" t="n">
        <v>0.45218602</v>
      </c>
      <c r="L47" s="20" t="n">
        <v>0.19744439</v>
      </c>
      <c r="M47" s="18" t="n">
        <v>0</v>
      </c>
      <c r="N47" s="20" t="n">
        <v>0</v>
      </c>
      <c r="O47" s="18" t="n">
        <v>0</v>
      </c>
      <c r="P47" s="20" t="n">
        <v>0</v>
      </c>
      <c r="Q47" s="18" t="n">
        <v>5.32153723</v>
      </c>
      <c r="R47" s="20" t="n">
        <v>0.72670925</v>
      </c>
    </row>
    <row r="48" spans="1:18">
      <c r="A48" s="15" t="s">
        <v>607</v>
      </c>
      <c r="B48" s="17" t="n">
        <v>9841</v>
      </c>
      <c r="C48" s="18">
        <f>(7687.0/B48*100)</f>
        <v/>
      </c>
      <c r="D48" s="19" t="n">
        <v>2154</v>
      </c>
      <c r="E48" s="18" t="n">
        <v>8.656114430000001</v>
      </c>
      <c r="F48" s="20" t="n">
        <v>0.87123144</v>
      </c>
      <c r="G48" s="18" t="n">
        <v>88.87152207</v>
      </c>
      <c r="H48" s="20" t="n">
        <v>1.0701784</v>
      </c>
      <c r="I48" s="18" t="n">
        <v>0</v>
      </c>
      <c r="J48" s="20" t="n">
        <v>0</v>
      </c>
      <c r="K48" s="18" t="n">
        <v>0.43561097</v>
      </c>
      <c r="L48" s="20" t="n">
        <v>0.17833629</v>
      </c>
      <c r="M48" s="18" t="n">
        <v>0</v>
      </c>
      <c r="N48" s="20" t="n">
        <v>0</v>
      </c>
      <c r="O48" s="18" t="n">
        <v>0</v>
      </c>
      <c r="P48" s="20" t="n">
        <v>0</v>
      </c>
      <c r="Q48" s="18" t="n">
        <v>2.03675252</v>
      </c>
      <c r="R48" s="20" t="n">
        <v>0.39973292</v>
      </c>
    </row>
    <row r="49" spans="1:18">
      <c r="A49" s="15" t="s">
        <v>608</v>
      </c>
      <c r="B49" s="17" t="n">
        <v>11795</v>
      </c>
      <c r="C49" s="18">
        <f>(9199.0/B49*100)</f>
        <v/>
      </c>
      <c r="D49" s="19" t="n">
        <v>2596</v>
      </c>
      <c r="E49" s="18" t="n">
        <v>11.43747823</v>
      </c>
      <c r="F49" s="20" t="n">
        <v>0.84887846</v>
      </c>
      <c r="G49" s="18" t="n">
        <v>84.22162919</v>
      </c>
      <c r="H49" s="20" t="n">
        <v>1.22638708</v>
      </c>
      <c r="I49" s="18" t="n">
        <v>0</v>
      </c>
      <c r="J49" s="20" t="n">
        <v>0</v>
      </c>
      <c r="K49" s="18" t="n">
        <v>0.5067189</v>
      </c>
      <c r="L49" s="20" t="n">
        <v>0.19753162</v>
      </c>
      <c r="M49" s="18" t="n">
        <v>0</v>
      </c>
      <c r="N49" s="20" t="n">
        <v>0</v>
      </c>
      <c r="O49" s="18" t="n">
        <v>0</v>
      </c>
      <c r="P49" s="20" t="n">
        <v>0</v>
      </c>
      <c r="Q49" s="18" t="n">
        <v>3.83417368</v>
      </c>
      <c r="R49" s="20" t="n">
        <v>0.63007683</v>
      </c>
    </row>
    <row r="50" spans="1:18">
      <c r="A50" s="15" t="s">
        <v>609</v>
      </c>
      <c r="B50" s="17" t="n">
        <v>6866</v>
      </c>
      <c r="C50" s="18">
        <f>(5524.0/B50*100)</f>
        <v/>
      </c>
      <c r="D50" s="19" t="n">
        <v>1342</v>
      </c>
      <c r="E50" s="18" t="n">
        <v>12.52344453</v>
      </c>
      <c r="F50" s="20" t="n">
        <v>0.99529471</v>
      </c>
      <c r="G50" s="18" t="n">
        <v>85.27135045999999</v>
      </c>
      <c r="H50" s="20" t="n">
        <v>1.05024757</v>
      </c>
      <c r="I50" s="18" t="n">
        <v>0</v>
      </c>
      <c r="J50" s="20" t="n">
        <v>0</v>
      </c>
      <c r="K50" s="18" t="n">
        <v>0.244886</v>
      </c>
      <c r="L50" s="20" t="n">
        <v>0.14352062</v>
      </c>
      <c r="M50" s="18" t="n">
        <v>0</v>
      </c>
      <c r="N50" s="20" t="n">
        <v>0</v>
      </c>
      <c r="O50" s="18" t="n">
        <v>0</v>
      </c>
      <c r="P50" s="20" t="n">
        <v>0</v>
      </c>
      <c r="Q50" s="18" t="n">
        <v>1.96031901</v>
      </c>
      <c r="R50" s="20" t="n">
        <v>0.42798402</v>
      </c>
    </row>
    <row r="51" spans="1:18">
      <c r="A51" s="15" t="s">
        <v>610</v>
      </c>
      <c r="B51" s="17" t="n">
        <v>5809</v>
      </c>
      <c r="C51" s="18">
        <f>(4538.0/B51*100)</f>
        <v/>
      </c>
      <c r="D51" s="19" t="n">
        <v>1271</v>
      </c>
      <c r="E51" s="18" t="n">
        <v>7.41279995</v>
      </c>
      <c r="F51" s="20" t="n">
        <v>0.73108856</v>
      </c>
      <c r="G51" s="18" t="n">
        <v>90.99898086</v>
      </c>
      <c r="H51" s="20" t="n">
        <v>0.82226992</v>
      </c>
      <c r="I51" s="18" t="n">
        <v>0</v>
      </c>
      <c r="J51" s="20" t="n">
        <v>0</v>
      </c>
      <c r="K51" s="18" t="n">
        <v>0.08001912999999999</v>
      </c>
      <c r="L51" s="20" t="n">
        <v>0.07831767000000001</v>
      </c>
      <c r="M51" s="18" t="n">
        <v>0</v>
      </c>
      <c r="N51" s="20" t="n">
        <v>0</v>
      </c>
      <c r="O51" s="18" t="n">
        <v>0</v>
      </c>
      <c r="P51" s="20" t="n">
        <v>0</v>
      </c>
      <c r="Q51" s="18" t="n">
        <v>1.50820006</v>
      </c>
      <c r="R51" s="20" t="n">
        <v>0.3846498</v>
      </c>
    </row>
    <row r="52" spans="1:18">
      <c r="A52" s="15" t="s">
        <v>611</v>
      </c>
      <c r="B52" s="17" t="n">
        <v>5571</v>
      </c>
      <c r="C52" s="18">
        <f>(4337.0/B52*100)</f>
        <v/>
      </c>
      <c r="D52" s="19" t="n">
        <v>1234</v>
      </c>
      <c r="E52" s="18" t="n">
        <v>15.38833439</v>
      </c>
      <c r="F52" s="20" t="n">
        <v>0.96790707</v>
      </c>
      <c r="G52" s="18" t="n">
        <v>81.76558341</v>
      </c>
      <c r="H52" s="20" t="n">
        <v>1.05526255</v>
      </c>
      <c r="I52" s="18" t="n">
        <v>0</v>
      </c>
      <c r="J52" s="20" t="n">
        <v>0</v>
      </c>
      <c r="K52" s="18" t="n">
        <v>0.1065723</v>
      </c>
      <c r="L52" s="20" t="n">
        <v>0.10670806</v>
      </c>
      <c r="M52" s="18" t="n">
        <v>0</v>
      </c>
      <c r="N52" s="20" t="n">
        <v>0</v>
      </c>
      <c r="O52" s="18" t="n">
        <v>0</v>
      </c>
      <c r="P52" s="20" t="n">
        <v>0</v>
      </c>
      <c r="Q52" s="18" t="n">
        <v>2.73950991</v>
      </c>
      <c r="R52" s="20" t="n">
        <v>0.40130464</v>
      </c>
    </row>
    <row r="53" spans="1:18">
      <c r="A53" s="15" t="s">
        <v>612</v>
      </c>
      <c r="B53" s="17" t="n">
        <v>4740</v>
      </c>
      <c r="C53" s="18">
        <f>(3675.0/B53*100)</f>
        <v/>
      </c>
      <c r="D53" s="19" t="n">
        <v>1065</v>
      </c>
      <c r="E53" s="18" t="n">
        <v>23.25533438</v>
      </c>
      <c r="F53" s="20" t="n">
        <v>1.36767678</v>
      </c>
      <c r="G53" s="18" t="n">
        <v>57.66207302</v>
      </c>
      <c r="H53" s="20" t="n">
        <v>1.68921486</v>
      </c>
      <c r="I53" s="18" t="n">
        <v>0</v>
      </c>
      <c r="J53" s="20" t="n">
        <v>0</v>
      </c>
      <c r="K53" s="18" t="n">
        <v>4.46216381</v>
      </c>
      <c r="L53" s="20" t="n">
        <v>0.64391274</v>
      </c>
      <c r="M53" s="18" t="n">
        <v>0</v>
      </c>
      <c r="N53" s="20" t="n">
        <v>0</v>
      </c>
      <c r="O53" s="18" t="n">
        <v>0</v>
      </c>
      <c r="P53" s="20" t="n">
        <v>0</v>
      </c>
      <c r="Q53" s="18" t="n">
        <v>14.6204288</v>
      </c>
      <c r="R53" s="20" t="n">
        <v>1.40445216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(4156.0/B55*100)</f>
        <v/>
      </c>
      <c r="D55" s="19" t="n">
        <v>1203</v>
      </c>
      <c r="E55" s="18" t="n">
        <v>6.99791226</v>
      </c>
      <c r="F55" s="20" t="n">
        <v>0.7545911</v>
      </c>
      <c r="G55" s="18" t="n">
        <v>92.19268346</v>
      </c>
      <c r="H55" s="20" t="n">
        <v>0.80861798</v>
      </c>
      <c r="I55" s="18" t="n">
        <v>0</v>
      </c>
      <c r="J55" s="20" t="n">
        <v>0</v>
      </c>
      <c r="K55" s="18" t="n">
        <v>0.0711677</v>
      </c>
      <c r="L55" s="20" t="n">
        <v>0.07123458000000001</v>
      </c>
      <c r="M55" s="18" t="n">
        <v>0</v>
      </c>
      <c r="N55" s="20" t="n">
        <v>0</v>
      </c>
      <c r="O55" s="18" t="n">
        <v>0</v>
      </c>
      <c r="P55" s="20" t="n">
        <v>0</v>
      </c>
      <c r="Q55" s="18" t="n">
        <v>0.73823658</v>
      </c>
      <c r="R55" s="20" t="n">
        <v>0.24253769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(5087.0/B61*100)</f>
        <v/>
      </c>
      <c r="D61" s="19" t="n">
        <v>1438</v>
      </c>
      <c r="E61" s="18" t="n">
        <v>7.98539655</v>
      </c>
      <c r="F61" s="20" t="n">
        <v>0.7890332799999999</v>
      </c>
      <c r="G61" s="18" t="n">
        <v>90.69344108999999</v>
      </c>
      <c r="H61" s="20" t="n">
        <v>0.86027283</v>
      </c>
      <c r="I61" s="18" t="n">
        <v>0</v>
      </c>
      <c r="J61" s="20" t="n">
        <v>0</v>
      </c>
      <c r="K61" s="18" t="n">
        <v>0.30300875</v>
      </c>
      <c r="L61" s="20" t="n">
        <v>0.21728752</v>
      </c>
      <c r="M61" s="18" t="n">
        <v>0</v>
      </c>
      <c r="N61" s="20" t="n">
        <v>0</v>
      </c>
      <c r="O61" s="18" t="n">
        <v>0</v>
      </c>
      <c r="P61" s="20" t="n">
        <v>0</v>
      </c>
      <c r="Q61" s="18" t="n">
        <v>1.01815361</v>
      </c>
      <c r="R61" s="20" t="n">
        <v>0.37760971</v>
      </c>
    </row>
    <row r="62" spans="1:18">
      <c r="A62" s="15" t="s">
        <v>622</v>
      </c>
      <c r="B62" s="17" t="n">
        <v>4476</v>
      </c>
      <c r="C62" s="18">
        <f>(3477.0/B62*100)</f>
        <v/>
      </c>
      <c r="D62" s="19" t="n">
        <v>999</v>
      </c>
      <c r="E62" s="18" t="n">
        <v>6.21272008</v>
      </c>
      <c r="F62" s="20" t="n">
        <v>0.73839131</v>
      </c>
      <c r="G62" s="18" t="n">
        <v>93.48590881</v>
      </c>
      <c r="H62" s="20" t="n">
        <v>0.74356808</v>
      </c>
      <c r="I62" s="18" t="n">
        <v>0</v>
      </c>
      <c r="J62" s="20" t="n">
        <v>0</v>
      </c>
      <c r="K62" s="18" t="n">
        <v>0</v>
      </c>
      <c r="L62" s="20" t="n">
        <v>0</v>
      </c>
      <c r="M62" s="18" t="n">
        <v>0</v>
      </c>
      <c r="N62" s="20" t="n">
        <v>0</v>
      </c>
      <c r="O62" s="18" t="n">
        <v>0</v>
      </c>
      <c r="P62" s="20" t="n">
        <v>0</v>
      </c>
      <c r="Q62" s="18" t="n">
        <v>0.3013711</v>
      </c>
      <c r="R62" s="20" t="n">
        <v>0.17332906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(4457.0/B67*100)</f>
        <v/>
      </c>
      <c r="D67" s="19" t="n">
        <v>1208</v>
      </c>
      <c r="E67" s="18" t="n">
        <v>12.28431936</v>
      </c>
      <c r="F67" s="20" t="n">
        <v>1.099779</v>
      </c>
      <c r="G67" s="18" t="n">
        <v>79.25212472</v>
      </c>
      <c r="H67" s="20" t="n">
        <v>1.14599064</v>
      </c>
      <c r="I67" s="18" t="n">
        <v>0</v>
      </c>
      <c r="J67" s="20" t="n">
        <v>0</v>
      </c>
      <c r="K67" s="18" t="n">
        <v>0.30792077</v>
      </c>
      <c r="L67" s="20" t="n">
        <v>0.15307437</v>
      </c>
      <c r="M67" s="18" t="n">
        <v>0</v>
      </c>
      <c r="N67" s="20" t="n">
        <v>0</v>
      </c>
      <c r="O67" s="18" t="n">
        <v>0</v>
      </c>
      <c r="P67" s="20" t="n">
        <v>0</v>
      </c>
      <c r="Q67" s="18" t="n">
        <v>8.15563515</v>
      </c>
      <c r="R67" s="20" t="n">
        <v>0.76095143</v>
      </c>
    </row>
    <row r="68" spans="1:18">
      <c r="A68" s="15" t="s">
        <v>628</v>
      </c>
      <c r="B68" s="17" t="n">
        <v>6971</v>
      </c>
      <c r="C68" s="18">
        <f>(5509.0/B68*100)</f>
        <v/>
      </c>
      <c r="D68" s="19" t="n">
        <v>1462</v>
      </c>
      <c r="E68" s="18" t="n">
        <v>16.46902388</v>
      </c>
      <c r="F68" s="20" t="n">
        <v>0.99416186</v>
      </c>
      <c r="G68" s="18" t="n">
        <v>79.11245973</v>
      </c>
      <c r="H68" s="20" t="n">
        <v>1.17201482</v>
      </c>
      <c r="I68" s="18" t="n">
        <v>0</v>
      </c>
      <c r="J68" s="20" t="n">
        <v>0</v>
      </c>
      <c r="K68" s="18" t="n">
        <v>0.25059552</v>
      </c>
      <c r="L68" s="20" t="n">
        <v>0.19259889</v>
      </c>
      <c r="M68" s="18" t="n">
        <v>0</v>
      </c>
      <c r="N68" s="20" t="n">
        <v>0</v>
      </c>
      <c r="O68" s="18" t="n">
        <v>0</v>
      </c>
      <c r="P68" s="20" t="n">
        <v>0</v>
      </c>
      <c r="Q68" s="18" t="n">
        <v>4.16792087</v>
      </c>
      <c r="R68" s="20" t="n">
        <v>0.5552011100000001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(9356.0/B70*100)</f>
        <v/>
      </c>
      <c r="D70" s="19" t="n">
        <v>2727</v>
      </c>
      <c r="E70" s="18" t="n">
        <v>15.44838887</v>
      </c>
      <c r="F70" s="20" t="n">
        <v>0.6772477099999999</v>
      </c>
      <c r="G70" s="18" t="n">
        <v>80.37941776</v>
      </c>
      <c r="H70" s="20" t="n">
        <v>0.75175223</v>
      </c>
      <c r="I70" s="18" t="n">
        <v>0</v>
      </c>
      <c r="J70" s="20" t="n">
        <v>0</v>
      </c>
      <c r="K70" s="18" t="n">
        <v>1.18631467</v>
      </c>
      <c r="L70" s="20" t="n">
        <v>0.2077988</v>
      </c>
      <c r="M70" s="18" t="n">
        <v>0</v>
      </c>
      <c r="N70" s="20" t="n">
        <v>0</v>
      </c>
      <c r="O70" s="18" t="n">
        <v>0</v>
      </c>
      <c r="P70" s="20" t="n">
        <v>0</v>
      </c>
      <c r="Q70" s="18" t="n">
        <v>2.9858787</v>
      </c>
      <c r="R70" s="20" t="n">
        <v>0.34931816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(4706.0/B72*100)</f>
        <v/>
      </c>
      <c r="D72" s="19" t="n">
        <v>1330</v>
      </c>
      <c r="E72" s="18" t="n">
        <v>6.06502845</v>
      </c>
      <c r="F72" s="20" t="n">
        <v>0.62256773</v>
      </c>
      <c r="G72" s="18" t="n">
        <v>92.84968799000001</v>
      </c>
      <c r="H72" s="20" t="n">
        <v>0.72547312</v>
      </c>
      <c r="I72" s="18" t="n">
        <v>0</v>
      </c>
      <c r="J72" s="20" t="n">
        <v>0</v>
      </c>
      <c r="K72" s="18" t="n">
        <v>0.20570501</v>
      </c>
      <c r="L72" s="20" t="n">
        <v>0.10336543</v>
      </c>
      <c r="M72" s="18" t="n">
        <v>0</v>
      </c>
      <c r="N72" s="20" t="n">
        <v>0</v>
      </c>
      <c r="O72" s="18" t="n">
        <v>0</v>
      </c>
      <c r="P72" s="20" t="n">
        <v>0</v>
      </c>
      <c r="Q72" s="18" t="n">
        <v>0.87957855</v>
      </c>
      <c r="R72" s="20" t="n">
        <v>0.32014806</v>
      </c>
    </row>
    <row r="73" spans="1:18">
      <c r="A73" s="15" t="s">
        <v>633</v>
      </c>
      <c r="B73" s="17" t="n">
        <v>6115</v>
      </c>
      <c r="C73" s="18">
        <f>(4789.0/B73*100)</f>
        <v/>
      </c>
      <c r="D73" s="19" t="n">
        <v>1326</v>
      </c>
      <c r="E73" s="18" t="n">
        <v>6.26849048</v>
      </c>
      <c r="F73" s="20" t="n">
        <v>0.75749566</v>
      </c>
      <c r="G73" s="18" t="n">
        <v>93.54145244</v>
      </c>
      <c r="H73" s="20" t="n">
        <v>0.77593104</v>
      </c>
      <c r="I73" s="18" t="n">
        <v>0</v>
      </c>
      <c r="J73" s="20" t="n">
        <v>0</v>
      </c>
      <c r="K73" s="18" t="n">
        <v>0.15055594</v>
      </c>
      <c r="L73" s="20" t="n">
        <v>0.1072219</v>
      </c>
      <c r="M73" s="18" t="n">
        <v>0</v>
      </c>
      <c r="N73" s="20" t="n">
        <v>0</v>
      </c>
      <c r="O73" s="18" t="n">
        <v>0</v>
      </c>
      <c r="P73" s="20" t="n">
        <v>0</v>
      </c>
      <c r="Q73" s="18" t="n">
        <v>0.03950113</v>
      </c>
      <c r="R73" s="20" t="n">
        <v>0.0395227</v>
      </c>
    </row>
    <row r="74" spans="1:18">
      <c r="A74" s="15" t="s">
        <v>634</v>
      </c>
      <c r="B74" s="17" t="n">
        <v>7708</v>
      </c>
      <c r="C74" s="18">
        <f>(6066.0/B74*100)</f>
        <v/>
      </c>
      <c r="D74" s="19" t="n">
        <v>1642</v>
      </c>
      <c r="E74" s="18" t="n">
        <v>6.79948438</v>
      </c>
      <c r="F74" s="20" t="n">
        <v>0.69961912</v>
      </c>
      <c r="G74" s="18" t="n">
        <v>92.36744206</v>
      </c>
      <c r="H74" s="20" t="n">
        <v>0.78756654</v>
      </c>
      <c r="I74" s="18" t="n">
        <v>0</v>
      </c>
      <c r="J74" s="20" t="n">
        <v>0</v>
      </c>
      <c r="K74" s="18" t="n">
        <v>0.20740367</v>
      </c>
      <c r="L74" s="20" t="n">
        <v>0.15732353</v>
      </c>
      <c r="M74" s="18" t="n">
        <v>0</v>
      </c>
      <c r="N74" s="20" t="n">
        <v>0</v>
      </c>
      <c r="O74" s="18" t="n">
        <v>0</v>
      </c>
      <c r="P74" s="20" t="n">
        <v>0</v>
      </c>
      <c r="Q74" s="18" t="n">
        <v>0.62566989</v>
      </c>
      <c r="R74" s="20" t="n">
        <v>0.17910963</v>
      </c>
    </row>
    <row r="75" spans="1:18">
      <c r="A75" s="15" t="s">
        <v>635</v>
      </c>
      <c r="B75" s="17" t="n">
        <v>8249</v>
      </c>
      <c r="C75" s="18">
        <f>(6427.0/B75*100)</f>
        <v/>
      </c>
      <c r="D75" s="19" t="n">
        <v>1822</v>
      </c>
      <c r="E75" s="18" t="n">
        <v>7.48376876</v>
      </c>
      <c r="F75" s="20" t="n">
        <v>0.65090496</v>
      </c>
      <c r="G75" s="18" t="n">
        <v>89.55140196000001</v>
      </c>
      <c r="H75" s="20" t="n">
        <v>0.77662829</v>
      </c>
      <c r="I75" s="18" t="n">
        <v>0</v>
      </c>
      <c r="J75" s="20" t="n">
        <v>0</v>
      </c>
      <c r="K75" s="18" t="n">
        <v>0.07940410000000001</v>
      </c>
      <c r="L75" s="20" t="n">
        <v>0.07977666999999999</v>
      </c>
      <c r="M75" s="18" t="n">
        <v>0</v>
      </c>
      <c r="N75" s="20" t="n">
        <v>0</v>
      </c>
      <c r="O75" s="18" t="n">
        <v>0</v>
      </c>
      <c r="P75" s="20" t="n">
        <v>0</v>
      </c>
      <c r="Q75" s="18" t="n">
        <v>2.88542519</v>
      </c>
      <c r="R75" s="20" t="n">
        <v>0.4846447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(4257.0/B77*100)</f>
        <v/>
      </c>
      <c r="D77" s="19" t="n">
        <v>1118</v>
      </c>
      <c r="E77" s="18" t="n">
        <v>11.16885641</v>
      </c>
      <c r="F77" s="20" t="n">
        <v>0.92156598</v>
      </c>
      <c r="G77" s="18" t="n">
        <v>85.31309941000001</v>
      </c>
      <c r="H77" s="20" t="n">
        <v>1.15667016</v>
      </c>
      <c r="I77" s="18" t="n">
        <v>0</v>
      </c>
      <c r="J77" s="20" t="n">
        <v>0</v>
      </c>
      <c r="K77" s="18" t="n">
        <v>0.7223472399999999</v>
      </c>
      <c r="L77" s="20" t="n">
        <v>0.31570242</v>
      </c>
      <c r="M77" s="18" t="n">
        <v>0</v>
      </c>
      <c r="N77" s="20" t="n">
        <v>0</v>
      </c>
      <c r="O77" s="18" t="n">
        <v>0</v>
      </c>
      <c r="P77" s="20" t="n">
        <v>0</v>
      </c>
      <c r="Q77" s="18" t="n">
        <v>2.79569693</v>
      </c>
      <c r="R77" s="20" t="n">
        <v>0.62020522</v>
      </c>
    </row>
    <row r="78" spans="1:18">
      <c r="A78" s="15" t="s">
        <v>638</v>
      </c>
      <c r="B78" s="17" t="n">
        <v>14167</v>
      </c>
      <c r="C78" s="18">
        <f>(11015.0/B78*100)</f>
        <v/>
      </c>
      <c r="D78" s="19" t="n">
        <v>3152</v>
      </c>
      <c r="E78" s="18" t="n">
        <v>13.94620963</v>
      </c>
      <c r="F78" s="20" t="n">
        <v>0.87950282</v>
      </c>
      <c r="G78" s="18" t="n">
        <v>83.37900281</v>
      </c>
      <c r="H78" s="20" t="n">
        <v>0.99897938</v>
      </c>
      <c r="I78" s="18" t="n">
        <v>0</v>
      </c>
      <c r="J78" s="20" t="n">
        <v>0</v>
      </c>
      <c r="K78" s="18" t="n">
        <v>0.70481816</v>
      </c>
      <c r="L78" s="20" t="n">
        <v>0.18888285</v>
      </c>
      <c r="M78" s="18" t="n">
        <v>0</v>
      </c>
      <c r="N78" s="20" t="n">
        <v>0</v>
      </c>
      <c r="O78" s="18" t="n">
        <v>0</v>
      </c>
      <c r="P78" s="20" t="n">
        <v>0</v>
      </c>
      <c r="Q78" s="18" t="n">
        <v>1.96996941</v>
      </c>
      <c r="R78" s="20" t="n">
        <v>0.37362615</v>
      </c>
    </row>
    <row r="79" spans="1:18">
      <c r="A79" s="15" t="s">
        <v>639</v>
      </c>
      <c r="B79" s="17" t="n">
        <v>6062</v>
      </c>
      <c r="C79" s="18">
        <f>(4699.0/B79*100)</f>
        <v/>
      </c>
      <c r="D79" s="19" t="n">
        <v>1363</v>
      </c>
      <c r="E79" s="18" t="n">
        <v>11.03771371</v>
      </c>
      <c r="F79" s="20" t="n">
        <v>0.99561131</v>
      </c>
      <c r="G79" s="18" t="n">
        <v>85.85052684999999</v>
      </c>
      <c r="H79" s="20" t="n">
        <v>1.14848362</v>
      </c>
      <c r="I79" s="18" t="n">
        <v>0</v>
      </c>
      <c r="J79" s="20" t="n">
        <v>0</v>
      </c>
      <c r="K79" s="18" t="n">
        <v>0.15846125</v>
      </c>
      <c r="L79" s="20" t="n">
        <v>0.12916958</v>
      </c>
      <c r="M79" s="18" t="n">
        <v>0</v>
      </c>
      <c r="N79" s="20" t="n">
        <v>0</v>
      </c>
      <c r="O79" s="18" t="n">
        <v>0</v>
      </c>
      <c r="P79" s="20" t="n">
        <v>0</v>
      </c>
      <c r="Q79" s="18" t="n">
        <v>2.95329819</v>
      </c>
      <c r="R79" s="20" t="n">
        <v>0.57453367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(25142.0/B82*100)</f>
        <v/>
      </c>
      <c r="D82" s="19" t="n">
        <v>7188</v>
      </c>
      <c r="E82" s="18" t="n">
        <v>7.05564829</v>
      </c>
      <c r="F82" s="20" t="n">
        <v>0.4189923</v>
      </c>
      <c r="G82" s="18" t="n">
        <v>91.15233026999999</v>
      </c>
      <c r="H82" s="20" t="n">
        <v>0.45610037</v>
      </c>
      <c r="I82" s="18" t="n">
        <v>0</v>
      </c>
      <c r="J82" s="20" t="n">
        <v>0</v>
      </c>
      <c r="K82" s="18" t="n">
        <v>0.18568639</v>
      </c>
      <c r="L82" s="20" t="n">
        <v>0.07439985</v>
      </c>
      <c r="M82" s="18" t="n">
        <v>0</v>
      </c>
      <c r="N82" s="20" t="n">
        <v>0</v>
      </c>
      <c r="O82" s="18" t="n">
        <v>0</v>
      </c>
      <c r="P82" s="20" t="n">
        <v>0</v>
      </c>
      <c r="Q82" s="18" t="n">
        <v>1.60633504</v>
      </c>
      <c r="R82" s="20" t="n">
        <v>0.23497872</v>
      </c>
    </row>
    <row r="83" spans="1:18">
      <c r="A83" s="15" t="s">
        <v>643</v>
      </c>
      <c r="B83" s="17" t="n">
        <v>1652</v>
      </c>
      <c r="C83" s="18">
        <f>(1290.0/B83*100)</f>
        <v/>
      </c>
      <c r="D83" s="19" t="n">
        <v>362</v>
      </c>
      <c r="E83" s="18" t="n">
        <v>5.07133836</v>
      </c>
      <c r="F83" s="20" t="n">
        <v>1.37863204</v>
      </c>
      <c r="G83" s="18" t="n">
        <v>94.12232113</v>
      </c>
      <c r="H83" s="20" t="n">
        <v>1.62676958</v>
      </c>
      <c r="I83" s="18" t="n">
        <v>0</v>
      </c>
      <c r="J83" s="20" t="n">
        <v>0</v>
      </c>
      <c r="K83" s="18" t="n">
        <v>0</v>
      </c>
      <c r="L83" s="20" t="n">
        <v>0</v>
      </c>
      <c r="M83" s="18" t="n">
        <v>0</v>
      </c>
      <c r="N83" s="20" t="n">
        <v>0</v>
      </c>
      <c r="O83" s="18" t="n">
        <v>0</v>
      </c>
      <c r="P83" s="20" t="n">
        <v>0</v>
      </c>
      <c r="Q83" s="18" t="n">
        <v>0.80634051</v>
      </c>
      <c r="R83" s="20" t="n">
        <v>0.5275016300000001</v>
      </c>
    </row>
    <row r="84" spans="1:18">
      <c r="A84" s="23" t="s">
        <v>644</v>
      </c>
      <c r="B84" s="24" t="n">
        <v>1887</v>
      </c>
      <c r="C84" s="25">
        <f>(1494.0/B84*100)</f>
        <v/>
      </c>
      <c r="D84" s="19" t="n">
        <v>393</v>
      </c>
      <c r="E84" s="18" t="n">
        <v>6.66700148</v>
      </c>
      <c r="F84" s="20" t="n">
        <v>1.0815878</v>
      </c>
      <c r="G84" s="18" t="n">
        <v>93.33299852</v>
      </c>
      <c r="H84" s="20" t="n">
        <v>1.0815878</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(11364.0/B7*100)</f>
        <v/>
      </c>
      <c r="D7" s="19" t="n">
        <v>3166</v>
      </c>
      <c r="E7" s="18" t="n">
        <v>22.48725411</v>
      </c>
      <c r="F7" s="20" t="n">
        <v>0.88005051</v>
      </c>
      <c r="G7" s="18" t="n">
        <v>76.5014292</v>
      </c>
      <c r="H7" s="20" t="n">
        <v>0.8809082499999999</v>
      </c>
      <c r="I7" s="18" t="n">
        <v>0</v>
      </c>
      <c r="J7" s="20" t="n">
        <v>0</v>
      </c>
      <c r="K7" s="18" t="n">
        <v>0.17169585</v>
      </c>
      <c r="L7" s="20" t="n">
        <v>0.08410637</v>
      </c>
      <c r="M7" s="18" t="n">
        <v>0</v>
      </c>
      <c r="N7" s="20" t="n">
        <v>0</v>
      </c>
      <c r="O7" s="18" t="n">
        <v>0</v>
      </c>
      <c r="P7" s="20" t="n">
        <v>0</v>
      </c>
      <c r="Q7" s="18" t="n">
        <v>0.83962085</v>
      </c>
      <c r="R7" s="20" t="n">
        <v>0.18813657</v>
      </c>
    </row>
    <row r="8" spans="1:18">
      <c r="A8" s="15" t="s">
        <v>566</v>
      </c>
      <c r="B8" s="17" t="n">
        <v>7007</v>
      </c>
      <c r="C8" s="18">
        <f>(5454.0/B8*100)</f>
        <v/>
      </c>
      <c r="D8" s="19" t="n">
        <v>1553</v>
      </c>
      <c r="E8" s="18" t="n">
        <v>28.87938642</v>
      </c>
      <c r="F8" s="20" t="n">
        <v>1.52621475</v>
      </c>
      <c r="G8" s="18" t="n">
        <v>70.27138929</v>
      </c>
      <c r="H8" s="20" t="n">
        <v>1.56579315</v>
      </c>
      <c r="I8" s="18" t="n">
        <v>0</v>
      </c>
      <c r="J8" s="20" t="n">
        <v>0</v>
      </c>
      <c r="K8" s="18" t="n">
        <v>0.15165234</v>
      </c>
      <c r="L8" s="20" t="n">
        <v>0.10568234</v>
      </c>
      <c r="M8" s="18" t="n">
        <v>0</v>
      </c>
      <c r="N8" s="20" t="n">
        <v>0</v>
      </c>
      <c r="O8" s="18" t="n">
        <v>0</v>
      </c>
      <c r="P8" s="20" t="n">
        <v>0</v>
      </c>
      <c r="Q8" s="18" t="n">
        <v>0.6975719500000001</v>
      </c>
      <c r="R8" s="20" t="n">
        <v>0.2115696</v>
      </c>
    </row>
    <row r="9" spans="1:18">
      <c r="A9" s="15" t="s">
        <v>567</v>
      </c>
      <c r="B9" s="17" t="n">
        <v>9651</v>
      </c>
      <c r="C9" s="18">
        <f>(7537.0/B9*100)</f>
        <v/>
      </c>
      <c r="D9" s="19" t="n">
        <v>2114</v>
      </c>
      <c r="E9" s="18" t="n">
        <v>33.11694333</v>
      </c>
      <c r="F9" s="20" t="n">
        <v>1.05950893</v>
      </c>
      <c r="G9" s="18" t="n">
        <v>65.38361527000001</v>
      </c>
      <c r="H9" s="20" t="n">
        <v>1.10518826</v>
      </c>
      <c r="I9" s="18" t="n">
        <v>0</v>
      </c>
      <c r="J9" s="20" t="n">
        <v>0</v>
      </c>
      <c r="K9" s="18" t="n">
        <v>0.21491965</v>
      </c>
      <c r="L9" s="20" t="n">
        <v>0.10058121</v>
      </c>
      <c r="M9" s="18" t="n">
        <v>0</v>
      </c>
      <c r="N9" s="20" t="n">
        <v>0</v>
      </c>
      <c r="O9" s="18" t="n">
        <v>0</v>
      </c>
      <c r="P9" s="20" t="n">
        <v>0</v>
      </c>
      <c r="Q9" s="18" t="n">
        <v>1.28452174</v>
      </c>
      <c r="R9" s="20" t="n">
        <v>0.28686658</v>
      </c>
    </row>
    <row r="10" spans="1:18">
      <c r="A10" s="15" t="s">
        <v>568</v>
      </c>
      <c r="B10" s="17" t="n">
        <v>20058</v>
      </c>
      <c r="C10" s="18">
        <f>(15593.0/B10*100)</f>
        <v/>
      </c>
      <c r="D10" s="19" t="n">
        <v>4465</v>
      </c>
      <c r="E10" s="18" t="n">
        <v>20.31422045</v>
      </c>
      <c r="F10" s="20" t="n">
        <v>0.88010849</v>
      </c>
      <c r="G10" s="18" t="n">
        <v>78.74829115999999</v>
      </c>
      <c r="H10" s="20" t="n">
        <v>0.91759203</v>
      </c>
      <c r="I10" s="18" t="n">
        <v>0</v>
      </c>
      <c r="J10" s="20" t="n">
        <v>0</v>
      </c>
      <c r="K10" s="18" t="n">
        <v>0.21382885</v>
      </c>
      <c r="L10" s="20" t="n">
        <v>0.10740229</v>
      </c>
      <c r="M10" s="18" t="n">
        <v>0</v>
      </c>
      <c r="N10" s="20" t="n">
        <v>0</v>
      </c>
      <c r="O10" s="18" t="n">
        <v>0</v>
      </c>
      <c r="P10" s="20" t="n">
        <v>0</v>
      </c>
      <c r="Q10" s="18" t="n">
        <v>0.72365954</v>
      </c>
      <c r="R10" s="20" t="n">
        <v>0.1706477</v>
      </c>
    </row>
    <row r="11" spans="1:18">
      <c r="A11" s="15" t="s">
        <v>569</v>
      </c>
      <c r="B11" s="17" t="n">
        <v>7053</v>
      </c>
      <c r="C11" s="18">
        <f>(5463.0/B11*100)</f>
        <v/>
      </c>
      <c r="D11" s="19" t="n">
        <v>1590</v>
      </c>
      <c r="E11" s="18" t="n">
        <v>28.10991338</v>
      </c>
      <c r="F11" s="20" t="n">
        <v>1.54508633</v>
      </c>
      <c r="G11" s="18" t="n">
        <v>68.79483521</v>
      </c>
      <c r="H11" s="20" t="n">
        <v>1.61524031</v>
      </c>
      <c r="I11" s="18" t="n">
        <v>0</v>
      </c>
      <c r="J11" s="20" t="n">
        <v>0</v>
      </c>
      <c r="K11" s="18" t="n">
        <v>0.08257253000000001</v>
      </c>
      <c r="L11" s="20" t="n">
        <v>0.08100594</v>
      </c>
      <c r="M11" s="18" t="n">
        <v>0</v>
      </c>
      <c r="N11" s="20" t="n">
        <v>0</v>
      </c>
      <c r="O11" s="18" t="n">
        <v>0</v>
      </c>
      <c r="P11" s="20" t="n">
        <v>0</v>
      </c>
      <c r="Q11" s="18" t="n">
        <v>3.01267887</v>
      </c>
      <c r="R11" s="20" t="n">
        <v>0.47319706</v>
      </c>
    </row>
    <row r="12" spans="1:18">
      <c r="A12" s="15" t="s">
        <v>570</v>
      </c>
      <c r="B12" s="17" t="n">
        <v>6894</v>
      </c>
      <c r="C12" s="18">
        <f>(5410.0/B12*100)</f>
        <v/>
      </c>
      <c r="D12" s="19" t="n">
        <v>1484</v>
      </c>
      <c r="E12" s="18" t="n">
        <v>21.46940931</v>
      </c>
      <c r="F12" s="20" t="n">
        <v>1.24608998</v>
      </c>
      <c r="G12" s="18" t="n">
        <v>77.64353023</v>
      </c>
      <c r="H12" s="20" t="n">
        <v>1.20766432</v>
      </c>
      <c r="I12" s="18" t="n">
        <v>0</v>
      </c>
      <c r="J12" s="20" t="n">
        <v>0</v>
      </c>
      <c r="K12" s="18" t="n">
        <v>0.05890158</v>
      </c>
      <c r="L12" s="20" t="n">
        <v>0.0559212</v>
      </c>
      <c r="M12" s="18" t="n">
        <v>0</v>
      </c>
      <c r="N12" s="20" t="n">
        <v>0</v>
      </c>
      <c r="O12" s="18" t="n">
        <v>0</v>
      </c>
      <c r="P12" s="20" t="n">
        <v>0</v>
      </c>
      <c r="Q12" s="18" t="n">
        <v>0.82815888</v>
      </c>
      <c r="R12" s="20" t="n">
        <v>0.3025793</v>
      </c>
    </row>
    <row r="13" spans="1:18">
      <c r="A13" s="15" t="s">
        <v>571</v>
      </c>
      <c r="B13" s="17" t="n">
        <v>7161</v>
      </c>
      <c r="C13" s="18">
        <f>(5692.0/B13*100)</f>
        <v/>
      </c>
      <c r="D13" s="19" t="n">
        <v>1469</v>
      </c>
      <c r="E13" s="18" t="n">
        <v>24.02671821</v>
      </c>
      <c r="F13" s="20" t="n">
        <v>1.4176669</v>
      </c>
      <c r="G13" s="18" t="n">
        <v>75.10571649000001</v>
      </c>
      <c r="H13" s="20" t="n">
        <v>1.39005401</v>
      </c>
      <c r="I13" s="18" t="n">
        <v>0</v>
      </c>
      <c r="J13" s="20" t="n">
        <v>0</v>
      </c>
      <c r="K13" s="18" t="n">
        <v>0.1904042</v>
      </c>
      <c r="L13" s="20" t="n">
        <v>0.11113528</v>
      </c>
      <c r="M13" s="18" t="n">
        <v>0</v>
      </c>
      <c r="N13" s="20" t="n">
        <v>0</v>
      </c>
      <c r="O13" s="18" t="n">
        <v>0</v>
      </c>
      <c r="P13" s="20" t="n">
        <v>0</v>
      </c>
      <c r="Q13" s="18" t="n">
        <v>0.67716111</v>
      </c>
      <c r="R13" s="20" t="n">
        <v>0.26220098</v>
      </c>
    </row>
    <row r="14" spans="1:18">
      <c r="A14" s="15" t="s">
        <v>572</v>
      </c>
      <c r="B14" s="17" t="n">
        <v>5587</v>
      </c>
      <c r="C14" s="18">
        <f>(4319.0/B14*100)</f>
        <v/>
      </c>
      <c r="D14" s="19" t="n">
        <v>1268</v>
      </c>
      <c r="E14" s="18" t="n">
        <v>23.01840586</v>
      </c>
      <c r="F14" s="20" t="n">
        <v>1.35143477</v>
      </c>
      <c r="G14" s="18" t="n">
        <v>76.4310297</v>
      </c>
      <c r="H14" s="20" t="n">
        <v>1.32641188</v>
      </c>
      <c r="I14" s="18" t="n">
        <v>0</v>
      </c>
      <c r="J14" s="20" t="n">
        <v>0</v>
      </c>
      <c r="K14" s="18" t="n">
        <v>0.0722844</v>
      </c>
      <c r="L14" s="20" t="n">
        <v>0.07226920000000001</v>
      </c>
      <c r="M14" s="18" t="n">
        <v>0</v>
      </c>
      <c r="N14" s="20" t="n">
        <v>0</v>
      </c>
      <c r="O14" s="18" t="n">
        <v>0</v>
      </c>
      <c r="P14" s="20" t="n">
        <v>0</v>
      </c>
      <c r="Q14" s="18" t="n">
        <v>0.47828005</v>
      </c>
      <c r="R14" s="20" t="n">
        <v>0.18259825</v>
      </c>
    </row>
    <row r="15" spans="1:18">
      <c r="A15" s="15" t="s">
        <v>573</v>
      </c>
      <c r="B15" s="17" t="n">
        <v>5882</v>
      </c>
      <c r="C15" s="18">
        <f>(4520.0/B15*100)</f>
        <v/>
      </c>
      <c r="D15" s="19" t="n">
        <v>1362</v>
      </c>
      <c r="E15" s="18" t="n">
        <v>21.56023203</v>
      </c>
      <c r="F15" s="20" t="n">
        <v>1.16364228</v>
      </c>
      <c r="G15" s="18" t="n">
        <v>77.79133263999999</v>
      </c>
      <c r="H15" s="20" t="n">
        <v>1.16828529</v>
      </c>
      <c r="I15" s="18" t="n">
        <v>0</v>
      </c>
      <c r="J15" s="20" t="n">
        <v>0</v>
      </c>
      <c r="K15" s="18" t="n">
        <v>0.08265755</v>
      </c>
      <c r="L15" s="20" t="n">
        <v>0.09069918</v>
      </c>
      <c r="M15" s="18" t="n">
        <v>0</v>
      </c>
      <c r="N15" s="20" t="n">
        <v>0</v>
      </c>
      <c r="O15" s="18" t="n">
        <v>0</v>
      </c>
      <c r="P15" s="20" t="n">
        <v>0</v>
      </c>
      <c r="Q15" s="18" t="n">
        <v>0.56577778</v>
      </c>
      <c r="R15" s="20" t="n">
        <v>0.19574316</v>
      </c>
    </row>
    <row r="16" spans="1:18">
      <c r="A16" s="15" t="s">
        <v>574</v>
      </c>
      <c r="B16" s="17" t="n">
        <v>6108</v>
      </c>
      <c r="C16" s="18">
        <f>(4754.0/B16*100)</f>
        <v/>
      </c>
      <c r="D16" s="19" t="n">
        <v>1354</v>
      </c>
      <c r="E16" s="18" t="n">
        <v>30.57485003</v>
      </c>
      <c r="F16" s="20" t="n">
        <v>1.03065087</v>
      </c>
      <c r="G16" s="18" t="n">
        <v>66.75833543</v>
      </c>
      <c r="H16" s="20" t="n">
        <v>1.19039531</v>
      </c>
      <c r="I16" s="18" t="n">
        <v>0</v>
      </c>
      <c r="J16" s="20" t="n">
        <v>0</v>
      </c>
      <c r="K16" s="18" t="n">
        <v>0.56027973</v>
      </c>
      <c r="L16" s="20" t="n">
        <v>0.22270717</v>
      </c>
      <c r="M16" s="18" t="n">
        <v>0</v>
      </c>
      <c r="N16" s="20" t="n">
        <v>0</v>
      </c>
      <c r="O16" s="18" t="n">
        <v>0</v>
      </c>
      <c r="P16" s="20" t="n">
        <v>0</v>
      </c>
      <c r="Q16" s="18" t="n">
        <v>2.1065348</v>
      </c>
      <c r="R16" s="20" t="n">
        <v>0.34231405</v>
      </c>
    </row>
    <row r="17" spans="1:18">
      <c r="A17" s="15" t="s">
        <v>575</v>
      </c>
      <c r="B17" s="17" t="n">
        <v>6504</v>
      </c>
      <c r="C17" s="18">
        <f>(5118.0/B17*100)</f>
        <v/>
      </c>
      <c r="D17" s="19" t="n">
        <v>1386</v>
      </c>
      <c r="E17" s="18" t="n">
        <v>27.67243355</v>
      </c>
      <c r="F17" s="20" t="n">
        <v>1.31671028</v>
      </c>
      <c r="G17" s="18" t="n">
        <v>71.69033012</v>
      </c>
      <c r="H17" s="20" t="n">
        <v>1.33417915</v>
      </c>
      <c r="I17" s="18" t="n">
        <v>0</v>
      </c>
      <c r="J17" s="20" t="n">
        <v>0</v>
      </c>
      <c r="K17" s="18" t="n">
        <v>0.07095764</v>
      </c>
      <c r="L17" s="20" t="n">
        <v>0.07133749</v>
      </c>
      <c r="M17" s="18" t="n">
        <v>0</v>
      </c>
      <c r="N17" s="20" t="n">
        <v>0</v>
      </c>
      <c r="O17" s="18" t="n">
        <v>0</v>
      </c>
      <c r="P17" s="20" t="n">
        <v>0</v>
      </c>
      <c r="Q17" s="18" t="n">
        <v>0.56627869</v>
      </c>
      <c r="R17" s="20" t="n">
        <v>0.20935531</v>
      </c>
    </row>
    <row r="18" spans="1:18">
      <c r="A18" s="15" t="s">
        <v>576</v>
      </c>
      <c r="B18" s="17" t="n">
        <v>5532</v>
      </c>
      <c r="C18" s="18">
        <f>(4321.0/B18*100)</f>
        <v/>
      </c>
      <c r="D18" s="19" t="n">
        <v>1211</v>
      </c>
      <c r="E18" s="18" t="n">
        <v>39.37949513</v>
      </c>
      <c r="F18" s="20" t="n">
        <v>1.67989479</v>
      </c>
      <c r="G18" s="18" t="n">
        <v>58.43047493</v>
      </c>
      <c r="H18" s="20" t="n">
        <v>1.84819936</v>
      </c>
      <c r="I18" s="18" t="n">
        <v>0</v>
      </c>
      <c r="J18" s="20" t="n">
        <v>0</v>
      </c>
      <c r="K18" s="18" t="n">
        <v>0.11379313</v>
      </c>
      <c r="L18" s="20" t="n">
        <v>0.08150411</v>
      </c>
      <c r="M18" s="18" t="n">
        <v>0</v>
      </c>
      <c r="N18" s="20" t="n">
        <v>0</v>
      </c>
      <c r="O18" s="18" t="n">
        <v>0</v>
      </c>
      <c r="P18" s="20" t="n">
        <v>0</v>
      </c>
      <c r="Q18" s="18" t="n">
        <v>2.07623681</v>
      </c>
      <c r="R18" s="20" t="n">
        <v>0.5089785</v>
      </c>
    </row>
    <row r="19" spans="1:18">
      <c r="A19" s="15" t="s">
        <v>577</v>
      </c>
      <c r="B19" s="17" t="n">
        <v>5658</v>
      </c>
      <c r="C19" s="18">
        <f>(4374.0/B19*100)</f>
        <v/>
      </c>
      <c r="D19" s="19" t="n">
        <v>1284</v>
      </c>
      <c r="E19" s="18" t="n">
        <v>25.50487691</v>
      </c>
      <c r="F19" s="20" t="n">
        <v>1.28572586</v>
      </c>
      <c r="G19" s="18" t="n">
        <v>72.41110143</v>
      </c>
      <c r="H19" s="20" t="n">
        <v>1.35418022</v>
      </c>
      <c r="I19" s="18" t="n">
        <v>0</v>
      </c>
      <c r="J19" s="20" t="n">
        <v>0</v>
      </c>
      <c r="K19" s="18" t="n">
        <v>0.07190247</v>
      </c>
      <c r="L19" s="20" t="n">
        <v>0.06080082</v>
      </c>
      <c r="M19" s="18" t="n">
        <v>0</v>
      </c>
      <c r="N19" s="20" t="n">
        <v>0</v>
      </c>
      <c r="O19" s="18" t="n">
        <v>0</v>
      </c>
      <c r="P19" s="20" t="n">
        <v>0</v>
      </c>
      <c r="Q19" s="18" t="n">
        <v>2.01211919</v>
      </c>
      <c r="R19" s="20" t="n">
        <v>0.4412629</v>
      </c>
    </row>
    <row r="20" spans="1:18">
      <c r="A20" s="15" t="s">
        <v>578</v>
      </c>
      <c r="B20" s="17" t="n">
        <v>3371</v>
      </c>
      <c r="C20" s="18">
        <f>(2630.0/B20*100)</f>
        <v/>
      </c>
      <c r="D20" s="19" t="n">
        <v>741</v>
      </c>
      <c r="E20" s="18" t="n">
        <v>18.82152184</v>
      </c>
      <c r="F20" s="20" t="n">
        <v>1.40280921</v>
      </c>
      <c r="G20" s="18" t="n">
        <v>79.81474808</v>
      </c>
      <c r="H20" s="20" t="n">
        <v>1.47411201</v>
      </c>
      <c r="I20" s="18" t="n">
        <v>0</v>
      </c>
      <c r="J20" s="20" t="n">
        <v>0</v>
      </c>
      <c r="K20" s="18" t="n">
        <v>0.13198385</v>
      </c>
      <c r="L20" s="20" t="n">
        <v>0.13222865</v>
      </c>
      <c r="M20" s="18" t="n">
        <v>0</v>
      </c>
      <c r="N20" s="20" t="n">
        <v>0</v>
      </c>
      <c r="O20" s="18" t="n">
        <v>0</v>
      </c>
      <c r="P20" s="20" t="n">
        <v>0</v>
      </c>
      <c r="Q20" s="18" t="n">
        <v>1.23174623</v>
      </c>
      <c r="R20" s="20" t="n">
        <v>0.5014765799999999</v>
      </c>
    </row>
    <row r="21" spans="1:18">
      <c r="A21" s="15" t="s">
        <v>579</v>
      </c>
      <c r="B21" s="17" t="n">
        <v>5741</v>
      </c>
      <c r="C21" s="18">
        <f>(4488.0/B21*100)</f>
        <v/>
      </c>
      <c r="D21" s="19" t="n">
        <v>1253</v>
      </c>
      <c r="E21" s="18" t="n">
        <v>36.31309956</v>
      </c>
      <c r="F21" s="20" t="n">
        <v>1.39997411</v>
      </c>
      <c r="G21" s="18" t="n">
        <v>62.94214462</v>
      </c>
      <c r="H21" s="20" t="n">
        <v>1.38738881</v>
      </c>
      <c r="I21" s="18" t="n">
        <v>0</v>
      </c>
      <c r="J21" s="20" t="n">
        <v>0</v>
      </c>
      <c r="K21" s="18" t="n">
        <v>0.17883757</v>
      </c>
      <c r="L21" s="20" t="n">
        <v>0.10437317</v>
      </c>
      <c r="M21" s="18" t="n">
        <v>0</v>
      </c>
      <c r="N21" s="20" t="n">
        <v>0</v>
      </c>
      <c r="O21" s="18" t="n">
        <v>0</v>
      </c>
      <c r="P21" s="20" t="n">
        <v>0</v>
      </c>
      <c r="Q21" s="18" t="n">
        <v>0.56591826</v>
      </c>
      <c r="R21" s="20" t="n">
        <v>0.19335441</v>
      </c>
    </row>
    <row r="22" spans="1:18">
      <c r="A22" s="15" t="s">
        <v>580</v>
      </c>
      <c r="B22" s="17" t="n">
        <v>6598</v>
      </c>
      <c r="C22" s="18">
        <f>(5197.0/B22*100)</f>
        <v/>
      </c>
      <c r="D22" s="19" t="n">
        <v>1401</v>
      </c>
      <c r="E22" s="18" t="n">
        <v>40.05694287</v>
      </c>
      <c r="F22" s="20" t="n">
        <v>1.43911548</v>
      </c>
      <c r="G22" s="18" t="n">
        <v>57.33320193</v>
      </c>
      <c r="H22" s="20" t="n">
        <v>1.4397439</v>
      </c>
      <c r="I22" s="18" t="n">
        <v>0</v>
      </c>
      <c r="J22" s="20" t="n">
        <v>0</v>
      </c>
      <c r="K22" s="18" t="n">
        <v>0.33998652</v>
      </c>
      <c r="L22" s="20" t="n">
        <v>0.21131244</v>
      </c>
      <c r="M22" s="18" t="n">
        <v>0</v>
      </c>
      <c r="N22" s="20" t="n">
        <v>0</v>
      </c>
      <c r="O22" s="18" t="n">
        <v>0</v>
      </c>
      <c r="P22" s="20" t="n">
        <v>0</v>
      </c>
      <c r="Q22" s="18" t="n">
        <v>2.26986868</v>
      </c>
      <c r="R22" s="20" t="n">
        <v>0.50988494</v>
      </c>
    </row>
    <row r="23" spans="1:18">
      <c r="A23" s="15" t="s">
        <v>581</v>
      </c>
      <c r="B23" s="17" t="n">
        <v>11583</v>
      </c>
      <c r="C23" s="18">
        <f>(9000.0/B23*100)</f>
        <v/>
      </c>
      <c r="D23" s="19" t="n">
        <v>2583</v>
      </c>
      <c r="E23" s="18" t="n">
        <v>27.37303495</v>
      </c>
      <c r="F23" s="20" t="n">
        <v>1.20038276</v>
      </c>
      <c r="G23" s="18" t="n">
        <v>70.34559994</v>
      </c>
      <c r="H23" s="20" t="n">
        <v>1.42986645</v>
      </c>
      <c r="I23" s="18" t="n">
        <v>0</v>
      </c>
      <c r="J23" s="20" t="n">
        <v>0</v>
      </c>
      <c r="K23" s="18" t="n">
        <v>0.34262853</v>
      </c>
      <c r="L23" s="20" t="n">
        <v>0.21552393</v>
      </c>
      <c r="M23" s="18" t="n">
        <v>0</v>
      </c>
      <c r="N23" s="20" t="n">
        <v>0</v>
      </c>
      <c r="O23" s="18" t="n">
        <v>0</v>
      </c>
      <c r="P23" s="20" t="n">
        <v>0</v>
      </c>
      <c r="Q23" s="18" t="n">
        <v>1.93873658</v>
      </c>
      <c r="R23" s="20" t="n">
        <v>0.61023518</v>
      </c>
    </row>
    <row r="24" spans="1:18">
      <c r="A24" s="15" t="s">
        <v>582</v>
      </c>
      <c r="B24" s="17" t="n">
        <v>6647</v>
      </c>
      <c r="C24" s="18">
        <f>(5202.0/B24*100)</f>
        <v/>
      </c>
      <c r="D24" s="19" t="n">
        <v>1445</v>
      </c>
      <c r="E24" s="18" t="n">
        <v>11.10514732</v>
      </c>
      <c r="F24" s="20" t="n">
        <v>0.85307909</v>
      </c>
      <c r="G24" s="18" t="n">
        <v>88.00715477</v>
      </c>
      <c r="H24" s="20" t="n">
        <v>0.9098547</v>
      </c>
      <c r="I24" s="18" t="n">
        <v>0</v>
      </c>
      <c r="J24" s="20" t="n">
        <v>0</v>
      </c>
      <c r="K24" s="18" t="n">
        <v>0.11446762</v>
      </c>
      <c r="L24" s="20" t="n">
        <v>0.08240053999999999</v>
      </c>
      <c r="M24" s="18" t="n">
        <v>0</v>
      </c>
      <c r="N24" s="20" t="n">
        <v>0</v>
      </c>
      <c r="O24" s="18" t="n">
        <v>0</v>
      </c>
      <c r="P24" s="20" t="n">
        <v>0</v>
      </c>
      <c r="Q24" s="18" t="n">
        <v>0.77323029</v>
      </c>
      <c r="R24" s="20" t="n">
        <v>0.26105588</v>
      </c>
    </row>
    <row r="25" spans="1:18">
      <c r="A25" s="15" t="s">
        <v>583</v>
      </c>
      <c r="B25" s="17" t="n">
        <v>5581</v>
      </c>
      <c r="C25" s="18">
        <f>(4367.0/B25*100)</f>
        <v/>
      </c>
      <c r="D25" s="19" t="n">
        <v>1214</v>
      </c>
      <c r="E25" s="18" t="n">
        <v>22.97593717</v>
      </c>
      <c r="F25" s="20" t="n">
        <v>1.07072584</v>
      </c>
      <c r="G25" s="18" t="n">
        <v>75.85998936</v>
      </c>
      <c r="H25" s="20" t="n">
        <v>1.173304</v>
      </c>
      <c r="I25" s="18" t="n">
        <v>0</v>
      </c>
      <c r="J25" s="20" t="n">
        <v>0</v>
      </c>
      <c r="K25" s="18" t="n">
        <v>0</v>
      </c>
      <c r="L25" s="20" t="n">
        <v>0</v>
      </c>
      <c r="M25" s="18" t="n">
        <v>0</v>
      </c>
      <c r="N25" s="20" t="n">
        <v>0</v>
      </c>
      <c r="O25" s="18" t="n">
        <v>0</v>
      </c>
      <c r="P25" s="20" t="n">
        <v>0</v>
      </c>
      <c r="Q25" s="18" t="n">
        <v>1.16407348</v>
      </c>
      <c r="R25" s="20" t="n">
        <v>0.34749793</v>
      </c>
    </row>
    <row r="26" spans="1:18">
      <c r="A26" s="15" t="s">
        <v>584</v>
      </c>
      <c r="B26" s="17" t="n">
        <v>4869</v>
      </c>
      <c r="C26" s="18">
        <f>(3761.0/B26*100)</f>
        <v/>
      </c>
      <c r="D26" s="19" t="n">
        <v>1108</v>
      </c>
      <c r="E26" s="18" t="n">
        <v>27.52178586</v>
      </c>
      <c r="F26" s="20" t="n">
        <v>1.34092644</v>
      </c>
      <c r="G26" s="18" t="n">
        <v>72.24895329</v>
      </c>
      <c r="H26" s="20" t="n">
        <v>1.37673588</v>
      </c>
      <c r="I26" s="18" t="n">
        <v>0</v>
      </c>
      <c r="J26" s="20" t="n">
        <v>0</v>
      </c>
      <c r="K26" s="18" t="n">
        <v>0</v>
      </c>
      <c r="L26" s="20" t="n">
        <v>0</v>
      </c>
      <c r="M26" s="18" t="n">
        <v>0</v>
      </c>
      <c r="N26" s="20" t="n">
        <v>0</v>
      </c>
      <c r="O26" s="18" t="n">
        <v>0</v>
      </c>
      <c r="P26" s="20" t="n">
        <v>0</v>
      </c>
      <c r="Q26" s="18" t="n">
        <v>0.22926085</v>
      </c>
      <c r="R26" s="20" t="n">
        <v>0.13010548</v>
      </c>
    </row>
    <row r="27" spans="1:18">
      <c r="A27" s="15" t="s">
        <v>585</v>
      </c>
      <c r="B27" s="17" t="n">
        <v>5299</v>
      </c>
      <c r="C27" s="18">
        <f>(4153.0/B27*100)</f>
        <v/>
      </c>
      <c r="D27" s="19" t="n">
        <v>1146</v>
      </c>
      <c r="E27" s="18" t="n">
        <v>28.34742568</v>
      </c>
      <c r="F27" s="20" t="n">
        <v>1.2714962</v>
      </c>
      <c r="G27" s="18" t="n">
        <v>70.7813941</v>
      </c>
      <c r="H27" s="20" t="n">
        <v>1.26141435</v>
      </c>
      <c r="I27" s="18" t="n">
        <v>0</v>
      </c>
      <c r="J27" s="20" t="n">
        <v>0</v>
      </c>
      <c r="K27" s="18" t="n">
        <v>0</v>
      </c>
      <c r="L27" s="20" t="n">
        <v>0</v>
      </c>
      <c r="M27" s="18" t="n">
        <v>0</v>
      </c>
      <c r="N27" s="20" t="n">
        <v>0</v>
      </c>
      <c r="O27" s="18" t="n">
        <v>0</v>
      </c>
      <c r="P27" s="20" t="n">
        <v>0</v>
      </c>
      <c r="Q27" s="18" t="n">
        <v>0.8711802199999999</v>
      </c>
      <c r="R27" s="20" t="n">
        <v>0.27345173</v>
      </c>
    </row>
    <row r="28" spans="1:18">
      <c r="A28" s="15" t="s">
        <v>586</v>
      </c>
      <c r="B28" s="17" t="n">
        <v>7568</v>
      </c>
      <c r="C28" s="18">
        <f>(5928.0/B28*100)</f>
        <v/>
      </c>
      <c r="D28" s="19" t="n">
        <v>1640</v>
      </c>
      <c r="E28" s="18" t="n">
        <v>41.69475727</v>
      </c>
      <c r="F28" s="20" t="n">
        <v>1.50129601</v>
      </c>
      <c r="G28" s="18" t="n">
        <v>54.0698233</v>
      </c>
      <c r="H28" s="20" t="n">
        <v>1.54656449</v>
      </c>
      <c r="I28" s="18" t="n">
        <v>0</v>
      </c>
      <c r="J28" s="20" t="n">
        <v>0</v>
      </c>
      <c r="K28" s="18" t="n">
        <v>0.22989415</v>
      </c>
      <c r="L28" s="20" t="n">
        <v>0.13602428</v>
      </c>
      <c r="M28" s="18" t="n">
        <v>0</v>
      </c>
      <c r="N28" s="20" t="n">
        <v>0</v>
      </c>
      <c r="O28" s="18" t="n">
        <v>0</v>
      </c>
      <c r="P28" s="20" t="n">
        <v>0</v>
      </c>
      <c r="Q28" s="18" t="n">
        <v>4.00552528</v>
      </c>
      <c r="R28" s="20" t="n">
        <v>0.62501715</v>
      </c>
    </row>
    <row r="29" spans="1:18">
      <c r="A29" s="15" t="s">
        <v>587</v>
      </c>
      <c r="B29" s="17" t="n">
        <v>5385</v>
      </c>
      <c r="C29" s="18">
        <f>(4212.0/B29*100)</f>
        <v/>
      </c>
      <c r="D29" s="19" t="n">
        <v>1173</v>
      </c>
      <c r="E29" s="18" t="n">
        <v>35.29988883</v>
      </c>
      <c r="F29" s="20" t="n">
        <v>1.69361479</v>
      </c>
      <c r="G29" s="18" t="n">
        <v>64.09958324999999</v>
      </c>
      <c r="H29" s="20" t="n">
        <v>1.72742126</v>
      </c>
      <c r="I29" s="18" t="n">
        <v>0</v>
      </c>
      <c r="J29" s="20" t="n">
        <v>0</v>
      </c>
      <c r="K29" s="18" t="n">
        <v>0.2666919</v>
      </c>
      <c r="L29" s="20" t="n">
        <v>0.08462612999999999</v>
      </c>
      <c r="M29" s="18" t="n">
        <v>0</v>
      </c>
      <c r="N29" s="20" t="n">
        <v>0</v>
      </c>
      <c r="O29" s="18" t="n">
        <v>0</v>
      </c>
      <c r="P29" s="20" t="n">
        <v>0</v>
      </c>
      <c r="Q29" s="18" t="n">
        <v>0.33383603</v>
      </c>
      <c r="R29" s="20" t="n">
        <v>0.16824847</v>
      </c>
    </row>
    <row r="30" spans="1:18">
      <c r="A30" s="15" t="s">
        <v>588</v>
      </c>
      <c r="B30" s="17" t="n">
        <v>4520</v>
      </c>
      <c r="C30" s="18">
        <f>(3542.0/B30*100)</f>
        <v/>
      </c>
      <c r="D30" s="19" t="n">
        <v>978</v>
      </c>
      <c r="E30" s="18" t="n">
        <v>21.66026682</v>
      </c>
      <c r="F30" s="20" t="n">
        <v>1.64417106</v>
      </c>
      <c r="G30" s="18" t="n">
        <v>77.10135274</v>
      </c>
      <c r="H30" s="20" t="n">
        <v>1.58205679</v>
      </c>
      <c r="I30" s="18" t="n">
        <v>0</v>
      </c>
      <c r="J30" s="20" t="n">
        <v>0</v>
      </c>
      <c r="K30" s="18" t="n">
        <v>0.09768092</v>
      </c>
      <c r="L30" s="20" t="n">
        <v>0.0841582</v>
      </c>
      <c r="M30" s="18" t="n">
        <v>0</v>
      </c>
      <c r="N30" s="20" t="n">
        <v>0</v>
      </c>
      <c r="O30" s="18" t="n">
        <v>0</v>
      </c>
      <c r="P30" s="20" t="n">
        <v>0</v>
      </c>
      <c r="Q30" s="18" t="n">
        <v>1.14069952</v>
      </c>
      <c r="R30" s="20" t="n">
        <v>0.40950958</v>
      </c>
    </row>
    <row r="31" spans="1:18">
      <c r="A31" s="15" t="s">
        <v>589</v>
      </c>
      <c r="B31" s="17" t="n">
        <v>5456</v>
      </c>
      <c r="C31" s="18">
        <f>(4274.0/B31*100)</f>
        <v/>
      </c>
      <c r="D31" s="19" t="n">
        <v>1182</v>
      </c>
      <c r="E31" s="18" t="n">
        <v>27.67090804</v>
      </c>
      <c r="F31" s="20" t="n">
        <v>1.51207769</v>
      </c>
      <c r="G31" s="18" t="n">
        <v>71.48282128</v>
      </c>
      <c r="H31" s="20" t="n">
        <v>1.47265052</v>
      </c>
      <c r="I31" s="18" t="n">
        <v>0</v>
      </c>
      <c r="J31" s="20" t="n">
        <v>0</v>
      </c>
      <c r="K31" s="18" t="n">
        <v>0.39503294</v>
      </c>
      <c r="L31" s="20" t="n">
        <v>0.17677845</v>
      </c>
      <c r="M31" s="18" t="n">
        <v>0</v>
      </c>
      <c r="N31" s="20" t="n">
        <v>0</v>
      </c>
      <c r="O31" s="18" t="n">
        <v>0</v>
      </c>
      <c r="P31" s="20" t="n">
        <v>0</v>
      </c>
      <c r="Q31" s="18" t="n">
        <v>0.45123773</v>
      </c>
      <c r="R31" s="20" t="n">
        <v>0.19310194</v>
      </c>
    </row>
    <row r="32" spans="1:18">
      <c r="A32" s="15" t="s">
        <v>590</v>
      </c>
      <c r="B32" s="17" t="n">
        <v>4478</v>
      </c>
      <c r="C32" s="18">
        <f>(3533.0/B32*100)</f>
        <v/>
      </c>
      <c r="D32" s="19" t="n">
        <v>945</v>
      </c>
      <c r="E32" s="18" t="n">
        <v>26.12037634</v>
      </c>
      <c r="F32" s="20" t="n">
        <v>1.46003054</v>
      </c>
      <c r="G32" s="18" t="n">
        <v>73.09259058000001</v>
      </c>
      <c r="H32" s="20" t="n">
        <v>1.5406901</v>
      </c>
      <c r="I32" s="18" t="n">
        <v>0</v>
      </c>
      <c r="J32" s="20" t="n">
        <v>0</v>
      </c>
      <c r="K32" s="18" t="n">
        <v>0</v>
      </c>
      <c r="L32" s="20" t="n">
        <v>0</v>
      </c>
      <c r="M32" s="18" t="n">
        <v>0</v>
      </c>
      <c r="N32" s="20" t="n">
        <v>0</v>
      </c>
      <c r="O32" s="18" t="n">
        <v>0</v>
      </c>
      <c r="P32" s="20" t="n">
        <v>0</v>
      </c>
      <c r="Q32" s="18" t="n">
        <v>0.7870330800000001</v>
      </c>
      <c r="R32" s="20" t="n">
        <v>0.26907895</v>
      </c>
    </row>
    <row r="33" spans="1:18">
      <c r="A33" s="15" t="s">
        <v>591</v>
      </c>
      <c r="B33" s="17" t="n">
        <v>7325</v>
      </c>
      <c r="C33" s="18">
        <f>(5685.0/B33*100)</f>
        <v/>
      </c>
      <c r="D33" s="19" t="n">
        <v>1640</v>
      </c>
      <c r="E33" s="18" t="n">
        <v>26.13042118</v>
      </c>
      <c r="F33" s="20" t="n">
        <v>1.33236001</v>
      </c>
      <c r="G33" s="18" t="n">
        <v>73.52025285000001</v>
      </c>
      <c r="H33" s="20" t="n">
        <v>1.33059357</v>
      </c>
      <c r="I33" s="18" t="n">
        <v>0</v>
      </c>
      <c r="J33" s="20" t="n">
        <v>0</v>
      </c>
      <c r="K33" s="18" t="n">
        <v>0</v>
      </c>
      <c r="L33" s="20" t="n">
        <v>0</v>
      </c>
      <c r="M33" s="18" t="n">
        <v>0</v>
      </c>
      <c r="N33" s="20" t="n">
        <v>0</v>
      </c>
      <c r="O33" s="18" t="n">
        <v>0</v>
      </c>
      <c r="P33" s="20" t="n">
        <v>0</v>
      </c>
      <c r="Q33" s="18" t="n">
        <v>0.34932597</v>
      </c>
      <c r="R33" s="20" t="n">
        <v>0.15323188</v>
      </c>
    </row>
    <row r="34" spans="1:18">
      <c r="A34" s="15" t="s">
        <v>592</v>
      </c>
      <c r="B34" s="17" t="n">
        <v>6350</v>
      </c>
      <c r="C34" s="18">
        <f>(4981.0/B34*100)</f>
        <v/>
      </c>
      <c r="D34" s="19" t="n">
        <v>1369</v>
      </c>
      <c r="E34" s="18" t="n">
        <v>28.96055308</v>
      </c>
      <c r="F34" s="20" t="n">
        <v>1.49304148</v>
      </c>
      <c r="G34" s="18" t="n">
        <v>68.29171845</v>
      </c>
      <c r="H34" s="20" t="n">
        <v>1.50369066</v>
      </c>
      <c r="I34" s="18" t="n">
        <v>0</v>
      </c>
      <c r="J34" s="20" t="n">
        <v>0</v>
      </c>
      <c r="K34" s="18" t="n">
        <v>0</v>
      </c>
      <c r="L34" s="20" t="n">
        <v>0</v>
      </c>
      <c r="M34" s="18" t="n">
        <v>0</v>
      </c>
      <c r="N34" s="20" t="n">
        <v>0</v>
      </c>
      <c r="O34" s="18" t="n">
        <v>0</v>
      </c>
      <c r="P34" s="20" t="n">
        <v>0</v>
      </c>
      <c r="Q34" s="18" t="n">
        <v>2.74772847</v>
      </c>
      <c r="R34" s="20" t="n">
        <v>0.52392497</v>
      </c>
    </row>
    <row r="35" spans="1:18">
      <c r="A35" s="15" t="s">
        <v>593</v>
      </c>
      <c r="B35" s="17" t="n">
        <v>6406</v>
      </c>
      <c r="C35" s="18">
        <f>(4975.0/B35*100)</f>
        <v/>
      </c>
      <c r="D35" s="19" t="n">
        <v>1431</v>
      </c>
      <c r="E35" s="18" t="n">
        <v>26.20534677</v>
      </c>
      <c r="F35" s="20" t="n">
        <v>1.39399007</v>
      </c>
      <c r="G35" s="18" t="n">
        <v>73.04438536000001</v>
      </c>
      <c r="H35" s="20" t="n">
        <v>1.41102035</v>
      </c>
      <c r="I35" s="18" t="n">
        <v>0</v>
      </c>
      <c r="J35" s="20" t="n">
        <v>0</v>
      </c>
      <c r="K35" s="18" t="n">
        <v>0.03354668</v>
      </c>
      <c r="L35" s="20" t="n">
        <v>0.03364537</v>
      </c>
      <c r="M35" s="18" t="n">
        <v>0</v>
      </c>
      <c r="N35" s="20" t="n">
        <v>0</v>
      </c>
      <c r="O35" s="18" t="n">
        <v>0</v>
      </c>
      <c r="P35" s="20" t="n">
        <v>0</v>
      </c>
      <c r="Q35" s="18" t="n">
        <v>0.71672118</v>
      </c>
      <c r="R35" s="20" t="n">
        <v>0.2152939</v>
      </c>
    </row>
    <row r="36" spans="1:18">
      <c r="A36" s="15" t="s">
        <v>594</v>
      </c>
      <c r="B36" s="17" t="n">
        <v>6736</v>
      </c>
      <c r="C36" s="18">
        <f>(5228.0/B36*100)</f>
        <v/>
      </c>
      <c r="D36" s="19" t="n">
        <v>1508</v>
      </c>
      <c r="E36" s="18" t="n">
        <v>21.23948868</v>
      </c>
      <c r="F36" s="20" t="n">
        <v>1.24049561</v>
      </c>
      <c r="G36" s="18" t="n">
        <v>76.89993034</v>
      </c>
      <c r="H36" s="20" t="n">
        <v>1.26861027</v>
      </c>
      <c r="I36" s="18" t="n">
        <v>0</v>
      </c>
      <c r="J36" s="20" t="n">
        <v>0</v>
      </c>
      <c r="K36" s="18" t="n">
        <v>0.18740359</v>
      </c>
      <c r="L36" s="20" t="n">
        <v>0.14090098</v>
      </c>
      <c r="M36" s="18" t="n">
        <v>0</v>
      </c>
      <c r="N36" s="20" t="n">
        <v>0</v>
      </c>
      <c r="O36" s="18" t="n">
        <v>0</v>
      </c>
      <c r="P36" s="20" t="n">
        <v>0</v>
      </c>
      <c r="Q36" s="18" t="n">
        <v>1.67317738</v>
      </c>
      <c r="R36" s="20" t="n">
        <v>0.41124778</v>
      </c>
    </row>
    <row r="37" spans="1:18">
      <c r="A37" s="15" t="s">
        <v>595</v>
      </c>
      <c r="B37" s="17" t="n">
        <v>5458</v>
      </c>
      <c r="C37" s="18">
        <f>(4252.0/B37*100)</f>
        <v/>
      </c>
      <c r="D37" s="19" t="n">
        <v>1206</v>
      </c>
      <c r="E37" s="18" t="n">
        <v>26.39212013</v>
      </c>
      <c r="F37" s="20" t="n">
        <v>1.29496392</v>
      </c>
      <c r="G37" s="18" t="n">
        <v>70.87603017000001</v>
      </c>
      <c r="H37" s="20" t="n">
        <v>1.34049307</v>
      </c>
      <c r="I37" s="18" t="n">
        <v>0</v>
      </c>
      <c r="J37" s="20" t="n">
        <v>0</v>
      </c>
      <c r="K37" s="18" t="n">
        <v>0.4231449</v>
      </c>
      <c r="L37" s="20" t="n">
        <v>0.18456081</v>
      </c>
      <c r="M37" s="18" t="n">
        <v>0</v>
      </c>
      <c r="N37" s="20" t="n">
        <v>0</v>
      </c>
      <c r="O37" s="18" t="n">
        <v>0</v>
      </c>
      <c r="P37" s="20" t="n">
        <v>0</v>
      </c>
      <c r="Q37" s="18" t="n">
        <v>2.30870481</v>
      </c>
      <c r="R37" s="20" t="n">
        <v>0.43703451</v>
      </c>
    </row>
    <row r="38" spans="1:18">
      <c r="A38" s="15" t="s">
        <v>596</v>
      </c>
      <c r="B38" s="17" t="n">
        <v>5860</v>
      </c>
      <c r="C38" s="18">
        <f>(4502.0/B38*100)</f>
        <v/>
      </c>
      <c r="D38" s="19" t="n">
        <v>1358</v>
      </c>
      <c r="E38" s="18" t="n">
        <v>25.04839203</v>
      </c>
      <c r="F38" s="20" t="n">
        <v>1.56118055</v>
      </c>
      <c r="G38" s="18" t="n">
        <v>74.39794234999999</v>
      </c>
      <c r="H38" s="20" t="n">
        <v>1.55020606</v>
      </c>
      <c r="I38" s="18" t="n">
        <v>0</v>
      </c>
      <c r="J38" s="20" t="n">
        <v>0</v>
      </c>
      <c r="K38" s="18" t="n">
        <v>0</v>
      </c>
      <c r="L38" s="20" t="n">
        <v>0</v>
      </c>
      <c r="M38" s="18" t="n">
        <v>0</v>
      </c>
      <c r="N38" s="20" t="n">
        <v>0</v>
      </c>
      <c r="O38" s="18" t="n">
        <v>0</v>
      </c>
      <c r="P38" s="20" t="n">
        <v>0</v>
      </c>
      <c r="Q38" s="18" t="n">
        <v>0.55366561</v>
      </c>
      <c r="R38" s="20" t="n">
        <v>0.20673471</v>
      </c>
    </row>
    <row r="39" spans="1:18">
      <c r="A39" s="15" t="s">
        <v>597</v>
      </c>
      <c r="B39" s="17" t="n">
        <v>5895</v>
      </c>
      <c r="C39" s="18">
        <f>(4591.0/B39*100)</f>
        <v/>
      </c>
      <c r="D39" s="19" t="n">
        <v>1304</v>
      </c>
      <c r="E39" s="18" t="n">
        <v>55.69741099</v>
      </c>
      <c r="F39" s="20" t="n">
        <v>1.86274554</v>
      </c>
      <c r="G39" s="18" t="n">
        <v>42.219596</v>
      </c>
      <c r="H39" s="20" t="n">
        <v>1.98713526</v>
      </c>
      <c r="I39" s="18" t="n">
        <v>0</v>
      </c>
      <c r="J39" s="20" t="n">
        <v>0</v>
      </c>
      <c r="K39" s="18" t="n">
        <v>0.17012167</v>
      </c>
      <c r="L39" s="20" t="n">
        <v>0.12143719</v>
      </c>
      <c r="M39" s="18" t="n">
        <v>0</v>
      </c>
      <c r="N39" s="20" t="n">
        <v>0</v>
      </c>
      <c r="O39" s="18" t="n">
        <v>0</v>
      </c>
      <c r="P39" s="20" t="n">
        <v>0</v>
      </c>
      <c r="Q39" s="18" t="n">
        <v>1.91287134</v>
      </c>
      <c r="R39" s="20" t="n">
        <v>0.4824743</v>
      </c>
    </row>
    <row r="40" spans="1:18">
      <c r="A40" s="15" t="s">
        <v>598</v>
      </c>
      <c r="B40" s="17" t="n">
        <v>14157</v>
      </c>
      <c r="C40" s="18">
        <f>(10973.0/B40*100)</f>
        <v/>
      </c>
      <c r="D40" s="19" t="n">
        <v>3184</v>
      </c>
      <c r="E40" s="18" t="n">
        <v>30.07226799</v>
      </c>
      <c r="F40" s="20" t="n">
        <v>1.14471686</v>
      </c>
      <c r="G40" s="18" t="n">
        <v>69.14530696</v>
      </c>
      <c r="H40" s="20" t="n">
        <v>1.17918321</v>
      </c>
      <c r="I40" s="18" t="n">
        <v>0</v>
      </c>
      <c r="J40" s="20" t="n">
        <v>0</v>
      </c>
      <c r="K40" s="18" t="n">
        <v>0.05969383</v>
      </c>
      <c r="L40" s="20" t="n">
        <v>0.0566278</v>
      </c>
      <c r="M40" s="18" t="n">
        <v>0</v>
      </c>
      <c r="N40" s="20" t="n">
        <v>0</v>
      </c>
      <c r="O40" s="18" t="n">
        <v>0</v>
      </c>
      <c r="P40" s="20" t="n">
        <v>0</v>
      </c>
      <c r="Q40" s="18" t="n">
        <v>0.72273122</v>
      </c>
      <c r="R40" s="20" t="n">
        <v>0.24836117</v>
      </c>
    </row>
    <row r="41" spans="1:18">
      <c r="A41" s="15" t="s">
        <v>599</v>
      </c>
      <c r="B41" s="17" t="n">
        <v>5712</v>
      </c>
      <c r="C41" s="18">
        <f>(4504.0/B41*100)</f>
        <v/>
      </c>
      <c r="D41" s="19" t="n">
        <v>1208</v>
      </c>
      <c r="E41" s="18" t="n">
        <v>26.14848882</v>
      </c>
      <c r="F41" s="20" t="n">
        <v>1.43179259</v>
      </c>
      <c r="G41" s="18" t="n">
        <v>72.4969962</v>
      </c>
      <c r="H41" s="20" t="n">
        <v>1.51273249</v>
      </c>
      <c r="I41" s="18" t="n">
        <v>0</v>
      </c>
      <c r="J41" s="20" t="n">
        <v>0</v>
      </c>
      <c r="K41" s="18" t="n">
        <v>0.11282029</v>
      </c>
      <c r="L41" s="20" t="n">
        <v>0.09224483</v>
      </c>
      <c r="M41" s="18" t="n">
        <v>0</v>
      </c>
      <c r="N41" s="20" t="n">
        <v>0</v>
      </c>
      <c r="O41" s="18" t="n">
        <v>0</v>
      </c>
      <c r="P41" s="20" t="n">
        <v>0</v>
      </c>
      <c r="Q41" s="18" t="n">
        <v>1.2416947</v>
      </c>
      <c r="R41" s="20" t="n">
        <v>0.30308324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(18446.0/B46*100)</f>
        <v/>
      </c>
      <c r="D46" s="19" t="n">
        <v>4695</v>
      </c>
      <c r="E46" s="18" t="n">
        <v>47.52616526</v>
      </c>
      <c r="F46" s="20" t="n">
        <v>0.91137982</v>
      </c>
      <c r="G46" s="18" t="n">
        <v>44.52625009</v>
      </c>
      <c r="H46" s="20" t="n">
        <v>0.98047818</v>
      </c>
      <c r="I46" s="18" t="n">
        <v>0</v>
      </c>
      <c r="J46" s="20" t="n">
        <v>0</v>
      </c>
      <c r="K46" s="18" t="n">
        <v>0.65709067</v>
      </c>
      <c r="L46" s="20" t="n">
        <v>0.21272435</v>
      </c>
      <c r="M46" s="18" t="n">
        <v>0</v>
      </c>
      <c r="N46" s="20" t="n">
        <v>0</v>
      </c>
      <c r="O46" s="18" t="n">
        <v>0</v>
      </c>
      <c r="P46" s="20" t="n">
        <v>0</v>
      </c>
      <c r="Q46" s="18" t="n">
        <v>7.29049398</v>
      </c>
      <c r="R46" s="20" t="n">
        <v>0.5810989</v>
      </c>
    </row>
    <row r="47" spans="1:18">
      <c r="A47" s="15" t="s">
        <v>606</v>
      </c>
      <c r="B47" s="17" t="n">
        <v>5928</v>
      </c>
      <c r="C47" s="18">
        <f>(4616.0/B47*100)</f>
        <v/>
      </c>
      <c r="D47" s="19" t="n">
        <v>1312</v>
      </c>
      <c r="E47" s="18" t="n">
        <v>33.23895228</v>
      </c>
      <c r="F47" s="20" t="n">
        <v>1.45803823</v>
      </c>
      <c r="G47" s="18" t="n">
        <v>60.98732447</v>
      </c>
      <c r="H47" s="20" t="n">
        <v>1.75484012</v>
      </c>
      <c r="I47" s="18" t="n">
        <v>0</v>
      </c>
      <c r="J47" s="20" t="n">
        <v>0</v>
      </c>
      <c r="K47" s="18" t="n">
        <v>0.45218602</v>
      </c>
      <c r="L47" s="20" t="n">
        <v>0.19744439</v>
      </c>
      <c r="M47" s="18" t="n">
        <v>0</v>
      </c>
      <c r="N47" s="20" t="n">
        <v>0</v>
      </c>
      <c r="O47" s="18" t="n">
        <v>0</v>
      </c>
      <c r="P47" s="20" t="n">
        <v>0</v>
      </c>
      <c r="Q47" s="18" t="n">
        <v>5.32153723</v>
      </c>
      <c r="R47" s="20" t="n">
        <v>0.72670925</v>
      </c>
    </row>
    <row r="48" spans="1:18">
      <c r="A48" s="15" t="s">
        <v>607</v>
      </c>
      <c r="B48" s="17" t="n">
        <v>9841</v>
      </c>
      <c r="C48" s="18">
        <f>(7687.0/B48*100)</f>
        <v/>
      </c>
      <c r="D48" s="19" t="n">
        <v>2154</v>
      </c>
      <c r="E48" s="18" t="n">
        <v>36.08760571</v>
      </c>
      <c r="F48" s="20" t="n">
        <v>1.42205082</v>
      </c>
      <c r="G48" s="18" t="n">
        <v>61.4400308</v>
      </c>
      <c r="H48" s="20" t="n">
        <v>1.56440703</v>
      </c>
      <c r="I48" s="18" t="n">
        <v>0</v>
      </c>
      <c r="J48" s="20" t="n">
        <v>0</v>
      </c>
      <c r="K48" s="18" t="n">
        <v>0.43561097</v>
      </c>
      <c r="L48" s="20" t="n">
        <v>0.17833629</v>
      </c>
      <c r="M48" s="18" t="n">
        <v>0</v>
      </c>
      <c r="N48" s="20" t="n">
        <v>0</v>
      </c>
      <c r="O48" s="18" t="n">
        <v>0</v>
      </c>
      <c r="P48" s="20" t="n">
        <v>0</v>
      </c>
      <c r="Q48" s="18" t="n">
        <v>2.03675252</v>
      </c>
      <c r="R48" s="20" t="n">
        <v>0.39973292</v>
      </c>
    </row>
    <row r="49" spans="1:18">
      <c r="A49" s="15" t="s">
        <v>608</v>
      </c>
      <c r="B49" s="17" t="n">
        <v>11795</v>
      </c>
      <c r="C49" s="18">
        <f>(9199.0/B49*100)</f>
        <v/>
      </c>
      <c r="D49" s="19" t="n">
        <v>2596</v>
      </c>
      <c r="E49" s="18" t="n">
        <v>39.79088705</v>
      </c>
      <c r="F49" s="20" t="n">
        <v>1.47870377</v>
      </c>
      <c r="G49" s="18" t="n">
        <v>55.86822038</v>
      </c>
      <c r="H49" s="20" t="n">
        <v>1.60476945</v>
      </c>
      <c r="I49" s="18" t="n">
        <v>0</v>
      </c>
      <c r="J49" s="20" t="n">
        <v>0</v>
      </c>
      <c r="K49" s="18" t="n">
        <v>0.5067189</v>
      </c>
      <c r="L49" s="20" t="n">
        <v>0.19753162</v>
      </c>
      <c r="M49" s="18" t="n">
        <v>0</v>
      </c>
      <c r="N49" s="20" t="n">
        <v>0</v>
      </c>
      <c r="O49" s="18" t="n">
        <v>0</v>
      </c>
      <c r="P49" s="20" t="n">
        <v>0</v>
      </c>
      <c r="Q49" s="18" t="n">
        <v>3.83417368</v>
      </c>
      <c r="R49" s="20" t="n">
        <v>0.63007683</v>
      </c>
    </row>
    <row r="50" spans="1:18">
      <c r="A50" s="15" t="s">
        <v>609</v>
      </c>
      <c r="B50" s="17" t="n">
        <v>6866</v>
      </c>
      <c r="C50" s="18">
        <f>(5524.0/B50*100)</f>
        <v/>
      </c>
      <c r="D50" s="19" t="n">
        <v>1342</v>
      </c>
      <c r="E50" s="18" t="n">
        <v>41.05339299</v>
      </c>
      <c r="F50" s="20" t="n">
        <v>1.84266672</v>
      </c>
      <c r="G50" s="18" t="n">
        <v>56.74140201</v>
      </c>
      <c r="H50" s="20" t="n">
        <v>1.82778389</v>
      </c>
      <c r="I50" s="18" t="n">
        <v>0</v>
      </c>
      <c r="J50" s="20" t="n">
        <v>0</v>
      </c>
      <c r="K50" s="18" t="n">
        <v>0.244886</v>
      </c>
      <c r="L50" s="20" t="n">
        <v>0.14352062</v>
      </c>
      <c r="M50" s="18" t="n">
        <v>0</v>
      </c>
      <c r="N50" s="20" t="n">
        <v>0</v>
      </c>
      <c r="O50" s="18" t="n">
        <v>0</v>
      </c>
      <c r="P50" s="20" t="n">
        <v>0</v>
      </c>
      <c r="Q50" s="18" t="n">
        <v>1.96031901</v>
      </c>
      <c r="R50" s="20" t="n">
        <v>0.42798402</v>
      </c>
    </row>
    <row r="51" spans="1:18">
      <c r="A51" s="15" t="s">
        <v>610</v>
      </c>
      <c r="B51" s="17" t="n">
        <v>5809</v>
      </c>
      <c r="C51" s="18">
        <f>(4538.0/B51*100)</f>
        <v/>
      </c>
      <c r="D51" s="19" t="n">
        <v>1271</v>
      </c>
      <c r="E51" s="18" t="n">
        <v>32.28562539</v>
      </c>
      <c r="F51" s="20" t="n">
        <v>1.39655017</v>
      </c>
      <c r="G51" s="18" t="n">
        <v>66.12615542</v>
      </c>
      <c r="H51" s="20" t="n">
        <v>1.4470832</v>
      </c>
      <c r="I51" s="18" t="n">
        <v>0</v>
      </c>
      <c r="J51" s="20" t="n">
        <v>0</v>
      </c>
      <c r="K51" s="18" t="n">
        <v>0.08001912999999999</v>
      </c>
      <c r="L51" s="20" t="n">
        <v>0.07831767000000001</v>
      </c>
      <c r="M51" s="18" t="n">
        <v>0</v>
      </c>
      <c r="N51" s="20" t="n">
        <v>0</v>
      </c>
      <c r="O51" s="18" t="n">
        <v>0</v>
      </c>
      <c r="P51" s="20" t="n">
        <v>0</v>
      </c>
      <c r="Q51" s="18" t="n">
        <v>1.50820006</v>
      </c>
      <c r="R51" s="20" t="n">
        <v>0.3846498</v>
      </c>
    </row>
    <row r="52" spans="1:18">
      <c r="A52" s="15" t="s">
        <v>611</v>
      </c>
      <c r="B52" s="17" t="n">
        <v>5571</v>
      </c>
      <c r="C52" s="18">
        <f>(4337.0/B52*100)</f>
        <v/>
      </c>
      <c r="D52" s="19" t="n">
        <v>1234</v>
      </c>
      <c r="E52" s="18" t="n">
        <v>35.48620884</v>
      </c>
      <c r="F52" s="20" t="n">
        <v>1.54567088</v>
      </c>
      <c r="G52" s="18" t="n">
        <v>61.66770895</v>
      </c>
      <c r="H52" s="20" t="n">
        <v>1.52034529</v>
      </c>
      <c r="I52" s="18" t="n">
        <v>0</v>
      </c>
      <c r="J52" s="20" t="n">
        <v>0</v>
      </c>
      <c r="K52" s="18" t="n">
        <v>0.1065723</v>
      </c>
      <c r="L52" s="20" t="n">
        <v>0.10670806</v>
      </c>
      <c r="M52" s="18" t="n">
        <v>0</v>
      </c>
      <c r="N52" s="20" t="n">
        <v>0</v>
      </c>
      <c r="O52" s="18" t="n">
        <v>0</v>
      </c>
      <c r="P52" s="20" t="n">
        <v>0</v>
      </c>
      <c r="Q52" s="18" t="n">
        <v>2.73950991</v>
      </c>
      <c r="R52" s="20" t="n">
        <v>0.40130464</v>
      </c>
    </row>
    <row r="53" spans="1:18">
      <c r="A53" s="15" t="s">
        <v>612</v>
      </c>
      <c r="B53" s="17" t="n">
        <v>4740</v>
      </c>
      <c r="C53" s="18">
        <f>(3675.0/B53*100)</f>
        <v/>
      </c>
      <c r="D53" s="19" t="n">
        <v>1065</v>
      </c>
      <c r="E53" s="18" t="n">
        <v>53.67698951</v>
      </c>
      <c r="F53" s="20" t="n">
        <v>1.77124034</v>
      </c>
      <c r="G53" s="18" t="n">
        <v>27.24041788</v>
      </c>
      <c r="H53" s="20" t="n">
        <v>1.59378057</v>
      </c>
      <c r="I53" s="18" t="n">
        <v>0</v>
      </c>
      <c r="J53" s="20" t="n">
        <v>0</v>
      </c>
      <c r="K53" s="18" t="n">
        <v>4.46216381</v>
      </c>
      <c r="L53" s="20" t="n">
        <v>0.64391274</v>
      </c>
      <c r="M53" s="18" t="n">
        <v>0</v>
      </c>
      <c r="N53" s="20" t="n">
        <v>0</v>
      </c>
      <c r="O53" s="18" t="n">
        <v>0</v>
      </c>
      <c r="P53" s="20" t="n">
        <v>0</v>
      </c>
      <c r="Q53" s="18" t="n">
        <v>14.6204288</v>
      </c>
      <c r="R53" s="20" t="n">
        <v>1.40445216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(4156.0/B55*100)</f>
        <v/>
      </c>
      <c r="D55" s="19" t="n">
        <v>1203</v>
      </c>
      <c r="E55" s="18" t="n">
        <v>19.05702295</v>
      </c>
      <c r="F55" s="20" t="n">
        <v>1.27212855</v>
      </c>
      <c r="G55" s="18" t="n">
        <v>80.13357277</v>
      </c>
      <c r="H55" s="20" t="n">
        <v>1.29751425</v>
      </c>
      <c r="I55" s="18" t="n">
        <v>0</v>
      </c>
      <c r="J55" s="20" t="n">
        <v>0</v>
      </c>
      <c r="K55" s="18" t="n">
        <v>0.0711677</v>
      </c>
      <c r="L55" s="20" t="n">
        <v>0.07123458000000001</v>
      </c>
      <c r="M55" s="18" t="n">
        <v>0</v>
      </c>
      <c r="N55" s="20" t="n">
        <v>0</v>
      </c>
      <c r="O55" s="18" t="n">
        <v>0</v>
      </c>
      <c r="P55" s="20" t="n">
        <v>0</v>
      </c>
      <c r="Q55" s="18" t="n">
        <v>0.73823658</v>
      </c>
      <c r="R55" s="20" t="n">
        <v>0.24253769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(5087.0/B61*100)</f>
        <v/>
      </c>
      <c r="D61" s="19" t="n">
        <v>1438</v>
      </c>
      <c r="E61" s="18" t="n">
        <v>32.16394647</v>
      </c>
      <c r="F61" s="20" t="n">
        <v>1.36705634</v>
      </c>
      <c r="G61" s="18" t="n">
        <v>66.51489117</v>
      </c>
      <c r="H61" s="20" t="n">
        <v>1.49106329</v>
      </c>
      <c r="I61" s="18" t="n">
        <v>0</v>
      </c>
      <c r="J61" s="20" t="n">
        <v>0</v>
      </c>
      <c r="K61" s="18" t="n">
        <v>0.30300875</v>
      </c>
      <c r="L61" s="20" t="n">
        <v>0.21728752</v>
      </c>
      <c r="M61" s="18" t="n">
        <v>0</v>
      </c>
      <c r="N61" s="20" t="n">
        <v>0</v>
      </c>
      <c r="O61" s="18" t="n">
        <v>0</v>
      </c>
      <c r="P61" s="20" t="n">
        <v>0</v>
      </c>
      <c r="Q61" s="18" t="n">
        <v>1.01815361</v>
      </c>
      <c r="R61" s="20" t="n">
        <v>0.37760971</v>
      </c>
    </row>
    <row r="62" spans="1:18">
      <c r="A62" s="15" t="s">
        <v>622</v>
      </c>
      <c r="B62" s="17" t="n">
        <v>4476</v>
      </c>
      <c r="C62" s="18">
        <f>(3477.0/B62*100)</f>
        <v/>
      </c>
      <c r="D62" s="19" t="n">
        <v>999</v>
      </c>
      <c r="E62" s="18" t="n">
        <v>20.44789357</v>
      </c>
      <c r="F62" s="20" t="n">
        <v>1.34339482</v>
      </c>
      <c r="G62" s="18" t="n">
        <v>79.25073533</v>
      </c>
      <c r="H62" s="20" t="n">
        <v>1.32896206</v>
      </c>
      <c r="I62" s="18" t="n">
        <v>0</v>
      </c>
      <c r="J62" s="20" t="n">
        <v>0</v>
      </c>
      <c r="K62" s="18" t="n">
        <v>0</v>
      </c>
      <c r="L62" s="20" t="n">
        <v>0</v>
      </c>
      <c r="M62" s="18" t="n">
        <v>0</v>
      </c>
      <c r="N62" s="20" t="n">
        <v>0</v>
      </c>
      <c r="O62" s="18" t="n">
        <v>0</v>
      </c>
      <c r="P62" s="20" t="n">
        <v>0</v>
      </c>
      <c r="Q62" s="18" t="n">
        <v>0.3013711</v>
      </c>
      <c r="R62" s="20" t="n">
        <v>0.17332906</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(4457.0/B67*100)</f>
        <v/>
      </c>
      <c r="D67" s="19" t="n">
        <v>1208</v>
      </c>
      <c r="E67" s="18" t="n">
        <v>42.52852923</v>
      </c>
      <c r="F67" s="20" t="n">
        <v>1.52166634</v>
      </c>
      <c r="G67" s="18" t="n">
        <v>49.00791485</v>
      </c>
      <c r="H67" s="20" t="n">
        <v>1.42846254</v>
      </c>
      <c r="I67" s="18" t="n">
        <v>0</v>
      </c>
      <c r="J67" s="20" t="n">
        <v>0</v>
      </c>
      <c r="K67" s="18" t="n">
        <v>0.30792077</v>
      </c>
      <c r="L67" s="20" t="n">
        <v>0.15307437</v>
      </c>
      <c r="M67" s="18" t="n">
        <v>0</v>
      </c>
      <c r="N67" s="20" t="n">
        <v>0</v>
      </c>
      <c r="O67" s="18" t="n">
        <v>0</v>
      </c>
      <c r="P67" s="20" t="n">
        <v>0</v>
      </c>
      <c r="Q67" s="18" t="n">
        <v>8.15563515</v>
      </c>
      <c r="R67" s="20" t="n">
        <v>0.76095143</v>
      </c>
    </row>
    <row r="68" spans="1:18">
      <c r="A68" s="15" t="s">
        <v>628</v>
      </c>
      <c r="B68" s="17" t="n">
        <v>6971</v>
      </c>
      <c r="C68" s="18">
        <f>(5509.0/B68*100)</f>
        <v/>
      </c>
      <c r="D68" s="19" t="n">
        <v>1462</v>
      </c>
      <c r="E68" s="18" t="n">
        <v>44.3793023</v>
      </c>
      <c r="F68" s="20" t="n">
        <v>1.60256373</v>
      </c>
      <c r="G68" s="18" t="n">
        <v>51.20218131</v>
      </c>
      <c r="H68" s="20" t="n">
        <v>1.67767947</v>
      </c>
      <c r="I68" s="18" t="n">
        <v>0</v>
      </c>
      <c r="J68" s="20" t="n">
        <v>0</v>
      </c>
      <c r="K68" s="18" t="n">
        <v>0.25059552</v>
      </c>
      <c r="L68" s="20" t="n">
        <v>0.19259889</v>
      </c>
      <c r="M68" s="18" t="n">
        <v>0</v>
      </c>
      <c r="N68" s="20" t="n">
        <v>0</v>
      </c>
      <c r="O68" s="18" t="n">
        <v>0</v>
      </c>
      <c r="P68" s="20" t="n">
        <v>0</v>
      </c>
      <c r="Q68" s="18" t="n">
        <v>4.16792087</v>
      </c>
      <c r="R68" s="20" t="n">
        <v>0.5552011100000001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(9356.0/B70*100)</f>
        <v/>
      </c>
      <c r="D70" s="19" t="n">
        <v>2727</v>
      </c>
      <c r="E70" s="18" t="n">
        <v>43.71951326</v>
      </c>
      <c r="F70" s="20" t="n">
        <v>0.7921639</v>
      </c>
      <c r="G70" s="18" t="n">
        <v>52.10829337</v>
      </c>
      <c r="H70" s="20" t="n">
        <v>0.8482197</v>
      </c>
      <c r="I70" s="18" t="n">
        <v>0</v>
      </c>
      <c r="J70" s="20" t="n">
        <v>0</v>
      </c>
      <c r="K70" s="18" t="n">
        <v>1.18631467</v>
      </c>
      <c r="L70" s="20" t="n">
        <v>0.2077988</v>
      </c>
      <c r="M70" s="18" t="n">
        <v>0</v>
      </c>
      <c r="N70" s="20" t="n">
        <v>0</v>
      </c>
      <c r="O70" s="18" t="n">
        <v>0</v>
      </c>
      <c r="P70" s="20" t="n">
        <v>0</v>
      </c>
      <c r="Q70" s="18" t="n">
        <v>2.9858787</v>
      </c>
      <c r="R70" s="20" t="n">
        <v>0.34931816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(4706.0/B72*100)</f>
        <v/>
      </c>
      <c r="D72" s="19" t="n">
        <v>1330</v>
      </c>
      <c r="E72" s="18" t="n">
        <v>22.54194764</v>
      </c>
      <c r="F72" s="20" t="n">
        <v>1.34009164</v>
      </c>
      <c r="G72" s="18" t="n">
        <v>76.3727688</v>
      </c>
      <c r="H72" s="20" t="n">
        <v>1.39810353</v>
      </c>
      <c r="I72" s="18" t="n">
        <v>0</v>
      </c>
      <c r="J72" s="20" t="n">
        <v>0</v>
      </c>
      <c r="K72" s="18" t="n">
        <v>0.20570501</v>
      </c>
      <c r="L72" s="20" t="n">
        <v>0.10336543</v>
      </c>
      <c r="M72" s="18" t="n">
        <v>0</v>
      </c>
      <c r="N72" s="20" t="n">
        <v>0</v>
      </c>
      <c r="O72" s="18" t="n">
        <v>0</v>
      </c>
      <c r="P72" s="20" t="n">
        <v>0</v>
      </c>
      <c r="Q72" s="18" t="n">
        <v>0.87957855</v>
      </c>
      <c r="R72" s="20" t="n">
        <v>0.32014806</v>
      </c>
    </row>
    <row r="73" spans="1:18">
      <c r="A73" s="15" t="s">
        <v>633</v>
      </c>
      <c r="B73" s="17" t="n">
        <v>6115</v>
      </c>
      <c r="C73" s="18">
        <f>(4789.0/B73*100)</f>
        <v/>
      </c>
      <c r="D73" s="19" t="n">
        <v>1326</v>
      </c>
      <c r="E73" s="18" t="n">
        <v>24.05787778</v>
      </c>
      <c r="F73" s="20" t="n">
        <v>1.06085161</v>
      </c>
      <c r="G73" s="18" t="n">
        <v>75.75206515000001</v>
      </c>
      <c r="H73" s="20" t="n">
        <v>1.07190108</v>
      </c>
      <c r="I73" s="18" t="n">
        <v>0</v>
      </c>
      <c r="J73" s="20" t="n">
        <v>0</v>
      </c>
      <c r="K73" s="18" t="n">
        <v>0.15055594</v>
      </c>
      <c r="L73" s="20" t="n">
        <v>0.1072219</v>
      </c>
      <c r="M73" s="18" t="n">
        <v>0</v>
      </c>
      <c r="N73" s="20" t="n">
        <v>0</v>
      </c>
      <c r="O73" s="18" t="n">
        <v>0</v>
      </c>
      <c r="P73" s="20" t="n">
        <v>0</v>
      </c>
      <c r="Q73" s="18" t="n">
        <v>0.03950113</v>
      </c>
      <c r="R73" s="20" t="n">
        <v>0.0395227</v>
      </c>
    </row>
    <row r="74" spans="1:18">
      <c r="A74" s="15" t="s">
        <v>634</v>
      </c>
      <c r="B74" s="17" t="n">
        <v>7708</v>
      </c>
      <c r="C74" s="18">
        <f>(6066.0/B74*100)</f>
        <v/>
      </c>
      <c r="D74" s="19" t="n">
        <v>1642</v>
      </c>
      <c r="E74" s="18" t="n">
        <v>18.65483513</v>
      </c>
      <c r="F74" s="20" t="n">
        <v>1.13209782</v>
      </c>
      <c r="G74" s="18" t="n">
        <v>80.51209131</v>
      </c>
      <c r="H74" s="20" t="n">
        <v>1.196415</v>
      </c>
      <c r="I74" s="18" t="n">
        <v>0</v>
      </c>
      <c r="J74" s="20" t="n">
        <v>0</v>
      </c>
      <c r="K74" s="18" t="n">
        <v>0.20740367</v>
      </c>
      <c r="L74" s="20" t="n">
        <v>0.15732353</v>
      </c>
      <c r="M74" s="18" t="n">
        <v>0</v>
      </c>
      <c r="N74" s="20" t="n">
        <v>0</v>
      </c>
      <c r="O74" s="18" t="n">
        <v>0</v>
      </c>
      <c r="P74" s="20" t="n">
        <v>0</v>
      </c>
      <c r="Q74" s="18" t="n">
        <v>0.62566989</v>
      </c>
      <c r="R74" s="20" t="n">
        <v>0.17910963</v>
      </c>
    </row>
    <row r="75" spans="1:18">
      <c r="A75" s="15" t="s">
        <v>635</v>
      </c>
      <c r="B75" s="17" t="n">
        <v>8249</v>
      </c>
      <c r="C75" s="18">
        <f>(6427.0/B75*100)</f>
        <v/>
      </c>
      <c r="D75" s="19" t="n">
        <v>1822</v>
      </c>
      <c r="E75" s="18" t="n">
        <v>31.77665546</v>
      </c>
      <c r="F75" s="20" t="n">
        <v>1.13026157</v>
      </c>
      <c r="G75" s="18" t="n">
        <v>65.25851525</v>
      </c>
      <c r="H75" s="20" t="n">
        <v>1.17646557</v>
      </c>
      <c r="I75" s="18" t="n">
        <v>0</v>
      </c>
      <c r="J75" s="20" t="n">
        <v>0</v>
      </c>
      <c r="K75" s="18" t="n">
        <v>0.07940410000000001</v>
      </c>
      <c r="L75" s="20" t="n">
        <v>0.07977666999999999</v>
      </c>
      <c r="M75" s="18" t="n">
        <v>0</v>
      </c>
      <c r="N75" s="20" t="n">
        <v>0</v>
      </c>
      <c r="O75" s="18" t="n">
        <v>0</v>
      </c>
      <c r="P75" s="20" t="n">
        <v>0</v>
      </c>
      <c r="Q75" s="18" t="n">
        <v>2.88542519</v>
      </c>
      <c r="R75" s="20" t="n">
        <v>0.4846447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(4257.0/B77*100)</f>
        <v/>
      </c>
      <c r="D77" s="19" t="n">
        <v>1118</v>
      </c>
      <c r="E77" s="18" t="n">
        <v>51.537352</v>
      </c>
      <c r="F77" s="20" t="n">
        <v>1.38991764</v>
      </c>
      <c r="G77" s="18" t="n">
        <v>44.86723582</v>
      </c>
      <c r="H77" s="20" t="n">
        <v>1.40442784</v>
      </c>
      <c r="I77" s="18" t="n">
        <v>0</v>
      </c>
      <c r="J77" s="20" t="n">
        <v>0</v>
      </c>
      <c r="K77" s="18" t="n">
        <v>0.7223472399999999</v>
      </c>
      <c r="L77" s="20" t="n">
        <v>0.31570242</v>
      </c>
      <c r="M77" s="18" t="n">
        <v>0</v>
      </c>
      <c r="N77" s="20" t="n">
        <v>0</v>
      </c>
      <c r="O77" s="18" t="n">
        <v>0</v>
      </c>
      <c r="P77" s="20" t="n">
        <v>0</v>
      </c>
      <c r="Q77" s="18" t="n">
        <v>2.87306494</v>
      </c>
      <c r="R77" s="20" t="n">
        <v>0.6341039000000001</v>
      </c>
    </row>
    <row r="78" spans="1:18">
      <c r="A78" s="15" t="s">
        <v>638</v>
      </c>
      <c r="B78" s="17" t="n">
        <v>14167</v>
      </c>
      <c r="C78" s="18">
        <f>(11015.0/B78*100)</f>
        <v/>
      </c>
      <c r="D78" s="19" t="n">
        <v>3152</v>
      </c>
      <c r="E78" s="18" t="n">
        <v>40.76513584</v>
      </c>
      <c r="F78" s="20" t="n">
        <v>1.23399577</v>
      </c>
      <c r="G78" s="18" t="n">
        <v>56.56007659</v>
      </c>
      <c r="H78" s="20" t="n">
        <v>1.30402039</v>
      </c>
      <c r="I78" s="18" t="n">
        <v>0</v>
      </c>
      <c r="J78" s="20" t="n">
        <v>0</v>
      </c>
      <c r="K78" s="18" t="n">
        <v>0.70481816</v>
      </c>
      <c r="L78" s="20" t="n">
        <v>0.18888285</v>
      </c>
      <c r="M78" s="18" t="n">
        <v>0</v>
      </c>
      <c r="N78" s="20" t="n">
        <v>0</v>
      </c>
      <c r="O78" s="18" t="n">
        <v>0</v>
      </c>
      <c r="P78" s="20" t="n">
        <v>0</v>
      </c>
      <c r="Q78" s="18" t="n">
        <v>1.96996941</v>
      </c>
      <c r="R78" s="20" t="n">
        <v>0.37362615</v>
      </c>
    </row>
    <row r="79" spans="1:18">
      <c r="A79" s="15" t="s">
        <v>639</v>
      </c>
      <c r="B79" s="17" t="n">
        <v>6062</v>
      </c>
      <c r="C79" s="18">
        <f>(4699.0/B79*100)</f>
        <v/>
      </c>
      <c r="D79" s="19" t="n">
        <v>1363</v>
      </c>
      <c r="E79" s="18" t="n">
        <v>37.14156091</v>
      </c>
      <c r="F79" s="20" t="n">
        <v>1.5925285</v>
      </c>
      <c r="G79" s="18" t="n">
        <v>59.74667965</v>
      </c>
      <c r="H79" s="20" t="n">
        <v>1.73073658</v>
      </c>
      <c r="I79" s="18" t="n">
        <v>0</v>
      </c>
      <c r="J79" s="20" t="n">
        <v>0</v>
      </c>
      <c r="K79" s="18" t="n">
        <v>0.15846125</v>
      </c>
      <c r="L79" s="20" t="n">
        <v>0.12916958</v>
      </c>
      <c r="M79" s="18" t="n">
        <v>0</v>
      </c>
      <c r="N79" s="20" t="n">
        <v>0</v>
      </c>
      <c r="O79" s="18" t="n">
        <v>0</v>
      </c>
      <c r="P79" s="20" t="n">
        <v>0</v>
      </c>
      <c r="Q79" s="18" t="n">
        <v>2.95329819</v>
      </c>
      <c r="R79" s="20" t="n">
        <v>0.57453367</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(25142.0/B82*100)</f>
        <v/>
      </c>
      <c r="D82" s="19" t="n">
        <v>7188</v>
      </c>
      <c r="E82" s="18" t="n">
        <v>21.30136275</v>
      </c>
      <c r="F82" s="20" t="n">
        <v>0.75451018</v>
      </c>
      <c r="G82" s="18" t="n">
        <v>76.90661582</v>
      </c>
      <c r="H82" s="20" t="n">
        <v>0.76023109</v>
      </c>
      <c r="I82" s="18" t="n">
        <v>0</v>
      </c>
      <c r="J82" s="20" t="n">
        <v>0</v>
      </c>
      <c r="K82" s="18" t="n">
        <v>0.18568639</v>
      </c>
      <c r="L82" s="20" t="n">
        <v>0.07439985</v>
      </c>
      <c r="M82" s="18" t="n">
        <v>0</v>
      </c>
      <c r="N82" s="20" t="n">
        <v>0</v>
      </c>
      <c r="O82" s="18" t="n">
        <v>0</v>
      </c>
      <c r="P82" s="20" t="n">
        <v>0</v>
      </c>
      <c r="Q82" s="18" t="n">
        <v>1.60633504</v>
      </c>
      <c r="R82" s="20" t="n">
        <v>0.23497872</v>
      </c>
    </row>
    <row r="83" spans="1:18">
      <c r="A83" s="15" t="s">
        <v>643</v>
      </c>
      <c r="B83" s="17" t="n">
        <v>1652</v>
      </c>
      <c r="C83" s="18">
        <f>(1290.0/B83*100)</f>
        <v/>
      </c>
      <c r="D83" s="19" t="n">
        <v>362</v>
      </c>
      <c r="E83" s="18" t="n">
        <v>18.95190787</v>
      </c>
      <c r="F83" s="20" t="n">
        <v>1.80179815</v>
      </c>
      <c r="G83" s="18" t="n">
        <v>80.24175162</v>
      </c>
      <c r="H83" s="20" t="n">
        <v>1.92092878</v>
      </c>
      <c r="I83" s="18" t="n">
        <v>0</v>
      </c>
      <c r="J83" s="20" t="n">
        <v>0</v>
      </c>
      <c r="K83" s="18" t="n">
        <v>0</v>
      </c>
      <c r="L83" s="20" t="n">
        <v>0</v>
      </c>
      <c r="M83" s="18" t="n">
        <v>0</v>
      </c>
      <c r="N83" s="20" t="n">
        <v>0</v>
      </c>
      <c r="O83" s="18" t="n">
        <v>0</v>
      </c>
      <c r="P83" s="20" t="n">
        <v>0</v>
      </c>
      <c r="Q83" s="18" t="n">
        <v>0.80634051</v>
      </c>
      <c r="R83" s="20" t="n">
        <v>0.5275016300000001</v>
      </c>
    </row>
    <row r="84" spans="1:18">
      <c r="A84" s="23" t="s">
        <v>644</v>
      </c>
      <c r="B84" s="24" t="n">
        <v>1887</v>
      </c>
      <c r="C84" s="25">
        <f>(1494.0/B84*100)</f>
        <v/>
      </c>
      <c r="D84" s="19" t="n">
        <v>393</v>
      </c>
      <c r="E84" s="18" t="n">
        <v>24.26337681</v>
      </c>
      <c r="F84" s="20" t="n">
        <v>2.0575189</v>
      </c>
      <c r="G84" s="18" t="n">
        <v>75.73662319</v>
      </c>
      <c r="H84" s="20" t="n">
        <v>2.0575189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838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(11377.0/B7*100)</f>
        <v/>
      </c>
      <c r="D7" s="19" t="n">
        <v>3153</v>
      </c>
      <c r="E7" s="18" t="n">
        <v>31.86601256</v>
      </c>
      <c r="F7" s="20" t="n">
        <v>1.08159194</v>
      </c>
      <c r="G7" s="18" t="n">
        <v>62.48749613</v>
      </c>
      <c r="H7" s="20" t="n">
        <v>1.16865038</v>
      </c>
      <c r="I7" s="18" t="n">
        <v>0</v>
      </c>
      <c r="J7" s="20" t="n">
        <v>0</v>
      </c>
      <c r="K7" s="18" t="n">
        <v>0.28330798</v>
      </c>
      <c r="L7" s="20" t="n">
        <v>0.10518417</v>
      </c>
      <c r="M7" s="18" t="n">
        <v>0.11092801</v>
      </c>
      <c r="N7" s="20" t="n">
        <v>0.06000092</v>
      </c>
      <c r="O7" s="18" t="n">
        <v>0</v>
      </c>
      <c r="P7" s="20" t="n">
        <v>0</v>
      </c>
      <c r="Q7" s="18" t="n">
        <v>5.25225532</v>
      </c>
      <c r="R7" s="20" t="n">
        <v>0.47322887</v>
      </c>
    </row>
    <row r="8" spans="1:18">
      <c r="A8" s="15" t="s">
        <v>566</v>
      </c>
      <c r="B8" s="17" t="n">
        <v>7007</v>
      </c>
      <c r="C8" s="18">
        <f>(5455.0/B8*100)</f>
        <v/>
      </c>
      <c r="D8" s="19" t="n">
        <v>1552</v>
      </c>
      <c r="E8" s="18" t="n">
        <v>46.15601587</v>
      </c>
      <c r="F8" s="20" t="n">
        <v>1.45312447</v>
      </c>
      <c r="G8" s="18" t="n">
        <v>42.35259817</v>
      </c>
      <c r="H8" s="20" t="n">
        <v>1.77853309</v>
      </c>
      <c r="I8" s="18" t="n">
        <v>0</v>
      </c>
      <c r="J8" s="20" t="n">
        <v>0</v>
      </c>
      <c r="K8" s="18" t="n">
        <v>0.15170014</v>
      </c>
      <c r="L8" s="20" t="n">
        <v>0.10571572</v>
      </c>
      <c r="M8" s="18" t="n">
        <v>0</v>
      </c>
      <c r="N8" s="20" t="n">
        <v>0</v>
      </c>
      <c r="O8" s="18" t="n">
        <v>0</v>
      </c>
      <c r="P8" s="20" t="n">
        <v>0</v>
      </c>
      <c r="Q8" s="18" t="n">
        <v>11.33968581</v>
      </c>
      <c r="R8" s="20" t="n">
        <v>0.94306801</v>
      </c>
    </row>
    <row r="9" spans="1:18">
      <c r="A9" s="15" t="s">
        <v>567</v>
      </c>
      <c r="B9" s="17" t="n">
        <v>9651</v>
      </c>
      <c r="C9" s="18">
        <f>(7546.0/B9*100)</f>
        <v/>
      </c>
      <c r="D9" s="19" t="n">
        <v>2105</v>
      </c>
      <c r="E9" s="18" t="n">
        <v>39.983082</v>
      </c>
      <c r="F9" s="20" t="n">
        <v>1.20581909</v>
      </c>
      <c r="G9" s="18" t="n">
        <v>52.39092772</v>
      </c>
      <c r="H9" s="20" t="n">
        <v>1.27864936</v>
      </c>
      <c r="I9" s="18" t="n">
        <v>0</v>
      </c>
      <c r="J9" s="20" t="n">
        <v>0</v>
      </c>
      <c r="K9" s="18" t="n">
        <v>0.29576924</v>
      </c>
      <c r="L9" s="20" t="n">
        <v>0.11565118</v>
      </c>
      <c r="M9" s="18" t="n">
        <v>0.5268123</v>
      </c>
      <c r="N9" s="20" t="n">
        <v>0.14820128</v>
      </c>
      <c r="O9" s="18" t="n">
        <v>0</v>
      </c>
      <c r="P9" s="20" t="n">
        <v>0</v>
      </c>
      <c r="Q9" s="18" t="n">
        <v>6.80340874</v>
      </c>
      <c r="R9" s="20" t="n">
        <v>0.54273476</v>
      </c>
    </row>
    <row r="10" spans="1:18">
      <c r="A10" s="15" t="s">
        <v>568</v>
      </c>
      <c r="B10" s="17" t="n">
        <v>20058</v>
      </c>
      <c r="C10" s="18">
        <f>(15603.0/B10*100)</f>
        <v/>
      </c>
      <c r="D10" s="19" t="n">
        <v>4455</v>
      </c>
      <c r="E10" s="18" t="n">
        <v>31.95352011</v>
      </c>
      <c r="F10" s="20" t="n">
        <v>1.02429258</v>
      </c>
      <c r="G10" s="18" t="n">
        <v>64.24153864</v>
      </c>
      <c r="H10" s="20" t="n">
        <v>1.06638968</v>
      </c>
      <c r="I10" s="18" t="n">
        <v>0</v>
      </c>
      <c r="J10" s="20" t="n">
        <v>0</v>
      </c>
      <c r="K10" s="18" t="n">
        <v>0.21676464</v>
      </c>
      <c r="L10" s="20" t="n">
        <v>0.107657</v>
      </c>
      <c r="M10" s="18" t="n">
        <v>0.00284416</v>
      </c>
      <c r="N10" s="20" t="n">
        <v>0.00406332</v>
      </c>
      <c r="O10" s="18" t="n">
        <v>0</v>
      </c>
      <c r="P10" s="20" t="n">
        <v>0</v>
      </c>
      <c r="Q10" s="18" t="n">
        <v>3.58533245</v>
      </c>
      <c r="R10" s="20" t="n">
        <v>0.39018595</v>
      </c>
    </row>
    <row r="11" spans="1:18">
      <c r="A11" s="15" t="s">
        <v>569</v>
      </c>
      <c r="B11" s="17" t="n">
        <v>7053</v>
      </c>
      <c r="C11" s="18">
        <f>(5472.0/B11*100)</f>
        <v/>
      </c>
      <c r="D11" s="19" t="n">
        <v>1581</v>
      </c>
      <c r="E11" s="18" t="n">
        <v>60.79095365</v>
      </c>
      <c r="F11" s="20" t="n">
        <v>1.54102958</v>
      </c>
      <c r="G11" s="18" t="n">
        <v>29.85279315</v>
      </c>
      <c r="H11" s="20" t="n">
        <v>1.43734913</v>
      </c>
      <c r="I11" s="18" t="n">
        <v>0</v>
      </c>
      <c r="J11" s="20" t="n">
        <v>0</v>
      </c>
      <c r="K11" s="18" t="n">
        <v>0.08337817</v>
      </c>
      <c r="L11" s="20" t="n">
        <v>0.08184721</v>
      </c>
      <c r="M11" s="18" t="n">
        <v>0.02752229</v>
      </c>
      <c r="N11" s="20" t="n">
        <v>0.0300159</v>
      </c>
      <c r="O11" s="18" t="n">
        <v>0</v>
      </c>
      <c r="P11" s="20" t="n">
        <v>0</v>
      </c>
      <c r="Q11" s="18" t="n">
        <v>9.24535275</v>
      </c>
      <c r="R11" s="20" t="n">
        <v>0.95956291</v>
      </c>
    </row>
    <row r="12" spans="1:18">
      <c r="A12" s="15" t="s">
        <v>570</v>
      </c>
      <c r="B12" s="17" t="n">
        <v>6894</v>
      </c>
      <c r="C12" s="18">
        <f>(5410.0/B12*100)</f>
        <v/>
      </c>
      <c r="D12" s="19" t="n">
        <v>1484</v>
      </c>
      <c r="E12" s="18" t="n">
        <v>33.97969741</v>
      </c>
      <c r="F12" s="20" t="n">
        <v>1.49064305</v>
      </c>
      <c r="G12" s="18" t="n">
        <v>55.3279247</v>
      </c>
      <c r="H12" s="20" t="n">
        <v>1.60799215</v>
      </c>
      <c r="I12" s="18" t="n">
        <v>0</v>
      </c>
      <c r="J12" s="20" t="n">
        <v>0</v>
      </c>
      <c r="K12" s="18" t="n">
        <v>0.05889785</v>
      </c>
      <c r="L12" s="20" t="n">
        <v>0.05595014</v>
      </c>
      <c r="M12" s="18" t="n">
        <v>0.02498483</v>
      </c>
      <c r="N12" s="20" t="n">
        <v>0.02504532</v>
      </c>
      <c r="O12" s="18" t="n">
        <v>0</v>
      </c>
      <c r="P12" s="20" t="n">
        <v>0</v>
      </c>
      <c r="Q12" s="18" t="n">
        <v>10.60849521</v>
      </c>
      <c r="R12" s="20" t="n">
        <v>1.0318622</v>
      </c>
    </row>
    <row r="13" spans="1:18">
      <c r="A13" s="15" t="s">
        <v>571</v>
      </c>
      <c r="B13" s="17" t="n">
        <v>7161</v>
      </c>
      <c r="C13" s="18">
        <f>(5697.0/B13*100)</f>
        <v/>
      </c>
      <c r="D13" s="19" t="n">
        <v>1464</v>
      </c>
      <c r="E13" s="18" t="n">
        <v>38.02060497</v>
      </c>
      <c r="F13" s="20" t="n">
        <v>1.40473884</v>
      </c>
      <c r="G13" s="18" t="n">
        <v>57.41398866</v>
      </c>
      <c r="H13" s="20" t="n">
        <v>1.45157287</v>
      </c>
      <c r="I13" s="18" t="n">
        <v>0</v>
      </c>
      <c r="J13" s="20" t="n">
        <v>0</v>
      </c>
      <c r="K13" s="18" t="n">
        <v>0.2303262</v>
      </c>
      <c r="L13" s="20" t="n">
        <v>0.11524182</v>
      </c>
      <c r="M13" s="18" t="n">
        <v>0</v>
      </c>
      <c r="N13" s="20" t="n">
        <v>0</v>
      </c>
      <c r="O13" s="18" t="n">
        <v>0</v>
      </c>
      <c r="P13" s="20" t="n">
        <v>0</v>
      </c>
      <c r="Q13" s="18" t="n">
        <v>4.33508017</v>
      </c>
      <c r="R13" s="20" t="n">
        <v>0.6440506</v>
      </c>
    </row>
    <row r="14" spans="1:18">
      <c r="A14" s="15" t="s">
        <v>572</v>
      </c>
      <c r="B14" s="17" t="n">
        <v>5587</v>
      </c>
      <c r="C14" s="18">
        <f>(4321.0/B14*100)</f>
        <v/>
      </c>
      <c r="D14" s="19" t="n">
        <v>1266</v>
      </c>
      <c r="E14" s="18" t="n">
        <v>25.31013268</v>
      </c>
      <c r="F14" s="20" t="n">
        <v>1.56646931</v>
      </c>
      <c r="G14" s="18" t="n">
        <v>70.49210522</v>
      </c>
      <c r="H14" s="20" t="n">
        <v>1.69238493</v>
      </c>
      <c r="I14" s="18" t="n">
        <v>0</v>
      </c>
      <c r="J14" s="20" t="n">
        <v>0</v>
      </c>
      <c r="K14" s="18" t="n">
        <v>0.0723781</v>
      </c>
      <c r="L14" s="20" t="n">
        <v>0.07236196</v>
      </c>
      <c r="M14" s="18" t="n">
        <v>0</v>
      </c>
      <c r="N14" s="20" t="n">
        <v>0</v>
      </c>
      <c r="O14" s="18" t="n">
        <v>0</v>
      </c>
      <c r="P14" s="20" t="n">
        <v>0</v>
      </c>
      <c r="Q14" s="18" t="n">
        <v>4.125384</v>
      </c>
      <c r="R14" s="20" t="n">
        <v>0.6297719000000001</v>
      </c>
    </row>
    <row r="15" spans="1:18">
      <c r="A15" s="15" t="s">
        <v>573</v>
      </c>
      <c r="B15" s="17" t="n">
        <v>5882</v>
      </c>
      <c r="C15" s="18">
        <f>(4520.0/B15*100)</f>
        <v/>
      </c>
      <c r="D15" s="19" t="n">
        <v>1362</v>
      </c>
      <c r="E15" s="18" t="n">
        <v>42.6498685</v>
      </c>
      <c r="F15" s="20" t="n">
        <v>1.30595698</v>
      </c>
      <c r="G15" s="18" t="n">
        <v>52.67792863</v>
      </c>
      <c r="H15" s="20" t="n">
        <v>1.39752391</v>
      </c>
      <c r="I15" s="18" t="n">
        <v>0</v>
      </c>
      <c r="J15" s="20" t="n">
        <v>0</v>
      </c>
      <c r="K15" s="18" t="n">
        <v>0.08265755</v>
      </c>
      <c r="L15" s="20" t="n">
        <v>0.09069918</v>
      </c>
      <c r="M15" s="18" t="n">
        <v>0</v>
      </c>
      <c r="N15" s="20" t="n">
        <v>0</v>
      </c>
      <c r="O15" s="18" t="n">
        <v>0</v>
      </c>
      <c r="P15" s="20" t="n">
        <v>0</v>
      </c>
      <c r="Q15" s="18" t="n">
        <v>4.58954532</v>
      </c>
      <c r="R15" s="20" t="n">
        <v>0.57793463</v>
      </c>
    </row>
    <row r="16" spans="1:18">
      <c r="A16" s="15" t="s">
        <v>574</v>
      </c>
      <c r="B16" s="17" t="n">
        <v>6108</v>
      </c>
      <c r="C16" s="18">
        <f>(4757.0/B16*100)</f>
        <v/>
      </c>
      <c r="D16" s="19" t="n">
        <v>1351</v>
      </c>
      <c r="E16" s="18" t="n">
        <v>32.58215052</v>
      </c>
      <c r="F16" s="20" t="n">
        <v>1.26039526</v>
      </c>
      <c r="G16" s="18" t="n">
        <v>55.20744547</v>
      </c>
      <c r="H16" s="20" t="n">
        <v>1.40093227</v>
      </c>
      <c r="I16" s="18" t="n">
        <v>0</v>
      </c>
      <c r="J16" s="20" t="n">
        <v>0</v>
      </c>
      <c r="K16" s="18" t="n">
        <v>0.5614530599999999</v>
      </c>
      <c r="L16" s="20" t="n">
        <v>0.22298186</v>
      </c>
      <c r="M16" s="18" t="n">
        <v>0</v>
      </c>
      <c r="N16" s="20" t="n">
        <v>0</v>
      </c>
      <c r="O16" s="18" t="n">
        <v>0</v>
      </c>
      <c r="P16" s="20" t="n">
        <v>0</v>
      </c>
      <c r="Q16" s="18" t="n">
        <v>11.64895095</v>
      </c>
      <c r="R16" s="20" t="n">
        <v>1.00928588</v>
      </c>
    </row>
    <row r="17" spans="1:18">
      <c r="A17" s="15" t="s">
        <v>575</v>
      </c>
      <c r="B17" s="17" t="n">
        <v>6504</v>
      </c>
      <c r="C17" s="18">
        <f>(5122.0/B17*100)</f>
        <v/>
      </c>
      <c r="D17" s="19" t="n">
        <v>1382</v>
      </c>
      <c r="E17" s="18" t="n">
        <v>27.95518355</v>
      </c>
      <c r="F17" s="20" t="n">
        <v>1.41731858</v>
      </c>
      <c r="G17" s="18" t="n">
        <v>63.69452016</v>
      </c>
      <c r="H17" s="20" t="n">
        <v>1.61386648</v>
      </c>
      <c r="I17" s="18" t="n">
        <v>0</v>
      </c>
      <c r="J17" s="20" t="n">
        <v>0</v>
      </c>
      <c r="K17" s="18" t="n">
        <v>0.07116086000000001</v>
      </c>
      <c r="L17" s="20" t="n">
        <v>0.07154359</v>
      </c>
      <c r="M17" s="18" t="n">
        <v>0</v>
      </c>
      <c r="N17" s="20" t="n">
        <v>0</v>
      </c>
      <c r="O17" s="18" t="n">
        <v>0</v>
      </c>
      <c r="P17" s="20" t="n">
        <v>0</v>
      </c>
      <c r="Q17" s="18" t="n">
        <v>8.27913543</v>
      </c>
      <c r="R17" s="20" t="n">
        <v>0.84193169</v>
      </c>
    </row>
    <row r="18" spans="1:18">
      <c r="A18" s="15" t="s">
        <v>576</v>
      </c>
      <c r="B18" s="17" t="n">
        <v>5532</v>
      </c>
      <c r="C18" s="18">
        <f>(4320.0/B18*100)</f>
        <v/>
      </c>
      <c r="D18" s="19" t="n">
        <v>1212</v>
      </c>
      <c r="E18" s="18" t="n">
        <v>60.84514593</v>
      </c>
      <c r="F18" s="20" t="n">
        <v>1.65795136</v>
      </c>
      <c r="G18" s="18" t="n">
        <v>29.04411595</v>
      </c>
      <c r="H18" s="20" t="n">
        <v>1.68778619</v>
      </c>
      <c r="I18" s="18" t="n">
        <v>0</v>
      </c>
      <c r="J18" s="20" t="n">
        <v>0</v>
      </c>
      <c r="K18" s="18" t="n">
        <v>0.1968541</v>
      </c>
      <c r="L18" s="20" t="n">
        <v>0.1157221</v>
      </c>
      <c r="M18" s="18" t="n">
        <v>0.06416388000000001</v>
      </c>
      <c r="N18" s="20" t="n">
        <v>0.06417262999999999</v>
      </c>
      <c r="O18" s="18" t="n">
        <v>0</v>
      </c>
      <c r="P18" s="20" t="n">
        <v>0</v>
      </c>
      <c r="Q18" s="18" t="n">
        <v>9.84972013</v>
      </c>
      <c r="R18" s="20" t="n">
        <v>0.95610179</v>
      </c>
    </row>
    <row r="19" spans="1:18">
      <c r="A19" s="15" t="s">
        <v>577</v>
      </c>
      <c r="B19" s="17" t="n">
        <v>5658</v>
      </c>
      <c r="C19" s="18">
        <f>(4375.0/B19*100)</f>
        <v/>
      </c>
      <c r="D19" s="19" t="n">
        <v>1283</v>
      </c>
      <c r="E19" s="18" t="n">
        <v>27.89481255</v>
      </c>
      <c r="F19" s="20" t="n">
        <v>1.33664802</v>
      </c>
      <c r="G19" s="18" t="n">
        <v>60.12669263</v>
      </c>
      <c r="H19" s="20" t="n">
        <v>1.3678822</v>
      </c>
      <c r="I19" s="18" t="n">
        <v>0</v>
      </c>
      <c r="J19" s="20" t="n">
        <v>0</v>
      </c>
      <c r="K19" s="18" t="n">
        <v>0.07195463000000001</v>
      </c>
      <c r="L19" s="20" t="n">
        <v>0.06084442</v>
      </c>
      <c r="M19" s="18" t="n">
        <v>0</v>
      </c>
      <c r="N19" s="20" t="n">
        <v>0</v>
      </c>
      <c r="O19" s="18" t="n">
        <v>0</v>
      </c>
      <c r="P19" s="20" t="n">
        <v>0</v>
      </c>
      <c r="Q19" s="18" t="n">
        <v>11.90654018</v>
      </c>
      <c r="R19" s="20" t="n">
        <v>0.9906227399999999</v>
      </c>
    </row>
    <row r="20" spans="1:18">
      <c r="A20" s="15" t="s">
        <v>578</v>
      </c>
      <c r="B20" s="17" t="n">
        <v>3371</v>
      </c>
      <c r="C20" s="18">
        <f>(2634.0/B20*100)</f>
        <v/>
      </c>
      <c r="D20" s="19" t="n">
        <v>737</v>
      </c>
      <c r="E20" s="18" t="n">
        <v>41.35834152</v>
      </c>
      <c r="F20" s="20" t="n">
        <v>1.75304404</v>
      </c>
      <c r="G20" s="18" t="n">
        <v>51.53606807</v>
      </c>
      <c r="H20" s="20" t="n">
        <v>1.71393195</v>
      </c>
      <c r="I20" s="18" t="n">
        <v>0</v>
      </c>
      <c r="J20" s="20" t="n">
        <v>0</v>
      </c>
      <c r="K20" s="18" t="n">
        <v>0.26464801</v>
      </c>
      <c r="L20" s="20" t="n">
        <v>0.18785613</v>
      </c>
      <c r="M20" s="18" t="n">
        <v>0.20923788</v>
      </c>
      <c r="N20" s="20" t="n">
        <v>0.20298506</v>
      </c>
      <c r="O20" s="18" t="n">
        <v>0</v>
      </c>
      <c r="P20" s="20" t="n">
        <v>0</v>
      </c>
      <c r="Q20" s="18" t="n">
        <v>6.63170453</v>
      </c>
      <c r="R20" s="20" t="n">
        <v>0.92845278</v>
      </c>
    </row>
    <row r="21" spans="1:18">
      <c r="A21" s="15" t="s">
        <v>579</v>
      </c>
      <c r="B21" s="17" t="n">
        <v>5741</v>
      </c>
      <c r="C21" s="18">
        <f>(4489.0/B21*100)</f>
        <v/>
      </c>
      <c r="D21" s="19" t="n">
        <v>1252</v>
      </c>
      <c r="E21" s="18" t="n">
        <v>30.67222461</v>
      </c>
      <c r="F21" s="20" t="n">
        <v>1.49148601</v>
      </c>
      <c r="G21" s="18" t="n">
        <v>65.64697461</v>
      </c>
      <c r="H21" s="20" t="n">
        <v>1.5145276</v>
      </c>
      <c r="I21" s="18" t="n">
        <v>0</v>
      </c>
      <c r="J21" s="20" t="n">
        <v>0</v>
      </c>
      <c r="K21" s="18" t="n">
        <v>0.17896387</v>
      </c>
      <c r="L21" s="20" t="n">
        <v>0.1044466</v>
      </c>
      <c r="M21" s="18" t="n">
        <v>0</v>
      </c>
      <c r="N21" s="20" t="n">
        <v>0</v>
      </c>
      <c r="O21" s="18" t="n">
        <v>0</v>
      </c>
      <c r="P21" s="20" t="n">
        <v>0</v>
      </c>
      <c r="Q21" s="18" t="n">
        <v>3.5018369</v>
      </c>
      <c r="R21" s="20" t="n">
        <v>0.51087718</v>
      </c>
    </row>
    <row r="22" spans="1:18">
      <c r="A22" s="15" t="s">
        <v>580</v>
      </c>
      <c r="B22" s="17" t="n">
        <v>6598</v>
      </c>
      <c r="C22" s="18">
        <f>(5200.0/B22*100)</f>
        <v/>
      </c>
      <c r="D22" s="19" t="n">
        <v>1398</v>
      </c>
      <c r="E22" s="18" t="n">
        <v>48.05627176</v>
      </c>
      <c r="F22" s="20" t="n">
        <v>1.51100311</v>
      </c>
      <c r="G22" s="18" t="n">
        <v>42.30876808</v>
      </c>
      <c r="H22" s="20" t="n">
        <v>1.52155717</v>
      </c>
      <c r="I22" s="18" t="n">
        <v>0</v>
      </c>
      <c r="J22" s="20" t="n">
        <v>0</v>
      </c>
      <c r="K22" s="18" t="n">
        <v>0.34082397</v>
      </c>
      <c r="L22" s="20" t="n">
        <v>0.21179223</v>
      </c>
      <c r="M22" s="18" t="n">
        <v>0</v>
      </c>
      <c r="N22" s="20" t="n">
        <v>0</v>
      </c>
      <c r="O22" s="18" t="n">
        <v>0</v>
      </c>
      <c r="P22" s="20" t="n">
        <v>0</v>
      </c>
      <c r="Q22" s="18" t="n">
        <v>9.29413619</v>
      </c>
      <c r="R22" s="20" t="n">
        <v>0.8451786999999999</v>
      </c>
    </row>
    <row r="23" spans="1:18">
      <c r="A23" s="15" t="s">
        <v>581</v>
      </c>
      <c r="B23" s="17" t="n">
        <v>11583</v>
      </c>
      <c r="C23" s="18">
        <f>(9002.0/B23*100)</f>
        <v/>
      </c>
      <c r="D23" s="19" t="n">
        <v>2581</v>
      </c>
      <c r="E23" s="18" t="n">
        <v>58.40680532</v>
      </c>
      <c r="F23" s="20" t="n">
        <v>1.90686793</v>
      </c>
      <c r="G23" s="18" t="n">
        <v>28.53253859</v>
      </c>
      <c r="H23" s="20" t="n">
        <v>1.2547409</v>
      </c>
      <c r="I23" s="18" t="n">
        <v>0</v>
      </c>
      <c r="J23" s="20" t="n">
        <v>0</v>
      </c>
      <c r="K23" s="18" t="n">
        <v>0.34322125</v>
      </c>
      <c r="L23" s="20" t="n">
        <v>0.21593595</v>
      </c>
      <c r="M23" s="18" t="n">
        <v>1.15276836</v>
      </c>
      <c r="N23" s="20" t="n">
        <v>0.66425959</v>
      </c>
      <c r="O23" s="18" t="n">
        <v>0</v>
      </c>
      <c r="P23" s="20" t="n">
        <v>0</v>
      </c>
      <c r="Q23" s="18" t="n">
        <v>11.56466648</v>
      </c>
      <c r="R23" s="20" t="n">
        <v>1.26123635</v>
      </c>
    </row>
    <row r="24" spans="1:18">
      <c r="A24" s="15" t="s">
        <v>582</v>
      </c>
      <c r="B24" s="17" t="n">
        <v>6647</v>
      </c>
      <c r="C24" s="18">
        <f>(5205.0/B24*100)</f>
        <v/>
      </c>
      <c r="D24" s="19" t="n">
        <v>1442</v>
      </c>
      <c r="E24" s="18" t="n">
        <v>40.30165674</v>
      </c>
      <c r="F24" s="20" t="n">
        <v>1.3124931</v>
      </c>
      <c r="G24" s="18" t="n">
        <v>53.50386343</v>
      </c>
      <c r="H24" s="20" t="n">
        <v>1.23928399</v>
      </c>
      <c r="I24" s="18" t="n">
        <v>0</v>
      </c>
      <c r="J24" s="20" t="n">
        <v>0</v>
      </c>
      <c r="K24" s="18" t="n">
        <v>0.11469273</v>
      </c>
      <c r="L24" s="20" t="n">
        <v>0.08256533000000001</v>
      </c>
      <c r="M24" s="18" t="n">
        <v>0</v>
      </c>
      <c r="N24" s="20" t="n">
        <v>0</v>
      </c>
      <c r="O24" s="18" t="n">
        <v>0</v>
      </c>
      <c r="P24" s="20" t="n">
        <v>0</v>
      </c>
      <c r="Q24" s="18" t="n">
        <v>6.0797871</v>
      </c>
      <c r="R24" s="20" t="n">
        <v>0.70871211</v>
      </c>
    </row>
    <row r="25" spans="1:18">
      <c r="A25" s="15" t="s">
        <v>583</v>
      </c>
      <c r="B25" s="17" t="n">
        <v>5581</v>
      </c>
      <c r="C25" s="18">
        <f>(4366.0/B25*100)</f>
        <v/>
      </c>
      <c r="D25" s="19" t="n">
        <v>1215</v>
      </c>
      <c r="E25" s="18" t="n">
        <v>31.7245491</v>
      </c>
      <c r="F25" s="20" t="n">
        <v>1.29775039</v>
      </c>
      <c r="G25" s="18" t="n">
        <v>62.15122601</v>
      </c>
      <c r="H25" s="20" t="n">
        <v>1.52509397</v>
      </c>
      <c r="I25" s="18" t="n">
        <v>0</v>
      </c>
      <c r="J25" s="20" t="n">
        <v>0</v>
      </c>
      <c r="K25" s="18" t="n">
        <v>0</v>
      </c>
      <c r="L25" s="20" t="n">
        <v>0</v>
      </c>
      <c r="M25" s="18" t="n">
        <v>0</v>
      </c>
      <c r="N25" s="20" t="n">
        <v>0</v>
      </c>
      <c r="O25" s="18" t="n">
        <v>0</v>
      </c>
      <c r="P25" s="20" t="n">
        <v>0</v>
      </c>
      <c r="Q25" s="18" t="n">
        <v>6.12422489</v>
      </c>
      <c r="R25" s="20" t="n">
        <v>0.81945799</v>
      </c>
    </row>
    <row r="26" spans="1:18">
      <c r="A26" s="15" t="s">
        <v>584</v>
      </c>
      <c r="B26" s="17" t="n">
        <v>4869</v>
      </c>
      <c r="C26" s="18">
        <f>(3762.0/B26*100)</f>
        <v/>
      </c>
      <c r="D26" s="19" t="n">
        <v>1107</v>
      </c>
      <c r="E26" s="18" t="n">
        <v>53.29382056</v>
      </c>
      <c r="F26" s="20" t="n">
        <v>1.30837428</v>
      </c>
      <c r="G26" s="18" t="n">
        <v>42.90464032</v>
      </c>
      <c r="H26" s="20" t="n">
        <v>1.35501355</v>
      </c>
      <c r="I26" s="18" t="n">
        <v>0</v>
      </c>
      <c r="J26" s="20" t="n">
        <v>0</v>
      </c>
      <c r="K26" s="18" t="n">
        <v>0</v>
      </c>
      <c r="L26" s="20" t="n">
        <v>0</v>
      </c>
      <c r="M26" s="18" t="n">
        <v>0</v>
      </c>
      <c r="N26" s="20" t="n">
        <v>0</v>
      </c>
      <c r="O26" s="18" t="n">
        <v>0</v>
      </c>
      <c r="P26" s="20" t="n">
        <v>0</v>
      </c>
      <c r="Q26" s="18" t="n">
        <v>3.80153911</v>
      </c>
      <c r="R26" s="20" t="n">
        <v>0.54761088</v>
      </c>
    </row>
    <row r="27" spans="1:18">
      <c r="A27" s="15" t="s">
        <v>585</v>
      </c>
      <c r="B27" s="17" t="n">
        <v>5299</v>
      </c>
      <c r="C27" s="18">
        <f>(4158.0/B27*100)</f>
        <v/>
      </c>
      <c r="D27" s="19" t="n">
        <v>1141</v>
      </c>
      <c r="E27" s="18" t="n">
        <v>39.94815343</v>
      </c>
      <c r="F27" s="20" t="n">
        <v>1.52709882</v>
      </c>
      <c r="G27" s="18" t="n">
        <v>51.51871776</v>
      </c>
      <c r="H27" s="20" t="n">
        <v>1.4982137</v>
      </c>
      <c r="I27" s="18" t="n">
        <v>0</v>
      </c>
      <c r="J27" s="20" t="n">
        <v>0</v>
      </c>
      <c r="K27" s="18" t="n">
        <v>0</v>
      </c>
      <c r="L27" s="20" t="n">
        <v>0</v>
      </c>
      <c r="M27" s="18" t="n">
        <v>0</v>
      </c>
      <c r="N27" s="20" t="n">
        <v>0</v>
      </c>
      <c r="O27" s="18" t="n">
        <v>0</v>
      </c>
      <c r="P27" s="20" t="n">
        <v>0</v>
      </c>
      <c r="Q27" s="18" t="n">
        <v>8.5331288</v>
      </c>
      <c r="R27" s="20" t="n">
        <v>0.72250615</v>
      </c>
    </row>
    <row r="28" spans="1:18">
      <c r="A28" s="15" t="s">
        <v>586</v>
      </c>
      <c r="B28" s="17" t="n">
        <v>7568</v>
      </c>
      <c r="C28" s="18">
        <f>(5959.0/B28*100)</f>
        <v/>
      </c>
      <c r="D28" s="19" t="n">
        <v>1609</v>
      </c>
      <c r="E28" s="18" t="n">
        <v>77.78439496</v>
      </c>
      <c r="F28" s="20" t="n">
        <v>1.04630451</v>
      </c>
      <c r="G28" s="18" t="n">
        <v>18.6808458</v>
      </c>
      <c r="H28" s="20" t="n">
        <v>1.05831835</v>
      </c>
      <c r="I28" s="18" t="n">
        <v>0</v>
      </c>
      <c r="J28" s="20" t="n">
        <v>0</v>
      </c>
      <c r="K28" s="18" t="n">
        <v>0.28793632</v>
      </c>
      <c r="L28" s="20" t="n">
        <v>0.14949324</v>
      </c>
      <c r="M28" s="18" t="n">
        <v>0.27580455</v>
      </c>
      <c r="N28" s="20" t="n">
        <v>0.16001236</v>
      </c>
      <c r="O28" s="18" t="n">
        <v>0</v>
      </c>
      <c r="P28" s="20" t="n">
        <v>0</v>
      </c>
      <c r="Q28" s="18" t="n">
        <v>2.97101838</v>
      </c>
      <c r="R28" s="20" t="n">
        <v>0.48825017</v>
      </c>
    </row>
    <row r="29" spans="1:18">
      <c r="A29" s="15" t="s">
        <v>587</v>
      </c>
      <c r="B29" s="17" t="n">
        <v>5385</v>
      </c>
      <c r="C29" s="18">
        <f>(4214.0/B29*100)</f>
        <v/>
      </c>
      <c r="D29" s="19" t="n">
        <v>1171</v>
      </c>
      <c r="E29" s="18" t="n">
        <v>35.4061287</v>
      </c>
      <c r="F29" s="20" t="n">
        <v>1.45401835</v>
      </c>
      <c r="G29" s="18" t="n">
        <v>61.81447908</v>
      </c>
      <c r="H29" s="20" t="n">
        <v>1.464873</v>
      </c>
      <c r="I29" s="18" t="n">
        <v>0</v>
      </c>
      <c r="J29" s="20" t="n">
        <v>0</v>
      </c>
      <c r="K29" s="18" t="n">
        <v>0.26705381</v>
      </c>
      <c r="L29" s="20" t="n">
        <v>0.08473909</v>
      </c>
      <c r="M29" s="18" t="n">
        <v>0</v>
      </c>
      <c r="N29" s="20" t="n">
        <v>0</v>
      </c>
      <c r="O29" s="18" t="n">
        <v>0</v>
      </c>
      <c r="P29" s="20" t="n">
        <v>0</v>
      </c>
      <c r="Q29" s="18" t="n">
        <v>2.51233841</v>
      </c>
      <c r="R29" s="20" t="n">
        <v>0.53910601</v>
      </c>
    </row>
    <row r="30" spans="1:18">
      <c r="A30" s="15" t="s">
        <v>588</v>
      </c>
      <c r="B30" s="17" t="n">
        <v>4520</v>
      </c>
      <c r="C30" s="18">
        <f>(3550.0/B30*100)</f>
        <v/>
      </c>
      <c r="D30" s="19" t="n">
        <v>970</v>
      </c>
      <c r="E30" s="18" t="n">
        <v>32.79744465</v>
      </c>
      <c r="F30" s="20" t="n">
        <v>1.64439179</v>
      </c>
      <c r="G30" s="18" t="n">
        <v>60.45992175</v>
      </c>
      <c r="H30" s="20" t="n">
        <v>1.63833883</v>
      </c>
      <c r="I30" s="18" t="n">
        <v>0</v>
      </c>
      <c r="J30" s="20" t="n">
        <v>0</v>
      </c>
      <c r="K30" s="18" t="n">
        <v>0.09854199</v>
      </c>
      <c r="L30" s="20" t="n">
        <v>0.08490063</v>
      </c>
      <c r="M30" s="18" t="n">
        <v>0.23274616</v>
      </c>
      <c r="N30" s="20" t="n">
        <v>0.13453019</v>
      </c>
      <c r="O30" s="18" t="n">
        <v>0</v>
      </c>
      <c r="P30" s="20" t="n">
        <v>0</v>
      </c>
      <c r="Q30" s="18" t="n">
        <v>6.41134546</v>
      </c>
      <c r="R30" s="20" t="n">
        <v>0.81823177</v>
      </c>
    </row>
    <row r="31" spans="1:18">
      <c r="A31" s="15" t="s">
        <v>589</v>
      </c>
      <c r="B31" s="17" t="n">
        <v>5456</v>
      </c>
      <c r="C31" s="18">
        <f>(4277.0/B31*100)</f>
        <v/>
      </c>
      <c r="D31" s="19" t="n">
        <v>1179</v>
      </c>
      <c r="E31" s="18" t="n">
        <v>48.52149925</v>
      </c>
      <c r="F31" s="20" t="n">
        <v>1.60791984</v>
      </c>
      <c r="G31" s="18" t="n">
        <v>45.57770441</v>
      </c>
      <c r="H31" s="20" t="n">
        <v>1.63745523</v>
      </c>
      <c r="I31" s="18" t="n">
        <v>0</v>
      </c>
      <c r="J31" s="20" t="n">
        <v>0</v>
      </c>
      <c r="K31" s="18" t="n">
        <v>0.47379241</v>
      </c>
      <c r="L31" s="20" t="n">
        <v>0.19194516</v>
      </c>
      <c r="M31" s="18" t="n">
        <v>0.32700628</v>
      </c>
      <c r="N31" s="20" t="n">
        <v>0.22451634</v>
      </c>
      <c r="O31" s="18" t="n">
        <v>0</v>
      </c>
      <c r="P31" s="20" t="n">
        <v>0</v>
      </c>
      <c r="Q31" s="18" t="n">
        <v>5.09999765</v>
      </c>
      <c r="R31" s="20" t="n">
        <v>0.73091165</v>
      </c>
    </row>
    <row r="32" spans="1:18">
      <c r="A32" s="15" t="s">
        <v>590</v>
      </c>
      <c r="B32" s="17" t="n">
        <v>4478</v>
      </c>
      <c r="C32" s="18">
        <f>(3536.0/B32*100)</f>
        <v/>
      </c>
      <c r="D32" s="19" t="n">
        <v>942</v>
      </c>
      <c r="E32" s="18" t="n">
        <v>30.11733094</v>
      </c>
      <c r="F32" s="20" t="n">
        <v>1.61946716</v>
      </c>
      <c r="G32" s="18" t="n">
        <v>60.71070761</v>
      </c>
      <c r="H32" s="20" t="n">
        <v>1.6781764</v>
      </c>
      <c r="I32" s="18" t="n">
        <v>0</v>
      </c>
      <c r="J32" s="20" t="n">
        <v>0</v>
      </c>
      <c r="K32" s="18" t="n">
        <v>0</v>
      </c>
      <c r="L32" s="20" t="n">
        <v>0</v>
      </c>
      <c r="M32" s="18" t="n">
        <v>0</v>
      </c>
      <c r="N32" s="20" t="n">
        <v>0</v>
      </c>
      <c r="O32" s="18" t="n">
        <v>0</v>
      </c>
      <c r="P32" s="20" t="n">
        <v>0</v>
      </c>
      <c r="Q32" s="18" t="n">
        <v>9.17196145</v>
      </c>
      <c r="R32" s="20" t="n">
        <v>1.1019668</v>
      </c>
    </row>
    <row r="33" spans="1:18">
      <c r="A33" s="15" t="s">
        <v>591</v>
      </c>
      <c r="B33" s="17" t="n">
        <v>7325</v>
      </c>
      <c r="C33" s="18">
        <f>(5700.0/B33*100)</f>
        <v/>
      </c>
      <c r="D33" s="19" t="n">
        <v>1625</v>
      </c>
      <c r="E33" s="18" t="n">
        <v>43.61101294</v>
      </c>
      <c r="F33" s="20" t="n">
        <v>1.63147078</v>
      </c>
      <c r="G33" s="18" t="n">
        <v>47.38649531</v>
      </c>
      <c r="H33" s="20" t="n">
        <v>1.64138875</v>
      </c>
      <c r="I33" s="18" t="n">
        <v>0</v>
      </c>
      <c r="J33" s="20" t="n">
        <v>0</v>
      </c>
      <c r="K33" s="18" t="n">
        <v>0</v>
      </c>
      <c r="L33" s="20" t="n">
        <v>0</v>
      </c>
      <c r="M33" s="18" t="n">
        <v>0.0282666</v>
      </c>
      <c r="N33" s="20" t="n">
        <v>0.02830805</v>
      </c>
      <c r="O33" s="18" t="n">
        <v>0</v>
      </c>
      <c r="P33" s="20" t="n">
        <v>0</v>
      </c>
      <c r="Q33" s="18" t="n">
        <v>8.97422516</v>
      </c>
      <c r="R33" s="20" t="n">
        <v>1.03542079</v>
      </c>
    </row>
    <row r="34" spans="1:18">
      <c r="A34" s="15" t="s">
        <v>592</v>
      </c>
      <c r="B34" s="17" t="n">
        <v>6350</v>
      </c>
      <c r="C34" s="18">
        <f>(4986.0/B34*100)</f>
        <v/>
      </c>
      <c r="D34" s="19" t="n">
        <v>1364</v>
      </c>
      <c r="E34" s="18" t="n">
        <v>39.70981369</v>
      </c>
      <c r="F34" s="20" t="n">
        <v>1.301068</v>
      </c>
      <c r="G34" s="18" t="n">
        <v>47.5046753</v>
      </c>
      <c r="H34" s="20" t="n">
        <v>1.27449633</v>
      </c>
      <c r="I34" s="18" t="n">
        <v>0</v>
      </c>
      <c r="J34" s="20" t="n">
        <v>0</v>
      </c>
      <c r="K34" s="18" t="n">
        <v>0.05855725</v>
      </c>
      <c r="L34" s="20" t="n">
        <v>0.05859782</v>
      </c>
      <c r="M34" s="18" t="n">
        <v>0.39855184</v>
      </c>
      <c r="N34" s="20" t="n">
        <v>0.22027176</v>
      </c>
      <c r="O34" s="18" t="n">
        <v>0</v>
      </c>
      <c r="P34" s="20" t="n">
        <v>0</v>
      </c>
      <c r="Q34" s="18" t="n">
        <v>12.32840192</v>
      </c>
      <c r="R34" s="20" t="n">
        <v>1.04886244</v>
      </c>
    </row>
    <row r="35" spans="1:18">
      <c r="A35" s="15" t="s">
        <v>593</v>
      </c>
      <c r="B35" s="17" t="n">
        <v>6406</v>
      </c>
      <c r="C35" s="18">
        <f>(4976.0/B35*100)</f>
        <v/>
      </c>
      <c r="D35" s="19" t="n">
        <v>1430</v>
      </c>
      <c r="E35" s="18" t="n">
        <v>34.65848184</v>
      </c>
      <c r="F35" s="20" t="n">
        <v>1.68703987</v>
      </c>
      <c r="G35" s="18" t="n">
        <v>59.50673027</v>
      </c>
      <c r="H35" s="20" t="n">
        <v>1.80526286</v>
      </c>
      <c r="I35" s="18" t="n">
        <v>0</v>
      </c>
      <c r="J35" s="20" t="n">
        <v>0</v>
      </c>
      <c r="K35" s="18" t="n">
        <v>0.03360423</v>
      </c>
      <c r="L35" s="20" t="n">
        <v>0.03370434</v>
      </c>
      <c r="M35" s="18" t="n">
        <v>0.11847143</v>
      </c>
      <c r="N35" s="20" t="n">
        <v>0.11877844</v>
      </c>
      <c r="O35" s="18" t="n">
        <v>0</v>
      </c>
      <c r="P35" s="20" t="n">
        <v>0</v>
      </c>
      <c r="Q35" s="18" t="n">
        <v>5.68271223</v>
      </c>
      <c r="R35" s="20" t="n">
        <v>0.65251108</v>
      </c>
    </row>
    <row r="36" spans="1:18">
      <c r="A36" s="15" t="s">
        <v>594</v>
      </c>
      <c r="B36" s="17" t="n">
        <v>6736</v>
      </c>
      <c r="C36" s="18">
        <f>(5235.0/B36*100)</f>
        <v/>
      </c>
      <c r="D36" s="19" t="n">
        <v>1501</v>
      </c>
      <c r="E36" s="18" t="n">
        <v>45.93631972</v>
      </c>
      <c r="F36" s="20" t="n">
        <v>1.34464508</v>
      </c>
      <c r="G36" s="18" t="n">
        <v>48.56644153</v>
      </c>
      <c r="H36" s="20" t="n">
        <v>1.41620021</v>
      </c>
      <c r="I36" s="18" t="n">
        <v>0</v>
      </c>
      <c r="J36" s="20" t="n">
        <v>0</v>
      </c>
      <c r="K36" s="18" t="n">
        <v>0.18838652</v>
      </c>
      <c r="L36" s="20" t="n">
        <v>0.14166834</v>
      </c>
      <c r="M36" s="18" t="n">
        <v>0.06317621</v>
      </c>
      <c r="N36" s="20" t="n">
        <v>0.06291684</v>
      </c>
      <c r="O36" s="18" t="n">
        <v>0</v>
      </c>
      <c r="P36" s="20" t="n">
        <v>0</v>
      </c>
      <c r="Q36" s="18" t="n">
        <v>5.24567603</v>
      </c>
      <c r="R36" s="20" t="n">
        <v>0.68780241</v>
      </c>
    </row>
    <row r="37" spans="1:18">
      <c r="A37" s="15" t="s">
        <v>595</v>
      </c>
      <c r="B37" s="17" t="n">
        <v>5458</v>
      </c>
      <c r="C37" s="18">
        <f>(4262.0/B37*100)</f>
        <v/>
      </c>
      <c r="D37" s="19" t="n">
        <v>1196</v>
      </c>
      <c r="E37" s="18" t="n">
        <v>31.98167258</v>
      </c>
      <c r="F37" s="20" t="n">
        <v>1.56524996</v>
      </c>
      <c r="G37" s="18" t="n">
        <v>55.91979399</v>
      </c>
      <c r="H37" s="20" t="n">
        <v>1.80003556</v>
      </c>
      <c r="I37" s="18" t="n">
        <v>0</v>
      </c>
      <c r="J37" s="20" t="n">
        <v>0</v>
      </c>
      <c r="K37" s="18" t="n">
        <v>0.42634025</v>
      </c>
      <c r="L37" s="20" t="n">
        <v>0.18593339</v>
      </c>
      <c r="M37" s="18" t="n">
        <v>0</v>
      </c>
      <c r="N37" s="20" t="n">
        <v>0</v>
      </c>
      <c r="O37" s="18" t="n">
        <v>0</v>
      </c>
      <c r="P37" s="20" t="n">
        <v>0</v>
      </c>
      <c r="Q37" s="18" t="n">
        <v>11.67219318</v>
      </c>
      <c r="R37" s="20" t="n">
        <v>1.09418563</v>
      </c>
    </row>
    <row r="38" spans="1:18">
      <c r="A38" s="15" t="s">
        <v>596</v>
      </c>
      <c r="B38" s="17" t="n">
        <v>5860</v>
      </c>
      <c r="C38" s="18">
        <f>(4503.0/B38*100)</f>
        <v/>
      </c>
      <c r="D38" s="19" t="n">
        <v>1357</v>
      </c>
      <c r="E38" s="18" t="n">
        <v>33.68316497</v>
      </c>
      <c r="F38" s="20" t="n">
        <v>1.26673918</v>
      </c>
      <c r="G38" s="18" t="n">
        <v>58.73799174</v>
      </c>
      <c r="H38" s="20" t="n">
        <v>1.41579527</v>
      </c>
      <c r="I38" s="18" t="n">
        <v>0</v>
      </c>
      <c r="J38" s="20" t="n">
        <v>0</v>
      </c>
      <c r="K38" s="18" t="n">
        <v>0.10224284</v>
      </c>
      <c r="L38" s="20" t="n">
        <v>0.10705869</v>
      </c>
      <c r="M38" s="18" t="n">
        <v>1.66924354</v>
      </c>
      <c r="N38" s="20" t="n">
        <v>0.36049802</v>
      </c>
      <c r="O38" s="18" t="n">
        <v>0</v>
      </c>
      <c r="P38" s="20" t="n">
        <v>0</v>
      </c>
      <c r="Q38" s="18" t="n">
        <v>5.8073569</v>
      </c>
      <c r="R38" s="20" t="n">
        <v>0.72811047</v>
      </c>
    </row>
    <row r="39" spans="1:18">
      <c r="A39" s="15" t="s">
        <v>597</v>
      </c>
      <c r="B39" s="17" t="n">
        <v>5895</v>
      </c>
      <c r="C39" s="18">
        <f>(4590.0/B39*100)</f>
        <v/>
      </c>
      <c r="D39" s="19" t="n">
        <v>1305</v>
      </c>
      <c r="E39" s="18" t="n">
        <v>43.10718756</v>
      </c>
      <c r="F39" s="20" t="n">
        <v>1.62250839</v>
      </c>
      <c r="G39" s="18" t="n">
        <v>49.31873312</v>
      </c>
      <c r="H39" s="20" t="n">
        <v>1.76198265</v>
      </c>
      <c r="I39" s="18" t="n">
        <v>0</v>
      </c>
      <c r="J39" s="20" t="n">
        <v>0</v>
      </c>
      <c r="K39" s="18" t="n">
        <v>0.17001011</v>
      </c>
      <c r="L39" s="20" t="n">
        <v>0.12135939</v>
      </c>
      <c r="M39" s="18" t="n">
        <v>0.11825856</v>
      </c>
      <c r="N39" s="20" t="n">
        <v>0.0822123</v>
      </c>
      <c r="O39" s="18" t="n">
        <v>0</v>
      </c>
      <c r="P39" s="20" t="n">
        <v>0</v>
      </c>
      <c r="Q39" s="18" t="n">
        <v>7.28581065</v>
      </c>
      <c r="R39" s="20" t="n">
        <v>0.9408238799999999</v>
      </c>
    </row>
    <row r="40" spans="1:18">
      <c r="A40" s="15" t="s">
        <v>598</v>
      </c>
      <c r="B40" s="17" t="n">
        <v>14157</v>
      </c>
      <c r="C40" s="18">
        <f>(10972.0/B40*100)</f>
        <v/>
      </c>
      <c r="D40" s="19" t="n">
        <v>3185</v>
      </c>
      <c r="E40" s="18" t="n">
        <v>27.81723361</v>
      </c>
      <c r="F40" s="20" t="n">
        <v>1.42254661</v>
      </c>
      <c r="G40" s="18" t="n">
        <v>66.28032091</v>
      </c>
      <c r="H40" s="20" t="n">
        <v>1.55328032</v>
      </c>
      <c r="I40" s="18" t="n">
        <v>0</v>
      </c>
      <c r="J40" s="20" t="n">
        <v>0</v>
      </c>
      <c r="K40" s="18" t="n">
        <v>0.0989589</v>
      </c>
      <c r="L40" s="20" t="n">
        <v>0.06928534</v>
      </c>
      <c r="M40" s="18" t="n">
        <v>0.02427452</v>
      </c>
      <c r="N40" s="20" t="n">
        <v>0.02344297</v>
      </c>
      <c r="O40" s="18" t="n">
        <v>0</v>
      </c>
      <c r="P40" s="20" t="n">
        <v>0</v>
      </c>
      <c r="Q40" s="18" t="n">
        <v>5.77921207</v>
      </c>
      <c r="R40" s="20" t="n">
        <v>0.72330324</v>
      </c>
    </row>
    <row r="41" spans="1:18">
      <c r="A41" s="15" t="s">
        <v>599</v>
      </c>
      <c r="B41" s="17" t="n">
        <v>5712</v>
      </c>
      <c r="C41" s="18">
        <f>(4502.0/B41*100)</f>
        <v/>
      </c>
      <c r="D41" s="19" t="n">
        <v>1210</v>
      </c>
      <c r="E41" s="18" t="n">
        <v>40.87897538</v>
      </c>
      <c r="F41" s="20" t="n">
        <v>1.69653264</v>
      </c>
      <c r="G41" s="18" t="n">
        <v>56.88226088</v>
      </c>
      <c r="H41" s="20" t="n">
        <v>1.62470886</v>
      </c>
      <c r="I41" s="18" t="n">
        <v>0</v>
      </c>
      <c r="J41" s="20" t="n">
        <v>0</v>
      </c>
      <c r="K41" s="18" t="n">
        <v>0.11265266</v>
      </c>
      <c r="L41" s="20" t="n">
        <v>0.09211912999999999</v>
      </c>
      <c r="M41" s="18" t="n">
        <v>0</v>
      </c>
      <c r="N41" s="20" t="n">
        <v>0</v>
      </c>
      <c r="O41" s="18" t="n">
        <v>0</v>
      </c>
      <c r="P41" s="20" t="n">
        <v>0</v>
      </c>
      <c r="Q41" s="18" t="n">
        <v>2.12611108</v>
      </c>
      <c r="R41" s="20" t="n">
        <v>0.40108397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(18697.0/B46*100)</f>
        <v/>
      </c>
      <c r="D46" s="19" t="n">
        <v>4444</v>
      </c>
      <c r="E46" s="18" t="n">
        <v>61.71893991</v>
      </c>
      <c r="F46" s="20" t="n">
        <v>1.00425862</v>
      </c>
      <c r="G46" s="18" t="n">
        <v>19.49609022</v>
      </c>
      <c r="H46" s="20" t="n">
        <v>1.07405468</v>
      </c>
      <c r="I46" s="18" t="n">
        <v>0</v>
      </c>
      <c r="J46" s="20" t="n">
        <v>0</v>
      </c>
      <c r="K46" s="18" t="n">
        <v>0.78824527</v>
      </c>
      <c r="L46" s="20" t="n">
        <v>0.22392701</v>
      </c>
      <c r="M46" s="18" t="n">
        <v>0.46357719</v>
      </c>
      <c r="N46" s="20" t="n">
        <v>0.1412859</v>
      </c>
      <c r="O46" s="18" t="n">
        <v>0</v>
      </c>
      <c r="P46" s="20" t="n">
        <v>0</v>
      </c>
      <c r="Q46" s="18" t="n">
        <v>17.53314741</v>
      </c>
      <c r="R46" s="20" t="n">
        <v>0.83029594</v>
      </c>
    </row>
    <row r="47" spans="1:18">
      <c r="A47" s="15" t="s">
        <v>606</v>
      </c>
      <c r="B47" s="17" t="n">
        <v>5928</v>
      </c>
      <c r="C47" s="18">
        <f>(4626.0/B47*100)</f>
        <v/>
      </c>
      <c r="D47" s="19" t="n">
        <v>1302</v>
      </c>
      <c r="E47" s="18" t="n">
        <v>35.50678617</v>
      </c>
      <c r="F47" s="20" t="n">
        <v>1.07521424</v>
      </c>
      <c r="G47" s="18" t="n">
        <v>44.69162586</v>
      </c>
      <c r="H47" s="20" t="n">
        <v>1.68353737</v>
      </c>
      <c r="I47" s="18" t="n">
        <v>0</v>
      </c>
      <c r="J47" s="20" t="n">
        <v>0</v>
      </c>
      <c r="K47" s="18" t="n">
        <v>0.45617337</v>
      </c>
      <c r="L47" s="20" t="n">
        <v>0.19915452</v>
      </c>
      <c r="M47" s="18" t="n">
        <v>0.22137729</v>
      </c>
      <c r="N47" s="20" t="n">
        <v>0.12643865</v>
      </c>
      <c r="O47" s="18" t="n">
        <v>0</v>
      </c>
      <c r="P47" s="20" t="n">
        <v>0</v>
      </c>
      <c r="Q47" s="18" t="n">
        <v>19.12403731</v>
      </c>
      <c r="R47" s="20" t="n">
        <v>1.47371988</v>
      </c>
    </row>
    <row r="48" spans="1:18">
      <c r="A48" s="15" t="s">
        <v>607</v>
      </c>
      <c r="B48" s="17" t="n">
        <v>9841</v>
      </c>
      <c r="C48" s="18">
        <f>(7690.0/B48*100)</f>
        <v/>
      </c>
      <c r="D48" s="19" t="n">
        <v>2151</v>
      </c>
      <c r="E48" s="18" t="n">
        <v>41.86911422</v>
      </c>
      <c r="F48" s="20" t="n">
        <v>1.43490233</v>
      </c>
      <c r="G48" s="18" t="n">
        <v>50.52350106</v>
      </c>
      <c r="H48" s="20" t="n">
        <v>1.67271006</v>
      </c>
      <c r="I48" s="18" t="n">
        <v>0</v>
      </c>
      <c r="J48" s="20" t="n">
        <v>0</v>
      </c>
      <c r="K48" s="18" t="n">
        <v>0.5991728200000001</v>
      </c>
      <c r="L48" s="20" t="n">
        <v>0.22647934</v>
      </c>
      <c r="M48" s="18" t="n">
        <v>0.1038937</v>
      </c>
      <c r="N48" s="20" t="n">
        <v>0.08301595000000001</v>
      </c>
      <c r="O48" s="18" t="n">
        <v>0</v>
      </c>
      <c r="P48" s="20" t="n">
        <v>0</v>
      </c>
      <c r="Q48" s="18" t="n">
        <v>6.90431819</v>
      </c>
      <c r="R48" s="20" t="n">
        <v>0.80285297</v>
      </c>
    </row>
    <row r="49" spans="1:18">
      <c r="A49" s="15" t="s">
        <v>608</v>
      </c>
      <c r="B49" s="17" t="n">
        <v>11795</v>
      </c>
      <c r="C49" s="18">
        <f>(9222.0/B49*100)</f>
        <v/>
      </c>
      <c r="D49" s="19" t="n">
        <v>2573</v>
      </c>
      <c r="E49" s="18" t="n">
        <v>70.93360498</v>
      </c>
      <c r="F49" s="20" t="n">
        <v>1.44474568</v>
      </c>
      <c r="G49" s="18" t="n">
        <v>25.07423737</v>
      </c>
      <c r="H49" s="20" t="n">
        <v>1.38288958</v>
      </c>
      <c r="I49" s="18" t="n">
        <v>0</v>
      </c>
      <c r="J49" s="20" t="n">
        <v>0</v>
      </c>
      <c r="K49" s="18" t="n">
        <v>0.69791655</v>
      </c>
      <c r="L49" s="20" t="n">
        <v>0.25823987</v>
      </c>
      <c r="M49" s="18" t="n">
        <v>0.02289685</v>
      </c>
      <c r="N49" s="20" t="n">
        <v>0.01918552</v>
      </c>
      <c r="O49" s="18" t="n">
        <v>0</v>
      </c>
      <c r="P49" s="20" t="n">
        <v>0</v>
      </c>
      <c r="Q49" s="18" t="n">
        <v>3.27134425</v>
      </c>
      <c r="R49" s="20" t="n">
        <v>0.46309644</v>
      </c>
    </row>
    <row r="50" spans="1:18">
      <c r="A50" s="15" t="s">
        <v>609</v>
      </c>
      <c r="B50" s="17" t="n">
        <v>6866</v>
      </c>
      <c r="C50" s="18">
        <f>(5546.0/B50*100)</f>
        <v/>
      </c>
      <c r="D50" s="19" t="n">
        <v>1320</v>
      </c>
      <c r="E50" s="18" t="n">
        <v>68.48815822</v>
      </c>
      <c r="F50" s="20" t="n">
        <v>1.49542714</v>
      </c>
      <c r="G50" s="18" t="n">
        <v>26.38667863</v>
      </c>
      <c r="H50" s="20" t="n">
        <v>1.3780826</v>
      </c>
      <c r="I50" s="18" t="n">
        <v>0</v>
      </c>
      <c r="J50" s="20" t="n">
        <v>0</v>
      </c>
      <c r="K50" s="18" t="n">
        <v>0.34311168</v>
      </c>
      <c r="L50" s="20" t="n">
        <v>0.16649617</v>
      </c>
      <c r="M50" s="18" t="n">
        <v>0.07264031</v>
      </c>
      <c r="N50" s="20" t="n">
        <v>0.07301961</v>
      </c>
      <c r="O50" s="18" t="n">
        <v>0</v>
      </c>
      <c r="P50" s="20" t="n">
        <v>0</v>
      </c>
      <c r="Q50" s="18" t="n">
        <v>4.70941116</v>
      </c>
      <c r="R50" s="20" t="n">
        <v>0.70449839</v>
      </c>
    </row>
    <row r="51" spans="1:18">
      <c r="A51" s="15" t="s">
        <v>610</v>
      </c>
      <c r="B51" s="17" t="n">
        <v>5809</v>
      </c>
      <c r="C51" s="18">
        <f>(4541.0/B51*100)</f>
        <v/>
      </c>
      <c r="D51" s="19" t="n">
        <v>1268</v>
      </c>
      <c r="E51" s="18" t="n">
        <v>35.12910748</v>
      </c>
      <c r="F51" s="20" t="n">
        <v>1.36680808</v>
      </c>
      <c r="G51" s="18" t="n">
        <v>52.80595796</v>
      </c>
      <c r="H51" s="20" t="n">
        <v>1.62996238</v>
      </c>
      <c r="I51" s="18" t="n">
        <v>0</v>
      </c>
      <c r="J51" s="20" t="n">
        <v>0</v>
      </c>
      <c r="K51" s="18" t="n">
        <v>0.08024603</v>
      </c>
      <c r="L51" s="20" t="n">
        <v>0.07853821</v>
      </c>
      <c r="M51" s="18" t="n">
        <v>0</v>
      </c>
      <c r="N51" s="20" t="n">
        <v>0</v>
      </c>
      <c r="O51" s="18" t="n">
        <v>0</v>
      </c>
      <c r="P51" s="20" t="n">
        <v>0</v>
      </c>
      <c r="Q51" s="18" t="n">
        <v>11.98468854</v>
      </c>
      <c r="R51" s="20" t="n">
        <v>1.09046663</v>
      </c>
    </row>
    <row r="52" spans="1:18">
      <c r="A52" s="15" t="s">
        <v>611</v>
      </c>
      <c r="B52" s="17" t="n">
        <v>5571</v>
      </c>
      <c r="C52" s="18">
        <f>(4339.0/B52*100)</f>
        <v/>
      </c>
      <c r="D52" s="19" t="n">
        <v>1232</v>
      </c>
      <c r="E52" s="18" t="n">
        <v>49.16978603</v>
      </c>
      <c r="F52" s="20" t="n">
        <v>1.61831579</v>
      </c>
      <c r="G52" s="18" t="n">
        <v>37.33724847</v>
      </c>
      <c r="H52" s="20" t="n">
        <v>1.54152852</v>
      </c>
      <c r="I52" s="18" t="n">
        <v>0</v>
      </c>
      <c r="J52" s="20" t="n">
        <v>0</v>
      </c>
      <c r="K52" s="18" t="n">
        <v>0.10682613</v>
      </c>
      <c r="L52" s="20" t="n">
        <v>0.10696389</v>
      </c>
      <c r="M52" s="18" t="n">
        <v>0</v>
      </c>
      <c r="N52" s="20" t="n">
        <v>0</v>
      </c>
      <c r="O52" s="18" t="n">
        <v>0</v>
      </c>
      <c r="P52" s="20" t="n">
        <v>0</v>
      </c>
      <c r="Q52" s="18" t="n">
        <v>13.38613938</v>
      </c>
      <c r="R52" s="20" t="n">
        <v>0.99820748</v>
      </c>
    </row>
    <row r="53" spans="1:18">
      <c r="A53" s="15" t="s">
        <v>612</v>
      </c>
      <c r="B53" s="17" t="n">
        <v>4740</v>
      </c>
      <c r="C53" s="18">
        <f>(3677.0/B53*100)</f>
        <v/>
      </c>
      <c r="D53" s="19" t="n">
        <v>1063</v>
      </c>
      <c r="E53" s="18" t="n">
        <v>69.5491578</v>
      </c>
      <c r="F53" s="20" t="n">
        <v>1.79651377</v>
      </c>
      <c r="G53" s="18" t="n">
        <v>7.06444263</v>
      </c>
      <c r="H53" s="20" t="n">
        <v>0.83924754</v>
      </c>
      <c r="I53" s="18" t="n">
        <v>0</v>
      </c>
      <c r="J53" s="20" t="n">
        <v>0</v>
      </c>
      <c r="K53" s="18" t="n">
        <v>6.76014753</v>
      </c>
      <c r="L53" s="20" t="n">
        <v>0.84093732</v>
      </c>
      <c r="M53" s="18" t="n">
        <v>0.8044381</v>
      </c>
      <c r="N53" s="20" t="n">
        <v>0.70024146</v>
      </c>
      <c r="O53" s="18" t="n">
        <v>0</v>
      </c>
      <c r="P53" s="20" t="n">
        <v>0</v>
      </c>
      <c r="Q53" s="18" t="n">
        <v>15.82181394</v>
      </c>
      <c r="R53" s="20" t="n">
        <v>1.40106326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(4156.0/B55*100)</f>
        <v/>
      </c>
      <c r="D55" s="19" t="n">
        <v>1203</v>
      </c>
      <c r="E55" s="18" t="n">
        <v>47.1507472</v>
      </c>
      <c r="F55" s="20" t="n">
        <v>1.68055426</v>
      </c>
      <c r="G55" s="18" t="n">
        <v>49.00051935</v>
      </c>
      <c r="H55" s="20" t="n">
        <v>1.59965774</v>
      </c>
      <c r="I55" s="18" t="n">
        <v>0</v>
      </c>
      <c r="J55" s="20" t="n">
        <v>0</v>
      </c>
      <c r="K55" s="18" t="n">
        <v>0.22273493</v>
      </c>
      <c r="L55" s="20" t="n">
        <v>0.18122328</v>
      </c>
      <c r="M55" s="18" t="n">
        <v>0.06942066</v>
      </c>
      <c r="N55" s="20" t="n">
        <v>0.06964169000000001</v>
      </c>
      <c r="O55" s="18" t="n">
        <v>0</v>
      </c>
      <c r="P55" s="20" t="n">
        <v>0</v>
      </c>
      <c r="Q55" s="18" t="n">
        <v>3.55657787</v>
      </c>
      <c r="R55" s="20" t="n">
        <v>0.5664427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(5087.0/B61*100)</f>
        <v/>
      </c>
      <c r="D61" s="19" t="n">
        <v>1438</v>
      </c>
      <c r="E61" s="18" t="n">
        <v>37.87262437</v>
      </c>
      <c r="F61" s="20" t="n">
        <v>1.4981372</v>
      </c>
      <c r="G61" s="18" t="n">
        <v>55.54985338</v>
      </c>
      <c r="H61" s="20" t="n">
        <v>1.58249245</v>
      </c>
      <c r="I61" s="18" t="n">
        <v>0</v>
      </c>
      <c r="J61" s="20" t="n">
        <v>0</v>
      </c>
      <c r="K61" s="18" t="n">
        <v>0.30300875</v>
      </c>
      <c r="L61" s="20" t="n">
        <v>0.21728752</v>
      </c>
      <c r="M61" s="18" t="n">
        <v>0</v>
      </c>
      <c r="N61" s="20" t="n">
        <v>0</v>
      </c>
      <c r="O61" s="18" t="n">
        <v>0</v>
      </c>
      <c r="P61" s="20" t="n">
        <v>0</v>
      </c>
      <c r="Q61" s="18" t="n">
        <v>6.27451351</v>
      </c>
      <c r="R61" s="20" t="n">
        <v>0.7225700900000001</v>
      </c>
    </row>
    <row r="62" spans="1:18">
      <c r="A62" s="15" t="s">
        <v>622</v>
      </c>
      <c r="B62" s="17" t="n">
        <v>4476</v>
      </c>
      <c r="C62" s="18">
        <f>(3478.0/B62*100)</f>
        <v/>
      </c>
      <c r="D62" s="19" t="n">
        <v>998</v>
      </c>
      <c r="E62" s="18" t="n">
        <v>37.87017181</v>
      </c>
      <c r="F62" s="20" t="n">
        <v>1.49210788</v>
      </c>
      <c r="G62" s="18" t="n">
        <v>59.01184913</v>
      </c>
      <c r="H62" s="20" t="n">
        <v>1.47233947</v>
      </c>
      <c r="I62" s="18" t="n">
        <v>0</v>
      </c>
      <c r="J62" s="20" t="n">
        <v>0</v>
      </c>
      <c r="K62" s="18" t="n">
        <v>0</v>
      </c>
      <c r="L62" s="20" t="n">
        <v>0</v>
      </c>
      <c r="M62" s="18" t="n">
        <v>0.1006108</v>
      </c>
      <c r="N62" s="20" t="n">
        <v>0.1009398</v>
      </c>
      <c r="O62" s="18" t="n">
        <v>0</v>
      </c>
      <c r="P62" s="20" t="n">
        <v>0</v>
      </c>
      <c r="Q62" s="18" t="n">
        <v>3.01736826</v>
      </c>
      <c r="R62" s="20" t="n">
        <v>0.4751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(4464.0/B67*100)</f>
        <v/>
      </c>
      <c r="D67" s="19" t="n">
        <v>1201</v>
      </c>
      <c r="E67" s="18" t="n">
        <v>37.9995881</v>
      </c>
      <c r="F67" s="20" t="n">
        <v>1.37206948</v>
      </c>
      <c r="G67" s="18" t="n">
        <v>33.72725205</v>
      </c>
      <c r="H67" s="20" t="n">
        <v>1.30259493</v>
      </c>
      <c r="I67" s="18" t="n">
        <v>0</v>
      </c>
      <c r="J67" s="20" t="n">
        <v>0</v>
      </c>
      <c r="K67" s="18" t="n">
        <v>0.42178844</v>
      </c>
      <c r="L67" s="20" t="n">
        <v>0.19063075</v>
      </c>
      <c r="M67" s="18" t="n">
        <v>0.22078726</v>
      </c>
      <c r="N67" s="20" t="n">
        <v>0.12724754</v>
      </c>
      <c r="O67" s="18" t="n">
        <v>0</v>
      </c>
      <c r="P67" s="20" t="n">
        <v>0</v>
      </c>
      <c r="Q67" s="18" t="n">
        <v>27.63058415</v>
      </c>
      <c r="R67" s="20" t="n">
        <v>1.39129654</v>
      </c>
    </row>
    <row r="68" spans="1:18">
      <c r="A68" s="15" t="s">
        <v>628</v>
      </c>
      <c r="B68" s="17" t="n">
        <v>6971</v>
      </c>
      <c r="C68" s="18">
        <f>(5553.0/B68*100)</f>
        <v/>
      </c>
      <c r="D68" s="19" t="n">
        <v>1418</v>
      </c>
      <c r="E68" s="18" t="n">
        <v>84.17839901000001</v>
      </c>
      <c r="F68" s="20" t="n">
        <v>1.17794469</v>
      </c>
      <c r="G68" s="18" t="n">
        <v>9.1722152</v>
      </c>
      <c r="H68" s="20" t="n">
        <v>0.9740855899999999</v>
      </c>
      <c r="I68" s="18" t="n">
        <v>0</v>
      </c>
      <c r="J68" s="20" t="n">
        <v>0</v>
      </c>
      <c r="K68" s="18" t="n">
        <v>0.25828368</v>
      </c>
      <c r="L68" s="20" t="n">
        <v>0.19839603</v>
      </c>
      <c r="M68" s="18" t="n">
        <v>0.29677575</v>
      </c>
      <c r="N68" s="20" t="n">
        <v>0.15632633</v>
      </c>
      <c r="O68" s="18" t="n">
        <v>0</v>
      </c>
      <c r="P68" s="20" t="n">
        <v>0</v>
      </c>
      <c r="Q68" s="18" t="n">
        <v>6.09432635</v>
      </c>
      <c r="R68" s="20" t="n">
        <v>0.67399996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(9355.0/B70*100)</f>
        <v/>
      </c>
      <c r="D70" s="19" t="n">
        <v>2728</v>
      </c>
      <c r="E70" s="18" t="n">
        <v>61.08054206</v>
      </c>
      <c r="F70" s="20" t="n">
        <v>0.93415321</v>
      </c>
      <c r="G70" s="18" t="n">
        <v>26.38119567</v>
      </c>
      <c r="H70" s="20" t="n">
        <v>0.9020421</v>
      </c>
      <c r="I70" s="18" t="n">
        <v>0</v>
      </c>
      <c r="J70" s="20" t="n">
        <v>0</v>
      </c>
      <c r="K70" s="18" t="n">
        <v>1.5119588</v>
      </c>
      <c r="L70" s="20" t="n">
        <v>0.22348579</v>
      </c>
      <c r="M70" s="18" t="n">
        <v>0.06939702</v>
      </c>
      <c r="N70" s="20" t="n">
        <v>0.04917886</v>
      </c>
      <c r="O70" s="18" t="n">
        <v>0</v>
      </c>
      <c r="P70" s="20" t="n">
        <v>0</v>
      </c>
      <c r="Q70" s="18" t="n">
        <v>10.95690645</v>
      </c>
      <c r="R70" s="20" t="n">
        <v>0.63046555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(4717.0/B72*100)</f>
        <v/>
      </c>
      <c r="D72" s="19" t="n">
        <v>1319</v>
      </c>
      <c r="E72" s="18" t="n">
        <v>37.11842964</v>
      </c>
      <c r="F72" s="20" t="n">
        <v>1.50561536</v>
      </c>
      <c r="G72" s="18" t="n">
        <v>54.26761056</v>
      </c>
      <c r="H72" s="20" t="n">
        <v>1.89208057</v>
      </c>
      <c r="I72" s="18" t="n">
        <v>0</v>
      </c>
      <c r="J72" s="20" t="n">
        <v>0</v>
      </c>
      <c r="K72" s="18" t="n">
        <v>0.30588842</v>
      </c>
      <c r="L72" s="20" t="n">
        <v>0.12420579</v>
      </c>
      <c r="M72" s="18" t="n">
        <v>0.08693562000000001</v>
      </c>
      <c r="N72" s="20" t="n">
        <v>0.08635941</v>
      </c>
      <c r="O72" s="18" t="n">
        <v>0</v>
      </c>
      <c r="P72" s="20" t="n">
        <v>0</v>
      </c>
      <c r="Q72" s="18" t="n">
        <v>8.221135759999999</v>
      </c>
      <c r="R72" s="20" t="n">
        <v>0.93963297</v>
      </c>
    </row>
    <row r="73" spans="1:18">
      <c r="A73" s="15" t="s">
        <v>633</v>
      </c>
      <c r="B73" s="17" t="n">
        <v>6115</v>
      </c>
      <c r="C73" s="18">
        <f>(4789.0/B73*100)</f>
        <v/>
      </c>
      <c r="D73" s="19" t="n">
        <v>1326</v>
      </c>
      <c r="E73" s="18" t="n">
        <v>21.7678473</v>
      </c>
      <c r="F73" s="20" t="n">
        <v>1.00768274</v>
      </c>
      <c r="G73" s="18" t="n">
        <v>76.11720086</v>
      </c>
      <c r="H73" s="20" t="n">
        <v>1.07180495</v>
      </c>
      <c r="I73" s="18" t="n">
        <v>0</v>
      </c>
      <c r="J73" s="20" t="n">
        <v>0</v>
      </c>
      <c r="K73" s="18" t="n">
        <v>0.15055594</v>
      </c>
      <c r="L73" s="20" t="n">
        <v>0.1072219</v>
      </c>
      <c r="M73" s="18" t="n">
        <v>0</v>
      </c>
      <c r="N73" s="20" t="n">
        <v>0</v>
      </c>
      <c r="O73" s="18" t="n">
        <v>0</v>
      </c>
      <c r="P73" s="20" t="n">
        <v>0</v>
      </c>
      <c r="Q73" s="18" t="n">
        <v>1.9643959</v>
      </c>
      <c r="R73" s="20" t="n">
        <v>0.38928947</v>
      </c>
    </row>
    <row r="74" spans="1:18">
      <c r="A74" s="15" t="s">
        <v>634</v>
      </c>
      <c r="B74" s="17" t="n">
        <v>7708</v>
      </c>
      <c r="C74" s="18">
        <f>(6066.0/B74*100)</f>
        <v/>
      </c>
      <c r="D74" s="19" t="n">
        <v>1642</v>
      </c>
      <c r="E74" s="18" t="n">
        <v>14.30685886</v>
      </c>
      <c r="F74" s="20" t="n">
        <v>0.95278444</v>
      </c>
      <c r="G74" s="18" t="n">
        <v>80.94781752</v>
      </c>
      <c r="H74" s="20" t="n">
        <v>1.16488163</v>
      </c>
      <c r="I74" s="18" t="n">
        <v>0</v>
      </c>
      <c r="J74" s="20" t="n">
        <v>0</v>
      </c>
      <c r="K74" s="18" t="n">
        <v>0.20740367</v>
      </c>
      <c r="L74" s="20" t="n">
        <v>0.15732353</v>
      </c>
      <c r="M74" s="18" t="n">
        <v>0</v>
      </c>
      <c r="N74" s="20" t="n">
        <v>0</v>
      </c>
      <c r="O74" s="18" t="n">
        <v>0</v>
      </c>
      <c r="P74" s="20" t="n">
        <v>0</v>
      </c>
      <c r="Q74" s="18" t="n">
        <v>4.53791996</v>
      </c>
      <c r="R74" s="20" t="n">
        <v>0.58457117</v>
      </c>
    </row>
    <row r="75" spans="1:18">
      <c r="A75" s="15" t="s">
        <v>635</v>
      </c>
      <c r="B75" s="17" t="n">
        <v>8249</v>
      </c>
      <c r="C75" s="18">
        <f>(6436.0/B75*100)</f>
        <v/>
      </c>
      <c r="D75" s="19" t="n">
        <v>1813</v>
      </c>
      <c r="E75" s="18" t="n">
        <v>79.80545478000001</v>
      </c>
      <c r="F75" s="20" t="n">
        <v>1.41652718</v>
      </c>
      <c r="G75" s="18" t="n">
        <v>17.1751771</v>
      </c>
      <c r="H75" s="20" t="n">
        <v>1.32669092</v>
      </c>
      <c r="I75" s="18" t="n">
        <v>0</v>
      </c>
      <c r="J75" s="20" t="n">
        <v>0</v>
      </c>
      <c r="K75" s="18" t="n">
        <v>0.15648569</v>
      </c>
      <c r="L75" s="20" t="n">
        <v>0.09761276000000001</v>
      </c>
      <c r="M75" s="18" t="n">
        <v>0</v>
      </c>
      <c r="N75" s="20" t="n">
        <v>0</v>
      </c>
      <c r="O75" s="18" t="n">
        <v>0</v>
      </c>
      <c r="P75" s="20" t="n">
        <v>0</v>
      </c>
      <c r="Q75" s="18" t="n">
        <v>2.86288243</v>
      </c>
      <c r="R75" s="20" t="n">
        <v>0.5199971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(4274.0/B77*100)</f>
        <v/>
      </c>
      <c r="D77" s="19" t="n">
        <v>1101</v>
      </c>
      <c r="E77" s="18" t="n">
        <v>51.80147473</v>
      </c>
      <c r="F77" s="20" t="n">
        <v>1.70284099</v>
      </c>
      <c r="G77" s="18" t="n">
        <v>26.39119623</v>
      </c>
      <c r="H77" s="20" t="n">
        <v>1.4971613</v>
      </c>
      <c r="I77" s="18" t="n">
        <v>0</v>
      </c>
      <c r="J77" s="20" t="n">
        <v>0</v>
      </c>
      <c r="K77" s="18" t="n">
        <v>0.73361462</v>
      </c>
      <c r="L77" s="20" t="n">
        <v>0.32078049</v>
      </c>
      <c r="M77" s="18" t="n">
        <v>0.75892308</v>
      </c>
      <c r="N77" s="20" t="n">
        <v>0.3358842</v>
      </c>
      <c r="O77" s="18" t="n">
        <v>0</v>
      </c>
      <c r="P77" s="20" t="n">
        <v>0</v>
      </c>
      <c r="Q77" s="18" t="n">
        <v>20.31479134</v>
      </c>
      <c r="R77" s="20" t="n">
        <v>1.49407531</v>
      </c>
    </row>
    <row r="78" spans="1:18">
      <c r="A78" s="15" t="s">
        <v>638</v>
      </c>
      <c r="B78" s="17" t="n">
        <v>14167</v>
      </c>
      <c r="C78" s="18">
        <f>(11021.0/B78*100)</f>
        <v/>
      </c>
      <c r="D78" s="19" t="n">
        <v>3146</v>
      </c>
      <c r="E78" s="18" t="n">
        <v>55.12515651</v>
      </c>
      <c r="F78" s="20" t="n">
        <v>1.23217795</v>
      </c>
      <c r="G78" s="18" t="n">
        <v>38.34712516</v>
      </c>
      <c r="H78" s="20" t="n">
        <v>1.32849387</v>
      </c>
      <c r="I78" s="18" t="n">
        <v>0</v>
      </c>
      <c r="J78" s="20" t="n">
        <v>0</v>
      </c>
      <c r="K78" s="18" t="n">
        <v>0.7164221200000001</v>
      </c>
      <c r="L78" s="20" t="n">
        <v>0.18971578</v>
      </c>
      <c r="M78" s="18" t="n">
        <v>0.24144562</v>
      </c>
      <c r="N78" s="20" t="n">
        <v>0.13094627</v>
      </c>
      <c r="O78" s="18" t="n">
        <v>0</v>
      </c>
      <c r="P78" s="20" t="n">
        <v>0</v>
      </c>
      <c r="Q78" s="18" t="n">
        <v>5.5698506</v>
      </c>
      <c r="R78" s="20" t="n">
        <v>0.45851404</v>
      </c>
    </row>
    <row r="79" spans="1:18">
      <c r="A79" s="15" t="s">
        <v>639</v>
      </c>
      <c r="B79" s="17" t="n">
        <v>6062</v>
      </c>
      <c r="C79" s="18">
        <f>(4715.0/B79*100)</f>
        <v/>
      </c>
      <c r="D79" s="19" t="n">
        <v>1347</v>
      </c>
      <c r="E79" s="18" t="n">
        <v>53.86709954</v>
      </c>
      <c r="F79" s="20" t="n">
        <v>1.28415165</v>
      </c>
      <c r="G79" s="18" t="n">
        <v>30.58327045</v>
      </c>
      <c r="H79" s="20" t="n">
        <v>1.40854481</v>
      </c>
      <c r="I79" s="18" t="n">
        <v>0</v>
      </c>
      <c r="J79" s="20" t="n">
        <v>0</v>
      </c>
      <c r="K79" s="18" t="n">
        <v>0.33755567</v>
      </c>
      <c r="L79" s="20" t="n">
        <v>0.16425769</v>
      </c>
      <c r="M79" s="18" t="n">
        <v>0.23962633</v>
      </c>
      <c r="N79" s="20" t="n">
        <v>0.14359203</v>
      </c>
      <c r="O79" s="18" t="n">
        <v>0</v>
      </c>
      <c r="P79" s="20" t="n">
        <v>0</v>
      </c>
      <c r="Q79" s="18" t="n">
        <v>14.97244801</v>
      </c>
      <c r="R79" s="20" t="n">
        <v>1.04143363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(25165.0/B82*100)</f>
        <v/>
      </c>
      <c r="D82" s="19" t="n">
        <v>7165</v>
      </c>
      <c r="E82" s="18" t="n">
        <v>46.09561042</v>
      </c>
      <c r="F82" s="20" t="n">
        <v>0.81677749</v>
      </c>
      <c r="G82" s="18" t="n">
        <v>48.66174661</v>
      </c>
      <c r="H82" s="20" t="n">
        <v>0.87768934</v>
      </c>
      <c r="I82" s="18" t="n">
        <v>0</v>
      </c>
      <c r="J82" s="20" t="n">
        <v>0</v>
      </c>
      <c r="K82" s="18" t="n">
        <v>0.1864988</v>
      </c>
      <c r="L82" s="20" t="n">
        <v>0.07472405999999999</v>
      </c>
      <c r="M82" s="18" t="n">
        <v>0.04239693</v>
      </c>
      <c r="N82" s="20" t="n">
        <v>0.03779298</v>
      </c>
      <c r="O82" s="18" t="n">
        <v>0</v>
      </c>
      <c r="P82" s="20" t="n">
        <v>0</v>
      </c>
      <c r="Q82" s="18" t="n">
        <v>5.01374724</v>
      </c>
      <c r="R82" s="20" t="n">
        <v>0.36707505</v>
      </c>
    </row>
    <row r="83" spans="1:18">
      <c r="A83" s="15" t="s">
        <v>643</v>
      </c>
      <c r="B83" s="17" t="n">
        <v>1652</v>
      </c>
      <c r="C83" s="18">
        <f>(1292.0/B83*100)</f>
        <v/>
      </c>
      <c r="D83" s="19" t="n">
        <v>360</v>
      </c>
      <c r="E83" s="18" t="n">
        <v>32.27670566</v>
      </c>
      <c r="F83" s="20" t="n">
        <v>2.70126581</v>
      </c>
      <c r="G83" s="18" t="n">
        <v>65.08426582</v>
      </c>
      <c r="H83" s="20" t="n">
        <v>2.86717688</v>
      </c>
      <c r="I83" s="18" t="n">
        <v>0</v>
      </c>
      <c r="J83" s="20" t="n">
        <v>0</v>
      </c>
      <c r="K83" s="18" t="n">
        <v>0</v>
      </c>
      <c r="L83" s="20" t="n">
        <v>0</v>
      </c>
      <c r="M83" s="18" t="n">
        <v>0</v>
      </c>
      <c r="N83" s="20" t="n">
        <v>0</v>
      </c>
      <c r="O83" s="18" t="n">
        <v>0</v>
      </c>
      <c r="P83" s="20" t="n">
        <v>0</v>
      </c>
      <c r="Q83" s="18" t="n">
        <v>2.63902852</v>
      </c>
      <c r="R83" s="20" t="n">
        <v>0.9556264799999999</v>
      </c>
    </row>
    <row r="84" spans="1:18">
      <c r="A84" s="23" t="s">
        <v>644</v>
      </c>
      <c r="B84" s="24" t="n">
        <v>1887</v>
      </c>
      <c r="C84" s="25">
        <f>(1497.0/B84*100)</f>
        <v/>
      </c>
      <c r="D84" s="19" t="n">
        <v>390</v>
      </c>
      <c r="E84" s="18" t="n">
        <v>46.60963588</v>
      </c>
      <c r="F84" s="20" t="n">
        <v>3.1662666</v>
      </c>
      <c r="G84" s="18" t="n">
        <v>52.65948471</v>
      </c>
      <c r="H84" s="20" t="n">
        <v>3.18092853</v>
      </c>
      <c r="I84" s="18" t="n">
        <v>0</v>
      </c>
      <c r="J84" s="20" t="n">
        <v>0</v>
      </c>
      <c r="K84" s="18" t="n">
        <v>0</v>
      </c>
      <c r="L84" s="20" t="n">
        <v>0</v>
      </c>
      <c r="M84" s="18" t="n">
        <v>0</v>
      </c>
      <c r="N84" s="20" t="n">
        <v>0</v>
      </c>
      <c r="O84" s="18" t="n">
        <v>0</v>
      </c>
      <c r="P84" s="20" t="n">
        <v>0</v>
      </c>
      <c r="Q84" s="18" t="n">
        <v>0.7308794</v>
      </c>
      <c r="R84" s="20" t="n">
        <v>0.56879718</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4.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839</v>
      </c>
    </row>
    <row customHeight="1" ht="30" r="4" spans="1:20">
      <c r="A4" s="6" t="n"/>
      <c r="B4" s="7" t="s">
        <v>551</v>
      </c>
      <c r="C4" s="7" t="s">
        <v>552</v>
      </c>
      <c r="D4" s="8" t="s">
        <v>551</v>
      </c>
      <c r="E4" s="9" t="s">
        <v>660</v>
      </c>
      <c r="F4" s="10" t="n"/>
      <c r="G4" s="9" t="s">
        <v>752</v>
      </c>
      <c r="H4" s="10" t="n"/>
      <c r="I4" s="9" t="s">
        <v>661</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(11376.0/B7*100)</f>
        <v/>
      </c>
      <c r="D7" s="19" t="n">
        <v>3154</v>
      </c>
      <c r="E7" s="18" t="n">
        <v>68.96511605000001</v>
      </c>
      <c r="F7" s="20" t="n">
        <v>0.94576078</v>
      </c>
      <c r="G7" s="18" t="n">
        <v>23.11049758</v>
      </c>
      <c r="H7" s="20" t="n">
        <v>0.8972966999999999</v>
      </c>
      <c r="I7" s="18" t="n">
        <v>6.64537227</v>
      </c>
      <c r="J7" s="20" t="n">
        <v>0.58071013</v>
      </c>
      <c r="K7" s="18" t="n">
        <v>0</v>
      </c>
      <c r="L7" s="20" t="n">
        <v>0</v>
      </c>
      <c r="M7" s="18" t="n">
        <v>0.28326219</v>
      </c>
      <c r="N7" s="20" t="n">
        <v>0.10516936</v>
      </c>
      <c r="O7" s="18" t="n">
        <v>0</v>
      </c>
      <c r="P7" s="20" t="n">
        <v>0</v>
      </c>
      <c r="Q7" s="18" t="n">
        <v>0</v>
      </c>
      <c r="R7" s="20" t="n">
        <v>0</v>
      </c>
      <c r="S7" s="18" t="n">
        <v>0.99575191</v>
      </c>
      <c r="T7" s="20" t="n">
        <v>0.22372112</v>
      </c>
    </row>
    <row r="8" spans="1:20">
      <c r="A8" s="15" t="s">
        <v>566</v>
      </c>
      <c r="B8" s="17" t="n">
        <v>7007</v>
      </c>
      <c r="C8" s="18">
        <f>(5455.0/B8*100)</f>
        <v/>
      </c>
      <c r="D8" s="19" t="n">
        <v>1552</v>
      </c>
      <c r="E8" s="18" t="n">
        <v>73.84106896</v>
      </c>
      <c r="F8" s="20" t="n">
        <v>1.12698536</v>
      </c>
      <c r="G8" s="18" t="n">
        <v>21.39577853</v>
      </c>
      <c r="H8" s="20" t="n">
        <v>1.09690336</v>
      </c>
      <c r="I8" s="18" t="n">
        <v>3.10620657</v>
      </c>
      <c r="J8" s="20" t="n">
        <v>0.49596603</v>
      </c>
      <c r="K8" s="18" t="n">
        <v>0</v>
      </c>
      <c r="L8" s="20" t="n">
        <v>0</v>
      </c>
      <c r="M8" s="18" t="n">
        <v>0.15170014</v>
      </c>
      <c r="N8" s="20" t="n">
        <v>0.10571572</v>
      </c>
      <c r="O8" s="18" t="n">
        <v>0</v>
      </c>
      <c r="P8" s="20" t="n">
        <v>0</v>
      </c>
      <c r="Q8" s="18" t="n">
        <v>0</v>
      </c>
      <c r="R8" s="20" t="n">
        <v>0</v>
      </c>
      <c r="S8" s="18" t="n">
        <v>1.5052458</v>
      </c>
      <c r="T8" s="20" t="n">
        <v>0.31293427</v>
      </c>
    </row>
    <row r="9" spans="1:20">
      <c r="A9" s="15" t="s">
        <v>567</v>
      </c>
      <c r="B9" s="17" t="n">
        <v>9651</v>
      </c>
      <c r="C9" s="18">
        <f>(7544.0/B9*100)</f>
        <v/>
      </c>
      <c r="D9" s="19" t="n">
        <v>2107</v>
      </c>
      <c r="E9" s="18" t="n">
        <v>74.39596233</v>
      </c>
      <c r="F9" s="20" t="n">
        <v>0.81834819</v>
      </c>
      <c r="G9" s="18" t="n">
        <v>21.29367256</v>
      </c>
      <c r="H9" s="20" t="n">
        <v>0.73269376</v>
      </c>
      <c r="I9" s="18" t="n">
        <v>3.06123891</v>
      </c>
      <c r="J9" s="20" t="n">
        <v>0.4222824</v>
      </c>
      <c r="K9" s="18" t="n">
        <v>0</v>
      </c>
      <c r="L9" s="20" t="n">
        <v>0</v>
      </c>
      <c r="M9" s="18" t="n">
        <v>0.29551696</v>
      </c>
      <c r="N9" s="20" t="n">
        <v>0.11555118</v>
      </c>
      <c r="O9" s="18" t="n">
        <v>0</v>
      </c>
      <c r="P9" s="20" t="n">
        <v>0</v>
      </c>
      <c r="Q9" s="18" t="n">
        <v>0</v>
      </c>
      <c r="R9" s="20" t="n">
        <v>0</v>
      </c>
      <c r="S9" s="18" t="n">
        <v>0.95360923</v>
      </c>
      <c r="T9" s="20" t="n">
        <v>0.2042999</v>
      </c>
    </row>
    <row r="10" spans="1:20">
      <c r="A10" s="15" t="s">
        <v>568</v>
      </c>
      <c r="B10" s="17" t="n">
        <v>20058</v>
      </c>
      <c r="C10" s="18">
        <f>(15599.0/B10*100)</f>
        <v/>
      </c>
      <c r="D10" s="19" t="n">
        <v>4459</v>
      </c>
      <c r="E10" s="18" t="n">
        <v>70.06980188999999</v>
      </c>
      <c r="F10" s="20" t="n">
        <v>1.06668173</v>
      </c>
      <c r="G10" s="18" t="n">
        <v>21.02680608</v>
      </c>
      <c r="H10" s="20" t="n">
        <v>0.89641206</v>
      </c>
      <c r="I10" s="18" t="n">
        <v>7.61531273</v>
      </c>
      <c r="J10" s="20" t="n">
        <v>0.60418709</v>
      </c>
      <c r="K10" s="18" t="n">
        <v>0</v>
      </c>
      <c r="L10" s="20" t="n">
        <v>0</v>
      </c>
      <c r="M10" s="18" t="n">
        <v>0.3129305</v>
      </c>
      <c r="N10" s="20" t="n">
        <v>0.12458713</v>
      </c>
      <c r="O10" s="18" t="n">
        <v>0</v>
      </c>
      <c r="P10" s="20" t="n">
        <v>0</v>
      </c>
      <c r="Q10" s="18" t="n">
        <v>0</v>
      </c>
      <c r="R10" s="20" t="n">
        <v>0</v>
      </c>
      <c r="S10" s="18" t="n">
        <v>0.97514881</v>
      </c>
      <c r="T10" s="20" t="n">
        <v>0.25026131</v>
      </c>
    </row>
    <row r="11" spans="1:20">
      <c r="A11" s="15" t="s">
        <v>569</v>
      </c>
      <c r="B11" s="17" t="n">
        <v>7053</v>
      </c>
      <c r="C11" s="18">
        <f>(5470.0/B11*100)</f>
        <v/>
      </c>
      <c r="D11" s="19" t="n">
        <v>1583</v>
      </c>
      <c r="E11" s="18" t="n">
        <v>80.50516725999999</v>
      </c>
      <c r="F11" s="20" t="n">
        <v>1.29677987</v>
      </c>
      <c r="G11" s="18" t="n">
        <v>15.4028079</v>
      </c>
      <c r="H11" s="20" t="n">
        <v>1.16379619</v>
      </c>
      <c r="I11" s="18" t="n">
        <v>1.95393017</v>
      </c>
      <c r="J11" s="20" t="n">
        <v>0.27923801</v>
      </c>
      <c r="K11" s="18" t="n">
        <v>0</v>
      </c>
      <c r="L11" s="20" t="n">
        <v>0</v>
      </c>
      <c r="M11" s="18" t="n">
        <v>0.08323265000000001</v>
      </c>
      <c r="N11" s="20" t="n">
        <v>0.08170463</v>
      </c>
      <c r="O11" s="18" t="n">
        <v>0</v>
      </c>
      <c r="P11" s="20" t="n">
        <v>0</v>
      </c>
      <c r="Q11" s="18" t="n">
        <v>0</v>
      </c>
      <c r="R11" s="20" t="n">
        <v>0</v>
      </c>
      <c r="S11" s="18" t="n">
        <v>2.05486202</v>
      </c>
      <c r="T11" s="20" t="n">
        <v>0.35583945</v>
      </c>
    </row>
    <row r="12" spans="1:20">
      <c r="A12" s="15" t="s">
        <v>570</v>
      </c>
      <c r="B12" s="17" t="n">
        <v>6894</v>
      </c>
      <c r="C12" s="18">
        <f>(5410.0/B12*100)</f>
        <v/>
      </c>
      <c r="D12" s="19" t="n">
        <v>1484</v>
      </c>
      <c r="E12" s="18" t="n">
        <v>77.97171487999999</v>
      </c>
      <c r="F12" s="20" t="n">
        <v>1.20246329</v>
      </c>
      <c r="G12" s="18" t="n">
        <v>17.94287486</v>
      </c>
      <c r="H12" s="20" t="n">
        <v>1.18609642</v>
      </c>
      <c r="I12" s="18" t="n">
        <v>2.8042898</v>
      </c>
      <c r="J12" s="20" t="n">
        <v>0.39489732</v>
      </c>
      <c r="K12" s="18" t="n">
        <v>0</v>
      </c>
      <c r="L12" s="20" t="n">
        <v>0</v>
      </c>
      <c r="M12" s="18" t="n">
        <v>0.05889785</v>
      </c>
      <c r="N12" s="20" t="n">
        <v>0.05595014</v>
      </c>
      <c r="O12" s="18" t="n">
        <v>0</v>
      </c>
      <c r="P12" s="20" t="n">
        <v>0</v>
      </c>
      <c r="Q12" s="18" t="n">
        <v>0</v>
      </c>
      <c r="R12" s="20" t="n">
        <v>0</v>
      </c>
      <c r="S12" s="18" t="n">
        <v>1.22222262</v>
      </c>
      <c r="T12" s="20" t="n">
        <v>0.34283151</v>
      </c>
    </row>
    <row r="13" spans="1:20">
      <c r="A13" s="15" t="s">
        <v>571</v>
      </c>
      <c r="B13" s="17" t="n">
        <v>7161</v>
      </c>
      <c r="C13" s="18">
        <f>(5695.0/B13*100)</f>
        <v/>
      </c>
      <c r="D13" s="19" t="n">
        <v>1466</v>
      </c>
      <c r="E13" s="18" t="n">
        <v>73.38537586</v>
      </c>
      <c r="F13" s="20" t="n">
        <v>1.27839829</v>
      </c>
      <c r="G13" s="18" t="n">
        <v>22.35211178</v>
      </c>
      <c r="H13" s="20" t="n">
        <v>1.13623832</v>
      </c>
      <c r="I13" s="18" t="n">
        <v>2.91405898</v>
      </c>
      <c r="J13" s="20" t="n">
        <v>0.48452556</v>
      </c>
      <c r="K13" s="18" t="n">
        <v>0</v>
      </c>
      <c r="L13" s="20" t="n">
        <v>0</v>
      </c>
      <c r="M13" s="18" t="n">
        <v>0.37751891</v>
      </c>
      <c r="N13" s="20" t="n">
        <v>0.18733751</v>
      </c>
      <c r="O13" s="18" t="n">
        <v>0</v>
      </c>
      <c r="P13" s="20" t="n">
        <v>0</v>
      </c>
      <c r="Q13" s="18" t="n">
        <v>0</v>
      </c>
      <c r="R13" s="20" t="n">
        <v>0</v>
      </c>
      <c r="S13" s="18" t="n">
        <v>0.9709344600000001</v>
      </c>
      <c r="T13" s="20" t="n">
        <v>0.26025724</v>
      </c>
    </row>
    <row r="14" spans="1:20">
      <c r="A14" s="15" t="s">
        <v>572</v>
      </c>
      <c r="B14" s="17" t="n">
        <v>5587</v>
      </c>
      <c r="C14" s="18">
        <f>(4319.0/B14*100)</f>
        <v/>
      </c>
      <c r="D14" s="19" t="n">
        <v>1268</v>
      </c>
      <c r="E14" s="18" t="n">
        <v>70.80171509</v>
      </c>
      <c r="F14" s="20" t="n">
        <v>1.19276431</v>
      </c>
      <c r="G14" s="18" t="n">
        <v>25.52958823</v>
      </c>
      <c r="H14" s="20" t="n">
        <v>1.21291326</v>
      </c>
      <c r="I14" s="18" t="n">
        <v>3.12616893</v>
      </c>
      <c r="J14" s="20" t="n">
        <v>0.45538235</v>
      </c>
      <c r="K14" s="18" t="n">
        <v>0</v>
      </c>
      <c r="L14" s="20" t="n">
        <v>0</v>
      </c>
      <c r="M14" s="18" t="n">
        <v>0.0722844</v>
      </c>
      <c r="N14" s="20" t="n">
        <v>0.07226920000000001</v>
      </c>
      <c r="O14" s="18" t="n">
        <v>0</v>
      </c>
      <c r="P14" s="20" t="n">
        <v>0</v>
      </c>
      <c r="Q14" s="18" t="n">
        <v>0</v>
      </c>
      <c r="R14" s="20" t="n">
        <v>0</v>
      </c>
      <c r="S14" s="18" t="n">
        <v>0.47024336</v>
      </c>
      <c r="T14" s="20" t="n">
        <v>0.19850745</v>
      </c>
    </row>
    <row r="15" spans="1:20">
      <c r="A15" s="15" t="s">
        <v>573</v>
      </c>
      <c r="B15" s="17" t="n">
        <v>5882</v>
      </c>
      <c r="C15" s="18">
        <f>(4520.0/B15*100)</f>
        <v/>
      </c>
      <c r="D15" s="19" t="n">
        <v>1362</v>
      </c>
      <c r="E15" s="18" t="n">
        <v>60.40750697</v>
      </c>
      <c r="F15" s="20" t="n">
        <v>1.29934154</v>
      </c>
      <c r="G15" s="18" t="n">
        <v>33.70080124</v>
      </c>
      <c r="H15" s="20" t="n">
        <v>1.39675649</v>
      </c>
      <c r="I15" s="18" t="n">
        <v>4.91547416</v>
      </c>
      <c r="J15" s="20" t="n">
        <v>0.67443118</v>
      </c>
      <c r="K15" s="18" t="n">
        <v>0</v>
      </c>
      <c r="L15" s="20" t="n">
        <v>0</v>
      </c>
      <c r="M15" s="18" t="n">
        <v>0.08265755</v>
      </c>
      <c r="N15" s="20" t="n">
        <v>0.09069918</v>
      </c>
      <c r="O15" s="18" t="n">
        <v>0</v>
      </c>
      <c r="P15" s="20" t="n">
        <v>0</v>
      </c>
      <c r="Q15" s="18" t="n">
        <v>0</v>
      </c>
      <c r="R15" s="20" t="n">
        <v>0</v>
      </c>
      <c r="S15" s="18" t="n">
        <v>0.89356008</v>
      </c>
      <c r="T15" s="20" t="n">
        <v>0.27020195</v>
      </c>
    </row>
    <row r="16" spans="1:20">
      <c r="A16" s="15" t="s">
        <v>574</v>
      </c>
      <c r="B16" s="17" t="n">
        <v>6108</v>
      </c>
      <c r="C16" s="18">
        <f>(4756.0/B16*100)</f>
        <v/>
      </c>
      <c r="D16" s="19" t="n">
        <v>1352</v>
      </c>
      <c r="E16" s="18" t="n">
        <v>69.37204054</v>
      </c>
      <c r="F16" s="20" t="n">
        <v>1.28839265</v>
      </c>
      <c r="G16" s="18" t="n">
        <v>22.13515087</v>
      </c>
      <c r="H16" s="20" t="n">
        <v>1.04406121</v>
      </c>
      <c r="I16" s="18" t="n">
        <v>5.07373816</v>
      </c>
      <c r="J16" s="20" t="n">
        <v>0.53144493</v>
      </c>
      <c r="K16" s="18" t="n">
        <v>0</v>
      </c>
      <c r="L16" s="20" t="n">
        <v>0</v>
      </c>
      <c r="M16" s="18" t="n">
        <v>0.56103512</v>
      </c>
      <c r="N16" s="20" t="n">
        <v>0.22299506</v>
      </c>
      <c r="O16" s="18" t="n">
        <v>0</v>
      </c>
      <c r="P16" s="20" t="n">
        <v>0</v>
      </c>
      <c r="Q16" s="18" t="n">
        <v>0</v>
      </c>
      <c r="R16" s="20" t="n">
        <v>0</v>
      </c>
      <c r="S16" s="18" t="n">
        <v>2.85803531</v>
      </c>
      <c r="T16" s="20" t="n">
        <v>0.46119013</v>
      </c>
    </row>
    <row r="17" spans="1:20">
      <c r="A17" s="15" t="s">
        <v>575</v>
      </c>
      <c r="B17" s="17" t="n">
        <v>6504</v>
      </c>
      <c r="C17" s="18">
        <f>(5122.0/B17*100)</f>
        <v/>
      </c>
      <c r="D17" s="19" t="n">
        <v>1382</v>
      </c>
      <c r="E17" s="18" t="n">
        <v>74.01561273</v>
      </c>
      <c r="F17" s="20" t="n">
        <v>1.15588343</v>
      </c>
      <c r="G17" s="18" t="n">
        <v>20.93172883</v>
      </c>
      <c r="H17" s="20" t="n">
        <v>1.1097621</v>
      </c>
      <c r="I17" s="18" t="n">
        <v>3.80471126</v>
      </c>
      <c r="J17" s="20" t="n">
        <v>0.5480429999999999</v>
      </c>
      <c r="K17" s="18" t="n">
        <v>0</v>
      </c>
      <c r="L17" s="20" t="n">
        <v>0</v>
      </c>
      <c r="M17" s="18" t="n">
        <v>0.1509348</v>
      </c>
      <c r="N17" s="20" t="n">
        <v>0.10759918</v>
      </c>
      <c r="O17" s="18" t="n">
        <v>0</v>
      </c>
      <c r="P17" s="20" t="n">
        <v>0</v>
      </c>
      <c r="Q17" s="18" t="n">
        <v>0</v>
      </c>
      <c r="R17" s="20" t="n">
        <v>0</v>
      </c>
      <c r="S17" s="18" t="n">
        <v>1.09701237</v>
      </c>
      <c r="T17" s="20" t="n">
        <v>0.27247683</v>
      </c>
    </row>
    <row r="18" spans="1:20">
      <c r="A18" s="15" t="s">
        <v>576</v>
      </c>
      <c r="B18" s="17" t="n">
        <v>5532</v>
      </c>
      <c r="C18" s="18">
        <f>(4320.0/B18*100)</f>
        <v/>
      </c>
      <c r="D18" s="19" t="n">
        <v>1212</v>
      </c>
      <c r="E18" s="18" t="n">
        <v>79.18489357</v>
      </c>
      <c r="F18" s="20" t="n">
        <v>1.52280537</v>
      </c>
      <c r="G18" s="18" t="n">
        <v>17.17074913</v>
      </c>
      <c r="H18" s="20" t="n">
        <v>1.33764686</v>
      </c>
      <c r="I18" s="18" t="n">
        <v>2.12774343</v>
      </c>
      <c r="J18" s="20" t="n">
        <v>0.47354843</v>
      </c>
      <c r="K18" s="18" t="n">
        <v>0</v>
      </c>
      <c r="L18" s="20" t="n">
        <v>0</v>
      </c>
      <c r="M18" s="18" t="n">
        <v>0.1968541</v>
      </c>
      <c r="N18" s="20" t="n">
        <v>0.1157221</v>
      </c>
      <c r="O18" s="18" t="n">
        <v>0</v>
      </c>
      <c r="P18" s="20" t="n">
        <v>0</v>
      </c>
      <c r="Q18" s="18" t="n">
        <v>0</v>
      </c>
      <c r="R18" s="20" t="n">
        <v>0</v>
      </c>
      <c r="S18" s="18" t="n">
        <v>1.31975976</v>
      </c>
      <c r="T18" s="20" t="n">
        <v>0.39229938</v>
      </c>
    </row>
    <row r="19" spans="1:20">
      <c r="A19" s="15" t="s">
        <v>577</v>
      </c>
      <c r="B19" s="17" t="n">
        <v>5658</v>
      </c>
      <c r="C19" s="18">
        <f>(4375.0/B19*100)</f>
        <v/>
      </c>
      <c r="D19" s="19" t="n">
        <v>1283</v>
      </c>
      <c r="E19" s="18" t="n">
        <v>63.26628253</v>
      </c>
      <c r="F19" s="20" t="n">
        <v>1.26482418</v>
      </c>
      <c r="G19" s="18" t="n">
        <v>32.83284323</v>
      </c>
      <c r="H19" s="20" t="n">
        <v>1.34457706</v>
      </c>
      <c r="I19" s="18" t="n">
        <v>2.76354906</v>
      </c>
      <c r="J19" s="20" t="n">
        <v>0.47788091</v>
      </c>
      <c r="K19" s="18" t="n">
        <v>0</v>
      </c>
      <c r="L19" s="20" t="n">
        <v>0</v>
      </c>
      <c r="M19" s="18" t="n">
        <v>0.07195463000000001</v>
      </c>
      <c r="N19" s="20" t="n">
        <v>0.06084442</v>
      </c>
      <c r="O19" s="18" t="n">
        <v>0</v>
      </c>
      <c r="P19" s="20" t="n">
        <v>0</v>
      </c>
      <c r="Q19" s="18" t="n">
        <v>0</v>
      </c>
      <c r="R19" s="20" t="n">
        <v>0</v>
      </c>
      <c r="S19" s="18" t="n">
        <v>1.06537055</v>
      </c>
      <c r="T19" s="20" t="n">
        <v>0.30336767</v>
      </c>
    </row>
    <row r="20" spans="1:20">
      <c r="A20" s="15" t="s">
        <v>578</v>
      </c>
      <c r="B20" s="17" t="n">
        <v>3371</v>
      </c>
      <c r="C20" s="18">
        <f>(2632.0/B20*100)</f>
        <v/>
      </c>
      <c r="D20" s="19" t="n">
        <v>739</v>
      </c>
      <c r="E20" s="18" t="n">
        <v>76.99877985000001</v>
      </c>
      <c r="F20" s="20" t="n">
        <v>1.57274391</v>
      </c>
      <c r="G20" s="18" t="n">
        <v>18.78227398</v>
      </c>
      <c r="H20" s="20" t="n">
        <v>1.54473809</v>
      </c>
      <c r="I20" s="18" t="n">
        <v>1.77753203</v>
      </c>
      <c r="J20" s="20" t="n">
        <v>0.4507248</v>
      </c>
      <c r="K20" s="18" t="n">
        <v>0</v>
      </c>
      <c r="L20" s="20" t="n">
        <v>0</v>
      </c>
      <c r="M20" s="18" t="n">
        <v>0.26389235</v>
      </c>
      <c r="N20" s="20" t="n">
        <v>0.18733311</v>
      </c>
      <c r="O20" s="18" t="n">
        <v>0</v>
      </c>
      <c r="P20" s="20" t="n">
        <v>0</v>
      </c>
      <c r="Q20" s="18" t="n">
        <v>0</v>
      </c>
      <c r="R20" s="20" t="n">
        <v>0</v>
      </c>
      <c r="S20" s="18" t="n">
        <v>2.17752179</v>
      </c>
      <c r="T20" s="20" t="n">
        <v>0.52698874</v>
      </c>
    </row>
    <row r="21" spans="1:20">
      <c r="A21" s="15" t="s">
        <v>579</v>
      </c>
      <c r="B21" s="17" t="n">
        <v>5741</v>
      </c>
      <c r="C21" s="18">
        <f>(4489.0/B21*100)</f>
        <v/>
      </c>
      <c r="D21" s="19" t="n">
        <v>1252</v>
      </c>
      <c r="E21" s="18" t="n">
        <v>77.07447347</v>
      </c>
      <c r="F21" s="20" t="n">
        <v>1.16676712</v>
      </c>
      <c r="G21" s="18" t="n">
        <v>18.26975829</v>
      </c>
      <c r="H21" s="20" t="n">
        <v>1.14039804</v>
      </c>
      <c r="I21" s="18" t="n">
        <v>3.69863269</v>
      </c>
      <c r="J21" s="20" t="n">
        <v>0.58667724</v>
      </c>
      <c r="K21" s="18" t="n">
        <v>0</v>
      </c>
      <c r="L21" s="20" t="n">
        <v>0</v>
      </c>
      <c r="M21" s="18" t="n">
        <v>0.17896387</v>
      </c>
      <c r="N21" s="20" t="n">
        <v>0.1044466</v>
      </c>
      <c r="O21" s="18" t="n">
        <v>0</v>
      </c>
      <c r="P21" s="20" t="n">
        <v>0</v>
      </c>
      <c r="Q21" s="18" t="n">
        <v>0</v>
      </c>
      <c r="R21" s="20" t="n">
        <v>0</v>
      </c>
      <c r="S21" s="18" t="n">
        <v>0.77817168</v>
      </c>
      <c r="T21" s="20" t="n">
        <v>0.24704466</v>
      </c>
    </row>
    <row r="22" spans="1:20">
      <c r="A22" s="15" t="s">
        <v>580</v>
      </c>
      <c r="B22" s="17" t="n">
        <v>6598</v>
      </c>
      <c r="C22" s="18">
        <f>(5199.0/B22*100)</f>
        <v/>
      </c>
      <c r="D22" s="19" t="n">
        <v>1399</v>
      </c>
      <c r="E22" s="18" t="n">
        <v>67.79799744</v>
      </c>
      <c r="F22" s="20" t="n">
        <v>1.60817233</v>
      </c>
      <c r="G22" s="18" t="n">
        <v>27.49571033</v>
      </c>
      <c r="H22" s="20" t="n">
        <v>1.43256096</v>
      </c>
      <c r="I22" s="18" t="n">
        <v>2.70911786</v>
      </c>
      <c r="J22" s="20" t="n">
        <v>0.54272864</v>
      </c>
      <c r="K22" s="18" t="n">
        <v>0</v>
      </c>
      <c r="L22" s="20" t="n">
        <v>0</v>
      </c>
      <c r="M22" s="18" t="n">
        <v>0.40632139</v>
      </c>
      <c r="N22" s="20" t="n">
        <v>0.22291329</v>
      </c>
      <c r="O22" s="18" t="n">
        <v>0</v>
      </c>
      <c r="P22" s="20" t="n">
        <v>0</v>
      </c>
      <c r="Q22" s="18" t="n">
        <v>0</v>
      </c>
      <c r="R22" s="20" t="n">
        <v>0</v>
      </c>
      <c r="S22" s="18" t="n">
        <v>1.59085298</v>
      </c>
      <c r="T22" s="20" t="n">
        <v>0.34509469</v>
      </c>
    </row>
    <row r="23" spans="1:20">
      <c r="A23" s="15" t="s">
        <v>581</v>
      </c>
      <c r="B23" s="17" t="n">
        <v>11583</v>
      </c>
      <c r="C23" s="18">
        <f>(9002.0/B23*100)</f>
        <v/>
      </c>
      <c r="D23" s="19" t="n">
        <v>2581</v>
      </c>
      <c r="E23" s="18" t="n">
        <v>80.01533277</v>
      </c>
      <c r="F23" s="20" t="n">
        <v>0.93353814</v>
      </c>
      <c r="G23" s="18" t="n">
        <v>17.56524068</v>
      </c>
      <c r="H23" s="20" t="n">
        <v>0.8937077</v>
      </c>
      <c r="I23" s="18" t="n">
        <v>0.85573306</v>
      </c>
      <c r="J23" s="20" t="n">
        <v>0.24153095</v>
      </c>
      <c r="K23" s="18" t="n">
        <v>0</v>
      </c>
      <c r="L23" s="20" t="n">
        <v>0</v>
      </c>
      <c r="M23" s="18" t="n">
        <v>0.38443548</v>
      </c>
      <c r="N23" s="20" t="n">
        <v>0.21967848</v>
      </c>
      <c r="O23" s="18" t="n">
        <v>0</v>
      </c>
      <c r="P23" s="20" t="n">
        <v>0</v>
      </c>
      <c r="Q23" s="18" t="n">
        <v>0</v>
      </c>
      <c r="R23" s="20" t="n">
        <v>0</v>
      </c>
      <c r="S23" s="18" t="n">
        <v>1.179258</v>
      </c>
      <c r="T23" s="20" t="n">
        <v>0.33655183</v>
      </c>
    </row>
    <row r="24" spans="1:20">
      <c r="A24" s="15" t="s">
        <v>582</v>
      </c>
      <c r="B24" s="17" t="n">
        <v>6647</v>
      </c>
      <c r="C24" s="18">
        <f>(5203.0/B24*100)</f>
        <v/>
      </c>
      <c r="D24" s="19" t="n">
        <v>1444</v>
      </c>
      <c r="E24" s="18" t="n">
        <v>64.51302233</v>
      </c>
      <c r="F24" s="20" t="n">
        <v>1.30105744</v>
      </c>
      <c r="G24" s="18" t="n">
        <v>31.99604147</v>
      </c>
      <c r="H24" s="20" t="n">
        <v>1.29239676</v>
      </c>
      <c r="I24" s="18" t="n">
        <v>2.73064493</v>
      </c>
      <c r="J24" s="20" t="n">
        <v>0.52381237</v>
      </c>
      <c r="K24" s="18" t="n">
        <v>0</v>
      </c>
      <c r="L24" s="20" t="n">
        <v>0</v>
      </c>
      <c r="M24" s="18" t="n">
        <v>0.11454292</v>
      </c>
      <c r="N24" s="20" t="n">
        <v>0.08245585</v>
      </c>
      <c r="O24" s="18" t="n">
        <v>0</v>
      </c>
      <c r="P24" s="20" t="n">
        <v>0</v>
      </c>
      <c r="Q24" s="18" t="n">
        <v>0</v>
      </c>
      <c r="R24" s="20" t="n">
        <v>0</v>
      </c>
      <c r="S24" s="18" t="n">
        <v>0.64574836</v>
      </c>
      <c r="T24" s="20" t="n">
        <v>0.20337774</v>
      </c>
    </row>
    <row r="25" spans="1:20">
      <c r="A25" s="15" t="s">
        <v>583</v>
      </c>
      <c r="B25" s="17" t="n">
        <v>5581</v>
      </c>
      <c r="C25" s="18">
        <f>(4366.0/B25*100)</f>
        <v/>
      </c>
      <c r="D25" s="19" t="n">
        <v>1215</v>
      </c>
      <c r="E25" s="18" t="n">
        <v>80.05615272</v>
      </c>
      <c r="F25" s="20" t="n">
        <v>1.16316366</v>
      </c>
      <c r="G25" s="18" t="n">
        <v>16.44771619</v>
      </c>
      <c r="H25" s="20" t="n">
        <v>1.16026957</v>
      </c>
      <c r="I25" s="18" t="n">
        <v>3.18495748</v>
      </c>
      <c r="J25" s="20" t="n">
        <v>0.57281396</v>
      </c>
      <c r="K25" s="18" t="n">
        <v>0</v>
      </c>
      <c r="L25" s="20" t="n">
        <v>0</v>
      </c>
      <c r="M25" s="18" t="n">
        <v>0</v>
      </c>
      <c r="N25" s="20" t="n">
        <v>0</v>
      </c>
      <c r="O25" s="18" t="n">
        <v>0</v>
      </c>
      <c r="P25" s="20" t="n">
        <v>0</v>
      </c>
      <c r="Q25" s="18" t="n">
        <v>0</v>
      </c>
      <c r="R25" s="20" t="n">
        <v>0</v>
      </c>
      <c r="S25" s="18" t="n">
        <v>0.31117361</v>
      </c>
      <c r="T25" s="20" t="n">
        <v>0.15563635</v>
      </c>
    </row>
    <row r="26" spans="1:20">
      <c r="A26" s="15" t="s">
        <v>584</v>
      </c>
      <c r="B26" s="17" t="n">
        <v>4869</v>
      </c>
      <c r="C26" s="18">
        <f>(3762.0/B26*100)</f>
        <v/>
      </c>
      <c r="D26" s="19" t="n">
        <v>1107</v>
      </c>
      <c r="E26" s="18" t="n">
        <v>76.70809306</v>
      </c>
      <c r="F26" s="20" t="n">
        <v>1.31984364</v>
      </c>
      <c r="G26" s="18" t="n">
        <v>20.99588712</v>
      </c>
      <c r="H26" s="20" t="n">
        <v>1.32853853</v>
      </c>
      <c r="I26" s="18" t="n">
        <v>2.11693663</v>
      </c>
      <c r="J26" s="20" t="n">
        <v>0.43597465</v>
      </c>
      <c r="K26" s="18" t="n">
        <v>0</v>
      </c>
      <c r="L26" s="20" t="n">
        <v>0</v>
      </c>
      <c r="M26" s="18" t="n">
        <v>0</v>
      </c>
      <c r="N26" s="20" t="n">
        <v>0</v>
      </c>
      <c r="O26" s="18" t="n">
        <v>0</v>
      </c>
      <c r="P26" s="20" t="n">
        <v>0</v>
      </c>
      <c r="Q26" s="18" t="n">
        <v>0</v>
      </c>
      <c r="R26" s="20" t="n">
        <v>0</v>
      </c>
      <c r="S26" s="18" t="n">
        <v>0.17908319</v>
      </c>
      <c r="T26" s="20" t="n">
        <v>0.12705392</v>
      </c>
    </row>
    <row r="27" spans="1:20">
      <c r="A27" s="15" t="s">
        <v>585</v>
      </c>
      <c r="B27" s="17" t="n">
        <v>5299</v>
      </c>
      <c r="C27" s="18">
        <f>(4156.0/B27*100)</f>
        <v/>
      </c>
      <c r="D27" s="19" t="n">
        <v>1143</v>
      </c>
      <c r="E27" s="18" t="n">
        <v>76.3495599</v>
      </c>
      <c r="F27" s="20" t="n">
        <v>1.20469558</v>
      </c>
      <c r="G27" s="18" t="n">
        <v>19.24972929</v>
      </c>
      <c r="H27" s="20" t="n">
        <v>1.10948499</v>
      </c>
      <c r="I27" s="18" t="n">
        <v>3.07102467</v>
      </c>
      <c r="J27" s="20" t="n">
        <v>0.51837959</v>
      </c>
      <c r="K27" s="18" t="n">
        <v>0</v>
      </c>
      <c r="L27" s="20" t="n">
        <v>0</v>
      </c>
      <c r="M27" s="18" t="n">
        <v>0</v>
      </c>
      <c r="N27" s="20" t="n">
        <v>0</v>
      </c>
      <c r="O27" s="18" t="n">
        <v>0</v>
      </c>
      <c r="P27" s="20" t="n">
        <v>0</v>
      </c>
      <c r="Q27" s="18" t="n">
        <v>0</v>
      </c>
      <c r="R27" s="20" t="n">
        <v>0</v>
      </c>
      <c r="S27" s="18" t="n">
        <v>1.32968615</v>
      </c>
      <c r="T27" s="20" t="n">
        <v>0.30357953</v>
      </c>
    </row>
    <row r="28" spans="1:20">
      <c r="A28" s="15" t="s">
        <v>586</v>
      </c>
      <c r="B28" s="17" t="n">
        <v>7568</v>
      </c>
      <c r="C28" s="18">
        <f>(5942.0/B28*100)</f>
        <v/>
      </c>
      <c r="D28" s="19" t="n">
        <v>1626</v>
      </c>
      <c r="E28" s="18" t="n">
        <v>83.86189769000001</v>
      </c>
      <c r="F28" s="20" t="n">
        <v>0.88721667</v>
      </c>
      <c r="G28" s="18" t="n">
        <v>13.31781835</v>
      </c>
      <c r="H28" s="20" t="n">
        <v>0.88398345</v>
      </c>
      <c r="I28" s="18" t="n">
        <v>1.8535637</v>
      </c>
      <c r="J28" s="20" t="n">
        <v>0.44405507</v>
      </c>
      <c r="K28" s="18" t="n">
        <v>0</v>
      </c>
      <c r="L28" s="20" t="n">
        <v>0</v>
      </c>
      <c r="M28" s="18" t="n">
        <v>0.32261396</v>
      </c>
      <c r="N28" s="20" t="n">
        <v>0.15251818</v>
      </c>
      <c r="O28" s="18" t="n">
        <v>0</v>
      </c>
      <c r="P28" s="20" t="n">
        <v>0</v>
      </c>
      <c r="Q28" s="18" t="n">
        <v>0</v>
      </c>
      <c r="R28" s="20" t="n">
        <v>0</v>
      </c>
      <c r="S28" s="18" t="n">
        <v>0.64410629</v>
      </c>
      <c r="T28" s="20" t="n">
        <v>0.18268257</v>
      </c>
    </row>
    <row r="29" spans="1:20">
      <c r="A29" s="15" t="s">
        <v>587</v>
      </c>
      <c r="B29" s="17" t="n">
        <v>5385</v>
      </c>
      <c r="C29" s="18">
        <f>(4213.0/B29*100)</f>
        <v/>
      </c>
      <c r="D29" s="19" t="n">
        <v>1172</v>
      </c>
      <c r="E29" s="18" t="n">
        <v>67.96879988000001</v>
      </c>
      <c r="F29" s="20" t="n">
        <v>1.33699012</v>
      </c>
      <c r="G29" s="18" t="n">
        <v>28.26261218</v>
      </c>
      <c r="H29" s="20" t="n">
        <v>1.31658671</v>
      </c>
      <c r="I29" s="18" t="n">
        <v>2.89129445</v>
      </c>
      <c r="J29" s="20" t="n">
        <v>0.5143744099999999</v>
      </c>
      <c r="K29" s="18" t="n">
        <v>0</v>
      </c>
      <c r="L29" s="20" t="n">
        <v>0</v>
      </c>
      <c r="M29" s="18" t="n">
        <v>0.26687378</v>
      </c>
      <c r="N29" s="20" t="n">
        <v>0.08468187000000001</v>
      </c>
      <c r="O29" s="18" t="n">
        <v>0</v>
      </c>
      <c r="P29" s="20" t="n">
        <v>0</v>
      </c>
      <c r="Q29" s="18" t="n">
        <v>0</v>
      </c>
      <c r="R29" s="20" t="n">
        <v>0</v>
      </c>
      <c r="S29" s="18" t="n">
        <v>0.6104197</v>
      </c>
      <c r="T29" s="20" t="n">
        <v>0.29292047</v>
      </c>
    </row>
    <row r="30" spans="1:20">
      <c r="A30" s="15" t="s">
        <v>588</v>
      </c>
      <c r="B30" s="17" t="n">
        <v>4520</v>
      </c>
      <c r="C30" s="18">
        <f>(3545.0/B30*100)</f>
        <v/>
      </c>
      <c r="D30" s="19" t="n">
        <v>975</v>
      </c>
      <c r="E30" s="18" t="n">
        <v>65.14359594</v>
      </c>
      <c r="F30" s="20" t="n">
        <v>1.53087516</v>
      </c>
      <c r="G30" s="18" t="n">
        <v>24.97264141</v>
      </c>
      <c r="H30" s="20" t="n">
        <v>1.32999234</v>
      </c>
      <c r="I30" s="18" t="n">
        <v>7.5335144</v>
      </c>
      <c r="J30" s="20" t="n">
        <v>0.94800808</v>
      </c>
      <c r="K30" s="18" t="n">
        <v>0</v>
      </c>
      <c r="L30" s="20" t="n">
        <v>0</v>
      </c>
      <c r="M30" s="18" t="n">
        <v>0.0980239</v>
      </c>
      <c r="N30" s="20" t="n">
        <v>0.08445379</v>
      </c>
      <c r="O30" s="18" t="n">
        <v>0</v>
      </c>
      <c r="P30" s="20" t="n">
        <v>0</v>
      </c>
      <c r="Q30" s="18" t="n">
        <v>0</v>
      </c>
      <c r="R30" s="20" t="n">
        <v>0</v>
      </c>
      <c r="S30" s="18" t="n">
        <v>2.25222434</v>
      </c>
      <c r="T30" s="20" t="n">
        <v>0.55804979</v>
      </c>
    </row>
    <row r="31" spans="1:20">
      <c r="A31" s="15" t="s">
        <v>589</v>
      </c>
      <c r="B31" s="17" t="n">
        <v>5456</v>
      </c>
      <c r="C31" s="18">
        <f>(4275.0/B31*100)</f>
        <v/>
      </c>
      <c r="D31" s="19" t="n">
        <v>1181</v>
      </c>
      <c r="E31" s="18" t="n">
        <v>66.43723571</v>
      </c>
      <c r="F31" s="20" t="n">
        <v>1.65537221</v>
      </c>
      <c r="G31" s="18" t="n">
        <v>26.17483339</v>
      </c>
      <c r="H31" s="20" t="n">
        <v>1.49514706</v>
      </c>
      <c r="I31" s="18" t="n">
        <v>5.48468529</v>
      </c>
      <c r="J31" s="20" t="n">
        <v>0.66837742</v>
      </c>
      <c r="K31" s="18" t="n">
        <v>0</v>
      </c>
      <c r="L31" s="20" t="n">
        <v>0</v>
      </c>
      <c r="M31" s="18" t="n">
        <v>0.47303513</v>
      </c>
      <c r="N31" s="20" t="n">
        <v>0.19160451</v>
      </c>
      <c r="O31" s="18" t="n">
        <v>0</v>
      </c>
      <c r="P31" s="20" t="n">
        <v>0</v>
      </c>
      <c r="Q31" s="18" t="n">
        <v>0</v>
      </c>
      <c r="R31" s="20" t="n">
        <v>0</v>
      </c>
      <c r="S31" s="18" t="n">
        <v>1.43021048</v>
      </c>
      <c r="T31" s="20" t="n">
        <v>0.39747161</v>
      </c>
    </row>
    <row r="32" spans="1:20">
      <c r="A32" s="15" t="s">
        <v>590</v>
      </c>
      <c r="B32" s="17" t="n">
        <v>4478</v>
      </c>
      <c r="C32" s="18">
        <f>(3535.0/B32*100)</f>
        <v/>
      </c>
      <c r="D32" s="19" t="n">
        <v>943</v>
      </c>
      <c r="E32" s="18" t="n">
        <v>67.80274261</v>
      </c>
      <c r="F32" s="20" t="n">
        <v>1.61961434</v>
      </c>
      <c r="G32" s="18" t="n">
        <v>29.3394962</v>
      </c>
      <c r="H32" s="20" t="n">
        <v>1.53253174</v>
      </c>
      <c r="I32" s="18" t="n">
        <v>2.29892943</v>
      </c>
      <c r="J32" s="20" t="n">
        <v>0.42086227</v>
      </c>
      <c r="K32" s="18" t="n">
        <v>0</v>
      </c>
      <c r="L32" s="20" t="n">
        <v>0</v>
      </c>
      <c r="M32" s="18" t="n">
        <v>0.09089121</v>
      </c>
      <c r="N32" s="20" t="n">
        <v>0.09085029999999999</v>
      </c>
      <c r="O32" s="18" t="n">
        <v>0</v>
      </c>
      <c r="P32" s="20" t="n">
        <v>0</v>
      </c>
      <c r="Q32" s="18" t="n">
        <v>0</v>
      </c>
      <c r="R32" s="20" t="n">
        <v>0</v>
      </c>
      <c r="S32" s="18" t="n">
        <v>0.46794054</v>
      </c>
      <c r="T32" s="20" t="n">
        <v>0.23131218</v>
      </c>
    </row>
    <row r="33" spans="1:20">
      <c r="A33" s="15" t="s">
        <v>591</v>
      </c>
      <c r="B33" s="17" t="n">
        <v>7325</v>
      </c>
      <c r="C33" s="18">
        <f>(5692.0/B33*100)</f>
        <v/>
      </c>
      <c r="D33" s="19" t="n">
        <v>1633</v>
      </c>
      <c r="E33" s="18" t="n">
        <v>77.60378643</v>
      </c>
      <c r="F33" s="20" t="n">
        <v>1.34910848</v>
      </c>
      <c r="G33" s="18" t="n">
        <v>19.31597968</v>
      </c>
      <c r="H33" s="20" t="n">
        <v>1.19142327</v>
      </c>
      <c r="I33" s="18" t="n">
        <v>2.51412599</v>
      </c>
      <c r="J33" s="20" t="n">
        <v>0.4917145</v>
      </c>
      <c r="K33" s="18" t="n">
        <v>0</v>
      </c>
      <c r="L33" s="20" t="n">
        <v>0</v>
      </c>
      <c r="M33" s="18" t="n">
        <v>0</v>
      </c>
      <c r="N33" s="20" t="n">
        <v>0</v>
      </c>
      <c r="O33" s="18" t="n">
        <v>0</v>
      </c>
      <c r="P33" s="20" t="n">
        <v>0</v>
      </c>
      <c r="Q33" s="18" t="n">
        <v>0</v>
      </c>
      <c r="R33" s="20" t="n">
        <v>0</v>
      </c>
      <c r="S33" s="18" t="n">
        <v>0.5661079</v>
      </c>
      <c r="T33" s="20" t="n">
        <v>0.2359592</v>
      </c>
    </row>
    <row r="34" spans="1:20">
      <c r="A34" s="15" t="s">
        <v>592</v>
      </c>
      <c r="B34" s="17" t="n">
        <v>6350</v>
      </c>
      <c r="C34" s="18">
        <f>(4987.0/B34*100)</f>
        <v/>
      </c>
      <c r="D34" s="19" t="n">
        <v>1363</v>
      </c>
      <c r="E34" s="18" t="n">
        <v>67.69426636999999</v>
      </c>
      <c r="F34" s="20" t="n">
        <v>1.27527231</v>
      </c>
      <c r="G34" s="18" t="n">
        <v>28.37047544</v>
      </c>
      <c r="H34" s="20" t="n">
        <v>1.21011632</v>
      </c>
      <c r="I34" s="18" t="n">
        <v>2.47239656</v>
      </c>
      <c r="J34" s="20" t="n">
        <v>0.49148892</v>
      </c>
      <c r="K34" s="18" t="n">
        <v>0</v>
      </c>
      <c r="L34" s="20" t="n">
        <v>0</v>
      </c>
      <c r="M34" s="18" t="n">
        <v>0.05860839</v>
      </c>
      <c r="N34" s="20" t="n">
        <v>0.05865301</v>
      </c>
      <c r="O34" s="18" t="n">
        <v>0</v>
      </c>
      <c r="P34" s="20" t="n">
        <v>0</v>
      </c>
      <c r="Q34" s="18" t="n">
        <v>0</v>
      </c>
      <c r="R34" s="20" t="n">
        <v>0</v>
      </c>
      <c r="S34" s="18" t="n">
        <v>1.40425325</v>
      </c>
      <c r="T34" s="20" t="n">
        <v>0.34180942</v>
      </c>
    </row>
    <row r="35" spans="1:20">
      <c r="A35" s="15" t="s">
        <v>593</v>
      </c>
      <c r="B35" s="17" t="n">
        <v>6406</v>
      </c>
      <c r="C35" s="18">
        <f>(4976.0/B35*100)</f>
        <v/>
      </c>
      <c r="D35" s="19" t="n">
        <v>1430</v>
      </c>
      <c r="E35" s="18" t="n">
        <v>65.46907879</v>
      </c>
      <c r="F35" s="20" t="n">
        <v>1.78982289</v>
      </c>
      <c r="G35" s="18" t="n">
        <v>30.3779631</v>
      </c>
      <c r="H35" s="20" t="n">
        <v>1.75134531</v>
      </c>
      <c r="I35" s="18" t="n">
        <v>3.47421049</v>
      </c>
      <c r="J35" s="20" t="n">
        <v>0.60357912</v>
      </c>
      <c r="K35" s="18" t="n">
        <v>0</v>
      </c>
      <c r="L35" s="20" t="n">
        <v>0</v>
      </c>
      <c r="M35" s="18" t="n">
        <v>0.03355674</v>
      </c>
      <c r="N35" s="20" t="n">
        <v>0.03365547</v>
      </c>
      <c r="O35" s="18" t="n">
        <v>0</v>
      </c>
      <c r="P35" s="20" t="n">
        <v>0</v>
      </c>
      <c r="Q35" s="18" t="n">
        <v>0</v>
      </c>
      <c r="R35" s="20" t="n">
        <v>0</v>
      </c>
      <c r="S35" s="18" t="n">
        <v>0.64519088</v>
      </c>
      <c r="T35" s="20" t="n">
        <v>0.25613455</v>
      </c>
    </row>
    <row r="36" spans="1:20">
      <c r="A36" s="15" t="s">
        <v>594</v>
      </c>
      <c r="B36" s="17" t="n">
        <v>6736</v>
      </c>
      <c r="C36" s="18">
        <f>(5232.0/B36*100)</f>
        <v/>
      </c>
      <c r="D36" s="19" t="n">
        <v>1504</v>
      </c>
      <c r="E36" s="18" t="n">
        <v>79.17834675</v>
      </c>
      <c r="F36" s="20" t="n">
        <v>1.01757064</v>
      </c>
      <c r="G36" s="18" t="n">
        <v>18.3460793</v>
      </c>
      <c r="H36" s="20" t="n">
        <v>1.0248172</v>
      </c>
      <c r="I36" s="18" t="n">
        <v>1.18557563</v>
      </c>
      <c r="J36" s="20" t="n">
        <v>0.2652304</v>
      </c>
      <c r="K36" s="18" t="n">
        <v>0</v>
      </c>
      <c r="L36" s="20" t="n">
        <v>0</v>
      </c>
      <c r="M36" s="18" t="n">
        <v>0.18792648</v>
      </c>
      <c r="N36" s="20" t="n">
        <v>0.14131612</v>
      </c>
      <c r="O36" s="18" t="n">
        <v>0</v>
      </c>
      <c r="P36" s="20" t="n">
        <v>0</v>
      </c>
      <c r="Q36" s="18" t="n">
        <v>0</v>
      </c>
      <c r="R36" s="20" t="n">
        <v>0</v>
      </c>
      <c r="S36" s="18" t="n">
        <v>1.10207183</v>
      </c>
      <c r="T36" s="20" t="n">
        <v>0.27138817</v>
      </c>
    </row>
    <row r="37" spans="1:20">
      <c r="A37" s="15" t="s">
        <v>595</v>
      </c>
      <c r="B37" s="17" t="n">
        <v>5458</v>
      </c>
      <c r="C37" s="18">
        <f>(4256.0/B37*100)</f>
        <v/>
      </c>
      <c r="D37" s="19" t="n">
        <v>1202</v>
      </c>
      <c r="E37" s="18" t="n">
        <v>66.74904914</v>
      </c>
      <c r="F37" s="20" t="n">
        <v>1.31479398</v>
      </c>
      <c r="G37" s="18" t="n">
        <v>25.63524768</v>
      </c>
      <c r="H37" s="20" t="n">
        <v>1.35239039</v>
      </c>
      <c r="I37" s="18" t="n">
        <v>3.5753456</v>
      </c>
      <c r="J37" s="20" t="n">
        <v>0.5240513999999999</v>
      </c>
      <c r="K37" s="18" t="n">
        <v>0</v>
      </c>
      <c r="L37" s="20" t="n">
        <v>0</v>
      </c>
      <c r="M37" s="18" t="n">
        <v>0.42439613</v>
      </c>
      <c r="N37" s="20" t="n">
        <v>0.18512577</v>
      </c>
      <c r="O37" s="18" t="n">
        <v>0</v>
      </c>
      <c r="P37" s="20" t="n">
        <v>0</v>
      </c>
      <c r="Q37" s="18" t="n">
        <v>0</v>
      </c>
      <c r="R37" s="20" t="n">
        <v>0</v>
      </c>
      <c r="S37" s="18" t="n">
        <v>3.61596145</v>
      </c>
      <c r="T37" s="20" t="n">
        <v>0.5127351</v>
      </c>
    </row>
    <row r="38" spans="1:20">
      <c r="A38" s="15" t="s">
        <v>596</v>
      </c>
      <c r="B38" s="17" t="n">
        <v>5860</v>
      </c>
      <c r="C38" s="18">
        <f>(4502.0/B38*100)</f>
        <v/>
      </c>
      <c r="D38" s="19" t="n">
        <v>1358</v>
      </c>
      <c r="E38" s="18" t="n">
        <v>72.54711936</v>
      </c>
      <c r="F38" s="20" t="n">
        <v>1.48313511</v>
      </c>
      <c r="G38" s="18" t="n">
        <v>23.75964983</v>
      </c>
      <c r="H38" s="20" t="n">
        <v>1.54332923</v>
      </c>
      <c r="I38" s="18" t="n">
        <v>2.87551864</v>
      </c>
      <c r="J38" s="20" t="n">
        <v>0.61182964</v>
      </c>
      <c r="K38" s="18" t="n">
        <v>0</v>
      </c>
      <c r="L38" s="20" t="n">
        <v>0</v>
      </c>
      <c r="M38" s="18" t="n">
        <v>0.10216111</v>
      </c>
      <c r="N38" s="20" t="n">
        <v>0.10697453</v>
      </c>
      <c r="O38" s="18" t="n">
        <v>0</v>
      </c>
      <c r="P38" s="20" t="n">
        <v>0</v>
      </c>
      <c r="Q38" s="18" t="n">
        <v>0</v>
      </c>
      <c r="R38" s="20" t="n">
        <v>0</v>
      </c>
      <c r="S38" s="18" t="n">
        <v>0.71555106</v>
      </c>
      <c r="T38" s="20" t="n">
        <v>0.17725297</v>
      </c>
    </row>
    <row r="39" spans="1:20">
      <c r="A39" s="15" t="s">
        <v>597</v>
      </c>
      <c r="B39" s="17" t="n">
        <v>5895</v>
      </c>
      <c r="C39" s="18">
        <f>(4592.0/B39*100)</f>
        <v/>
      </c>
      <c r="D39" s="19" t="n">
        <v>1303</v>
      </c>
      <c r="E39" s="18" t="n">
        <v>84.40274137999999</v>
      </c>
      <c r="F39" s="20" t="n">
        <v>1.01299034</v>
      </c>
      <c r="G39" s="18" t="n">
        <v>11.53064405</v>
      </c>
      <c r="H39" s="20" t="n">
        <v>0.81246313</v>
      </c>
      <c r="I39" s="18" t="n">
        <v>3.37967514</v>
      </c>
      <c r="J39" s="20" t="n">
        <v>0.64952202</v>
      </c>
      <c r="K39" s="18" t="n">
        <v>0</v>
      </c>
      <c r="L39" s="20" t="n">
        <v>0</v>
      </c>
      <c r="M39" s="18" t="n">
        <v>0.17029788</v>
      </c>
      <c r="N39" s="20" t="n">
        <v>0.1215668</v>
      </c>
      <c r="O39" s="18" t="n">
        <v>0</v>
      </c>
      <c r="P39" s="20" t="n">
        <v>0</v>
      </c>
      <c r="Q39" s="18" t="n">
        <v>0</v>
      </c>
      <c r="R39" s="20" t="n">
        <v>0</v>
      </c>
      <c r="S39" s="18" t="n">
        <v>0.51664155</v>
      </c>
      <c r="T39" s="20" t="n">
        <v>0.18346869</v>
      </c>
    </row>
    <row r="40" spans="1:20">
      <c r="A40" s="15" t="s">
        <v>598</v>
      </c>
      <c r="B40" s="17" t="n">
        <v>14157</v>
      </c>
      <c r="C40" s="18">
        <f>(10972.0/B40*100)</f>
        <v/>
      </c>
      <c r="D40" s="19" t="n">
        <v>3185</v>
      </c>
      <c r="E40" s="18" t="n">
        <v>70.97008848999999</v>
      </c>
      <c r="F40" s="20" t="n">
        <v>1.30057346</v>
      </c>
      <c r="G40" s="18" t="n">
        <v>22.66405488</v>
      </c>
      <c r="H40" s="20" t="n">
        <v>1.18778107</v>
      </c>
      <c r="I40" s="18" t="n">
        <v>5.27859199</v>
      </c>
      <c r="J40" s="20" t="n">
        <v>0.60873849</v>
      </c>
      <c r="K40" s="18" t="n">
        <v>0</v>
      </c>
      <c r="L40" s="20" t="n">
        <v>0</v>
      </c>
      <c r="M40" s="18" t="n">
        <v>0.0989589</v>
      </c>
      <c r="N40" s="20" t="n">
        <v>0.06928534</v>
      </c>
      <c r="O40" s="18" t="n">
        <v>0</v>
      </c>
      <c r="P40" s="20" t="n">
        <v>0</v>
      </c>
      <c r="Q40" s="18" t="n">
        <v>0</v>
      </c>
      <c r="R40" s="20" t="n">
        <v>0</v>
      </c>
      <c r="S40" s="18" t="n">
        <v>0.98830574</v>
      </c>
      <c r="T40" s="20" t="n">
        <v>0.26192266</v>
      </c>
    </row>
    <row r="41" spans="1:20">
      <c r="A41" s="15" t="s">
        <v>599</v>
      </c>
      <c r="B41" s="17" t="n">
        <v>5712</v>
      </c>
      <c r="C41" s="18">
        <f>(4498.0/B41*100)</f>
        <v/>
      </c>
      <c r="D41" s="19" t="n">
        <v>1214</v>
      </c>
      <c r="E41" s="18" t="n">
        <v>69.25944808</v>
      </c>
      <c r="F41" s="20" t="n">
        <v>1.55604638</v>
      </c>
      <c r="G41" s="18" t="n">
        <v>24.04171373</v>
      </c>
      <c r="H41" s="20" t="n">
        <v>1.44336229</v>
      </c>
      <c r="I41" s="18" t="n">
        <v>6.16796949</v>
      </c>
      <c r="J41" s="20" t="n">
        <v>0.7736309</v>
      </c>
      <c r="K41" s="18" t="n">
        <v>0</v>
      </c>
      <c r="L41" s="20" t="n">
        <v>0</v>
      </c>
      <c r="M41" s="18" t="n">
        <v>0.20638059</v>
      </c>
      <c r="N41" s="20" t="n">
        <v>0.13170373</v>
      </c>
      <c r="O41" s="18" t="n">
        <v>0</v>
      </c>
      <c r="P41" s="20" t="n">
        <v>0</v>
      </c>
      <c r="Q41" s="18" t="n">
        <v>0</v>
      </c>
      <c r="R41" s="20" t="n">
        <v>0</v>
      </c>
      <c r="S41" s="18" t="n">
        <v>0.32448811</v>
      </c>
      <c r="T41" s="20" t="n">
        <v>0.17372738</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c r="S44" s="18" t="s">
        <v>603</v>
      </c>
      <c r="T44" s="20" t="s">
        <v>603</v>
      </c>
    </row>
    <row r="45" spans="1:20">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c r="S45" s="18" t="s">
        <v>603</v>
      </c>
      <c r="T45" s="20" t="s">
        <v>603</v>
      </c>
    </row>
    <row r="46" spans="1:20">
      <c r="A46" s="15" t="s">
        <v>605</v>
      </c>
      <c r="B46" s="17" t="n">
        <v>23141</v>
      </c>
      <c r="C46" s="18">
        <f>(18615.0/B46*100)</f>
        <v/>
      </c>
      <c r="D46" s="19" t="n">
        <v>4526</v>
      </c>
      <c r="E46" s="18" t="n">
        <v>76.35016065000001</v>
      </c>
      <c r="F46" s="20" t="n">
        <v>0.8027561</v>
      </c>
      <c r="G46" s="18" t="n">
        <v>18.5989249</v>
      </c>
      <c r="H46" s="20" t="n">
        <v>0.78640151</v>
      </c>
      <c r="I46" s="18" t="n">
        <v>1.82993999</v>
      </c>
      <c r="J46" s="20" t="n">
        <v>0.27558762</v>
      </c>
      <c r="K46" s="18" t="n">
        <v>0</v>
      </c>
      <c r="L46" s="20" t="n">
        <v>0</v>
      </c>
      <c r="M46" s="18" t="n">
        <v>0.78780954</v>
      </c>
      <c r="N46" s="20" t="n">
        <v>0.22208894</v>
      </c>
      <c r="O46" s="18" t="n">
        <v>0</v>
      </c>
      <c r="P46" s="20" t="n">
        <v>0</v>
      </c>
      <c r="Q46" s="18" t="n">
        <v>0</v>
      </c>
      <c r="R46" s="20" t="n">
        <v>0</v>
      </c>
      <c r="S46" s="18" t="n">
        <v>2.43316492</v>
      </c>
      <c r="T46" s="20" t="n">
        <v>0.30844251</v>
      </c>
    </row>
    <row r="47" spans="1:20">
      <c r="A47" s="15" t="s">
        <v>606</v>
      </c>
      <c r="B47" s="17" t="n">
        <v>5928</v>
      </c>
      <c r="C47" s="18">
        <f>(4623.0/B47*100)</f>
        <v/>
      </c>
      <c r="D47" s="19" t="n">
        <v>1305</v>
      </c>
      <c r="E47" s="18" t="n">
        <v>76.12299877</v>
      </c>
      <c r="F47" s="20" t="n">
        <v>1.31907123</v>
      </c>
      <c r="G47" s="18" t="n">
        <v>21.61439168</v>
      </c>
      <c r="H47" s="20" t="n">
        <v>1.20609353</v>
      </c>
      <c r="I47" s="18" t="n">
        <v>0.74673148</v>
      </c>
      <c r="J47" s="20" t="n">
        <v>0.20730679</v>
      </c>
      <c r="K47" s="18" t="n">
        <v>0</v>
      </c>
      <c r="L47" s="20" t="n">
        <v>0</v>
      </c>
      <c r="M47" s="18" t="n">
        <v>0.45516399</v>
      </c>
      <c r="N47" s="20" t="n">
        <v>0.19874601</v>
      </c>
      <c r="O47" s="18" t="n">
        <v>0</v>
      </c>
      <c r="P47" s="20" t="n">
        <v>0</v>
      </c>
      <c r="Q47" s="18" t="n">
        <v>0</v>
      </c>
      <c r="R47" s="20" t="n">
        <v>0</v>
      </c>
      <c r="S47" s="18" t="n">
        <v>1.06071409</v>
      </c>
      <c r="T47" s="20" t="n">
        <v>0.30163004</v>
      </c>
    </row>
    <row r="48" spans="1:20">
      <c r="A48" s="15" t="s">
        <v>607</v>
      </c>
      <c r="B48" s="17" t="n">
        <v>9841</v>
      </c>
      <c r="C48" s="18">
        <f>(7690.0/B48*100)</f>
        <v/>
      </c>
      <c r="D48" s="19" t="n">
        <v>2151</v>
      </c>
      <c r="E48" s="18" t="n">
        <v>60.45725236</v>
      </c>
      <c r="F48" s="20" t="n">
        <v>1.82739135</v>
      </c>
      <c r="G48" s="18" t="n">
        <v>28.86962543</v>
      </c>
      <c r="H48" s="20" t="n">
        <v>1.24017257</v>
      </c>
      <c r="I48" s="18" t="n">
        <v>9.598092149999999</v>
      </c>
      <c r="J48" s="20" t="n">
        <v>1.11166099</v>
      </c>
      <c r="K48" s="18" t="n">
        <v>0</v>
      </c>
      <c r="L48" s="20" t="n">
        <v>0</v>
      </c>
      <c r="M48" s="18" t="n">
        <v>0.5991728200000001</v>
      </c>
      <c r="N48" s="20" t="n">
        <v>0.22647934</v>
      </c>
      <c r="O48" s="18" t="n">
        <v>0</v>
      </c>
      <c r="P48" s="20" t="n">
        <v>0</v>
      </c>
      <c r="Q48" s="18" t="n">
        <v>0</v>
      </c>
      <c r="R48" s="20" t="n">
        <v>0</v>
      </c>
      <c r="S48" s="18" t="n">
        <v>0.47585724</v>
      </c>
      <c r="T48" s="20" t="n">
        <v>0.21150836</v>
      </c>
    </row>
    <row r="49" spans="1:20">
      <c r="A49" s="15" t="s">
        <v>608</v>
      </c>
      <c r="B49" s="17" t="n">
        <v>11795</v>
      </c>
      <c r="C49" s="18">
        <f>(9212.0/B49*100)</f>
        <v/>
      </c>
      <c r="D49" s="19" t="n">
        <v>2583</v>
      </c>
      <c r="E49" s="18" t="n">
        <v>74.59227017000001</v>
      </c>
      <c r="F49" s="20" t="n">
        <v>1.01084395</v>
      </c>
      <c r="G49" s="18" t="n">
        <v>22.09640588</v>
      </c>
      <c r="H49" s="20" t="n">
        <v>0.92888344</v>
      </c>
      <c r="I49" s="18" t="n">
        <v>1.78933418</v>
      </c>
      <c r="J49" s="20" t="n">
        <v>0.28740223</v>
      </c>
      <c r="K49" s="18" t="n">
        <v>0</v>
      </c>
      <c r="L49" s="20" t="n">
        <v>0</v>
      </c>
      <c r="M49" s="18" t="n">
        <v>0.76064827</v>
      </c>
      <c r="N49" s="20" t="n">
        <v>0.26493472</v>
      </c>
      <c r="O49" s="18" t="n">
        <v>0</v>
      </c>
      <c r="P49" s="20" t="n">
        <v>0</v>
      </c>
      <c r="Q49" s="18" t="n">
        <v>0</v>
      </c>
      <c r="R49" s="20" t="n">
        <v>0</v>
      </c>
      <c r="S49" s="18" t="n">
        <v>0.7613415</v>
      </c>
      <c r="T49" s="20" t="n">
        <v>0.2650673</v>
      </c>
    </row>
    <row r="50" spans="1:20">
      <c r="A50" s="15" t="s">
        <v>609</v>
      </c>
      <c r="B50" s="17" t="n">
        <v>6866</v>
      </c>
      <c r="C50" s="18">
        <f>(5536.0/B50*100)</f>
        <v/>
      </c>
      <c r="D50" s="19" t="n">
        <v>1330</v>
      </c>
      <c r="E50" s="18" t="n">
        <v>82.12403725999999</v>
      </c>
      <c r="F50" s="20" t="n">
        <v>1.23334122</v>
      </c>
      <c r="G50" s="18" t="n">
        <v>14.75340133</v>
      </c>
      <c r="H50" s="20" t="n">
        <v>1.16762535</v>
      </c>
      <c r="I50" s="18" t="n">
        <v>1.59805811</v>
      </c>
      <c r="J50" s="20" t="n">
        <v>0.37354728</v>
      </c>
      <c r="K50" s="18" t="n">
        <v>0</v>
      </c>
      <c r="L50" s="20" t="n">
        <v>0</v>
      </c>
      <c r="M50" s="18" t="n">
        <v>0.3397083</v>
      </c>
      <c r="N50" s="20" t="n">
        <v>0.16488511</v>
      </c>
      <c r="O50" s="18" t="n">
        <v>0</v>
      </c>
      <c r="P50" s="20" t="n">
        <v>0</v>
      </c>
      <c r="Q50" s="18" t="n">
        <v>0</v>
      </c>
      <c r="R50" s="20" t="n">
        <v>0</v>
      </c>
      <c r="S50" s="18" t="n">
        <v>1.184795</v>
      </c>
      <c r="T50" s="20" t="n">
        <v>0.29993453</v>
      </c>
    </row>
    <row r="51" spans="1:20">
      <c r="A51" s="15" t="s">
        <v>610</v>
      </c>
      <c r="B51" s="17" t="n">
        <v>5809</v>
      </c>
      <c r="C51" s="18">
        <f>(4538.0/B51*100)</f>
        <v/>
      </c>
      <c r="D51" s="19" t="n">
        <v>1271</v>
      </c>
      <c r="E51" s="18" t="n">
        <v>74.96539788</v>
      </c>
      <c r="F51" s="20" t="n">
        <v>0.98637724</v>
      </c>
      <c r="G51" s="18" t="n">
        <v>22.65101652</v>
      </c>
      <c r="H51" s="20" t="n">
        <v>0.93540301</v>
      </c>
      <c r="I51" s="18" t="n">
        <v>1.32308037</v>
      </c>
      <c r="J51" s="20" t="n">
        <v>0.35165837</v>
      </c>
      <c r="K51" s="18" t="n">
        <v>0</v>
      </c>
      <c r="L51" s="20" t="n">
        <v>0</v>
      </c>
      <c r="M51" s="18" t="n">
        <v>0.08001912999999999</v>
      </c>
      <c r="N51" s="20" t="n">
        <v>0.07831767000000001</v>
      </c>
      <c r="O51" s="18" t="n">
        <v>0</v>
      </c>
      <c r="P51" s="20" t="n">
        <v>0</v>
      </c>
      <c r="Q51" s="18" t="n">
        <v>0</v>
      </c>
      <c r="R51" s="20" t="n">
        <v>0</v>
      </c>
      <c r="S51" s="18" t="n">
        <v>0.9804861</v>
      </c>
      <c r="T51" s="20" t="n">
        <v>0.27559126</v>
      </c>
    </row>
    <row r="52" spans="1:20">
      <c r="A52" s="15" t="s">
        <v>611</v>
      </c>
      <c r="B52" s="17" t="n">
        <v>5571</v>
      </c>
      <c r="C52" s="18">
        <f>(4337.0/B52*100)</f>
        <v/>
      </c>
      <c r="D52" s="19" t="n">
        <v>1234</v>
      </c>
      <c r="E52" s="18" t="n">
        <v>74.0022103</v>
      </c>
      <c r="F52" s="20" t="n">
        <v>1.20180018</v>
      </c>
      <c r="G52" s="18" t="n">
        <v>23.02150415</v>
      </c>
      <c r="H52" s="20" t="n">
        <v>1.16903932</v>
      </c>
      <c r="I52" s="18" t="n">
        <v>1.58290003</v>
      </c>
      <c r="J52" s="20" t="n">
        <v>0.34760757</v>
      </c>
      <c r="K52" s="18" t="n">
        <v>0</v>
      </c>
      <c r="L52" s="20" t="n">
        <v>0</v>
      </c>
      <c r="M52" s="18" t="n">
        <v>0.1066038</v>
      </c>
      <c r="N52" s="20" t="n">
        <v>0.10674001</v>
      </c>
      <c r="O52" s="18" t="n">
        <v>0</v>
      </c>
      <c r="P52" s="20" t="n">
        <v>0</v>
      </c>
      <c r="Q52" s="18" t="n">
        <v>0</v>
      </c>
      <c r="R52" s="20" t="n">
        <v>0</v>
      </c>
      <c r="S52" s="18" t="n">
        <v>1.28678172</v>
      </c>
      <c r="T52" s="20" t="n">
        <v>0.27676382</v>
      </c>
    </row>
    <row r="53" spans="1:20">
      <c r="A53" s="15" t="s">
        <v>612</v>
      </c>
      <c r="B53" s="17" t="n">
        <v>4740</v>
      </c>
      <c r="C53" s="18">
        <f>(3676.0/B53*100)</f>
        <v/>
      </c>
      <c r="D53" s="19" t="n">
        <v>1064</v>
      </c>
      <c r="E53" s="18" t="n">
        <v>75.07175961999999</v>
      </c>
      <c r="F53" s="20" t="n">
        <v>1.39577999</v>
      </c>
      <c r="G53" s="18" t="n">
        <v>12.04579774</v>
      </c>
      <c r="H53" s="20" t="n">
        <v>1.06285777</v>
      </c>
      <c r="I53" s="18" t="n">
        <v>2.32868951</v>
      </c>
      <c r="J53" s="20" t="n">
        <v>0.49680038</v>
      </c>
      <c r="K53" s="18" t="n">
        <v>0</v>
      </c>
      <c r="L53" s="20" t="n">
        <v>0</v>
      </c>
      <c r="M53" s="18" t="n">
        <v>6.94180261</v>
      </c>
      <c r="N53" s="20" t="n">
        <v>0.81195968</v>
      </c>
      <c r="O53" s="18" t="n">
        <v>0</v>
      </c>
      <c r="P53" s="20" t="n">
        <v>0</v>
      </c>
      <c r="Q53" s="18" t="n">
        <v>0</v>
      </c>
      <c r="R53" s="20" t="n">
        <v>0</v>
      </c>
      <c r="S53" s="18" t="n">
        <v>3.61195052</v>
      </c>
      <c r="T53" s="20" t="n">
        <v>0.69981707</v>
      </c>
    </row>
    <row r="54" spans="1:20">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c r="S54" s="18" t="s">
        <v>603</v>
      </c>
      <c r="T54" s="20" t="s">
        <v>603</v>
      </c>
    </row>
    <row r="55" spans="1:20">
      <c r="A55" s="15" t="s">
        <v>614</v>
      </c>
      <c r="B55" s="17" t="n">
        <v>5359</v>
      </c>
      <c r="C55" s="18">
        <f>(4156.0/B55*100)</f>
        <v/>
      </c>
      <c r="D55" s="19" t="n">
        <v>1203</v>
      </c>
      <c r="E55" s="18" t="n">
        <v>68.9833891</v>
      </c>
      <c r="F55" s="20" t="n">
        <v>1.43193528</v>
      </c>
      <c r="G55" s="18" t="n">
        <v>21.93806382</v>
      </c>
      <c r="H55" s="20" t="n">
        <v>1.30893277</v>
      </c>
      <c r="I55" s="18" t="n">
        <v>8.38830224</v>
      </c>
      <c r="J55" s="20" t="n">
        <v>0.78361711</v>
      </c>
      <c r="K55" s="18" t="n">
        <v>0</v>
      </c>
      <c r="L55" s="20" t="n">
        <v>0</v>
      </c>
      <c r="M55" s="18" t="n">
        <v>0.22273493</v>
      </c>
      <c r="N55" s="20" t="n">
        <v>0.18122328</v>
      </c>
      <c r="O55" s="18" t="n">
        <v>0</v>
      </c>
      <c r="P55" s="20" t="n">
        <v>0</v>
      </c>
      <c r="Q55" s="18" t="n">
        <v>0</v>
      </c>
      <c r="R55" s="20" t="n">
        <v>0</v>
      </c>
      <c r="S55" s="18" t="n">
        <v>0.46750991</v>
      </c>
      <c r="T55" s="20" t="n">
        <v>0.19340179</v>
      </c>
    </row>
    <row r="56" spans="1:20">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c r="S56" s="18" t="s">
        <v>603</v>
      </c>
      <c r="T56" s="20" t="s">
        <v>603</v>
      </c>
    </row>
    <row r="57" spans="1:20">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c r="S57" s="18" t="s">
        <v>603</v>
      </c>
      <c r="T57" s="20" t="s">
        <v>603</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c r="S59" s="18" t="s">
        <v>603</v>
      </c>
      <c r="T59" s="20" t="s">
        <v>603</v>
      </c>
    </row>
    <row r="60" spans="1:20">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c r="S60" s="18" t="s">
        <v>603</v>
      </c>
      <c r="T60" s="20" t="s">
        <v>603</v>
      </c>
    </row>
    <row r="61" spans="1:20">
      <c r="A61" s="15" t="s">
        <v>621</v>
      </c>
      <c r="B61" s="17" t="n">
        <v>6525</v>
      </c>
      <c r="C61" s="18">
        <f>(5087.0/B61*100)</f>
        <v/>
      </c>
      <c r="D61" s="19" t="n">
        <v>1438</v>
      </c>
      <c r="E61" s="18" t="n">
        <v>64.66696293</v>
      </c>
      <c r="F61" s="20" t="n">
        <v>1.24949269</v>
      </c>
      <c r="G61" s="18" t="n">
        <v>30.84493887</v>
      </c>
      <c r="H61" s="20" t="n">
        <v>1.28678802</v>
      </c>
      <c r="I61" s="18" t="n">
        <v>3.8195597</v>
      </c>
      <c r="J61" s="20" t="n">
        <v>0.5183271699999999</v>
      </c>
      <c r="K61" s="18" t="n">
        <v>0</v>
      </c>
      <c r="L61" s="20" t="n">
        <v>0</v>
      </c>
      <c r="M61" s="18" t="n">
        <v>0.35808544</v>
      </c>
      <c r="N61" s="20" t="n">
        <v>0.22351455</v>
      </c>
      <c r="O61" s="18" t="n">
        <v>0</v>
      </c>
      <c r="P61" s="20" t="n">
        <v>0</v>
      </c>
      <c r="Q61" s="18" t="n">
        <v>0</v>
      </c>
      <c r="R61" s="20" t="n">
        <v>0</v>
      </c>
      <c r="S61" s="18" t="n">
        <v>0.31045306</v>
      </c>
      <c r="T61" s="20" t="n">
        <v>0.15386539</v>
      </c>
    </row>
    <row r="62" spans="1:20">
      <c r="A62" s="15" t="s">
        <v>622</v>
      </c>
      <c r="B62" s="17" t="n">
        <v>4476</v>
      </c>
      <c r="C62" s="18">
        <f>(3478.0/B62*100)</f>
        <v/>
      </c>
      <c r="D62" s="19" t="n">
        <v>998</v>
      </c>
      <c r="E62" s="18" t="n">
        <v>70.28535263000001</v>
      </c>
      <c r="F62" s="20" t="n">
        <v>1.68948953</v>
      </c>
      <c r="G62" s="18" t="n">
        <v>22.08253721</v>
      </c>
      <c r="H62" s="20" t="n">
        <v>1.38271563</v>
      </c>
      <c r="I62" s="18" t="n">
        <v>7.32912695</v>
      </c>
      <c r="J62" s="20" t="n">
        <v>0.88777931</v>
      </c>
      <c r="K62" s="18" t="n">
        <v>0</v>
      </c>
      <c r="L62" s="20" t="n">
        <v>0</v>
      </c>
      <c r="M62" s="18" t="n">
        <v>0</v>
      </c>
      <c r="N62" s="20" t="n">
        <v>0</v>
      </c>
      <c r="O62" s="18" t="n">
        <v>0</v>
      </c>
      <c r="P62" s="20" t="n">
        <v>0</v>
      </c>
      <c r="Q62" s="18" t="n">
        <v>0</v>
      </c>
      <c r="R62" s="20" t="n">
        <v>0</v>
      </c>
      <c r="S62" s="18" t="n">
        <v>0.30298321</v>
      </c>
      <c r="T62" s="20" t="n">
        <v>0.17341086</v>
      </c>
    </row>
    <row r="63" spans="1:20">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c r="S63" s="18" t="s">
        <v>603</v>
      </c>
      <c r="T63" s="20" t="s">
        <v>603</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c r="S65" s="18" t="s">
        <v>603</v>
      </c>
      <c r="T65" s="20" t="s">
        <v>603</v>
      </c>
    </row>
    <row r="66" spans="1:20">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c r="S66" s="18" t="s">
        <v>603</v>
      </c>
      <c r="T66" s="20" t="s">
        <v>603</v>
      </c>
    </row>
    <row r="67" spans="1:20">
      <c r="A67" s="15" t="s">
        <v>627</v>
      </c>
      <c r="B67" s="17" t="n">
        <v>5665</v>
      </c>
      <c r="C67" s="18">
        <f>(4462.0/B67*100)</f>
        <v/>
      </c>
      <c r="D67" s="19" t="n">
        <v>1203</v>
      </c>
      <c r="E67" s="18" t="n">
        <v>71.81978303</v>
      </c>
      <c r="F67" s="20" t="n">
        <v>1.3126819</v>
      </c>
      <c r="G67" s="18" t="n">
        <v>22.75606754</v>
      </c>
      <c r="H67" s="20" t="n">
        <v>1.24641306</v>
      </c>
      <c r="I67" s="18" t="n">
        <v>0.96579844</v>
      </c>
      <c r="J67" s="20" t="n">
        <v>0.30242797</v>
      </c>
      <c r="K67" s="18" t="n">
        <v>0</v>
      </c>
      <c r="L67" s="20" t="n">
        <v>0</v>
      </c>
      <c r="M67" s="18" t="n">
        <v>0.42116579</v>
      </c>
      <c r="N67" s="20" t="n">
        <v>0.19029866</v>
      </c>
      <c r="O67" s="18" t="n">
        <v>0</v>
      </c>
      <c r="P67" s="20" t="n">
        <v>0</v>
      </c>
      <c r="Q67" s="18" t="n">
        <v>0</v>
      </c>
      <c r="R67" s="20" t="n">
        <v>0</v>
      </c>
      <c r="S67" s="18" t="n">
        <v>4.0371852</v>
      </c>
      <c r="T67" s="20" t="n">
        <v>0.58049549</v>
      </c>
    </row>
    <row r="68" spans="1:20">
      <c r="A68" s="15" t="s">
        <v>628</v>
      </c>
      <c r="B68" s="17" t="n">
        <v>6971</v>
      </c>
      <c r="C68" s="18">
        <f>(5533.0/B68*100)</f>
        <v/>
      </c>
      <c r="D68" s="19" t="n">
        <v>1438</v>
      </c>
      <c r="E68" s="18" t="n">
        <v>78.95297871</v>
      </c>
      <c r="F68" s="20" t="n">
        <v>1.25051828</v>
      </c>
      <c r="G68" s="18" t="n">
        <v>17.80189189</v>
      </c>
      <c r="H68" s="20" t="n">
        <v>1.18110871</v>
      </c>
      <c r="I68" s="18" t="n">
        <v>2.06901063</v>
      </c>
      <c r="J68" s="20" t="n">
        <v>0.43202395</v>
      </c>
      <c r="K68" s="18" t="n">
        <v>0</v>
      </c>
      <c r="L68" s="20" t="n">
        <v>0</v>
      </c>
      <c r="M68" s="18" t="n">
        <v>0.25494582</v>
      </c>
      <c r="N68" s="20" t="n">
        <v>0.19587623</v>
      </c>
      <c r="O68" s="18" t="n">
        <v>0</v>
      </c>
      <c r="P68" s="20" t="n">
        <v>0</v>
      </c>
      <c r="Q68" s="18" t="n">
        <v>0</v>
      </c>
      <c r="R68" s="20" t="n">
        <v>0</v>
      </c>
      <c r="S68" s="18" t="n">
        <v>0.92117296</v>
      </c>
      <c r="T68" s="20" t="n">
        <v>0.27106539</v>
      </c>
    </row>
    <row r="69" spans="1:20">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c r="S69" s="18" t="s">
        <v>603</v>
      </c>
      <c r="T69" s="20" t="s">
        <v>603</v>
      </c>
    </row>
    <row r="70" spans="1:20">
      <c r="A70" s="15" t="s">
        <v>630</v>
      </c>
      <c r="B70" s="17" t="n">
        <v>12083</v>
      </c>
      <c r="C70" s="18">
        <f>(9359.0/B70*100)</f>
        <v/>
      </c>
      <c r="D70" s="19" t="n">
        <v>2724</v>
      </c>
      <c r="E70" s="18" t="n">
        <v>76.53781352</v>
      </c>
      <c r="F70" s="20" t="n">
        <v>0.69820002</v>
      </c>
      <c r="G70" s="18" t="n">
        <v>16.07042317</v>
      </c>
      <c r="H70" s="20" t="n">
        <v>0.6560174600000001</v>
      </c>
      <c r="I70" s="18" t="n">
        <v>3.37307968</v>
      </c>
      <c r="J70" s="20" t="n">
        <v>0.32509758</v>
      </c>
      <c r="K70" s="18" t="n">
        <v>0</v>
      </c>
      <c r="L70" s="20" t="n">
        <v>0</v>
      </c>
      <c r="M70" s="18" t="n">
        <v>1.55295168</v>
      </c>
      <c r="N70" s="20" t="n">
        <v>0.22666959</v>
      </c>
      <c r="O70" s="18" t="n">
        <v>0</v>
      </c>
      <c r="P70" s="20" t="n">
        <v>0</v>
      </c>
      <c r="Q70" s="18" t="n">
        <v>0</v>
      </c>
      <c r="R70" s="20" t="n">
        <v>0</v>
      </c>
      <c r="S70" s="18" t="n">
        <v>2.46573194</v>
      </c>
      <c r="T70" s="20" t="n">
        <v>0.29254467</v>
      </c>
    </row>
    <row r="71" spans="1:20">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c r="S71" s="18" t="s">
        <v>603</v>
      </c>
      <c r="T71" s="20" t="s">
        <v>603</v>
      </c>
    </row>
    <row r="72" spans="1:20">
      <c r="A72" s="15" t="s">
        <v>632</v>
      </c>
      <c r="B72" s="17" t="n">
        <v>6036</v>
      </c>
      <c r="C72" s="18">
        <f>(4716.0/B72*100)</f>
        <v/>
      </c>
      <c r="D72" s="19" t="n">
        <v>1320</v>
      </c>
      <c r="E72" s="18" t="n">
        <v>75.74531484000001</v>
      </c>
      <c r="F72" s="20" t="n">
        <v>1.45280861</v>
      </c>
      <c r="G72" s="18" t="n">
        <v>21.24260277</v>
      </c>
      <c r="H72" s="20" t="n">
        <v>1.4434404</v>
      </c>
      <c r="I72" s="18" t="n">
        <v>1.71537969</v>
      </c>
      <c r="J72" s="20" t="n">
        <v>0.42833257</v>
      </c>
      <c r="K72" s="18" t="n">
        <v>0</v>
      </c>
      <c r="L72" s="20" t="n">
        <v>0</v>
      </c>
      <c r="M72" s="18" t="n">
        <v>0.30575498</v>
      </c>
      <c r="N72" s="20" t="n">
        <v>0.1241542</v>
      </c>
      <c r="O72" s="18" t="n">
        <v>0</v>
      </c>
      <c r="P72" s="20" t="n">
        <v>0</v>
      </c>
      <c r="Q72" s="18" t="n">
        <v>0</v>
      </c>
      <c r="R72" s="20" t="n">
        <v>0</v>
      </c>
      <c r="S72" s="18" t="n">
        <v>0.99094771</v>
      </c>
      <c r="T72" s="20" t="n">
        <v>0.34783264</v>
      </c>
    </row>
    <row r="73" spans="1:20">
      <c r="A73" s="15" t="s">
        <v>633</v>
      </c>
      <c r="B73" s="17" t="n">
        <v>6115</v>
      </c>
      <c r="C73" s="18">
        <f>(4789.0/B73*100)</f>
        <v/>
      </c>
      <c r="D73" s="19" t="n">
        <v>1326</v>
      </c>
      <c r="E73" s="18" t="n">
        <v>58.95895749</v>
      </c>
      <c r="F73" s="20" t="n">
        <v>1.52537652</v>
      </c>
      <c r="G73" s="18" t="n">
        <v>29.37183612</v>
      </c>
      <c r="H73" s="20" t="n">
        <v>1.17955774</v>
      </c>
      <c r="I73" s="18" t="n">
        <v>11.17479752</v>
      </c>
      <c r="J73" s="20" t="n">
        <v>1.09386851</v>
      </c>
      <c r="K73" s="18" t="n">
        <v>0</v>
      </c>
      <c r="L73" s="20" t="n">
        <v>0</v>
      </c>
      <c r="M73" s="18" t="n">
        <v>0.15055594</v>
      </c>
      <c r="N73" s="20" t="n">
        <v>0.1072219</v>
      </c>
      <c r="O73" s="18" t="n">
        <v>0</v>
      </c>
      <c r="P73" s="20" t="n">
        <v>0</v>
      </c>
      <c r="Q73" s="18" t="n">
        <v>0</v>
      </c>
      <c r="R73" s="20" t="n">
        <v>0</v>
      </c>
      <c r="S73" s="18" t="n">
        <v>0.34385292</v>
      </c>
      <c r="T73" s="20" t="n">
        <v>0.15850649</v>
      </c>
    </row>
    <row r="74" spans="1:20">
      <c r="A74" s="15" t="s">
        <v>634</v>
      </c>
      <c r="B74" s="17" t="n">
        <v>7708</v>
      </c>
      <c r="C74" s="18">
        <f>(6066.0/B74*100)</f>
        <v/>
      </c>
      <c r="D74" s="19" t="n">
        <v>1642</v>
      </c>
      <c r="E74" s="18" t="n">
        <v>71.99800084</v>
      </c>
      <c r="F74" s="20" t="n">
        <v>1.46916375</v>
      </c>
      <c r="G74" s="18" t="n">
        <v>14.51409535</v>
      </c>
      <c r="H74" s="20" t="n">
        <v>0.88402674</v>
      </c>
      <c r="I74" s="18" t="n">
        <v>12.59761574</v>
      </c>
      <c r="J74" s="20" t="n">
        <v>1.11260198</v>
      </c>
      <c r="K74" s="18" t="n">
        <v>0</v>
      </c>
      <c r="L74" s="20" t="n">
        <v>0</v>
      </c>
      <c r="M74" s="18" t="n">
        <v>0.20740367</v>
      </c>
      <c r="N74" s="20" t="n">
        <v>0.15732353</v>
      </c>
      <c r="O74" s="18" t="n">
        <v>0</v>
      </c>
      <c r="P74" s="20" t="n">
        <v>0</v>
      </c>
      <c r="Q74" s="18" t="n">
        <v>0</v>
      </c>
      <c r="R74" s="20" t="n">
        <v>0</v>
      </c>
      <c r="S74" s="18" t="n">
        <v>0.6828843999999999</v>
      </c>
      <c r="T74" s="20" t="n">
        <v>0.20784345</v>
      </c>
    </row>
    <row r="75" spans="1:20">
      <c r="A75" s="15" t="s">
        <v>635</v>
      </c>
      <c r="B75" s="17" t="n">
        <v>8249</v>
      </c>
      <c r="C75" s="18">
        <f>(6436.0/B75*100)</f>
        <v/>
      </c>
      <c r="D75" s="19" t="n">
        <v>1813</v>
      </c>
      <c r="E75" s="18" t="n">
        <v>83.27834916</v>
      </c>
      <c r="F75" s="20" t="n">
        <v>1.16612768</v>
      </c>
      <c r="G75" s="18" t="n">
        <v>14.00206098</v>
      </c>
      <c r="H75" s="20" t="n">
        <v>1.12110983</v>
      </c>
      <c r="I75" s="18" t="n">
        <v>2.20562934</v>
      </c>
      <c r="J75" s="20" t="n">
        <v>0.44435982</v>
      </c>
      <c r="K75" s="18" t="n">
        <v>0</v>
      </c>
      <c r="L75" s="20" t="n">
        <v>0</v>
      </c>
      <c r="M75" s="18" t="n">
        <v>0.15663827</v>
      </c>
      <c r="N75" s="20" t="n">
        <v>0.09785032</v>
      </c>
      <c r="O75" s="18" t="n">
        <v>0</v>
      </c>
      <c r="P75" s="20" t="n">
        <v>0</v>
      </c>
      <c r="Q75" s="18" t="n">
        <v>0</v>
      </c>
      <c r="R75" s="20" t="n">
        <v>0</v>
      </c>
      <c r="S75" s="18" t="n">
        <v>0.35732225</v>
      </c>
      <c r="T75" s="20" t="n">
        <v>0.16553308</v>
      </c>
    </row>
    <row r="76" spans="1:20">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c r="S76" s="18" t="s">
        <v>603</v>
      </c>
      <c r="T76" s="20" t="s">
        <v>603</v>
      </c>
    </row>
    <row r="77" spans="1:20">
      <c r="A77" s="15" t="s">
        <v>637</v>
      </c>
      <c r="B77" s="17" t="n">
        <v>5375</v>
      </c>
      <c r="C77" s="18">
        <f>(4267.0/B77*100)</f>
        <v/>
      </c>
      <c r="D77" s="19" t="n">
        <v>1108</v>
      </c>
      <c r="E77" s="18" t="n">
        <v>83.36954136</v>
      </c>
      <c r="F77" s="20" t="n">
        <v>1.19976689</v>
      </c>
      <c r="G77" s="18" t="n">
        <v>13.69358699</v>
      </c>
      <c r="H77" s="20" t="n">
        <v>1.07555059</v>
      </c>
      <c r="I77" s="18" t="n">
        <v>1.21375086</v>
      </c>
      <c r="J77" s="20" t="n">
        <v>0.32815027</v>
      </c>
      <c r="K77" s="18" t="n">
        <v>0</v>
      </c>
      <c r="L77" s="20" t="n">
        <v>0</v>
      </c>
      <c r="M77" s="18" t="n">
        <v>0.8821617</v>
      </c>
      <c r="N77" s="20" t="n">
        <v>0.40253004</v>
      </c>
      <c r="O77" s="18" t="n">
        <v>0</v>
      </c>
      <c r="P77" s="20" t="n">
        <v>0</v>
      </c>
      <c r="Q77" s="18" t="n">
        <v>0</v>
      </c>
      <c r="R77" s="20" t="n">
        <v>0</v>
      </c>
      <c r="S77" s="18" t="n">
        <v>0.84095909</v>
      </c>
      <c r="T77" s="20" t="n">
        <v>0.27926749</v>
      </c>
    </row>
    <row r="78" spans="1:20">
      <c r="A78" s="15" t="s">
        <v>638</v>
      </c>
      <c r="B78" s="17" t="n">
        <v>14167</v>
      </c>
      <c r="C78" s="18">
        <f>(11020.0/B78*100)</f>
        <v/>
      </c>
      <c r="D78" s="19" t="n">
        <v>3147</v>
      </c>
      <c r="E78" s="18" t="n">
        <v>75.17447156999999</v>
      </c>
      <c r="F78" s="20" t="n">
        <v>1.28627124</v>
      </c>
      <c r="G78" s="18" t="n">
        <v>18.01574982</v>
      </c>
      <c r="H78" s="20" t="n">
        <v>1.16895042</v>
      </c>
      <c r="I78" s="18" t="n">
        <v>4.56054588</v>
      </c>
      <c r="J78" s="20" t="n">
        <v>0.46699835</v>
      </c>
      <c r="K78" s="18" t="n">
        <v>0</v>
      </c>
      <c r="L78" s="20" t="n">
        <v>0</v>
      </c>
      <c r="M78" s="18" t="n">
        <v>0.72739826</v>
      </c>
      <c r="N78" s="20" t="n">
        <v>0.18966362</v>
      </c>
      <c r="O78" s="18" t="n">
        <v>0</v>
      </c>
      <c r="P78" s="20" t="n">
        <v>0</v>
      </c>
      <c r="Q78" s="18" t="n">
        <v>0</v>
      </c>
      <c r="R78" s="20" t="n">
        <v>0</v>
      </c>
      <c r="S78" s="18" t="n">
        <v>1.52183448</v>
      </c>
      <c r="T78" s="20" t="n">
        <v>0.21057081</v>
      </c>
    </row>
    <row r="79" spans="1:20">
      <c r="A79" s="15" t="s">
        <v>639</v>
      </c>
      <c r="B79" s="17" t="n">
        <v>6062</v>
      </c>
      <c r="C79" s="18">
        <f>(4711.0/B79*100)</f>
        <v/>
      </c>
      <c r="D79" s="19" t="n">
        <v>1351</v>
      </c>
      <c r="E79" s="18" t="n">
        <v>78.08383463</v>
      </c>
      <c r="F79" s="20" t="n">
        <v>1.18389143</v>
      </c>
      <c r="G79" s="18" t="n">
        <v>17.28167805</v>
      </c>
      <c r="H79" s="20" t="n">
        <v>1.08828341</v>
      </c>
      <c r="I79" s="18" t="n">
        <v>1.8944917</v>
      </c>
      <c r="J79" s="20" t="n">
        <v>0.33592752</v>
      </c>
      <c r="K79" s="18" t="n">
        <v>0</v>
      </c>
      <c r="L79" s="20" t="n">
        <v>0</v>
      </c>
      <c r="M79" s="18" t="n">
        <v>0.33671309</v>
      </c>
      <c r="N79" s="20" t="n">
        <v>0.1640194</v>
      </c>
      <c r="O79" s="18" t="n">
        <v>0</v>
      </c>
      <c r="P79" s="20" t="n">
        <v>0</v>
      </c>
      <c r="Q79" s="18" t="n">
        <v>0</v>
      </c>
      <c r="R79" s="20" t="n">
        <v>0</v>
      </c>
      <c r="S79" s="18" t="n">
        <v>2.40328254</v>
      </c>
      <c r="T79" s="20" t="n">
        <v>0.46081788</v>
      </c>
    </row>
    <row r="80" spans="1:20">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c r="S80" s="18" t="s">
        <v>603</v>
      </c>
      <c r="T80" s="20" t="s">
        <v>603</v>
      </c>
    </row>
    <row r="81" spans="1:20">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c r="S81" s="18" t="s">
        <v>603</v>
      </c>
      <c r="T81" s="20" t="s">
        <v>603</v>
      </c>
    </row>
    <row r="82" spans="1:20">
      <c r="A82" s="15" t="s">
        <v>642</v>
      </c>
      <c r="B82" s="17" t="n">
        <v>32330</v>
      </c>
      <c r="C82" s="18">
        <f>(25155.0/B82*100)</f>
        <v/>
      </c>
      <c r="D82" s="19" t="n">
        <v>7175</v>
      </c>
      <c r="E82" s="18" t="n">
        <v>77.68095664000001</v>
      </c>
      <c r="F82" s="20" t="n">
        <v>0.6382766</v>
      </c>
      <c r="G82" s="18" t="n">
        <v>19.43457432</v>
      </c>
      <c r="H82" s="20" t="n">
        <v>0.66245284</v>
      </c>
      <c r="I82" s="18" t="n">
        <v>1.42983743</v>
      </c>
      <c r="J82" s="20" t="n">
        <v>0.15396417</v>
      </c>
      <c r="K82" s="18" t="n">
        <v>0</v>
      </c>
      <c r="L82" s="20" t="n">
        <v>0</v>
      </c>
      <c r="M82" s="18" t="n">
        <v>0.18629394</v>
      </c>
      <c r="N82" s="20" t="n">
        <v>0.0746496</v>
      </c>
      <c r="O82" s="18" t="n">
        <v>0</v>
      </c>
      <c r="P82" s="20" t="n">
        <v>0</v>
      </c>
      <c r="Q82" s="18" t="n">
        <v>0</v>
      </c>
      <c r="R82" s="20" t="n">
        <v>0</v>
      </c>
      <c r="S82" s="18" t="n">
        <v>1.26833767</v>
      </c>
      <c r="T82" s="20" t="n">
        <v>0.17138585</v>
      </c>
    </row>
    <row r="83" spans="1:20">
      <c r="A83" s="15" t="s">
        <v>643</v>
      </c>
      <c r="B83" s="17" t="n">
        <v>1652</v>
      </c>
      <c r="C83" s="18">
        <f>(1291.0/B83*100)</f>
        <v/>
      </c>
      <c r="D83" s="19" t="n">
        <v>361</v>
      </c>
      <c r="E83" s="18" t="n">
        <v>66.95058654</v>
      </c>
      <c r="F83" s="20" t="n">
        <v>2.59533319</v>
      </c>
      <c r="G83" s="18" t="n">
        <v>24.52681757</v>
      </c>
      <c r="H83" s="20" t="n">
        <v>2.49065659</v>
      </c>
      <c r="I83" s="18" t="n">
        <v>7.77228284</v>
      </c>
      <c r="J83" s="20" t="n">
        <v>1.55538713</v>
      </c>
      <c r="K83" s="18" t="n">
        <v>0</v>
      </c>
      <c r="L83" s="20" t="n">
        <v>0</v>
      </c>
      <c r="M83" s="18" t="n">
        <v>0</v>
      </c>
      <c r="N83" s="20" t="n">
        <v>0</v>
      </c>
      <c r="O83" s="18" t="n">
        <v>0</v>
      </c>
      <c r="P83" s="20" t="n">
        <v>0</v>
      </c>
      <c r="Q83" s="18" t="n">
        <v>0</v>
      </c>
      <c r="R83" s="20" t="n">
        <v>0</v>
      </c>
      <c r="S83" s="18" t="n">
        <v>0.75031304</v>
      </c>
      <c r="T83" s="20" t="n">
        <v>0.43543917</v>
      </c>
    </row>
    <row r="84" spans="1:20">
      <c r="A84" s="23" t="s">
        <v>644</v>
      </c>
      <c r="B84" s="24" t="n">
        <v>1887</v>
      </c>
      <c r="C84" s="25">
        <f>(1494.0/B84*100)</f>
        <v/>
      </c>
      <c r="D84" s="19" t="n">
        <v>393</v>
      </c>
      <c r="E84" s="18" t="n">
        <v>73.48058798</v>
      </c>
      <c r="F84" s="20" t="n">
        <v>1.7681723</v>
      </c>
      <c r="G84" s="18" t="n">
        <v>19.64028966</v>
      </c>
      <c r="H84" s="20" t="n">
        <v>1.92346608</v>
      </c>
      <c r="I84" s="18" t="n">
        <v>6.87912237</v>
      </c>
      <c r="J84" s="20" t="n">
        <v>1.56693019</v>
      </c>
      <c r="K84" s="18" t="n">
        <v>0</v>
      </c>
      <c r="L84" s="20" t="n">
        <v>0</v>
      </c>
      <c r="M84" s="18" t="n">
        <v>0</v>
      </c>
      <c r="N84" s="20" t="n">
        <v>0</v>
      </c>
      <c r="O84" s="18" t="n">
        <v>0</v>
      </c>
      <c r="P84" s="20" t="n">
        <v>0</v>
      </c>
      <c r="Q84" s="18" t="n">
        <v>0</v>
      </c>
      <c r="R84" s="20" t="n">
        <v>0</v>
      </c>
      <c r="S84" s="18" t="n">
        <v>0</v>
      </c>
      <c r="T84" s="20" t="n">
        <v>0</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(11376.0/B7*100)</f>
        <v/>
      </c>
      <c r="D7" s="19" t="n">
        <v>3154</v>
      </c>
      <c r="E7" s="18" t="n">
        <v>51.94083237</v>
      </c>
      <c r="F7" s="20" t="n">
        <v>0.98227667</v>
      </c>
      <c r="G7" s="18" t="n">
        <v>45.4245213</v>
      </c>
      <c r="H7" s="20" t="n">
        <v>0.9720565799999999</v>
      </c>
      <c r="I7" s="18" t="n">
        <v>0</v>
      </c>
      <c r="J7" s="20" t="n">
        <v>0</v>
      </c>
      <c r="K7" s="18" t="n">
        <v>0.348418</v>
      </c>
      <c r="L7" s="20" t="n">
        <v>0.1312023</v>
      </c>
      <c r="M7" s="18" t="n">
        <v>0.11090467</v>
      </c>
      <c r="N7" s="20" t="n">
        <v>0.05998836</v>
      </c>
      <c r="O7" s="18" t="n">
        <v>0</v>
      </c>
      <c r="P7" s="20" t="n">
        <v>0</v>
      </c>
      <c r="Q7" s="18" t="n">
        <v>2.17532366</v>
      </c>
      <c r="R7" s="20" t="n">
        <v>0.31173017</v>
      </c>
    </row>
    <row r="8" spans="1:18">
      <c r="A8" s="15" t="s">
        <v>566</v>
      </c>
      <c r="B8" s="17" t="n">
        <v>7007</v>
      </c>
      <c r="C8" s="18">
        <f>(5455.0/B8*100)</f>
        <v/>
      </c>
      <c r="D8" s="19" t="n">
        <v>1552</v>
      </c>
      <c r="E8" s="18" t="n">
        <v>67.39424931000001</v>
      </c>
      <c r="F8" s="20" t="n">
        <v>1.40707152</v>
      </c>
      <c r="G8" s="18" t="n">
        <v>30.35869613</v>
      </c>
      <c r="H8" s="20" t="n">
        <v>1.34811978</v>
      </c>
      <c r="I8" s="18" t="n">
        <v>0</v>
      </c>
      <c r="J8" s="20" t="n">
        <v>0</v>
      </c>
      <c r="K8" s="18" t="n">
        <v>0.15170014</v>
      </c>
      <c r="L8" s="20" t="n">
        <v>0.10571572</v>
      </c>
      <c r="M8" s="18" t="n">
        <v>0</v>
      </c>
      <c r="N8" s="20" t="n">
        <v>0</v>
      </c>
      <c r="O8" s="18" t="n">
        <v>0</v>
      </c>
      <c r="P8" s="20" t="n">
        <v>0</v>
      </c>
      <c r="Q8" s="18" t="n">
        <v>2.09535442</v>
      </c>
      <c r="R8" s="20" t="n">
        <v>0.33488295</v>
      </c>
    </row>
    <row r="9" spans="1:18">
      <c r="A9" s="15" t="s">
        <v>567</v>
      </c>
      <c r="B9" s="17" t="n">
        <v>9651</v>
      </c>
      <c r="C9" s="18">
        <f>(7545.0/B9*100)</f>
        <v/>
      </c>
      <c r="D9" s="19" t="n">
        <v>2106</v>
      </c>
      <c r="E9" s="18" t="n">
        <v>61.86097857</v>
      </c>
      <c r="F9" s="20" t="n">
        <v>1.31020748</v>
      </c>
      <c r="G9" s="18" t="n">
        <v>35.99945743</v>
      </c>
      <c r="H9" s="20" t="n">
        <v>1.31962945</v>
      </c>
      <c r="I9" s="18" t="n">
        <v>0</v>
      </c>
      <c r="J9" s="20" t="n">
        <v>0</v>
      </c>
      <c r="K9" s="18" t="n">
        <v>0.2956378</v>
      </c>
      <c r="L9" s="20" t="n">
        <v>0.11560109</v>
      </c>
      <c r="M9" s="18" t="n">
        <v>0.5265781899999999</v>
      </c>
      <c r="N9" s="20" t="n">
        <v>0.14806441</v>
      </c>
      <c r="O9" s="18" t="n">
        <v>0</v>
      </c>
      <c r="P9" s="20" t="n">
        <v>0</v>
      </c>
      <c r="Q9" s="18" t="n">
        <v>1.317348</v>
      </c>
      <c r="R9" s="20" t="n">
        <v>0.24989613</v>
      </c>
    </row>
    <row r="10" spans="1:18">
      <c r="A10" s="15" t="s">
        <v>568</v>
      </c>
      <c r="B10" s="17" t="n">
        <v>20058</v>
      </c>
      <c r="C10" s="18">
        <f>(15603.0/B10*100)</f>
        <v/>
      </c>
      <c r="D10" s="19" t="n">
        <v>4455</v>
      </c>
      <c r="E10" s="18" t="n">
        <v>55.60900978</v>
      </c>
      <c r="F10" s="20" t="n">
        <v>1.12753066</v>
      </c>
      <c r="G10" s="18" t="n">
        <v>43.01410657</v>
      </c>
      <c r="H10" s="20" t="n">
        <v>1.17528977</v>
      </c>
      <c r="I10" s="18" t="n">
        <v>0</v>
      </c>
      <c r="J10" s="20" t="n">
        <v>0</v>
      </c>
      <c r="K10" s="18" t="n">
        <v>0.33450097</v>
      </c>
      <c r="L10" s="20" t="n">
        <v>0.12608978</v>
      </c>
      <c r="M10" s="18" t="n">
        <v>0.00284416</v>
      </c>
      <c r="N10" s="20" t="n">
        <v>0.00406332</v>
      </c>
      <c r="O10" s="18" t="n">
        <v>0</v>
      </c>
      <c r="P10" s="20" t="n">
        <v>0</v>
      </c>
      <c r="Q10" s="18" t="n">
        <v>1.03953852</v>
      </c>
      <c r="R10" s="20" t="n">
        <v>0.19356195</v>
      </c>
    </row>
    <row r="11" spans="1:18">
      <c r="A11" s="15" t="s">
        <v>569</v>
      </c>
      <c r="B11" s="17" t="n">
        <v>7053</v>
      </c>
      <c r="C11" s="18">
        <f>(5472.0/B11*100)</f>
        <v/>
      </c>
      <c r="D11" s="19" t="n">
        <v>1581</v>
      </c>
      <c r="E11" s="18" t="n">
        <v>73.28476772</v>
      </c>
      <c r="F11" s="20" t="n">
        <v>1.30904565</v>
      </c>
      <c r="G11" s="18" t="n">
        <v>23.58498447</v>
      </c>
      <c r="H11" s="20" t="n">
        <v>1.23272744</v>
      </c>
      <c r="I11" s="18" t="n">
        <v>0</v>
      </c>
      <c r="J11" s="20" t="n">
        <v>0</v>
      </c>
      <c r="K11" s="18" t="n">
        <v>0.08337817</v>
      </c>
      <c r="L11" s="20" t="n">
        <v>0.08184721</v>
      </c>
      <c r="M11" s="18" t="n">
        <v>0.02752229</v>
      </c>
      <c r="N11" s="20" t="n">
        <v>0.0300159</v>
      </c>
      <c r="O11" s="18" t="n">
        <v>0</v>
      </c>
      <c r="P11" s="20" t="n">
        <v>0</v>
      </c>
      <c r="Q11" s="18" t="n">
        <v>3.01934735</v>
      </c>
      <c r="R11" s="20" t="n">
        <v>0.49869706</v>
      </c>
    </row>
    <row r="12" spans="1:18">
      <c r="A12" s="15" t="s">
        <v>570</v>
      </c>
      <c r="B12" s="17" t="n">
        <v>6894</v>
      </c>
      <c r="C12" s="18">
        <f>(5410.0/B12*100)</f>
        <v/>
      </c>
      <c r="D12" s="19" t="n">
        <v>1484</v>
      </c>
      <c r="E12" s="18" t="n">
        <v>66.21269649</v>
      </c>
      <c r="F12" s="20" t="n">
        <v>1.55331834</v>
      </c>
      <c r="G12" s="18" t="n">
        <v>32.07939273</v>
      </c>
      <c r="H12" s="20" t="n">
        <v>1.53089546</v>
      </c>
      <c r="I12" s="18" t="n">
        <v>0</v>
      </c>
      <c r="J12" s="20" t="n">
        <v>0</v>
      </c>
      <c r="K12" s="18" t="n">
        <v>0.05889785</v>
      </c>
      <c r="L12" s="20" t="n">
        <v>0.05595014</v>
      </c>
      <c r="M12" s="18" t="n">
        <v>0.02498483</v>
      </c>
      <c r="N12" s="20" t="n">
        <v>0.02504532</v>
      </c>
      <c r="O12" s="18" t="n">
        <v>0</v>
      </c>
      <c r="P12" s="20" t="n">
        <v>0</v>
      </c>
      <c r="Q12" s="18" t="n">
        <v>1.62402811</v>
      </c>
      <c r="R12" s="20" t="n">
        <v>0.38627289</v>
      </c>
    </row>
    <row r="13" spans="1:18">
      <c r="A13" s="15" t="s">
        <v>571</v>
      </c>
      <c r="B13" s="17" t="n">
        <v>7161</v>
      </c>
      <c r="C13" s="18">
        <f>(5697.0/B13*100)</f>
        <v/>
      </c>
      <c r="D13" s="19" t="n">
        <v>1464</v>
      </c>
      <c r="E13" s="18" t="n">
        <v>63.92114277</v>
      </c>
      <c r="F13" s="20" t="n">
        <v>1.61319199</v>
      </c>
      <c r="G13" s="18" t="n">
        <v>34.66275652</v>
      </c>
      <c r="H13" s="20" t="n">
        <v>1.61859326</v>
      </c>
      <c r="I13" s="18" t="n">
        <v>0</v>
      </c>
      <c r="J13" s="20" t="n">
        <v>0</v>
      </c>
      <c r="K13" s="18" t="n">
        <v>0.37785038</v>
      </c>
      <c r="L13" s="20" t="n">
        <v>0.18750884</v>
      </c>
      <c r="M13" s="18" t="n">
        <v>0</v>
      </c>
      <c r="N13" s="20" t="n">
        <v>0</v>
      </c>
      <c r="O13" s="18" t="n">
        <v>0</v>
      </c>
      <c r="P13" s="20" t="n">
        <v>0</v>
      </c>
      <c r="Q13" s="18" t="n">
        <v>1.03825034</v>
      </c>
      <c r="R13" s="20" t="n">
        <v>0.22386717</v>
      </c>
    </row>
    <row r="14" spans="1:18">
      <c r="A14" s="15" t="s">
        <v>572</v>
      </c>
      <c r="B14" s="17" t="n">
        <v>5587</v>
      </c>
      <c r="C14" s="18">
        <f>(4321.0/B14*100)</f>
        <v/>
      </c>
      <c r="D14" s="19" t="n">
        <v>1266</v>
      </c>
      <c r="E14" s="18" t="n">
        <v>49.55993863</v>
      </c>
      <c r="F14" s="20" t="n">
        <v>1.68413616</v>
      </c>
      <c r="G14" s="18" t="n">
        <v>49.96162826</v>
      </c>
      <c r="H14" s="20" t="n">
        <v>1.67643565</v>
      </c>
      <c r="I14" s="18" t="n">
        <v>0</v>
      </c>
      <c r="J14" s="20" t="n">
        <v>0</v>
      </c>
      <c r="K14" s="18" t="n">
        <v>0.0723781</v>
      </c>
      <c r="L14" s="20" t="n">
        <v>0.07236196</v>
      </c>
      <c r="M14" s="18" t="n">
        <v>0</v>
      </c>
      <c r="N14" s="20" t="n">
        <v>0</v>
      </c>
      <c r="O14" s="18" t="n">
        <v>0</v>
      </c>
      <c r="P14" s="20" t="n">
        <v>0</v>
      </c>
      <c r="Q14" s="18" t="n">
        <v>0.40605502</v>
      </c>
      <c r="R14" s="20" t="n">
        <v>0.16863517</v>
      </c>
    </row>
    <row r="15" spans="1:18">
      <c r="A15" s="15" t="s">
        <v>573</v>
      </c>
      <c r="B15" s="17" t="n">
        <v>5882</v>
      </c>
      <c r="C15" s="18">
        <f>(4520.0/B15*100)</f>
        <v/>
      </c>
      <c r="D15" s="19" t="n">
        <v>1362</v>
      </c>
      <c r="E15" s="18" t="n">
        <v>54.56470435</v>
      </c>
      <c r="F15" s="20" t="n">
        <v>1.48283906</v>
      </c>
      <c r="G15" s="18" t="n">
        <v>44.41753621</v>
      </c>
      <c r="H15" s="20" t="n">
        <v>1.50618288</v>
      </c>
      <c r="I15" s="18" t="n">
        <v>0</v>
      </c>
      <c r="J15" s="20" t="n">
        <v>0</v>
      </c>
      <c r="K15" s="18" t="n">
        <v>0.08265755</v>
      </c>
      <c r="L15" s="20" t="n">
        <v>0.09069918</v>
      </c>
      <c r="M15" s="18" t="n">
        <v>0</v>
      </c>
      <c r="N15" s="20" t="n">
        <v>0</v>
      </c>
      <c r="O15" s="18" t="n">
        <v>0</v>
      </c>
      <c r="P15" s="20" t="n">
        <v>0</v>
      </c>
      <c r="Q15" s="18" t="n">
        <v>0.93510189</v>
      </c>
      <c r="R15" s="20" t="n">
        <v>0.26754004</v>
      </c>
    </row>
    <row r="16" spans="1:18">
      <c r="A16" s="15" t="s">
        <v>574</v>
      </c>
      <c r="B16" s="17" t="n">
        <v>6108</v>
      </c>
      <c r="C16" s="18">
        <f>(4757.0/B16*100)</f>
        <v/>
      </c>
      <c r="D16" s="19" t="n">
        <v>1351</v>
      </c>
      <c r="E16" s="18" t="n">
        <v>60.34504115</v>
      </c>
      <c r="F16" s="20" t="n">
        <v>1.41439135</v>
      </c>
      <c r="G16" s="18" t="n">
        <v>35.41154294</v>
      </c>
      <c r="H16" s="20" t="n">
        <v>1.38461273</v>
      </c>
      <c r="I16" s="18" t="n">
        <v>0</v>
      </c>
      <c r="J16" s="20" t="n">
        <v>0</v>
      </c>
      <c r="K16" s="18" t="n">
        <v>0.5614530599999999</v>
      </c>
      <c r="L16" s="20" t="n">
        <v>0.22298186</v>
      </c>
      <c r="M16" s="18" t="n">
        <v>0</v>
      </c>
      <c r="N16" s="20" t="n">
        <v>0</v>
      </c>
      <c r="O16" s="18" t="n">
        <v>0</v>
      </c>
      <c r="P16" s="20" t="n">
        <v>0</v>
      </c>
      <c r="Q16" s="18" t="n">
        <v>3.68196285</v>
      </c>
      <c r="R16" s="20" t="n">
        <v>0.64716029</v>
      </c>
    </row>
    <row r="17" spans="1:18">
      <c r="A17" s="15" t="s">
        <v>575</v>
      </c>
      <c r="B17" s="17" t="n">
        <v>6504</v>
      </c>
      <c r="C17" s="18">
        <f>(5122.0/B17*100)</f>
        <v/>
      </c>
      <c r="D17" s="19" t="n">
        <v>1382</v>
      </c>
      <c r="E17" s="18" t="n">
        <v>56.68779789</v>
      </c>
      <c r="F17" s="20" t="n">
        <v>1.60440335</v>
      </c>
      <c r="G17" s="18" t="n">
        <v>40.568338</v>
      </c>
      <c r="H17" s="20" t="n">
        <v>1.59190623</v>
      </c>
      <c r="I17" s="18" t="n">
        <v>0</v>
      </c>
      <c r="J17" s="20" t="n">
        <v>0</v>
      </c>
      <c r="K17" s="18" t="n">
        <v>0.24000849</v>
      </c>
      <c r="L17" s="20" t="n">
        <v>0.14649081</v>
      </c>
      <c r="M17" s="18" t="n">
        <v>0</v>
      </c>
      <c r="N17" s="20" t="n">
        <v>0</v>
      </c>
      <c r="O17" s="18" t="n">
        <v>0</v>
      </c>
      <c r="P17" s="20" t="n">
        <v>0</v>
      </c>
      <c r="Q17" s="18" t="n">
        <v>2.50385562</v>
      </c>
      <c r="R17" s="20" t="n">
        <v>0.43832095</v>
      </c>
    </row>
    <row r="18" spans="1:18">
      <c r="A18" s="15" t="s">
        <v>576</v>
      </c>
      <c r="B18" s="17" t="n">
        <v>5532</v>
      </c>
      <c r="C18" s="18">
        <f>(4320.0/B18*100)</f>
        <v/>
      </c>
      <c r="D18" s="19" t="n">
        <v>1212</v>
      </c>
      <c r="E18" s="18" t="n">
        <v>66.86982266</v>
      </c>
      <c r="F18" s="20" t="n">
        <v>1.42889568</v>
      </c>
      <c r="G18" s="18" t="n">
        <v>31.39770019</v>
      </c>
      <c r="H18" s="20" t="n">
        <v>1.49843285</v>
      </c>
      <c r="I18" s="18" t="n">
        <v>0</v>
      </c>
      <c r="J18" s="20" t="n">
        <v>0</v>
      </c>
      <c r="K18" s="18" t="n">
        <v>0.1968541</v>
      </c>
      <c r="L18" s="20" t="n">
        <v>0.1157221</v>
      </c>
      <c r="M18" s="18" t="n">
        <v>0.06416388000000001</v>
      </c>
      <c r="N18" s="20" t="n">
        <v>0.06417262999999999</v>
      </c>
      <c r="O18" s="18" t="n">
        <v>0</v>
      </c>
      <c r="P18" s="20" t="n">
        <v>0</v>
      </c>
      <c r="Q18" s="18" t="n">
        <v>1.47145916</v>
      </c>
      <c r="R18" s="20" t="n">
        <v>0.38577198</v>
      </c>
    </row>
    <row r="19" spans="1:18">
      <c r="A19" s="15" t="s">
        <v>577</v>
      </c>
      <c r="B19" s="17" t="n">
        <v>5658</v>
      </c>
      <c r="C19" s="18">
        <f>(4375.0/B19*100)</f>
        <v/>
      </c>
      <c r="D19" s="19" t="n">
        <v>1283</v>
      </c>
      <c r="E19" s="18" t="n">
        <v>73.3007049</v>
      </c>
      <c r="F19" s="20" t="n">
        <v>1.17215613</v>
      </c>
      <c r="G19" s="18" t="n">
        <v>25.10997484</v>
      </c>
      <c r="H19" s="20" t="n">
        <v>1.18018321</v>
      </c>
      <c r="I19" s="18" t="n">
        <v>0</v>
      </c>
      <c r="J19" s="20" t="n">
        <v>0</v>
      </c>
      <c r="K19" s="18" t="n">
        <v>0.07195463000000001</v>
      </c>
      <c r="L19" s="20" t="n">
        <v>0.06084442</v>
      </c>
      <c r="M19" s="18" t="n">
        <v>0</v>
      </c>
      <c r="N19" s="20" t="n">
        <v>0</v>
      </c>
      <c r="O19" s="18" t="n">
        <v>0</v>
      </c>
      <c r="P19" s="20" t="n">
        <v>0</v>
      </c>
      <c r="Q19" s="18" t="n">
        <v>1.51736563</v>
      </c>
      <c r="R19" s="20" t="n">
        <v>0.39354955</v>
      </c>
    </row>
    <row r="20" spans="1:18">
      <c r="A20" s="15" t="s">
        <v>578</v>
      </c>
      <c r="B20" s="17" t="n">
        <v>3371</v>
      </c>
      <c r="C20" s="18">
        <f>(2633.0/B20*100)</f>
        <v/>
      </c>
      <c r="D20" s="19" t="n">
        <v>738</v>
      </c>
      <c r="E20" s="18" t="n">
        <v>72.78695304</v>
      </c>
      <c r="F20" s="20" t="n">
        <v>1.56731258</v>
      </c>
      <c r="G20" s="18" t="n">
        <v>24.00369364</v>
      </c>
      <c r="H20" s="20" t="n">
        <v>1.59404426</v>
      </c>
      <c r="I20" s="18" t="n">
        <v>0</v>
      </c>
      <c r="J20" s="20" t="n">
        <v>0</v>
      </c>
      <c r="K20" s="18" t="n">
        <v>0.26432126</v>
      </c>
      <c r="L20" s="20" t="n">
        <v>0.18762592</v>
      </c>
      <c r="M20" s="18" t="n">
        <v>0.20897954</v>
      </c>
      <c r="N20" s="20" t="n">
        <v>0.2027391</v>
      </c>
      <c r="O20" s="18" t="n">
        <v>0</v>
      </c>
      <c r="P20" s="20" t="n">
        <v>0</v>
      </c>
      <c r="Q20" s="18" t="n">
        <v>2.73605252</v>
      </c>
      <c r="R20" s="20" t="n">
        <v>0.56508669</v>
      </c>
    </row>
    <row r="21" spans="1:18">
      <c r="A21" s="15" t="s">
        <v>579</v>
      </c>
      <c r="B21" s="17" t="n">
        <v>5741</v>
      </c>
      <c r="C21" s="18">
        <f>(4489.0/B21*100)</f>
        <v/>
      </c>
      <c r="D21" s="19" t="n">
        <v>1252</v>
      </c>
      <c r="E21" s="18" t="n">
        <v>66.79897668</v>
      </c>
      <c r="F21" s="20" t="n">
        <v>1.14320741</v>
      </c>
      <c r="G21" s="18" t="n">
        <v>31.73345679</v>
      </c>
      <c r="H21" s="20" t="n">
        <v>1.13561622</v>
      </c>
      <c r="I21" s="18" t="n">
        <v>0</v>
      </c>
      <c r="J21" s="20" t="n">
        <v>0</v>
      </c>
      <c r="K21" s="18" t="n">
        <v>0.17896387</v>
      </c>
      <c r="L21" s="20" t="n">
        <v>0.1044466</v>
      </c>
      <c r="M21" s="18" t="n">
        <v>0</v>
      </c>
      <c r="N21" s="20" t="n">
        <v>0</v>
      </c>
      <c r="O21" s="18" t="n">
        <v>0</v>
      </c>
      <c r="P21" s="20" t="n">
        <v>0</v>
      </c>
      <c r="Q21" s="18" t="n">
        <v>1.28860266</v>
      </c>
      <c r="R21" s="20" t="n">
        <v>0.3463639</v>
      </c>
    </row>
    <row r="22" spans="1:18">
      <c r="A22" s="15" t="s">
        <v>580</v>
      </c>
      <c r="B22" s="17" t="n">
        <v>6598</v>
      </c>
      <c r="C22" s="18">
        <f>(5200.0/B22*100)</f>
        <v/>
      </c>
      <c r="D22" s="19" t="n">
        <v>1398</v>
      </c>
      <c r="E22" s="18" t="n">
        <v>66.89302183</v>
      </c>
      <c r="F22" s="20" t="n">
        <v>1.2934933</v>
      </c>
      <c r="G22" s="18" t="n">
        <v>29.68583416</v>
      </c>
      <c r="H22" s="20" t="n">
        <v>1.29180892</v>
      </c>
      <c r="I22" s="18" t="n">
        <v>0</v>
      </c>
      <c r="J22" s="20" t="n">
        <v>0</v>
      </c>
      <c r="K22" s="18" t="n">
        <v>0.46249896</v>
      </c>
      <c r="L22" s="20" t="n">
        <v>0.22964274</v>
      </c>
      <c r="M22" s="18" t="n">
        <v>0</v>
      </c>
      <c r="N22" s="20" t="n">
        <v>0</v>
      </c>
      <c r="O22" s="18" t="n">
        <v>0</v>
      </c>
      <c r="P22" s="20" t="n">
        <v>0</v>
      </c>
      <c r="Q22" s="18" t="n">
        <v>2.95864505</v>
      </c>
      <c r="R22" s="20" t="n">
        <v>0.50980347</v>
      </c>
    </row>
    <row r="23" spans="1:18">
      <c r="A23" s="15" t="s">
        <v>581</v>
      </c>
      <c r="B23" s="17" t="n">
        <v>11583</v>
      </c>
      <c r="C23" s="18">
        <f>(9002.0/B23*100)</f>
        <v/>
      </c>
      <c r="D23" s="19" t="n">
        <v>2581</v>
      </c>
      <c r="E23" s="18" t="n">
        <v>66.07274593</v>
      </c>
      <c r="F23" s="20" t="n">
        <v>1.22227546</v>
      </c>
      <c r="G23" s="18" t="n">
        <v>31.06357862</v>
      </c>
      <c r="H23" s="20" t="n">
        <v>1.11473366</v>
      </c>
      <c r="I23" s="18" t="n">
        <v>0</v>
      </c>
      <c r="J23" s="20" t="n">
        <v>0</v>
      </c>
      <c r="K23" s="18" t="n">
        <v>0.38666996</v>
      </c>
      <c r="L23" s="20" t="n">
        <v>0.21967794</v>
      </c>
      <c r="M23" s="18" t="n">
        <v>0</v>
      </c>
      <c r="N23" s="20" t="n">
        <v>0</v>
      </c>
      <c r="O23" s="18" t="n">
        <v>0</v>
      </c>
      <c r="P23" s="20" t="n">
        <v>0</v>
      </c>
      <c r="Q23" s="18" t="n">
        <v>2.47700549</v>
      </c>
      <c r="R23" s="20" t="n">
        <v>0.48155981</v>
      </c>
    </row>
    <row r="24" spans="1:18">
      <c r="A24" s="15" t="s">
        <v>582</v>
      </c>
      <c r="B24" s="17" t="n">
        <v>6647</v>
      </c>
      <c r="C24" s="18">
        <f>(5204.0/B24*100)</f>
        <v/>
      </c>
      <c r="D24" s="19" t="n">
        <v>1443</v>
      </c>
      <c r="E24" s="18" t="n">
        <v>48.55424943</v>
      </c>
      <c r="F24" s="20" t="n">
        <v>1.43794142</v>
      </c>
      <c r="G24" s="18" t="n">
        <v>49.27093443</v>
      </c>
      <c r="H24" s="20" t="n">
        <v>1.452669</v>
      </c>
      <c r="I24" s="18" t="n">
        <v>0</v>
      </c>
      <c r="J24" s="20" t="n">
        <v>0</v>
      </c>
      <c r="K24" s="18" t="n">
        <v>0.18590826</v>
      </c>
      <c r="L24" s="20" t="n">
        <v>0.10921224</v>
      </c>
      <c r="M24" s="18" t="n">
        <v>0</v>
      </c>
      <c r="N24" s="20" t="n">
        <v>0</v>
      </c>
      <c r="O24" s="18" t="n">
        <v>0</v>
      </c>
      <c r="P24" s="20" t="n">
        <v>0</v>
      </c>
      <c r="Q24" s="18" t="n">
        <v>1.98890788</v>
      </c>
      <c r="R24" s="20" t="n">
        <v>0.35947257</v>
      </c>
    </row>
    <row r="25" spans="1:18">
      <c r="A25" s="15" t="s">
        <v>583</v>
      </c>
      <c r="B25" s="17" t="n">
        <v>5581</v>
      </c>
      <c r="C25" s="18">
        <f>(4366.0/B25*100)</f>
        <v/>
      </c>
      <c r="D25" s="19" t="n">
        <v>1215</v>
      </c>
      <c r="E25" s="18" t="n">
        <v>58.96564295</v>
      </c>
      <c r="F25" s="20" t="n">
        <v>1.38461921</v>
      </c>
      <c r="G25" s="18" t="n">
        <v>40.29870757</v>
      </c>
      <c r="H25" s="20" t="n">
        <v>1.3739563</v>
      </c>
      <c r="I25" s="18" t="n">
        <v>0</v>
      </c>
      <c r="J25" s="20" t="n">
        <v>0</v>
      </c>
      <c r="K25" s="18" t="n">
        <v>0</v>
      </c>
      <c r="L25" s="20" t="n">
        <v>0</v>
      </c>
      <c r="M25" s="18" t="n">
        <v>0</v>
      </c>
      <c r="N25" s="20" t="n">
        <v>0</v>
      </c>
      <c r="O25" s="18" t="n">
        <v>0</v>
      </c>
      <c r="P25" s="20" t="n">
        <v>0</v>
      </c>
      <c r="Q25" s="18" t="n">
        <v>0.73564948</v>
      </c>
      <c r="R25" s="20" t="n">
        <v>0.26491595</v>
      </c>
    </row>
    <row r="26" spans="1:18">
      <c r="A26" s="15" t="s">
        <v>584</v>
      </c>
      <c r="B26" s="17" t="n">
        <v>4869</v>
      </c>
      <c r="C26" s="18">
        <f>(3762.0/B26*100)</f>
        <v/>
      </c>
      <c r="D26" s="19" t="n">
        <v>1107</v>
      </c>
      <c r="E26" s="18" t="n">
        <v>59.29526773</v>
      </c>
      <c r="F26" s="20" t="n">
        <v>1.9387289</v>
      </c>
      <c r="G26" s="18" t="n">
        <v>40.39487545</v>
      </c>
      <c r="H26" s="20" t="n">
        <v>1.93234087</v>
      </c>
      <c r="I26" s="18" t="n">
        <v>0</v>
      </c>
      <c r="J26" s="20" t="n">
        <v>0</v>
      </c>
      <c r="K26" s="18" t="n">
        <v>0</v>
      </c>
      <c r="L26" s="20" t="n">
        <v>0</v>
      </c>
      <c r="M26" s="18" t="n">
        <v>0</v>
      </c>
      <c r="N26" s="20" t="n">
        <v>0</v>
      </c>
      <c r="O26" s="18" t="n">
        <v>0</v>
      </c>
      <c r="P26" s="20" t="n">
        <v>0</v>
      </c>
      <c r="Q26" s="18" t="n">
        <v>0.30985682</v>
      </c>
      <c r="R26" s="20" t="n">
        <v>0.19300102</v>
      </c>
    </row>
    <row r="27" spans="1:18">
      <c r="A27" s="15" t="s">
        <v>585</v>
      </c>
      <c r="B27" s="17" t="n">
        <v>5299</v>
      </c>
      <c r="C27" s="18">
        <f>(4158.0/B27*100)</f>
        <v/>
      </c>
      <c r="D27" s="19" t="n">
        <v>1141</v>
      </c>
      <c r="E27" s="18" t="n">
        <v>64.78582526</v>
      </c>
      <c r="F27" s="20" t="n">
        <v>1.39512979</v>
      </c>
      <c r="G27" s="18" t="n">
        <v>33.35511725</v>
      </c>
      <c r="H27" s="20" t="n">
        <v>1.36300482</v>
      </c>
      <c r="I27" s="18" t="n">
        <v>0</v>
      </c>
      <c r="J27" s="20" t="n">
        <v>0</v>
      </c>
      <c r="K27" s="18" t="n">
        <v>0</v>
      </c>
      <c r="L27" s="20" t="n">
        <v>0</v>
      </c>
      <c r="M27" s="18" t="n">
        <v>0</v>
      </c>
      <c r="N27" s="20" t="n">
        <v>0</v>
      </c>
      <c r="O27" s="18" t="n">
        <v>0</v>
      </c>
      <c r="P27" s="20" t="n">
        <v>0</v>
      </c>
      <c r="Q27" s="18" t="n">
        <v>1.85905749</v>
      </c>
      <c r="R27" s="20" t="n">
        <v>0.4091763</v>
      </c>
    </row>
    <row r="28" spans="1:18">
      <c r="A28" s="15" t="s">
        <v>586</v>
      </c>
      <c r="B28" s="17" t="n">
        <v>7568</v>
      </c>
      <c r="C28" s="18">
        <f>(5959.0/B28*100)</f>
        <v/>
      </c>
      <c r="D28" s="19" t="n">
        <v>1609</v>
      </c>
      <c r="E28" s="18" t="n">
        <v>73.51723069000001</v>
      </c>
      <c r="F28" s="20" t="n">
        <v>1.16288011</v>
      </c>
      <c r="G28" s="18" t="n">
        <v>24.7663987</v>
      </c>
      <c r="H28" s="20" t="n">
        <v>1.21736959</v>
      </c>
      <c r="I28" s="18" t="n">
        <v>0</v>
      </c>
      <c r="J28" s="20" t="n">
        <v>0</v>
      </c>
      <c r="K28" s="18" t="n">
        <v>0.36766536</v>
      </c>
      <c r="L28" s="20" t="n">
        <v>0.15920073</v>
      </c>
      <c r="M28" s="18" t="n">
        <v>0.27580455</v>
      </c>
      <c r="N28" s="20" t="n">
        <v>0.16001236</v>
      </c>
      <c r="O28" s="18" t="n">
        <v>0</v>
      </c>
      <c r="P28" s="20" t="n">
        <v>0</v>
      </c>
      <c r="Q28" s="18" t="n">
        <v>1.0729007</v>
      </c>
      <c r="R28" s="20" t="n">
        <v>0.31324765</v>
      </c>
    </row>
    <row r="29" spans="1:18">
      <c r="A29" s="15" t="s">
        <v>587</v>
      </c>
      <c r="B29" s="17" t="n">
        <v>5385</v>
      </c>
      <c r="C29" s="18">
        <f>(4213.0/B29*100)</f>
        <v/>
      </c>
      <c r="D29" s="19" t="n">
        <v>1172</v>
      </c>
      <c r="E29" s="18" t="n">
        <v>57.13170486</v>
      </c>
      <c r="F29" s="20" t="n">
        <v>1.56333238</v>
      </c>
      <c r="G29" s="18" t="n">
        <v>42.14461683</v>
      </c>
      <c r="H29" s="20" t="n">
        <v>1.58544346</v>
      </c>
      <c r="I29" s="18" t="n">
        <v>0</v>
      </c>
      <c r="J29" s="20" t="n">
        <v>0</v>
      </c>
      <c r="K29" s="18" t="n">
        <v>0.26687378</v>
      </c>
      <c r="L29" s="20" t="n">
        <v>0.08468187000000001</v>
      </c>
      <c r="M29" s="18" t="n">
        <v>0</v>
      </c>
      <c r="N29" s="20" t="n">
        <v>0</v>
      </c>
      <c r="O29" s="18" t="n">
        <v>0</v>
      </c>
      <c r="P29" s="20" t="n">
        <v>0</v>
      </c>
      <c r="Q29" s="18" t="n">
        <v>0.45680453</v>
      </c>
      <c r="R29" s="20" t="n">
        <v>0.20311602</v>
      </c>
    </row>
    <row r="30" spans="1:18">
      <c r="A30" s="15" t="s">
        <v>588</v>
      </c>
      <c r="B30" s="17" t="n">
        <v>4520</v>
      </c>
      <c r="C30" s="18">
        <f>(3550.0/B30*100)</f>
        <v/>
      </c>
      <c r="D30" s="19" t="n">
        <v>970</v>
      </c>
      <c r="E30" s="18" t="n">
        <v>52.63072828</v>
      </c>
      <c r="F30" s="20" t="n">
        <v>1.84033225</v>
      </c>
      <c r="G30" s="18" t="n">
        <v>43.72490614</v>
      </c>
      <c r="H30" s="20" t="n">
        <v>1.7360204</v>
      </c>
      <c r="I30" s="18" t="n">
        <v>0</v>
      </c>
      <c r="J30" s="20" t="n">
        <v>0</v>
      </c>
      <c r="K30" s="18" t="n">
        <v>0.09854199</v>
      </c>
      <c r="L30" s="20" t="n">
        <v>0.08490063</v>
      </c>
      <c r="M30" s="18" t="n">
        <v>0.16629589</v>
      </c>
      <c r="N30" s="20" t="n">
        <v>0.11766496</v>
      </c>
      <c r="O30" s="18" t="n">
        <v>0</v>
      </c>
      <c r="P30" s="20" t="n">
        <v>0</v>
      </c>
      <c r="Q30" s="18" t="n">
        <v>3.37952771</v>
      </c>
      <c r="R30" s="20" t="n">
        <v>0.60051678</v>
      </c>
    </row>
    <row r="31" spans="1:18">
      <c r="A31" s="15" t="s">
        <v>589</v>
      </c>
      <c r="B31" s="17" t="n">
        <v>5456</v>
      </c>
      <c r="C31" s="18">
        <f>(4277.0/B31*100)</f>
        <v/>
      </c>
      <c r="D31" s="19" t="n">
        <v>1179</v>
      </c>
      <c r="E31" s="18" t="n">
        <v>61.57797813</v>
      </c>
      <c r="F31" s="20" t="n">
        <v>1.3910672</v>
      </c>
      <c r="G31" s="18" t="n">
        <v>35.34553839</v>
      </c>
      <c r="H31" s="20" t="n">
        <v>1.35008642</v>
      </c>
      <c r="I31" s="18" t="n">
        <v>0</v>
      </c>
      <c r="J31" s="20" t="n">
        <v>0</v>
      </c>
      <c r="K31" s="18" t="n">
        <v>0.47379241</v>
      </c>
      <c r="L31" s="20" t="n">
        <v>0.19194516</v>
      </c>
      <c r="M31" s="18" t="n">
        <v>0.32700628</v>
      </c>
      <c r="N31" s="20" t="n">
        <v>0.22451634</v>
      </c>
      <c r="O31" s="18" t="n">
        <v>0</v>
      </c>
      <c r="P31" s="20" t="n">
        <v>0</v>
      </c>
      <c r="Q31" s="18" t="n">
        <v>2.27568479</v>
      </c>
      <c r="R31" s="20" t="n">
        <v>0.52744029</v>
      </c>
    </row>
    <row r="32" spans="1:18">
      <c r="A32" s="15" t="s">
        <v>590</v>
      </c>
      <c r="B32" s="17" t="n">
        <v>4478</v>
      </c>
      <c r="C32" s="18">
        <f>(3536.0/B32*100)</f>
        <v/>
      </c>
      <c r="D32" s="19" t="n">
        <v>942</v>
      </c>
      <c r="E32" s="18" t="n">
        <v>67.54968882</v>
      </c>
      <c r="F32" s="20" t="n">
        <v>1.72486919</v>
      </c>
      <c r="G32" s="18" t="n">
        <v>31.51658694</v>
      </c>
      <c r="H32" s="20" t="n">
        <v>1.64835946</v>
      </c>
      <c r="I32" s="18" t="n">
        <v>0</v>
      </c>
      <c r="J32" s="20" t="n">
        <v>0</v>
      </c>
      <c r="K32" s="18" t="n">
        <v>0.09104142</v>
      </c>
      <c r="L32" s="20" t="n">
        <v>0.09100339</v>
      </c>
      <c r="M32" s="18" t="n">
        <v>0</v>
      </c>
      <c r="N32" s="20" t="n">
        <v>0</v>
      </c>
      <c r="O32" s="18" t="n">
        <v>0</v>
      </c>
      <c r="P32" s="20" t="n">
        <v>0</v>
      </c>
      <c r="Q32" s="18" t="n">
        <v>0.84268283</v>
      </c>
      <c r="R32" s="20" t="n">
        <v>0.29409709</v>
      </c>
    </row>
    <row r="33" spans="1:18">
      <c r="A33" s="15" t="s">
        <v>591</v>
      </c>
      <c r="B33" s="17" t="n">
        <v>7325</v>
      </c>
      <c r="C33" s="18">
        <f>(5700.0/B33*100)</f>
        <v/>
      </c>
      <c r="D33" s="19" t="n">
        <v>1625</v>
      </c>
      <c r="E33" s="18" t="n">
        <v>63.23822032</v>
      </c>
      <c r="F33" s="20" t="n">
        <v>1.51381036</v>
      </c>
      <c r="G33" s="18" t="n">
        <v>35.83479286</v>
      </c>
      <c r="H33" s="20" t="n">
        <v>1.46263517</v>
      </c>
      <c r="I33" s="18" t="n">
        <v>0</v>
      </c>
      <c r="J33" s="20" t="n">
        <v>0</v>
      </c>
      <c r="K33" s="18" t="n">
        <v>0</v>
      </c>
      <c r="L33" s="20" t="n">
        <v>0</v>
      </c>
      <c r="M33" s="18" t="n">
        <v>0.0282666</v>
      </c>
      <c r="N33" s="20" t="n">
        <v>0.02830805</v>
      </c>
      <c r="O33" s="18" t="n">
        <v>0</v>
      </c>
      <c r="P33" s="20" t="n">
        <v>0</v>
      </c>
      <c r="Q33" s="18" t="n">
        <v>0.89872022</v>
      </c>
      <c r="R33" s="20" t="n">
        <v>0.24614708</v>
      </c>
    </row>
    <row r="34" spans="1:18">
      <c r="A34" s="15" t="s">
        <v>592</v>
      </c>
      <c r="B34" s="17" t="n">
        <v>6350</v>
      </c>
      <c r="C34" s="18">
        <f>(4986.0/B34*100)</f>
        <v/>
      </c>
      <c r="D34" s="19" t="n">
        <v>1364</v>
      </c>
      <c r="E34" s="18" t="n">
        <v>73.73893386</v>
      </c>
      <c r="F34" s="20" t="n">
        <v>1.31787866</v>
      </c>
      <c r="G34" s="18" t="n">
        <v>24.08888201</v>
      </c>
      <c r="H34" s="20" t="n">
        <v>1.2966126</v>
      </c>
      <c r="I34" s="18" t="n">
        <v>0</v>
      </c>
      <c r="J34" s="20" t="n">
        <v>0</v>
      </c>
      <c r="K34" s="18" t="n">
        <v>0.05855725</v>
      </c>
      <c r="L34" s="20" t="n">
        <v>0.05859782</v>
      </c>
      <c r="M34" s="18" t="n">
        <v>0.39855184</v>
      </c>
      <c r="N34" s="20" t="n">
        <v>0.22027176</v>
      </c>
      <c r="O34" s="18" t="n">
        <v>0</v>
      </c>
      <c r="P34" s="20" t="n">
        <v>0</v>
      </c>
      <c r="Q34" s="18" t="n">
        <v>1.71507504</v>
      </c>
      <c r="R34" s="20" t="n">
        <v>0.49575981</v>
      </c>
    </row>
    <row r="35" spans="1:18">
      <c r="A35" s="15" t="s">
        <v>593</v>
      </c>
      <c r="B35" s="17" t="n">
        <v>6406</v>
      </c>
      <c r="C35" s="18">
        <f>(4976.0/B35*100)</f>
        <v/>
      </c>
      <c r="D35" s="19" t="n">
        <v>1430</v>
      </c>
      <c r="E35" s="18" t="n">
        <v>60.84866203</v>
      </c>
      <c r="F35" s="20" t="n">
        <v>1.50642608</v>
      </c>
      <c r="G35" s="18" t="n">
        <v>38.32062335</v>
      </c>
      <c r="H35" s="20" t="n">
        <v>1.55297313</v>
      </c>
      <c r="I35" s="18" t="n">
        <v>0</v>
      </c>
      <c r="J35" s="20" t="n">
        <v>0</v>
      </c>
      <c r="K35" s="18" t="n">
        <v>0.03360423</v>
      </c>
      <c r="L35" s="20" t="n">
        <v>0.03370434</v>
      </c>
      <c r="M35" s="18" t="n">
        <v>0.11847143</v>
      </c>
      <c r="N35" s="20" t="n">
        <v>0.11877844</v>
      </c>
      <c r="O35" s="18" t="n">
        <v>0</v>
      </c>
      <c r="P35" s="20" t="n">
        <v>0</v>
      </c>
      <c r="Q35" s="18" t="n">
        <v>0.67863895</v>
      </c>
      <c r="R35" s="20" t="n">
        <v>0.233389</v>
      </c>
    </row>
    <row r="36" spans="1:18">
      <c r="A36" s="15" t="s">
        <v>594</v>
      </c>
      <c r="B36" s="17" t="n">
        <v>6736</v>
      </c>
      <c r="C36" s="18">
        <f>(5235.0/B36*100)</f>
        <v/>
      </c>
      <c r="D36" s="19" t="n">
        <v>1501</v>
      </c>
      <c r="E36" s="18" t="n">
        <v>63.77804634</v>
      </c>
      <c r="F36" s="20" t="n">
        <v>1.40640867</v>
      </c>
      <c r="G36" s="18" t="n">
        <v>34.38571625</v>
      </c>
      <c r="H36" s="20" t="n">
        <v>1.38976189</v>
      </c>
      <c r="I36" s="18" t="n">
        <v>0</v>
      </c>
      <c r="J36" s="20" t="n">
        <v>0</v>
      </c>
      <c r="K36" s="18" t="n">
        <v>0.27095827</v>
      </c>
      <c r="L36" s="20" t="n">
        <v>0.16634842</v>
      </c>
      <c r="M36" s="18" t="n">
        <v>0.06317621</v>
      </c>
      <c r="N36" s="20" t="n">
        <v>0.06291684</v>
      </c>
      <c r="O36" s="18" t="n">
        <v>0</v>
      </c>
      <c r="P36" s="20" t="n">
        <v>0</v>
      </c>
      <c r="Q36" s="18" t="n">
        <v>1.50210293</v>
      </c>
      <c r="R36" s="20" t="n">
        <v>0.29957481</v>
      </c>
    </row>
    <row r="37" spans="1:18">
      <c r="A37" s="15" t="s">
        <v>595</v>
      </c>
      <c r="B37" s="17" t="n">
        <v>5458</v>
      </c>
      <c r="C37" s="18">
        <f>(4262.0/B37*100)</f>
        <v/>
      </c>
      <c r="D37" s="19" t="n">
        <v>1196</v>
      </c>
      <c r="E37" s="18" t="n">
        <v>65.15220386</v>
      </c>
      <c r="F37" s="20" t="n">
        <v>1.51075671</v>
      </c>
      <c r="G37" s="18" t="n">
        <v>30.72496129</v>
      </c>
      <c r="H37" s="20" t="n">
        <v>1.51787562</v>
      </c>
      <c r="I37" s="18" t="n">
        <v>0</v>
      </c>
      <c r="J37" s="20" t="n">
        <v>0</v>
      </c>
      <c r="K37" s="18" t="n">
        <v>0.42634025</v>
      </c>
      <c r="L37" s="20" t="n">
        <v>0.18593339</v>
      </c>
      <c r="M37" s="18" t="n">
        <v>0</v>
      </c>
      <c r="N37" s="20" t="n">
        <v>0</v>
      </c>
      <c r="O37" s="18" t="n">
        <v>0</v>
      </c>
      <c r="P37" s="20" t="n">
        <v>0</v>
      </c>
      <c r="Q37" s="18" t="n">
        <v>3.6964946</v>
      </c>
      <c r="R37" s="20" t="n">
        <v>0.45475303</v>
      </c>
    </row>
    <row r="38" spans="1:18">
      <c r="A38" s="15" t="s">
        <v>596</v>
      </c>
      <c r="B38" s="17" t="n">
        <v>5860</v>
      </c>
      <c r="C38" s="18">
        <f>(4503.0/B38*100)</f>
        <v/>
      </c>
      <c r="D38" s="19" t="n">
        <v>1357</v>
      </c>
      <c r="E38" s="18" t="n">
        <v>59.52913862</v>
      </c>
      <c r="F38" s="20" t="n">
        <v>1.79683145</v>
      </c>
      <c r="G38" s="18" t="n">
        <v>37.14908292</v>
      </c>
      <c r="H38" s="20" t="n">
        <v>1.79802126</v>
      </c>
      <c r="I38" s="18" t="n">
        <v>0</v>
      </c>
      <c r="J38" s="20" t="n">
        <v>0</v>
      </c>
      <c r="K38" s="18" t="n">
        <v>0.10224284</v>
      </c>
      <c r="L38" s="20" t="n">
        <v>0.10705869</v>
      </c>
      <c r="M38" s="18" t="n">
        <v>1.85742336</v>
      </c>
      <c r="N38" s="20" t="n">
        <v>0.36799302</v>
      </c>
      <c r="O38" s="18" t="n">
        <v>0</v>
      </c>
      <c r="P38" s="20" t="n">
        <v>0</v>
      </c>
      <c r="Q38" s="18" t="n">
        <v>1.36211225</v>
      </c>
      <c r="R38" s="20" t="n">
        <v>0.32301083</v>
      </c>
    </row>
    <row r="39" spans="1:18">
      <c r="A39" s="15" t="s">
        <v>597</v>
      </c>
      <c r="B39" s="17" t="n">
        <v>5895</v>
      </c>
      <c r="C39" s="18">
        <f>(4591.0/B39*100)</f>
        <v/>
      </c>
      <c r="D39" s="19" t="n">
        <v>1304</v>
      </c>
      <c r="E39" s="18" t="n">
        <v>83.76986194</v>
      </c>
      <c r="F39" s="20" t="n">
        <v>1.08227545</v>
      </c>
      <c r="G39" s="18" t="n">
        <v>14.88134148</v>
      </c>
      <c r="H39" s="20" t="n">
        <v>1.12793133</v>
      </c>
      <c r="I39" s="18" t="n">
        <v>0</v>
      </c>
      <c r="J39" s="20" t="n">
        <v>0</v>
      </c>
      <c r="K39" s="18" t="n">
        <v>0.17008091</v>
      </c>
      <c r="L39" s="20" t="n">
        <v>0.12141045</v>
      </c>
      <c r="M39" s="18" t="n">
        <v>0.11830781</v>
      </c>
      <c r="N39" s="20" t="n">
        <v>0.08224608999999999</v>
      </c>
      <c r="O39" s="18" t="n">
        <v>0</v>
      </c>
      <c r="P39" s="20" t="n">
        <v>0</v>
      </c>
      <c r="Q39" s="18" t="n">
        <v>1.06040785</v>
      </c>
      <c r="R39" s="20" t="n">
        <v>0.32269502</v>
      </c>
    </row>
    <row r="40" spans="1:18">
      <c r="A40" s="15" t="s">
        <v>598</v>
      </c>
      <c r="B40" s="17" t="n">
        <v>14157</v>
      </c>
      <c r="C40" s="18">
        <f>(10972.0/B40*100)</f>
        <v/>
      </c>
      <c r="D40" s="19" t="n">
        <v>3185</v>
      </c>
      <c r="E40" s="18" t="n">
        <v>57.84331166</v>
      </c>
      <c r="F40" s="20" t="n">
        <v>1.3544047</v>
      </c>
      <c r="G40" s="18" t="n">
        <v>39.8306453</v>
      </c>
      <c r="H40" s="20" t="n">
        <v>1.38908625</v>
      </c>
      <c r="I40" s="18" t="n">
        <v>0</v>
      </c>
      <c r="J40" s="20" t="n">
        <v>0</v>
      </c>
      <c r="K40" s="18" t="n">
        <v>0.10990515</v>
      </c>
      <c r="L40" s="20" t="n">
        <v>0.07010891</v>
      </c>
      <c r="M40" s="18" t="n">
        <v>0.02427452</v>
      </c>
      <c r="N40" s="20" t="n">
        <v>0.02344297</v>
      </c>
      <c r="O40" s="18" t="n">
        <v>0</v>
      </c>
      <c r="P40" s="20" t="n">
        <v>0</v>
      </c>
      <c r="Q40" s="18" t="n">
        <v>2.19186336</v>
      </c>
      <c r="R40" s="20" t="n">
        <v>0.38633658</v>
      </c>
    </row>
    <row r="41" spans="1:18">
      <c r="A41" s="15" t="s">
        <v>599</v>
      </c>
      <c r="B41" s="17" t="n">
        <v>5712</v>
      </c>
      <c r="C41" s="18">
        <f>(4502.0/B41*100)</f>
        <v/>
      </c>
      <c r="D41" s="19" t="n">
        <v>1210</v>
      </c>
      <c r="E41" s="18" t="n">
        <v>63.34157936</v>
      </c>
      <c r="F41" s="20" t="n">
        <v>1.64526128</v>
      </c>
      <c r="G41" s="18" t="n">
        <v>35.69404804</v>
      </c>
      <c r="H41" s="20" t="n">
        <v>1.64471044</v>
      </c>
      <c r="I41" s="18" t="n">
        <v>0</v>
      </c>
      <c r="J41" s="20" t="n">
        <v>0</v>
      </c>
      <c r="K41" s="18" t="n">
        <v>0.20699083</v>
      </c>
      <c r="L41" s="20" t="n">
        <v>0.13208922</v>
      </c>
      <c r="M41" s="18" t="n">
        <v>0</v>
      </c>
      <c r="N41" s="20" t="n">
        <v>0</v>
      </c>
      <c r="O41" s="18" t="n">
        <v>0</v>
      </c>
      <c r="P41" s="20" t="n">
        <v>0</v>
      </c>
      <c r="Q41" s="18" t="n">
        <v>0.75738177</v>
      </c>
      <c r="R41" s="20" t="n">
        <v>0.22387456</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(18696.0/B46*100)</f>
        <v/>
      </c>
      <c r="D46" s="19" t="n">
        <v>4445</v>
      </c>
      <c r="E46" s="18" t="n">
        <v>64.49788470999999</v>
      </c>
      <c r="F46" s="20" t="n">
        <v>1.07980935</v>
      </c>
      <c r="G46" s="18" t="n">
        <v>29.66907382</v>
      </c>
      <c r="H46" s="20" t="n">
        <v>1.07346766</v>
      </c>
      <c r="I46" s="18" t="n">
        <v>0</v>
      </c>
      <c r="J46" s="20" t="n">
        <v>0</v>
      </c>
      <c r="K46" s="18" t="n">
        <v>0.92258491</v>
      </c>
      <c r="L46" s="20" t="n">
        <v>0.23719195</v>
      </c>
      <c r="M46" s="18" t="n">
        <v>0.46354255</v>
      </c>
      <c r="N46" s="20" t="n">
        <v>0.1412743</v>
      </c>
      <c r="O46" s="18" t="n">
        <v>0</v>
      </c>
      <c r="P46" s="20" t="n">
        <v>0</v>
      </c>
      <c r="Q46" s="18" t="n">
        <v>4.44691401</v>
      </c>
      <c r="R46" s="20" t="n">
        <v>0.39746812</v>
      </c>
    </row>
    <row r="47" spans="1:18">
      <c r="A47" s="15" t="s">
        <v>606</v>
      </c>
      <c r="B47" s="17" t="n">
        <v>5928</v>
      </c>
      <c r="C47" s="18">
        <f>(4626.0/B47*100)</f>
        <v/>
      </c>
      <c r="D47" s="19" t="n">
        <v>1302</v>
      </c>
      <c r="E47" s="18" t="n">
        <v>66.18132377000001</v>
      </c>
      <c r="F47" s="20" t="n">
        <v>1.49913165</v>
      </c>
      <c r="G47" s="18" t="n">
        <v>31.24700359</v>
      </c>
      <c r="H47" s="20" t="n">
        <v>1.62870457</v>
      </c>
      <c r="I47" s="18" t="n">
        <v>0</v>
      </c>
      <c r="J47" s="20" t="n">
        <v>0</v>
      </c>
      <c r="K47" s="18" t="n">
        <v>0.45617337</v>
      </c>
      <c r="L47" s="20" t="n">
        <v>0.19915452</v>
      </c>
      <c r="M47" s="18" t="n">
        <v>0.22137729</v>
      </c>
      <c r="N47" s="20" t="n">
        <v>0.12643865</v>
      </c>
      <c r="O47" s="18" t="n">
        <v>0</v>
      </c>
      <c r="P47" s="20" t="n">
        <v>0</v>
      </c>
      <c r="Q47" s="18" t="n">
        <v>1.89412198</v>
      </c>
      <c r="R47" s="20" t="n">
        <v>0.43533993</v>
      </c>
    </row>
    <row r="48" spans="1:18">
      <c r="A48" s="15" t="s">
        <v>607</v>
      </c>
      <c r="B48" s="17" t="n">
        <v>9841</v>
      </c>
      <c r="C48" s="18">
        <f>(7690.0/B48*100)</f>
        <v/>
      </c>
      <c r="D48" s="19" t="n">
        <v>2151</v>
      </c>
      <c r="E48" s="18" t="n">
        <v>59.18124004</v>
      </c>
      <c r="F48" s="20" t="n">
        <v>1.88240479</v>
      </c>
      <c r="G48" s="18" t="n">
        <v>39.76864703</v>
      </c>
      <c r="H48" s="20" t="n">
        <v>1.92899511</v>
      </c>
      <c r="I48" s="18" t="n">
        <v>0</v>
      </c>
      <c r="J48" s="20" t="n">
        <v>0</v>
      </c>
      <c r="K48" s="18" t="n">
        <v>0.5991728200000001</v>
      </c>
      <c r="L48" s="20" t="n">
        <v>0.22647934</v>
      </c>
      <c r="M48" s="18" t="n">
        <v>0.1038937</v>
      </c>
      <c r="N48" s="20" t="n">
        <v>0.08301595000000001</v>
      </c>
      <c r="O48" s="18" t="n">
        <v>0</v>
      </c>
      <c r="P48" s="20" t="n">
        <v>0</v>
      </c>
      <c r="Q48" s="18" t="n">
        <v>0.34704641</v>
      </c>
      <c r="R48" s="20" t="n">
        <v>0.18242262</v>
      </c>
    </row>
    <row r="49" spans="1:18">
      <c r="A49" s="15" t="s">
        <v>608</v>
      </c>
      <c r="B49" s="17" t="n">
        <v>11795</v>
      </c>
      <c r="C49" s="18">
        <f>(9221.0/B49*100)</f>
        <v/>
      </c>
      <c r="D49" s="19" t="n">
        <v>2574</v>
      </c>
      <c r="E49" s="18" t="n">
        <v>75.19991754</v>
      </c>
      <c r="F49" s="20" t="n">
        <v>1.0097926</v>
      </c>
      <c r="G49" s="18" t="n">
        <v>22.61082063</v>
      </c>
      <c r="H49" s="20" t="n">
        <v>1.04824388</v>
      </c>
      <c r="I49" s="18" t="n">
        <v>0</v>
      </c>
      <c r="J49" s="20" t="n">
        <v>0</v>
      </c>
      <c r="K49" s="18" t="n">
        <v>0.88494184</v>
      </c>
      <c r="L49" s="20" t="n">
        <v>0.27811565</v>
      </c>
      <c r="M49" s="18" t="n">
        <v>0.02288592</v>
      </c>
      <c r="N49" s="20" t="n">
        <v>0.01917641</v>
      </c>
      <c r="O49" s="18" t="n">
        <v>0</v>
      </c>
      <c r="P49" s="20" t="n">
        <v>0</v>
      </c>
      <c r="Q49" s="18" t="n">
        <v>1.28143407</v>
      </c>
      <c r="R49" s="20" t="n">
        <v>0.32114118</v>
      </c>
    </row>
    <row r="50" spans="1:18">
      <c r="A50" s="15" t="s">
        <v>609</v>
      </c>
      <c r="B50" s="17" t="n">
        <v>6866</v>
      </c>
      <c r="C50" s="18">
        <f>(5544.0/B50*100)</f>
        <v/>
      </c>
      <c r="D50" s="19" t="n">
        <v>1322</v>
      </c>
      <c r="E50" s="18" t="n">
        <v>78.70233227</v>
      </c>
      <c r="F50" s="20" t="n">
        <v>1.16330525</v>
      </c>
      <c r="G50" s="18" t="n">
        <v>18.46001575</v>
      </c>
      <c r="H50" s="20" t="n">
        <v>1.14016212</v>
      </c>
      <c r="I50" s="18" t="n">
        <v>0</v>
      </c>
      <c r="J50" s="20" t="n">
        <v>0</v>
      </c>
      <c r="K50" s="18" t="n">
        <v>0.5697126</v>
      </c>
      <c r="L50" s="20" t="n">
        <v>0.24641347</v>
      </c>
      <c r="M50" s="18" t="n">
        <v>0.07252188</v>
      </c>
      <c r="N50" s="20" t="n">
        <v>0.07290102</v>
      </c>
      <c r="O50" s="18" t="n">
        <v>0</v>
      </c>
      <c r="P50" s="20" t="n">
        <v>0</v>
      </c>
      <c r="Q50" s="18" t="n">
        <v>2.1954175</v>
      </c>
      <c r="R50" s="20" t="n">
        <v>0.46461076</v>
      </c>
    </row>
    <row r="51" spans="1:18">
      <c r="A51" s="15" t="s">
        <v>610</v>
      </c>
      <c r="B51" s="17" t="n">
        <v>5809</v>
      </c>
      <c r="C51" s="18">
        <f>(4541.0/B51*100)</f>
        <v/>
      </c>
      <c r="D51" s="19" t="n">
        <v>1268</v>
      </c>
      <c r="E51" s="18" t="n">
        <v>66.35725472</v>
      </c>
      <c r="F51" s="20" t="n">
        <v>1.38964198</v>
      </c>
      <c r="G51" s="18" t="n">
        <v>31.91811218</v>
      </c>
      <c r="H51" s="20" t="n">
        <v>1.40635143</v>
      </c>
      <c r="I51" s="18" t="n">
        <v>0</v>
      </c>
      <c r="J51" s="20" t="n">
        <v>0</v>
      </c>
      <c r="K51" s="18" t="n">
        <v>0.08024603</v>
      </c>
      <c r="L51" s="20" t="n">
        <v>0.07853821</v>
      </c>
      <c r="M51" s="18" t="n">
        <v>0</v>
      </c>
      <c r="N51" s="20" t="n">
        <v>0</v>
      </c>
      <c r="O51" s="18" t="n">
        <v>0</v>
      </c>
      <c r="P51" s="20" t="n">
        <v>0</v>
      </c>
      <c r="Q51" s="18" t="n">
        <v>1.64438707</v>
      </c>
      <c r="R51" s="20" t="n">
        <v>0.32733067</v>
      </c>
    </row>
    <row r="52" spans="1:18">
      <c r="A52" s="15" t="s">
        <v>611</v>
      </c>
      <c r="B52" s="17" t="n">
        <v>5571</v>
      </c>
      <c r="C52" s="18">
        <f>(4339.0/B52*100)</f>
        <v/>
      </c>
      <c r="D52" s="19" t="n">
        <v>1232</v>
      </c>
      <c r="E52" s="18" t="n">
        <v>75.56432839</v>
      </c>
      <c r="F52" s="20" t="n">
        <v>1.45266784</v>
      </c>
      <c r="G52" s="18" t="n">
        <v>23.01065027</v>
      </c>
      <c r="H52" s="20" t="n">
        <v>1.36805562</v>
      </c>
      <c r="I52" s="18" t="n">
        <v>0</v>
      </c>
      <c r="J52" s="20" t="n">
        <v>0</v>
      </c>
      <c r="K52" s="18" t="n">
        <v>0.10682613</v>
      </c>
      <c r="L52" s="20" t="n">
        <v>0.10696389</v>
      </c>
      <c r="M52" s="18" t="n">
        <v>0</v>
      </c>
      <c r="N52" s="20" t="n">
        <v>0</v>
      </c>
      <c r="O52" s="18" t="n">
        <v>0</v>
      </c>
      <c r="P52" s="20" t="n">
        <v>0</v>
      </c>
      <c r="Q52" s="18" t="n">
        <v>1.31819522</v>
      </c>
      <c r="R52" s="20" t="n">
        <v>0.29007454</v>
      </c>
    </row>
    <row r="53" spans="1:18">
      <c r="A53" s="15" t="s">
        <v>612</v>
      </c>
      <c r="B53" s="17" t="n">
        <v>4740</v>
      </c>
      <c r="C53" s="18">
        <f>(3676.0/B53*100)</f>
        <v/>
      </c>
      <c r="D53" s="19" t="n">
        <v>1064</v>
      </c>
      <c r="E53" s="18" t="n">
        <v>80.57875453</v>
      </c>
      <c r="F53" s="20" t="n">
        <v>1.43660231</v>
      </c>
      <c r="G53" s="18" t="n">
        <v>6.91856507</v>
      </c>
      <c r="H53" s="20" t="n">
        <v>0.8502378900000001</v>
      </c>
      <c r="I53" s="18" t="n">
        <v>0</v>
      </c>
      <c r="J53" s="20" t="n">
        <v>0</v>
      </c>
      <c r="K53" s="18" t="n">
        <v>7.59891976</v>
      </c>
      <c r="L53" s="20" t="n">
        <v>0.7893376</v>
      </c>
      <c r="M53" s="18" t="n">
        <v>0.80380064</v>
      </c>
      <c r="N53" s="20" t="n">
        <v>0.6996985100000001</v>
      </c>
      <c r="O53" s="18" t="n">
        <v>0</v>
      </c>
      <c r="P53" s="20" t="n">
        <v>0</v>
      </c>
      <c r="Q53" s="18" t="n">
        <v>4.09996</v>
      </c>
      <c r="R53" s="20" t="n">
        <v>0.67744885</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(4156.0/B55*100)</f>
        <v/>
      </c>
      <c r="D55" s="19" t="n">
        <v>1203</v>
      </c>
      <c r="E55" s="18" t="n">
        <v>63.06043801</v>
      </c>
      <c r="F55" s="20" t="n">
        <v>1.55572536</v>
      </c>
      <c r="G55" s="18" t="n">
        <v>36.14823718</v>
      </c>
      <c r="H55" s="20" t="n">
        <v>1.53714942</v>
      </c>
      <c r="I55" s="18" t="n">
        <v>0</v>
      </c>
      <c r="J55" s="20" t="n">
        <v>0</v>
      </c>
      <c r="K55" s="18" t="n">
        <v>0.22273493</v>
      </c>
      <c r="L55" s="20" t="n">
        <v>0.18122328</v>
      </c>
      <c r="M55" s="18" t="n">
        <v>0</v>
      </c>
      <c r="N55" s="20" t="n">
        <v>0</v>
      </c>
      <c r="O55" s="18" t="n">
        <v>0</v>
      </c>
      <c r="P55" s="20" t="n">
        <v>0</v>
      </c>
      <c r="Q55" s="18" t="n">
        <v>0.56858989</v>
      </c>
      <c r="R55" s="20" t="n">
        <v>0.21692286</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(5087.0/B61*100)</f>
        <v/>
      </c>
      <c r="D61" s="19" t="n">
        <v>1438</v>
      </c>
      <c r="E61" s="18" t="n">
        <v>71.45451353</v>
      </c>
      <c r="F61" s="20" t="n">
        <v>1.39520844</v>
      </c>
      <c r="G61" s="18" t="n">
        <v>27.38086133</v>
      </c>
      <c r="H61" s="20" t="n">
        <v>1.3300866</v>
      </c>
      <c r="I61" s="18" t="n">
        <v>0</v>
      </c>
      <c r="J61" s="20" t="n">
        <v>0</v>
      </c>
      <c r="K61" s="18" t="n">
        <v>0.35808544</v>
      </c>
      <c r="L61" s="20" t="n">
        <v>0.22351455</v>
      </c>
      <c r="M61" s="18" t="n">
        <v>0</v>
      </c>
      <c r="N61" s="20" t="n">
        <v>0</v>
      </c>
      <c r="O61" s="18" t="n">
        <v>0</v>
      </c>
      <c r="P61" s="20" t="n">
        <v>0</v>
      </c>
      <c r="Q61" s="18" t="n">
        <v>0.80653971</v>
      </c>
      <c r="R61" s="20" t="n">
        <v>0.23242058</v>
      </c>
    </row>
    <row r="62" spans="1:18">
      <c r="A62" s="15" t="s">
        <v>622</v>
      </c>
      <c r="B62" s="17" t="n">
        <v>4476</v>
      </c>
      <c r="C62" s="18">
        <f>(3478.0/B62*100)</f>
        <v/>
      </c>
      <c r="D62" s="19" t="n">
        <v>998</v>
      </c>
      <c r="E62" s="18" t="n">
        <v>62.01137377</v>
      </c>
      <c r="F62" s="20" t="n">
        <v>1.72337053</v>
      </c>
      <c r="G62" s="18" t="n">
        <v>37.68891229</v>
      </c>
      <c r="H62" s="20" t="n">
        <v>1.76366281</v>
      </c>
      <c r="I62" s="18" t="n">
        <v>0</v>
      </c>
      <c r="J62" s="20" t="n">
        <v>0</v>
      </c>
      <c r="K62" s="18" t="n">
        <v>0</v>
      </c>
      <c r="L62" s="20" t="n">
        <v>0</v>
      </c>
      <c r="M62" s="18" t="n">
        <v>0.1006108</v>
      </c>
      <c r="N62" s="20" t="n">
        <v>0.1009398</v>
      </c>
      <c r="O62" s="18" t="n">
        <v>0</v>
      </c>
      <c r="P62" s="20" t="n">
        <v>0</v>
      </c>
      <c r="Q62" s="18" t="n">
        <v>0.19910314</v>
      </c>
      <c r="R62" s="20" t="n">
        <v>0.13945787</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(4463.0/B67*100)</f>
        <v/>
      </c>
      <c r="D67" s="19" t="n">
        <v>1202</v>
      </c>
      <c r="E67" s="18" t="n">
        <v>70.75657099</v>
      </c>
      <c r="F67" s="20" t="n">
        <v>1.38065071</v>
      </c>
      <c r="G67" s="18" t="n">
        <v>23.58668679</v>
      </c>
      <c r="H67" s="20" t="n">
        <v>1.2756469</v>
      </c>
      <c r="I67" s="18" t="n">
        <v>0</v>
      </c>
      <c r="J67" s="20" t="n">
        <v>0</v>
      </c>
      <c r="K67" s="18" t="n">
        <v>0.42148242</v>
      </c>
      <c r="L67" s="20" t="n">
        <v>0.19048915</v>
      </c>
      <c r="M67" s="18" t="n">
        <v>0.22062707</v>
      </c>
      <c r="N67" s="20" t="n">
        <v>0.12715099</v>
      </c>
      <c r="O67" s="18" t="n">
        <v>0</v>
      </c>
      <c r="P67" s="20" t="n">
        <v>0</v>
      </c>
      <c r="Q67" s="18" t="n">
        <v>5.01463273</v>
      </c>
      <c r="R67" s="20" t="n">
        <v>0.66657103</v>
      </c>
    </row>
    <row r="68" spans="1:18">
      <c r="A68" s="15" t="s">
        <v>628</v>
      </c>
      <c r="B68" s="17" t="n">
        <v>6971</v>
      </c>
      <c r="C68" s="18">
        <f>(5553.0/B68*100)</f>
        <v/>
      </c>
      <c r="D68" s="19" t="n">
        <v>1418</v>
      </c>
      <c r="E68" s="18" t="n">
        <v>81.30137594999999</v>
      </c>
      <c r="F68" s="20" t="n">
        <v>0.98207038</v>
      </c>
      <c r="G68" s="18" t="n">
        <v>16.09930338</v>
      </c>
      <c r="H68" s="20" t="n">
        <v>0.8314401300000001</v>
      </c>
      <c r="I68" s="18" t="n">
        <v>0</v>
      </c>
      <c r="J68" s="20" t="n">
        <v>0</v>
      </c>
      <c r="K68" s="18" t="n">
        <v>0.37520015</v>
      </c>
      <c r="L68" s="20" t="n">
        <v>0.21549526</v>
      </c>
      <c r="M68" s="18" t="n">
        <v>0.29677575</v>
      </c>
      <c r="N68" s="20" t="n">
        <v>0.15632633</v>
      </c>
      <c r="O68" s="18" t="n">
        <v>0</v>
      </c>
      <c r="P68" s="20" t="n">
        <v>0</v>
      </c>
      <c r="Q68" s="18" t="n">
        <v>1.92734478</v>
      </c>
      <c r="R68" s="20" t="n">
        <v>0.43281649</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(9355.0/B70*100)</f>
        <v/>
      </c>
      <c r="D70" s="19" t="n">
        <v>2728</v>
      </c>
      <c r="E70" s="18" t="n">
        <v>78.80134563999999</v>
      </c>
      <c r="F70" s="20" t="n">
        <v>0.8127236</v>
      </c>
      <c r="G70" s="18" t="n">
        <v>16.87782209</v>
      </c>
      <c r="H70" s="20" t="n">
        <v>0.67298821</v>
      </c>
      <c r="I70" s="18" t="n">
        <v>0</v>
      </c>
      <c r="J70" s="20" t="n">
        <v>0</v>
      </c>
      <c r="K70" s="18" t="n">
        <v>1.58614837</v>
      </c>
      <c r="L70" s="20" t="n">
        <v>0.22306631</v>
      </c>
      <c r="M70" s="18" t="n">
        <v>0.06939702</v>
      </c>
      <c r="N70" s="20" t="n">
        <v>0.04917886</v>
      </c>
      <c r="O70" s="18" t="n">
        <v>0</v>
      </c>
      <c r="P70" s="20" t="n">
        <v>0</v>
      </c>
      <c r="Q70" s="18" t="n">
        <v>2.66528689</v>
      </c>
      <c r="R70" s="20" t="n">
        <v>0.33265475</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(4717.0/B72*100)</f>
        <v/>
      </c>
      <c r="D72" s="19" t="n">
        <v>1319</v>
      </c>
      <c r="E72" s="18" t="n">
        <v>62.56348717</v>
      </c>
      <c r="F72" s="20" t="n">
        <v>1.68689575</v>
      </c>
      <c r="G72" s="18" t="n">
        <v>35.96209178</v>
      </c>
      <c r="H72" s="20" t="n">
        <v>1.57501666</v>
      </c>
      <c r="I72" s="18" t="n">
        <v>0</v>
      </c>
      <c r="J72" s="20" t="n">
        <v>0</v>
      </c>
      <c r="K72" s="18" t="n">
        <v>0.30588842</v>
      </c>
      <c r="L72" s="20" t="n">
        <v>0.12420579</v>
      </c>
      <c r="M72" s="18" t="n">
        <v>0.08693562000000001</v>
      </c>
      <c r="N72" s="20" t="n">
        <v>0.08635941</v>
      </c>
      <c r="O72" s="18" t="n">
        <v>0</v>
      </c>
      <c r="P72" s="20" t="n">
        <v>0</v>
      </c>
      <c r="Q72" s="18" t="n">
        <v>1.081597</v>
      </c>
      <c r="R72" s="20" t="n">
        <v>0.35122966</v>
      </c>
    </row>
    <row r="73" spans="1:18">
      <c r="A73" s="15" t="s">
        <v>633</v>
      </c>
      <c r="B73" s="17" t="n">
        <v>6115</v>
      </c>
      <c r="C73" s="18">
        <f>(4789.0/B73*100)</f>
        <v/>
      </c>
      <c r="D73" s="19" t="n">
        <v>1326</v>
      </c>
      <c r="E73" s="18" t="n">
        <v>52.10864132</v>
      </c>
      <c r="F73" s="20" t="n">
        <v>1.43821728</v>
      </c>
      <c r="G73" s="18" t="n">
        <v>47.08421463</v>
      </c>
      <c r="H73" s="20" t="n">
        <v>1.40886457</v>
      </c>
      <c r="I73" s="18" t="n">
        <v>0</v>
      </c>
      <c r="J73" s="20" t="n">
        <v>0</v>
      </c>
      <c r="K73" s="18" t="n">
        <v>0.15055594</v>
      </c>
      <c r="L73" s="20" t="n">
        <v>0.1072219</v>
      </c>
      <c r="M73" s="18" t="n">
        <v>0</v>
      </c>
      <c r="N73" s="20" t="n">
        <v>0</v>
      </c>
      <c r="O73" s="18" t="n">
        <v>0</v>
      </c>
      <c r="P73" s="20" t="n">
        <v>0</v>
      </c>
      <c r="Q73" s="18" t="n">
        <v>0.6565881099999999</v>
      </c>
      <c r="R73" s="20" t="n">
        <v>0.23055056</v>
      </c>
    </row>
    <row r="74" spans="1:18">
      <c r="A74" s="15" t="s">
        <v>634</v>
      </c>
      <c r="B74" s="17" t="n">
        <v>7708</v>
      </c>
      <c r="C74" s="18">
        <f>(6066.0/B74*100)</f>
        <v/>
      </c>
      <c r="D74" s="19" t="n">
        <v>1642</v>
      </c>
      <c r="E74" s="18" t="n">
        <v>55.94961371</v>
      </c>
      <c r="F74" s="20" t="n">
        <v>1.33557398</v>
      </c>
      <c r="G74" s="18" t="n">
        <v>43.22806636</v>
      </c>
      <c r="H74" s="20" t="n">
        <v>1.36036944</v>
      </c>
      <c r="I74" s="18" t="n">
        <v>0</v>
      </c>
      <c r="J74" s="20" t="n">
        <v>0</v>
      </c>
      <c r="K74" s="18" t="n">
        <v>0.20740367</v>
      </c>
      <c r="L74" s="20" t="n">
        <v>0.15732353</v>
      </c>
      <c r="M74" s="18" t="n">
        <v>0</v>
      </c>
      <c r="N74" s="20" t="n">
        <v>0</v>
      </c>
      <c r="O74" s="18" t="n">
        <v>0</v>
      </c>
      <c r="P74" s="20" t="n">
        <v>0</v>
      </c>
      <c r="Q74" s="18" t="n">
        <v>0.61491626</v>
      </c>
      <c r="R74" s="20" t="n">
        <v>0.19265913</v>
      </c>
    </row>
    <row r="75" spans="1:18">
      <c r="A75" s="15" t="s">
        <v>635</v>
      </c>
      <c r="B75" s="17" t="n">
        <v>8249</v>
      </c>
      <c r="C75" s="18">
        <f>(6436.0/B75*100)</f>
        <v/>
      </c>
      <c r="D75" s="19" t="n">
        <v>1813</v>
      </c>
      <c r="E75" s="18" t="n">
        <v>85.78710096</v>
      </c>
      <c r="F75" s="20" t="n">
        <v>1.27219167</v>
      </c>
      <c r="G75" s="18" t="n">
        <v>13.50608212</v>
      </c>
      <c r="H75" s="20" t="n">
        <v>1.30035628</v>
      </c>
      <c r="I75" s="18" t="n">
        <v>0</v>
      </c>
      <c r="J75" s="20" t="n">
        <v>0</v>
      </c>
      <c r="K75" s="18" t="n">
        <v>0.15648569</v>
      </c>
      <c r="L75" s="20" t="n">
        <v>0.09761276000000001</v>
      </c>
      <c r="M75" s="18" t="n">
        <v>0</v>
      </c>
      <c r="N75" s="20" t="n">
        <v>0</v>
      </c>
      <c r="O75" s="18" t="n">
        <v>0</v>
      </c>
      <c r="P75" s="20" t="n">
        <v>0</v>
      </c>
      <c r="Q75" s="18" t="n">
        <v>0.5503312299999999</v>
      </c>
      <c r="R75" s="20" t="n">
        <v>0.20097569</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(4275.0/B77*100)</f>
        <v/>
      </c>
      <c r="D77" s="19" t="n">
        <v>1100</v>
      </c>
      <c r="E77" s="18" t="n">
        <v>88.35358024</v>
      </c>
      <c r="F77" s="20" t="n">
        <v>0.97920637</v>
      </c>
      <c r="G77" s="18" t="n">
        <v>8.071197120000001</v>
      </c>
      <c r="H77" s="20" t="n">
        <v>0.90982339</v>
      </c>
      <c r="I77" s="18" t="n">
        <v>0</v>
      </c>
      <c r="J77" s="20" t="n">
        <v>0</v>
      </c>
      <c r="K77" s="18" t="n">
        <v>1.07207027</v>
      </c>
      <c r="L77" s="20" t="n">
        <v>0.41988567</v>
      </c>
      <c r="M77" s="18" t="n">
        <v>0.75952773</v>
      </c>
      <c r="N77" s="20" t="n">
        <v>0.33613949</v>
      </c>
      <c r="O77" s="18" t="n">
        <v>0</v>
      </c>
      <c r="P77" s="20" t="n">
        <v>0</v>
      </c>
      <c r="Q77" s="18" t="n">
        <v>1.74362464</v>
      </c>
      <c r="R77" s="20" t="n">
        <v>0.30954781</v>
      </c>
    </row>
    <row r="78" spans="1:18">
      <c r="A78" s="15" t="s">
        <v>638</v>
      </c>
      <c r="B78" s="17" t="n">
        <v>14167</v>
      </c>
      <c r="C78" s="18">
        <f>(11020.0/B78*100)</f>
        <v/>
      </c>
      <c r="D78" s="19" t="n">
        <v>3147</v>
      </c>
      <c r="E78" s="18" t="n">
        <v>74.74658331000001</v>
      </c>
      <c r="F78" s="20" t="n">
        <v>0.8520795799999999</v>
      </c>
      <c r="G78" s="18" t="n">
        <v>22.44818471</v>
      </c>
      <c r="H78" s="20" t="n">
        <v>0.83513151</v>
      </c>
      <c r="I78" s="18" t="n">
        <v>0</v>
      </c>
      <c r="J78" s="20" t="n">
        <v>0</v>
      </c>
      <c r="K78" s="18" t="n">
        <v>0.83411134</v>
      </c>
      <c r="L78" s="20" t="n">
        <v>0.19853129</v>
      </c>
      <c r="M78" s="18" t="n">
        <v>0.24133864</v>
      </c>
      <c r="N78" s="20" t="n">
        <v>0.13088793</v>
      </c>
      <c r="O78" s="18" t="n">
        <v>0</v>
      </c>
      <c r="P78" s="20" t="n">
        <v>0</v>
      </c>
      <c r="Q78" s="18" t="n">
        <v>1.729782</v>
      </c>
      <c r="R78" s="20" t="n">
        <v>0.25393923</v>
      </c>
    </row>
    <row r="79" spans="1:18">
      <c r="A79" s="15" t="s">
        <v>639</v>
      </c>
      <c r="B79" s="17" t="n">
        <v>6062</v>
      </c>
      <c r="C79" s="18">
        <f>(4715.0/B79*100)</f>
        <v/>
      </c>
      <c r="D79" s="19" t="n">
        <v>1347</v>
      </c>
      <c r="E79" s="18" t="n">
        <v>69.98252814999999</v>
      </c>
      <c r="F79" s="20" t="n">
        <v>1.58081989</v>
      </c>
      <c r="G79" s="18" t="n">
        <v>26.72014758</v>
      </c>
      <c r="H79" s="20" t="n">
        <v>1.45572203</v>
      </c>
      <c r="I79" s="18" t="n">
        <v>0</v>
      </c>
      <c r="J79" s="20" t="n">
        <v>0</v>
      </c>
      <c r="K79" s="18" t="n">
        <v>0.33755567</v>
      </c>
      <c r="L79" s="20" t="n">
        <v>0.16425769</v>
      </c>
      <c r="M79" s="18" t="n">
        <v>0.2841106</v>
      </c>
      <c r="N79" s="20" t="n">
        <v>0.14997472</v>
      </c>
      <c r="O79" s="18" t="n">
        <v>0</v>
      </c>
      <c r="P79" s="20" t="n">
        <v>0</v>
      </c>
      <c r="Q79" s="18" t="n">
        <v>2.675658</v>
      </c>
      <c r="R79" s="20" t="n">
        <v>0.48162419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(25165.0/B82*100)</f>
        <v/>
      </c>
      <c r="D82" s="19" t="n">
        <v>7165</v>
      </c>
      <c r="E82" s="18" t="n">
        <v>64.74241969000001</v>
      </c>
      <c r="F82" s="20" t="n">
        <v>0.90295014</v>
      </c>
      <c r="G82" s="18" t="n">
        <v>33.4216729</v>
      </c>
      <c r="H82" s="20" t="n">
        <v>0.90025429</v>
      </c>
      <c r="I82" s="18" t="n">
        <v>0</v>
      </c>
      <c r="J82" s="20" t="n">
        <v>0</v>
      </c>
      <c r="K82" s="18" t="n">
        <v>0.232119</v>
      </c>
      <c r="L82" s="20" t="n">
        <v>0.0872328</v>
      </c>
      <c r="M82" s="18" t="n">
        <v>0.04239693</v>
      </c>
      <c r="N82" s="20" t="n">
        <v>0.03779298</v>
      </c>
      <c r="O82" s="18" t="n">
        <v>0</v>
      </c>
      <c r="P82" s="20" t="n">
        <v>0</v>
      </c>
      <c r="Q82" s="18" t="n">
        <v>1.56139148</v>
      </c>
      <c r="R82" s="20" t="n">
        <v>0.21370548</v>
      </c>
    </row>
    <row r="83" spans="1:18">
      <c r="A83" s="15" t="s">
        <v>643</v>
      </c>
      <c r="B83" s="17" t="n">
        <v>1652</v>
      </c>
      <c r="C83" s="18">
        <f>(1292.0/B83*100)</f>
        <v/>
      </c>
      <c r="D83" s="19" t="n">
        <v>360</v>
      </c>
      <c r="E83" s="18" t="n">
        <v>53.50951046</v>
      </c>
      <c r="F83" s="20" t="n">
        <v>3.82778528</v>
      </c>
      <c r="G83" s="18" t="n">
        <v>45.68182552</v>
      </c>
      <c r="H83" s="20" t="n">
        <v>3.91634361</v>
      </c>
      <c r="I83" s="18" t="n">
        <v>0</v>
      </c>
      <c r="J83" s="20" t="n">
        <v>0</v>
      </c>
      <c r="K83" s="18" t="n">
        <v>0</v>
      </c>
      <c r="L83" s="20" t="n">
        <v>0</v>
      </c>
      <c r="M83" s="18" t="n">
        <v>0</v>
      </c>
      <c r="N83" s="20" t="n">
        <v>0</v>
      </c>
      <c r="O83" s="18" t="n">
        <v>0</v>
      </c>
      <c r="P83" s="20" t="n">
        <v>0</v>
      </c>
      <c r="Q83" s="18" t="n">
        <v>0.80866402</v>
      </c>
      <c r="R83" s="20" t="n">
        <v>0.48403141</v>
      </c>
    </row>
    <row r="84" spans="1:18">
      <c r="A84" s="23" t="s">
        <v>644</v>
      </c>
      <c r="B84" s="24" t="n">
        <v>1887</v>
      </c>
      <c r="C84" s="25">
        <f>(1497.0/B84*100)</f>
        <v/>
      </c>
      <c r="D84" s="19" t="n">
        <v>390</v>
      </c>
      <c r="E84" s="18" t="n">
        <v>68.07945144999999</v>
      </c>
      <c r="F84" s="20" t="n">
        <v>2.24082811</v>
      </c>
      <c r="G84" s="18" t="n">
        <v>31.58817703</v>
      </c>
      <c r="H84" s="20" t="n">
        <v>2.13751292</v>
      </c>
      <c r="I84" s="18" t="n">
        <v>0</v>
      </c>
      <c r="J84" s="20" t="n">
        <v>0</v>
      </c>
      <c r="K84" s="18" t="n">
        <v>0</v>
      </c>
      <c r="L84" s="20" t="n">
        <v>0</v>
      </c>
      <c r="M84" s="18" t="n">
        <v>0</v>
      </c>
      <c r="N84" s="20" t="n">
        <v>0</v>
      </c>
      <c r="O84" s="18" t="n">
        <v>0</v>
      </c>
      <c r="P84" s="20" t="n">
        <v>0</v>
      </c>
      <c r="Q84" s="18" t="n">
        <v>0.33237152</v>
      </c>
      <c r="R84" s="20" t="n">
        <v>0.30383974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(11392.0/B7*100)</f>
        <v/>
      </c>
      <c r="D7" s="19" t="n">
        <v>3138</v>
      </c>
      <c r="E7" s="18" t="n">
        <v>78.50491673000001</v>
      </c>
      <c r="F7" s="20" t="n">
        <v>0.71411062</v>
      </c>
      <c r="G7" s="18" t="n">
        <v>7.95130637</v>
      </c>
      <c r="H7" s="20" t="n">
        <v>0.5326775</v>
      </c>
      <c r="I7" s="18" t="n">
        <v>0</v>
      </c>
      <c r="J7" s="20" t="n">
        <v>0</v>
      </c>
      <c r="K7" s="18" t="n">
        <v>0.39318712</v>
      </c>
      <c r="L7" s="20" t="n">
        <v>0.11743869</v>
      </c>
      <c r="M7" s="18" t="n">
        <v>0</v>
      </c>
      <c r="N7" s="20" t="n">
        <v>0</v>
      </c>
      <c r="O7" s="18" t="n">
        <v>0</v>
      </c>
      <c r="P7" s="20" t="n">
        <v>0</v>
      </c>
      <c r="Q7" s="18" t="n">
        <v>13.15058978</v>
      </c>
      <c r="R7" s="20" t="n">
        <v>0.65536452</v>
      </c>
    </row>
    <row r="8" spans="1:18">
      <c r="A8" s="15" t="s">
        <v>566</v>
      </c>
      <c r="B8" s="17" t="n">
        <v>7007</v>
      </c>
      <c r="C8" s="18">
        <f>(5456.0/B8*100)</f>
        <v/>
      </c>
      <c r="D8" s="19" t="n">
        <v>1551</v>
      </c>
      <c r="E8" s="18" t="n">
        <v>78.94197738</v>
      </c>
      <c r="F8" s="20" t="n">
        <v>1.05123906</v>
      </c>
      <c r="G8" s="18" t="n">
        <v>8.56530489</v>
      </c>
      <c r="H8" s="20" t="n">
        <v>0.74557582</v>
      </c>
      <c r="I8" s="18" t="n">
        <v>0</v>
      </c>
      <c r="J8" s="20" t="n">
        <v>0</v>
      </c>
      <c r="K8" s="18" t="n">
        <v>0.15170986</v>
      </c>
      <c r="L8" s="20" t="n">
        <v>0.10572245</v>
      </c>
      <c r="M8" s="18" t="n">
        <v>0</v>
      </c>
      <c r="N8" s="20" t="n">
        <v>0</v>
      </c>
      <c r="O8" s="18" t="n">
        <v>0</v>
      </c>
      <c r="P8" s="20" t="n">
        <v>0</v>
      </c>
      <c r="Q8" s="18" t="n">
        <v>12.34100787</v>
      </c>
      <c r="R8" s="20" t="n">
        <v>0.93822265</v>
      </c>
    </row>
    <row r="9" spans="1:18">
      <c r="A9" s="15" t="s">
        <v>567</v>
      </c>
      <c r="B9" s="17" t="n">
        <v>9651</v>
      </c>
      <c r="C9" s="18">
        <f>(7552.0/B9*100)</f>
        <v/>
      </c>
      <c r="D9" s="19" t="n">
        <v>2099</v>
      </c>
      <c r="E9" s="18" t="n">
        <v>81.00256284</v>
      </c>
      <c r="F9" s="20" t="n">
        <v>0.87137848</v>
      </c>
      <c r="G9" s="18" t="n">
        <v>6.8369127</v>
      </c>
      <c r="H9" s="20" t="n">
        <v>0.57760597</v>
      </c>
      <c r="I9" s="18" t="n">
        <v>0</v>
      </c>
      <c r="J9" s="20" t="n">
        <v>0</v>
      </c>
      <c r="K9" s="18" t="n">
        <v>0.29650548</v>
      </c>
      <c r="L9" s="20" t="n">
        <v>0.11600028</v>
      </c>
      <c r="M9" s="18" t="n">
        <v>0</v>
      </c>
      <c r="N9" s="20" t="n">
        <v>0</v>
      </c>
      <c r="O9" s="18" t="n">
        <v>0</v>
      </c>
      <c r="P9" s="20" t="n">
        <v>0</v>
      </c>
      <c r="Q9" s="18" t="n">
        <v>11.86401898</v>
      </c>
      <c r="R9" s="20" t="n">
        <v>0.74058391</v>
      </c>
    </row>
    <row r="10" spans="1:18">
      <c r="A10" s="15" t="s">
        <v>568</v>
      </c>
      <c r="B10" s="17" t="n">
        <v>20058</v>
      </c>
      <c r="C10" s="18">
        <f>(15610.0/B10*100)</f>
        <v/>
      </c>
      <c r="D10" s="19" t="n">
        <v>4448</v>
      </c>
      <c r="E10" s="18" t="n">
        <v>79.80175231</v>
      </c>
      <c r="F10" s="20" t="n">
        <v>0.96289261</v>
      </c>
      <c r="G10" s="18" t="n">
        <v>7.17694234</v>
      </c>
      <c r="H10" s="20" t="n">
        <v>0.57807295</v>
      </c>
      <c r="I10" s="18" t="n">
        <v>0</v>
      </c>
      <c r="J10" s="20" t="n">
        <v>0</v>
      </c>
      <c r="K10" s="18" t="n">
        <v>0.33534781</v>
      </c>
      <c r="L10" s="20" t="n">
        <v>0.12643053</v>
      </c>
      <c r="M10" s="18" t="n">
        <v>0</v>
      </c>
      <c r="N10" s="20" t="n">
        <v>0</v>
      </c>
      <c r="O10" s="18" t="n">
        <v>0</v>
      </c>
      <c r="P10" s="20" t="n">
        <v>0</v>
      </c>
      <c r="Q10" s="18" t="n">
        <v>12.68595753</v>
      </c>
      <c r="R10" s="20" t="n">
        <v>0.76797833</v>
      </c>
    </row>
    <row r="11" spans="1:18">
      <c r="A11" s="15" t="s">
        <v>569</v>
      </c>
      <c r="B11" s="17" t="n">
        <v>7053</v>
      </c>
      <c r="C11" s="18">
        <f>(5482.0/B11*100)</f>
        <v/>
      </c>
      <c r="D11" s="19" t="n">
        <v>1571</v>
      </c>
      <c r="E11" s="18" t="n">
        <v>74.49469005</v>
      </c>
      <c r="F11" s="20" t="n">
        <v>1.45269774</v>
      </c>
      <c r="G11" s="18" t="n">
        <v>1.71624532</v>
      </c>
      <c r="H11" s="20" t="n">
        <v>0.41050214</v>
      </c>
      <c r="I11" s="18" t="n">
        <v>0</v>
      </c>
      <c r="J11" s="20" t="n">
        <v>0</v>
      </c>
      <c r="K11" s="18" t="n">
        <v>0.3755533</v>
      </c>
      <c r="L11" s="20" t="n">
        <v>0.16739704</v>
      </c>
      <c r="M11" s="18" t="n">
        <v>0</v>
      </c>
      <c r="N11" s="20" t="n">
        <v>0</v>
      </c>
      <c r="O11" s="18" t="n">
        <v>0</v>
      </c>
      <c r="P11" s="20" t="n">
        <v>0</v>
      </c>
      <c r="Q11" s="18" t="n">
        <v>23.41351133</v>
      </c>
      <c r="R11" s="20" t="n">
        <v>1.36782519</v>
      </c>
    </row>
    <row r="12" spans="1:18">
      <c r="A12" s="15" t="s">
        <v>570</v>
      </c>
      <c r="B12" s="17" t="n">
        <v>6894</v>
      </c>
      <c r="C12" s="18">
        <f>(5412.0/B12*100)</f>
        <v/>
      </c>
      <c r="D12" s="19" t="n">
        <v>1482</v>
      </c>
      <c r="E12" s="18" t="n">
        <v>83.4500476</v>
      </c>
      <c r="F12" s="20" t="n">
        <v>1.08504571</v>
      </c>
      <c r="G12" s="18" t="n">
        <v>3.98780935</v>
      </c>
      <c r="H12" s="20" t="n">
        <v>0.48230446</v>
      </c>
      <c r="I12" s="18" t="n">
        <v>0</v>
      </c>
      <c r="J12" s="20" t="n">
        <v>0</v>
      </c>
      <c r="K12" s="18" t="n">
        <v>0.05901676</v>
      </c>
      <c r="L12" s="20" t="n">
        <v>0.05606351</v>
      </c>
      <c r="M12" s="18" t="n">
        <v>0</v>
      </c>
      <c r="N12" s="20" t="n">
        <v>0</v>
      </c>
      <c r="O12" s="18" t="n">
        <v>0</v>
      </c>
      <c r="P12" s="20" t="n">
        <v>0</v>
      </c>
      <c r="Q12" s="18" t="n">
        <v>12.50312629</v>
      </c>
      <c r="R12" s="20" t="n">
        <v>1.02002768</v>
      </c>
    </row>
    <row r="13" spans="1:18">
      <c r="A13" s="15" t="s">
        <v>571</v>
      </c>
      <c r="B13" s="17" t="n">
        <v>7161</v>
      </c>
      <c r="C13" s="18">
        <f>(5699.0/B13*100)</f>
        <v/>
      </c>
      <c r="D13" s="19" t="n">
        <v>1462</v>
      </c>
      <c r="E13" s="18" t="n">
        <v>85.65655777000001</v>
      </c>
      <c r="F13" s="20" t="n">
        <v>1.27622186</v>
      </c>
      <c r="G13" s="18" t="n">
        <v>5.70439187</v>
      </c>
      <c r="H13" s="20" t="n">
        <v>0.87668134</v>
      </c>
      <c r="I13" s="18" t="n">
        <v>0</v>
      </c>
      <c r="J13" s="20" t="n">
        <v>0</v>
      </c>
      <c r="K13" s="18" t="n">
        <v>0.39443669</v>
      </c>
      <c r="L13" s="20" t="n">
        <v>0.18838207</v>
      </c>
      <c r="M13" s="18" t="n">
        <v>0</v>
      </c>
      <c r="N13" s="20" t="n">
        <v>0</v>
      </c>
      <c r="O13" s="18" t="n">
        <v>0</v>
      </c>
      <c r="P13" s="20" t="n">
        <v>0</v>
      </c>
      <c r="Q13" s="18" t="n">
        <v>8.24461367</v>
      </c>
      <c r="R13" s="20" t="n">
        <v>0.82463567</v>
      </c>
    </row>
    <row r="14" spans="1:18">
      <c r="A14" s="15" t="s">
        <v>572</v>
      </c>
      <c r="B14" s="17" t="n">
        <v>5587</v>
      </c>
      <c r="C14" s="18">
        <f>(4326.0/B14*100)</f>
        <v/>
      </c>
      <c r="D14" s="19" t="n">
        <v>1261</v>
      </c>
      <c r="E14" s="18" t="n">
        <v>84.57838653</v>
      </c>
      <c r="F14" s="20" t="n">
        <v>1.15967762</v>
      </c>
      <c r="G14" s="18" t="n">
        <v>8.14562506</v>
      </c>
      <c r="H14" s="20" t="n">
        <v>0.81378476</v>
      </c>
      <c r="I14" s="18" t="n">
        <v>0</v>
      </c>
      <c r="J14" s="20" t="n">
        <v>0</v>
      </c>
      <c r="K14" s="18" t="n">
        <v>0.14531144</v>
      </c>
      <c r="L14" s="20" t="n">
        <v>0.1030433</v>
      </c>
      <c r="M14" s="18" t="n">
        <v>0</v>
      </c>
      <c r="N14" s="20" t="n">
        <v>0</v>
      </c>
      <c r="O14" s="18" t="n">
        <v>0</v>
      </c>
      <c r="P14" s="20" t="n">
        <v>0</v>
      </c>
      <c r="Q14" s="18" t="n">
        <v>7.13067697</v>
      </c>
      <c r="R14" s="20" t="n">
        <v>0.82472873</v>
      </c>
    </row>
    <row r="15" spans="1:18">
      <c r="A15" s="15" t="s">
        <v>573</v>
      </c>
      <c r="B15" s="17" t="n">
        <v>5882</v>
      </c>
      <c r="C15" s="18">
        <f>(4521.0/B15*100)</f>
        <v/>
      </c>
      <c r="D15" s="19" t="n">
        <v>1361</v>
      </c>
      <c r="E15" s="18" t="n">
        <v>84.33745184999999</v>
      </c>
      <c r="F15" s="20" t="n">
        <v>1.08503915</v>
      </c>
      <c r="G15" s="18" t="n">
        <v>8.001324390000001</v>
      </c>
      <c r="H15" s="20" t="n">
        <v>0.74697174</v>
      </c>
      <c r="I15" s="18" t="n">
        <v>0</v>
      </c>
      <c r="J15" s="20" t="n">
        <v>0</v>
      </c>
      <c r="K15" s="18" t="n">
        <v>0.08271120999999999</v>
      </c>
      <c r="L15" s="20" t="n">
        <v>0.09075877</v>
      </c>
      <c r="M15" s="18" t="n">
        <v>0</v>
      </c>
      <c r="N15" s="20" t="n">
        <v>0</v>
      </c>
      <c r="O15" s="18" t="n">
        <v>0</v>
      </c>
      <c r="P15" s="20" t="n">
        <v>0</v>
      </c>
      <c r="Q15" s="18" t="n">
        <v>7.57851254</v>
      </c>
      <c r="R15" s="20" t="n">
        <v>0.77561981</v>
      </c>
    </row>
    <row r="16" spans="1:18">
      <c r="A16" s="15" t="s">
        <v>574</v>
      </c>
      <c r="B16" s="17" t="n">
        <v>6108</v>
      </c>
      <c r="C16" s="18">
        <f>(4759.0/B16*100)</f>
        <v/>
      </c>
      <c r="D16" s="19" t="n">
        <v>1349</v>
      </c>
      <c r="E16" s="18" t="n">
        <v>77.4464456</v>
      </c>
      <c r="F16" s="20" t="n">
        <v>1.25181295</v>
      </c>
      <c r="G16" s="18" t="n">
        <v>7.22106222</v>
      </c>
      <c r="H16" s="20" t="n">
        <v>0.70039622</v>
      </c>
      <c r="I16" s="18" t="n">
        <v>0</v>
      </c>
      <c r="J16" s="20" t="n">
        <v>0</v>
      </c>
      <c r="K16" s="18" t="n">
        <v>0.72089014</v>
      </c>
      <c r="L16" s="20" t="n">
        <v>0.24433644</v>
      </c>
      <c r="M16" s="18" t="n">
        <v>0</v>
      </c>
      <c r="N16" s="20" t="n">
        <v>0</v>
      </c>
      <c r="O16" s="18" t="n">
        <v>0</v>
      </c>
      <c r="P16" s="20" t="n">
        <v>0</v>
      </c>
      <c r="Q16" s="18" t="n">
        <v>14.61160204</v>
      </c>
      <c r="R16" s="20" t="n">
        <v>1.17205146</v>
      </c>
    </row>
    <row r="17" spans="1:18">
      <c r="A17" s="15" t="s">
        <v>575</v>
      </c>
      <c r="B17" s="17" t="n">
        <v>6504</v>
      </c>
      <c r="C17" s="18">
        <f>(5131.0/B17*100)</f>
        <v/>
      </c>
      <c r="D17" s="19" t="n">
        <v>1373</v>
      </c>
      <c r="E17" s="18" t="n">
        <v>74.62164937</v>
      </c>
      <c r="F17" s="20" t="n">
        <v>1.29146332</v>
      </c>
      <c r="G17" s="18" t="n">
        <v>12.70295025</v>
      </c>
      <c r="H17" s="20" t="n">
        <v>0.98523444</v>
      </c>
      <c r="I17" s="18" t="n">
        <v>0</v>
      </c>
      <c r="J17" s="20" t="n">
        <v>0</v>
      </c>
      <c r="K17" s="18" t="n">
        <v>0.24157852</v>
      </c>
      <c r="L17" s="20" t="n">
        <v>0.14741385</v>
      </c>
      <c r="M17" s="18" t="n">
        <v>0</v>
      </c>
      <c r="N17" s="20" t="n">
        <v>0</v>
      </c>
      <c r="O17" s="18" t="n">
        <v>0</v>
      </c>
      <c r="P17" s="20" t="n">
        <v>0</v>
      </c>
      <c r="Q17" s="18" t="n">
        <v>12.43382186</v>
      </c>
      <c r="R17" s="20" t="n">
        <v>0.95858661</v>
      </c>
    </row>
    <row r="18" spans="1:18">
      <c r="A18" s="15" t="s">
        <v>576</v>
      </c>
      <c r="B18" s="17" t="n">
        <v>5532</v>
      </c>
      <c r="C18" s="18">
        <f>(4323.0/B18*100)</f>
        <v/>
      </c>
      <c r="D18" s="19" t="n">
        <v>1209</v>
      </c>
      <c r="E18" s="18" t="n">
        <v>83.49499268</v>
      </c>
      <c r="F18" s="20" t="n">
        <v>1.4742212</v>
      </c>
      <c r="G18" s="18" t="n">
        <v>2.64898288</v>
      </c>
      <c r="H18" s="20" t="n">
        <v>0.38166441</v>
      </c>
      <c r="I18" s="18" t="n">
        <v>0</v>
      </c>
      <c r="J18" s="20" t="n">
        <v>0</v>
      </c>
      <c r="K18" s="18" t="n">
        <v>0.37932503</v>
      </c>
      <c r="L18" s="20" t="n">
        <v>0.17393749</v>
      </c>
      <c r="M18" s="18" t="n">
        <v>0</v>
      </c>
      <c r="N18" s="20" t="n">
        <v>0</v>
      </c>
      <c r="O18" s="18" t="n">
        <v>0</v>
      </c>
      <c r="P18" s="20" t="n">
        <v>0</v>
      </c>
      <c r="Q18" s="18" t="n">
        <v>13.47669941</v>
      </c>
      <c r="R18" s="20" t="n">
        <v>1.43674974</v>
      </c>
    </row>
    <row r="19" spans="1:18">
      <c r="A19" s="15" t="s">
        <v>577</v>
      </c>
      <c r="B19" s="17" t="n">
        <v>5658</v>
      </c>
      <c r="C19" s="18">
        <f>(4379.0/B19*100)</f>
        <v/>
      </c>
      <c r="D19" s="19" t="n">
        <v>1279</v>
      </c>
      <c r="E19" s="18" t="n">
        <v>83.34059207</v>
      </c>
      <c r="F19" s="20" t="n">
        <v>1.05823462</v>
      </c>
      <c r="G19" s="18" t="n">
        <v>4.32566132</v>
      </c>
      <c r="H19" s="20" t="n">
        <v>0.5568235499999999</v>
      </c>
      <c r="I19" s="18" t="n">
        <v>0</v>
      </c>
      <c r="J19" s="20" t="n">
        <v>0</v>
      </c>
      <c r="K19" s="18" t="n">
        <v>0.07216169</v>
      </c>
      <c r="L19" s="20" t="n">
        <v>0.06101425</v>
      </c>
      <c r="M19" s="18" t="n">
        <v>0</v>
      </c>
      <c r="N19" s="20" t="n">
        <v>0</v>
      </c>
      <c r="O19" s="18" t="n">
        <v>0</v>
      </c>
      <c r="P19" s="20" t="n">
        <v>0</v>
      </c>
      <c r="Q19" s="18" t="n">
        <v>12.26158492</v>
      </c>
      <c r="R19" s="20" t="n">
        <v>0.97746316</v>
      </c>
    </row>
    <row r="20" spans="1:18">
      <c r="A20" s="15" t="s">
        <v>578</v>
      </c>
      <c r="B20" s="17" t="n">
        <v>3371</v>
      </c>
      <c r="C20" s="18">
        <f>(2635.0/B20*100)</f>
        <v/>
      </c>
      <c r="D20" s="19" t="n">
        <v>736</v>
      </c>
      <c r="E20" s="18" t="n">
        <v>81.51746271</v>
      </c>
      <c r="F20" s="20" t="n">
        <v>1.40267024</v>
      </c>
      <c r="G20" s="18" t="n">
        <v>3.20294052</v>
      </c>
      <c r="H20" s="20" t="n">
        <v>0.65817359</v>
      </c>
      <c r="I20" s="18" t="n">
        <v>0</v>
      </c>
      <c r="J20" s="20" t="n">
        <v>0</v>
      </c>
      <c r="K20" s="18" t="n">
        <v>0.26499177</v>
      </c>
      <c r="L20" s="20" t="n">
        <v>0.18811073</v>
      </c>
      <c r="M20" s="18" t="n">
        <v>0</v>
      </c>
      <c r="N20" s="20" t="n">
        <v>0</v>
      </c>
      <c r="O20" s="18" t="n">
        <v>0</v>
      </c>
      <c r="P20" s="20" t="n">
        <v>0</v>
      </c>
      <c r="Q20" s="18" t="n">
        <v>15.014605</v>
      </c>
      <c r="R20" s="20" t="n">
        <v>1.3982092</v>
      </c>
    </row>
    <row r="21" spans="1:18">
      <c r="A21" s="15" t="s">
        <v>579</v>
      </c>
      <c r="B21" s="17" t="n">
        <v>5741</v>
      </c>
      <c r="C21" s="18">
        <f>(4489.0/B21*100)</f>
        <v/>
      </c>
      <c r="D21" s="19" t="n">
        <v>1252</v>
      </c>
      <c r="E21" s="18" t="n">
        <v>83.50227808</v>
      </c>
      <c r="F21" s="20" t="n">
        <v>1.18904369</v>
      </c>
      <c r="G21" s="18" t="n">
        <v>6.93254225</v>
      </c>
      <c r="H21" s="20" t="n">
        <v>0.76065538</v>
      </c>
      <c r="I21" s="18" t="n">
        <v>0</v>
      </c>
      <c r="J21" s="20" t="n">
        <v>0</v>
      </c>
      <c r="K21" s="18" t="n">
        <v>0.25332089</v>
      </c>
      <c r="L21" s="20" t="n">
        <v>0.12368449</v>
      </c>
      <c r="M21" s="18" t="n">
        <v>0</v>
      </c>
      <c r="N21" s="20" t="n">
        <v>0</v>
      </c>
      <c r="O21" s="18" t="n">
        <v>0</v>
      </c>
      <c r="P21" s="20" t="n">
        <v>0</v>
      </c>
      <c r="Q21" s="18" t="n">
        <v>9.31185878</v>
      </c>
      <c r="R21" s="20" t="n">
        <v>0.86942578</v>
      </c>
    </row>
    <row r="22" spans="1:18">
      <c r="A22" s="15" t="s">
        <v>580</v>
      </c>
      <c r="B22" s="17" t="n">
        <v>6598</v>
      </c>
      <c r="C22" s="18">
        <f>(5214.0/B22*100)</f>
        <v/>
      </c>
      <c r="D22" s="19" t="n">
        <v>1384</v>
      </c>
      <c r="E22" s="18" t="n">
        <v>82.35005934</v>
      </c>
      <c r="F22" s="20" t="n">
        <v>1.05769625</v>
      </c>
      <c r="G22" s="18" t="n">
        <v>4.45017607</v>
      </c>
      <c r="H22" s="20" t="n">
        <v>0.63333734</v>
      </c>
      <c r="I22" s="18" t="n">
        <v>0</v>
      </c>
      <c r="J22" s="20" t="n">
        <v>0</v>
      </c>
      <c r="K22" s="18" t="n">
        <v>0.46768631</v>
      </c>
      <c r="L22" s="20" t="n">
        <v>0.23202227</v>
      </c>
      <c r="M22" s="18" t="n">
        <v>0</v>
      </c>
      <c r="N22" s="20" t="n">
        <v>0</v>
      </c>
      <c r="O22" s="18" t="n">
        <v>0</v>
      </c>
      <c r="P22" s="20" t="n">
        <v>0</v>
      </c>
      <c r="Q22" s="18" t="n">
        <v>12.73207828</v>
      </c>
      <c r="R22" s="20" t="n">
        <v>0.98426074</v>
      </c>
    </row>
    <row r="23" spans="1:18">
      <c r="A23" s="15" t="s">
        <v>581</v>
      </c>
      <c r="B23" s="17" t="n">
        <v>11583</v>
      </c>
      <c r="C23" s="18">
        <f>(9005.0/B23*100)</f>
        <v/>
      </c>
      <c r="D23" s="19" t="n">
        <v>2578</v>
      </c>
      <c r="E23" s="18" t="n">
        <v>73.87820845</v>
      </c>
      <c r="F23" s="20" t="n">
        <v>1.16859101</v>
      </c>
      <c r="G23" s="18" t="n">
        <v>5.30590072</v>
      </c>
      <c r="H23" s="20" t="n">
        <v>0.53092536</v>
      </c>
      <c r="I23" s="18" t="n">
        <v>0</v>
      </c>
      <c r="J23" s="20" t="n">
        <v>0</v>
      </c>
      <c r="K23" s="18" t="n">
        <v>0.47943909</v>
      </c>
      <c r="L23" s="20" t="n">
        <v>0.23997991</v>
      </c>
      <c r="M23" s="18" t="n">
        <v>0</v>
      </c>
      <c r="N23" s="20" t="n">
        <v>0</v>
      </c>
      <c r="O23" s="18" t="n">
        <v>0</v>
      </c>
      <c r="P23" s="20" t="n">
        <v>0</v>
      </c>
      <c r="Q23" s="18" t="n">
        <v>20.33645174</v>
      </c>
      <c r="R23" s="20" t="n">
        <v>1.11449839</v>
      </c>
    </row>
    <row r="24" spans="1:18">
      <c r="A24" s="15" t="s">
        <v>582</v>
      </c>
      <c r="B24" s="17" t="n">
        <v>6647</v>
      </c>
      <c r="C24" s="18">
        <f>(5206.0/B24*100)</f>
        <v/>
      </c>
      <c r="D24" s="19" t="n">
        <v>1441</v>
      </c>
      <c r="E24" s="18" t="n">
        <v>79.8684617</v>
      </c>
      <c r="F24" s="20" t="n">
        <v>1.04731122</v>
      </c>
      <c r="G24" s="18" t="n">
        <v>8.174074259999999</v>
      </c>
      <c r="H24" s="20" t="n">
        <v>0.82776388</v>
      </c>
      <c r="I24" s="18" t="n">
        <v>0</v>
      </c>
      <c r="J24" s="20" t="n">
        <v>0</v>
      </c>
      <c r="K24" s="18" t="n">
        <v>0.18637627</v>
      </c>
      <c r="L24" s="20" t="n">
        <v>0.1094961</v>
      </c>
      <c r="M24" s="18" t="n">
        <v>0</v>
      </c>
      <c r="N24" s="20" t="n">
        <v>0</v>
      </c>
      <c r="O24" s="18" t="n">
        <v>0</v>
      </c>
      <c r="P24" s="20" t="n">
        <v>0</v>
      </c>
      <c r="Q24" s="18" t="n">
        <v>11.77108777</v>
      </c>
      <c r="R24" s="20" t="n">
        <v>0.88788573</v>
      </c>
    </row>
    <row r="25" spans="1:18">
      <c r="A25" s="15" t="s">
        <v>583</v>
      </c>
      <c r="B25" s="17" t="n">
        <v>5581</v>
      </c>
      <c r="C25" s="18">
        <f>(4366.0/B25*100)</f>
        <v/>
      </c>
      <c r="D25" s="19" t="n">
        <v>1215</v>
      </c>
      <c r="E25" s="18" t="n">
        <v>83.48026152</v>
      </c>
      <c r="F25" s="20" t="n">
        <v>1.12992553</v>
      </c>
      <c r="G25" s="18" t="n">
        <v>6.87740145</v>
      </c>
      <c r="H25" s="20" t="n">
        <v>0.74002168</v>
      </c>
      <c r="I25" s="18" t="n">
        <v>0</v>
      </c>
      <c r="J25" s="20" t="n">
        <v>0</v>
      </c>
      <c r="K25" s="18" t="n">
        <v>0</v>
      </c>
      <c r="L25" s="20" t="n">
        <v>0</v>
      </c>
      <c r="M25" s="18" t="n">
        <v>0</v>
      </c>
      <c r="N25" s="20" t="n">
        <v>0</v>
      </c>
      <c r="O25" s="18" t="n">
        <v>0</v>
      </c>
      <c r="P25" s="20" t="n">
        <v>0</v>
      </c>
      <c r="Q25" s="18" t="n">
        <v>9.64233703</v>
      </c>
      <c r="R25" s="20" t="n">
        <v>0.91226379</v>
      </c>
    </row>
    <row r="26" spans="1:18">
      <c r="A26" s="15" t="s">
        <v>584</v>
      </c>
      <c r="B26" s="17" t="n">
        <v>4869</v>
      </c>
      <c r="C26" s="18">
        <f>(3764.0/B26*100)</f>
        <v/>
      </c>
      <c r="D26" s="19" t="n">
        <v>1105</v>
      </c>
      <c r="E26" s="18" t="n">
        <v>83.71950421</v>
      </c>
      <c r="F26" s="20" t="n">
        <v>1.25560867</v>
      </c>
      <c r="G26" s="18" t="n">
        <v>5.41830251</v>
      </c>
      <c r="H26" s="20" t="n">
        <v>0.73651834</v>
      </c>
      <c r="I26" s="18" t="n">
        <v>0</v>
      </c>
      <c r="J26" s="20" t="n">
        <v>0</v>
      </c>
      <c r="K26" s="18" t="n">
        <v>0</v>
      </c>
      <c r="L26" s="20" t="n">
        <v>0</v>
      </c>
      <c r="M26" s="18" t="n">
        <v>0</v>
      </c>
      <c r="N26" s="20" t="n">
        <v>0</v>
      </c>
      <c r="O26" s="18" t="n">
        <v>0</v>
      </c>
      <c r="P26" s="20" t="n">
        <v>0</v>
      </c>
      <c r="Q26" s="18" t="n">
        <v>10.86219328</v>
      </c>
      <c r="R26" s="20" t="n">
        <v>0.92918326</v>
      </c>
    </row>
    <row r="27" spans="1:18">
      <c r="A27" s="15" t="s">
        <v>585</v>
      </c>
      <c r="B27" s="17" t="n">
        <v>5299</v>
      </c>
      <c r="C27" s="18">
        <f>(4163.0/B27*100)</f>
        <v/>
      </c>
      <c r="D27" s="19" t="n">
        <v>1136</v>
      </c>
      <c r="E27" s="18" t="n">
        <v>79.32801526</v>
      </c>
      <c r="F27" s="20" t="n">
        <v>1.29532454</v>
      </c>
      <c r="G27" s="18" t="n">
        <v>9.165462359999999</v>
      </c>
      <c r="H27" s="20" t="n">
        <v>0.88707314</v>
      </c>
      <c r="I27" s="18" t="n">
        <v>0</v>
      </c>
      <c r="J27" s="20" t="n">
        <v>0</v>
      </c>
      <c r="K27" s="18" t="n">
        <v>0.08430965999999999</v>
      </c>
      <c r="L27" s="20" t="n">
        <v>0.08431465</v>
      </c>
      <c r="M27" s="18" t="n">
        <v>0</v>
      </c>
      <c r="N27" s="20" t="n">
        <v>0</v>
      </c>
      <c r="O27" s="18" t="n">
        <v>0</v>
      </c>
      <c r="P27" s="20" t="n">
        <v>0</v>
      </c>
      <c r="Q27" s="18" t="n">
        <v>11.42221272</v>
      </c>
      <c r="R27" s="20" t="n">
        <v>1.05273242</v>
      </c>
    </row>
    <row r="28" spans="1:18">
      <c r="A28" s="15" t="s">
        <v>586</v>
      </c>
      <c r="B28" s="17" t="n">
        <v>7568</v>
      </c>
      <c r="C28" s="18">
        <f>(5984.0/B28*100)</f>
        <v/>
      </c>
      <c r="D28" s="19" t="n">
        <v>1584</v>
      </c>
      <c r="E28" s="18" t="n">
        <v>80.82908816</v>
      </c>
      <c r="F28" s="20" t="n">
        <v>1.24356927</v>
      </c>
      <c r="G28" s="18" t="n">
        <v>2.04310432</v>
      </c>
      <c r="H28" s="20" t="n">
        <v>0.38314736</v>
      </c>
      <c r="I28" s="18" t="n">
        <v>0</v>
      </c>
      <c r="J28" s="20" t="n">
        <v>0</v>
      </c>
      <c r="K28" s="18" t="n">
        <v>0.57947644</v>
      </c>
      <c r="L28" s="20" t="n">
        <v>0.20638125</v>
      </c>
      <c r="M28" s="18" t="n">
        <v>0</v>
      </c>
      <c r="N28" s="20" t="n">
        <v>0</v>
      </c>
      <c r="O28" s="18" t="n">
        <v>0</v>
      </c>
      <c r="P28" s="20" t="n">
        <v>0</v>
      </c>
      <c r="Q28" s="18" t="n">
        <v>16.54833109</v>
      </c>
      <c r="R28" s="20" t="n">
        <v>1.13707538</v>
      </c>
    </row>
    <row r="29" spans="1:18">
      <c r="A29" s="15" t="s">
        <v>587</v>
      </c>
      <c r="B29" s="17" t="n">
        <v>5385</v>
      </c>
      <c r="C29" s="18">
        <f>(4213.0/B29*100)</f>
        <v/>
      </c>
      <c r="D29" s="19" t="n">
        <v>1172</v>
      </c>
      <c r="E29" s="18" t="n">
        <v>80.03069932</v>
      </c>
      <c r="F29" s="20" t="n">
        <v>1.28114963</v>
      </c>
      <c r="G29" s="18" t="n">
        <v>6.47765447</v>
      </c>
      <c r="H29" s="20" t="n">
        <v>0.80279408</v>
      </c>
      <c r="I29" s="18" t="n">
        <v>0</v>
      </c>
      <c r="J29" s="20" t="n">
        <v>0</v>
      </c>
      <c r="K29" s="18" t="n">
        <v>0.35863887</v>
      </c>
      <c r="L29" s="20" t="n">
        <v>0.11977717</v>
      </c>
      <c r="M29" s="18" t="n">
        <v>0</v>
      </c>
      <c r="N29" s="20" t="n">
        <v>0</v>
      </c>
      <c r="O29" s="18" t="n">
        <v>0</v>
      </c>
      <c r="P29" s="20" t="n">
        <v>0</v>
      </c>
      <c r="Q29" s="18" t="n">
        <v>13.13300735</v>
      </c>
      <c r="R29" s="20" t="n">
        <v>0.99331188</v>
      </c>
    </row>
    <row r="30" spans="1:18">
      <c r="A30" s="15" t="s">
        <v>588</v>
      </c>
      <c r="B30" s="17" t="n">
        <v>4520</v>
      </c>
      <c r="C30" s="18">
        <f>(3559.0/B30*100)</f>
        <v/>
      </c>
      <c r="D30" s="19" t="n">
        <v>961</v>
      </c>
      <c r="E30" s="18" t="n">
        <v>76.32787816</v>
      </c>
      <c r="F30" s="20" t="n">
        <v>1.48962008</v>
      </c>
      <c r="G30" s="18" t="n">
        <v>9.87586003</v>
      </c>
      <c r="H30" s="20" t="n">
        <v>0.97829372</v>
      </c>
      <c r="I30" s="18" t="n">
        <v>0</v>
      </c>
      <c r="J30" s="20" t="n">
        <v>0</v>
      </c>
      <c r="K30" s="18" t="n">
        <v>0.09951247000000001</v>
      </c>
      <c r="L30" s="20" t="n">
        <v>0.08573134</v>
      </c>
      <c r="M30" s="18" t="n">
        <v>0</v>
      </c>
      <c r="N30" s="20" t="n">
        <v>0</v>
      </c>
      <c r="O30" s="18" t="n">
        <v>0</v>
      </c>
      <c r="P30" s="20" t="n">
        <v>0</v>
      </c>
      <c r="Q30" s="18" t="n">
        <v>13.69674934</v>
      </c>
      <c r="R30" s="20" t="n">
        <v>1.29948273</v>
      </c>
    </row>
    <row r="31" spans="1:18">
      <c r="A31" s="15" t="s">
        <v>589</v>
      </c>
      <c r="B31" s="17" t="n">
        <v>5456</v>
      </c>
      <c r="C31" s="18">
        <f>(4282.0/B31*100)</f>
        <v/>
      </c>
      <c r="D31" s="19" t="n">
        <v>1174</v>
      </c>
      <c r="E31" s="18" t="n">
        <v>83.15465514</v>
      </c>
      <c r="F31" s="20" t="n">
        <v>1.25896212</v>
      </c>
      <c r="G31" s="18" t="n">
        <v>6.61222026</v>
      </c>
      <c r="H31" s="20" t="n">
        <v>0.80095723</v>
      </c>
      <c r="I31" s="18" t="n">
        <v>0</v>
      </c>
      <c r="J31" s="20" t="n">
        <v>0</v>
      </c>
      <c r="K31" s="18" t="n">
        <v>0.55403364</v>
      </c>
      <c r="L31" s="20" t="n">
        <v>0.20712117</v>
      </c>
      <c r="M31" s="18" t="n">
        <v>0</v>
      </c>
      <c r="N31" s="20" t="n">
        <v>0</v>
      </c>
      <c r="O31" s="18" t="n">
        <v>0</v>
      </c>
      <c r="P31" s="20" t="n">
        <v>0</v>
      </c>
      <c r="Q31" s="18" t="n">
        <v>9.679090950000001</v>
      </c>
      <c r="R31" s="20" t="n">
        <v>0.82730963</v>
      </c>
    </row>
    <row r="32" spans="1:18">
      <c r="A32" s="15" t="s">
        <v>590</v>
      </c>
      <c r="B32" s="17" t="n">
        <v>4478</v>
      </c>
      <c r="C32" s="18">
        <f>(3536.0/B32*100)</f>
        <v/>
      </c>
      <c r="D32" s="19" t="n">
        <v>942</v>
      </c>
      <c r="E32" s="18" t="n">
        <v>84.79651273</v>
      </c>
      <c r="F32" s="20" t="n">
        <v>1.1504852</v>
      </c>
      <c r="G32" s="18" t="n">
        <v>4.46227564</v>
      </c>
      <c r="H32" s="20" t="n">
        <v>0.679709</v>
      </c>
      <c r="I32" s="18" t="n">
        <v>0</v>
      </c>
      <c r="J32" s="20" t="n">
        <v>0</v>
      </c>
      <c r="K32" s="18" t="n">
        <v>0.09104142</v>
      </c>
      <c r="L32" s="20" t="n">
        <v>0.09100339</v>
      </c>
      <c r="M32" s="18" t="n">
        <v>0</v>
      </c>
      <c r="N32" s="20" t="n">
        <v>0</v>
      </c>
      <c r="O32" s="18" t="n">
        <v>0</v>
      </c>
      <c r="P32" s="20" t="n">
        <v>0</v>
      </c>
      <c r="Q32" s="18" t="n">
        <v>10.65017021</v>
      </c>
      <c r="R32" s="20" t="n">
        <v>1.06720345</v>
      </c>
    </row>
    <row r="33" spans="1:18">
      <c r="A33" s="15" t="s">
        <v>591</v>
      </c>
      <c r="B33" s="17" t="n">
        <v>7325</v>
      </c>
      <c r="C33" s="18">
        <f>(5713.0/B33*100)</f>
        <v/>
      </c>
      <c r="D33" s="19" t="n">
        <v>1612</v>
      </c>
      <c r="E33" s="18" t="n">
        <v>84.17737344</v>
      </c>
      <c r="F33" s="20" t="n">
        <v>1.15921867</v>
      </c>
      <c r="G33" s="18" t="n">
        <v>4.67067455</v>
      </c>
      <c r="H33" s="20" t="n">
        <v>0.66387659</v>
      </c>
      <c r="I33" s="18" t="n">
        <v>0</v>
      </c>
      <c r="J33" s="20" t="n">
        <v>0</v>
      </c>
      <c r="K33" s="18" t="n">
        <v>0</v>
      </c>
      <c r="L33" s="20" t="n">
        <v>0</v>
      </c>
      <c r="M33" s="18" t="n">
        <v>0</v>
      </c>
      <c r="N33" s="20" t="n">
        <v>0</v>
      </c>
      <c r="O33" s="18" t="n">
        <v>0</v>
      </c>
      <c r="P33" s="20" t="n">
        <v>0</v>
      </c>
      <c r="Q33" s="18" t="n">
        <v>11.151952</v>
      </c>
      <c r="R33" s="20" t="n">
        <v>1.03133629</v>
      </c>
    </row>
    <row r="34" spans="1:18">
      <c r="A34" s="15" t="s">
        <v>592</v>
      </c>
      <c r="B34" s="17" t="n">
        <v>6350</v>
      </c>
      <c r="C34" s="18">
        <f>(4988.0/B34*100)</f>
        <v/>
      </c>
      <c r="D34" s="19" t="n">
        <v>1362</v>
      </c>
      <c r="E34" s="18" t="n">
        <v>80.06041279</v>
      </c>
      <c r="F34" s="20" t="n">
        <v>1.20790865</v>
      </c>
      <c r="G34" s="18" t="n">
        <v>3.07062205</v>
      </c>
      <c r="H34" s="20" t="n">
        <v>0.5315292700000001</v>
      </c>
      <c r="I34" s="18" t="n">
        <v>0</v>
      </c>
      <c r="J34" s="20" t="n">
        <v>0</v>
      </c>
      <c r="K34" s="18" t="n">
        <v>0.12728445</v>
      </c>
      <c r="L34" s="20" t="n">
        <v>0.09045045</v>
      </c>
      <c r="M34" s="18" t="n">
        <v>0</v>
      </c>
      <c r="N34" s="20" t="n">
        <v>0</v>
      </c>
      <c r="O34" s="18" t="n">
        <v>0</v>
      </c>
      <c r="P34" s="20" t="n">
        <v>0</v>
      </c>
      <c r="Q34" s="18" t="n">
        <v>16.74168071</v>
      </c>
      <c r="R34" s="20" t="n">
        <v>1.1917712</v>
      </c>
    </row>
    <row r="35" spans="1:18">
      <c r="A35" s="15" t="s">
        <v>593</v>
      </c>
      <c r="B35" s="17" t="n">
        <v>6406</v>
      </c>
      <c r="C35" s="18">
        <f>(4979.0/B35*100)</f>
        <v/>
      </c>
      <c r="D35" s="19" t="n">
        <v>1427</v>
      </c>
      <c r="E35" s="18" t="n">
        <v>80.23261051999999</v>
      </c>
      <c r="F35" s="20" t="n">
        <v>1.29809029</v>
      </c>
      <c r="G35" s="18" t="n">
        <v>9.68916804</v>
      </c>
      <c r="H35" s="20" t="n">
        <v>1.07165625</v>
      </c>
      <c r="I35" s="18" t="n">
        <v>0</v>
      </c>
      <c r="J35" s="20" t="n">
        <v>0</v>
      </c>
      <c r="K35" s="18" t="n">
        <v>0.06574845999999999</v>
      </c>
      <c r="L35" s="20" t="n">
        <v>0.0465982</v>
      </c>
      <c r="M35" s="18" t="n">
        <v>0</v>
      </c>
      <c r="N35" s="20" t="n">
        <v>0</v>
      </c>
      <c r="O35" s="18" t="n">
        <v>0</v>
      </c>
      <c r="P35" s="20" t="n">
        <v>0</v>
      </c>
      <c r="Q35" s="18" t="n">
        <v>10.01247297</v>
      </c>
      <c r="R35" s="20" t="n">
        <v>0.94353963</v>
      </c>
    </row>
    <row r="36" spans="1:18">
      <c r="A36" s="15" t="s">
        <v>594</v>
      </c>
      <c r="B36" s="17" t="n">
        <v>6736</v>
      </c>
      <c r="C36" s="18">
        <f>(5244.0/B36*100)</f>
        <v/>
      </c>
      <c r="D36" s="19" t="n">
        <v>1492</v>
      </c>
      <c r="E36" s="18" t="n">
        <v>79.47416459</v>
      </c>
      <c r="F36" s="20" t="n">
        <v>1.08447925</v>
      </c>
      <c r="G36" s="18" t="n">
        <v>4.77228111</v>
      </c>
      <c r="H36" s="20" t="n">
        <v>0.56342342</v>
      </c>
      <c r="I36" s="18" t="n">
        <v>0</v>
      </c>
      <c r="J36" s="20" t="n">
        <v>0</v>
      </c>
      <c r="K36" s="18" t="n">
        <v>0.27235964</v>
      </c>
      <c r="L36" s="20" t="n">
        <v>0.16721138</v>
      </c>
      <c r="M36" s="18" t="n">
        <v>0</v>
      </c>
      <c r="N36" s="20" t="n">
        <v>0</v>
      </c>
      <c r="O36" s="18" t="n">
        <v>0</v>
      </c>
      <c r="P36" s="20" t="n">
        <v>0</v>
      </c>
      <c r="Q36" s="18" t="n">
        <v>15.48119465</v>
      </c>
      <c r="R36" s="20" t="n">
        <v>0.92489732</v>
      </c>
    </row>
    <row r="37" spans="1:18">
      <c r="A37" s="15" t="s">
        <v>595</v>
      </c>
      <c r="B37" s="17" t="n">
        <v>5458</v>
      </c>
      <c r="C37" s="18">
        <f>(4273.0/B37*100)</f>
        <v/>
      </c>
      <c r="D37" s="19" t="n">
        <v>1185</v>
      </c>
      <c r="E37" s="18" t="n">
        <v>74.45584313000001</v>
      </c>
      <c r="F37" s="20" t="n">
        <v>1.20232247</v>
      </c>
      <c r="G37" s="18" t="n">
        <v>7.37405596</v>
      </c>
      <c r="H37" s="20" t="n">
        <v>0.74178739</v>
      </c>
      <c r="I37" s="18" t="n">
        <v>0</v>
      </c>
      <c r="J37" s="20" t="n">
        <v>0</v>
      </c>
      <c r="K37" s="18" t="n">
        <v>0.6662494</v>
      </c>
      <c r="L37" s="20" t="n">
        <v>0.22825018</v>
      </c>
      <c r="M37" s="18" t="n">
        <v>0</v>
      </c>
      <c r="N37" s="20" t="n">
        <v>0</v>
      </c>
      <c r="O37" s="18" t="n">
        <v>0</v>
      </c>
      <c r="P37" s="20" t="n">
        <v>0</v>
      </c>
      <c r="Q37" s="18" t="n">
        <v>17.50385151</v>
      </c>
      <c r="R37" s="20" t="n">
        <v>1.08870489</v>
      </c>
    </row>
    <row r="38" spans="1:18">
      <c r="A38" s="15" t="s">
        <v>596</v>
      </c>
      <c r="B38" s="17" t="n">
        <v>5860</v>
      </c>
      <c r="C38" s="18">
        <f>(4509.0/B38*100)</f>
        <v/>
      </c>
      <c r="D38" s="19" t="n">
        <v>1351</v>
      </c>
      <c r="E38" s="18" t="n">
        <v>79.85748782</v>
      </c>
      <c r="F38" s="20" t="n">
        <v>1.22297315</v>
      </c>
      <c r="G38" s="18" t="n">
        <v>11.46614609</v>
      </c>
      <c r="H38" s="20" t="n">
        <v>0.8538116</v>
      </c>
      <c r="I38" s="18" t="n">
        <v>0</v>
      </c>
      <c r="J38" s="20" t="n">
        <v>0</v>
      </c>
      <c r="K38" s="18" t="n">
        <v>0.1597457</v>
      </c>
      <c r="L38" s="20" t="n">
        <v>0.12233948</v>
      </c>
      <c r="M38" s="18" t="n">
        <v>0</v>
      </c>
      <c r="N38" s="20" t="n">
        <v>0</v>
      </c>
      <c r="O38" s="18" t="n">
        <v>0</v>
      </c>
      <c r="P38" s="20" t="n">
        <v>0</v>
      </c>
      <c r="Q38" s="18" t="n">
        <v>8.516620400000001</v>
      </c>
      <c r="R38" s="20" t="n">
        <v>0.84027005</v>
      </c>
    </row>
    <row r="39" spans="1:18">
      <c r="A39" s="15" t="s">
        <v>597</v>
      </c>
      <c r="B39" s="17" t="n">
        <v>5895</v>
      </c>
      <c r="C39" s="18">
        <f>(4592.0/B39*100)</f>
        <v/>
      </c>
      <c r="D39" s="19" t="n">
        <v>1303</v>
      </c>
      <c r="E39" s="18" t="n">
        <v>78.57850039</v>
      </c>
      <c r="F39" s="20" t="n">
        <v>1.5747122</v>
      </c>
      <c r="G39" s="18" t="n">
        <v>1.81571206</v>
      </c>
      <c r="H39" s="20" t="n">
        <v>0.60179403</v>
      </c>
      <c r="I39" s="18" t="n">
        <v>0</v>
      </c>
      <c r="J39" s="20" t="n">
        <v>0</v>
      </c>
      <c r="K39" s="18" t="n">
        <v>0.17028547</v>
      </c>
      <c r="L39" s="20" t="n">
        <v>0.12156566</v>
      </c>
      <c r="M39" s="18" t="n">
        <v>0</v>
      </c>
      <c r="N39" s="20" t="n">
        <v>0</v>
      </c>
      <c r="O39" s="18" t="n">
        <v>0</v>
      </c>
      <c r="P39" s="20" t="n">
        <v>0</v>
      </c>
      <c r="Q39" s="18" t="n">
        <v>19.43550207</v>
      </c>
      <c r="R39" s="20" t="n">
        <v>1.58927317</v>
      </c>
    </row>
    <row r="40" spans="1:18">
      <c r="A40" s="15" t="s">
        <v>598</v>
      </c>
      <c r="B40" s="17" t="n">
        <v>14157</v>
      </c>
      <c r="C40" s="18">
        <f>(10975.0/B40*100)</f>
        <v/>
      </c>
      <c r="D40" s="19" t="n">
        <v>3182</v>
      </c>
      <c r="E40" s="18" t="n">
        <v>82.22077299</v>
      </c>
      <c r="F40" s="20" t="n">
        <v>1.19056331</v>
      </c>
      <c r="G40" s="18" t="n">
        <v>6.89273623</v>
      </c>
      <c r="H40" s="20" t="n">
        <v>0.75817159</v>
      </c>
      <c r="I40" s="18" t="n">
        <v>0</v>
      </c>
      <c r="J40" s="20" t="n">
        <v>0</v>
      </c>
      <c r="K40" s="18" t="n">
        <v>0.12209656</v>
      </c>
      <c r="L40" s="20" t="n">
        <v>0.06261603</v>
      </c>
      <c r="M40" s="18" t="n">
        <v>0</v>
      </c>
      <c r="N40" s="20" t="n">
        <v>0</v>
      </c>
      <c r="O40" s="18" t="n">
        <v>0</v>
      </c>
      <c r="P40" s="20" t="n">
        <v>0</v>
      </c>
      <c r="Q40" s="18" t="n">
        <v>10.76439422</v>
      </c>
      <c r="R40" s="20" t="n">
        <v>0.8502916700000001</v>
      </c>
    </row>
    <row r="41" spans="1:18">
      <c r="A41" s="15" t="s">
        <v>599</v>
      </c>
      <c r="B41" s="17" t="n">
        <v>5712</v>
      </c>
      <c r="C41" s="18">
        <f>(4506.0/B41*100)</f>
        <v/>
      </c>
      <c r="D41" s="19" t="n">
        <v>1206</v>
      </c>
      <c r="E41" s="18" t="n">
        <v>79.66241755</v>
      </c>
      <c r="F41" s="20" t="n">
        <v>1.24546173</v>
      </c>
      <c r="G41" s="18" t="n">
        <v>6.00292377</v>
      </c>
      <c r="H41" s="20" t="n">
        <v>0.66418464</v>
      </c>
      <c r="I41" s="18" t="n">
        <v>0</v>
      </c>
      <c r="J41" s="20" t="n">
        <v>0</v>
      </c>
      <c r="K41" s="18" t="n">
        <v>0.20750414</v>
      </c>
      <c r="L41" s="20" t="n">
        <v>0.13241317</v>
      </c>
      <c r="M41" s="18" t="n">
        <v>0</v>
      </c>
      <c r="N41" s="20" t="n">
        <v>0</v>
      </c>
      <c r="O41" s="18" t="n">
        <v>0</v>
      </c>
      <c r="P41" s="20" t="n">
        <v>0</v>
      </c>
      <c r="Q41" s="18" t="n">
        <v>14.12715454</v>
      </c>
      <c r="R41" s="20" t="n">
        <v>1.0788129</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(18860.0/B46*100)</f>
        <v/>
      </c>
      <c r="D46" s="19" t="n">
        <v>4281</v>
      </c>
      <c r="E46" s="18" t="n">
        <v>65.36821401</v>
      </c>
      <c r="F46" s="20" t="n">
        <v>1.10156518</v>
      </c>
      <c r="G46" s="18" t="n">
        <v>1.59725067</v>
      </c>
      <c r="H46" s="20" t="n">
        <v>0.25189375</v>
      </c>
      <c r="I46" s="18" t="n">
        <v>0</v>
      </c>
      <c r="J46" s="20" t="n">
        <v>0</v>
      </c>
      <c r="K46" s="18" t="n">
        <v>1.13064166</v>
      </c>
      <c r="L46" s="20" t="n">
        <v>0.26481476</v>
      </c>
      <c r="M46" s="18" t="n">
        <v>0</v>
      </c>
      <c r="N46" s="20" t="n">
        <v>0</v>
      </c>
      <c r="O46" s="18" t="n">
        <v>0</v>
      </c>
      <c r="P46" s="20" t="n">
        <v>0</v>
      </c>
      <c r="Q46" s="18" t="n">
        <v>31.90389365</v>
      </c>
      <c r="R46" s="20" t="n">
        <v>1.07636457</v>
      </c>
    </row>
    <row r="47" spans="1:18">
      <c r="A47" s="15" t="s">
        <v>606</v>
      </c>
      <c r="B47" s="17" t="n">
        <v>5928</v>
      </c>
      <c r="C47" s="18">
        <f>(4636.0/B47*100)</f>
        <v/>
      </c>
      <c r="D47" s="19" t="n">
        <v>1292</v>
      </c>
      <c r="E47" s="18" t="n">
        <v>78.86704868</v>
      </c>
      <c r="F47" s="20" t="n">
        <v>1.28199045</v>
      </c>
      <c r="G47" s="18" t="n">
        <v>3.18098383</v>
      </c>
      <c r="H47" s="20" t="n">
        <v>0.53107688</v>
      </c>
      <c r="I47" s="18" t="n">
        <v>0</v>
      </c>
      <c r="J47" s="20" t="n">
        <v>0</v>
      </c>
      <c r="K47" s="18" t="n">
        <v>0.46001323</v>
      </c>
      <c r="L47" s="20" t="n">
        <v>0.20084115</v>
      </c>
      <c r="M47" s="18" t="n">
        <v>0</v>
      </c>
      <c r="N47" s="20" t="n">
        <v>0</v>
      </c>
      <c r="O47" s="18" t="n">
        <v>0</v>
      </c>
      <c r="P47" s="20" t="n">
        <v>0</v>
      </c>
      <c r="Q47" s="18" t="n">
        <v>17.49195426</v>
      </c>
      <c r="R47" s="20" t="n">
        <v>1.25424453</v>
      </c>
    </row>
    <row r="48" spans="1:18">
      <c r="A48" s="15" t="s">
        <v>607</v>
      </c>
      <c r="B48" s="17" t="n">
        <v>9841</v>
      </c>
      <c r="C48" s="18">
        <f>(7696.0/B48*100)</f>
        <v/>
      </c>
      <c r="D48" s="19" t="n">
        <v>2145</v>
      </c>
      <c r="E48" s="18" t="n">
        <v>77.15821682000001</v>
      </c>
      <c r="F48" s="20" t="n">
        <v>1.1526061</v>
      </c>
      <c r="G48" s="18" t="n">
        <v>9.16113749</v>
      </c>
      <c r="H48" s="20" t="n">
        <v>1.04103519</v>
      </c>
      <c r="I48" s="18" t="n">
        <v>0</v>
      </c>
      <c r="J48" s="20" t="n">
        <v>0</v>
      </c>
      <c r="K48" s="18" t="n">
        <v>0.76697436</v>
      </c>
      <c r="L48" s="20" t="n">
        <v>0.2302376</v>
      </c>
      <c r="M48" s="18" t="n">
        <v>0</v>
      </c>
      <c r="N48" s="20" t="n">
        <v>0</v>
      </c>
      <c r="O48" s="18" t="n">
        <v>0</v>
      </c>
      <c r="P48" s="20" t="n">
        <v>0</v>
      </c>
      <c r="Q48" s="18" t="n">
        <v>12.91367133</v>
      </c>
      <c r="R48" s="20" t="n">
        <v>1.0737275</v>
      </c>
    </row>
    <row r="49" spans="1:18">
      <c r="A49" s="15" t="s">
        <v>608</v>
      </c>
      <c r="B49" s="17" t="n">
        <v>11795</v>
      </c>
      <c r="C49" s="18">
        <f>(9235.0/B49*100)</f>
        <v/>
      </c>
      <c r="D49" s="19" t="n">
        <v>2560</v>
      </c>
      <c r="E49" s="18" t="n">
        <v>75.38318044</v>
      </c>
      <c r="F49" s="20" t="n">
        <v>1.56049887</v>
      </c>
      <c r="G49" s="18" t="n">
        <v>1.10164628</v>
      </c>
      <c r="H49" s="20" t="n">
        <v>0.28686947</v>
      </c>
      <c r="I49" s="18" t="n">
        <v>0</v>
      </c>
      <c r="J49" s="20" t="n">
        <v>0</v>
      </c>
      <c r="K49" s="18" t="n">
        <v>1.25352139</v>
      </c>
      <c r="L49" s="20" t="n">
        <v>0.32910036</v>
      </c>
      <c r="M49" s="18" t="n">
        <v>0</v>
      </c>
      <c r="N49" s="20" t="n">
        <v>0</v>
      </c>
      <c r="O49" s="18" t="n">
        <v>0</v>
      </c>
      <c r="P49" s="20" t="n">
        <v>0</v>
      </c>
      <c r="Q49" s="18" t="n">
        <v>22.26165189</v>
      </c>
      <c r="R49" s="20" t="n">
        <v>1.51080313</v>
      </c>
    </row>
    <row r="50" spans="1:18">
      <c r="A50" s="15" t="s">
        <v>609</v>
      </c>
      <c r="B50" s="17" t="n">
        <v>6866</v>
      </c>
      <c r="C50" s="18">
        <f>(5556.0/B50*100)</f>
        <v/>
      </c>
      <c r="D50" s="19" t="n">
        <v>1310</v>
      </c>
      <c r="E50" s="18" t="n">
        <v>75.15238952</v>
      </c>
      <c r="F50" s="20" t="n">
        <v>1.43020779</v>
      </c>
      <c r="G50" s="18" t="n">
        <v>1.65891614</v>
      </c>
      <c r="H50" s="20" t="n">
        <v>0.3785724</v>
      </c>
      <c r="I50" s="18" t="n">
        <v>0</v>
      </c>
      <c r="J50" s="20" t="n">
        <v>0</v>
      </c>
      <c r="K50" s="18" t="n">
        <v>1.03732636</v>
      </c>
      <c r="L50" s="20" t="n">
        <v>0.35409204</v>
      </c>
      <c r="M50" s="18" t="n">
        <v>0</v>
      </c>
      <c r="N50" s="20" t="n">
        <v>0</v>
      </c>
      <c r="O50" s="18" t="n">
        <v>0</v>
      </c>
      <c r="P50" s="20" t="n">
        <v>0</v>
      </c>
      <c r="Q50" s="18" t="n">
        <v>22.15136799</v>
      </c>
      <c r="R50" s="20" t="n">
        <v>1.2945946</v>
      </c>
    </row>
    <row r="51" spans="1:18">
      <c r="A51" s="15" t="s">
        <v>610</v>
      </c>
      <c r="B51" s="17" t="n">
        <v>5809</v>
      </c>
      <c r="C51" s="18">
        <f>(4543.0/B51*100)</f>
        <v/>
      </c>
      <c r="D51" s="19" t="n">
        <v>1266</v>
      </c>
      <c r="E51" s="18" t="n">
        <v>85.75386365999999</v>
      </c>
      <c r="F51" s="20" t="n">
        <v>1.05541236</v>
      </c>
      <c r="G51" s="18" t="n">
        <v>4.3735766</v>
      </c>
      <c r="H51" s="20" t="n">
        <v>0.65691443</v>
      </c>
      <c r="I51" s="18" t="n">
        <v>0</v>
      </c>
      <c r="J51" s="20" t="n">
        <v>0</v>
      </c>
      <c r="K51" s="18" t="n">
        <v>0.08036174</v>
      </c>
      <c r="L51" s="20" t="n">
        <v>0.07865234</v>
      </c>
      <c r="M51" s="18" t="n">
        <v>0</v>
      </c>
      <c r="N51" s="20" t="n">
        <v>0</v>
      </c>
      <c r="O51" s="18" t="n">
        <v>0</v>
      </c>
      <c r="P51" s="20" t="n">
        <v>0</v>
      </c>
      <c r="Q51" s="18" t="n">
        <v>9.792198000000001</v>
      </c>
      <c r="R51" s="20" t="n">
        <v>0.9497330899999999</v>
      </c>
    </row>
    <row r="52" spans="1:18">
      <c r="A52" s="15" t="s">
        <v>611</v>
      </c>
      <c r="B52" s="17" t="n">
        <v>5571</v>
      </c>
      <c r="C52" s="18">
        <f>(4347.0/B52*100)</f>
        <v/>
      </c>
      <c r="D52" s="19" t="n">
        <v>1224</v>
      </c>
      <c r="E52" s="18" t="n">
        <v>77.48842439000001</v>
      </c>
      <c r="F52" s="20" t="n">
        <v>1.22043009</v>
      </c>
      <c r="G52" s="18" t="n">
        <v>1.73666096</v>
      </c>
      <c r="H52" s="20" t="n">
        <v>0.47001437</v>
      </c>
      <c r="I52" s="18" t="n">
        <v>0</v>
      </c>
      <c r="J52" s="20" t="n">
        <v>0</v>
      </c>
      <c r="K52" s="18" t="n">
        <v>0.16695584</v>
      </c>
      <c r="L52" s="20" t="n">
        <v>0.12306353</v>
      </c>
      <c r="M52" s="18" t="n">
        <v>0</v>
      </c>
      <c r="N52" s="20" t="n">
        <v>0</v>
      </c>
      <c r="O52" s="18" t="n">
        <v>0</v>
      </c>
      <c r="P52" s="20" t="n">
        <v>0</v>
      </c>
      <c r="Q52" s="18" t="n">
        <v>20.60795881</v>
      </c>
      <c r="R52" s="20" t="n">
        <v>1.19807559</v>
      </c>
    </row>
    <row r="53" spans="1:18">
      <c r="A53" s="15" t="s">
        <v>612</v>
      </c>
      <c r="B53" s="17" t="n">
        <v>4740</v>
      </c>
      <c r="C53" s="18">
        <f>(3681.0/B53*100)</f>
        <v/>
      </c>
      <c r="D53" s="19" t="n">
        <v>1059</v>
      </c>
      <c r="E53" s="18" t="n">
        <v>53.29787635</v>
      </c>
      <c r="F53" s="20" t="n">
        <v>2.12180527</v>
      </c>
      <c r="G53" s="18" t="n">
        <v>0.25780761</v>
      </c>
      <c r="H53" s="20" t="n">
        <v>0.14921931</v>
      </c>
      <c r="I53" s="18" t="n">
        <v>0</v>
      </c>
      <c r="J53" s="20" t="n">
        <v>0</v>
      </c>
      <c r="K53" s="18" t="n">
        <v>9.972463960000001</v>
      </c>
      <c r="L53" s="20" t="n">
        <v>0.99105973</v>
      </c>
      <c r="M53" s="18" t="n">
        <v>0</v>
      </c>
      <c r="N53" s="20" t="n">
        <v>0</v>
      </c>
      <c r="O53" s="18" t="n">
        <v>0</v>
      </c>
      <c r="P53" s="20" t="n">
        <v>0</v>
      </c>
      <c r="Q53" s="18" t="n">
        <v>36.47185207</v>
      </c>
      <c r="R53" s="20" t="n">
        <v>2.03800436</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(4157.0/B55*100)</f>
        <v/>
      </c>
      <c r="D55" s="19" t="n">
        <v>1202</v>
      </c>
      <c r="E55" s="18" t="n">
        <v>77.11572387</v>
      </c>
      <c r="F55" s="20" t="n">
        <v>1.22930311</v>
      </c>
      <c r="G55" s="18" t="n">
        <v>6.81461531</v>
      </c>
      <c r="H55" s="20" t="n">
        <v>0.77015708</v>
      </c>
      <c r="I55" s="18" t="n">
        <v>0</v>
      </c>
      <c r="J55" s="20" t="n">
        <v>0</v>
      </c>
      <c r="K55" s="18" t="n">
        <v>0.22298137</v>
      </c>
      <c r="L55" s="20" t="n">
        <v>0.18142396</v>
      </c>
      <c r="M55" s="18" t="n">
        <v>0</v>
      </c>
      <c r="N55" s="20" t="n">
        <v>0</v>
      </c>
      <c r="O55" s="18" t="n">
        <v>0</v>
      </c>
      <c r="P55" s="20" t="n">
        <v>0</v>
      </c>
      <c r="Q55" s="18" t="n">
        <v>15.84667945</v>
      </c>
      <c r="R55" s="20" t="n">
        <v>1.09378917</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(5090.0/B61*100)</f>
        <v/>
      </c>
      <c r="D61" s="19" t="n">
        <v>1435</v>
      </c>
      <c r="E61" s="18" t="n">
        <v>82.75566734</v>
      </c>
      <c r="F61" s="20" t="n">
        <v>1.19158416</v>
      </c>
      <c r="G61" s="18" t="n">
        <v>4.22294565</v>
      </c>
      <c r="H61" s="20" t="n">
        <v>0.57788147</v>
      </c>
      <c r="I61" s="18" t="n">
        <v>0</v>
      </c>
      <c r="J61" s="20" t="n">
        <v>0</v>
      </c>
      <c r="K61" s="18" t="n">
        <v>0.3585447</v>
      </c>
      <c r="L61" s="20" t="n">
        <v>0.22378936</v>
      </c>
      <c r="M61" s="18" t="n">
        <v>0</v>
      </c>
      <c r="N61" s="20" t="n">
        <v>0</v>
      </c>
      <c r="O61" s="18" t="n">
        <v>0</v>
      </c>
      <c r="P61" s="20" t="n">
        <v>0</v>
      </c>
      <c r="Q61" s="18" t="n">
        <v>12.6628423</v>
      </c>
      <c r="R61" s="20" t="n">
        <v>1.03035667</v>
      </c>
    </row>
    <row r="62" spans="1:18">
      <c r="A62" s="15" t="s">
        <v>622</v>
      </c>
      <c r="B62" s="17" t="n">
        <v>4476</v>
      </c>
      <c r="C62" s="18">
        <f>(3480.0/B62*100)</f>
        <v/>
      </c>
      <c r="D62" s="19" t="n">
        <v>996</v>
      </c>
      <c r="E62" s="18" t="n">
        <v>83.82033443</v>
      </c>
      <c r="F62" s="20" t="n">
        <v>1.20759319</v>
      </c>
      <c r="G62" s="18" t="n">
        <v>7.0155861</v>
      </c>
      <c r="H62" s="20" t="n">
        <v>0.80700759</v>
      </c>
      <c r="I62" s="18" t="n">
        <v>0</v>
      </c>
      <c r="J62" s="20" t="n">
        <v>0</v>
      </c>
      <c r="K62" s="18" t="n">
        <v>0</v>
      </c>
      <c r="L62" s="20" t="n">
        <v>0</v>
      </c>
      <c r="M62" s="18" t="n">
        <v>0</v>
      </c>
      <c r="N62" s="20" t="n">
        <v>0</v>
      </c>
      <c r="O62" s="18" t="n">
        <v>0</v>
      </c>
      <c r="P62" s="20" t="n">
        <v>0</v>
      </c>
      <c r="Q62" s="18" t="n">
        <v>9.16407946</v>
      </c>
      <c r="R62" s="20" t="n">
        <v>0.92509715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(4469.0/B67*100)</f>
        <v/>
      </c>
      <c r="D67" s="19" t="n">
        <v>1196</v>
      </c>
      <c r="E67" s="18" t="n">
        <v>71.53544814999999</v>
      </c>
      <c r="F67" s="20" t="n">
        <v>1.28690192</v>
      </c>
      <c r="G67" s="18" t="n">
        <v>1.01152684</v>
      </c>
      <c r="H67" s="20" t="n">
        <v>0.30594499</v>
      </c>
      <c r="I67" s="18" t="n">
        <v>0</v>
      </c>
      <c r="J67" s="20" t="n">
        <v>0</v>
      </c>
      <c r="K67" s="18" t="n">
        <v>0.42394308</v>
      </c>
      <c r="L67" s="20" t="n">
        <v>0.19158484</v>
      </c>
      <c r="M67" s="18" t="n">
        <v>0</v>
      </c>
      <c r="N67" s="20" t="n">
        <v>0</v>
      </c>
      <c r="O67" s="18" t="n">
        <v>0</v>
      </c>
      <c r="P67" s="20" t="n">
        <v>0</v>
      </c>
      <c r="Q67" s="18" t="n">
        <v>27.02908194</v>
      </c>
      <c r="R67" s="20" t="n">
        <v>1.25878334</v>
      </c>
    </row>
    <row r="68" spans="1:18">
      <c r="A68" s="15" t="s">
        <v>628</v>
      </c>
      <c r="B68" s="17" t="n">
        <v>6971</v>
      </c>
      <c r="C68" s="18">
        <f>(5584.0/B68*100)</f>
        <v/>
      </c>
      <c r="D68" s="19" t="n">
        <v>1387</v>
      </c>
      <c r="E68" s="18" t="n">
        <v>76.99512566</v>
      </c>
      <c r="F68" s="20" t="n">
        <v>1.22325526</v>
      </c>
      <c r="G68" s="18" t="n">
        <v>1.50388347</v>
      </c>
      <c r="H68" s="20" t="n">
        <v>0.36308595</v>
      </c>
      <c r="I68" s="18" t="n">
        <v>0</v>
      </c>
      <c r="J68" s="20" t="n">
        <v>0</v>
      </c>
      <c r="K68" s="18" t="n">
        <v>0.38398008</v>
      </c>
      <c r="L68" s="20" t="n">
        <v>0.22070959</v>
      </c>
      <c r="M68" s="18" t="n">
        <v>0</v>
      </c>
      <c r="N68" s="20" t="n">
        <v>0</v>
      </c>
      <c r="O68" s="18" t="n">
        <v>0</v>
      </c>
      <c r="P68" s="20" t="n">
        <v>0</v>
      </c>
      <c r="Q68" s="18" t="n">
        <v>21.11701079</v>
      </c>
      <c r="R68" s="20" t="n">
        <v>1.13585041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(9379.0/B70*100)</f>
        <v/>
      </c>
      <c r="D70" s="19" t="n">
        <v>2704</v>
      </c>
      <c r="E70" s="18" t="n">
        <v>72.4368571</v>
      </c>
      <c r="F70" s="20" t="n">
        <v>0.86341915</v>
      </c>
      <c r="G70" s="18" t="n">
        <v>3.07919298</v>
      </c>
      <c r="H70" s="20" t="n">
        <v>0.30970309</v>
      </c>
      <c r="I70" s="18" t="n">
        <v>0</v>
      </c>
      <c r="J70" s="20" t="n">
        <v>0</v>
      </c>
      <c r="K70" s="18" t="n">
        <v>1.88856323</v>
      </c>
      <c r="L70" s="20" t="n">
        <v>0.21526873</v>
      </c>
      <c r="M70" s="18" t="n">
        <v>0</v>
      </c>
      <c r="N70" s="20" t="n">
        <v>0</v>
      </c>
      <c r="O70" s="18" t="n">
        <v>0</v>
      </c>
      <c r="P70" s="20" t="n">
        <v>0</v>
      </c>
      <c r="Q70" s="18" t="n">
        <v>22.59538669</v>
      </c>
      <c r="R70" s="20" t="n">
        <v>0.81417863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(4731.0/B72*100)</f>
        <v/>
      </c>
      <c r="D72" s="19" t="n">
        <v>1305</v>
      </c>
      <c r="E72" s="18" t="n">
        <v>84.49160068</v>
      </c>
      <c r="F72" s="20" t="n">
        <v>1.06960288</v>
      </c>
      <c r="G72" s="18" t="n">
        <v>5.50758865</v>
      </c>
      <c r="H72" s="20" t="n">
        <v>0.71340103</v>
      </c>
      <c r="I72" s="18" t="n">
        <v>0</v>
      </c>
      <c r="J72" s="20" t="n">
        <v>0</v>
      </c>
      <c r="K72" s="18" t="n">
        <v>0.30900835</v>
      </c>
      <c r="L72" s="20" t="n">
        <v>0.1252532</v>
      </c>
      <c r="M72" s="18" t="n">
        <v>0</v>
      </c>
      <c r="N72" s="20" t="n">
        <v>0</v>
      </c>
      <c r="O72" s="18" t="n">
        <v>0</v>
      </c>
      <c r="P72" s="20" t="n">
        <v>0</v>
      </c>
      <c r="Q72" s="18" t="n">
        <v>9.691802320000001</v>
      </c>
      <c r="R72" s="20" t="n">
        <v>1.09701765</v>
      </c>
    </row>
    <row r="73" spans="1:18">
      <c r="A73" s="15" t="s">
        <v>633</v>
      </c>
      <c r="B73" s="17" t="n">
        <v>6115</v>
      </c>
      <c r="C73" s="18">
        <f>(4790.0/B73*100)</f>
        <v/>
      </c>
      <c r="D73" s="19" t="n">
        <v>1325</v>
      </c>
      <c r="E73" s="18" t="n">
        <v>72.41658344</v>
      </c>
      <c r="F73" s="20" t="n">
        <v>1.32880716</v>
      </c>
      <c r="G73" s="18" t="n">
        <v>16.06725609</v>
      </c>
      <c r="H73" s="20" t="n">
        <v>1.03034261</v>
      </c>
      <c r="I73" s="18" t="n">
        <v>0</v>
      </c>
      <c r="J73" s="20" t="n">
        <v>0</v>
      </c>
      <c r="K73" s="18" t="n">
        <v>0.15066259</v>
      </c>
      <c r="L73" s="20" t="n">
        <v>0.10729823</v>
      </c>
      <c r="M73" s="18" t="n">
        <v>0</v>
      </c>
      <c r="N73" s="20" t="n">
        <v>0</v>
      </c>
      <c r="O73" s="18" t="n">
        <v>0</v>
      </c>
      <c r="P73" s="20" t="n">
        <v>0</v>
      </c>
      <c r="Q73" s="18" t="n">
        <v>11.36549788</v>
      </c>
      <c r="R73" s="20" t="n">
        <v>1.01409434</v>
      </c>
    </row>
    <row r="74" spans="1:18">
      <c r="A74" s="15" t="s">
        <v>634</v>
      </c>
      <c r="B74" s="17" t="n">
        <v>7708</v>
      </c>
      <c r="C74" s="18">
        <f>(6067.0/B74*100)</f>
        <v/>
      </c>
      <c r="D74" s="19" t="n">
        <v>1641</v>
      </c>
      <c r="E74" s="18" t="n">
        <v>78.96533118000001</v>
      </c>
      <c r="F74" s="20" t="n">
        <v>1.02230396</v>
      </c>
      <c r="G74" s="18" t="n">
        <v>7.59684836</v>
      </c>
      <c r="H74" s="20" t="n">
        <v>0.64748726</v>
      </c>
      <c r="I74" s="18" t="n">
        <v>0</v>
      </c>
      <c r="J74" s="20" t="n">
        <v>0</v>
      </c>
      <c r="K74" s="18" t="n">
        <v>0.20748204</v>
      </c>
      <c r="L74" s="20" t="n">
        <v>0.15737902</v>
      </c>
      <c r="M74" s="18" t="n">
        <v>0</v>
      </c>
      <c r="N74" s="20" t="n">
        <v>0</v>
      </c>
      <c r="O74" s="18" t="n">
        <v>0</v>
      </c>
      <c r="P74" s="20" t="n">
        <v>0</v>
      </c>
      <c r="Q74" s="18" t="n">
        <v>13.23033843</v>
      </c>
      <c r="R74" s="20" t="n">
        <v>0.87949361</v>
      </c>
    </row>
    <row r="75" spans="1:18">
      <c r="A75" s="15" t="s">
        <v>635</v>
      </c>
      <c r="B75" s="17" t="n">
        <v>8249</v>
      </c>
      <c r="C75" s="18">
        <f>(6447.0/B75*100)</f>
        <v/>
      </c>
      <c r="D75" s="19" t="n">
        <v>1802</v>
      </c>
      <c r="E75" s="18" t="n">
        <v>72.74798736</v>
      </c>
      <c r="F75" s="20" t="n">
        <v>1.35173617</v>
      </c>
      <c r="G75" s="18" t="n">
        <v>2.68854566</v>
      </c>
      <c r="H75" s="20" t="n">
        <v>0.56772224</v>
      </c>
      <c r="I75" s="18" t="n">
        <v>0</v>
      </c>
      <c r="J75" s="20" t="n">
        <v>0</v>
      </c>
      <c r="K75" s="18" t="n">
        <v>0.15766725</v>
      </c>
      <c r="L75" s="20" t="n">
        <v>0.09846154999999999</v>
      </c>
      <c r="M75" s="18" t="n">
        <v>0</v>
      </c>
      <c r="N75" s="20" t="n">
        <v>0</v>
      </c>
      <c r="O75" s="18" t="n">
        <v>0</v>
      </c>
      <c r="P75" s="20" t="n">
        <v>0</v>
      </c>
      <c r="Q75" s="18" t="n">
        <v>24.40579973</v>
      </c>
      <c r="R75" s="20" t="n">
        <v>1.38733935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(4288.0/B77*100)</f>
        <v/>
      </c>
      <c r="D77" s="19" t="n">
        <v>1087</v>
      </c>
      <c r="E77" s="18" t="n">
        <v>69.56089588</v>
      </c>
      <c r="F77" s="20" t="n">
        <v>1.47285988</v>
      </c>
      <c r="G77" s="18" t="n">
        <v>1.15487016</v>
      </c>
      <c r="H77" s="20" t="n">
        <v>0.31952868</v>
      </c>
      <c r="I77" s="18" t="n">
        <v>0</v>
      </c>
      <c r="J77" s="20" t="n">
        <v>0</v>
      </c>
      <c r="K77" s="18" t="n">
        <v>2.17254351</v>
      </c>
      <c r="L77" s="20" t="n">
        <v>0.48418582</v>
      </c>
      <c r="M77" s="18" t="n">
        <v>0</v>
      </c>
      <c r="N77" s="20" t="n">
        <v>0</v>
      </c>
      <c r="O77" s="18" t="n">
        <v>0</v>
      </c>
      <c r="P77" s="20" t="n">
        <v>0</v>
      </c>
      <c r="Q77" s="18" t="n">
        <v>27.11169045</v>
      </c>
      <c r="R77" s="20" t="n">
        <v>1.36615914</v>
      </c>
    </row>
    <row r="78" spans="1:18">
      <c r="A78" s="15" t="s">
        <v>638</v>
      </c>
      <c r="B78" s="17" t="n">
        <v>14167</v>
      </c>
      <c r="C78" s="18">
        <f>(11024.0/B78*100)</f>
        <v/>
      </c>
      <c r="D78" s="19" t="n">
        <v>3143</v>
      </c>
      <c r="E78" s="18" t="n">
        <v>75.60781811</v>
      </c>
      <c r="F78" s="20" t="n">
        <v>0.96312122</v>
      </c>
      <c r="G78" s="18" t="n">
        <v>3.66043615</v>
      </c>
      <c r="H78" s="20" t="n">
        <v>0.44190224</v>
      </c>
      <c r="I78" s="18" t="n">
        <v>0</v>
      </c>
      <c r="J78" s="20" t="n">
        <v>0</v>
      </c>
      <c r="K78" s="18" t="n">
        <v>0.9423854699999999</v>
      </c>
      <c r="L78" s="20" t="n">
        <v>0.20042134</v>
      </c>
      <c r="M78" s="18" t="n">
        <v>0</v>
      </c>
      <c r="N78" s="20" t="n">
        <v>0</v>
      </c>
      <c r="O78" s="18" t="n">
        <v>0</v>
      </c>
      <c r="P78" s="20" t="n">
        <v>0</v>
      </c>
      <c r="Q78" s="18" t="n">
        <v>19.78936027</v>
      </c>
      <c r="R78" s="20" t="n">
        <v>0.80437037</v>
      </c>
    </row>
    <row r="79" spans="1:18">
      <c r="A79" s="15" t="s">
        <v>639</v>
      </c>
      <c r="B79" s="17" t="n">
        <v>6062</v>
      </c>
      <c r="C79" s="18">
        <f>(4727.0/B79*100)</f>
        <v/>
      </c>
      <c r="D79" s="19" t="n">
        <v>1335</v>
      </c>
      <c r="E79" s="18" t="n">
        <v>77.52981978</v>
      </c>
      <c r="F79" s="20" t="n">
        <v>1.26231602</v>
      </c>
      <c r="G79" s="18" t="n">
        <v>2.62672018</v>
      </c>
      <c r="H79" s="20" t="n">
        <v>0.54441602</v>
      </c>
      <c r="I79" s="18" t="n">
        <v>0</v>
      </c>
      <c r="J79" s="20" t="n">
        <v>0</v>
      </c>
      <c r="K79" s="18" t="n">
        <v>0.37245342</v>
      </c>
      <c r="L79" s="20" t="n">
        <v>0.16844937</v>
      </c>
      <c r="M79" s="18" t="n">
        <v>0</v>
      </c>
      <c r="N79" s="20" t="n">
        <v>0</v>
      </c>
      <c r="O79" s="18" t="n">
        <v>0</v>
      </c>
      <c r="P79" s="20" t="n">
        <v>0</v>
      </c>
      <c r="Q79" s="18" t="n">
        <v>19.47100662</v>
      </c>
      <c r="R79" s="20" t="n">
        <v>1.23880395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(25183.0/B82*100)</f>
        <v/>
      </c>
      <c r="D82" s="19" t="n">
        <v>7147</v>
      </c>
      <c r="E82" s="18" t="n">
        <v>80.27951031000001</v>
      </c>
      <c r="F82" s="20" t="n">
        <v>0.6516334499999999</v>
      </c>
      <c r="G82" s="18" t="n">
        <v>5.2317313</v>
      </c>
      <c r="H82" s="20" t="n">
        <v>0.34337579</v>
      </c>
      <c r="I82" s="18" t="n">
        <v>0</v>
      </c>
      <c r="J82" s="20" t="n">
        <v>0</v>
      </c>
      <c r="K82" s="18" t="n">
        <v>0.24969792</v>
      </c>
      <c r="L82" s="20" t="n">
        <v>0.08803168</v>
      </c>
      <c r="M82" s="18" t="n">
        <v>0</v>
      </c>
      <c r="N82" s="20" t="n">
        <v>0</v>
      </c>
      <c r="O82" s="18" t="n">
        <v>0</v>
      </c>
      <c r="P82" s="20" t="n">
        <v>0</v>
      </c>
      <c r="Q82" s="18" t="n">
        <v>14.23906047</v>
      </c>
      <c r="R82" s="20" t="n">
        <v>0.61175818</v>
      </c>
    </row>
    <row r="83" spans="1:18">
      <c r="A83" s="15" t="s">
        <v>643</v>
      </c>
      <c r="B83" s="17" t="n">
        <v>1652</v>
      </c>
      <c r="C83" s="18">
        <f>(1292.0/B83*100)</f>
        <v/>
      </c>
      <c r="D83" s="19" t="n">
        <v>360</v>
      </c>
      <c r="E83" s="18" t="n">
        <v>81.86441671999999</v>
      </c>
      <c r="F83" s="20" t="n">
        <v>2.10913091</v>
      </c>
      <c r="G83" s="18" t="n">
        <v>7.24134751</v>
      </c>
      <c r="H83" s="20" t="n">
        <v>1.48579775</v>
      </c>
      <c r="I83" s="18" t="n">
        <v>0</v>
      </c>
      <c r="J83" s="20" t="n">
        <v>0</v>
      </c>
      <c r="K83" s="18" t="n">
        <v>0</v>
      </c>
      <c r="L83" s="20" t="n">
        <v>0</v>
      </c>
      <c r="M83" s="18" t="n">
        <v>0</v>
      </c>
      <c r="N83" s="20" t="n">
        <v>0</v>
      </c>
      <c r="O83" s="18" t="n">
        <v>0</v>
      </c>
      <c r="P83" s="20" t="n">
        <v>0</v>
      </c>
      <c r="Q83" s="18" t="n">
        <v>10.89423577</v>
      </c>
      <c r="R83" s="20" t="n">
        <v>2.00961805</v>
      </c>
    </row>
    <row r="84" spans="1:18">
      <c r="A84" s="23" t="s">
        <v>644</v>
      </c>
      <c r="B84" s="24" t="n">
        <v>1887</v>
      </c>
      <c r="C84" s="25">
        <f>(1498.0/B84*100)</f>
        <v/>
      </c>
      <c r="D84" s="19" t="n">
        <v>389</v>
      </c>
      <c r="E84" s="18" t="n">
        <v>85.36512577000001</v>
      </c>
      <c r="F84" s="20" t="n">
        <v>1.77085715</v>
      </c>
      <c r="G84" s="18" t="n">
        <v>3.90479607</v>
      </c>
      <c r="H84" s="20" t="n">
        <v>0.99704949</v>
      </c>
      <c r="I84" s="18" t="n">
        <v>0</v>
      </c>
      <c r="J84" s="20" t="n">
        <v>0</v>
      </c>
      <c r="K84" s="18" t="n">
        <v>0</v>
      </c>
      <c r="L84" s="20" t="n">
        <v>0</v>
      </c>
      <c r="M84" s="18" t="n">
        <v>0</v>
      </c>
      <c r="N84" s="20" t="n">
        <v>0</v>
      </c>
      <c r="O84" s="18" t="n">
        <v>0</v>
      </c>
      <c r="P84" s="20" t="n">
        <v>0</v>
      </c>
      <c r="Q84" s="18" t="n">
        <v>10.73007817</v>
      </c>
      <c r="R84" s="20" t="n">
        <v>1.50108309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(11393.0/B7*100)</f>
        <v/>
      </c>
      <c r="D7" s="19" t="n">
        <v>3137</v>
      </c>
      <c r="E7" s="18" t="n">
        <v>28.04307303</v>
      </c>
      <c r="F7" s="20" t="n">
        <v>1.04635955</v>
      </c>
      <c r="G7" s="18" t="n">
        <v>69.52118081</v>
      </c>
      <c r="H7" s="20" t="n">
        <v>1.07456215</v>
      </c>
      <c r="I7" s="18" t="n">
        <v>0</v>
      </c>
      <c r="J7" s="20" t="n">
        <v>0</v>
      </c>
      <c r="K7" s="18" t="n">
        <v>0.41391265</v>
      </c>
      <c r="L7" s="20" t="n">
        <v>0.11857969</v>
      </c>
      <c r="M7" s="18" t="n">
        <v>0</v>
      </c>
      <c r="N7" s="20" t="n">
        <v>0</v>
      </c>
      <c r="O7" s="18" t="n">
        <v>0</v>
      </c>
      <c r="P7" s="20" t="n">
        <v>0</v>
      </c>
      <c r="Q7" s="18" t="n">
        <v>2.02183351</v>
      </c>
      <c r="R7" s="20" t="n">
        <v>0.26352271</v>
      </c>
    </row>
    <row r="8" spans="1:18">
      <c r="A8" s="15" t="s">
        <v>566</v>
      </c>
      <c r="B8" s="17" t="n">
        <v>7007</v>
      </c>
      <c r="C8" s="18">
        <f>(5456.0/B8*100)</f>
        <v/>
      </c>
      <c r="D8" s="19" t="n">
        <v>1551</v>
      </c>
      <c r="E8" s="18" t="n">
        <v>34.705472</v>
      </c>
      <c r="F8" s="20" t="n">
        <v>1.49405796</v>
      </c>
      <c r="G8" s="18" t="n">
        <v>62.2285778</v>
      </c>
      <c r="H8" s="20" t="n">
        <v>1.55273793</v>
      </c>
      <c r="I8" s="18" t="n">
        <v>0</v>
      </c>
      <c r="J8" s="20" t="n">
        <v>0</v>
      </c>
      <c r="K8" s="18" t="n">
        <v>0.15170986</v>
      </c>
      <c r="L8" s="20" t="n">
        <v>0.10572245</v>
      </c>
      <c r="M8" s="18" t="n">
        <v>0</v>
      </c>
      <c r="N8" s="20" t="n">
        <v>0</v>
      </c>
      <c r="O8" s="18" t="n">
        <v>0</v>
      </c>
      <c r="P8" s="20" t="n">
        <v>0</v>
      </c>
      <c r="Q8" s="18" t="n">
        <v>2.91424035</v>
      </c>
      <c r="R8" s="20" t="n">
        <v>0.50410532</v>
      </c>
    </row>
    <row r="9" spans="1:18">
      <c r="A9" s="15" t="s">
        <v>567</v>
      </c>
      <c r="B9" s="17" t="n">
        <v>9651</v>
      </c>
      <c r="C9" s="18">
        <f>(7555.0/B9*100)</f>
        <v/>
      </c>
      <c r="D9" s="19" t="n">
        <v>2096</v>
      </c>
      <c r="E9" s="18" t="n">
        <v>29.49782087</v>
      </c>
      <c r="F9" s="20" t="n">
        <v>1.1087359</v>
      </c>
      <c r="G9" s="18" t="n">
        <v>67.49285123999999</v>
      </c>
      <c r="H9" s="20" t="n">
        <v>1.18117455</v>
      </c>
      <c r="I9" s="18" t="n">
        <v>0</v>
      </c>
      <c r="J9" s="20" t="n">
        <v>0</v>
      </c>
      <c r="K9" s="18" t="n">
        <v>0.29697092</v>
      </c>
      <c r="L9" s="20" t="n">
        <v>0.11618653</v>
      </c>
      <c r="M9" s="18" t="n">
        <v>0</v>
      </c>
      <c r="N9" s="20" t="n">
        <v>0</v>
      </c>
      <c r="O9" s="18" t="n">
        <v>0</v>
      </c>
      <c r="P9" s="20" t="n">
        <v>0</v>
      </c>
      <c r="Q9" s="18" t="n">
        <v>2.71235698</v>
      </c>
      <c r="R9" s="20" t="n">
        <v>0.37884461</v>
      </c>
    </row>
    <row r="10" spans="1:18">
      <c r="A10" s="15" t="s">
        <v>568</v>
      </c>
      <c r="B10" s="17" t="n">
        <v>20058</v>
      </c>
      <c r="C10" s="18">
        <f>(15615.0/B10*100)</f>
        <v/>
      </c>
      <c r="D10" s="19" t="n">
        <v>4443</v>
      </c>
      <c r="E10" s="18" t="n">
        <v>21.54194153</v>
      </c>
      <c r="F10" s="20" t="n">
        <v>0.99176949</v>
      </c>
      <c r="G10" s="18" t="n">
        <v>75.80550373</v>
      </c>
      <c r="H10" s="20" t="n">
        <v>1.07335334</v>
      </c>
      <c r="I10" s="18" t="n">
        <v>0</v>
      </c>
      <c r="J10" s="20" t="n">
        <v>0</v>
      </c>
      <c r="K10" s="18" t="n">
        <v>0.41663729</v>
      </c>
      <c r="L10" s="20" t="n">
        <v>0.15135988</v>
      </c>
      <c r="M10" s="18" t="n">
        <v>0</v>
      </c>
      <c r="N10" s="20" t="n">
        <v>0</v>
      </c>
      <c r="O10" s="18" t="n">
        <v>0</v>
      </c>
      <c r="P10" s="20" t="n">
        <v>0</v>
      </c>
      <c r="Q10" s="18" t="n">
        <v>2.23591746</v>
      </c>
      <c r="R10" s="20" t="n">
        <v>0.2864267</v>
      </c>
    </row>
    <row r="11" spans="1:18">
      <c r="A11" s="15" t="s">
        <v>569</v>
      </c>
      <c r="B11" s="17" t="n">
        <v>7053</v>
      </c>
      <c r="C11" s="18">
        <f>(5488.0/B11*100)</f>
        <v/>
      </c>
      <c r="D11" s="19" t="n">
        <v>1565</v>
      </c>
      <c r="E11" s="18" t="n">
        <v>39.07377514</v>
      </c>
      <c r="F11" s="20" t="n">
        <v>1.54571235</v>
      </c>
      <c r="G11" s="18" t="n">
        <v>55.85714996</v>
      </c>
      <c r="H11" s="20" t="n">
        <v>1.6418153</v>
      </c>
      <c r="I11" s="18" t="n">
        <v>0</v>
      </c>
      <c r="J11" s="20" t="n">
        <v>0</v>
      </c>
      <c r="K11" s="18" t="n">
        <v>0.62295581</v>
      </c>
      <c r="L11" s="20" t="n">
        <v>0.24472685</v>
      </c>
      <c r="M11" s="18" t="n">
        <v>0</v>
      </c>
      <c r="N11" s="20" t="n">
        <v>0</v>
      </c>
      <c r="O11" s="18" t="n">
        <v>0</v>
      </c>
      <c r="P11" s="20" t="n">
        <v>0</v>
      </c>
      <c r="Q11" s="18" t="n">
        <v>4.4461191</v>
      </c>
      <c r="R11" s="20" t="n">
        <v>0.59356007</v>
      </c>
    </row>
    <row r="12" spans="1:18">
      <c r="A12" s="15" t="s">
        <v>570</v>
      </c>
      <c r="B12" s="17" t="n">
        <v>6894</v>
      </c>
      <c r="C12" s="18">
        <f>(5412.0/B12*100)</f>
        <v/>
      </c>
      <c r="D12" s="19" t="n">
        <v>1482</v>
      </c>
      <c r="E12" s="18" t="n">
        <v>36.41842596</v>
      </c>
      <c r="F12" s="20" t="n">
        <v>1.37169282</v>
      </c>
      <c r="G12" s="18" t="n">
        <v>61.44362145</v>
      </c>
      <c r="H12" s="20" t="n">
        <v>1.44349575</v>
      </c>
      <c r="I12" s="18" t="n">
        <v>0</v>
      </c>
      <c r="J12" s="20" t="n">
        <v>0</v>
      </c>
      <c r="K12" s="18" t="n">
        <v>0.05901676</v>
      </c>
      <c r="L12" s="20" t="n">
        <v>0.05606351</v>
      </c>
      <c r="M12" s="18" t="n">
        <v>0</v>
      </c>
      <c r="N12" s="20" t="n">
        <v>0</v>
      </c>
      <c r="O12" s="18" t="n">
        <v>0</v>
      </c>
      <c r="P12" s="20" t="n">
        <v>0</v>
      </c>
      <c r="Q12" s="18" t="n">
        <v>2.07893583</v>
      </c>
      <c r="R12" s="20" t="n">
        <v>0.49375624</v>
      </c>
    </row>
    <row r="13" spans="1:18">
      <c r="A13" s="15" t="s">
        <v>571</v>
      </c>
      <c r="B13" s="17" t="n">
        <v>7161</v>
      </c>
      <c r="C13" s="18">
        <f>(5700.0/B13*100)</f>
        <v/>
      </c>
      <c r="D13" s="19" t="n">
        <v>1461</v>
      </c>
      <c r="E13" s="18" t="n">
        <v>30.65306023</v>
      </c>
      <c r="F13" s="20" t="n">
        <v>1.40399475</v>
      </c>
      <c r="G13" s="18" t="n">
        <v>67.18251228</v>
      </c>
      <c r="H13" s="20" t="n">
        <v>1.47934758</v>
      </c>
      <c r="I13" s="18" t="n">
        <v>0</v>
      </c>
      <c r="J13" s="20" t="n">
        <v>0</v>
      </c>
      <c r="K13" s="18" t="n">
        <v>0.59451507</v>
      </c>
      <c r="L13" s="20" t="n">
        <v>0.23291302</v>
      </c>
      <c r="M13" s="18" t="n">
        <v>0</v>
      </c>
      <c r="N13" s="20" t="n">
        <v>0</v>
      </c>
      <c r="O13" s="18" t="n">
        <v>0</v>
      </c>
      <c r="P13" s="20" t="n">
        <v>0</v>
      </c>
      <c r="Q13" s="18" t="n">
        <v>1.56991243</v>
      </c>
      <c r="R13" s="20" t="n">
        <v>0.40878643</v>
      </c>
    </row>
    <row r="14" spans="1:18">
      <c r="A14" s="15" t="s">
        <v>572</v>
      </c>
      <c r="B14" s="17" t="n">
        <v>5587</v>
      </c>
      <c r="C14" s="18">
        <f>(4327.0/B14*100)</f>
        <v/>
      </c>
      <c r="D14" s="19" t="n">
        <v>1260</v>
      </c>
      <c r="E14" s="18" t="n">
        <v>25.51491615</v>
      </c>
      <c r="F14" s="20" t="n">
        <v>1.49564978</v>
      </c>
      <c r="G14" s="18" t="n">
        <v>73.63275049000001</v>
      </c>
      <c r="H14" s="20" t="n">
        <v>1.5343343</v>
      </c>
      <c r="I14" s="18" t="n">
        <v>0</v>
      </c>
      <c r="J14" s="20" t="n">
        <v>0</v>
      </c>
      <c r="K14" s="18" t="n">
        <v>0.14547624</v>
      </c>
      <c r="L14" s="20" t="n">
        <v>0.1032808</v>
      </c>
      <c r="M14" s="18" t="n">
        <v>0</v>
      </c>
      <c r="N14" s="20" t="n">
        <v>0</v>
      </c>
      <c r="O14" s="18" t="n">
        <v>0</v>
      </c>
      <c r="P14" s="20" t="n">
        <v>0</v>
      </c>
      <c r="Q14" s="18" t="n">
        <v>0.70685712</v>
      </c>
      <c r="R14" s="20" t="n">
        <v>0.20609046</v>
      </c>
    </row>
    <row r="15" spans="1:18">
      <c r="A15" s="15" t="s">
        <v>573</v>
      </c>
      <c r="B15" s="17" t="n">
        <v>5882</v>
      </c>
      <c r="C15" s="18">
        <f>(4522.0/B15*100)</f>
        <v/>
      </c>
      <c r="D15" s="19" t="n">
        <v>1360</v>
      </c>
      <c r="E15" s="18" t="n">
        <v>23.07263832</v>
      </c>
      <c r="F15" s="20" t="n">
        <v>1.32131402</v>
      </c>
      <c r="G15" s="18" t="n">
        <v>75.75116272</v>
      </c>
      <c r="H15" s="20" t="n">
        <v>1.36586051</v>
      </c>
      <c r="I15" s="18" t="n">
        <v>0</v>
      </c>
      <c r="J15" s="20" t="n">
        <v>0</v>
      </c>
      <c r="K15" s="18" t="n">
        <v>0.08283243</v>
      </c>
      <c r="L15" s="20" t="n">
        <v>0.09089154000000001</v>
      </c>
      <c r="M15" s="18" t="n">
        <v>0</v>
      </c>
      <c r="N15" s="20" t="n">
        <v>0</v>
      </c>
      <c r="O15" s="18" t="n">
        <v>0</v>
      </c>
      <c r="P15" s="20" t="n">
        <v>0</v>
      </c>
      <c r="Q15" s="18" t="n">
        <v>1.09336652</v>
      </c>
      <c r="R15" s="20" t="n">
        <v>0.31943529</v>
      </c>
    </row>
    <row r="16" spans="1:18">
      <c r="A16" s="15" t="s">
        <v>574</v>
      </c>
      <c r="B16" s="17" t="n">
        <v>6108</v>
      </c>
      <c r="C16" s="18">
        <f>(4759.0/B16*100)</f>
        <v/>
      </c>
      <c r="D16" s="19" t="n">
        <v>1349</v>
      </c>
      <c r="E16" s="18" t="n">
        <v>23.68884671</v>
      </c>
      <c r="F16" s="20" t="n">
        <v>1.26768213</v>
      </c>
      <c r="G16" s="18" t="n">
        <v>70.99282719999999</v>
      </c>
      <c r="H16" s="20" t="n">
        <v>1.41657012</v>
      </c>
      <c r="I16" s="18" t="n">
        <v>0</v>
      </c>
      <c r="J16" s="20" t="n">
        <v>0</v>
      </c>
      <c r="K16" s="18" t="n">
        <v>0.78276555</v>
      </c>
      <c r="L16" s="20" t="n">
        <v>0.25204632</v>
      </c>
      <c r="M16" s="18" t="n">
        <v>0</v>
      </c>
      <c r="N16" s="20" t="n">
        <v>0</v>
      </c>
      <c r="O16" s="18" t="n">
        <v>0</v>
      </c>
      <c r="P16" s="20" t="n">
        <v>0</v>
      </c>
      <c r="Q16" s="18" t="n">
        <v>4.53556054</v>
      </c>
      <c r="R16" s="20" t="n">
        <v>0.60984485</v>
      </c>
    </row>
    <row r="17" spans="1:18">
      <c r="A17" s="15" t="s">
        <v>575</v>
      </c>
      <c r="B17" s="17" t="n">
        <v>6504</v>
      </c>
      <c r="C17" s="18">
        <f>(5131.0/B17*100)</f>
        <v/>
      </c>
      <c r="D17" s="19" t="n">
        <v>1373</v>
      </c>
      <c r="E17" s="18" t="n">
        <v>34.20701862</v>
      </c>
      <c r="F17" s="20" t="n">
        <v>1.3063708</v>
      </c>
      <c r="G17" s="18" t="n">
        <v>63.08509532</v>
      </c>
      <c r="H17" s="20" t="n">
        <v>1.29865072</v>
      </c>
      <c r="I17" s="18" t="n">
        <v>0</v>
      </c>
      <c r="J17" s="20" t="n">
        <v>0</v>
      </c>
      <c r="K17" s="18" t="n">
        <v>0.24157852</v>
      </c>
      <c r="L17" s="20" t="n">
        <v>0.14741385</v>
      </c>
      <c r="M17" s="18" t="n">
        <v>0</v>
      </c>
      <c r="N17" s="20" t="n">
        <v>0</v>
      </c>
      <c r="O17" s="18" t="n">
        <v>0</v>
      </c>
      <c r="P17" s="20" t="n">
        <v>0</v>
      </c>
      <c r="Q17" s="18" t="n">
        <v>2.46630754</v>
      </c>
      <c r="R17" s="20" t="n">
        <v>0.41159897</v>
      </c>
    </row>
    <row r="18" spans="1:18">
      <c r="A18" s="15" t="s">
        <v>576</v>
      </c>
      <c r="B18" s="17" t="n">
        <v>5532</v>
      </c>
      <c r="C18" s="18">
        <f>(4324.0/B18*100)</f>
        <v/>
      </c>
      <c r="D18" s="19" t="n">
        <v>1208</v>
      </c>
      <c r="E18" s="18" t="n">
        <v>37.35985829</v>
      </c>
      <c r="F18" s="20" t="n">
        <v>1.94087321</v>
      </c>
      <c r="G18" s="18" t="n">
        <v>58.90181178</v>
      </c>
      <c r="H18" s="20" t="n">
        <v>2.0700106</v>
      </c>
      <c r="I18" s="18" t="n">
        <v>0</v>
      </c>
      <c r="J18" s="20" t="n">
        <v>0</v>
      </c>
      <c r="K18" s="18" t="n">
        <v>0.483913</v>
      </c>
      <c r="L18" s="20" t="n">
        <v>0.2019976</v>
      </c>
      <c r="M18" s="18" t="n">
        <v>0</v>
      </c>
      <c r="N18" s="20" t="n">
        <v>0</v>
      </c>
      <c r="O18" s="18" t="n">
        <v>0</v>
      </c>
      <c r="P18" s="20" t="n">
        <v>0</v>
      </c>
      <c r="Q18" s="18" t="n">
        <v>3.25441692</v>
      </c>
      <c r="R18" s="20" t="n">
        <v>0.56079882</v>
      </c>
    </row>
    <row r="19" spans="1:18">
      <c r="A19" s="15" t="s">
        <v>577</v>
      </c>
      <c r="B19" s="17" t="n">
        <v>5658</v>
      </c>
      <c r="C19" s="18">
        <f>(4380.0/B19*100)</f>
        <v/>
      </c>
      <c r="D19" s="19" t="n">
        <v>1278</v>
      </c>
      <c r="E19" s="18" t="n">
        <v>40.58601162</v>
      </c>
      <c r="F19" s="20" t="n">
        <v>1.74361033</v>
      </c>
      <c r="G19" s="18" t="n">
        <v>57.45762492</v>
      </c>
      <c r="H19" s="20" t="n">
        <v>1.65696988</v>
      </c>
      <c r="I19" s="18" t="n">
        <v>0</v>
      </c>
      <c r="J19" s="20" t="n">
        <v>0</v>
      </c>
      <c r="K19" s="18" t="n">
        <v>0.07226214</v>
      </c>
      <c r="L19" s="20" t="n">
        <v>0.06109946</v>
      </c>
      <c r="M19" s="18" t="n">
        <v>0</v>
      </c>
      <c r="N19" s="20" t="n">
        <v>0</v>
      </c>
      <c r="O19" s="18" t="n">
        <v>0</v>
      </c>
      <c r="P19" s="20" t="n">
        <v>0</v>
      </c>
      <c r="Q19" s="18" t="n">
        <v>1.88410132</v>
      </c>
      <c r="R19" s="20" t="n">
        <v>0.45741463</v>
      </c>
    </row>
    <row r="20" spans="1:18">
      <c r="A20" s="15" t="s">
        <v>578</v>
      </c>
      <c r="B20" s="17" t="n">
        <v>3371</v>
      </c>
      <c r="C20" s="18">
        <f>(2636.0/B20*100)</f>
        <v/>
      </c>
      <c r="D20" s="19" t="n">
        <v>735</v>
      </c>
      <c r="E20" s="18" t="n">
        <v>42.56160313</v>
      </c>
      <c r="F20" s="20" t="n">
        <v>1.93347872</v>
      </c>
      <c r="G20" s="18" t="n">
        <v>52.41636739</v>
      </c>
      <c r="H20" s="20" t="n">
        <v>2.01611314</v>
      </c>
      <c r="I20" s="18" t="n">
        <v>0</v>
      </c>
      <c r="J20" s="20" t="n">
        <v>0</v>
      </c>
      <c r="K20" s="18" t="n">
        <v>0.39520459</v>
      </c>
      <c r="L20" s="20" t="n">
        <v>0.22543841</v>
      </c>
      <c r="M20" s="18" t="n">
        <v>0</v>
      </c>
      <c r="N20" s="20" t="n">
        <v>0</v>
      </c>
      <c r="O20" s="18" t="n">
        <v>0</v>
      </c>
      <c r="P20" s="20" t="n">
        <v>0</v>
      </c>
      <c r="Q20" s="18" t="n">
        <v>4.62682489</v>
      </c>
      <c r="R20" s="20" t="n">
        <v>0.68813242</v>
      </c>
    </row>
    <row r="21" spans="1:18">
      <c r="A21" s="15" t="s">
        <v>579</v>
      </c>
      <c r="B21" s="17" t="n">
        <v>5741</v>
      </c>
      <c r="C21" s="18">
        <f>(4489.0/B21*100)</f>
        <v/>
      </c>
      <c r="D21" s="19" t="n">
        <v>1252</v>
      </c>
      <c r="E21" s="18" t="n">
        <v>23.57632646</v>
      </c>
      <c r="F21" s="20" t="n">
        <v>1.32464047</v>
      </c>
      <c r="G21" s="18" t="n">
        <v>74.60444004999999</v>
      </c>
      <c r="H21" s="20" t="n">
        <v>1.2980536</v>
      </c>
      <c r="I21" s="18" t="n">
        <v>0</v>
      </c>
      <c r="J21" s="20" t="n">
        <v>0</v>
      </c>
      <c r="K21" s="18" t="n">
        <v>0.25332089</v>
      </c>
      <c r="L21" s="20" t="n">
        <v>0.12368449</v>
      </c>
      <c r="M21" s="18" t="n">
        <v>0</v>
      </c>
      <c r="N21" s="20" t="n">
        <v>0</v>
      </c>
      <c r="O21" s="18" t="n">
        <v>0</v>
      </c>
      <c r="P21" s="20" t="n">
        <v>0</v>
      </c>
      <c r="Q21" s="18" t="n">
        <v>1.5659126</v>
      </c>
      <c r="R21" s="20" t="n">
        <v>0.3246029</v>
      </c>
    </row>
    <row r="22" spans="1:18">
      <c r="A22" s="15" t="s">
        <v>580</v>
      </c>
      <c r="B22" s="17" t="n">
        <v>6598</v>
      </c>
      <c r="C22" s="18">
        <f>(5212.0/B22*100)</f>
        <v/>
      </c>
      <c r="D22" s="19" t="n">
        <v>1386</v>
      </c>
      <c r="E22" s="18" t="n">
        <v>35.4570067</v>
      </c>
      <c r="F22" s="20" t="n">
        <v>1.32561763</v>
      </c>
      <c r="G22" s="18" t="n">
        <v>60.01972538</v>
      </c>
      <c r="H22" s="20" t="n">
        <v>1.43554328</v>
      </c>
      <c r="I22" s="18" t="n">
        <v>0</v>
      </c>
      <c r="J22" s="20" t="n">
        <v>0</v>
      </c>
      <c r="K22" s="18" t="n">
        <v>0.75584338</v>
      </c>
      <c r="L22" s="20" t="n">
        <v>0.28673779</v>
      </c>
      <c r="M22" s="18" t="n">
        <v>0</v>
      </c>
      <c r="N22" s="20" t="n">
        <v>0</v>
      </c>
      <c r="O22" s="18" t="n">
        <v>0</v>
      </c>
      <c r="P22" s="20" t="n">
        <v>0</v>
      </c>
      <c r="Q22" s="18" t="n">
        <v>3.76742453</v>
      </c>
      <c r="R22" s="20" t="n">
        <v>0.61465687</v>
      </c>
    </row>
    <row r="23" spans="1:18">
      <c r="A23" s="15" t="s">
        <v>581</v>
      </c>
      <c r="B23" s="17" t="n">
        <v>11583</v>
      </c>
      <c r="C23" s="18">
        <f>(9005.0/B23*100)</f>
        <v/>
      </c>
      <c r="D23" s="19" t="n">
        <v>2578</v>
      </c>
      <c r="E23" s="18" t="n">
        <v>31.01909789</v>
      </c>
      <c r="F23" s="20" t="n">
        <v>1.18109213</v>
      </c>
      <c r="G23" s="18" t="n">
        <v>64.50840497</v>
      </c>
      <c r="H23" s="20" t="n">
        <v>1.31801847</v>
      </c>
      <c r="I23" s="18" t="n">
        <v>0</v>
      </c>
      <c r="J23" s="20" t="n">
        <v>0</v>
      </c>
      <c r="K23" s="18" t="n">
        <v>0.47924858</v>
      </c>
      <c r="L23" s="20" t="n">
        <v>0.2399204</v>
      </c>
      <c r="M23" s="18" t="n">
        <v>0</v>
      </c>
      <c r="N23" s="20" t="n">
        <v>0</v>
      </c>
      <c r="O23" s="18" t="n">
        <v>0</v>
      </c>
      <c r="P23" s="20" t="n">
        <v>0</v>
      </c>
      <c r="Q23" s="18" t="n">
        <v>3.99324855</v>
      </c>
      <c r="R23" s="20" t="n">
        <v>0.5878346800000001</v>
      </c>
    </row>
    <row r="24" spans="1:18">
      <c r="A24" s="15" t="s">
        <v>582</v>
      </c>
      <c r="B24" s="17" t="n">
        <v>6647</v>
      </c>
      <c r="C24" s="18">
        <f>(5207.0/B24*100)</f>
        <v/>
      </c>
      <c r="D24" s="19" t="n">
        <v>1440</v>
      </c>
      <c r="E24" s="18" t="n">
        <v>28.02473439</v>
      </c>
      <c r="F24" s="20" t="n">
        <v>1.32728623</v>
      </c>
      <c r="G24" s="18" t="n">
        <v>70.38049069</v>
      </c>
      <c r="H24" s="20" t="n">
        <v>1.36478141</v>
      </c>
      <c r="I24" s="18" t="n">
        <v>0</v>
      </c>
      <c r="J24" s="20" t="n">
        <v>0</v>
      </c>
      <c r="K24" s="18" t="n">
        <v>0.25412489</v>
      </c>
      <c r="L24" s="20" t="n">
        <v>0.12865176</v>
      </c>
      <c r="M24" s="18" t="n">
        <v>0</v>
      </c>
      <c r="N24" s="20" t="n">
        <v>0</v>
      </c>
      <c r="O24" s="18" t="n">
        <v>0</v>
      </c>
      <c r="P24" s="20" t="n">
        <v>0</v>
      </c>
      <c r="Q24" s="18" t="n">
        <v>1.34065003</v>
      </c>
      <c r="R24" s="20" t="n">
        <v>0.294809</v>
      </c>
    </row>
    <row r="25" spans="1:18">
      <c r="A25" s="15" t="s">
        <v>583</v>
      </c>
      <c r="B25" s="17" t="n">
        <v>5581</v>
      </c>
      <c r="C25" s="18">
        <f>(4366.0/B25*100)</f>
        <v/>
      </c>
      <c r="D25" s="19" t="n">
        <v>1215</v>
      </c>
      <c r="E25" s="18" t="n">
        <v>23.63658436</v>
      </c>
      <c r="F25" s="20" t="n">
        <v>1.2188648</v>
      </c>
      <c r="G25" s="18" t="n">
        <v>74.65696747</v>
      </c>
      <c r="H25" s="20" t="n">
        <v>1.29754471</v>
      </c>
      <c r="I25" s="18" t="n">
        <v>0</v>
      </c>
      <c r="J25" s="20" t="n">
        <v>0</v>
      </c>
      <c r="K25" s="18" t="n">
        <v>0</v>
      </c>
      <c r="L25" s="20" t="n">
        <v>0</v>
      </c>
      <c r="M25" s="18" t="n">
        <v>0</v>
      </c>
      <c r="N25" s="20" t="n">
        <v>0</v>
      </c>
      <c r="O25" s="18" t="n">
        <v>0</v>
      </c>
      <c r="P25" s="20" t="n">
        <v>0</v>
      </c>
      <c r="Q25" s="18" t="n">
        <v>1.70644817</v>
      </c>
      <c r="R25" s="20" t="n">
        <v>0.36133727</v>
      </c>
    </row>
    <row r="26" spans="1:18">
      <c r="A26" s="15" t="s">
        <v>584</v>
      </c>
      <c r="B26" s="17" t="n">
        <v>4869</v>
      </c>
      <c r="C26" s="18">
        <f>(3765.0/B26*100)</f>
        <v/>
      </c>
      <c r="D26" s="19" t="n">
        <v>1104</v>
      </c>
      <c r="E26" s="18" t="n">
        <v>35.07395346</v>
      </c>
      <c r="F26" s="20" t="n">
        <v>1.52387646</v>
      </c>
      <c r="G26" s="18" t="n">
        <v>64.14175204</v>
      </c>
      <c r="H26" s="20" t="n">
        <v>1.50419318</v>
      </c>
      <c r="I26" s="18" t="n">
        <v>0</v>
      </c>
      <c r="J26" s="20" t="n">
        <v>0</v>
      </c>
      <c r="K26" s="18" t="n">
        <v>0</v>
      </c>
      <c r="L26" s="20" t="n">
        <v>0</v>
      </c>
      <c r="M26" s="18" t="n">
        <v>0</v>
      </c>
      <c r="N26" s="20" t="n">
        <v>0</v>
      </c>
      <c r="O26" s="18" t="n">
        <v>0</v>
      </c>
      <c r="P26" s="20" t="n">
        <v>0</v>
      </c>
      <c r="Q26" s="18" t="n">
        <v>0.7842945099999999</v>
      </c>
      <c r="R26" s="20" t="n">
        <v>0.27408454</v>
      </c>
    </row>
    <row r="27" spans="1:18">
      <c r="A27" s="15" t="s">
        <v>585</v>
      </c>
      <c r="B27" s="17" t="n">
        <v>5299</v>
      </c>
      <c r="C27" s="18">
        <f>(4165.0/B27*100)</f>
        <v/>
      </c>
      <c r="D27" s="19" t="n">
        <v>1134</v>
      </c>
      <c r="E27" s="18" t="n">
        <v>33.22341729</v>
      </c>
      <c r="F27" s="20" t="n">
        <v>1.43508998</v>
      </c>
      <c r="G27" s="18" t="n">
        <v>64.19241804000001</v>
      </c>
      <c r="H27" s="20" t="n">
        <v>1.45329012</v>
      </c>
      <c r="I27" s="18" t="n">
        <v>0</v>
      </c>
      <c r="J27" s="20" t="n">
        <v>0</v>
      </c>
      <c r="K27" s="18" t="n">
        <v>0.17209134</v>
      </c>
      <c r="L27" s="20" t="n">
        <v>0.12136748</v>
      </c>
      <c r="M27" s="18" t="n">
        <v>0</v>
      </c>
      <c r="N27" s="20" t="n">
        <v>0</v>
      </c>
      <c r="O27" s="18" t="n">
        <v>0</v>
      </c>
      <c r="P27" s="20" t="n">
        <v>0</v>
      </c>
      <c r="Q27" s="18" t="n">
        <v>2.41207333</v>
      </c>
      <c r="R27" s="20" t="n">
        <v>0.43317827</v>
      </c>
    </row>
    <row r="28" spans="1:18">
      <c r="A28" s="15" t="s">
        <v>586</v>
      </c>
      <c r="B28" s="17" t="n">
        <v>7568</v>
      </c>
      <c r="C28" s="18">
        <f>(5995.0/B28*100)</f>
        <v/>
      </c>
      <c r="D28" s="19" t="n">
        <v>1573</v>
      </c>
      <c r="E28" s="18" t="n">
        <v>40.85623323</v>
      </c>
      <c r="F28" s="20" t="n">
        <v>1.38421249</v>
      </c>
      <c r="G28" s="18" t="n">
        <v>56.775561</v>
      </c>
      <c r="H28" s="20" t="n">
        <v>1.3986745</v>
      </c>
      <c r="I28" s="18" t="n">
        <v>0</v>
      </c>
      <c r="J28" s="20" t="n">
        <v>0</v>
      </c>
      <c r="K28" s="18" t="n">
        <v>0.69496286</v>
      </c>
      <c r="L28" s="20" t="n">
        <v>0.28448068</v>
      </c>
      <c r="M28" s="18" t="n">
        <v>0</v>
      </c>
      <c r="N28" s="20" t="n">
        <v>0</v>
      </c>
      <c r="O28" s="18" t="n">
        <v>0</v>
      </c>
      <c r="P28" s="20" t="n">
        <v>0</v>
      </c>
      <c r="Q28" s="18" t="n">
        <v>1.67324291</v>
      </c>
      <c r="R28" s="20" t="n">
        <v>0.33813871</v>
      </c>
    </row>
    <row r="29" spans="1:18">
      <c r="A29" s="15" t="s">
        <v>587</v>
      </c>
      <c r="B29" s="17" t="n">
        <v>5385</v>
      </c>
      <c r="C29" s="18">
        <f>(4213.0/B29*100)</f>
        <v/>
      </c>
      <c r="D29" s="19" t="n">
        <v>1172</v>
      </c>
      <c r="E29" s="18" t="n">
        <v>39.11840565</v>
      </c>
      <c r="F29" s="20" t="n">
        <v>1.58544356</v>
      </c>
      <c r="G29" s="18" t="n">
        <v>57.68522413</v>
      </c>
      <c r="H29" s="20" t="n">
        <v>1.61742358</v>
      </c>
      <c r="I29" s="18" t="n">
        <v>0</v>
      </c>
      <c r="J29" s="20" t="n">
        <v>0</v>
      </c>
      <c r="K29" s="18" t="n">
        <v>0.35863887</v>
      </c>
      <c r="L29" s="20" t="n">
        <v>0.11977717</v>
      </c>
      <c r="M29" s="18" t="n">
        <v>0</v>
      </c>
      <c r="N29" s="20" t="n">
        <v>0</v>
      </c>
      <c r="O29" s="18" t="n">
        <v>0</v>
      </c>
      <c r="P29" s="20" t="n">
        <v>0</v>
      </c>
      <c r="Q29" s="18" t="n">
        <v>2.83773134</v>
      </c>
      <c r="R29" s="20" t="n">
        <v>0.47967889</v>
      </c>
    </row>
    <row r="30" spans="1:18">
      <c r="A30" s="15" t="s">
        <v>588</v>
      </c>
      <c r="B30" s="17" t="n">
        <v>4520</v>
      </c>
      <c r="C30" s="18">
        <f>(3558.0/B30*100)</f>
        <v/>
      </c>
      <c r="D30" s="19" t="n">
        <v>962</v>
      </c>
      <c r="E30" s="18" t="n">
        <v>26.39601683</v>
      </c>
      <c r="F30" s="20" t="n">
        <v>1.66291219</v>
      </c>
      <c r="G30" s="18" t="n">
        <v>70.68898778000001</v>
      </c>
      <c r="H30" s="20" t="n">
        <v>1.81996022</v>
      </c>
      <c r="I30" s="18" t="n">
        <v>0</v>
      </c>
      <c r="J30" s="20" t="n">
        <v>0</v>
      </c>
      <c r="K30" s="18" t="n">
        <v>0.09937786</v>
      </c>
      <c r="L30" s="20" t="n">
        <v>0.08561746000000001</v>
      </c>
      <c r="M30" s="18" t="n">
        <v>0</v>
      </c>
      <c r="N30" s="20" t="n">
        <v>0</v>
      </c>
      <c r="O30" s="18" t="n">
        <v>0</v>
      </c>
      <c r="P30" s="20" t="n">
        <v>0</v>
      </c>
      <c r="Q30" s="18" t="n">
        <v>2.81561753</v>
      </c>
      <c r="R30" s="20" t="n">
        <v>0.56378515</v>
      </c>
    </row>
    <row r="31" spans="1:18">
      <c r="A31" s="15" t="s">
        <v>589</v>
      </c>
      <c r="B31" s="17" t="n">
        <v>5456</v>
      </c>
      <c r="C31" s="18">
        <f>(4286.0/B31*100)</f>
        <v/>
      </c>
      <c r="D31" s="19" t="n">
        <v>1170</v>
      </c>
      <c r="E31" s="18" t="n">
        <v>30.38652205</v>
      </c>
      <c r="F31" s="20" t="n">
        <v>1.48226271</v>
      </c>
      <c r="G31" s="18" t="n">
        <v>65.79687447000001</v>
      </c>
      <c r="H31" s="20" t="n">
        <v>1.49282883</v>
      </c>
      <c r="I31" s="18" t="n">
        <v>0</v>
      </c>
      <c r="J31" s="20" t="n">
        <v>0</v>
      </c>
      <c r="K31" s="18" t="n">
        <v>0.5559010599999999</v>
      </c>
      <c r="L31" s="20" t="n">
        <v>0.20780077</v>
      </c>
      <c r="M31" s="18" t="n">
        <v>0</v>
      </c>
      <c r="N31" s="20" t="n">
        <v>0</v>
      </c>
      <c r="O31" s="18" t="n">
        <v>0</v>
      </c>
      <c r="P31" s="20" t="n">
        <v>0</v>
      </c>
      <c r="Q31" s="18" t="n">
        <v>3.26070241</v>
      </c>
      <c r="R31" s="20" t="n">
        <v>0.53667191</v>
      </c>
    </row>
    <row r="32" spans="1:18">
      <c r="A32" s="15" t="s">
        <v>590</v>
      </c>
      <c r="B32" s="17" t="n">
        <v>4478</v>
      </c>
      <c r="C32" s="18">
        <f>(3536.0/B32*100)</f>
        <v/>
      </c>
      <c r="D32" s="19" t="n">
        <v>942</v>
      </c>
      <c r="E32" s="18" t="n">
        <v>31.98668362</v>
      </c>
      <c r="F32" s="20" t="n">
        <v>1.6012334</v>
      </c>
      <c r="G32" s="18" t="n">
        <v>66.50994547000001</v>
      </c>
      <c r="H32" s="20" t="n">
        <v>1.62283732</v>
      </c>
      <c r="I32" s="18" t="n">
        <v>0</v>
      </c>
      <c r="J32" s="20" t="n">
        <v>0</v>
      </c>
      <c r="K32" s="18" t="n">
        <v>0.09104142</v>
      </c>
      <c r="L32" s="20" t="n">
        <v>0.09100339</v>
      </c>
      <c r="M32" s="18" t="n">
        <v>0</v>
      </c>
      <c r="N32" s="20" t="n">
        <v>0</v>
      </c>
      <c r="O32" s="18" t="n">
        <v>0</v>
      </c>
      <c r="P32" s="20" t="n">
        <v>0</v>
      </c>
      <c r="Q32" s="18" t="n">
        <v>1.41232949</v>
      </c>
      <c r="R32" s="20" t="n">
        <v>0.37269313</v>
      </c>
    </row>
    <row r="33" spans="1:18">
      <c r="A33" s="15" t="s">
        <v>591</v>
      </c>
      <c r="B33" s="17" t="n">
        <v>7325</v>
      </c>
      <c r="C33" s="18">
        <f>(5720.0/B33*100)</f>
        <v/>
      </c>
      <c r="D33" s="19" t="n">
        <v>1605</v>
      </c>
      <c r="E33" s="18" t="n">
        <v>25.38293522</v>
      </c>
      <c r="F33" s="20" t="n">
        <v>1.42717495</v>
      </c>
      <c r="G33" s="18" t="n">
        <v>73.63065632999999</v>
      </c>
      <c r="H33" s="20" t="n">
        <v>1.4193486</v>
      </c>
      <c r="I33" s="18" t="n">
        <v>0</v>
      </c>
      <c r="J33" s="20" t="n">
        <v>0</v>
      </c>
      <c r="K33" s="18" t="n">
        <v>0</v>
      </c>
      <c r="L33" s="20" t="n">
        <v>0</v>
      </c>
      <c r="M33" s="18" t="n">
        <v>0</v>
      </c>
      <c r="N33" s="20" t="n">
        <v>0</v>
      </c>
      <c r="O33" s="18" t="n">
        <v>0</v>
      </c>
      <c r="P33" s="20" t="n">
        <v>0</v>
      </c>
      <c r="Q33" s="18" t="n">
        <v>0.9864084400000001</v>
      </c>
      <c r="R33" s="20" t="n">
        <v>0.31276656</v>
      </c>
    </row>
    <row r="34" spans="1:18">
      <c r="A34" s="15" t="s">
        <v>592</v>
      </c>
      <c r="B34" s="17" t="n">
        <v>6350</v>
      </c>
      <c r="C34" s="18">
        <f>(4991.0/B34*100)</f>
        <v/>
      </c>
      <c r="D34" s="19" t="n">
        <v>1359</v>
      </c>
      <c r="E34" s="18" t="n">
        <v>41.91590524</v>
      </c>
      <c r="F34" s="20" t="n">
        <v>1.51385811</v>
      </c>
      <c r="G34" s="18" t="n">
        <v>55.21298334</v>
      </c>
      <c r="H34" s="20" t="n">
        <v>1.5560007</v>
      </c>
      <c r="I34" s="18" t="n">
        <v>0</v>
      </c>
      <c r="J34" s="20" t="n">
        <v>0</v>
      </c>
      <c r="K34" s="18" t="n">
        <v>0.12755832</v>
      </c>
      <c r="L34" s="20" t="n">
        <v>0.09064489000000001</v>
      </c>
      <c r="M34" s="18" t="n">
        <v>0</v>
      </c>
      <c r="N34" s="20" t="n">
        <v>0</v>
      </c>
      <c r="O34" s="18" t="n">
        <v>0</v>
      </c>
      <c r="P34" s="20" t="n">
        <v>0</v>
      </c>
      <c r="Q34" s="18" t="n">
        <v>2.7435531</v>
      </c>
      <c r="R34" s="20" t="n">
        <v>0.60713451</v>
      </c>
    </row>
    <row r="35" spans="1:18">
      <c r="A35" s="15" t="s">
        <v>593</v>
      </c>
      <c r="B35" s="17" t="n">
        <v>6406</v>
      </c>
      <c r="C35" s="18">
        <f>(4979.0/B35*100)</f>
        <v/>
      </c>
      <c r="D35" s="19" t="n">
        <v>1427</v>
      </c>
      <c r="E35" s="18" t="n">
        <v>33.21505289</v>
      </c>
      <c r="F35" s="20" t="n">
        <v>1.47270014</v>
      </c>
      <c r="G35" s="18" t="n">
        <v>65.83264457</v>
      </c>
      <c r="H35" s="20" t="n">
        <v>1.50441903</v>
      </c>
      <c r="I35" s="18" t="n">
        <v>0</v>
      </c>
      <c r="J35" s="20" t="n">
        <v>0</v>
      </c>
      <c r="K35" s="18" t="n">
        <v>0.06574845999999999</v>
      </c>
      <c r="L35" s="20" t="n">
        <v>0.0465982</v>
      </c>
      <c r="M35" s="18" t="n">
        <v>0</v>
      </c>
      <c r="N35" s="20" t="n">
        <v>0</v>
      </c>
      <c r="O35" s="18" t="n">
        <v>0</v>
      </c>
      <c r="P35" s="20" t="n">
        <v>0</v>
      </c>
      <c r="Q35" s="18" t="n">
        <v>0.88655408</v>
      </c>
      <c r="R35" s="20" t="n">
        <v>0.24435133</v>
      </c>
    </row>
    <row r="36" spans="1:18">
      <c r="A36" s="15" t="s">
        <v>594</v>
      </c>
      <c r="B36" s="17" t="n">
        <v>6736</v>
      </c>
      <c r="C36" s="18">
        <f>(5248.0/B36*100)</f>
        <v/>
      </c>
      <c r="D36" s="19" t="n">
        <v>1488</v>
      </c>
      <c r="E36" s="18" t="n">
        <v>26.11334595</v>
      </c>
      <c r="F36" s="20" t="n">
        <v>1.32505182</v>
      </c>
      <c r="G36" s="18" t="n">
        <v>70.52252794</v>
      </c>
      <c r="H36" s="20" t="n">
        <v>1.36064241</v>
      </c>
      <c r="I36" s="18" t="n">
        <v>0</v>
      </c>
      <c r="J36" s="20" t="n">
        <v>0</v>
      </c>
      <c r="K36" s="18" t="n">
        <v>0.27310526</v>
      </c>
      <c r="L36" s="20" t="n">
        <v>0.16774433</v>
      </c>
      <c r="M36" s="18" t="n">
        <v>0</v>
      </c>
      <c r="N36" s="20" t="n">
        <v>0</v>
      </c>
      <c r="O36" s="18" t="n">
        <v>0</v>
      </c>
      <c r="P36" s="20" t="n">
        <v>0</v>
      </c>
      <c r="Q36" s="18" t="n">
        <v>3.09102085</v>
      </c>
      <c r="R36" s="20" t="n">
        <v>0.39498598</v>
      </c>
    </row>
    <row r="37" spans="1:18">
      <c r="A37" s="15" t="s">
        <v>595</v>
      </c>
      <c r="B37" s="17" t="n">
        <v>5458</v>
      </c>
      <c r="C37" s="18">
        <f>(4276.0/B37*100)</f>
        <v/>
      </c>
      <c r="D37" s="19" t="n">
        <v>1182</v>
      </c>
      <c r="E37" s="18" t="n">
        <v>29.67252586</v>
      </c>
      <c r="F37" s="20" t="n">
        <v>1.38356051</v>
      </c>
      <c r="G37" s="18" t="n">
        <v>65.51796552</v>
      </c>
      <c r="H37" s="20" t="n">
        <v>1.49761724</v>
      </c>
      <c r="I37" s="18" t="n">
        <v>0</v>
      </c>
      <c r="J37" s="20" t="n">
        <v>0</v>
      </c>
      <c r="K37" s="18" t="n">
        <v>0.74176793</v>
      </c>
      <c r="L37" s="20" t="n">
        <v>0.21630098</v>
      </c>
      <c r="M37" s="18" t="n">
        <v>0</v>
      </c>
      <c r="N37" s="20" t="n">
        <v>0</v>
      </c>
      <c r="O37" s="18" t="n">
        <v>0</v>
      </c>
      <c r="P37" s="20" t="n">
        <v>0</v>
      </c>
      <c r="Q37" s="18" t="n">
        <v>4.06774069</v>
      </c>
      <c r="R37" s="20" t="n">
        <v>0.5538413599999999</v>
      </c>
    </row>
    <row r="38" spans="1:18">
      <c r="A38" s="15" t="s">
        <v>596</v>
      </c>
      <c r="B38" s="17" t="n">
        <v>5860</v>
      </c>
      <c r="C38" s="18">
        <f>(4509.0/B38*100)</f>
        <v/>
      </c>
      <c r="D38" s="19" t="n">
        <v>1351</v>
      </c>
      <c r="E38" s="18" t="n">
        <v>33.0347465</v>
      </c>
      <c r="F38" s="20" t="n">
        <v>1.60083471</v>
      </c>
      <c r="G38" s="18" t="n">
        <v>64.45107323000001</v>
      </c>
      <c r="H38" s="20" t="n">
        <v>1.67102296</v>
      </c>
      <c r="I38" s="18" t="n">
        <v>0</v>
      </c>
      <c r="J38" s="20" t="n">
        <v>0</v>
      </c>
      <c r="K38" s="18" t="n">
        <v>0.23319929</v>
      </c>
      <c r="L38" s="20" t="n">
        <v>0.14218908</v>
      </c>
      <c r="M38" s="18" t="n">
        <v>0</v>
      </c>
      <c r="N38" s="20" t="n">
        <v>0</v>
      </c>
      <c r="O38" s="18" t="n">
        <v>0</v>
      </c>
      <c r="P38" s="20" t="n">
        <v>0</v>
      </c>
      <c r="Q38" s="18" t="n">
        <v>2.28098098</v>
      </c>
      <c r="R38" s="20" t="n">
        <v>0.41004938</v>
      </c>
    </row>
    <row r="39" spans="1:18">
      <c r="A39" s="15" t="s">
        <v>597</v>
      </c>
      <c r="B39" s="17" t="n">
        <v>5895</v>
      </c>
      <c r="C39" s="18">
        <f>(4592.0/B39*100)</f>
        <v/>
      </c>
      <c r="D39" s="19" t="n">
        <v>1303</v>
      </c>
      <c r="E39" s="18" t="n">
        <v>45.26725314</v>
      </c>
      <c r="F39" s="20" t="n">
        <v>1.57197537</v>
      </c>
      <c r="G39" s="18" t="n">
        <v>52.27504634</v>
      </c>
      <c r="H39" s="20" t="n">
        <v>1.61400654</v>
      </c>
      <c r="I39" s="18" t="n">
        <v>0</v>
      </c>
      <c r="J39" s="20" t="n">
        <v>0</v>
      </c>
      <c r="K39" s="18" t="n">
        <v>0.17028547</v>
      </c>
      <c r="L39" s="20" t="n">
        <v>0.12156566</v>
      </c>
      <c r="M39" s="18" t="n">
        <v>0</v>
      </c>
      <c r="N39" s="20" t="n">
        <v>0</v>
      </c>
      <c r="O39" s="18" t="n">
        <v>0</v>
      </c>
      <c r="P39" s="20" t="n">
        <v>0</v>
      </c>
      <c r="Q39" s="18" t="n">
        <v>2.28741506</v>
      </c>
      <c r="R39" s="20" t="n">
        <v>0.48836402</v>
      </c>
    </row>
    <row r="40" spans="1:18">
      <c r="A40" s="15" t="s">
        <v>598</v>
      </c>
      <c r="B40" s="17" t="n">
        <v>14157</v>
      </c>
      <c r="C40" s="18">
        <f>(10975.0/B40*100)</f>
        <v/>
      </c>
      <c r="D40" s="19" t="n">
        <v>3182</v>
      </c>
      <c r="E40" s="18" t="n">
        <v>29.64246788</v>
      </c>
      <c r="F40" s="20" t="n">
        <v>1.22196208</v>
      </c>
      <c r="G40" s="18" t="n">
        <v>67.97422319</v>
      </c>
      <c r="H40" s="20" t="n">
        <v>1.28751929</v>
      </c>
      <c r="I40" s="18" t="n">
        <v>0</v>
      </c>
      <c r="J40" s="20" t="n">
        <v>0</v>
      </c>
      <c r="K40" s="18" t="n">
        <v>0.12209656</v>
      </c>
      <c r="L40" s="20" t="n">
        <v>0.06261603</v>
      </c>
      <c r="M40" s="18" t="n">
        <v>0</v>
      </c>
      <c r="N40" s="20" t="n">
        <v>0</v>
      </c>
      <c r="O40" s="18" t="n">
        <v>0</v>
      </c>
      <c r="P40" s="20" t="n">
        <v>0</v>
      </c>
      <c r="Q40" s="18" t="n">
        <v>2.26121237</v>
      </c>
      <c r="R40" s="20" t="n">
        <v>0.38895839</v>
      </c>
    </row>
    <row r="41" spans="1:18">
      <c r="A41" s="15" t="s">
        <v>599</v>
      </c>
      <c r="B41" s="17" t="n">
        <v>5712</v>
      </c>
      <c r="C41" s="18">
        <f>(4510.0/B41*100)</f>
        <v/>
      </c>
      <c r="D41" s="19" t="n">
        <v>1202</v>
      </c>
      <c r="E41" s="18" t="n">
        <v>31.19035567</v>
      </c>
      <c r="F41" s="20" t="n">
        <v>1.58574194</v>
      </c>
      <c r="G41" s="18" t="n">
        <v>67.07593663</v>
      </c>
      <c r="H41" s="20" t="n">
        <v>1.62610935</v>
      </c>
      <c r="I41" s="18" t="n">
        <v>0</v>
      </c>
      <c r="J41" s="20" t="n">
        <v>0</v>
      </c>
      <c r="K41" s="18" t="n">
        <v>0.2082283</v>
      </c>
      <c r="L41" s="20" t="n">
        <v>0.13288614</v>
      </c>
      <c r="M41" s="18" t="n">
        <v>0</v>
      </c>
      <c r="N41" s="20" t="n">
        <v>0</v>
      </c>
      <c r="O41" s="18" t="n">
        <v>0</v>
      </c>
      <c r="P41" s="20" t="n">
        <v>0</v>
      </c>
      <c r="Q41" s="18" t="n">
        <v>1.5254794</v>
      </c>
      <c r="R41" s="20" t="n">
        <v>0.38369324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(18926.0/B46*100)</f>
        <v/>
      </c>
      <c r="D46" s="19" t="n">
        <v>4215</v>
      </c>
      <c r="E46" s="18" t="n">
        <v>47.06575994</v>
      </c>
      <c r="F46" s="20" t="n">
        <v>1.06434983</v>
      </c>
      <c r="G46" s="18" t="n">
        <v>45.59300271</v>
      </c>
      <c r="H46" s="20" t="n">
        <v>1.13242361</v>
      </c>
      <c r="I46" s="18" t="n">
        <v>0</v>
      </c>
      <c r="J46" s="20" t="n">
        <v>0</v>
      </c>
      <c r="K46" s="18" t="n">
        <v>1.29293489</v>
      </c>
      <c r="L46" s="20" t="n">
        <v>0.29104743</v>
      </c>
      <c r="M46" s="18" t="n">
        <v>0</v>
      </c>
      <c r="N46" s="20" t="n">
        <v>0</v>
      </c>
      <c r="O46" s="18" t="n">
        <v>0</v>
      </c>
      <c r="P46" s="20" t="n">
        <v>0</v>
      </c>
      <c r="Q46" s="18" t="n">
        <v>6.04830246</v>
      </c>
      <c r="R46" s="20" t="n">
        <v>0.52753538</v>
      </c>
    </row>
    <row r="47" spans="1:18">
      <c r="A47" s="15" t="s">
        <v>606</v>
      </c>
      <c r="B47" s="17" t="n">
        <v>5928</v>
      </c>
      <c r="C47" s="18">
        <f>(4639.0/B47*100)</f>
        <v/>
      </c>
      <c r="D47" s="19" t="n">
        <v>1289</v>
      </c>
      <c r="E47" s="18" t="n">
        <v>44.84616106</v>
      </c>
      <c r="F47" s="20" t="n">
        <v>1.95549929</v>
      </c>
      <c r="G47" s="18" t="n">
        <v>50.23754608</v>
      </c>
      <c r="H47" s="20" t="n">
        <v>1.97321604</v>
      </c>
      <c r="I47" s="18" t="n">
        <v>0</v>
      </c>
      <c r="J47" s="20" t="n">
        <v>0</v>
      </c>
      <c r="K47" s="18" t="n">
        <v>0.61248236</v>
      </c>
      <c r="L47" s="20" t="n">
        <v>0.22733047</v>
      </c>
      <c r="M47" s="18" t="n">
        <v>0</v>
      </c>
      <c r="N47" s="20" t="n">
        <v>0</v>
      </c>
      <c r="O47" s="18" t="n">
        <v>0</v>
      </c>
      <c r="P47" s="20" t="n">
        <v>0</v>
      </c>
      <c r="Q47" s="18" t="n">
        <v>4.3038105</v>
      </c>
      <c r="R47" s="20" t="n">
        <v>0.63140565</v>
      </c>
    </row>
    <row r="48" spans="1:18">
      <c r="A48" s="15" t="s">
        <v>607</v>
      </c>
      <c r="B48" s="17" t="n">
        <v>9841</v>
      </c>
      <c r="C48" s="18">
        <f>(7697.0/B48*100)</f>
        <v/>
      </c>
      <c r="D48" s="19" t="n">
        <v>2144</v>
      </c>
      <c r="E48" s="18" t="n">
        <v>22.56579006</v>
      </c>
      <c r="F48" s="20" t="n">
        <v>1.21452988</v>
      </c>
      <c r="G48" s="18" t="n">
        <v>75.45158988</v>
      </c>
      <c r="H48" s="20" t="n">
        <v>1.20504404</v>
      </c>
      <c r="I48" s="18" t="n">
        <v>0</v>
      </c>
      <c r="J48" s="20" t="n">
        <v>0</v>
      </c>
      <c r="K48" s="18" t="n">
        <v>0.76757149</v>
      </c>
      <c r="L48" s="20" t="n">
        <v>0.23042915</v>
      </c>
      <c r="M48" s="18" t="n">
        <v>0</v>
      </c>
      <c r="N48" s="20" t="n">
        <v>0</v>
      </c>
      <c r="O48" s="18" t="n">
        <v>0</v>
      </c>
      <c r="P48" s="20" t="n">
        <v>0</v>
      </c>
      <c r="Q48" s="18" t="n">
        <v>1.21504857</v>
      </c>
      <c r="R48" s="20" t="n">
        <v>0.35240538</v>
      </c>
    </row>
    <row r="49" spans="1:18">
      <c r="A49" s="15" t="s">
        <v>608</v>
      </c>
      <c r="B49" s="17" t="n">
        <v>11795</v>
      </c>
      <c r="C49" s="18">
        <f>(9241.0/B49*100)</f>
        <v/>
      </c>
      <c r="D49" s="19" t="n">
        <v>2554</v>
      </c>
      <c r="E49" s="18" t="n">
        <v>43.4121087</v>
      </c>
      <c r="F49" s="20" t="n">
        <v>1.57586652</v>
      </c>
      <c r="G49" s="18" t="n">
        <v>53.02569586</v>
      </c>
      <c r="H49" s="20" t="n">
        <v>1.55378513</v>
      </c>
      <c r="I49" s="18" t="n">
        <v>0</v>
      </c>
      <c r="J49" s="20" t="n">
        <v>0</v>
      </c>
      <c r="K49" s="18" t="n">
        <v>1.31616877</v>
      </c>
      <c r="L49" s="20" t="n">
        <v>0.33316814</v>
      </c>
      <c r="M49" s="18" t="n">
        <v>0</v>
      </c>
      <c r="N49" s="20" t="n">
        <v>0</v>
      </c>
      <c r="O49" s="18" t="n">
        <v>0</v>
      </c>
      <c r="P49" s="20" t="n">
        <v>0</v>
      </c>
      <c r="Q49" s="18" t="n">
        <v>2.24602666</v>
      </c>
      <c r="R49" s="20" t="n">
        <v>0.35579131</v>
      </c>
    </row>
    <row r="50" spans="1:18">
      <c r="A50" s="15" t="s">
        <v>609</v>
      </c>
      <c r="B50" s="17" t="n">
        <v>6866</v>
      </c>
      <c r="C50" s="18">
        <f>(5561.0/B50*100)</f>
        <v/>
      </c>
      <c r="D50" s="19" t="n">
        <v>1305</v>
      </c>
      <c r="E50" s="18" t="n">
        <v>39.83483841</v>
      </c>
      <c r="F50" s="20" t="n">
        <v>1.60955121</v>
      </c>
      <c r="G50" s="18" t="n">
        <v>56.13105281</v>
      </c>
      <c r="H50" s="20" t="n">
        <v>1.64743566</v>
      </c>
      <c r="I50" s="18" t="n">
        <v>0</v>
      </c>
      <c r="J50" s="20" t="n">
        <v>0</v>
      </c>
      <c r="K50" s="18" t="n">
        <v>1.09735473</v>
      </c>
      <c r="L50" s="20" t="n">
        <v>0.36602898</v>
      </c>
      <c r="M50" s="18" t="n">
        <v>0</v>
      </c>
      <c r="N50" s="20" t="n">
        <v>0</v>
      </c>
      <c r="O50" s="18" t="n">
        <v>0</v>
      </c>
      <c r="P50" s="20" t="n">
        <v>0</v>
      </c>
      <c r="Q50" s="18" t="n">
        <v>2.93675405</v>
      </c>
      <c r="R50" s="20" t="n">
        <v>0.48464307</v>
      </c>
    </row>
    <row r="51" spans="1:18">
      <c r="A51" s="15" t="s">
        <v>610</v>
      </c>
      <c r="B51" s="17" t="n">
        <v>5809</v>
      </c>
      <c r="C51" s="18">
        <f>(4545.0/B51*100)</f>
        <v/>
      </c>
      <c r="D51" s="19" t="n">
        <v>1264</v>
      </c>
      <c r="E51" s="18" t="n">
        <v>37.12535928</v>
      </c>
      <c r="F51" s="20" t="n">
        <v>1.51879496</v>
      </c>
      <c r="G51" s="18" t="n">
        <v>61.33848462</v>
      </c>
      <c r="H51" s="20" t="n">
        <v>1.52060541</v>
      </c>
      <c r="I51" s="18" t="n">
        <v>0</v>
      </c>
      <c r="J51" s="20" t="n">
        <v>0</v>
      </c>
      <c r="K51" s="18" t="n">
        <v>0.08050084</v>
      </c>
      <c r="L51" s="20" t="n">
        <v>0.07878729</v>
      </c>
      <c r="M51" s="18" t="n">
        <v>0</v>
      </c>
      <c r="N51" s="20" t="n">
        <v>0</v>
      </c>
      <c r="O51" s="18" t="n">
        <v>0</v>
      </c>
      <c r="P51" s="20" t="n">
        <v>0</v>
      </c>
      <c r="Q51" s="18" t="n">
        <v>1.45565526</v>
      </c>
      <c r="R51" s="20" t="n">
        <v>0.31599531</v>
      </c>
    </row>
    <row r="52" spans="1:18">
      <c r="A52" s="15" t="s">
        <v>611</v>
      </c>
      <c r="B52" s="17" t="n">
        <v>5571</v>
      </c>
      <c r="C52" s="18">
        <f>(4347.0/B52*100)</f>
        <v/>
      </c>
      <c r="D52" s="19" t="n">
        <v>1224</v>
      </c>
      <c r="E52" s="18" t="n">
        <v>44.04544149</v>
      </c>
      <c r="F52" s="20" t="n">
        <v>1.47874046</v>
      </c>
      <c r="G52" s="18" t="n">
        <v>51.00687769</v>
      </c>
      <c r="H52" s="20" t="n">
        <v>1.51955628</v>
      </c>
      <c r="I52" s="18" t="n">
        <v>0</v>
      </c>
      <c r="J52" s="20" t="n">
        <v>0</v>
      </c>
      <c r="K52" s="18" t="n">
        <v>0.33566893</v>
      </c>
      <c r="L52" s="20" t="n">
        <v>0.17514943</v>
      </c>
      <c r="M52" s="18" t="n">
        <v>0</v>
      </c>
      <c r="N52" s="20" t="n">
        <v>0</v>
      </c>
      <c r="O52" s="18" t="n">
        <v>0</v>
      </c>
      <c r="P52" s="20" t="n">
        <v>0</v>
      </c>
      <c r="Q52" s="18" t="n">
        <v>4.61201189</v>
      </c>
      <c r="R52" s="20" t="n">
        <v>0.6699179199999999</v>
      </c>
    </row>
    <row r="53" spans="1:18">
      <c r="A53" s="15" t="s">
        <v>612</v>
      </c>
      <c r="B53" s="17" t="n">
        <v>4740</v>
      </c>
      <c r="C53" s="18">
        <f>(3677.0/B53*100)</f>
        <v/>
      </c>
      <c r="D53" s="19" t="n">
        <v>1063</v>
      </c>
      <c r="E53" s="18" t="n">
        <v>54.800439</v>
      </c>
      <c r="F53" s="20" t="n">
        <v>1.71648071</v>
      </c>
      <c r="G53" s="18" t="n">
        <v>26.89103246</v>
      </c>
      <c r="H53" s="20" t="n">
        <v>1.63141786</v>
      </c>
      <c r="I53" s="18" t="n">
        <v>0</v>
      </c>
      <c r="J53" s="20" t="n">
        <v>0</v>
      </c>
      <c r="K53" s="18" t="n">
        <v>11.05078604</v>
      </c>
      <c r="L53" s="20" t="n">
        <v>1.14826843</v>
      </c>
      <c r="M53" s="18" t="n">
        <v>0</v>
      </c>
      <c r="N53" s="20" t="n">
        <v>0</v>
      </c>
      <c r="O53" s="18" t="n">
        <v>0</v>
      </c>
      <c r="P53" s="20" t="n">
        <v>0</v>
      </c>
      <c r="Q53" s="18" t="n">
        <v>7.25774249</v>
      </c>
      <c r="R53" s="20" t="n">
        <v>1.11226683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(4157.0/B55*100)</f>
        <v/>
      </c>
      <c r="D55" s="19" t="n">
        <v>1202</v>
      </c>
      <c r="E55" s="18" t="n">
        <v>17.7939402</v>
      </c>
      <c r="F55" s="20" t="n">
        <v>1.00656503</v>
      </c>
      <c r="G55" s="18" t="n">
        <v>80.33294827</v>
      </c>
      <c r="H55" s="20" t="n">
        <v>1.08634065</v>
      </c>
      <c r="I55" s="18" t="n">
        <v>0</v>
      </c>
      <c r="J55" s="20" t="n">
        <v>0</v>
      </c>
      <c r="K55" s="18" t="n">
        <v>0.22298137</v>
      </c>
      <c r="L55" s="20" t="n">
        <v>0.18142396</v>
      </c>
      <c r="M55" s="18" t="n">
        <v>0</v>
      </c>
      <c r="N55" s="20" t="n">
        <v>0</v>
      </c>
      <c r="O55" s="18" t="n">
        <v>0</v>
      </c>
      <c r="P55" s="20" t="n">
        <v>0</v>
      </c>
      <c r="Q55" s="18" t="n">
        <v>1.65013016</v>
      </c>
      <c r="R55" s="20" t="n">
        <v>0.38598618</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(5090.0/B61*100)</f>
        <v/>
      </c>
      <c r="D61" s="19" t="n">
        <v>1435</v>
      </c>
      <c r="E61" s="18" t="n">
        <v>44.78824656</v>
      </c>
      <c r="F61" s="20" t="n">
        <v>1.57569122</v>
      </c>
      <c r="G61" s="18" t="n">
        <v>52.80184089</v>
      </c>
      <c r="H61" s="20" t="n">
        <v>1.58104291</v>
      </c>
      <c r="I61" s="18" t="n">
        <v>0</v>
      </c>
      <c r="J61" s="20" t="n">
        <v>0</v>
      </c>
      <c r="K61" s="18" t="n">
        <v>0.3585447</v>
      </c>
      <c r="L61" s="20" t="n">
        <v>0.22378936</v>
      </c>
      <c r="M61" s="18" t="n">
        <v>0</v>
      </c>
      <c r="N61" s="20" t="n">
        <v>0</v>
      </c>
      <c r="O61" s="18" t="n">
        <v>0</v>
      </c>
      <c r="P61" s="20" t="n">
        <v>0</v>
      </c>
      <c r="Q61" s="18" t="n">
        <v>2.05136785</v>
      </c>
      <c r="R61" s="20" t="n">
        <v>0.38225233</v>
      </c>
    </row>
    <row r="62" spans="1:18">
      <c r="A62" s="15" t="s">
        <v>622</v>
      </c>
      <c r="B62" s="17" t="n">
        <v>4476</v>
      </c>
      <c r="C62" s="18">
        <f>(3482.0/B62*100)</f>
        <v/>
      </c>
      <c r="D62" s="19" t="n">
        <v>994</v>
      </c>
      <c r="E62" s="18" t="n">
        <v>17.31247474</v>
      </c>
      <c r="F62" s="20" t="n">
        <v>1.15562131</v>
      </c>
      <c r="G62" s="18" t="n">
        <v>82.28662841000001</v>
      </c>
      <c r="H62" s="20" t="n">
        <v>1.18516385</v>
      </c>
      <c r="I62" s="18" t="n">
        <v>0</v>
      </c>
      <c r="J62" s="20" t="n">
        <v>0</v>
      </c>
      <c r="K62" s="18" t="n">
        <v>0</v>
      </c>
      <c r="L62" s="20" t="n">
        <v>0</v>
      </c>
      <c r="M62" s="18" t="n">
        <v>0</v>
      </c>
      <c r="N62" s="20" t="n">
        <v>0</v>
      </c>
      <c r="O62" s="18" t="n">
        <v>0</v>
      </c>
      <c r="P62" s="20" t="n">
        <v>0</v>
      </c>
      <c r="Q62" s="18" t="n">
        <v>0.40089685</v>
      </c>
      <c r="R62" s="20" t="n">
        <v>0.20100733</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(4472.0/B67*100)</f>
        <v/>
      </c>
      <c r="D67" s="19" t="n">
        <v>1193</v>
      </c>
      <c r="E67" s="18" t="n">
        <v>48.75073439</v>
      </c>
      <c r="F67" s="20" t="n">
        <v>1.49683861</v>
      </c>
      <c r="G67" s="18" t="n">
        <v>42.90791458</v>
      </c>
      <c r="H67" s="20" t="n">
        <v>1.67419435</v>
      </c>
      <c r="I67" s="18" t="n">
        <v>0</v>
      </c>
      <c r="J67" s="20" t="n">
        <v>0</v>
      </c>
      <c r="K67" s="18" t="n">
        <v>0.42484365</v>
      </c>
      <c r="L67" s="20" t="n">
        <v>0.19198337</v>
      </c>
      <c r="M67" s="18" t="n">
        <v>0</v>
      </c>
      <c r="N67" s="20" t="n">
        <v>0</v>
      </c>
      <c r="O67" s="18" t="n">
        <v>0</v>
      </c>
      <c r="P67" s="20" t="n">
        <v>0</v>
      </c>
      <c r="Q67" s="18" t="n">
        <v>7.91650737</v>
      </c>
      <c r="R67" s="20" t="n">
        <v>0.85754642</v>
      </c>
    </row>
    <row r="68" spans="1:18">
      <c r="A68" s="15" t="s">
        <v>628</v>
      </c>
      <c r="B68" s="17" t="n">
        <v>6971</v>
      </c>
      <c r="C68" s="18">
        <f>(5592.0/B68*100)</f>
        <v/>
      </c>
      <c r="D68" s="19" t="n">
        <v>1379</v>
      </c>
      <c r="E68" s="18" t="n">
        <v>50.31926489</v>
      </c>
      <c r="F68" s="20" t="n">
        <v>1.54365746</v>
      </c>
      <c r="G68" s="18" t="n">
        <v>47.13102236</v>
      </c>
      <c r="H68" s="20" t="n">
        <v>1.69668801</v>
      </c>
      <c r="I68" s="18" t="n">
        <v>0</v>
      </c>
      <c r="J68" s="20" t="n">
        <v>0</v>
      </c>
      <c r="K68" s="18" t="n">
        <v>0.3866677</v>
      </c>
      <c r="L68" s="20" t="n">
        <v>0.22213983</v>
      </c>
      <c r="M68" s="18" t="n">
        <v>0</v>
      </c>
      <c r="N68" s="20" t="n">
        <v>0</v>
      </c>
      <c r="O68" s="18" t="n">
        <v>0</v>
      </c>
      <c r="P68" s="20" t="n">
        <v>0</v>
      </c>
      <c r="Q68" s="18" t="n">
        <v>2.16304505</v>
      </c>
      <c r="R68" s="20" t="n">
        <v>0.43392806</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(9377.0/B70*100)</f>
        <v/>
      </c>
      <c r="D70" s="19" t="n">
        <v>2706</v>
      </c>
      <c r="E70" s="18" t="n">
        <v>42.94773892</v>
      </c>
      <c r="F70" s="20" t="n">
        <v>1.034447</v>
      </c>
      <c r="G70" s="18" t="n">
        <v>49.03833548</v>
      </c>
      <c r="H70" s="20" t="n">
        <v>0.98459805</v>
      </c>
      <c r="I70" s="18" t="n">
        <v>0</v>
      </c>
      <c r="J70" s="20" t="n">
        <v>0</v>
      </c>
      <c r="K70" s="18" t="n">
        <v>2.10559266</v>
      </c>
      <c r="L70" s="20" t="n">
        <v>0.21375976</v>
      </c>
      <c r="M70" s="18" t="n">
        <v>0</v>
      </c>
      <c r="N70" s="20" t="n">
        <v>0</v>
      </c>
      <c r="O70" s="18" t="n">
        <v>0</v>
      </c>
      <c r="P70" s="20" t="n">
        <v>0</v>
      </c>
      <c r="Q70" s="18" t="n">
        <v>5.90833293</v>
      </c>
      <c r="R70" s="20" t="n">
        <v>0.38047694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(4736.0/B72*100)</f>
        <v/>
      </c>
      <c r="D72" s="19" t="n">
        <v>1300</v>
      </c>
      <c r="E72" s="18" t="n">
        <v>36.79370138</v>
      </c>
      <c r="F72" s="20" t="n">
        <v>1.55628095</v>
      </c>
      <c r="G72" s="18" t="n">
        <v>59.89925068</v>
      </c>
      <c r="H72" s="20" t="n">
        <v>1.64074178</v>
      </c>
      <c r="I72" s="18" t="n">
        <v>0</v>
      </c>
      <c r="J72" s="20" t="n">
        <v>0</v>
      </c>
      <c r="K72" s="18" t="n">
        <v>0.3104551</v>
      </c>
      <c r="L72" s="20" t="n">
        <v>0.12575717</v>
      </c>
      <c r="M72" s="18" t="n">
        <v>0</v>
      </c>
      <c r="N72" s="20" t="n">
        <v>0</v>
      </c>
      <c r="O72" s="18" t="n">
        <v>0</v>
      </c>
      <c r="P72" s="20" t="n">
        <v>0</v>
      </c>
      <c r="Q72" s="18" t="n">
        <v>2.99659284</v>
      </c>
      <c r="R72" s="20" t="n">
        <v>0.48978826</v>
      </c>
    </row>
    <row r="73" spans="1:18">
      <c r="A73" s="15" t="s">
        <v>633</v>
      </c>
      <c r="B73" s="17" t="n">
        <v>6115</v>
      </c>
      <c r="C73" s="18">
        <f>(4790.0/B73*100)</f>
        <v/>
      </c>
      <c r="D73" s="19" t="n">
        <v>1325</v>
      </c>
      <c r="E73" s="18" t="n">
        <v>15.55123063</v>
      </c>
      <c r="F73" s="20" t="n">
        <v>1.04371502</v>
      </c>
      <c r="G73" s="18" t="n">
        <v>83.45813206</v>
      </c>
      <c r="H73" s="20" t="n">
        <v>1.06757212</v>
      </c>
      <c r="I73" s="18" t="n">
        <v>0</v>
      </c>
      <c r="J73" s="20" t="n">
        <v>0</v>
      </c>
      <c r="K73" s="18" t="n">
        <v>0.15066259</v>
      </c>
      <c r="L73" s="20" t="n">
        <v>0.10729823</v>
      </c>
      <c r="M73" s="18" t="n">
        <v>0</v>
      </c>
      <c r="N73" s="20" t="n">
        <v>0</v>
      </c>
      <c r="O73" s="18" t="n">
        <v>0</v>
      </c>
      <c r="P73" s="20" t="n">
        <v>0</v>
      </c>
      <c r="Q73" s="18" t="n">
        <v>0.83997473</v>
      </c>
      <c r="R73" s="20" t="n">
        <v>0.24854188</v>
      </c>
    </row>
    <row r="74" spans="1:18">
      <c r="A74" s="15" t="s">
        <v>634</v>
      </c>
      <c r="B74" s="17" t="n">
        <v>7708</v>
      </c>
      <c r="C74" s="18">
        <f>(6067.0/B74*100)</f>
        <v/>
      </c>
      <c r="D74" s="19" t="n">
        <v>1641</v>
      </c>
      <c r="E74" s="18" t="n">
        <v>18.71929228</v>
      </c>
      <c r="F74" s="20" t="n">
        <v>0.96474547</v>
      </c>
      <c r="G74" s="18" t="n">
        <v>80.05742142</v>
      </c>
      <c r="H74" s="20" t="n">
        <v>1.03472634</v>
      </c>
      <c r="I74" s="18" t="n">
        <v>0</v>
      </c>
      <c r="J74" s="20" t="n">
        <v>0</v>
      </c>
      <c r="K74" s="18" t="n">
        <v>0.20748204</v>
      </c>
      <c r="L74" s="20" t="n">
        <v>0.15737902</v>
      </c>
      <c r="M74" s="18" t="n">
        <v>0</v>
      </c>
      <c r="N74" s="20" t="n">
        <v>0</v>
      </c>
      <c r="O74" s="18" t="n">
        <v>0</v>
      </c>
      <c r="P74" s="20" t="n">
        <v>0</v>
      </c>
      <c r="Q74" s="18" t="n">
        <v>1.01580426</v>
      </c>
      <c r="R74" s="20" t="n">
        <v>0.2610989</v>
      </c>
    </row>
    <row r="75" spans="1:18">
      <c r="A75" s="15" t="s">
        <v>635</v>
      </c>
      <c r="B75" s="17" t="n">
        <v>8249</v>
      </c>
      <c r="C75" s="18">
        <f>(6451.0/B75*100)</f>
        <v/>
      </c>
      <c r="D75" s="19" t="n">
        <v>1798</v>
      </c>
      <c r="E75" s="18" t="n">
        <v>37.80669396</v>
      </c>
      <c r="F75" s="20" t="n">
        <v>1.56731254</v>
      </c>
      <c r="G75" s="18" t="n">
        <v>59.94687371</v>
      </c>
      <c r="H75" s="20" t="n">
        <v>1.55838621</v>
      </c>
      <c r="I75" s="18" t="n">
        <v>0</v>
      </c>
      <c r="J75" s="20" t="n">
        <v>0</v>
      </c>
      <c r="K75" s="18" t="n">
        <v>0.1578956</v>
      </c>
      <c r="L75" s="20" t="n">
        <v>0.0986175</v>
      </c>
      <c r="M75" s="18" t="n">
        <v>0</v>
      </c>
      <c r="N75" s="20" t="n">
        <v>0</v>
      </c>
      <c r="O75" s="18" t="n">
        <v>0</v>
      </c>
      <c r="P75" s="20" t="n">
        <v>0</v>
      </c>
      <c r="Q75" s="18" t="n">
        <v>2.08853672</v>
      </c>
      <c r="R75" s="20" t="n">
        <v>0.41433411</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(4290.0/B77*100)</f>
        <v/>
      </c>
      <c r="D77" s="19" t="n">
        <v>1085</v>
      </c>
      <c r="E77" s="18" t="n">
        <v>41.4647092</v>
      </c>
      <c r="F77" s="20" t="n">
        <v>1.46608293</v>
      </c>
      <c r="G77" s="18" t="n">
        <v>51.9052595</v>
      </c>
      <c r="H77" s="20" t="n">
        <v>1.50385093</v>
      </c>
      <c r="I77" s="18" t="n">
        <v>0</v>
      </c>
      <c r="J77" s="20" t="n">
        <v>0</v>
      </c>
      <c r="K77" s="18" t="n">
        <v>2.25945597</v>
      </c>
      <c r="L77" s="20" t="n">
        <v>0.49204428</v>
      </c>
      <c r="M77" s="18" t="n">
        <v>0</v>
      </c>
      <c r="N77" s="20" t="n">
        <v>0</v>
      </c>
      <c r="O77" s="18" t="n">
        <v>0</v>
      </c>
      <c r="P77" s="20" t="n">
        <v>0</v>
      </c>
      <c r="Q77" s="18" t="n">
        <v>4.37057533</v>
      </c>
      <c r="R77" s="20" t="n">
        <v>0.7117906000000001</v>
      </c>
    </row>
    <row r="78" spans="1:18">
      <c r="A78" s="15" t="s">
        <v>638</v>
      </c>
      <c r="B78" s="17" t="n">
        <v>14167</v>
      </c>
      <c r="C78" s="18">
        <f>(11023.0/B78*100)</f>
        <v/>
      </c>
      <c r="D78" s="19" t="n">
        <v>3144</v>
      </c>
      <c r="E78" s="18" t="n">
        <v>42.97047704</v>
      </c>
      <c r="F78" s="20" t="n">
        <v>1.41012261</v>
      </c>
      <c r="G78" s="18" t="n">
        <v>52.7423155</v>
      </c>
      <c r="H78" s="20" t="n">
        <v>1.43822666</v>
      </c>
      <c r="I78" s="18" t="n">
        <v>0</v>
      </c>
      <c r="J78" s="20" t="n">
        <v>0</v>
      </c>
      <c r="K78" s="18" t="n">
        <v>0.97816876</v>
      </c>
      <c r="L78" s="20" t="n">
        <v>0.20337786</v>
      </c>
      <c r="M78" s="18" t="n">
        <v>0</v>
      </c>
      <c r="N78" s="20" t="n">
        <v>0</v>
      </c>
      <c r="O78" s="18" t="n">
        <v>0</v>
      </c>
      <c r="P78" s="20" t="n">
        <v>0</v>
      </c>
      <c r="Q78" s="18" t="n">
        <v>3.30903871</v>
      </c>
      <c r="R78" s="20" t="n">
        <v>0.32825539</v>
      </c>
    </row>
    <row r="79" spans="1:18">
      <c r="A79" s="15" t="s">
        <v>639</v>
      </c>
      <c r="B79" s="17" t="n">
        <v>6062</v>
      </c>
      <c r="C79" s="18">
        <f>(4732.0/B79*100)</f>
        <v/>
      </c>
      <c r="D79" s="19" t="n">
        <v>1330</v>
      </c>
      <c r="E79" s="18" t="n">
        <v>40.8201019</v>
      </c>
      <c r="F79" s="20" t="n">
        <v>1.52681628</v>
      </c>
      <c r="G79" s="18" t="n">
        <v>52.27372941</v>
      </c>
      <c r="H79" s="20" t="n">
        <v>1.48546709</v>
      </c>
      <c r="I79" s="18" t="n">
        <v>0</v>
      </c>
      <c r="J79" s="20" t="n">
        <v>0</v>
      </c>
      <c r="K79" s="18" t="n">
        <v>0.69545658</v>
      </c>
      <c r="L79" s="20" t="n">
        <v>0.25385756</v>
      </c>
      <c r="M79" s="18" t="n">
        <v>0</v>
      </c>
      <c r="N79" s="20" t="n">
        <v>0</v>
      </c>
      <c r="O79" s="18" t="n">
        <v>0</v>
      </c>
      <c r="P79" s="20" t="n">
        <v>0</v>
      </c>
      <c r="Q79" s="18" t="n">
        <v>6.21071212</v>
      </c>
      <c r="R79" s="20" t="n">
        <v>0.77184093</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(25190.0/B82*100)</f>
        <v/>
      </c>
      <c r="D82" s="19" t="n">
        <v>7140</v>
      </c>
      <c r="E82" s="18" t="n">
        <v>26.72143206</v>
      </c>
      <c r="F82" s="20" t="n">
        <v>0.71012615</v>
      </c>
      <c r="G82" s="18" t="n">
        <v>70.45588809</v>
      </c>
      <c r="H82" s="20" t="n">
        <v>0.78487949</v>
      </c>
      <c r="I82" s="18" t="n">
        <v>0</v>
      </c>
      <c r="J82" s="20" t="n">
        <v>0</v>
      </c>
      <c r="K82" s="18" t="n">
        <v>0.27369331</v>
      </c>
      <c r="L82" s="20" t="n">
        <v>0.08939331</v>
      </c>
      <c r="M82" s="18" t="n">
        <v>0</v>
      </c>
      <c r="N82" s="20" t="n">
        <v>0</v>
      </c>
      <c r="O82" s="18" t="n">
        <v>0</v>
      </c>
      <c r="P82" s="20" t="n">
        <v>0</v>
      </c>
      <c r="Q82" s="18" t="n">
        <v>2.54898654</v>
      </c>
      <c r="R82" s="20" t="n">
        <v>0.28243914</v>
      </c>
    </row>
    <row r="83" spans="1:18">
      <c r="A83" s="15" t="s">
        <v>643</v>
      </c>
      <c r="B83" s="17" t="n">
        <v>1652</v>
      </c>
      <c r="C83" s="18">
        <f>(1292.0/B83*100)</f>
        <v/>
      </c>
      <c r="D83" s="19" t="n">
        <v>360</v>
      </c>
      <c r="E83" s="18" t="n">
        <v>23.94531935</v>
      </c>
      <c r="F83" s="20" t="n">
        <v>2.37753909</v>
      </c>
      <c r="G83" s="18" t="n">
        <v>74.59284150000001</v>
      </c>
      <c r="H83" s="20" t="n">
        <v>2.57153165</v>
      </c>
      <c r="I83" s="18" t="n">
        <v>0</v>
      </c>
      <c r="J83" s="20" t="n">
        <v>0</v>
      </c>
      <c r="K83" s="18" t="n">
        <v>0</v>
      </c>
      <c r="L83" s="20" t="n">
        <v>0</v>
      </c>
      <c r="M83" s="18" t="n">
        <v>0</v>
      </c>
      <c r="N83" s="20" t="n">
        <v>0</v>
      </c>
      <c r="O83" s="18" t="n">
        <v>0</v>
      </c>
      <c r="P83" s="20" t="n">
        <v>0</v>
      </c>
      <c r="Q83" s="18" t="n">
        <v>1.46183914</v>
      </c>
      <c r="R83" s="20" t="n">
        <v>0.6901349</v>
      </c>
    </row>
    <row r="84" spans="1:18">
      <c r="A84" s="23" t="s">
        <v>644</v>
      </c>
      <c r="B84" s="24" t="n">
        <v>1887</v>
      </c>
      <c r="C84" s="25">
        <f>(1501.0/B84*100)</f>
        <v/>
      </c>
      <c r="D84" s="19" t="n">
        <v>386</v>
      </c>
      <c r="E84" s="18" t="n">
        <v>31.58597386</v>
      </c>
      <c r="F84" s="20" t="n">
        <v>2.62358329</v>
      </c>
      <c r="G84" s="18" t="n">
        <v>68.41402614</v>
      </c>
      <c r="H84" s="20" t="n">
        <v>2.62358329</v>
      </c>
      <c r="I84" s="18" t="n">
        <v>0</v>
      </c>
      <c r="J84" s="20" t="n">
        <v>0</v>
      </c>
      <c r="K84" s="18" t="n">
        <v>0</v>
      </c>
      <c r="L84" s="20" t="n">
        <v>0</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(11396.0/B7*100)</f>
        <v/>
      </c>
      <c r="D7" s="19" t="n">
        <v>3134</v>
      </c>
      <c r="E7" s="18" t="n">
        <v>51.83787781</v>
      </c>
      <c r="F7" s="20" t="n">
        <v>0.90139771</v>
      </c>
      <c r="G7" s="18" t="n">
        <v>46.87400061</v>
      </c>
      <c r="H7" s="20" t="n">
        <v>0.97951182</v>
      </c>
      <c r="I7" s="18" t="n">
        <v>0</v>
      </c>
      <c r="J7" s="20" t="n">
        <v>0</v>
      </c>
      <c r="K7" s="18" t="n">
        <v>0.51577373</v>
      </c>
      <c r="L7" s="20" t="n">
        <v>0.14579131</v>
      </c>
      <c r="M7" s="18" t="n">
        <v>0</v>
      </c>
      <c r="N7" s="20" t="n">
        <v>0</v>
      </c>
      <c r="O7" s="18" t="n">
        <v>0</v>
      </c>
      <c r="P7" s="20" t="n">
        <v>0</v>
      </c>
      <c r="Q7" s="18" t="n">
        <v>0.7723478499999999</v>
      </c>
      <c r="R7" s="20" t="n">
        <v>0.17640329</v>
      </c>
    </row>
    <row r="8" spans="1:18">
      <c r="A8" s="15" t="s">
        <v>566</v>
      </c>
      <c r="B8" s="17" t="n">
        <v>7007</v>
      </c>
      <c r="C8" s="18">
        <f>(5456.0/B8*100)</f>
        <v/>
      </c>
      <c r="D8" s="19" t="n">
        <v>1551</v>
      </c>
      <c r="E8" s="18" t="n">
        <v>67.48413253</v>
      </c>
      <c r="F8" s="20" t="n">
        <v>1.15605548</v>
      </c>
      <c r="G8" s="18" t="n">
        <v>31.06572437</v>
      </c>
      <c r="H8" s="20" t="n">
        <v>1.16412491</v>
      </c>
      <c r="I8" s="18" t="n">
        <v>0</v>
      </c>
      <c r="J8" s="20" t="n">
        <v>0</v>
      </c>
      <c r="K8" s="18" t="n">
        <v>0.15170986</v>
      </c>
      <c r="L8" s="20" t="n">
        <v>0.10572245</v>
      </c>
      <c r="M8" s="18" t="n">
        <v>0</v>
      </c>
      <c r="N8" s="20" t="n">
        <v>0</v>
      </c>
      <c r="O8" s="18" t="n">
        <v>0</v>
      </c>
      <c r="P8" s="20" t="n">
        <v>0</v>
      </c>
      <c r="Q8" s="18" t="n">
        <v>1.29843324</v>
      </c>
      <c r="R8" s="20" t="n">
        <v>0.3285937</v>
      </c>
    </row>
    <row r="9" spans="1:18">
      <c r="A9" s="15" t="s">
        <v>567</v>
      </c>
      <c r="B9" s="17" t="n">
        <v>9651</v>
      </c>
      <c r="C9" s="18">
        <f>(7558.0/B9*100)</f>
        <v/>
      </c>
      <c r="D9" s="19" t="n">
        <v>2093</v>
      </c>
      <c r="E9" s="18" t="n">
        <v>57.27908656</v>
      </c>
      <c r="F9" s="20" t="n">
        <v>1.13677017</v>
      </c>
      <c r="G9" s="18" t="n">
        <v>41.30069271</v>
      </c>
      <c r="H9" s="20" t="n">
        <v>1.12049344</v>
      </c>
      <c r="I9" s="18" t="n">
        <v>0</v>
      </c>
      <c r="J9" s="20" t="n">
        <v>0</v>
      </c>
      <c r="K9" s="18" t="n">
        <v>0.39357004</v>
      </c>
      <c r="L9" s="20" t="n">
        <v>0.20042888</v>
      </c>
      <c r="M9" s="18" t="n">
        <v>0</v>
      </c>
      <c r="N9" s="20" t="n">
        <v>0</v>
      </c>
      <c r="O9" s="18" t="n">
        <v>0</v>
      </c>
      <c r="P9" s="20" t="n">
        <v>0</v>
      </c>
      <c r="Q9" s="18" t="n">
        <v>1.02665069</v>
      </c>
      <c r="R9" s="20" t="n">
        <v>0.23825038</v>
      </c>
    </row>
    <row r="10" spans="1:18">
      <c r="A10" s="15" t="s">
        <v>568</v>
      </c>
      <c r="B10" s="17" t="n">
        <v>20058</v>
      </c>
      <c r="C10" s="18">
        <f>(15616.0/B10*100)</f>
        <v/>
      </c>
      <c r="D10" s="19" t="n">
        <v>4442</v>
      </c>
      <c r="E10" s="18" t="n">
        <v>58.43964305</v>
      </c>
      <c r="F10" s="20" t="n">
        <v>1.26507404</v>
      </c>
      <c r="G10" s="18" t="n">
        <v>40.60075416</v>
      </c>
      <c r="H10" s="20" t="n">
        <v>1.27017559</v>
      </c>
      <c r="I10" s="18" t="n">
        <v>0</v>
      </c>
      <c r="J10" s="20" t="n">
        <v>0</v>
      </c>
      <c r="K10" s="18" t="n">
        <v>0.46758494</v>
      </c>
      <c r="L10" s="20" t="n">
        <v>0.16099097</v>
      </c>
      <c r="M10" s="18" t="n">
        <v>0</v>
      </c>
      <c r="N10" s="20" t="n">
        <v>0</v>
      </c>
      <c r="O10" s="18" t="n">
        <v>0</v>
      </c>
      <c r="P10" s="20" t="n">
        <v>0</v>
      </c>
      <c r="Q10" s="18" t="n">
        <v>0.49201785</v>
      </c>
      <c r="R10" s="20" t="n">
        <v>0.13594552</v>
      </c>
    </row>
    <row r="11" spans="1:18">
      <c r="A11" s="15" t="s">
        <v>569</v>
      </c>
      <c r="B11" s="17" t="n">
        <v>7053</v>
      </c>
      <c r="C11" s="18">
        <f>(5493.0/B11*100)</f>
        <v/>
      </c>
      <c r="D11" s="19" t="n">
        <v>1560</v>
      </c>
      <c r="E11" s="18" t="n">
        <v>66.59397971</v>
      </c>
      <c r="F11" s="20" t="n">
        <v>1.35009624</v>
      </c>
      <c r="G11" s="18" t="n">
        <v>30.15928059</v>
      </c>
      <c r="H11" s="20" t="n">
        <v>1.35819716</v>
      </c>
      <c r="I11" s="18" t="n">
        <v>0</v>
      </c>
      <c r="J11" s="20" t="n">
        <v>0</v>
      </c>
      <c r="K11" s="18" t="n">
        <v>0.6252391899999999</v>
      </c>
      <c r="L11" s="20" t="n">
        <v>0.24562858</v>
      </c>
      <c r="M11" s="18" t="n">
        <v>0</v>
      </c>
      <c r="N11" s="20" t="n">
        <v>0</v>
      </c>
      <c r="O11" s="18" t="n">
        <v>0</v>
      </c>
      <c r="P11" s="20" t="n">
        <v>0</v>
      </c>
      <c r="Q11" s="18" t="n">
        <v>2.62150052</v>
      </c>
      <c r="R11" s="20" t="n">
        <v>0.45969765</v>
      </c>
    </row>
    <row r="12" spans="1:18">
      <c r="A12" s="15" t="s">
        <v>570</v>
      </c>
      <c r="B12" s="17" t="n">
        <v>6894</v>
      </c>
      <c r="C12" s="18">
        <f>(5413.0/B12*100)</f>
        <v/>
      </c>
      <c r="D12" s="19" t="n">
        <v>1481</v>
      </c>
      <c r="E12" s="18" t="n">
        <v>67.47365526999999</v>
      </c>
      <c r="F12" s="20" t="n">
        <v>1.59474691</v>
      </c>
      <c r="G12" s="18" t="n">
        <v>31.8358776</v>
      </c>
      <c r="H12" s="20" t="n">
        <v>1.6048965</v>
      </c>
      <c r="I12" s="18" t="n">
        <v>0</v>
      </c>
      <c r="J12" s="20" t="n">
        <v>0</v>
      </c>
      <c r="K12" s="18" t="n">
        <v>0.05912682</v>
      </c>
      <c r="L12" s="20" t="n">
        <v>0.05617016</v>
      </c>
      <c r="M12" s="18" t="n">
        <v>0</v>
      </c>
      <c r="N12" s="20" t="n">
        <v>0</v>
      </c>
      <c r="O12" s="18" t="n">
        <v>0</v>
      </c>
      <c r="P12" s="20" t="n">
        <v>0</v>
      </c>
      <c r="Q12" s="18" t="n">
        <v>0.6313403</v>
      </c>
      <c r="R12" s="20" t="n">
        <v>0.28959619</v>
      </c>
    </row>
    <row r="13" spans="1:18">
      <c r="A13" s="15" t="s">
        <v>571</v>
      </c>
      <c r="B13" s="17" t="n">
        <v>7161</v>
      </c>
      <c r="C13" s="18">
        <f>(5701.0/B13*100)</f>
        <v/>
      </c>
      <c r="D13" s="19" t="n">
        <v>1460</v>
      </c>
      <c r="E13" s="18" t="n">
        <v>62.64381681</v>
      </c>
      <c r="F13" s="20" t="n">
        <v>1.53090575</v>
      </c>
      <c r="G13" s="18" t="n">
        <v>36.2250352</v>
      </c>
      <c r="H13" s="20" t="n">
        <v>1.49327231</v>
      </c>
      <c r="I13" s="18" t="n">
        <v>0</v>
      </c>
      <c r="J13" s="20" t="n">
        <v>0</v>
      </c>
      <c r="K13" s="18" t="n">
        <v>0.59458006</v>
      </c>
      <c r="L13" s="20" t="n">
        <v>0.23294678</v>
      </c>
      <c r="M13" s="18" t="n">
        <v>0</v>
      </c>
      <c r="N13" s="20" t="n">
        <v>0</v>
      </c>
      <c r="O13" s="18" t="n">
        <v>0</v>
      </c>
      <c r="P13" s="20" t="n">
        <v>0</v>
      </c>
      <c r="Q13" s="18" t="n">
        <v>0.53656793</v>
      </c>
      <c r="R13" s="20" t="n">
        <v>0.15750919</v>
      </c>
    </row>
    <row r="14" spans="1:18">
      <c r="A14" s="15" t="s">
        <v>572</v>
      </c>
      <c r="B14" s="17" t="n">
        <v>5587</v>
      </c>
      <c r="C14" s="18">
        <f>(4328.0/B14*100)</f>
        <v/>
      </c>
      <c r="D14" s="19" t="n">
        <v>1259</v>
      </c>
      <c r="E14" s="18" t="n">
        <v>47.65490138</v>
      </c>
      <c r="F14" s="20" t="n">
        <v>1.60389981</v>
      </c>
      <c r="G14" s="18" t="n">
        <v>51.90181842</v>
      </c>
      <c r="H14" s="20" t="n">
        <v>1.60077359</v>
      </c>
      <c r="I14" s="18" t="n">
        <v>0</v>
      </c>
      <c r="J14" s="20" t="n">
        <v>0</v>
      </c>
      <c r="K14" s="18" t="n">
        <v>0.14557922</v>
      </c>
      <c r="L14" s="20" t="n">
        <v>0.10335376</v>
      </c>
      <c r="M14" s="18" t="n">
        <v>0</v>
      </c>
      <c r="N14" s="20" t="n">
        <v>0</v>
      </c>
      <c r="O14" s="18" t="n">
        <v>0</v>
      </c>
      <c r="P14" s="20" t="n">
        <v>0</v>
      </c>
      <c r="Q14" s="18" t="n">
        <v>0.29770098</v>
      </c>
      <c r="R14" s="20" t="n">
        <v>0.1769315</v>
      </c>
    </row>
    <row r="15" spans="1:18">
      <c r="A15" s="15" t="s">
        <v>573</v>
      </c>
      <c r="B15" s="17" t="n">
        <v>5882</v>
      </c>
      <c r="C15" s="18">
        <f>(4523.0/B15*100)</f>
        <v/>
      </c>
      <c r="D15" s="19" t="n">
        <v>1359</v>
      </c>
      <c r="E15" s="18" t="n">
        <v>54.68119371</v>
      </c>
      <c r="F15" s="20" t="n">
        <v>1.41524986</v>
      </c>
      <c r="G15" s="18" t="n">
        <v>44.756517</v>
      </c>
      <c r="H15" s="20" t="n">
        <v>1.35937859</v>
      </c>
      <c r="I15" s="18" t="n">
        <v>0</v>
      </c>
      <c r="J15" s="20" t="n">
        <v>0</v>
      </c>
      <c r="K15" s="18" t="n">
        <v>0.08288495999999999</v>
      </c>
      <c r="L15" s="20" t="n">
        <v>0.09094947</v>
      </c>
      <c r="M15" s="18" t="n">
        <v>0</v>
      </c>
      <c r="N15" s="20" t="n">
        <v>0</v>
      </c>
      <c r="O15" s="18" t="n">
        <v>0</v>
      </c>
      <c r="P15" s="20" t="n">
        <v>0</v>
      </c>
      <c r="Q15" s="18" t="n">
        <v>0.47940434</v>
      </c>
      <c r="R15" s="20" t="n">
        <v>0.18980021</v>
      </c>
    </row>
    <row r="16" spans="1:18">
      <c r="A16" s="15" t="s">
        <v>574</v>
      </c>
      <c r="B16" s="17" t="n">
        <v>6108</v>
      </c>
      <c r="C16" s="18">
        <f>(4760.0/B16*100)</f>
        <v/>
      </c>
      <c r="D16" s="19" t="n">
        <v>1348</v>
      </c>
      <c r="E16" s="18" t="n">
        <v>58.39880059</v>
      </c>
      <c r="F16" s="20" t="n">
        <v>1.41822369</v>
      </c>
      <c r="G16" s="18" t="n">
        <v>38.55487405</v>
      </c>
      <c r="H16" s="20" t="n">
        <v>1.45642908</v>
      </c>
      <c r="I16" s="18" t="n">
        <v>0</v>
      </c>
      <c r="J16" s="20" t="n">
        <v>0</v>
      </c>
      <c r="K16" s="18" t="n">
        <v>0.97008515</v>
      </c>
      <c r="L16" s="20" t="n">
        <v>0.25463905</v>
      </c>
      <c r="M16" s="18" t="n">
        <v>0</v>
      </c>
      <c r="N16" s="20" t="n">
        <v>0</v>
      </c>
      <c r="O16" s="18" t="n">
        <v>0</v>
      </c>
      <c r="P16" s="20" t="n">
        <v>0</v>
      </c>
      <c r="Q16" s="18" t="n">
        <v>2.07624021</v>
      </c>
      <c r="R16" s="20" t="n">
        <v>0.40284777</v>
      </c>
    </row>
    <row r="17" spans="1:18">
      <c r="A17" s="15" t="s">
        <v>575</v>
      </c>
      <c r="B17" s="17" t="n">
        <v>6504</v>
      </c>
      <c r="C17" s="18">
        <f>(5131.0/B17*100)</f>
        <v/>
      </c>
      <c r="D17" s="19" t="n">
        <v>1373</v>
      </c>
      <c r="E17" s="18" t="n">
        <v>63.60480658</v>
      </c>
      <c r="F17" s="20" t="n">
        <v>1.33561762</v>
      </c>
      <c r="G17" s="18" t="n">
        <v>34.92036676</v>
      </c>
      <c r="H17" s="20" t="n">
        <v>1.32782331</v>
      </c>
      <c r="I17" s="18" t="n">
        <v>0</v>
      </c>
      <c r="J17" s="20" t="n">
        <v>0</v>
      </c>
      <c r="K17" s="18" t="n">
        <v>0.24157852</v>
      </c>
      <c r="L17" s="20" t="n">
        <v>0.14741385</v>
      </c>
      <c r="M17" s="18" t="n">
        <v>0</v>
      </c>
      <c r="N17" s="20" t="n">
        <v>0</v>
      </c>
      <c r="O17" s="18" t="n">
        <v>0</v>
      </c>
      <c r="P17" s="20" t="n">
        <v>0</v>
      </c>
      <c r="Q17" s="18" t="n">
        <v>1.23324813</v>
      </c>
      <c r="R17" s="20" t="n">
        <v>0.30113742</v>
      </c>
    </row>
    <row r="18" spans="1:18">
      <c r="A18" s="15" t="s">
        <v>576</v>
      </c>
      <c r="B18" s="17" t="n">
        <v>5532</v>
      </c>
      <c r="C18" s="18">
        <f>(4324.0/B18*100)</f>
        <v/>
      </c>
      <c r="D18" s="19" t="n">
        <v>1208</v>
      </c>
      <c r="E18" s="18" t="n">
        <v>79.14051129000001</v>
      </c>
      <c r="F18" s="20" t="n">
        <v>1.47506922</v>
      </c>
      <c r="G18" s="18" t="n">
        <v>19.01962094</v>
      </c>
      <c r="H18" s="20" t="n">
        <v>1.5219808</v>
      </c>
      <c r="I18" s="18" t="n">
        <v>0</v>
      </c>
      <c r="J18" s="20" t="n">
        <v>0</v>
      </c>
      <c r="K18" s="18" t="n">
        <v>0.483913</v>
      </c>
      <c r="L18" s="20" t="n">
        <v>0.2019976</v>
      </c>
      <c r="M18" s="18" t="n">
        <v>0</v>
      </c>
      <c r="N18" s="20" t="n">
        <v>0</v>
      </c>
      <c r="O18" s="18" t="n">
        <v>0</v>
      </c>
      <c r="P18" s="20" t="n">
        <v>0</v>
      </c>
      <c r="Q18" s="18" t="n">
        <v>1.35595476</v>
      </c>
      <c r="R18" s="20" t="n">
        <v>0.47111264</v>
      </c>
    </row>
    <row r="19" spans="1:18">
      <c r="A19" s="15" t="s">
        <v>577</v>
      </c>
      <c r="B19" s="17" t="n">
        <v>5658</v>
      </c>
      <c r="C19" s="18">
        <f>(4381.0/B19*100)</f>
        <v/>
      </c>
      <c r="D19" s="19" t="n">
        <v>1277</v>
      </c>
      <c r="E19" s="18" t="n">
        <v>63.73940678</v>
      </c>
      <c r="F19" s="20" t="n">
        <v>1.32196984</v>
      </c>
      <c r="G19" s="18" t="n">
        <v>35.64122094</v>
      </c>
      <c r="H19" s="20" t="n">
        <v>1.2993249</v>
      </c>
      <c r="I19" s="18" t="n">
        <v>0</v>
      </c>
      <c r="J19" s="20" t="n">
        <v>0</v>
      </c>
      <c r="K19" s="18" t="n">
        <v>0.07231219</v>
      </c>
      <c r="L19" s="20" t="n">
        <v>0.06114148</v>
      </c>
      <c r="M19" s="18" t="n">
        <v>0</v>
      </c>
      <c r="N19" s="20" t="n">
        <v>0</v>
      </c>
      <c r="O19" s="18" t="n">
        <v>0</v>
      </c>
      <c r="P19" s="20" t="n">
        <v>0</v>
      </c>
      <c r="Q19" s="18" t="n">
        <v>0.54706009</v>
      </c>
      <c r="R19" s="20" t="n">
        <v>0.24064793</v>
      </c>
    </row>
    <row r="20" spans="1:18">
      <c r="A20" s="15" t="s">
        <v>578</v>
      </c>
      <c r="B20" s="17" t="n">
        <v>3371</v>
      </c>
      <c r="C20" s="18">
        <f>(2637.0/B20*100)</f>
        <v/>
      </c>
      <c r="D20" s="19" t="n">
        <v>734</v>
      </c>
      <c r="E20" s="18" t="n">
        <v>70.12112203</v>
      </c>
      <c r="F20" s="20" t="n">
        <v>1.6884572</v>
      </c>
      <c r="G20" s="18" t="n">
        <v>28.03296789</v>
      </c>
      <c r="H20" s="20" t="n">
        <v>1.73845671</v>
      </c>
      <c r="I20" s="18" t="n">
        <v>0</v>
      </c>
      <c r="J20" s="20" t="n">
        <v>0</v>
      </c>
      <c r="K20" s="18" t="n">
        <v>0.39569503</v>
      </c>
      <c r="L20" s="20" t="n">
        <v>0.22573632</v>
      </c>
      <c r="M20" s="18" t="n">
        <v>0</v>
      </c>
      <c r="N20" s="20" t="n">
        <v>0</v>
      </c>
      <c r="O20" s="18" t="n">
        <v>0</v>
      </c>
      <c r="P20" s="20" t="n">
        <v>0</v>
      </c>
      <c r="Q20" s="18" t="n">
        <v>1.45021504</v>
      </c>
      <c r="R20" s="20" t="n">
        <v>0.46194064</v>
      </c>
    </row>
    <row r="21" spans="1:18">
      <c r="A21" s="15" t="s">
        <v>579</v>
      </c>
      <c r="B21" s="17" t="n">
        <v>5741</v>
      </c>
      <c r="C21" s="18">
        <f>(4489.0/B21*100)</f>
        <v/>
      </c>
      <c r="D21" s="19" t="n">
        <v>1252</v>
      </c>
      <c r="E21" s="18" t="n">
        <v>52.16885412</v>
      </c>
      <c r="F21" s="20" t="n">
        <v>1.70977672</v>
      </c>
      <c r="G21" s="18" t="n">
        <v>46.09774832</v>
      </c>
      <c r="H21" s="20" t="n">
        <v>1.65158586</v>
      </c>
      <c r="I21" s="18" t="n">
        <v>0</v>
      </c>
      <c r="J21" s="20" t="n">
        <v>0</v>
      </c>
      <c r="K21" s="18" t="n">
        <v>0.35719673</v>
      </c>
      <c r="L21" s="20" t="n">
        <v>0.16470788</v>
      </c>
      <c r="M21" s="18" t="n">
        <v>0</v>
      </c>
      <c r="N21" s="20" t="n">
        <v>0</v>
      </c>
      <c r="O21" s="18" t="n">
        <v>0</v>
      </c>
      <c r="P21" s="20" t="n">
        <v>0</v>
      </c>
      <c r="Q21" s="18" t="n">
        <v>1.37620083</v>
      </c>
      <c r="R21" s="20" t="n">
        <v>0.30862822</v>
      </c>
    </row>
    <row r="22" spans="1:18">
      <c r="A22" s="15" t="s">
        <v>580</v>
      </c>
      <c r="B22" s="17" t="n">
        <v>6598</v>
      </c>
      <c r="C22" s="18">
        <f>(5215.0/B22*100)</f>
        <v/>
      </c>
      <c r="D22" s="19" t="n">
        <v>1383</v>
      </c>
      <c r="E22" s="18" t="n">
        <v>74.32205823</v>
      </c>
      <c r="F22" s="20" t="n">
        <v>1.39086443</v>
      </c>
      <c r="G22" s="18" t="n">
        <v>22.1435894</v>
      </c>
      <c r="H22" s="20" t="n">
        <v>1.32858329</v>
      </c>
      <c r="I22" s="18" t="n">
        <v>0</v>
      </c>
      <c r="J22" s="20" t="n">
        <v>0</v>
      </c>
      <c r="K22" s="18" t="n">
        <v>0.8986734199999999</v>
      </c>
      <c r="L22" s="20" t="n">
        <v>0.30373105</v>
      </c>
      <c r="M22" s="18" t="n">
        <v>0</v>
      </c>
      <c r="N22" s="20" t="n">
        <v>0</v>
      </c>
      <c r="O22" s="18" t="n">
        <v>0</v>
      </c>
      <c r="P22" s="20" t="n">
        <v>0</v>
      </c>
      <c r="Q22" s="18" t="n">
        <v>2.63567896</v>
      </c>
      <c r="R22" s="20" t="n">
        <v>0.53455494</v>
      </c>
    </row>
    <row r="23" spans="1:18">
      <c r="A23" s="15" t="s">
        <v>581</v>
      </c>
      <c r="B23" s="17" t="n">
        <v>11583</v>
      </c>
      <c r="C23" s="18">
        <f>(9010.0/B23*100)</f>
        <v/>
      </c>
      <c r="D23" s="19" t="n">
        <v>2573</v>
      </c>
      <c r="E23" s="18" t="n">
        <v>51.18890442</v>
      </c>
      <c r="F23" s="20" t="n">
        <v>1.50319727</v>
      </c>
      <c r="G23" s="18" t="n">
        <v>47.27008685</v>
      </c>
      <c r="H23" s="20" t="n">
        <v>1.57566491</v>
      </c>
      <c r="I23" s="18" t="n">
        <v>0</v>
      </c>
      <c r="J23" s="20" t="n">
        <v>0</v>
      </c>
      <c r="K23" s="18" t="n">
        <v>0.48092543</v>
      </c>
      <c r="L23" s="20" t="n">
        <v>0.24015434</v>
      </c>
      <c r="M23" s="18" t="n">
        <v>0</v>
      </c>
      <c r="N23" s="20" t="n">
        <v>0</v>
      </c>
      <c r="O23" s="18" t="n">
        <v>0</v>
      </c>
      <c r="P23" s="20" t="n">
        <v>0</v>
      </c>
      <c r="Q23" s="18" t="n">
        <v>1.0600833</v>
      </c>
      <c r="R23" s="20" t="n">
        <v>0.32353968</v>
      </c>
    </row>
    <row r="24" spans="1:18">
      <c r="A24" s="15" t="s">
        <v>582</v>
      </c>
      <c r="B24" s="17" t="n">
        <v>6647</v>
      </c>
      <c r="C24" s="18">
        <f>(5209.0/B24*100)</f>
        <v/>
      </c>
      <c r="D24" s="19" t="n">
        <v>1438</v>
      </c>
      <c r="E24" s="18" t="n">
        <v>59.75474041</v>
      </c>
      <c r="F24" s="20" t="n">
        <v>1.32850085</v>
      </c>
      <c r="G24" s="18" t="n">
        <v>39.33124652</v>
      </c>
      <c r="H24" s="20" t="n">
        <v>1.29253714</v>
      </c>
      <c r="I24" s="18" t="n">
        <v>0</v>
      </c>
      <c r="J24" s="20" t="n">
        <v>0</v>
      </c>
      <c r="K24" s="18" t="n">
        <v>0.25447641</v>
      </c>
      <c r="L24" s="20" t="n">
        <v>0.12884071</v>
      </c>
      <c r="M24" s="18" t="n">
        <v>0</v>
      </c>
      <c r="N24" s="20" t="n">
        <v>0</v>
      </c>
      <c r="O24" s="18" t="n">
        <v>0</v>
      </c>
      <c r="P24" s="20" t="n">
        <v>0</v>
      </c>
      <c r="Q24" s="18" t="n">
        <v>0.65953666</v>
      </c>
      <c r="R24" s="20" t="n">
        <v>0.20999082</v>
      </c>
    </row>
    <row r="25" spans="1:18">
      <c r="A25" s="15" t="s">
        <v>583</v>
      </c>
      <c r="B25" s="17" t="n">
        <v>5581</v>
      </c>
      <c r="C25" s="18">
        <f>(4366.0/B25*100)</f>
        <v/>
      </c>
      <c r="D25" s="19" t="n">
        <v>1215</v>
      </c>
      <c r="E25" s="18" t="n">
        <v>56.98386953</v>
      </c>
      <c r="F25" s="20" t="n">
        <v>1.34965492</v>
      </c>
      <c r="G25" s="18" t="n">
        <v>42.40904077</v>
      </c>
      <c r="H25" s="20" t="n">
        <v>1.38483793</v>
      </c>
      <c r="I25" s="18" t="n">
        <v>0</v>
      </c>
      <c r="J25" s="20" t="n">
        <v>0</v>
      </c>
      <c r="K25" s="18" t="n">
        <v>0.06954566</v>
      </c>
      <c r="L25" s="20" t="n">
        <v>0.0699224</v>
      </c>
      <c r="M25" s="18" t="n">
        <v>0</v>
      </c>
      <c r="N25" s="20" t="n">
        <v>0</v>
      </c>
      <c r="O25" s="18" t="n">
        <v>0</v>
      </c>
      <c r="P25" s="20" t="n">
        <v>0</v>
      </c>
      <c r="Q25" s="18" t="n">
        <v>0.53754404</v>
      </c>
      <c r="R25" s="20" t="n">
        <v>0.21894997</v>
      </c>
    </row>
    <row r="26" spans="1:18">
      <c r="A26" s="15" t="s">
        <v>584</v>
      </c>
      <c r="B26" s="17" t="n">
        <v>4869</v>
      </c>
      <c r="C26" s="18">
        <f>(3765.0/B26*100)</f>
        <v/>
      </c>
      <c r="D26" s="19" t="n">
        <v>1104</v>
      </c>
      <c r="E26" s="18" t="n">
        <v>75.17346755</v>
      </c>
      <c r="F26" s="20" t="n">
        <v>1.31095699</v>
      </c>
      <c r="G26" s="18" t="n">
        <v>24.50543554</v>
      </c>
      <c r="H26" s="20" t="n">
        <v>1.30636689</v>
      </c>
      <c r="I26" s="18" t="n">
        <v>0</v>
      </c>
      <c r="J26" s="20" t="n">
        <v>0</v>
      </c>
      <c r="K26" s="18" t="n">
        <v>0</v>
      </c>
      <c r="L26" s="20" t="n">
        <v>0</v>
      </c>
      <c r="M26" s="18" t="n">
        <v>0</v>
      </c>
      <c r="N26" s="20" t="n">
        <v>0</v>
      </c>
      <c r="O26" s="18" t="n">
        <v>0</v>
      </c>
      <c r="P26" s="20" t="n">
        <v>0</v>
      </c>
      <c r="Q26" s="18" t="n">
        <v>0.32109691</v>
      </c>
      <c r="R26" s="20" t="n">
        <v>0.16569496</v>
      </c>
    </row>
    <row r="27" spans="1:18">
      <c r="A27" s="15" t="s">
        <v>585</v>
      </c>
      <c r="B27" s="17" t="n">
        <v>5299</v>
      </c>
      <c r="C27" s="18">
        <f>(4165.0/B27*100)</f>
        <v/>
      </c>
      <c r="D27" s="19" t="n">
        <v>1134</v>
      </c>
      <c r="E27" s="18" t="n">
        <v>65.57149909</v>
      </c>
      <c r="F27" s="20" t="n">
        <v>1.35590215</v>
      </c>
      <c r="G27" s="18" t="n">
        <v>31.7961006</v>
      </c>
      <c r="H27" s="20" t="n">
        <v>1.25503152</v>
      </c>
      <c r="I27" s="18" t="n">
        <v>0</v>
      </c>
      <c r="J27" s="20" t="n">
        <v>0</v>
      </c>
      <c r="K27" s="18" t="n">
        <v>0.17209134</v>
      </c>
      <c r="L27" s="20" t="n">
        <v>0.12136748</v>
      </c>
      <c r="M27" s="18" t="n">
        <v>0</v>
      </c>
      <c r="N27" s="20" t="n">
        <v>0</v>
      </c>
      <c r="O27" s="18" t="n">
        <v>0</v>
      </c>
      <c r="P27" s="20" t="n">
        <v>0</v>
      </c>
      <c r="Q27" s="18" t="n">
        <v>2.46030897</v>
      </c>
      <c r="R27" s="20" t="n">
        <v>0.45619152</v>
      </c>
    </row>
    <row r="28" spans="1:18">
      <c r="A28" s="15" t="s">
        <v>586</v>
      </c>
      <c r="B28" s="17" t="n">
        <v>7568</v>
      </c>
      <c r="C28" s="18">
        <f>(6007.0/B28*100)</f>
        <v/>
      </c>
      <c r="D28" s="19" t="n">
        <v>1561</v>
      </c>
      <c r="E28" s="18" t="n">
        <v>78.06645668</v>
      </c>
      <c r="F28" s="20" t="n">
        <v>1.20609499</v>
      </c>
      <c r="G28" s="18" t="n">
        <v>20.28535912</v>
      </c>
      <c r="H28" s="20" t="n">
        <v>1.28255485</v>
      </c>
      <c r="I28" s="18" t="n">
        <v>0</v>
      </c>
      <c r="J28" s="20" t="n">
        <v>0</v>
      </c>
      <c r="K28" s="18" t="n">
        <v>0.70069421</v>
      </c>
      <c r="L28" s="20" t="n">
        <v>0.28680418</v>
      </c>
      <c r="M28" s="18" t="n">
        <v>0</v>
      </c>
      <c r="N28" s="20" t="n">
        <v>0</v>
      </c>
      <c r="O28" s="18" t="n">
        <v>0</v>
      </c>
      <c r="P28" s="20" t="n">
        <v>0</v>
      </c>
      <c r="Q28" s="18" t="n">
        <v>0.94748999</v>
      </c>
      <c r="R28" s="20" t="n">
        <v>0.33150463</v>
      </c>
    </row>
    <row r="29" spans="1:18">
      <c r="A29" s="15" t="s">
        <v>587</v>
      </c>
      <c r="B29" s="17" t="n">
        <v>5385</v>
      </c>
      <c r="C29" s="18">
        <f>(4213.0/B29*100)</f>
        <v/>
      </c>
      <c r="D29" s="19" t="n">
        <v>1172</v>
      </c>
      <c r="E29" s="18" t="n">
        <v>48.18812848</v>
      </c>
      <c r="F29" s="20" t="n">
        <v>1.53756421</v>
      </c>
      <c r="G29" s="18" t="n">
        <v>51.32500163</v>
      </c>
      <c r="H29" s="20" t="n">
        <v>1.55807069</v>
      </c>
      <c r="I29" s="18" t="n">
        <v>0</v>
      </c>
      <c r="J29" s="20" t="n">
        <v>0</v>
      </c>
      <c r="K29" s="18" t="n">
        <v>0.48686989</v>
      </c>
      <c r="L29" s="20" t="n">
        <v>0.1775361</v>
      </c>
      <c r="M29" s="18" t="n">
        <v>0</v>
      </c>
      <c r="N29" s="20" t="n">
        <v>0</v>
      </c>
      <c r="O29" s="18" t="n">
        <v>0</v>
      </c>
      <c r="P29" s="20" t="n">
        <v>0</v>
      </c>
      <c r="Q29" s="18" t="n">
        <v>0</v>
      </c>
      <c r="R29" s="20" t="n">
        <v>0</v>
      </c>
    </row>
    <row r="30" spans="1:18">
      <c r="A30" s="15" t="s">
        <v>588</v>
      </c>
      <c r="B30" s="17" t="n">
        <v>4520</v>
      </c>
      <c r="C30" s="18">
        <f>(3561.0/B30*100)</f>
        <v/>
      </c>
      <c r="D30" s="19" t="n">
        <v>959</v>
      </c>
      <c r="E30" s="18" t="n">
        <v>46.35548101</v>
      </c>
      <c r="F30" s="20" t="n">
        <v>1.87818376</v>
      </c>
      <c r="G30" s="18" t="n">
        <v>51.25392209</v>
      </c>
      <c r="H30" s="20" t="n">
        <v>1.92034187</v>
      </c>
      <c r="I30" s="18" t="n">
        <v>0</v>
      </c>
      <c r="J30" s="20" t="n">
        <v>0</v>
      </c>
      <c r="K30" s="18" t="n">
        <v>0.21720882</v>
      </c>
      <c r="L30" s="20" t="n">
        <v>0.14251525</v>
      </c>
      <c r="M30" s="18" t="n">
        <v>0</v>
      </c>
      <c r="N30" s="20" t="n">
        <v>0</v>
      </c>
      <c r="O30" s="18" t="n">
        <v>0</v>
      </c>
      <c r="P30" s="20" t="n">
        <v>0</v>
      </c>
      <c r="Q30" s="18" t="n">
        <v>2.17338809</v>
      </c>
      <c r="R30" s="20" t="n">
        <v>0.49726791</v>
      </c>
    </row>
    <row r="31" spans="1:18">
      <c r="A31" s="15" t="s">
        <v>589</v>
      </c>
      <c r="B31" s="17" t="n">
        <v>5456</v>
      </c>
      <c r="C31" s="18">
        <f>(4286.0/B31*100)</f>
        <v/>
      </c>
      <c r="D31" s="19" t="n">
        <v>1170</v>
      </c>
      <c r="E31" s="18" t="n">
        <v>63.02375538</v>
      </c>
      <c r="F31" s="20" t="n">
        <v>1.35206861</v>
      </c>
      <c r="G31" s="18" t="n">
        <v>35.58144202</v>
      </c>
      <c r="H31" s="20" t="n">
        <v>1.35128307</v>
      </c>
      <c r="I31" s="18" t="n">
        <v>0</v>
      </c>
      <c r="J31" s="20" t="n">
        <v>0</v>
      </c>
      <c r="K31" s="18" t="n">
        <v>0.5559010599999999</v>
      </c>
      <c r="L31" s="20" t="n">
        <v>0.20780077</v>
      </c>
      <c r="M31" s="18" t="n">
        <v>0</v>
      </c>
      <c r="N31" s="20" t="n">
        <v>0</v>
      </c>
      <c r="O31" s="18" t="n">
        <v>0</v>
      </c>
      <c r="P31" s="20" t="n">
        <v>0</v>
      </c>
      <c r="Q31" s="18" t="n">
        <v>0.8389015399999999</v>
      </c>
      <c r="R31" s="20" t="n">
        <v>0.2710367</v>
      </c>
    </row>
    <row r="32" spans="1:18">
      <c r="A32" s="15" t="s">
        <v>590</v>
      </c>
      <c r="B32" s="17" t="n">
        <v>4478</v>
      </c>
      <c r="C32" s="18">
        <f>(3537.0/B32*100)</f>
        <v/>
      </c>
      <c r="D32" s="19" t="n">
        <v>941</v>
      </c>
      <c r="E32" s="18" t="n">
        <v>76.24837109000001</v>
      </c>
      <c r="F32" s="20" t="n">
        <v>1.47473928</v>
      </c>
      <c r="G32" s="18" t="n">
        <v>23.27515329</v>
      </c>
      <c r="H32" s="20" t="n">
        <v>1.48469192</v>
      </c>
      <c r="I32" s="18" t="n">
        <v>0</v>
      </c>
      <c r="J32" s="20" t="n">
        <v>0</v>
      </c>
      <c r="K32" s="18" t="n">
        <v>0.0911255</v>
      </c>
      <c r="L32" s="20" t="n">
        <v>0.09108744000000001</v>
      </c>
      <c r="M32" s="18" t="n">
        <v>0</v>
      </c>
      <c r="N32" s="20" t="n">
        <v>0</v>
      </c>
      <c r="O32" s="18" t="n">
        <v>0</v>
      </c>
      <c r="P32" s="20" t="n">
        <v>0</v>
      </c>
      <c r="Q32" s="18" t="n">
        <v>0.38535011</v>
      </c>
      <c r="R32" s="20" t="n">
        <v>0.18968546</v>
      </c>
    </row>
    <row r="33" spans="1:18">
      <c r="A33" s="15" t="s">
        <v>591</v>
      </c>
      <c r="B33" s="17" t="n">
        <v>7325</v>
      </c>
      <c r="C33" s="18">
        <f>(5725.0/B33*100)</f>
        <v/>
      </c>
      <c r="D33" s="19" t="n">
        <v>1600</v>
      </c>
      <c r="E33" s="18" t="n">
        <v>53.88325379</v>
      </c>
      <c r="F33" s="20" t="n">
        <v>1.6344712</v>
      </c>
      <c r="G33" s="18" t="n">
        <v>45.17779326</v>
      </c>
      <c r="H33" s="20" t="n">
        <v>1.65453726</v>
      </c>
      <c r="I33" s="18" t="n">
        <v>0</v>
      </c>
      <c r="J33" s="20" t="n">
        <v>0</v>
      </c>
      <c r="K33" s="18" t="n">
        <v>0.01883336</v>
      </c>
      <c r="L33" s="20" t="n">
        <v>0.01449983</v>
      </c>
      <c r="M33" s="18" t="n">
        <v>0</v>
      </c>
      <c r="N33" s="20" t="n">
        <v>0</v>
      </c>
      <c r="O33" s="18" t="n">
        <v>0</v>
      </c>
      <c r="P33" s="20" t="n">
        <v>0</v>
      </c>
      <c r="Q33" s="18" t="n">
        <v>0.92011959</v>
      </c>
      <c r="R33" s="20" t="n">
        <v>0.25265361</v>
      </c>
    </row>
    <row r="34" spans="1:18">
      <c r="A34" s="15" t="s">
        <v>592</v>
      </c>
      <c r="B34" s="17" t="n">
        <v>6350</v>
      </c>
      <c r="C34" s="18">
        <f>(4995.0/B34*100)</f>
        <v/>
      </c>
      <c r="D34" s="19" t="n">
        <v>1355</v>
      </c>
      <c r="E34" s="18" t="n">
        <v>83.31326724</v>
      </c>
      <c r="F34" s="20" t="n">
        <v>1.16430844</v>
      </c>
      <c r="G34" s="18" t="n">
        <v>15.34080021</v>
      </c>
      <c r="H34" s="20" t="n">
        <v>1.08539577</v>
      </c>
      <c r="I34" s="18" t="n">
        <v>0</v>
      </c>
      <c r="J34" s="20" t="n">
        <v>0</v>
      </c>
      <c r="K34" s="18" t="n">
        <v>0.12788819</v>
      </c>
      <c r="L34" s="20" t="n">
        <v>0.09087895999999999</v>
      </c>
      <c r="M34" s="18" t="n">
        <v>0</v>
      </c>
      <c r="N34" s="20" t="n">
        <v>0</v>
      </c>
      <c r="O34" s="18" t="n">
        <v>0</v>
      </c>
      <c r="P34" s="20" t="n">
        <v>0</v>
      </c>
      <c r="Q34" s="18" t="n">
        <v>1.21804436</v>
      </c>
      <c r="R34" s="20" t="n">
        <v>0.34736088</v>
      </c>
    </row>
    <row r="35" spans="1:18">
      <c r="A35" s="15" t="s">
        <v>593</v>
      </c>
      <c r="B35" s="17" t="n">
        <v>6406</v>
      </c>
      <c r="C35" s="18">
        <f>(4979.0/B35*100)</f>
        <v/>
      </c>
      <c r="D35" s="19" t="n">
        <v>1427</v>
      </c>
      <c r="E35" s="18" t="n">
        <v>67.75296345</v>
      </c>
      <c r="F35" s="20" t="n">
        <v>1.66777757</v>
      </c>
      <c r="G35" s="18" t="n">
        <v>31.23122835</v>
      </c>
      <c r="H35" s="20" t="n">
        <v>1.61165443</v>
      </c>
      <c r="I35" s="18" t="n">
        <v>0</v>
      </c>
      <c r="J35" s="20" t="n">
        <v>0</v>
      </c>
      <c r="K35" s="18" t="n">
        <v>0.06574845999999999</v>
      </c>
      <c r="L35" s="20" t="n">
        <v>0.0465982</v>
      </c>
      <c r="M35" s="18" t="n">
        <v>0</v>
      </c>
      <c r="N35" s="20" t="n">
        <v>0</v>
      </c>
      <c r="O35" s="18" t="n">
        <v>0</v>
      </c>
      <c r="P35" s="20" t="n">
        <v>0</v>
      </c>
      <c r="Q35" s="18" t="n">
        <v>0.95005974</v>
      </c>
      <c r="R35" s="20" t="n">
        <v>0.29909235</v>
      </c>
    </row>
    <row r="36" spans="1:18">
      <c r="A36" s="15" t="s">
        <v>594</v>
      </c>
      <c r="B36" s="17" t="n">
        <v>6736</v>
      </c>
      <c r="C36" s="18">
        <f>(5251.0/B36*100)</f>
        <v/>
      </c>
      <c r="D36" s="19" t="n">
        <v>1485</v>
      </c>
      <c r="E36" s="18" t="n">
        <v>53.7292453</v>
      </c>
      <c r="F36" s="20" t="n">
        <v>1.53109275</v>
      </c>
      <c r="G36" s="18" t="n">
        <v>44.65124347</v>
      </c>
      <c r="H36" s="20" t="n">
        <v>1.52372503</v>
      </c>
      <c r="I36" s="18" t="n">
        <v>0</v>
      </c>
      <c r="J36" s="20" t="n">
        <v>0</v>
      </c>
      <c r="K36" s="18" t="n">
        <v>0.27363706</v>
      </c>
      <c r="L36" s="20" t="n">
        <v>0.16806502</v>
      </c>
      <c r="M36" s="18" t="n">
        <v>0</v>
      </c>
      <c r="N36" s="20" t="n">
        <v>0</v>
      </c>
      <c r="O36" s="18" t="n">
        <v>0</v>
      </c>
      <c r="P36" s="20" t="n">
        <v>0</v>
      </c>
      <c r="Q36" s="18" t="n">
        <v>1.34587418</v>
      </c>
      <c r="R36" s="20" t="n">
        <v>0.31030063</v>
      </c>
    </row>
    <row r="37" spans="1:18">
      <c r="A37" s="15" t="s">
        <v>595</v>
      </c>
      <c r="B37" s="17" t="n">
        <v>5458</v>
      </c>
      <c r="C37" s="18">
        <f>(4281.0/B37*100)</f>
        <v/>
      </c>
      <c r="D37" s="19" t="n">
        <v>1177</v>
      </c>
      <c r="E37" s="18" t="n">
        <v>57.75262017</v>
      </c>
      <c r="F37" s="20" t="n">
        <v>1.37122901</v>
      </c>
      <c r="G37" s="18" t="n">
        <v>39.74464085</v>
      </c>
      <c r="H37" s="20" t="n">
        <v>1.34783784</v>
      </c>
      <c r="I37" s="18" t="n">
        <v>0</v>
      </c>
      <c r="J37" s="20" t="n">
        <v>0</v>
      </c>
      <c r="K37" s="18" t="n">
        <v>0.74479283</v>
      </c>
      <c r="L37" s="20" t="n">
        <v>0.21715199</v>
      </c>
      <c r="M37" s="18" t="n">
        <v>0</v>
      </c>
      <c r="N37" s="20" t="n">
        <v>0</v>
      </c>
      <c r="O37" s="18" t="n">
        <v>0</v>
      </c>
      <c r="P37" s="20" t="n">
        <v>0</v>
      </c>
      <c r="Q37" s="18" t="n">
        <v>1.75794614</v>
      </c>
      <c r="R37" s="20" t="n">
        <v>0.40947137</v>
      </c>
    </row>
    <row r="38" spans="1:18">
      <c r="A38" s="15" t="s">
        <v>596</v>
      </c>
      <c r="B38" s="17" t="n">
        <v>5860</v>
      </c>
      <c r="C38" s="18">
        <f>(4511.0/B38*100)</f>
        <v/>
      </c>
      <c r="D38" s="19" t="n">
        <v>1349</v>
      </c>
      <c r="E38" s="18" t="n">
        <v>64.98323482000001</v>
      </c>
      <c r="F38" s="20" t="n">
        <v>1.65617277</v>
      </c>
      <c r="G38" s="18" t="n">
        <v>33.68301028</v>
      </c>
      <c r="H38" s="20" t="n">
        <v>1.61936853</v>
      </c>
      <c r="I38" s="18" t="n">
        <v>0</v>
      </c>
      <c r="J38" s="20" t="n">
        <v>0</v>
      </c>
      <c r="K38" s="18" t="n">
        <v>0.24320804</v>
      </c>
      <c r="L38" s="20" t="n">
        <v>0.14239927</v>
      </c>
      <c r="M38" s="18" t="n">
        <v>0</v>
      </c>
      <c r="N38" s="20" t="n">
        <v>0</v>
      </c>
      <c r="O38" s="18" t="n">
        <v>0</v>
      </c>
      <c r="P38" s="20" t="n">
        <v>0</v>
      </c>
      <c r="Q38" s="18" t="n">
        <v>1.09054687</v>
      </c>
      <c r="R38" s="20" t="n">
        <v>0.26054765</v>
      </c>
    </row>
    <row r="39" spans="1:18">
      <c r="A39" s="15" t="s">
        <v>597</v>
      </c>
      <c r="B39" s="17" t="n">
        <v>5895</v>
      </c>
      <c r="C39" s="18">
        <f>(4592.0/B39*100)</f>
        <v/>
      </c>
      <c r="D39" s="19" t="n">
        <v>1303</v>
      </c>
      <c r="E39" s="18" t="n">
        <v>70.25399059999999</v>
      </c>
      <c r="F39" s="20" t="n">
        <v>1.70502043</v>
      </c>
      <c r="G39" s="18" t="n">
        <v>28.57982808</v>
      </c>
      <c r="H39" s="20" t="n">
        <v>1.74366283</v>
      </c>
      <c r="I39" s="18" t="n">
        <v>0</v>
      </c>
      <c r="J39" s="20" t="n">
        <v>0</v>
      </c>
      <c r="K39" s="18" t="n">
        <v>0.17028547</v>
      </c>
      <c r="L39" s="20" t="n">
        <v>0.12156566</v>
      </c>
      <c r="M39" s="18" t="n">
        <v>0</v>
      </c>
      <c r="N39" s="20" t="n">
        <v>0</v>
      </c>
      <c r="O39" s="18" t="n">
        <v>0</v>
      </c>
      <c r="P39" s="20" t="n">
        <v>0</v>
      </c>
      <c r="Q39" s="18" t="n">
        <v>0.99589585</v>
      </c>
      <c r="R39" s="20" t="n">
        <v>0.31283434</v>
      </c>
    </row>
    <row r="40" spans="1:18">
      <c r="A40" s="15" t="s">
        <v>598</v>
      </c>
      <c r="B40" s="17" t="n">
        <v>14157</v>
      </c>
      <c r="C40" s="18">
        <f>(10977.0/B40*100)</f>
        <v/>
      </c>
      <c r="D40" s="19" t="n">
        <v>3180</v>
      </c>
      <c r="E40" s="18" t="n">
        <v>45.92465894</v>
      </c>
      <c r="F40" s="20" t="n">
        <v>1.58828479</v>
      </c>
      <c r="G40" s="18" t="n">
        <v>53.18266967</v>
      </c>
      <c r="H40" s="20" t="n">
        <v>1.63359171</v>
      </c>
      <c r="I40" s="18" t="n">
        <v>0</v>
      </c>
      <c r="J40" s="20" t="n">
        <v>0</v>
      </c>
      <c r="K40" s="18" t="n">
        <v>0.12222778</v>
      </c>
      <c r="L40" s="20" t="n">
        <v>0.06268406</v>
      </c>
      <c r="M40" s="18" t="n">
        <v>0</v>
      </c>
      <c r="N40" s="20" t="n">
        <v>0</v>
      </c>
      <c r="O40" s="18" t="n">
        <v>0</v>
      </c>
      <c r="P40" s="20" t="n">
        <v>0</v>
      </c>
      <c r="Q40" s="18" t="n">
        <v>0.77044362</v>
      </c>
      <c r="R40" s="20" t="n">
        <v>0.23368517</v>
      </c>
    </row>
    <row r="41" spans="1:18">
      <c r="A41" s="15" t="s">
        <v>599</v>
      </c>
      <c r="B41" s="17" t="n">
        <v>5712</v>
      </c>
      <c r="C41" s="18">
        <f>(4511.0/B41*100)</f>
        <v/>
      </c>
      <c r="D41" s="19" t="n">
        <v>1201</v>
      </c>
      <c r="E41" s="18" t="n">
        <v>66.83723402</v>
      </c>
      <c r="F41" s="20" t="n">
        <v>1.41628117</v>
      </c>
      <c r="G41" s="18" t="n">
        <v>32.28417925</v>
      </c>
      <c r="H41" s="20" t="n">
        <v>1.43282266</v>
      </c>
      <c r="I41" s="18" t="n">
        <v>0</v>
      </c>
      <c r="J41" s="20" t="n">
        <v>0</v>
      </c>
      <c r="K41" s="18" t="n">
        <v>0.20829079</v>
      </c>
      <c r="L41" s="20" t="n">
        <v>0.1329176</v>
      </c>
      <c r="M41" s="18" t="n">
        <v>0</v>
      </c>
      <c r="N41" s="20" t="n">
        <v>0</v>
      </c>
      <c r="O41" s="18" t="n">
        <v>0</v>
      </c>
      <c r="P41" s="20" t="n">
        <v>0</v>
      </c>
      <c r="Q41" s="18" t="n">
        <v>0.67029595</v>
      </c>
      <c r="R41" s="20" t="n">
        <v>0.25544443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(18984.0/B46*100)</f>
        <v/>
      </c>
      <c r="D46" s="19" t="n">
        <v>4157</v>
      </c>
      <c r="E46" s="18" t="n">
        <v>64.51227000999999</v>
      </c>
      <c r="F46" s="20" t="n">
        <v>1.01143098</v>
      </c>
      <c r="G46" s="18" t="n">
        <v>32.30876643</v>
      </c>
      <c r="H46" s="20" t="n">
        <v>1.03510772</v>
      </c>
      <c r="I46" s="18" t="n">
        <v>0</v>
      </c>
      <c r="J46" s="20" t="n">
        <v>0</v>
      </c>
      <c r="K46" s="18" t="n">
        <v>1.4034884</v>
      </c>
      <c r="L46" s="20" t="n">
        <v>0.30146416</v>
      </c>
      <c r="M46" s="18" t="n">
        <v>0</v>
      </c>
      <c r="N46" s="20" t="n">
        <v>0</v>
      </c>
      <c r="O46" s="18" t="n">
        <v>0</v>
      </c>
      <c r="P46" s="20" t="n">
        <v>0</v>
      </c>
      <c r="Q46" s="18" t="n">
        <v>1.77547516</v>
      </c>
      <c r="R46" s="20" t="n">
        <v>0.28906267</v>
      </c>
    </row>
    <row r="47" spans="1:18">
      <c r="A47" s="15" t="s">
        <v>606</v>
      </c>
      <c r="B47" s="17" t="n">
        <v>5928</v>
      </c>
      <c r="C47" s="18">
        <f>(4642.0/B47*100)</f>
        <v/>
      </c>
      <c r="D47" s="19" t="n">
        <v>1286</v>
      </c>
      <c r="E47" s="18" t="n">
        <v>71.76716337000001</v>
      </c>
      <c r="F47" s="20" t="n">
        <v>1.56351922</v>
      </c>
      <c r="G47" s="18" t="n">
        <v>26.85640322</v>
      </c>
      <c r="H47" s="20" t="n">
        <v>1.61134961</v>
      </c>
      <c r="I47" s="18" t="n">
        <v>0</v>
      </c>
      <c r="J47" s="20" t="n">
        <v>0</v>
      </c>
      <c r="K47" s="18" t="n">
        <v>0.61383714</v>
      </c>
      <c r="L47" s="20" t="n">
        <v>0.22784739</v>
      </c>
      <c r="M47" s="18" t="n">
        <v>0</v>
      </c>
      <c r="N47" s="20" t="n">
        <v>0</v>
      </c>
      <c r="O47" s="18" t="n">
        <v>0</v>
      </c>
      <c r="P47" s="20" t="n">
        <v>0</v>
      </c>
      <c r="Q47" s="18" t="n">
        <v>0.76259627</v>
      </c>
      <c r="R47" s="20" t="n">
        <v>0.26195798</v>
      </c>
    </row>
    <row r="48" spans="1:18">
      <c r="A48" s="15" t="s">
        <v>607</v>
      </c>
      <c r="B48" s="17" t="n">
        <v>9841</v>
      </c>
      <c r="C48" s="18">
        <f>(7697.0/B48*100)</f>
        <v/>
      </c>
      <c r="D48" s="19" t="n">
        <v>2144</v>
      </c>
      <c r="E48" s="18" t="n">
        <v>40.11050185</v>
      </c>
      <c r="F48" s="20" t="n">
        <v>1.77285811</v>
      </c>
      <c r="G48" s="18" t="n">
        <v>58.38742736</v>
      </c>
      <c r="H48" s="20" t="n">
        <v>1.79697158</v>
      </c>
      <c r="I48" s="18" t="n">
        <v>0</v>
      </c>
      <c r="J48" s="20" t="n">
        <v>0</v>
      </c>
      <c r="K48" s="18" t="n">
        <v>0.76757149</v>
      </c>
      <c r="L48" s="20" t="n">
        <v>0.23042915</v>
      </c>
      <c r="M48" s="18" t="n">
        <v>0</v>
      </c>
      <c r="N48" s="20" t="n">
        <v>0</v>
      </c>
      <c r="O48" s="18" t="n">
        <v>0</v>
      </c>
      <c r="P48" s="20" t="n">
        <v>0</v>
      </c>
      <c r="Q48" s="18" t="n">
        <v>0.7344993</v>
      </c>
      <c r="R48" s="20" t="n">
        <v>0.29509934</v>
      </c>
    </row>
    <row r="49" spans="1:18">
      <c r="A49" s="15" t="s">
        <v>608</v>
      </c>
      <c r="B49" s="17" t="n">
        <v>11795</v>
      </c>
      <c r="C49" s="18">
        <f>(9244.0/B49*100)</f>
        <v/>
      </c>
      <c r="D49" s="19" t="n">
        <v>2551</v>
      </c>
      <c r="E49" s="18" t="n">
        <v>69.76607882</v>
      </c>
      <c r="F49" s="20" t="n">
        <v>1.18125635</v>
      </c>
      <c r="G49" s="18" t="n">
        <v>27.50054155</v>
      </c>
      <c r="H49" s="20" t="n">
        <v>1.22333938</v>
      </c>
      <c r="I49" s="18" t="n">
        <v>0</v>
      </c>
      <c r="J49" s="20" t="n">
        <v>0</v>
      </c>
      <c r="K49" s="18" t="n">
        <v>1.59408802</v>
      </c>
      <c r="L49" s="20" t="n">
        <v>0.3423871</v>
      </c>
      <c r="M49" s="18" t="n">
        <v>0</v>
      </c>
      <c r="N49" s="20" t="n">
        <v>0</v>
      </c>
      <c r="O49" s="18" t="n">
        <v>0</v>
      </c>
      <c r="P49" s="20" t="n">
        <v>0</v>
      </c>
      <c r="Q49" s="18" t="n">
        <v>1.13929161</v>
      </c>
      <c r="R49" s="20" t="n">
        <v>0.24549626</v>
      </c>
    </row>
    <row r="50" spans="1:18">
      <c r="A50" s="15" t="s">
        <v>609</v>
      </c>
      <c r="B50" s="17" t="n">
        <v>6866</v>
      </c>
      <c r="C50" s="18">
        <f>(5565.0/B50*100)</f>
        <v/>
      </c>
      <c r="D50" s="19" t="n">
        <v>1301</v>
      </c>
      <c r="E50" s="18" t="n">
        <v>60.01665427</v>
      </c>
      <c r="F50" s="20" t="n">
        <v>1.63986312</v>
      </c>
      <c r="G50" s="18" t="n">
        <v>37.89657935</v>
      </c>
      <c r="H50" s="20" t="n">
        <v>1.63838172</v>
      </c>
      <c r="I50" s="18" t="n">
        <v>0</v>
      </c>
      <c r="J50" s="20" t="n">
        <v>0</v>
      </c>
      <c r="K50" s="18" t="n">
        <v>1.1003994</v>
      </c>
      <c r="L50" s="20" t="n">
        <v>0.3668326</v>
      </c>
      <c r="M50" s="18" t="n">
        <v>0</v>
      </c>
      <c r="N50" s="20" t="n">
        <v>0</v>
      </c>
      <c r="O50" s="18" t="n">
        <v>0</v>
      </c>
      <c r="P50" s="20" t="n">
        <v>0</v>
      </c>
      <c r="Q50" s="18" t="n">
        <v>0.98636697</v>
      </c>
      <c r="R50" s="20" t="n">
        <v>0.3010558</v>
      </c>
    </row>
    <row r="51" spans="1:18">
      <c r="A51" s="15" t="s">
        <v>610</v>
      </c>
      <c r="B51" s="17" t="n">
        <v>5809</v>
      </c>
      <c r="C51" s="18">
        <f>(4547.0/B51*100)</f>
        <v/>
      </c>
      <c r="D51" s="19" t="n">
        <v>1262</v>
      </c>
      <c r="E51" s="18" t="n">
        <v>81.23140972</v>
      </c>
      <c r="F51" s="20" t="n">
        <v>1.19031985</v>
      </c>
      <c r="G51" s="18" t="n">
        <v>17.54559953</v>
      </c>
      <c r="H51" s="20" t="n">
        <v>1.15272983</v>
      </c>
      <c r="I51" s="18" t="n">
        <v>0</v>
      </c>
      <c r="J51" s="20" t="n">
        <v>0</v>
      </c>
      <c r="K51" s="18" t="n">
        <v>0.08063252</v>
      </c>
      <c r="L51" s="20" t="n">
        <v>0.07891729</v>
      </c>
      <c r="M51" s="18" t="n">
        <v>0</v>
      </c>
      <c r="N51" s="20" t="n">
        <v>0</v>
      </c>
      <c r="O51" s="18" t="n">
        <v>0</v>
      </c>
      <c r="P51" s="20" t="n">
        <v>0</v>
      </c>
      <c r="Q51" s="18" t="n">
        <v>1.14235823</v>
      </c>
      <c r="R51" s="20" t="n">
        <v>0.3388431</v>
      </c>
    </row>
    <row r="52" spans="1:18">
      <c r="A52" s="15" t="s">
        <v>611</v>
      </c>
      <c r="B52" s="17" t="n">
        <v>5571</v>
      </c>
      <c r="C52" s="18">
        <f>(4349.0/B52*100)</f>
        <v/>
      </c>
      <c r="D52" s="19" t="n">
        <v>1222</v>
      </c>
      <c r="E52" s="18" t="n">
        <v>75.55406198999999</v>
      </c>
      <c r="F52" s="20" t="n">
        <v>1.37566897</v>
      </c>
      <c r="G52" s="18" t="n">
        <v>22.00370998</v>
      </c>
      <c r="H52" s="20" t="n">
        <v>1.4189555</v>
      </c>
      <c r="I52" s="18" t="n">
        <v>0</v>
      </c>
      <c r="J52" s="20" t="n">
        <v>0</v>
      </c>
      <c r="K52" s="18" t="n">
        <v>0.33614664</v>
      </c>
      <c r="L52" s="20" t="n">
        <v>0.175386</v>
      </c>
      <c r="M52" s="18" t="n">
        <v>0</v>
      </c>
      <c r="N52" s="20" t="n">
        <v>0</v>
      </c>
      <c r="O52" s="18" t="n">
        <v>0</v>
      </c>
      <c r="P52" s="20" t="n">
        <v>0</v>
      </c>
      <c r="Q52" s="18" t="n">
        <v>2.10608139</v>
      </c>
      <c r="R52" s="20" t="n">
        <v>0.39429229</v>
      </c>
    </row>
    <row r="53" spans="1:18">
      <c r="A53" s="15" t="s">
        <v>612</v>
      </c>
      <c r="B53" s="17" t="n">
        <v>4740</v>
      </c>
      <c r="C53" s="18">
        <f>(3677.0/B53*100)</f>
        <v/>
      </c>
      <c r="D53" s="19" t="n">
        <v>1063</v>
      </c>
      <c r="E53" s="18" t="n">
        <v>69.04024548</v>
      </c>
      <c r="F53" s="20" t="n">
        <v>1.69608319</v>
      </c>
      <c r="G53" s="18" t="n">
        <v>16.2975908</v>
      </c>
      <c r="H53" s="20" t="n">
        <v>1.13546326</v>
      </c>
      <c r="I53" s="18" t="n">
        <v>0</v>
      </c>
      <c r="J53" s="20" t="n">
        <v>0</v>
      </c>
      <c r="K53" s="18" t="n">
        <v>11.46826901</v>
      </c>
      <c r="L53" s="20" t="n">
        <v>1.13895299</v>
      </c>
      <c r="M53" s="18" t="n">
        <v>0</v>
      </c>
      <c r="N53" s="20" t="n">
        <v>0</v>
      </c>
      <c r="O53" s="18" t="n">
        <v>0</v>
      </c>
      <c r="P53" s="20" t="n">
        <v>0</v>
      </c>
      <c r="Q53" s="18" t="n">
        <v>3.19389471</v>
      </c>
      <c r="R53" s="20" t="n">
        <v>0.76105154</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(4158.0/B55*100)</f>
        <v/>
      </c>
      <c r="D55" s="19" t="n">
        <v>1201</v>
      </c>
      <c r="E55" s="18" t="n">
        <v>43.6614578</v>
      </c>
      <c r="F55" s="20" t="n">
        <v>1.70425599</v>
      </c>
      <c r="G55" s="18" t="n">
        <v>55.84926677</v>
      </c>
      <c r="H55" s="20" t="n">
        <v>1.711004</v>
      </c>
      <c r="I55" s="18" t="n">
        <v>0</v>
      </c>
      <c r="J55" s="20" t="n">
        <v>0</v>
      </c>
      <c r="K55" s="18" t="n">
        <v>0.22311066</v>
      </c>
      <c r="L55" s="20" t="n">
        <v>0.18153116</v>
      </c>
      <c r="M55" s="18" t="n">
        <v>0</v>
      </c>
      <c r="N55" s="20" t="n">
        <v>0</v>
      </c>
      <c r="O55" s="18" t="n">
        <v>0</v>
      </c>
      <c r="P55" s="20" t="n">
        <v>0</v>
      </c>
      <c r="Q55" s="18" t="n">
        <v>0.26616477</v>
      </c>
      <c r="R55" s="20" t="n">
        <v>0.13876245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(5091.0/B61*100)</f>
        <v/>
      </c>
      <c r="D61" s="19" t="n">
        <v>1434</v>
      </c>
      <c r="E61" s="18" t="n">
        <v>55.69464325</v>
      </c>
      <c r="F61" s="20" t="n">
        <v>1.25864848</v>
      </c>
      <c r="G61" s="18" t="n">
        <v>43.42116613</v>
      </c>
      <c r="H61" s="20" t="n">
        <v>1.23240546</v>
      </c>
      <c r="I61" s="18" t="n">
        <v>0</v>
      </c>
      <c r="J61" s="20" t="n">
        <v>0</v>
      </c>
      <c r="K61" s="18" t="n">
        <v>0.35863472</v>
      </c>
      <c r="L61" s="20" t="n">
        <v>0.22390216</v>
      </c>
      <c r="M61" s="18" t="n">
        <v>0</v>
      </c>
      <c r="N61" s="20" t="n">
        <v>0</v>
      </c>
      <c r="O61" s="18" t="n">
        <v>0</v>
      </c>
      <c r="P61" s="20" t="n">
        <v>0</v>
      </c>
      <c r="Q61" s="18" t="n">
        <v>0.52555589</v>
      </c>
      <c r="R61" s="20" t="n">
        <v>0.19314493</v>
      </c>
    </row>
    <row r="62" spans="1:18">
      <c r="A62" s="15" t="s">
        <v>622</v>
      </c>
      <c r="B62" s="17" t="n">
        <v>4476</v>
      </c>
      <c r="C62" s="18">
        <f>(3482.0/B62*100)</f>
        <v/>
      </c>
      <c r="D62" s="19" t="n">
        <v>994</v>
      </c>
      <c r="E62" s="18" t="n">
        <v>49.70134552</v>
      </c>
      <c r="F62" s="20" t="n">
        <v>1.7075621</v>
      </c>
      <c r="G62" s="18" t="n">
        <v>50.29865448</v>
      </c>
      <c r="H62" s="20" t="n">
        <v>1.7075621</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(4471.0/B67*100)</f>
        <v/>
      </c>
      <c r="D67" s="19" t="n">
        <v>1194</v>
      </c>
      <c r="E67" s="18" t="n">
        <v>86.53386173</v>
      </c>
      <c r="F67" s="20" t="n">
        <v>1.03825323</v>
      </c>
      <c r="G67" s="18" t="n">
        <v>9.9028367</v>
      </c>
      <c r="H67" s="20" t="n">
        <v>0.86646473</v>
      </c>
      <c r="I67" s="18" t="n">
        <v>0</v>
      </c>
      <c r="J67" s="20" t="n">
        <v>0</v>
      </c>
      <c r="K67" s="18" t="n">
        <v>0.42451758</v>
      </c>
      <c r="L67" s="20" t="n">
        <v>0.19183348</v>
      </c>
      <c r="M67" s="18" t="n">
        <v>0</v>
      </c>
      <c r="N67" s="20" t="n">
        <v>0</v>
      </c>
      <c r="O67" s="18" t="n">
        <v>0</v>
      </c>
      <c r="P67" s="20" t="n">
        <v>0</v>
      </c>
      <c r="Q67" s="18" t="n">
        <v>3.13878399</v>
      </c>
      <c r="R67" s="20" t="n">
        <v>0.53024198</v>
      </c>
    </row>
    <row r="68" spans="1:18">
      <c r="A68" s="15" t="s">
        <v>628</v>
      </c>
      <c r="B68" s="17" t="n">
        <v>6971</v>
      </c>
      <c r="C68" s="18">
        <f>(5606.0/B68*100)</f>
        <v/>
      </c>
      <c r="D68" s="19" t="n">
        <v>1365</v>
      </c>
      <c r="E68" s="18" t="n">
        <v>68.43039143999999</v>
      </c>
      <c r="F68" s="20" t="n">
        <v>1.28174279</v>
      </c>
      <c r="G68" s="18" t="n">
        <v>29.40412758</v>
      </c>
      <c r="H68" s="20" t="n">
        <v>1.42247503</v>
      </c>
      <c r="I68" s="18" t="n">
        <v>0</v>
      </c>
      <c r="J68" s="20" t="n">
        <v>0</v>
      </c>
      <c r="K68" s="18" t="n">
        <v>0.3907826</v>
      </c>
      <c r="L68" s="20" t="n">
        <v>0.22463332</v>
      </c>
      <c r="M68" s="18" t="n">
        <v>0</v>
      </c>
      <c r="N68" s="20" t="n">
        <v>0</v>
      </c>
      <c r="O68" s="18" t="n">
        <v>0</v>
      </c>
      <c r="P68" s="20" t="n">
        <v>0</v>
      </c>
      <c r="Q68" s="18" t="n">
        <v>1.77469838</v>
      </c>
      <c r="R68" s="20" t="n">
        <v>0.43995194</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(9376.0/B70*100)</f>
        <v/>
      </c>
      <c r="D70" s="19" t="n">
        <v>2707</v>
      </c>
      <c r="E70" s="18" t="n">
        <v>71.24839473999999</v>
      </c>
      <c r="F70" s="20" t="n">
        <v>0.90910432</v>
      </c>
      <c r="G70" s="18" t="n">
        <v>24.79702955</v>
      </c>
      <c r="H70" s="20" t="n">
        <v>0.91328195</v>
      </c>
      <c r="I70" s="18" t="n">
        <v>0</v>
      </c>
      <c r="J70" s="20" t="n">
        <v>0</v>
      </c>
      <c r="K70" s="18" t="n">
        <v>2.17545213</v>
      </c>
      <c r="L70" s="20" t="n">
        <v>0.21826135</v>
      </c>
      <c r="M70" s="18" t="n">
        <v>0</v>
      </c>
      <c r="N70" s="20" t="n">
        <v>0</v>
      </c>
      <c r="O70" s="18" t="n">
        <v>0</v>
      </c>
      <c r="P70" s="20" t="n">
        <v>0</v>
      </c>
      <c r="Q70" s="18" t="n">
        <v>1.77912358</v>
      </c>
      <c r="R70" s="20" t="n">
        <v>0.27712352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(4736.0/B72*100)</f>
        <v/>
      </c>
      <c r="D72" s="19" t="n">
        <v>1300</v>
      </c>
      <c r="E72" s="18" t="n">
        <v>62.01557874</v>
      </c>
      <c r="F72" s="20" t="n">
        <v>1.66165372</v>
      </c>
      <c r="G72" s="18" t="n">
        <v>37.27306792</v>
      </c>
      <c r="H72" s="20" t="n">
        <v>1.66339893</v>
      </c>
      <c r="I72" s="18" t="n">
        <v>0</v>
      </c>
      <c r="J72" s="20" t="n">
        <v>0</v>
      </c>
      <c r="K72" s="18" t="n">
        <v>0.3104551</v>
      </c>
      <c r="L72" s="20" t="n">
        <v>0.12575717</v>
      </c>
      <c r="M72" s="18" t="n">
        <v>0</v>
      </c>
      <c r="N72" s="20" t="n">
        <v>0</v>
      </c>
      <c r="O72" s="18" t="n">
        <v>0</v>
      </c>
      <c r="P72" s="20" t="n">
        <v>0</v>
      </c>
      <c r="Q72" s="18" t="n">
        <v>0.40089824</v>
      </c>
      <c r="R72" s="20" t="n">
        <v>0.15964211</v>
      </c>
    </row>
    <row r="73" spans="1:18">
      <c r="A73" s="15" t="s">
        <v>633</v>
      </c>
      <c r="B73" s="17" t="n">
        <v>6115</v>
      </c>
      <c r="C73" s="18">
        <f>(4790.0/B73*100)</f>
        <v/>
      </c>
      <c r="D73" s="19" t="n">
        <v>1325</v>
      </c>
      <c r="E73" s="18" t="n">
        <v>43.99087641</v>
      </c>
      <c r="F73" s="20" t="n">
        <v>1.22707134</v>
      </c>
      <c r="G73" s="18" t="n">
        <v>55.48939691</v>
      </c>
      <c r="H73" s="20" t="n">
        <v>1.24116898</v>
      </c>
      <c r="I73" s="18" t="n">
        <v>0</v>
      </c>
      <c r="J73" s="20" t="n">
        <v>0</v>
      </c>
      <c r="K73" s="18" t="n">
        <v>0.15066259</v>
      </c>
      <c r="L73" s="20" t="n">
        <v>0.10729823</v>
      </c>
      <c r="M73" s="18" t="n">
        <v>0</v>
      </c>
      <c r="N73" s="20" t="n">
        <v>0</v>
      </c>
      <c r="O73" s="18" t="n">
        <v>0</v>
      </c>
      <c r="P73" s="20" t="n">
        <v>0</v>
      </c>
      <c r="Q73" s="18" t="n">
        <v>0.36906409</v>
      </c>
      <c r="R73" s="20" t="n">
        <v>0.17308071</v>
      </c>
    </row>
    <row r="74" spans="1:18">
      <c r="A74" s="15" t="s">
        <v>634</v>
      </c>
      <c r="B74" s="17" t="n">
        <v>7708</v>
      </c>
      <c r="C74" s="18">
        <f>(6067.0/B74*100)</f>
        <v/>
      </c>
      <c r="D74" s="19" t="n">
        <v>1641</v>
      </c>
      <c r="E74" s="18" t="n">
        <v>31.08737338</v>
      </c>
      <c r="F74" s="20" t="n">
        <v>1.34346097</v>
      </c>
      <c r="G74" s="18" t="n">
        <v>68.35551119</v>
      </c>
      <c r="H74" s="20" t="n">
        <v>1.30659352</v>
      </c>
      <c r="I74" s="18" t="n">
        <v>0</v>
      </c>
      <c r="J74" s="20" t="n">
        <v>0</v>
      </c>
      <c r="K74" s="18" t="n">
        <v>0.20748204</v>
      </c>
      <c r="L74" s="20" t="n">
        <v>0.15737902</v>
      </c>
      <c r="M74" s="18" t="n">
        <v>0</v>
      </c>
      <c r="N74" s="20" t="n">
        <v>0</v>
      </c>
      <c r="O74" s="18" t="n">
        <v>0</v>
      </c>
      <c r="P74" s="20" t="n">
        <v>0</v>
      </c>
      <c r="Q74" s="18" t="n">
        <v>0.34963338</v>
      </c>
      <c r="R74" s="20" t="n">
        <v>0.11296927</v>
      </c>
    </row>
    <row r="75" spans="1:18">
      <c r="A75" s="15" t="s">
        <v>635</v>
      </c>
      <c r="B75" s="17" t="n">
        <v>8249</v>
      </c>
      <c r="C75" s="18">
        <f>(6457.0/B75*100)</f>
        <v/>
      </c>
      <c r="D75" s="19" t="n">
        <v>1792</v>
      </c>
      <c r="E75" s="18" t="n">
        <v>76.93284772</v>
      </c>
      <c r="F75" s="20" t="n">
        <v>1.36732506</v>
      </c>
      <c r="G75" s="18" t="n">
        <v>22.40576081</v>
      </c>
      <c r="H75" s="20" t="n">
        <v>1.39016694</v>
      </c>
      <c r="I75" s="18" t="n">
        <v>0</v>
      </c>
      <c r="J75" s="20" t="n">
        <v>0</v>
      </c>
      <c r="K75" s="18" t="n">
        <v>0.15853835</v>
      </c>
      <c r="L75" s="20" t="n">
        <v>0.09902561</v>
      </c>
      <c r="M75" s="18" t="n">
        <v>0</v>
      </c>
      <c r="N75" s="20" t="n">
        <v>0</v>
      </c>
      <c r="O75" s="18" t="n">
        <v>0</v>
      </c>
      <c r="P75" s="20" t="n">
        <v>0</v>
      </c>
      <c r="Q75" s="18" t="n">
        <v>0.50285312</v>
      </c>
      <c r="R75" s="20" t="n">
        <v>0.19024617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(4295.0/B77*100)</f>
        <v/>
      </c>
      <c r="D77" s="19" t="n">
        <v>1080</v>
      </c>
      <c r="E77" s="18" t="n">
        <v>84.31386268</v>
      </c>
      <c r="F77" s="20" t="n">
        <v>1.15454996</v>
      </c>
      <c r="G77" s="18" t="n">
        <v>11.56568197</v>
      </c>
      <c r="H77" s="20" t="n">
        <v>1.01834692</v>
      </c>
      <c r="I77" s="18" t="n">
        <v>0</v>
      </c>
      <c r="J77" s="20" t="n">
        <v>0</v>
      </c>
      <c r="K77" s="18" t="n">
        <v>2.36594012</v>
      </c>
      <c r="L77" s="20" t="n">
        <v>0.50314072</v>
      </c>
      <c r="M77" s="18" t="n">
        <v>0</v>
      </c>
      <c r="N77" s="20" t="n">
        <v>0</v>
      </c>
      <c r="O77" s="18" t="n">
        <v>0</v>
      </c>
      <c r="P77" s="20" t="n">
        <v>0</v>
      </c>
      <c r="Q77" s="18" t="n">
        <v>1.75451524</v>
      </c>
      <c r="R77" s="20" t="n">
        <v>0.43730692</v>
      </c>
    </row>
    <row r="78" spans="1:18">
      <c r="A78" s="15" t="s">
        <v>638</v>
      </c>
      <c r="B78" s="17" t="n">
        <v>14167</v>
      </c>
      <c r="C78" s="18">
        <f>(11024.0/B78*100)</f>
        <v/>
      </c>
      <c r="D78" s="19" t="n">
        <v>3143</v>
      </c>
      <c r="E78" s="18" t="n">
        <v>69.65867138999999</v>
      </c>
      <c r="F78" s="20" t="n">
        <v>1.05417615</v>
      </c>
      <c r="G78" s="18" t="n">
        <v>27.79999089</v>
      </c>
      <c r="H78" s="20" t="n">
        <v>1.01331512</v>
      </c>
      <c r="I78" s="18" t="n">
        <v>0</v>
      </c>
      <c r="J78" s="20" t="n">
        <v>0</v>
      </c>
      <c r="K78" s="18" t="n">
        <v>1.02140085</v>
      </c>
      <c r="L78" s="20" t="n">
        <v>0.20859966</v>
      </c>
      <c r="M78" s="18" t="n">
        <v>0</v>
      </c>
      <c r="N78" s="20" t="n">
        <v>0</v>
      </c>
      <c r="O78" s="18" t="n">
        <v>0</v>
      </c>
      <c r="P78" s="20" t="n">
        <v>0</v>
      </c>
      <c r="Q78" s="18" t="n">
        <v>1.51993688</v>
      </c>
      <c r="R78" s="20" t="n">
        <v>0.24042295</v>
      </c>
    </row>
    <row r="79" spans="1:18">
      <c r="A79" s="15" t="s">
        <v>639</v>
      </c>
      <c r="B79" s="17" t="n">
        <v>6062</v>
      </c>
      <c r="C79" s="18">
        <f>(4741.0/B79*100)</f>
        <v/>
      </c>
      <c r="D79" s="19" t="n">
        <v>1321</v>
      </c>
      <c r="E79" s="18" t="n">
        <v>65.71141790999999</v>
      </c>
      <c r="F79" s="20" t="n">
        <v>1.48554186</v>
      </c>
      <c r="G79" s="18" t="n">
        <v>31.1772756</v>
      </c>
      <c r="H79" s="20" t="n">
        <v>1.39250375</v>
      </c>
      <c r="I79" s="18" t="n">
        <v>0</v>
      </c>
      <c r="J79" s="20" t="n">
        <v>0</v>
      </c>
      <c r="K79" s="18" t="n">
        <v>0.70012586</v>
      </c>
      <c r="L79" s="20" t="n">
        <v>0.25506524</v>
      </c>
      <c r="M79" s="18" t="n">
        <v>0</v>
      </c>
      <c r="N79" s="20" t="n">
        <v>0</v>
      </c>
      <c r="O79" s="18" t="n">
        <v>0</v>
      </c>
      <c r="P79" s="20" t="n">
        <v>0</v>
      </c>
      <c r="Q79" s="18" t="n">
        <v>2.41118064</v>
      </c>
      <c r="R79" s="20" t="n">
        <v>0.5212949099999999</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(25200.0/B82*100)</f>
        <v/>
      </c>
      <c r="D82" s="19" t="n">
        <v>7130</v>
      </c>
      <c r="E82" s="18" t="n">
        <v>52.42018582</v>
      </c>
      <c r="F82" s="20" t="n">
        <v>0.9598051399999999</v>
      </c>
      <c r="G82" s="18" t="n">
        <v>46.39465424</v>
      </c>
      <c r="H82" s="20" t="n">
        <v>1.00259639</v>
      </c>
      <c r="I82" s="18" t="n">
        <v>0</v>
      </c>
      <c r="J82" s="20" t="n">
        <v>0</v>
      </c>
      <c r="K82" s="18" t="n">
        <v>0.29145748</v>
      </c>
      <c r="L82" s="20" t="n">
        <v>0.09042651</v>
      </c>
      <c r="M82" s="18" t="n">
        <v>0</v>
      </c>
      <c r="N82" s="20" t="n">
        <v>0</v>
      </c>
      <c r="O82" s="18" t="n">
        <v>0</v>
      </c>
      <c r="P82" s="20" t="n">
        <v>0</v>
      </c>
      <c r="Q82" s="18" t="n">
        <v>0.89370247</v>
      </c>
      <c r="R82" s="20" t="n">
        <v>0.18026778</v>
      </c>
    </row>
    <row r="83" spans="1:18">
      <c r="A83" s="15" t="s">
        <v>643</v>
      </c>
      <c r="B83" s="17" t="n">
        <v>1652</v>
      </c>
      <c r="C83" s="18">
        <f>(1292.0/B83*100)</f>
        <v/>
      </c>
      <c r="D83" s="19" t="n">
        <v>360</v>
      </c>
      <c r="E83" s="18" t="n">
        <v>63.07848534</v>
      </c>
      <c r="F83" s="20" t="n">
        <v>2.35127071</v>
      </c>
      <c r="G83" s="18" t="n">
        <v>35.72838609</v>
      </c>
      <c r="H83" s="20" t="n">
        <v>2.69140383</v>
      </c>
      <c r="I83" s="18" t="n">
        <v>0</v>
      </c>
      <c r="J83" s="20" t="n">
        <v>0</v>
      </c>
      <c r="K83" s="18" t="n">
        <v>0.25599385</v>
      </c>
      <c r="L83" s="20" t="n">
        <v>0.25714103</v>
      </c>
      <c r="M83" s="18" t="n">
        <v>0</v>
      </c>
      <c r="N83" s="20" t="n">
        <v>0</v>
      </c>
      <c r="O83" s="18" t="n">
        <v>0</v>
      </c>
      <c r="P83" s="20" t="n">
        <v>0</v>
      </c>
      <c r="Q83" s="18" t="n">
        <v>0.93713472</v>
      </c>
      <c r="R83" s="20" t="n">
        <v>0.58738054</v>
      </c>
    </row>
    <row r="84" spans="1:18">
      <c r="A84" s="23" t="s">
        <v>644</v>
      </c>
      <c r="B84" s="24" t="n">
        <v>1887</v>
      </c>
      <c r="C84" s="25">
        <f>(1501.0/B84*100)</f>
        <v/>
      </c>
      <c r="D84" s="19" t="n">
        <v>386</v>
      </c>
      <c r="E84" s="18" t="n">
        <v>68.16980559</v>
      </c>
      <c r="F84" s="20" t="n">
        <v>2.26294372</v>
      </c>
      <c r="G84" s="18" t="n">
        <v>31.25785908</v>
      </c>
      <c r="H84" s="20" t="n">
        <v>2.32492474</v>
      </c>
      <c r="I84" s="18" t="n">
        <v>0</v>
      </c>
      <c r="J84" s="20" t="n">
        <v>0</v>
      </c>
      <c r="K84" s="18" t="n">
        <v>0</v>
      </c>
      <c r="L84" s="20" t="n">
        <v>0</v>
      </c>
      <c r="M84" s="18" t="n">
        <v>0</v>
      </c>
      <c r="N84" s="20" t="n">
        <v>0</v>
      </c>
      <c r="O84" s="18" t="n">
        <v>0</v>
      </c>
      <c r="P84" s="20" t="n">
        <v>0</v>
      </c>
      <c r="Q84" s="18" t="n">
        <v>0.57233533</v>
      </c>
      <c r="R84" s="20" t="n">
        <v>0.40243466</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7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(11435.0/B7*100)</f>
        <v/>
      </c>
      <c r="D7" s="19" t="n">
        <v>3095</v>
      </c>
      <c r="E7" s="18" t="n">
        <v>51.72704153</v>
      </c>
      <c r="F7" s="20" t="n">
        <v>1.09039443</v>
      </c>
      <c r="G7" s="18" t="n">
        <v>39.99470903</v>
      </c>
      <c r="H7" s="20" t="n">
        <v>1.04402884</v>
      </c>
      <c r="I7" s="18" t="n">
        <v>0</v>
      </c>
      <c r="J7" s="20" t="n">
        <v>0</v>
      </c>
      <c r="K7" s="18" t="n">
        <v>0.74301264</v>
      </c>
      <c r="L7" s="20" t="n">
        <v>0.19196615</v>
      </c>
      <c r="M7" s="18" t="n">
        <v>0.0834141</v>
      </c>
      <c r="N7" s="20" t="n">
        <v>0.05232174</v>
      </c>
      <c r="O7" s="18" t="n">
        <v>0</v>
      </c>
      <c r="P7" s="20" t="n">
        <v>0</v>
      </c>
      <c r="Q7" s="18" t="n">
        <v>7.4518227</v>
      </c>
      <c r="R7" s="20" t="n">
        <v>0.54833256</v>
      </c>
    </row>
    <row r="8" spans="1:18">
      <c r="A8" s="15" t="s">
        <v>566</v>
      </c>
      <c r="B8" s="17" t="n">
        <v>7007</v>
      </c>
      <c r="C8" s="18">
        <f>(5461.0/B8*100)</f>
        <v/>
      </c>
      <c r="D8" s="19" t="n">
        <v>1546</v>
      </c>
      <c r="E8" s="18" t="n">
        <v>54.2107555</v>
      </c>
      <c r="F8" s="20" t="n">
        <v>1.18528953</v>
      </c>
      <c r="G8" s="18" t="n">
        <v>26.05643443</v>
      </c>
      <c r="H8" s="20" t="n">
        <v>1.28245165</v>
      </c>
      <c r="I8" s="18" t="n">
        <v>0</v>
      </c>
      <c r="J8" s="20" t="n">
        <v>0</v>
      </c>
      <c r="K8" s="18" t="n">
        <v>0.21047442</v>
      </c>
      <c r="L8" s="20" t="n">
        <v>0.12109872</v>
      </c>
      <c r="M8" s="18" t="n">
        <v>0</v>
      </c>
      <c r="N8" s="20" t="n">
        <v>0</v>
      </c>
      <c r="O8" s="18" t="n">
        <v>0</v>
      </c>
      <c r="P8" s="20" t="n">
        <v>0</v>
      </c>
      <c r="Q8" s="18" t="n">
        <v>19.52233565</v>
      </c>
      <c r="R8" s="20" t="n">
        <v>1.27602993</v>
      </c>
    </row>
    <row r="9" spans="1:18">
      <c r="A9" s="15" t="s">
        <v>567</v>
      </c>
      <c r="B9" s="17" t="n">
        <v>9651</v>
      </c>
      <c r="C9" s="18">
        <f>(7603.0/B9*100)</f>
        <v/>
      </c>
      <c r="D9" s="19" t="n">
        <v>2048</v>
      </c>
      <c r="E9" s="18" t="n">
        <v>60.82336295</v>
      </c>
      <c r="F9" s="20" t="n">
        <v>1.22778855</v>
      </c>
      <c r="G9" s="18" t="n">
        <v>24.84523925</v>
      </c>
      <c r="H9" s="20" t="n">
        <v>1.07964197</v>
      </c>
      <c r="I9" s="18" t="n">
        <v>0</v>
      </c>
      <c r="J9" s="20" t="n">
        <v>0</v>
      </c>
      <c r="K9" s="18" t="n">
        <v>0.43391938</v>
      </c>
      <c r="L9" s="20" t="n">
        <v>0.20725312</v>
      </c>
      <c r="M9" s="18" t="n">
        <v>0.54232939</v>
      </c>
      <c r="N9" s="20" t="n">
        <v>0.15205721</v>
      </c>
      <c r="O9" s="18" t="n">
        <v>0</v>
      </c>
      <c r="P9" s="20" t="n">
        <v>0</v>
      </c>
      <c r="Q9" s="18" t="n">
        <v>13.35514903</v>
      </c>
      <c r="R9" s="20" t="n">
        <v>0.80913616</v>
      </c>
    </row>
    <row r="10" spans="1:18">
      <c r="A10" s="15" t="s">
        <v>568</v>
      </c>
      <c r="B10" s="17" t="n">
        <v>20058</v>
      </c>
      <c r="C10" s="18">
        <f>(15637.0/B10*100)</f>
        <v/>
      </c>
      <c r="D10" s="19" t="n">
        <v>4421</v>
      </c>
      <c r="E10" s="18" t="n">
        <v>56.93696473</v>
      </c>
      <c r="F10" s="20" t="n">
        <v>1.17452038</v>
      </c>
      <c r="G10" s="18" t="n">
        <v>36.99679063</v>
      </c>
      <c r="H10" s="20" t="n">
        <v>1.13306215</v>
      </c>
      <c r="I10" s="18" t="n">
        <v>0</v>
      </c>
      <c r="J10" s="20" t="n">
        <v>0</v>
      </c>
      <c r="K10" s="18" t="n">
        <v>0.56986146</v>
      </c>
      <c r="L10" s="20" t="n">
        <v>0.17385453</v>
      </c>
      <c r="M10" s="18" t="n">
        <v>0.00287652</v>
      </c>
      <c r="N10" s="20" t="n">
        <v>0.00410949</v>
      </c>
      <c r="O10" s="18" t="n">
        <v>0</v>
      </c>
      <c r="P10" s="20" t="n">
        <v>0</v>
      </c>
      <c r="Q10" s="18" t="n">
        <v>5.49350666</v>
      </c>
      <c r="R10" s="20" t="n">
        <v>0.46814508</v>
      </c>
    </row>
    <row r="11" spans="1:18">
      <c r="A11" s="15" t="s">
        <v>569</v>
      </c>
      <c r="B11" s="17" t="n">
        <v>7053</v>
      </c>
      <c r="C11" s="18">
        <f>(5516.0/B11*100)</f>
        <v/>
      </c>
      <c r="D11" s="19" t="n">
        <v>1537</v>
      </c>
      <c r="E11" s="18" t="n">
        <v>58.25566305</v>
      </c>
      <c r="F11" s="20" t="n">
        <v>1.56673858</v>
      </c>
      <c r="G11" s="18" t="n">
        <v>22.20399645</v>
      </c>
      <c r="H11" s="20" t="n">
        <v>1.55249946</v>
      </c>
      <c r="I11" s="18" t="n">
        <v>0</v>
      </c>
      <c r="J11" s="20" t="n">
        <v>0</v>
      </c>
      <c r="K11" s="18" t="n">
        <v>0.80734963</v>
      </c>
      <c r="L11" s="20" t="n">
        <v>0.2770969</v>
      </c>
      <c r="M11" s="18" t="n">
        <v>0.02836509</v>
      </c>
      <c r="N11" s="20" t="n">
        <v>0.03092896</v>
      </c>
      <c r="O11" s="18" t="n">
        <v>0</v>
      </c>
      <c r="P11" s="20" t="n">
        <v>0</v>
      </c>
      <c r="Q11" s="18" t="n">
        <v>18.70462578</v>
      </c>
      <c r="R11" s="20" t="n">
        <v>1.20951404</v>
      </c>
    </row>
    <row r="12" spans="1:18">
      <c r="A12" s="15" t="s">
        <v>570</v>
      </c>
      <c r="B12" s="17" t="n">
        <v>6894</v>
      </c>
      <c r="C12" s="18">
        <f>(5424.0/B12*100)</f>
        <v/>
      </c>
      <c r="D12" s="19" t="n">
        <v>1470</v>
      </c>
      <c r="E12" s="18" t="n">
        <v>52.92181241</v>
      </c>
      <c r="F12" s="20" t="n">
        <v>1.51769041</v>
      </c>
      <c r="G12" s="18" t="n">
        <v>27.65306957</v>
      </c>
      <c r="H12" s="20" t="n">
        <v>1.54067387</v>
      </c>
      <c r="I12" s="18" t="n">
        <v>0</v>
      </c>
      <c r="J12" s="20" t="n">
        <v>0</v>
      </c>
      <c r="K12" s="18" t="n">
        <v>0.15972255</v>
      </c>
      <c r="L12" s="20" t="n">
        <v>0.09207261</v>
      </c>
      <c r="M12" s="18" t="n">
        <v>0.0252723</v>
      </c>
      <c r="N12" s="20" t="n">
        <v>0.02533408</v>
      </c>
      <c r="O12" s="18" t="n">
        <v>0</v>
      </c>
      <c r="P12" s="20" t="n">
        <v>0</v>
      </c>
      <c r="Q12" s="18" t="n">
        <v>19.24012318</v>
      </c>
      <c r="R12" s="20" t="n">
        <v>1.17374751</v>
      </c>
    </row>
    <row r="13" spans="1:18">
      <c r="A13" s="15" t="s">
        <v>571</v>
      </c>
      <c r="B13" s="17" t="n">
        <v>7161</v>
      </c>
      <c r="C13" s="18">
        <f>(5721.0/B13*100)</f>
        <v/>
      </c>
      <c r="D13" s="19" t="n">
        <v>1440</v>
      </c>
      <c r="E13" s="18" t="n">
        <v>61.26557637</v>
      </c>
      <c r="F13" s="20" t="n">
        <v>1.67606855</v>
      </c>
      <c r="G13" s="18" t="n">
        <v>27.40622921</v>
      </c>
      <c r="H13" s="20" t="n">
        <v>1.54802418</v>
      </c>
      <c r="I13" s="18" t="n">
        <v>0</v>
      </c>
      <c r="J13" s="20" t="n">
        <v>0</v>
      </c>
      <c r="K13" s="18" t="n">
        <v>0.80823303</v>
      </c>
      <c r="L13" s="20" t="n">
        <v>0.26799428</v>
      </c>
      <c r="M13" s="18" t="n">
        <v>0</v>
      </c>
      <c r="N13" s="20" t="n">
        <v>0</v>
      </c>
      <c r="O13" s="18" t="n">
        <v>0</v>
      </c>
      <c r="P13" s="20" t="n">
        <v>0</v>
      </c>
      <c r="Q13" s="18" t="n">
        <v>10.5199614</v>
      </c>
      <c r="R13" s="20" t="n">
        <v>1.02338383</v>
      </c>
    </row>
    <row r="14" spans="1:18">
      <c r="A14" s="15" t="s">
        <v>572</v>
      </c>
      <c r="B14" s="17" t="n">
        <v>5587</v>
      </c>
      <c r="C14" s="18">
        <f>(4335.0/B14*100)</f>
        <v/>
      </c>
      <c r="D14" s="19" t="n">
        <v>1252</v>
      </c>
      <c r="E14" s="18" t="n">
        <v>62.86094173</v>
      </c>
      <c r="F14" s="20" t="n">
        <v>1.52530435</v>
      </c>
      <c r="G14" s="18" t="n">
        <v>28.6756629</v>
      </c>
      <c r="H14" s="20" t="n">
        <v>1.35926736</v>
      </c>
      <c r="I14" s="18" t="n">
        <v>0</v>
      </c>
      <c r="J14" s="20" t="n">
        <v>0</v>
      </c>
      <c r="K14" s="18" t="n">
        <v>0.22649556</v>
      </c>
      <c r="L14" s="20" t="n">
        <v>0.13170183</v>
      </c>
      <c r="M14" s="18" t="n">
        <v>0</v>
      </c>
      <c r="N14" s="20" t="n">
        <v>0</v>
      </c>
      <c r="O14" s="18" t="n">
        <v>0</v>
      </c>
      <c r="P14" s="20" t="n">
        <v>0</v>
      </c>
      <c r="Q14" s="18" t="n">
        <v>8.236899810000001</v>
      </c>
      <c r="R14" s="20" t="n">
        <v>0.82174792</v>
      </c>
    </row>
    <row r="15" spans="1:18">
      <c r="A15" s="15" t="s">
        <v>573</v>
      </c>
      <c r="B15" s="17" t="n">
        <v>5882</v>
      </c>
      <c r="C15" s="18">
        <f>(4532.0/B15*100)</f>
        <v/>
      </c>
      <c r="D15" s="19" t="n">
        <v>1350</v>
      </c>
      <c r="E15" s="18" t="n">
        <v>48.719341</v>
      </c>
      <c r="F15" s="20" t="n">
        <v>1.27561689</v>
      </c>
      <c r="G15" s="18" t="n">
        <v>43.01796475</v>
      </c>
      <c r="H15" s="20" t="n">
        <v>1.30476746</v>
      </c>
      <c r="I15" s="18" t="n">
        <v>0</v>
      </c>
      <c r="J15" s="20" t="n">
        <v>0</v>
      </c>
      <c r="K15" s="18" t="n">
        <v>0.08349303</v>
      </c>
      <c r="L15" s="20" t="n">
        <v>0.09162099999999999</v>
      </c>
      <c r="M15" s="18" t="n">
        <v>0</v>
      </c>
      <c r="N15" s="20" t="n">
        <v>0</v>
      </c>
      <c r="O15" s="18" t="n">
        <v>0</v>
      </c>
      <c r="P15" s="20" t="n">
        <v>0</v>
      </c>
      <c r="Q15" s="18" t="n">
        <v>8.179201219999999</v>
      </c>
      <c r="R15" s="20" t="n">
        <v>0.804048</v>
      </c>
    </row>
    <row r="16" spans="1:18">
      <c r="A16" s="15" t="s">
        <v>574</v>
      </c>
      <c r="B16" s="17" t="n">
        <v>6108</v>
      </c>
      <c r="C16" s="18">
        <f>(4770.0/B16*100)</f>
        <v/>
      </c>
      <c r="D16" s="19" t="n">
        <v>1338</v>
      </c>
      <c r="E16" s="18" t="n">
        <v>51.47408762</v>
      </c>
      <c r="F16" s="20" t="n">
        <v>1.51879859</v>
      </c>
      <c r="G16" s="18" t="n">
        <v>26.45035451</v>
      </c>
      <c r="H16" s="20" t="n">
        <v>1.30471129</v>
      </c>
      <c r="I16" s="18" t="n">
        <v>0</v>
      </c>
      <c r="J16" s="20" t="n">
        <v>0</v>
      </c>
      <c r="K16" s="18" t="n">
        <v>1.46302634</v>
      </c>
      <c r="L16" s="20" t="n">
        <v>0.31666011</v>
      </c>
      <c r="M16" s="18" t="n">
        <v>0</v>
      </c>
      <c r="N16" s="20" t="n">
        <v>0</v>
      </c>
      <c r="O16" s="18" t="n">
        <v>0</v>
      </c>
      <c r="P16" s="20" t="n">
        <v>0</v>
      </c>
      <c r="Q16" s="18" t="n">
        <v>20.61253153</v>
      </c>
      <c r="R16" s="20" t="n">
        <v>1.20552818</v>
      </c>
    </row>
    <row r="17" spans="1:18">
      <c r="A17" s="15" t="s">
        <v>575</v>
      </c>
      <c r="B17" s="17" t="n">
        <v>6504</v>
      </c>
      <c r="C17" s="18">
        <f>(5144.0/B17*100)</f>
        <v/>
      </c>
      <c r="D17" s="19" t="n">
        <v>1360</v>
      </c>
      <c r="E17" s="18" t="n">
        <v>59.5881216</v>
      </c>
      <c r="F17" s="20" t="n">
        <v>1.41899252</v>
      </c>
      <c r="G17" s="18" t="n">
        <v>24.62709383</v>
      </c>
      <c r="H17" s="20" t="n">
        <v>1.11558241</v>
      </c>
      <c r="I17" s="18" t="n">
        <v>0</v>
      </c>
      <c r="J17" s="20" t="n">
        <v>0</v>
      </c>
      <c r="K17" s="18" t="n">
        <v>0.24371789</v>
      </c>
      <c r="L17" s="20" t="n">
        <v>0.14869825</v>
      </c>
      <c r="M17" s="18" t="n">
        <v>0</v>
      </c>
      <c r="N17" s="20" t="n">
        <v>0</v>
      </c>
      <c r="O17" s="18" t="n">
        <v>0</v>
      </c>
      <c r="P17" s="20" t="n">
        <v>0</v>
      </c>
      <c r="Q17" s="18" t="n">
        <v>15.54106668</v>
      </c>
      <c r="R17" s="20" t="n">
        <v>1.04024725</v>
      </c>
    </row>
    <row r="18" spans="1:18">
      <c r="A18" s="15" t="s">
        <v>576</v>
      </c>
      <c r="B18" s="17" t="n">
        <v>5532</v>
      </c>
      <c r="C18" s="18">
        <f>(4331.0/B18*100)</f>
        <v/>
      </c>
      <c r="D18" s="19" t="n">
        <v>1201</v>
      </c>
      <c r="E18" s="18" t="n">
        <v>56.42771066</v>
      </c>
      <c r="F18" s="20" t="n">
        <v>1.21446595</v>
      </c>
      <c r="G18" s="18" t="n">
        <v>25.21953084</v>
      </c>
      <c r="H18" s="20" t="n">
        <v>1.24973573</v>
      </c>
      <c r="I18" s="18" t="n">
        <v>0</v>
      </c>
      <c r="J18" s="20" t="n">
        <v>0</v>
      </c>
      <c r="K18" s="18" t="n">
        <v>0.59055102</v>
      </c>
      <c r="L18" s="20" t="n">
        <v>0.2479411</v>
      </c>
      <c r="M18" s="18" t="n">
        <v>0</v>
      </c>
      <c r="N18" s="20" t="n">
        <v>0</v>
      </c>
      <c r="O18" s="18" t="n">
        <v>0</v>
      </c>
      <c r="P18" s="20" t="n">
        <v>0</v>
      </c>
      <c r="Q18" s="18" t="n">
        <v>17.76220749</v>
      </c>
      <c r="R18" s="20" t="n">
        <v>1.23311657</v>
      </c>
    </row>
    <row r="19" spans="1:18">
      <c r="A19" s="15" t="s">
        <v>577</v>
      </c>
      <c r="B19" s="17" t="n">
        <v>5658</v>
      </c>
      <c r="C19" s="18">
        <f>(4394.0/B19*100)</f>
        <v/>
      </c>
      <c r="D19" s="19" t="n">
        <v>1264</v>
      </c>
      <c r="E19" s="18" t="n">
        <v>59.37626756</v>
      </c>
      <c r="F19" s="20" t="n">
        <v>1.38543373</v>
      </c>
      <c r="G19" s="18" t="n">
        <v>19.1833684</v>
      </c>
      <c r="H19" s="20" t="n">
        <v>1.01875147</v>
      </c>
      <c r="I19" s="18" t="n">
        <v>0</v>
      </c>
      <c r="J19" s="20" t="n">
        <v>0</v>
      </c>
      <c r="K19" s="18" t="n">
        <v>0.3280526</v>
      </c>
      <c r="L19" s="20" t="n">
        <v>0.19660716</v>
      </c>
      <c r="M19" s="18" t="n">
        <v>0</v>
      </c>
      <c r="N19" s="20" t="n">
        <v>0</v>
      </c>
      <c r="O19" s="18" t="n">
        <v>0</v>
      </c>
      <c r="P19" s="20" t="n">
        <v>0</v>
      </c>
      <c r="Q19" s="18" t="n">
        <v>21.11231144</v>
      </c>
      <c r="R19" s="20" t="n">
        <v>1.32909076</v>
      </c>
    </row>
    <row r="20" spans="1:18">
      <c r="A20" s="15" t="s">
        <v>578</v>
      </c>
      <c r="B20" s="17" t="n">
        <v>3371</v>
      </c>
      <c r="C20" s="18">
        <f>(2646.0/B20*100)</f>
        <v/>
      </c>
      <c r="D20" s="19" t="n">
        <v>725</v>
      </c>
      <c r="E20" s="18" t="n">
        <v>62.85070766</v>
      </c>
      <c r="F20" s="20" t="n">
        <v>1.648755</v>
      </c>
      <c r="G20" s="18" t="n">
        <v>24.72679016</v>
      </c>
      <c r="H20" s="20" t="n">
        <v>1.52552211</v>
      </c>
      <c r="I20" s="18" t="n">
        <v>0</v>
      </c>
      <c r="J20" s="20" t="n">
        <v>0</v>
      </c>
      <c r="K20" s="18" t="n">
        <v>0.40096438</v>
      </c>
      <c r="L20" s="20" t="n">
        <v>0.22873658</v>
      </c>
      <c r="M20" s="18" t="n">
        <v>0.2128458</v>
      </c>
      <c r="N20" s="20" t="n">
        <v>0.2065494</v>
      </c>
      <c r="O20" s="18" t="n">
        <v>0</v>
      </c>
      <c r="P20" s="20" t="n">
        <v>0</v>
      </c>
      <c r="Q20" s="18" t="n">
        <v>11.80869201</v>
      </c>
      <c r="R20" s="20" t="n">
        <v>1.20404513</v>
      </c>
    </row>
    <row r="21" spans="1:18">
      <c r="A21" s="15" t="s">
        <v>579</v>
      </c>
      <c r="B21" s="17" t="n">
        <v>5741</v>
      </c>
      <c r="C21" s="18">
        <f>(4494.0/B21*100)</f>
        <v/>
      </c>
      <c r="D21" s="19" t="n">
        <v>1247</v>
      </c>
      <c r="E21" s="18" t="n">
        <v>53.08861622</v>
      </c>
      <c r="F21" s="20" t="n">
        <v>1.41611947</v>
      </c>
      <c r="G21" s="18" t="n">
        <v>42.04316409</v>
      </c>
      <c r="H21" s="20" t="n">
        <v>1.39735645</v>
      </c>
      <c r="I21" s="18" t="n">
        <v>0</v>
      </c>
      <c r="J21" s="20" t="n">
        <v>0</v>
      </c>
      <c r="K21" s="18" t="n">
        <v>0.42920723</v>
      </c>
      <c r="L21" s="20" t="n">
        <v>0.1727006</v>
      </c>
      <c r="M21" s="18" t="n">
        <v>0</v>
      </c>
      <c r="N21" s="20" t="n">
        <v>0</v>
      </c>
      <c r="O21" s="18" t="n">
        <v>0</v>
      </c>
      <c r="P21" s="20" t="n">
        <v>0</v>
      </c>
      <c r="Q21" s="18" t="n">
        <v>4.43901246</v>
      </c>
      <c r="R21" s="20" t="n">
        <v>0.52282458</v>
      </c>
    </row>
    <row r="22" spans="1:18">
      <c r="A22" s="15" t="s">
        <v>580</v>
      </c>
      <c r="B22" s="17" t="n">
        <v>6598</v>
      </c>
      <c r="C22" s="18">
        <f>(5238.0/B22*100)</f>
        <v/>
      </c>
      <c r="D22" s="19" t="n">
        <v>1360</v>
      </c>
      <c r="E22" s="18" t="n">
        <v>60.37843281</v>
      </c>
      <c r="F22" s="20" t="n">
        <v>1.43240569</v>
      </c>
      <c r="G22" s="18" t="n">
        <v>22.15504324</v>
      </c>
      <c r="H22" s="20" t="n">
        <v>1.18073165</v>
      </c>
      <c r="I22" s="18" t="n">
        <v>0</v>
      </c>
      <c r="J22" s="20" t="n">
        <v>0</v>
      </c>
      <c r="K22" s="18" t="n">
        <v>1.10528577</v>
      </c>
      <c r="L22" s="20" t="n">
        <v>0.32803378</v>
      </c>
      <c r="M22" s="18" t="n">
        <v>0</v>
      </c>
      <c r="N22" s="20" t="n">
        <v>0</v>
      </c>
      <c r="O22" s="18" t="n">
        <v>0</v>
      </c>
      <c r="P22" s="20" t="n">
        <v>0</v>
      </c>
      <c r="Q22" s="18" t="n">
        <v>16.36123819</v>
      </c>
      <c r="R22" s="20" t="n">
        <v>1.33104027</v>
      </c>
    </row>
    <row r="23" spans="1:18">
      <c r="A23" s="15" t="s">
        <v>581</v>
      </c>
      <c r="B23" s="17" t="n">
        <v>11583</v>
      </c>
      <c r="C23" s="18">
        <f>(9037.0/B23*100)</f>
        <v/>
      </c>
      <c r="D23" s="19" t="n">
        <v>2546</v>
      </c>
      <c r="E23" s="18" t="n">
        <v>57.48416687</v>
      </c>
      <c r="F23" s="20" t="n">
        <v>1.42771864</v>
      </c>
      <c r="G23" s="18" t="n">
        <v>22.47760811</v>
      </c>
      <c r="H23" s="20" t="n">
        <v>1.24478666</v>
      </c>
      <c r="I23" s="18" t="n">
        <v>0</v>
      </c>
      <c r="J23" s="20" t="n">
        <v>0</v>
      </c>
      <c r="K23" s="18" t="n">
        <v>0.6193756500000001</v>
      </c>
      <c r="L23" s="20" t="n">
        <v>0.25123347</v>
      </c>
      <c r="M23" s="18" t="n">
        <v>0</v>
      </c>
      <c r="N23" s="20" t="n">
        <v>0</v>
      </c>
      <c r="O23" s="18" t="n">
        <v>0</v>
      </c>
      <c r="P23" s="20" t="n">
        <v>0</v>
      </c>
      <c r="Q23" s="18" t="n">
        <v>19.41884937</v>
      </c>
      <c r="R23" s="20" t="n">
        <v>1.18068649</v>
      </c>
    </row>
    <row r="24" spans="1:18">
      <c r="A24" s="15" t="s">
        <v>582</v>
      </c>
      <c r="B24" s="17" t="n">
        <v>6647</v>
      </c>
      <c r="C24" s="18">
        <f>(5217.0/B24*100)</f>
        <v/>
      </c>
      <c r="D24" s="19" t="n">
        <v>1430</v>
      </c>
      <c r="E24" s="18" t="n">
        <v>51.18043774</v>
      </c>
      <c r="F24" s="20" t="n">
        <v>1.18070479</v>
      </c>
      <c r="G24" s="18" t="n">
        <v>36.17713803</v>
      </c>
      <c r="H24" s="20" t="n">
        <v>1.36532019</v>
      </c>
      <c r="I24" s="18" t="n">
        <v>0</v>
      </c>
      <c r="J24" s="20" t="n">
        <v>0</v>
      </c>
      <c r="K24" s="18" t="n">
        <v>0.31917229</v>
      </c>
      <c r="L24" s="20" t="n">
        <v>0.144455</v>
      </c>
      <c r="M24" s="18" t="n">
        <v>0</v>
      </c>
      <c r="N24" s="20" t="n">
        <v>0</v>
      </c>
      <c r="O24" s="18" t="n">
        <v>0</v>
      </c>
      <c r="P24" s="20" t="n">
        <v>0</v>
      </c>
      <c r="Q24" s="18" t="n">
        <v>12.32325193</v>
      </c>
      <c r="R24" s="20" t="n">
        <v>0.8668235399999999</v>
      </c>
    </row>
    <row r="25" spans="1:18">
      <c r="A25" s="15" t="s">
        <v>583</v>
      </c>
      <c r="B25" s="17" t="n">
        <v>5581</v>
      </c>
      <c r="C25" s="18">
        <f>(4366.0/B25*100)</f>
        <v/>
      </c>
      <c r="D25" s="19" t="n">
        <v>1215</v>
      </c>
      <c r="E25" s="18" t="n">
        <v>66.31031512</v>
      </c>
      <c r="F25" s="20" t="n">
        <v>1.56637994</v>
      </c>
      <c r="G25" s="18" t="n">
        <v>26.42277341</v>
      </c>
      <c r="H25" s="20" t="n">
        <v>1.50840762</v>
      </c>
      <c r="I25" s="18" t="n">
        <v>0</v>
      </c>
      <c r="J25" s="20" t="n">
        <v>0</v>
      </c>
      <c r="K25" s="18" t="n">
        <v>0.06954566</v>
      </c>
      <c r="L25" s="20" t="n">
        <v>0.0699224</v>
      </c>
      <c r="M25" s="18" t="n">
        <v>0</v>
      </c>
      <c r="N25" s="20" t="n">
        <v>0</v>
      </c>
      <c r="O25" s="18" t="n">
        <v>0</v>
      </c>
      <c r="P25" s="20" t="n">
        <v>0</v>
      </c>
      <c r="Q25" s="18" t="n">
        <v>7.19736581</v>
      </c>
      <c r="R25" s="20" t="n">
        <v>0.68569966</v>
      </c>
    </row>
    <row r="26" spans="1:18">
      <c r="A26" s="15" t="s">
        <v>584</v>
      </c>
      <c r="B26" s="17" t="n">
        <v>4869</v>
      </c>
      <c r="C26" s="18">
        <f>(3771.0/B26*100)</f>
        <v/>
      </c>
      <c r="D26" s="19" t="n">
        <v>1098</v>
      </c>
      <c r="E26" s="18" t="n">
        <v>71.72005767</v>
      </c>
      <c r="F26" s="20" t="n">
        <v>1.53378898</v>
      </c>
      <c r="G26" s="18" t="n">
        <v>18.15194716</v>
      </c>
      <c r="H26" s="20" t="n">
        <v>1.27415202</v>
      </c>
      <c r="I26" s="18" t="n">
        <v>0</v>
      </c>
      <c r="J26" s="20" t="n">
        <v>0</v>
      </c>
      <c r="K26" s="18" t="n">
        <v>0.06799541000000001</v>
      </c>
      <c r="L26" s="20" t="n">
        <v>0.06865528</v>
      </c>
      <c r="M26" s="18" t="n">
        <v>0</v>
      </c>
      <c r="N26" s="20" t="n">
        <v>0</v>
      </c>
      <c r="O26" s="18" t="n">
        <v>0</v>
      </c>
      <c r="P26" s="20" t="n">
        <v>0</v>
      </c>
      <c r="Q26" s="18" t="n">
        <v>10.05999977</v>
      </c>
      <c r="R26" s="20" t="n">
        <v>0.9330908999999999</v>
      </c>
    </row>
    <row r="27" spans="1:18">
      <c r="A27" s="15" t="s">
        <v>585</v>
      </c>
      <c r="B27" s="17" t="n">
        <v>5299</v>
      </c>
      <c r="C27" s="18">
        <f>(4184.0/B27*100)</f>
        <v/>
      </c>
      <c r="D27" s="19" t="n">
        <v>1115</v>
      </c>
      <c r="E27" s="18" t="n">
        <v>57.34248651</v>
      </c>
      <c r="F27" s="20" t="n">
        <v>1.50025691</v>
      </c>
      <c r="G27" s="18" t="n">
        <v>24.29030622</v>
      </c>
      <c r="H27" s="20" t="n">
        <v>1.30117992</v>
      </c>
      <c r="I27" s="18" t="n">
        <v>0</v>
      </c>
      <c r="J27" s="20" t="n">
        <v>0</v>
      </c>
      <c r="K27" s="18" t="n">
        <v>0.26260027</v>
      </c>
      <c r="L27" s="20" t="n">
        <v>0.15037981</v>
      </c>
      <c r="M27" s="18" t="n">
        <v>0</v>
      </c>
      <c r="N27" s="20" t="n">
        <v>0</v>
      </c>
      <c r="O27" s="18" t="n">
        <v>0</v>
      </c>
      <c r="P27" s="20" t="n">
        <v>0</v>
      </c>
      <c r="Q27" s="18" t="n">
        <v>18.104607</v>
      </c>
      <c r="R27" s="20" t="n">
        <v>1.10660399</v>
      </c>
    </row>
    <row r="28" spans="1:18">
      <c r="A28" s="15" t="s">
        <v>586</v>
      </c>
      <c r="B28" s="17" t="n">
        <v>7568</v>
      </c>
      <c r="C28" s="18">
        <f>(6066.0/B28*100)</f>
        <v/>
      </c>
      <c r="D28" s="19" t="n">
        <v>1502</v>
      </c>
      <c r="E28" s="18" t="n">
        <v>74.99870660000001</v>
      </c>
      <c r="F28" s="20" t="n">
        <v>1.35759543</v>
      </c>
      <c r="G28" s="18" t="n">
        <v>17.31923345</v>
      </c>
      <c r="H28" s="20" t="n">
        <v>1.27592727</v>
      </c>
      <c r="I28" s="18" t="n">
        <v>0</v>
      </c>
      <c r="J28" s="20" t="n">
        <v>0</v>
      </c>
      <c r="K28" s="18" t="n">
        <v>0.9802914700000001</v>
      </c>
      <c r="L28" s="20" t="n">
        <v>0.3444104</v>
      </c>
      <c r="M28" s="18" t="n">
        <v>0.29557046</v>
      </c>
      <c r="N28" s="20" t="n">
        <v>0.17158854</v>
      </c>
      <c r="O28" s="18" t="n">
        <v>0</v>
      </c>
      <c r="P28" s="20" t="n">
        <v>0</v>
      </c>
      <c r="Q28" s="18" t="n">
        <v>6.40619802</v>
      </c>
      <c r="R28" s="20" t="n">
        <v>0.85163218</v>
      </c>
    </row>
    <row r="29" spans="1:18">
      <c r="A29" s="15" t="s">
        <v>587</v>
      </c>
      <c r="B29" s="17" t="n">
        <v>5385</v>
      </c>
      <c r="C29" s="18">
        <f>(4213.0/B29*100)</f>
        <v/>
      </c>
      <c r="D29" s="19" t="n">
        <v>1172</v>
      </c>
      <c r="E29" s="18" t="n">
        <v>70.8978331</v>
      </c>
      <c r="F29" s="20" t="n">
        <v>1.19693613</v>
      </c>
      <c r="G29" s="18" t="n">
        <v>24.52515206</v>
      </c>
      <c r="H29" s="20" t="n">
        <v>1.15614197</v>
      </c>
      <c r="I29" s="18" t="n">
        <v>0</v>
      </c>
      <c r="J29" s="20" t="n">
        <v>0</v>
      </c>
      <c r="K29" s="18" t="n">
        <v>0.48686989</v>
      </c>
      <c r="L29" s="20" t="n">
        <v>0.1775361</v>
      </c>
      <c r="M29" s="18" t="n">
        <v>0</v>
      </c>
      <c r="N29" s="20" t="n">
        <v>0</v>
      </c>
      <c r="O29" s="18" t="n">
        <v>0</v>
      </c>
      <c r="P29" s="20" t="n">
        <v>0</v>
      </c>
      <c r="Q29" s="18" t="n">
        <v>4.09014495</v>
      </c>
      <c r="R29" s="20" t="n">
        <v>0.58354714</v>
      </c>
    </row>
    <row r="30" spans="1:18">
      <c r="A30" s="15" t="s">
        <v>588</v>
      </c>
      <c r="B30" s="17" t="n">
        <v>4520</v>
      </c>
      <c r="C30" s="18">
        <f>(3576.0/B30*100)</f>
        <v/>
      </c>
      <c r="D30" s="19" t="n">
        <v>944</v>
      </c>
      <c r="E30" s="18" t="n">
        <v>54.1046586</v>
      </c>
      <c r="F30" s="20" t="n">
        <v>1.59086265</v>
      </c>
      <c r="G30" s="18" t="n">
        <v>34.8729195</v>
      </c>
      <c r="H30" s="20" t="n">
        <v>1.57530007</v>
      </c>
      <c r="I30" s="18" t="n">
        <v>0</v>
      </c>
      <c r="J30" s="20" t="n">
        <v>0</v>
      </c>
      <c r="K30" s="18" t="n">
        <v>0.32708982</v>
      </c>
      <c r="L30" s="20" t="n">
        <v>0.17779222</v>
      </c>
      <c r="M30" s="18" t="n">
        <v>0.17210671</v>
      </c>
      <c r="N30" s="20" t="n">
        <v>0.12164771</v>
      </c>
      <c r="O30" s="18" t="n">
        <v>0</v>
      </c>
      <c r="P30" s="20" t="n">
        <v>0</v>
      </c>
      <c r="Q30" s="18" t="n">
        <v>10.52322537</v>
      </c>
      <c r="R30" s="20" t="n">
        <v>1.19411067</v>
      </c>
    </row>
    <row r="31" spans="1:18">
      <c r="A31" s="15" t="s">
        <v>589</v>
      </c>
      <c r="B31" s="17" t="n">
        <v>5456</v>
      </c>
      <c r="C31" s="18">
        <f>(4301.0/B31*100)</f>
        <v/>
      </c>
      <c r="D31" s="19" t="n">
        <v>1155</v>
      </c>
      <c r="E31" s="18" t="n">
        <v>59.39998327</v>
      </c>
      <c r="F31" s="20" t="n">
        <v>1.65029737</v>
      </c>
      <c r="G31" s="18" t="n">
        <v>28.45452417</v>
      </c>
      <c r="H31" s="20" t="n">
        <v>1.48158374</v>
      </c>
      <c r="I31" s="18" t="n">
        <v>0</v>
      </c>
      <c r="J31" s="20" t="n">
        <v>0</v>
      </c>
      <c r="K31" s="18" t="n">
        <v>0.89785621</v>
      </c>
      <c r="L31" s="20" t="n">
        <v>0.26353496</v>
      </c>
      <c r="M31" s="18" t="n">
        <v>0.33383963</v>
      </c>
      <c r="N31" s="20" t="n">
        <v>0.22907267</v>
      </c>
      <c r="O31" s="18" t="n">
        <v>0</v>
      </c>
      <c r="P31" s="20" t="n">
        <v>0</v>
      </c>
      <c r="Q31" s="18" t="n">
        <v>10.91379671</v>
      </c>
      <c r="R31" s="20" t="n">
        <v>0.96694794</v>
      </c>
    </row>
    <row r="32" spans="1:18">
      <c r="A32" s="15" t="s">
        <v>590</v>
      </c>
      <c r="B32" s="17" t="n">
        <v>4478</v>
      </c>
      <c r="C32" s="18">
        <f>(3546.0/B32*100)</f>
        <v/>
      </c>
      <c r="D32" s="19" t="n">
        <v>932</v>
      </c>
      <c r="E32" s="18" t="n">
        <v>60.24023796</v>
      </c>
      <c r="F32" s="20" t="n">
        <v>1.60169855</v>
      </c>
      <c r="G32" s="18" t="n">
        <v>23.08747238</v>
      </c>
      <c r="H32" s="20" t="n">
        <v>1.26473336</v>
      </c>
      <c r="I32" s="18" t="n">
        <v>0</v>
      </c>
      <c r="J32" s="20" t="n">
        <v>0</v>
      </c>
      <c r="K32" s="18" t="n">
        <v>0.19745785</v>
      </c>
      <c r="L32" s="20" t="n">
        <v>0.14615823</v>
      </c>
      <c r="M32" s="18" t="n">
        <v>0</v>
      </c>
      <c r="N32" s="20" t="n">
        <v>0</v>
      </c>
      <c r="O32" s="18" t="n">
        <v>0</v>
      </c>
      <c r="P32" s="20" t="n">
        <v>0</v>
      </c>
      <c r="Q32" s="18" t="n">
        <v>16.47483181</v>
      </c>
      <c r="R32" s="20" t="n">
        <v>1.29739003</v>
      </c>
    </row>
    <row r="33" spans="1:18">
      <c r="A33" s="15" t="s">
        <v>591</v>
      </c>
      <c r="B33" s="17" t="n">
        <v>7325</v>
      </c>
      <c r="C33" s="18">
        <f>(5761.0/B33*100)</f>
        <v/>
      </c>
      <c r="D33" s="19" t="n">
        <v>1564</v>
      </c>
      <c r="E33" s="18" t="n">
        <v>51.87197211</v>
      </c>
      <c r="F33" s="20" t="n">
        <v>1.88758808</v>
      </c>
      <c r="G33" s="18" t="n">
        <v>33.14507746</v>
      </c>
      <c r="H33" s="20" t="n">
        <v>1.70362384</v>
      </c>
      <c r="I33" s="18" t="n">
        <v>0</v>
      </c>
      <c r="J33" s="20" t="n">
        <v>0</v>
      </c>
      <c r="K33" s="18" t="n">
        <v>0.01931864</v>
      </c>
      <c r="L33" s="20" t="n">
        <v>0.01486517</v>
      </c>
      <c r="M33" s="18" t="n">
        <v>0.02955889</v>
      </c>
      <c r="N33" s="20" t="n">
        <v>0.02959264</v>
      </c>
      <c r="O33" s="18" t="n">
        <v>0</v>
      </c>
      <c r="P33" s="20" t="n">
        <v>0</v>
      </c>
      <c r="Q33" s="18" t="n">
        <v>14.9340729</v>
      </c>
      <c r="R33" s="20" t="n">
        <v>1.2663125</v>
      </c>
    </row>
    <row r="34" spans="1:18">
      <c r="A34" s="15" t="s">
        <v>592</v>
      </c>
      <c r="B34" s="17" t="n">
        <v>6350</v>
      </c>
      <c r="C34" s="18">
        <f>(5013.0/B34*100)</f>
        <v/>
      </c>
      <c r="D34" s="19" t="n">
        <v>1337</v>
      </c>
      <c r="E34" s="18" t="n">
        <v>63.18451694</v>
      </c>
      <c r="F34" s="20" t="n">
        <v>1.23377841</v>
      </c>
      <c r="G34" s="18" t="n">
        <v>15.43608783</v>
      </c>
      <c r="H34" s="20" t="n">
        <v>1.10795011</v>
      </c>
      <c r="I34" s="18" t="n">
        <v>0</v>
      </c>
      <c r="J34" s="20" t="n">
        <v>0</v>
      </c>
      <c r="K34" s="18" t="n">
        <v>0.24307554</v>
      </c>
      <c r="L34" s="20" t="n">
        <v>0.1445988</v>
      </c>
      <c r="M34" s="18" t="n">
        <v>0.35491556</v>
      </c>
      <c r="N34" s="20" t="n">
        <v>0.21879482</v>
      </c>
      <c r="O34" s="18" t="n">
        <v>0</v>
      </c>
      <c r="P34" s="20" t="n">
        <v>0</v>
      </c>
      <c r="Q34" s="18" t="n">
        <v>20.78140413</v>
      </c>
      <c r="R34" s="20" t="n">
        <v>1.11889777</v>
      </c>
    </row>
    <row r="35" spans="1:18">
      <c r="A35" s="15" t="s">
        <v>593</v>
      </c>
      <c r="B35" s="17" t="n">
        <v>6406</v>
      </c>
      <c r="C35" s="18">
        <f>(4980.0/B35*100)</f>
        <v/>
      </c>
      <c r="D35" s="19" t="n">
        <v>1426</v>
      </c>
      <c r="E35" s="18" t="n">
        <v>59.44904433</v>
      </c>
      <c r="F35" s="20" t="n">
        <v>1.59984653</v>
      </c>
      <c r="G35" s="18" t="n">
        <v>28.75875485</v>
      </c>
      <c r="H35" s="20" t="n">
        <v>1.64389097</v>
      </c>
      <c r="I35" s="18" t="n">
        <v>0</v>
      </c>
      <c r="J35" s="20" t="n">
        <v>0</v>
      </c>
      <c r="K35" s="18" t="n">
        <v>0.06594530999999999</v>
      </c>
      <c r="L35" s="20" t="n">
        <v>0.0467353</v>
      </c>
      <c r="M35" s="18" t="n">
        <v>0.11904591</v>
      </c>
      <c r="N35" s="20" t="n">
        <v>0.11934686</v>
      </c>
      <c r="O35" s="18" t="n">
        <v>0</v>
      </c>
      <c r="P35" s="20" t="n">
        <v>0</v>
      </c>
      <c r="Q35" s="18" t="n">
        <v>11.60720961</v>
      </c>
      <c r="R35" s="20" t="n">
        <v>0.9264316</v>
      </c>
    </row>
    <row r="36" spans="1:18">
      <c r="A36" s="15" t="s">
        <v>594</v>
      </c>
      <c r="B36" s="17" t="n">
        <v>6736</v>
      </c>
      <c r="C36" s="18">
        <f>(5282.0/B36*100)</f>
        <v/>
      </c>
      <c r="D36" s="19" t="n">
        <v>1454</v>
      </c>
      <c r="E36" s="18" t="n">
        <v>50.78565906</v>
      </c>
      <c r="F36" s="20" t="n">
        <v>1.42052008</v>
      </c>
      <c r="G36" s="18" t="n">
        <v>42.48936558</v>
      </c>
      <c r="H36" s="20" t="n">
        <v>1.55792886</v>
      </c>
      <c r="I36" s="18" t="n">
        <v>0</v>
      </c>
      <c r="J36" s="20" t="n">
        <v>0</v>
      </c>
      <c r="K36" s="18" t="n">
        <v>0.27929421</v>
      </c>
      <c r="L36" s="20" t="n">
        <v>0.17151751</v>
      </c>
      <c r="M36" s="18" t="n">
        <v>0.06511980000000001</v>
      </c>
      <c r="N36" s="20" t="n">
        <v>0.06484644000000001</v>
      </c>
      <c r="O36" s="18" t="n">
        <v>0</v>
      </c>
      <c r="P36" s="20" t="n">
        <v>0</v>
      </c>
      <c r="Q36" s="18" t="n">
        <v>6.38056134</v>
      </c>
      <c r="R36" s="20" t="n">
        <v>0.81207966</v>
      </c>
    </row>
    <row r="37" spans="1:18">
      <c r="A37" s="15" t="s">
        <v>595</v>
      </c>
      <c r="B37" s="17" t="n">
        <v>5458</v>
      </c>
      <c r="C37" s="18">
        <f>(4306.0/B37*100)</f>
        <v/>
      </c>
      <c r="D37" s="19" t="n">
        <v>1152</v>
      </c>
      <c r="E37" s="18" t="n">
        <v>47.75348145</v>
      </c>
      <c r="F37" s="20" t="n">
        <v>1.59925763</v>
      </c>
      <c r="G37" s="18" t="n">
        <v>36.75746479</v>
      </c>
      <c r="H37" s="20" t="n">
        <v>1.57958943</v>
      </c>
      <c r="I37" s="18" t="n">
        <v>0</v>
      </c>
      <c r="J37" s="20" t="n">
        <v>0</v>
      </c>
      <c r="K37" s="18" t="n">
        <v>1.24006162</v>
      </c>
      <c r="L37" s="20" t="n">
        <v>0.26808111</v>
      </c>
      <c r="M37" s="18" t="n">
        <v>0</v>
      </c>
      <c r="N37" s="20" t="n">
        <v>0</v>
      </c>
      <c r="O37" s="18" t="n">
        <v>0</v>
      </c>
      <c r="P37" s="20" t="n">
        <v>0</v>
      </c>
      <c r="Q37" s="18" t="n">
        <v>14.24899214</v>
      </c>
      <c r="R37" s="20" t="n">
        <v>0.89608078</v>
      </c>
    </row>
    <row r="38" spans="1:18">
      <c r="A38" s="15" t="s">
        <v>596</v>
      </c>
      <c r="B38" s="17" t="n">
        <v>5860</v>
      </c>
      <c r="C38" s="18">
        <f>(4522.0/B38*100)</f>
        <v/>
      </c>
      <c r="D38" s="19" t="n">
        <v>1338</v>
      </c>
      <c r="E38" s="18" t="n">
        <v>54.92829635</v>
      </c>
      <c r="F38" s="20" t="n">
        <v>1.60124141</v>
      </c>
      <c r="G38" s="18" t="n">
        <v>30.90496909</v>
      </c>
      <c r="H38" s="20" t="n">
        <v>1.52651448</v>
      </c>
      <c r="I38" s="18" t="n">
        <v>0</v>
      </c>
      <c r="J38" s="20" t="n">
        <v>0</v>
      </c>
      <c r="K38" s="18" t="n">
        <v>0.42570973</v>
      </c>
      <c r="L38" s="20" t="n">
        <v>0.18923617</v>
      </c>
      <c r="M38" s="18" t="n">
        <v>1.68266606</v>
      </c>
      <c r="N38" s="20" t="n">
        <v>0.35476796</v>
      </c>
      <c r="O38" s="18" t="n">
        <v>0</v>
      </c>
      <c r="P38" s="20" t="n">
        <v>0</v>
      </c>
      <c r="Q38" s="18" t="n">
        <v>12.05835876</v>
      </c>
      <c r="R38" s="20" t="n">
        <v>1.0977386</v>
      </c>
    </row>
    <row r="39" spans="1:18">
      <c r="A39" s="15" t="s">
        <v>597</v>
      </c>
      <c r="B39" s="17" t="n">
        <v>5895</v>
      </c>
      <c r="C39" s="18">
        <f>(4593.0/B39*100)</f>
        <v/>
      </c>
      <c r="D39" s="19" t="n">
        <v>1302</v>
      </c>
      <c r="E39" s="18" t="n">
        <v>71.99129112</v>
      </c>
      <c r="F39" s="20" t="n">
        <v>1.42693974</v>
      </c>
      <c r="G39" s="18" t="n">
        <v>9.93994417</v>
      </c>
      <c r="H39" s="20" t="n">
        <v>1.0180266</v>
      </c>
      <c r="I39" s="18" t="n">
        <v>0</v>
      </c>
      <c r="J39" s="20" t="n">
        <v>0</v>
      </c>
      <c r="K39" s="18" t="n">
        <v>0.17038656</v>
      </c>
      <c r="L39" s="20" t="n">
        <v>0.12163746</v>
      </c>
      <c r="M39" s="18" t="n">
        <v>0.11852042</v>
      </c>
      <c r="N39" s="20" t="n">
        <v>0.08238796</v>
      </c>
      <c r="O39" s="18" t="n">
        <v>0</v>
      </c>
      <c r="P39" s="20" t="n">
        <v>0</v>
      </c>
      <c r="Q39" s="18" t="n">
        <v>17.77985773</v>
      </c>
      <c r="R39" s="20" t="n">
        <v>1.38575409</v>
      </c>
    </row>
    <row r="40" spans="1:18">
      <c r="A40" s="15" t="s">
        <v>598</v>
      </c>
      <c r="B40" s="17" t="n">
        <v>14157</v>
      </c>
      <c r="C40" s="18">
        <f>(10983.0/B40*100)</f>
        <v/>
      </c>
      <c r="D40" s="19" t="n">
        <v>3174</v>
      </c>
      <c r="E40" s="18" t="n">
        <v>50.59371484</v>
      </c>
      <c r="F40" s="20" t="n">
        <v>1.43512121</v>
      </c>
      <c r="G40" s="18" t="n">
        <v>39.40378393</v>
      </c>
      <c r="H40" s="20" t="n">
        <v>1.47581911</v>
      </c>
      <c r="I40" s="18" t="n">
        <v>0</v>
      </c>
      <c r="J40" s="20" t="n">
        <v>0</v>
      </c>
      <c r="K40" s="18" t="n">
        <v>0.42088785</v>
      </c>
      <c r="L40" s="20" t="n">
        <v>0.16776391</v>
      </c>
      <c r="M40" s="18" t="n">
        <v>0.02439963</v>
      </c>
      <c r="N40" s="20" t="n">
        <v>0.02358601</v>
      </c>
      <c r="O40" s="18" t="n">
        <v>0</v>
      </c>
      <c r="P40" s="20" t="n">
        <v>0</v>
      </c>
      <c r="Q40" s="18" t="n">
        <v>9.557213750000001</v>
      </c>
      <c r="R40" s="20" t="n">
        <v>0.91465597</v>
      </c>
    </row>
    <row r="41" spans="1:18">
      <c r="A41" s="15" t="s">
        <v>599</v>
      </c>
      <c r="B41" s="17" t="n">
        <v>5712</v>
      </c>
      <c r="C41" s="18">
        <f>(4532.0/B41*100)</f>
        <v/>
      </c>
      <c r="D41" s="19" t="n">
        <v>1180</v>
      </c>
      <c r="E41" s="18" t="n">
        <v>66.47522342000001</v>
      </c>
      <c r="F41" s="20" t="n">
        <v>1.47562352</v>
      </c>
      <c r="G41" s="18" t="n">
        <v>29.66717358</v>
      </c>
      <c r="H41" s="20" t="n">
        <v>1.64514362</v>
      </c>
      <c r="I41" s="18" t="n">
        <v>0</v>
      </c>
      <c r="J41" s="20" t="n">
        <v>0</v>
      </c>
      <c r="K41" s="18" t="n">
        <v>0.2121358</v>
      </c>
      <c r="L41" s="20" t="n">
        <v>0.1353202</v>
      </c>
      <c r="M41" s="18" t="n">
        <v>0</v>
      </c>
      <c r="N41" s="20" t="n">
        <v>0</v>
      </c>
      <c r="O41" s="18" t="n">
        <v>0</v>
      </c>
      <c r="P41" s="20" t="n">
        <v>0</v>
      </c>
      <c r="Q41" s="18" t="n">
        <v>3.64546719</v>
      </c>
      <c r="R41" s="20" t="n">
        <v>0.62632111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(19308.0/B46*100)</f>
        <v/>
      </c>
      <c r="D46" s="19" t="n">
        <v>3833</v>
      </c>
      <c r="E46" s="18" t="n">
        <v>57.03826969</v>
      </c>
      <c r="F46" s="20" t="n">
        <v>1.15480372</v>
      </c>
      <c r="G46" s="18" t="n">
        <v>20.02863339</v>
      </c>
      <c r="H46" s="20" t="n">
        <v>1.12430827</v>
      </c>
      <c r="I46" s="18" t="n">
        <v>0</v>
      </c>
      <c r="J46" s="20" t="n">
        <v>0</v>
      </c>
      <c r="K46" s="18" t="n">
        <v>1.81548481</v>
      </c>
      <c r="L46" s="20" t="n">
        <v>0.38684086</v>
      </c>
      <c r="M46" s="18" t="n">
        <v>0.4131589</v>
      </c>
      <c r="N46" s="20" t="n">
        <v>0.14376541</v>
      </c>
      <c r="O46" s="18" t="n">
        <v>0</v>
      </c>
      <c r="P46" s="20" t="n">
        <v>0</v>
      </c>
      <c r="Q46" s="18" t="n">
        <v>20.70445321</v>
      </c>
      <c r="R46" s="20" t="n">
        <v>0.95160022</v>
      </c>
    </row>
    <row r="47" spans="1:18">
      <c r="A47" s="15" t="s">
        <v>606</v>
      </c>
      <c r="B47" s="17" t="n">
        <v>5928</v>
      </c>
      <c r="C47" s="18">
        <f>(4658.0/B47*100)</f>
        <v/>
      </c>
      <c r="D47" s="19" t="n">
        <v>1270</v>
      </c>
      <c r="E47" s="18" t="n">
        <v>47.59009034</v>
      </c>
      <c r="F47" s="20" t="n">
        <v>1.45939754</v>
      </c>
      <c r="G47" s="18" t="n">
        <v>23.19254713</v>
      </c>
      <c r="H47" s="20" t="n">
        <v>1.40249705</v>
      </c>
      <c r="I47" s="18" t="n">
        <v>0</v>
      </c>
      <c r="J47" s="20" t="n">
        <v>0</v>
      </c>
      <c r="K47" s="18" t="n">
        <v>0.93016321</v>
      </c>
      <c r="L47" s="20" t="n">
        <v>0.23046336</v>
      </c>
      <c r="M47" s="18" t="n">
        <v>0.22709591</v>
      </c>
      <c r="N47" s="20" t="n">
        <v>0.1296959</v>
      </c>
      <c r="O47" s="18" t="n">
        <v>0</v>
      </c>
      <c r="P47" s="20" t="n">
        <v>0</v>
      </c>
      <c r="Q47" s="18" t="n">
        <v>28.06010341</v>
      </c>
      <c r="R47" s="20" t="n">
        <v>1.74402924</v>
      </c>
    </row>
    <row r="48" spans="1:18">
      <c r="A48" s="15" t="s">
        <v>607</v>
      </c>
      <c r="B48" s="17" t="n">
        <v>9841</v>
      </c>
      <c r="C48" s="18">
        <f>(7704.0/B48*100)</f>
        <v/>
      </c>
      <c r="D48" s="19" t="n">
        <v>2137</v>
      </c>
      <c r="E48" s="18" t="n">
        <v>59.29471501</v>
      </c>
      <c r="F48" s="20" t="n">
        <v>1.4805793</v>
      </c>
      <c r="G48" s="18" t="n">
        <v>29.5583973</v>
      </c>
      <c r="H48" s="20" t="n">
        <v>1.50187716</v>
      </c>
      <c r="I48" s="18" t="n">
        <v>0</v>
      </c>
      <c r="J48" s="20" t="n">
        <v>0</v>
      </c>
      <c r="K48" s="18" t="n">
        <v>0.77135958</v>
      </c>
      <c r="L48" s="20" t="n">
        <v>0.23121794</v>
      </c>
      <c r="M48" s="18" t="n">
        <v>0.08070128999999999</v>
      </c>
      <c r="N48" s="20" t="n">
        <v>0.08030582999999999</v>
      </c>
      <c r="O48" s="18" t="n">
        <v>0</v>
      </c>
      <c r="P48" s="20" t="n">
        <v>0</v>
      </c>
      <c r="Q48" s="18" t="n">
        <v>10.29482681</v>
      </c>
      <c r="R48" s="20" t="n">
        <v>1.07550618</v>
      </c>
    </row>
    <row r="49" spans="1:18">
      <c r="A49" s="15" t="s">
        <v>608</v>
      </c>
      <c r="B49" s="17" t="n">
        <v>11795</v>
      </c>
      <c r="C49" s="18">
        <f>(9284.0/B49*100)</f>
        <v/>
      </c>
      <c r="D49" s="19" t="n">
        <v>2511</v>
      </c>
      <c r="E49" s="18" t="n">
        <v>69.95893957</v>
      </c>
      <c r="F49" s="20" t="n">
        <v>1.07554031</v>
      </c>
      <c r="G49" s="18" t="n">
        <v>21.44746159</v>
      </c>
      <c r="H49" s="20" t="n">
        <v>1.09860806</v>
      </c>
      <c r="I49" s="18" t="n">
        <v>0</v>
      </c>
      <c r="J49" s="20" t="n">
        <v>0</v>
      </c>
      <c r="K49" s="18" t="n">
        <v>1.99766192</v>
      </c>
      <c r="L49" s="20" t="n">
        <v>0.41742964</v>
      </c>
      <c r="M49" s="18" t="n">
        <v>0.02356143</v>
      </c>
      <c r="N49" s="20" t="n">
        <v>0.01977124</v>
      </c>
      <c r="O49" s="18" t="n">
        <v>0</v>
      </c>
      <c r="P49" s="20" t="n">
        <v>0</v>
      </c>
      <c r="Q49" s="18" t="n">
        <v>6.57237548</v>
      </c>
      <c r="R49" s="20" t="n">
        <v>0.64506773</v>
      </c>
    </row>
    <row r="50" spans="1:18">
      <c r="A50" s="15" t="s">
        <v>609</v>
      </c>
      <c r="B50" s="17" t="n">
        <v>6866</v>
      </c>
      <c r="C50" s="18">
        <f>(5607.0/B50*100)</f>
        <v/>
      </c>
      <c r="D50" s="19" t="n">
        <v>1259</v>
      </c>
      <c r="E50" s="18" t="n">
        <v>80.39536301</v>
      </c>
      <c r="F50" s="20" t="n">
        <v>1.1931201</v>
      </c>
      <c r="G50" s="18" t="n">
        <v>9.51822488</v>
      </c>
      <c r="H50" s="20" t="n">
        <v>0.7014049</v>
      </c>
      <c r="I50" s="18" t="n">
        <v>0</v>
      </c>
      <c r="J50" s="20" t="n">
        <v>0</v>
      </c>
      <c r="K50" s="18" t="n">
        <v>1.24178566</v>
      </c>
      <c r="L50" s="20" t="n">
        <v>0.38544545</v>
      </c>
      <c r="M50" s="18" t="n">
        <v>0</v>
      </c>
      <c r="N50" s="20" t="n">
        <v>0</v>
      </c>
      <c r="O50" s="18" t="n">
        <v>0</v>
      </c>
      <c r="P50" s="20" t="n">
        <v>0</v>
      </c>
      <c r="Q50" s="18" t="n">
        <v>8.84462645</v>
      </c>
      <c r="R50" s="20" t="n">
        <v>0.95512635</v>
      </c>
    </row>
    <row r="51" spans="1:18">
      <c r="A51" s="15" t="s">
        <v>610</v>
      </c>
      <c r="B51" s="17" t="n">
        <v>5809</v>
      </c>
      <c r="C51" s="18">
        <f>(4557.0/B51*100)</f>
        <v/>
      </c>
      <c r="D51" s="19" t="n">
        <v>1252</v>
      </c>
      <c r="E51" s="18" t="n">
        <v>54.5274738</v>
      </c>
      <c r="F51" s="20" t="n">
        <v>1.4808718</v>
      </c>
      <c r="G51" s="18" t="n">
        <v>25.77274463</v>
      </c>
      <c r="H51" s="20" t="n">
        <v>1.32487521</v>
      </c>
      <c r="I51" s="18" t="n">
        <v>0</v>
      </c>
      <c r="J51" s="20" t="n">
        <v>0</v>
      </c>
      <c r="K51" s="18" t="n">
        <v>0.13711141</v>
      </c>
      <c r="L51" s="20" t="n">
        <v>0.09630944</v>
      </c>
      <c r="M51" s="18" t="n">
        <v>0</v>
      </c>
      <c r="N51" s="20" t="n">
        <v>0</v>
      </c>
      <c r="O51" s="18" t="n">
        <v>0</v>
      </c>
      <c r="P51" s="20" t="n">
        <v>0</v>
      </c>
      <c r="Q51" s="18" t="n">
        <v>19.56267015</v>
      </c>
      <c r="R51" s="20" t="n">
        <v>1.21418074</v>
      </c>
    </row>
    <row r="52" spans="1:18">
      <c r="A52" s="15" t="s">
        <v>611</v>
      </c>
      <c r="B52" s="17" t="n">
        <v>5571</v>
      </c>
      <c r="C52" s="18">
        <f>(4361.0/B52*100)</f>
        <v/>
      </c>
      <c r="D52" s="19" t="n">
        <v>1210</v>
      </c>
      <c r="E52" s="18" t="n">
        <v>60.5638815</v>
      </c>
      <c r="F52" s="20" t="n">
        <v>1.49922393</v>
      </c>
      <c r="G52" s="18" t="n">
        <v>18.84863568</v>
      </c>
      <c r="H52" s="20" t="n">
        <v>1.1785867</v>
      </c>
      <c r="I52" s="18" t="n">
        <v>0</v>
      </c>
      <c r="J52" s="20" t="n">
        <v>0</v>
      </c>
      <c r="K52" s="18" t="n">
        <v>0.39467001</v>
      </c>
      <c r="L52" s="20" t="n">
        <v>0.18629512</v>
      </c>
      <c r="M52" s="18" t="n">
        <v>0</v>
      </c>
      <c r="N52" s="20" t="n">
        <v>0</v>
      </c>
      <c r="O52" s="18" t="n">
        <v>0</v>
      </c>
      <c r="P52" s="20" t="n">
        <v>0</v>
      </c>
      <c r="Q52" s="18" t="n">
        <v>20.19281281</v>
      </c>
      <c r="R52" s="20" t="n">
        <v>1.20709314</v>
      </c>
    </row>
    <row r="53" spans="1:18">
      <c r="A53" s="15" t="s">
        <v>612</v>
      </c>
      <c r="B53" s="17" t="n">
        <v>4740</v>
      </c>
      <c r="C53" s="18">
        <f>(3682.0/B53*100)</f>
        <v/>
      </c>
      <c r="D53" s="19" t="n">
        <v>1058</v>
      </c>
      <c r="E53" s="18" t="n">
        <v>54.86530492</v>
      </c>
      <c r="F53" s="20" t="n">
        <v>1.89101798</v>
      </c>
      <c r="G53" s="18" t="n">
        <v>4.73220326</v>
      </c>
      <c r="H53" s="20" t="n">
        <v>0.64749389</v>
      </c>
      <c r="I53" s="18" t="n">
        <v>0</v>
      </c>
      <c r="J53" s="20" t="n">
        <v>0</v>
      </c>
      <c r="K53" s="18" t="n">
        <v>13.59205923</v>
      </c>
      <c r="L53" s="20" t="n">
        <v>1.15715114</v>
      </c>
      <c r="M53" s="18" t="n">
        <v>0.80750674</v>
      </c>
      <c r="N53" s="20" t="n">
        <v>0.70293055</v>
      </c>
      <c r="O53" s="18" t="n">
        <v>0</v>
      </c>
      <c r="P53" s="20" t="n">
        <v>0</v>
      </c>
      <c r="Q53" s="18" t="n">
        <v>26.00292587</v>
      </c>
      <c r="R53" s="20" t="n">
        <v>1.65963343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(4161.0/B55*100)</f>
        <v/>
      </c>
      <c r="D55" s="19" t="n">
        <v>1198</v>
      </c>
      <c r="E55" s="18" t="n">
        <v>49.52157128</v>
      </c>
      <c r="F55" s="20" t="n">
        <v>1.30369453</v>
      </c>
      <c r="G55" s="18" t="n">
        <v>44.96600818</v>
      </c>
      <c r="H55" s="20" t="n">
        <v>1.5341645</v>
      </c>
      <c r="I55" s="18" t="n">
        <v>0</v>
      </c>
      <c r="J55" s="20" t="n">
        <v>0</v>
      </c>
      <c r="K55" s="18" t="n">
        <v>0.2235942</v>
      </c>
      <c r="L55" s="20" t="n">
        <v>0.18192464</v>
      </c>
      <c r="M55" s="18" t="n">
        <v>0.08689419</v>
      </c>
      <c r="N55" s="20" t="n">
        <v>0.08669812</v>
      </c>
      <c r="O55" s="18" t="n">
        <v>0</v>
      </c>
      <c r="P55" s="20" t="n">
        <v>0</v>
      </c>
      <c r="Q55" s="18" t="n">
        <v>5.20193215</v>
      </c>
      <c r="R55" s="20" t="n">
        <v>0.6924314</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(5099.0/B61*100)</f>
        <v/>
      </c>
      <c r="D61" s="19" t="n">
        <v>1426</v>
      </c>
      <c r="E61" s="18" t="n">
        <v>64.63127577</v>
      </c>
      <c r="F61" s="20" t="n">
        <v>1.59514001</v>
      </c>
      <c r="G61" s="18" t="n">
        <v>16.16293894</v>
      </c>
      <c r="H61" s="20" t="n">
        <v>1.17587315</v>
      </c>
      <c r="I61" s="18" t="n">
        <v>0</v>
      </c>
      <c r="J61" s="20" t="n">
        <v>0</v>
      </c>
      <c r="K61" s="18" t="n">
        <v>0.39848031</v>
      </c>
      <c r="L61" s="20" t="n">
        <v>0.22771906</v>
      </c>
      <c r="M61" s="18" t="n">
        <v>0</v>
      </c>
      <c r="N61" s="20" t="n">
        <v>0</v>
      </c>
      <c r="O61" s="18" t="n">
        <v>0</v>
      </c>
      <c r="P61" s="20" t="n">
        <v>0</v>
      </c>
      <c r="Q61" s="18" t="n">
        <v>18.80730499</v>
      </c>
      <c r="R61" s="20" t="n">
        <v>1.20387644</v>
      </c>
    </row>
    <row r="62" spans="1:18">
      <c r="A62" s="15" t="s">
        <v>622</v>
      </c>
      <c r="B62" s="17" t="n">
        <v>4476</v>
      </c>
      <c r="C62" s="18">
        <f>(3496.0/B62*100)</f>
        <v/>
      </c>
      <c r="D62" s="19" t="n">
        <v>980</v>
      </c>
      <c r="E62" s="18" t="n">
        <v>60.04680019</v>
      </c>
      <c r="F62" s="20" t="n">
        <v>1.36539566</v>
      </c>
      <c r="G62" s="18" t="n">
        <v>36.69719871</v>
      </c>
      <c r="H62" s="20" t="n">
        <v>1.3436265</v>
      </c>
      <c r="I62" s="18" t="n">
        <v>0</v>
      </c>
      <c r="J62" s="20" t="n">
        <v>0</v>
      </c>
      <c r="K62" s="18" t="n">
        <v>0</v>
      </c>
      <c r="L62" s="20" t="n">
        <v>0</v>
      </c>
      <c r="M62" s="18" t="n">
        <v>0.10245677</v>
      </c>
      <c r="N62" s="20" t="n">
        <v>0.10269276</v>
      </c>
      <c r="O62" s="18" t="n">
        <v>0</v>
      </c>
      <c r="P62" s="20" t="n">
        <v>0</v>
      </c>
      <c r="Q62" s="18" t="n">
        <v>3.15354434</v>
      </c>
      <c r="R62" s="20" t="n">
        <v>0.5512167100000001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(4490.0/B67*100)</f>
        <v/>
      </c>
      <c r="D67" s="19" t="n">
        <v>1175</v>
      </c>
      <c r="E67" s="18" t="n">
        <v>38.02045795</v>
      </c>
      <c r="F67" s="20" t="n">
        <v>1.663634</v>
      </c>
      <c r="G67" s="18" t="n">
        <v>5.24243965</v>
      </c>
      <c r="H67" s="20" t="n">
        <v>0.63227199</v>
      </c>
      <c r="I67" s="18" t="n">
        <v>0</v>
      </c>
      <c r="J67" s="20" t="n">
        <v>0</v>
      </c>
      <c r="K67" s="18" t="n">
        <v>0.43209781</v>
      </c>
      <c r="L67" s="20" t="n">
        <v>0.19503524</v>
      </c>
      <c r="M67" s="18" t="n">
        <v>30.88402113</v>
      </c>
      <c r="N67" s="20" t="n">
        <v>1.47764479</v>
      </c>
      <c r="O67" s="18" t="n">
        <v>0</v>
      </c>
      <c r="P67" s="20" t="n">
        <v>0</v>
      </c>
      <c r="Q67" s="18" t="n">
        <v>25.42098346</v>
      </c>
      <c r="R67" s="20" t="n">
        <v>1.35310843</v>
      </c>
    </row>
    <row r="68" spans="1:18">
      <c r="A68" s="15" t="s">
        <v>628</v>
      </c>
      <c r="B68" s="17" t="n">
        <v>6971</v>
      </c>
      <c r="C68" s="18">
        <f>(5673.0/B68*100)</f>
        <v/>
      </c>
      <c r="D68" s="19" t="n">
        <v>1298</v>
      </c>
      <c r="E68" s="18" t="n">
        <v>74.40133373</v>
      </c>
      <c r="F68" s="20" t="n">
        <v>1.18262964</v>
      </c>
      <c r="G68" s="18" t="n">
        <v>11.51181956</v>
      </c>
      <c r="H68" s="20" t="n">
        <v>0.90551698</v>
      </c>
      <c r="I68" s="18" t="n">
        <v>0</v>
      </c>
      <c r="J68" s="20" t="n">
        <v>0</v>
      </c>
      <c r="K68" s="18" t="n">
        <v>0.42681556</v>
      </c>
      <c r="L68" s="20" t="n">
        <v>0.23683674</v>
      </c>
      <c r="M68" s="18" t="n">
        <v>0.32503092</v>
      </c>
      <c r="N68" s="20" t="n">
        <v>0.17109658</v>
      </c>
      <c r="O68" s="18" t="n">
        <v>0</v>
      </c>
      <c r="P68" s="20" t="n">
        <v>0</v>
      </c>
      <c r="Q68" s="18" t="n">
        <v>13.33500023</v>
      </c>
      <c r="R68" s="20" t="n">
        <v>1.10345708</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(9358.0/B70*100)</f>
        <v/>
      </c>
      <c r="D70" s="19" t="n">
        <v>2725</v>
      </c>
      <c r="E70" s="18" t="n">
        <v>59.38745345</v>
      </c>
      <c r="F70" s="20" t="n">
        <v>0.9179642</v>
      </c>
      <c r="G70" s="18" t="n">
        <v>24.12954265</v>
      </c>
      <c r="H70" s="20" t="n">
        <v>0.79006521</v>
      </c>
      <c r="I70" s="18" t="n">
        <v>0</v>
      </c>
      <c r="J70" s="20" t="n">
        <v>0</v>
      </c>
      <c r="K70" s="18" t="n">
        <v>2.74715148</v>
      </c>
      <c r="L70" s="20" t="n">
        <v>0.26449322</v>
      </c>
      <c r="M70" s="18" t="n">
        <v>0.07116241</v>
      </c>
      <c r="N70" s="20" t="n">
        <v>0.05062403</v>
      </c>
      <c r="O70" s="18" t="n">
        <v>0</v>
      </c>
      <c r="P70" s="20" t="n">
        <v>0</v>
      </c>
      <c r="Q70" s="18" t="n">
        <v>13.66469002</v>
      </c>
      <c r="R70" s="20" t="n">
        <v>0.6617250099999999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(4761.0/B72*100)</f>
        <v/>
      </c>
      <c r="D72" s="19" t="n">
        <v>1275</v>
      </c>
      <c r="E72" s="18" t="n">
        <v>66.07209546999999</v>
      </c>
      <c r="F72" s="20" t="n">
        <v>1.65886865</v>
      </c>
      <c r="G72" s="18" t="n">
        <v>22.07601998</v>
      </c>
      <c r="H72" s="20" t="n">
        <v>1.46424108</v>
      </c>
      <c r="I72" s="18" t="n">
        <v>0</v>
      </c>
      <c r="J72" s="20" t="n">
        <v>0</v>
      </c>
      <c r="K72" s="18" t="n">
        <v>0.38157468</v>
      </c>
      <c r="L72" s="20" t="n">
        <v>0.13500946</v>
      </c>
      <c r="M72" s="18" t="n">
        <v>0.09045652999999999</v>
      </c>
      <c r="N72" s="20" t="n">
        <v>0.09005944</v>
      </c>
      <c r="O72" s="18" t="n">
        <v>0</v>
      </c>
      <c r="P72" s="20" t="n">
        <v>0</v>
      </c>
      <c r="Q72" s="18" t="n">
        <v>11.37985335</v>
      </c>
      <c r="R72" s="20" t="n">
        <v>1.10879382</v>
      </c>
    </row>
    <row r="73" spans="1:18">
      <c r="A73" s="15" t="s">
        <v>633</v>
      </c>
      <c r="B73" s="17" t="n">
        <v>6115</v>
      </c>
      <c r="C73" s="18">
        <f>(4798.0/B73*100)</f>
        <v/>
      </c>
      <c r="D73" s="19" t="n">
        <v>1317</v>
      </c>
      <c r="E73" s="18" t="n">
        <v>51.51202117</v>
      </c>
      <c r="F73" s="20" t="n">
        <v>1.47943184</v>
      </c>
      <c r="G73" s="18" t="n">
        <v>43.67030153</v>
      </c>
      <c r="H73" s="20" t="n">
        <v>1.42940565</v>
      </c>
      <c r="I73" s="18" t="n">
        <v>0</v>
      </c>
      <c r="J73" s="20" t="n">
        <v>0</v>
      </c>
      <c r="K73" s="18" t="n">
        <v>0.15140321</v>
      </c>
      <c r="L73" s="20" t="n">
        <v>0.10775733</v>
      </c>
      <c r="M73" s="18" t="n">
        <v>0</v>
      </c>
      <c r="N73" s="20" t="n">
        <v>0</v>
      </c>
      <c r="O73" s="18" t="n">
        <v>0</v>
      </c>
      <c r="P73" s="20" t="n">
        <v>0</v>
      </c>
      <c r="Q73" s="18" t="n">
        <v>4.66627409</v>
      </c>
      <c r="R73" s="20" t="n">
        <v>0.59511602</v>
      </c>
    </row>
    <row r="74" spans="1:18">
      <c r="A74" s="15" t="s">
        <v>634</v>
      </c>
      <c r="B74" s="17" t="n">
        <v>7708</v>
      </c>
      <c r="C74" s="18">
        <f>(6067.0/B74*100)</f>
        <v/>
      </c>
      <c r="D74" s="19" t="n">
        <v>1641</v>
      </c>
      <c r="E74" s="18" t="n">
        <v>59.06068785</v>
      </c>
      <c r="F74" s="20" t="n">
        <v>1.46200366</v>
      </c>
      <c r="G74" s="18" t="n">
        <v>35.05918334</v>
      </c>
      <c r="H74" s="20" t="n">
        <v>1.50126604</v>
      </c>
      <c r="I74" s="18" t="n">
        <v>0</v>
      </c>
      <c r="J74" s="20" t="n">
        <v>0</v>
      </c>
      <c r="K74" s="18" t="n">
        <v>0.20748204</v>
      </c>
      <c r="L74" s="20" t="n">
        <v>0.15737902</v>
      </c>
      <c r="M74" s="18" t="n">
        <v>0</v>
      </c>
      <c r="N74" s="20" t="n">
        <v>0</v>
      </c>
      <c r="O74" s="18" t="n">
        <v>0</v>
      </c>
      <c r="P74" s="20" t="n">
        <v>0</v>
      </c>
      <c r="Q74" s="18" t="n">
        <v>5.67264677</v>
      </c>
      <c r="R74" s="20" t="n">
        <v>0.5613216599999999</v>
      </c>
    </row>
    <row r="75" spans="1:18">
      <c r="A75" s="15" t="s">
        <v>635</v>
      </c>
      <c r="B75" s="17" t="n">
        <v>8249</v>
      </c>
      <c r="C75" s="18">
        <f>(6489.0/B75*100)</f>
        <v/>
      </c>
      <c r="D75" s="19" t="n">
        <v>1760</v>
      </c>
      <c r="E75" s="18" t="n">
        <v>82.68842684000001</v>
      </c>
      <c r="F75" s="20" t="n">
        <v>1.11779141</v>
      </c>
      <c r="G75" s="18" t="n">
        <v>13.27762049</v>
      </c>
      <c r="H75" s="20" t="n">
        <v>1.04867321</v>
      </c>
      <c r="I75" s="18" t="n">
        <v>0</v>
      </c>
      <c r="J75" s="20" t="n">
        <v>0</v>
      </c>
      <c r="K75" s="18" t="n">
        <v>0.16138833</v>
      </c>
      <c r="L75" s="20" t="n">
        <v>0.10037421</v>
      </c>
      <c r="M75" s="18" t="n">
        <v>0</v>
      </c>
      <c r="N75" s="20" t="n">
        <v>0</v>
      </c>
      <c r="O75" s="18" t="n">
        <v>0</v>
      </c>
      <c r="P75" s="20" t="n">
        <v>0</v>
      </c>
      <c r="Q75" s="18" t="n">
        <v>3.87256435</v>
      </c>
      <c r="R75" s="20" t="n">
        <v>0.69987366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(4331.0/B77*100)</f>
        <v/>
      </c>
      <c r="D77" s="19" t="n">
        <v>1044</v>
      </c>
      <c r="E77" s="18" t="n">
        <v>66.4755371</v>
      </c>
      <c r="F77" s="20" t="n">
        <v>1.73232959</v>
      </c>
      <c r="G77" s="18" t="n">
        <v>4.12042402</v>
      </c>
      <c r="H77" s="20" t="n">
        <v>0.61526063</v>
      </c>
      <c r="I77" s="18" t="n">
        <v>0</v>
      </c>
      <c r="J77" s="20" t="n">
        <v>0</v>
      </c>
      <c r="K77" s="18" t="n">
        <v>2.98594137</v>
      </c>
      <c r="L77" s="20" t="n">
        <v>0.57798471</v>
      </c>
      <c r="M77" s="18" t="n">
        <v>0.57934905</v>
      </c>
      <c r="N77" s="20" t="n">
        <v>0.26562613</v>
      </c>
      <c r="O77" s="18" t="n">
        <v>0</v>
      </c>
      <c r="P77" s="20" t="n">
        <v>0</v>
      </c>
      <c r="Q77" s="18" t="n">
        <v>25.83874847</v>
      </c>
      <c r="R77" s="20" t="n">
        <v>1.65608007</v>
      </c>
    </row>
    <row r="78" spans="1:18">
      <c r="A78" s="15" t="s">
        <v>638</v>
      </c>
      <c r="B78" s="17" t="n">
        <v>14167</v>
      </c>
      <c r="C78" s="18">
        <f>(11034.0/B78*100)</f>
        <v/>
      </c>
      <c r="D78" s="19" t="n">
        <v>3133</v>
      </c>
      <c r="E78" s="18" t="n">
        <v>71.39447061</v>
      </c>
      <c r="F78" s="20" t="n">
        <v>1.0762512</v>
      </c>
      <c r="G78" s="18" t="n">
        <v>19.32410044</v>
      </c>
      <c r="H78" s="20" t="n">
        <v>0.97218897</v>
      </c>
      <c r="I78" s="18" t="n">
        <v>0</v>
      </c>
      <c r="J78" s="20" t="n">
        <v>0</v>
      </c>
      <c r="K78" s="18" t="n">
        <v>1.34722541</v>
      </c>
      <c r="L78" s="20" t="n">
        <v>0.24922597</v>
      </c>
      <c r="M78" s="18" t="n">
        <v>0.21491791</v>
      </c>
      <c r="N78" s="20" t="n">
        <v>0.12859088</v>
      </c>
      <c r="O78" s="18" t="n">
        <v>0</v>
      </c>
      <c r="P78" s="20" t="n">
        <v>0</v>
      </c>
      <c r="Q78" s="18" t="n">
        <v>7.71928563</v>
      </c>
      <c r="R78" s="20" t="n">
        <v>0.60792957</v>
      </c>
    </row>
    <row r="79" spans="1:18">
      <c r="A79" s="15" t="s">
        <v>639</v>
      </c>
      <c r="B79" s="17" t="n">
        <v>6062</v>
      </c>
      <c r="C79" s="18">
        <f>(4781.0/B79*100)</f>
        <v/>
      </c>
      <c r="D79" s="19" t="n">
        <v>1281</v>
      </c>
      <c r="E79" s="18" t="n">
        <v>46.43453857</v>
      </c>
      <c r="F79" s="20" t="n">
        <v>1.67775969</v>
      </c>
      <c r="G79" s="18" t="n">
        <v>26.61527928</v>
      </c>
      <c r="H79" s="20" t="n">
        <v>1.46124895</v>
      </c>
      <c r="I79" s="18" t="n">
        <v>0</v>
      </c>
      <c r="J79" s="20" t="n">
        <v>0</v>
      </c>
      <c r="K79" s="18" t="n">
        <v>0.97309323</v>
      </c>
      <c r="L79" s="20" t="n">
        <v>0.26395034</v>
      </c>
      <c r="M79" s="18" t="n">
        <v>0.18080461</v>
      </c>
      <c r="N79" s="20" t="n">
        <v>0.13055667</v>
      </c>
      <c r="O79" s="18" t="n">
        <v>0</v>
      </c>
      <c r="P79" s="20" t="n">
        <v>0</v>
      </c>
      <c r="Q79" s="18" t="n">
        <v>25.79628431</v>
      </c>
      <c r="R79" s="20" t="n">
        <v>1.45248286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(25291.0/B82*100)</f>
        <v/>
      </c>
      <c r="D82" s="19" t="n">
        <v>7039</v>
      </c>
      <c r="E82" s="18" t="n">
        <v>50.16935463</v>
      </c>
      <c r="F82" s="20" t="n">
        <v>0.8379318</v>
      </c>
      <c r="G82" s="18" t="n">
        <v>42.10540958</v>
      </c>
      <c r="H82" s="20" t="n">
        <v>0.86231842</v>
      </c>
      <c r="I82" s="18" t="n">
        <v>0</v>
      </c>
      <c r="J82" s="20" t="n">
        <v>0</v>
      </c>
      <c r="K82" s="18" t="n">
        <v>0.36890502</v>
      </c>
      <c r="L82" s="20" t="n">
        <v>0.09713251000000001</v>
      </c>
      <c r="M82" s="18" t="n">
        <v>0.04328468</v>
      </c>
      <c r="N82" s="20" t="n">
        <v>0.03858474</v>
      </c>
      <c r="O82" s="18" t="n">
        <v>0</v>
      </c>
      <c r="P82" s="20" t="n">
        <v>0</v>
      </c>
      <c r="Q82" s="18" t="n">
        <v>7.31304609</v>
      </c>
      <c r="R82" s="20" t="n">
        <v>0.48690553</v>
      </c>
    </row>
    <row r="83" spans="1:18">
      <c r="A83" s="15" t="s">
        <v>643</v>
      </c>
      <c r="B83" s="17" t="n">
        <v>1652</v>
      </c>
      <c r="C83" s="18">
        <f>(1294.0/B83*100)</f>
        <v/>
      </c>
      <c r="D83" s="19" t="n">
        <v>358</v>
      </c>
      <c r="E83" s="18" t="n">
        <v>54.5265509</v>
      </c>
      <c r="F83" s="20" t="n">
        <v>3.73173259</v>
      </c>
      <c r="G83" s="18" t="n">
        <v>42.39975177</v>
      </c>
      <c r="H83" s="20" t="n">
        <v>3.80062153</v>
      </c>
      <c r="I83" s="18" t="n">
        <v>0</v>
      </c>
      <c r="J83" s="20" t="n">
        <v>0</v>
      </c>
      <c r="K83" s="18" t="n">
        <v>0.25710337</v>
      </c>
      <c r="L83" s="20" t="n">
        <v>0.25827382</v>
      </c>
      <c r="M83" s="18" t="n">
        <v>0</v>
      </c>
      <c r="N83" s="20" t="n">
        <v>0</v>
      </c>
      <c r="O83" s="18" t="n">
        <v>0</v>
      </c>
      <c r="P83" s="20" t="n">
        <v>0</v>
      </c>
      <c r="Q83" s="18" t="n">
        <v>2.81659397</v>
      </c>
      <c r="R83" s="20" t="n">
        <v>0.93209203</v>
      </c>
    </row>
    <row r="84" spans="1:18">
      <c r="A84" s="23" t="s">
        <v>644</v>
      </c>
      <c r="B84" s="24" t="n">
        <v>1887</v>
      </c>
      <c r="C84" s="25">
        <f>(1505.0/B84*100)</f>
        <v/>
      </c>
      <c r="D84" s="19" t="n">
        <v>382</v>
      </c>
      <c r="E84" s="18" t="n">
        <v>68.47892213</v>
      </c>
      <c r="F84" s="20" t="n">
        <v>3.18580326</v>
      </c>
      <c r="G84" s="18" t="n">
        <v>27.93930597</v>
      </c>
      <c r="H84" s="20" t="n">
        <v>3.27838916</v>
      </c>
      <c r="I84" s="18" t="n">
        <v>0</v>
      </c>
      <c r="J84" s="20" t="n">
        <v>0</v>
      </c>
      <c r="K84" s="18" t="n">
        <v>0.27394934</v>
      </c>
      <c r="L84" s="20" t="n">
        <v>0.27319448</v>
      </c>
      <c r="M84" s="18" t="n">
        <v>0</v>
      </c>
      <c r="N84" s="20" t="n">
        <v>0</v>
      </c>
      <c r="O84" s="18" t="n">
        <v>0</v>
      </c>
      <c r="P84" s="20" t="n">
        <v>0</v>
      </c>
      <c r="Q84" s="18" t="n">
        <v>3.30782255</v>
      </c>
      <c r="R84" s="20" t="n">
        <v>0.7999020999999999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(11429.0/B7*100)</f>
        <v/>
      </c>
      <c r="D7" s="19" t="n">
        <v>3101</v>
      </c>
      <c r="E7" s="18" t="n">
        <v>12.02943044</v>
      </c>
      <c r="F7" s="20" t="n">
        <v>0.74415995</v>
      </c>
      <c r="G7" s="18" t="n">
        <v>85.91973883999999</v>
      </c>
      <c r="H7" s="20" t="n">
        <v>0.82730843</v>
      </c>
      <c r="I7" s="18" t="n">
        <v>0</v>
      </c>
      <c r="J7" s="20" t="n">
        <v>0</v>
      </c>
      <c r="K7" s="18" t="n">
        <v>0.91802266</v>
      </c>
      <c r="L7" s="20" t="n">
        <v>0.21736732</v>
      </c>
      <c r="M7" s="18" t="n">
        <v>0</v>
      </c>
      <c r="N7" s="20" t="n">
        <v>0</v>
      </c>
      <c r="O7" s="18" t="n">
        <v>0</v>
      </c>
      <c r="P7" s="20" t="n">
        <v>0</v>
      </c>
      <c r="Q7" s="18" t="n">
        <v>1.13280805</v>
      </c>
      <c r="R7" s="20" t="n">
        <v>0.19365081</v>
      </c>
    </row>
    <row r="8" spans="1:18">
      <c r="A8" s="15" t="s">
        <v>566</v>
      </c>
      <c r="B8" s="17" t="n">
        <v>7007</v>
      </c>
      <c r="C8" s="18">
        <f>(5460.0/B8*100)</f>
        <v/>
      </c>
      <c r="D8" s="19" t="n">
        <v>1547</v>
      </c>
      <c r="E8" s="18" t="n">
        <v>11.84987402</v>
      </c>
      <c r="F8" s="20" t="n">
        <v>0.94219074</v>
      </c>
      <c r="G8" s="18" t="n">
        <v>87.12793017</v>
      </c>
      <c r="H8" s="20" t="n">
        <v>1.02866256</v>
      </c>
      <c r="I8" s="18" t="n">
        <v>0</v>
      </c>
      <c r="J8" s="20" t="n">
        <v>0</v>
      </c>
      <c r="K8" s="18" t="n">
        <v>0.21026849</v>
      </c>
      <c r="L8" s="20" t="n">
        <v>0.12098321</v>
      </c>
      <c r="M8" s="18" t="n">
        <v>0</v>
      </c>
      <c r="N8" s="20" t="n">
        <v>0</v>
      </c>
      <c r="O8" s="18" t="n">
        <v>0</v>
      </c>
      <c r="P8" s="20" t="n">
        <v>0</v>
      </c>
      <c r="Q8" s="18" t="n">
        <v>0.81192732</v>
      </c>
      <c r="R8" s="20" t="n">
        <v>0.23315195</v>
      </c>
    </row>
    <row r="9" spans="1:18">
      <c r="A9" s="15" t="s">
        <v>567</v>
      </c>
      <c r="B9" s="17" t="n">
        <v>9651</v>
      </c>
      <c r="C9" s="18">
        <f>(7582.0/B9*100)</f>
        <v/>
      </c>
      <c r="D9" s="19" t="n">
        <v>2069</v>
      </c>
      <c r="E9" s="18" t="n">
        <v>13.460564</v>
      </c>
      <c r="F9" s="20" t="n">
        <v>0.7932984199999999</v>
      </c>
      <c r="G9" s="18" t="n">
        <v>85.33334737</v>
      </c>
      <c r="H9" s="20" t="n">
        <v>0.89297049</v>
      </c>
      <c r="I9" s="18" t="n">
        <v>0</v>
      </c>
      <c r="J9" s="20" t="n">
        <v>0</v>
      </c>
      <c r="K9" s="18" t="n">
        <v>0.53498506</v>
      </c>
      <c r="L9" s="20" t="n">
        <v>0.21203283</v>
      </c>
      <c r="M9" s="18" t="n">
        <v>0</v>
      </c>
      <c r="N9" s="20" t="n">
        <v>0</v>
      </c>
      <c r="O9" s="18" t="n">
        <v>0</v>
      </c>
      <c r="P9" s="20" t="n">
        <v>0</v>
      </c>
      <c r="Q9" s="18" t="n">
        <v>0.67110357</v>
      </c>
      <c r="R9" s="20" t="n">
        <v>0.21109265</v>
      </c>
    </row>
    <row r="10" spans="1:18">
      <c r="A10" s="15" t="s">
        <v>568</v>
      </c>
      <c r="B10" s="17" t="n">
        <v>20058</v>
      </c>
      <c r="C10" s="18">
        <f>(15633.0/B10*100)</f>
        <v/>
      </c>
      <c r="D10" s="19" t="n">
        <v>4425</v>
      </c>
      <c r="E10" s="18" t="n">
        <v>8.765000179999999</v>
      </c>
      <c r="F10" s="20" t="n">
        <v>0.54491291</v>
      </c>
      <c r="G10" s="18" t="n">
        <v>89.78444623</v>
      </c>
      <c r="H10" s="20" t="n">
        <v>0.61392207</v>
      </c>
      <c r="I10" s="18" t="n">
        <v>0</v>
      </c>
      <c r="J10" s="20" t="n">
        <v>0</v>
      </c>
      <c r="K10" s="18" t="n">
        <v>0.67868901</v>
      </c>
      <c r="L10" s="20" t="n">
        <v>0.18689669</v>
      </c>
      <c r="M10" s="18" t="n">
        <v>0</v>
      </c>
      <c r="N10" s="20" t="n">
        <v>0</v>
      </c>
      <c r="O10" s="18" t="n">
        <v>0</v>
      </c>
      <c r="P10" s="20" t="n">
        <v>0</v>
      </c>
      <c r="Q10" s="18" t="n">
        <v>0.77186458</v>
      </c>
      <c r="R10" s="20" t="n">
        <v>0.19551691</v>
      </c>
    </row>
    <row r="11" spans="1:18">
      <c r="A11" s="15" t="s">
        <v>569</v>
      </c>
      <c r="B11" s="17" t="n">
        <v>7053</v>
      </c>
      <c r="C11" s="18">
        <f>(5506.0/B11*100)</f>
        <v/>
      </c>
      <c r="D11" s="19" t="n">
        <v>1547</v>
      </c>
      <c r="E11" s="18" t="n">
        <v>10.32983085</v>
      </c>
      <c r="F11" s="20" t="n">
        <v>0.88959625</v>
      </c>
      <c r="G11" s="18" t="n">
        <v>87.15474651</v>
      </c>
      <c r="H11" s="20" t="n">
        <v>1.02320501</v>
      </c>
      <c r="I11" s="18" t="n">
        <v>0</v>
      </c>
      <c r="J11" s="20" t="n">
        <v>0</v>
      </c>
      <c r="K11" s="18" t="n">
        <v>0.87697249</v>
      </c>
      <c r="L11" s="20" t="n">
        <v>0.28323378</v>
      </c>
      <c r="M11" s="18" t="n">
        <v>0</v>
      </c>
      <c r="N11" s="20" t="n">
        <v>0</v>
      </c>
      <c r="O11" s="18" t="n">
        <v>0</v>
      </c>
      <c r="P11" s="20" t="n">
        <v>0</v>
      </c>
      <c r="Q11" s="18" t="n">
        <v>1.63845015</v>
      </c>
      <c r="R11" s="20" t="n">
        <v>0.39626807</v>
      </c>
    </row>
    <row r="12" spans="1:18">
      <c r="A12" s="15" t="s">
        <v>570</v>
      </c>
      <c r="B12" s="17" t="n">
        <v>6894</v>
      </c>
      <c r="C12" s="18">
        <f>(5420.0/B12*100)</f>
        <v/>
      </c>
      <c r="D12" s="19" t="n">
        <v>1474</v>
      </c>
      <c r="E12" s="18" t="n">
        <v>19.5449374</v>
      </c>
      <c r="F12" s="20" t="n">
        <v>1.17360048</v>
      </c>
      <c r="G12" s="18" t="n">
        <v>79.21819309</v>
      </c>
      <c r="H12" s="20" t="n">
        <v>1.22754908</v>
      </c>
      <c r="I12" s="18" t="n">
        <v>0</v>
      </c>
      <c r="J12" s="20" t="n">
        <v>0</v>
      </c>
      <c r="K12" s="18" t="n">
        <v>0.22200768</v>
      </c>
      <c r="L12" s="20" t="n">
        <v>0.11123294</v>
      </c>
      <c r="M12" s="18" t="n">
        <v>0</v>
      </c>
      <c r="N12" s="20" t="n">
        <v>0</v>
      </c>
      <c r="O12" s="18" t="n">
        <v>0</v>
      </c>
      <c r="P12" s="20" t="n">
        <v>0</v>
      </c>
      <c r="Q12" s="18" t="n">
        <v>1.01486182</v>
      </c>
      <c r="R12" s="20" t="n">
        <v>0.25698739</v>
      </c>
    </row>
    <row r="13" spans="1:18">
      <c r="A13" s="15" t="s">
        <v>571</v>
      </c>
      <c r="B13" s="17" t="n">
        <v>7161</v>
      </c>
      <c r="C13" s="18">
        <f>(5715.0/B13*100)</f>
        <v/>
      </c>
      <c r="D13" s="19" t="n">
        <v>1446</v>
      </c>
      <c r="E13" s="18" t="n">
        <v>18.4510016</v>
      </c>
      <c r="F13" s="20" t="n">
        <v>1.18876479</v>
      </c>
      <c r="G13" s="18" t="n">
        <v>79.88136612</v>
      </c>
      <c r="H13" s="20" t="n">
        <v>1.21343054</v>
      </c>
      <c r="I13" s="18" t="n">
        <v>0</v>
      </c>
      <c r="J13" s="20" t="n">
        <v>0</v>
      </c>
      <c r="K13" s="18" t="n">
        <v>0.86357878</v>
      </c>
      <c r="L13" s="20" t="n">
        <v>0.27154592</v>
      </c>
      <c r="M13" s="18" t="n">
        <v>0</v>
      </c>
      <c r="N13" s="20" t="n">
        <v>0</v>
      </c>
      <c r="O13" s="18" t="n">
        <v>0</v>
      </c>
      <c r="P13" s="20" t="n">
        <v>0</v>
      </c>
      <c r="Q13" s="18" t="n">
        <v>0.8040535</v>
      </c>
      <c r="R13" s="20" t="n">
        <v>0.23205861</v>
      </c>
    </row>
    <row r="14" spans="1:18">
      <c r="A14" s="15" t="s">
        <v>572</v>
      </c>
      <c r="B14" s="17" t="n">
        <v>5587</v>
      </c>
      <c r="C14" s="18">
        <f>(4332.0/B14*100)</f>
        <v/>
      </c>
      <c r="D14" s="19" t="n">
        <v>1255</v>
      </c>
      <c r="E14" s="18" t="n">
        <v>11.14004265</v>
      </c>
      <c r="F14" s="20" t="n">
        <v>0.98257736</v>
      </c>
      <c r="G14" s="18" t="n">
        <v>88.175365</v>
      </c>
      <c r="H14" s="20" t="n">
        <v>0.97888937</v>
      </c>
      <c r="I14" s="18" t="n">
        <v>0</v>
      </c>
      <c r="J14" s="20" t="n">
        <v>0</v>
      </c>
      <c r="K14" s="18" t="n">
        <v>0.22600115</v>
      </c>
      <c r="L14" s="20" t="n">
        <v>0.13139935</v>
      </c>
      <c r="M14" s="18" t="n">
        <v>0</v>
      </c>
      <c r="N14" s="20" t="n">
        <v>0</v>
      </c>
      <c r="O14" s="18" t="n">
        <v>0</v>
      </c>
      <c r="P14" s="20" t="n">
        <v>0</v>
      </c>
      <c r="Q14" s="18" t="n">
        <v>0.45859119</v>
      </c>
      <c r="R14" s="20" t="n">
        <v>0.24251515</v>
      </c>
    </row>
    <row r="15" spans="1:18">
      <c r="A15" s="15" t="s">
        <v>573</v>
      </c>
      <c r="B15" s="17" t="n">
        <v>5882</v>
      </c>
      <c r="C15" s="18">
        <f>(4527.0/B15*100)</f>
        <v/>
      </c>
      <c r="D15" s="19" t="n">
        <v>1355</v>
      </c>
      <c r="E15" s="18" t="n">
        <v>6.61365355</v>
      </c>
      <c r="F15" s="20" t="n">
        <v>0.65529132</v>
      </c>
      <c r="G15" s="18" t="n">
        <v>92.67176746</v>
      </c>
      <c r="H15" s="20" t="n">
        <v>0.69635314</v>
      </c>
      <c r="I15" s="18" t="n">
        <v>0</v>
      </c>
      <c r="J15" s="20" t="n">
        <v>0</v>
      </c>
      <c r="K15" s="18" t="n">
        <v>0.08313880999999999</v>
      </c>
      <c r="L15" s="20" t="n">
        <v>0.09123087000000001</v>
      </c>
      <c r="M15" s="18" t="n">
        <v>0</v>
      </c>
      <c r="N15" s="20" t="n">
        <v>0</v>
      </c>
      <c r="O15" s="18" t="n">
        <v>0</v>
      </c>
      <c r="P15" s="20" t="n">
        <v>0</v>
      </c>
      <c r="Q15" s="18" t="n">
        <v>0.63144018</v>
      </c>
      <c r="R15" s="20" t="n">
        <v>0.21432894</v>
      </c>
    </row>
    <row r="16" spans="1:18">
      <c r="A16" s="15" t="s">
        <v>574</v>
      </c>
      <c r="B16" s="17" t="n">
        <v>6108</v>
      </c>
      <c r="C16" s="18">
        <f>(4767.0/B16*100)</f>
        <v/>
      </c>
      <c r="D16" s="19" t="n">
        <v>1341</v>
      </c>
      <c r="E16" s="18" t="n">
        <v>13.0882164</v>
      </c>
      <c r="F16" s="20" t="n">
        <v>0.91908804</v>
      </c>
      <c r="G16" s="18" t="n">
        <v>82.89448718</v>
      </c>
      <c r="H16" s="20" t="n">
        <v>1.12079083</v>
      </c>
      <c r="I16" s="18" t="n">
        <v>0</v>
      </c>
      <c r="J16" s="20" t="n">
        <v>0</v>
      </c>
      <c r="K16" s="18" t="n">
        <v>1.66923299</v>
      </c>
      <c r="L16" s="20" t="n">
        <v>0.37034427</v>
      </c>
      <c r="M16" s="18" t="n">
        <v>0</v>
      </c>
      <c r="N16" s="20" t="n">
        <v>0</v>
      </c>
      <c r="O16" s="18" t="n">
        <v>0</v>
      </c>
      <c r="P16" s="20" t="n">
        <v>0</v>
      </c>
      <c r="Q16" s="18" t="n">
        <v>2.34806343</v>
      </c>
      <c r="R16" s="20" t="n">
        <v>0.52237431</v>
      </c>
    </row>
    <row r="17" spans="1:18">
      <c r="A17" s="15" t="s">
        <v>575</v>
      </c>
      <c r="B17" s="17" t="n">
        <v>6504</v>
      </c>
      <c r="C17" s="18">
        <f>(5138.0/B17*100)</f>
        <v/>
      </c>
      <c r="D17" s="19" t="n">
        <v>1366</v>
      </c>
      <c r="E17" s="18" t="n">
        <v>9.64968569</v>
      </c>
      <c r="F17" s="20" t="n">
        <v>0.83069652</v>
      </c>
      <c r="G17" s="18" t="n">
        <v>89.21360853</v>
      </c>
      <c r="H17" s="20" t="n">
        <v>0.87727081</v>
      </c>
      <c r="I17" s="18" t="n">
        <v>0</v>
      </c>
      <c r="J17" s="20" t="n">
        <v>0</v>
      </c>
      <c r="K17" s="18" t="n">
        <v>0.30793596</v>
      </c>
      <c r="L17" s="20" t="n">
        <v>0.1625288</v>
      </c>
      <c r="M17" s="18" t="n">
        <v>0</v>
      </c>
      <c r="N17" s="20" t="n">
        <v>0</v>
      </c>
      <c r="O17" s="18" t="n">
        <v>0</v>
      </c>
      <c r="P17" s="20" t="n">
        <v>0</v>
      </c>
      <c r="Q17" s="18" t="n">
        <v>0.82876982</v>
      </c>
      <c r="R17" s="20" t="n">
        <v>0.24131857</v>
      </c>
    </row>
    <row r="18" spans="1:18">
      <c r="A18" s="15" t="s">
        <v>576</v>
      </c>
      <c r="B18" s="17" t="n">
        <v>5532</v>
      </c>
      <c r="C18" s="18">
        <f>(4330.0/B18*100)</f>
        <v/>
      </c>
      <c r="D18" s="19" t="n">
        <v>1202</v>
      </c>
      <c r="E18" s="18" t="n">
        <v>36.13920449</v>
      </c>
      <c r="F18" s="20" t="n">
        <v>1.43493101</v>
      </c>
      <c r="G18" s="18" t="n">
        <v>60.90414922</v>
      </c>
      <c r="H18" s="20" t="n">
        <v>1.61713839</v>
      </c>
      <c r="I18" s="18" t="n">
        <v>0</v>
      </c>
      <c r="J18" s="20" t="n">
        <v>0</v>
      </c>
      <c r="K18" s="18" t="n">
        <v>0.73821635</v>
      </c>
      <c r="L18" s="20" t="n">
        <v>0.26965144</v>
      </c>
      <c r="M18" s="18" t="n">
        <v>0</v>
      </c>
      <c r="N18" s="20" t="n">
        <v>0</v>
      </c>
      <c r="O18" s="18" t="n">
        <v>0</v>
      </c>
      <c r="P18" s="20" t="n">
        <v>0</v>
      </c>
      <c r="Q18" s="18" t="n">
        <v>2.21842994</v>
      </c>
      <c r="R18" s="20" t="n">
        <v>0.49381172</v>
      </c>
    </row>
    <row r="19" spans="1:18">
      <c r="A19" s="15" t="s">
        <v>577</v>
      </c>
      <c r="B19" s="17" t="n">
        <v>5658</v>
      </c>
      <c r="C19" s="18">
        <f>(4388.0/B19*100)</f>
        <v/>
      </c>
      <c r="D19" s="19" t="n">
        <v>1270</v>
      </c>
      <c r="E19" s="18" t="n">
        <v>17.95849759</v>
      </c>
      <c r="F19" s="20" t="n">
        <v>1.35125109</v>
      </c>
      <c r="G19" s="18" t="n">
        <v>81.07986855</v>
      </c>
      <c r="H19" s="20" t="n">
        <v>1.39954425</v>
      </c>
      <c r="I19" s="18" t="n">
        <v>0</v>
      </c>
      <c r="J19" s="20" t="n">
        <v>0</v>
      </c>
      <c r="K19" s="18" t="n">
        <v>0.32655596</v>
      </c>
      <c r="L19" s="20" t="n">
        <v>0.19572522</v>
      </c>
      <c r="M19" s="18" t="n">
        <v>0</v>
      </c>
      <c r="N19" s="20" t="n">
        <v>0</v>
      </c>
      <c r="O19" s="18" t="n">
        <v>0</v>
      </c>
      <c r="P19" s="20" t="n">
        <v>0</v>
      </c>
      <c r="Q19" s="18" t="n">
        <v>0.63507789</v>
      </c>
      <c r="R19" s="20" t="n">
        <v>0.18536016</v>
      </c>
    </row>
    <row r="20" spans="1:18">
      <c r="A20" s="15" t="s">
        <v>578</v>
      </c>
      <c r="B20" s="17" t="n">
        <v>3371</v>
      </c>
      <c r="C20" s="18">
        <f>(2643.0/B20*100)</f>
        <v/>
      </c>
      <c r="D20" s="19" t="n">
        <v>728</v>
      </c>
      <c r="E20" s="18" t="n">
        <v>13.96116547</v>
      </c>
      <c r="F20" s="20" t="n">
        <v>1.34161727</v>
      </c>
      <c r="G20" s="18" t="n">
        <v>84.4227942</v>
      </c>
      <c r="H20" s="20" t="n">
        <v>1.3924401</v>
      </c>
      <c r="I20" s="18" t="n">
        <v>0</v>
      </c>
      <c r="J20" s="20" t="n">
        <v>0</v>
      </c>
      <c r="K20" s="18" t="n">
        <v>0.5226814400000001</v>
      </c>
      <c r="L20" s="20" t="n">
        <v>0.25779122</v>
      </c>
      <c r="M20" s="18" t="n">
        <v>0</v>
      </c>
      <c r="N20" s="20" t="n">
        <v>0</v>
      </c>
      <c r="O20" s="18" t="n">
        <v>0</v>
      </c>
      <c r="P20" s="20" t="n">
        <v>0</v>
      </c>
      <c r="Q20" s="18" t="n">
        <v>1.09335889</v>
      </c>
      <c r="R20" s="20" t="n">
        <v>0.37770377</v>
      </c>
    </row>
    <row r="21" spans="1:18">
      <c r="A21" s="15" t="s">
        <v>579</v>
      </c>
      <c r="B21" s="17" t="n">
        <v>5741</v>
      </c>
      <c r="C21" s="18">
        <f>(4492.0/B21*100)</f>
        <v/>
      </c>
      <c r="D21" s="19" t="n">
        <v>1249</v>
      </c>
      <c r="E21" s="18" t="n">
        <v>10.71720903</v>
      </c>
      <c r="F21" s="20" t="n">
        <v>0.91997079</v>
      </c>
      <c r="G21" s="18" t="n">
        <v>88.22650571</v>
      </c>
      <c r="H21" s="20" t="n">
        <v>1.0073498</v>
      </c>
      <c r="I21" s="18" t="n">
        <v>0</v>
      </c>
      <c r="J21" s="20" t="n">
        <v>0</v>
      </c>
      <c r="K21" s="18" t="n">
        <v>0.60935792</v>
      </c>
      <c r="L21" s="20" t="n">
        <v>0.20653449</v>
      </c>
      <c r="M21" s="18" t="n">
        <v>0</v>
      </c>
      <c r="N21" s="20" t="n">
        <v>0</v>
      </c>
      <c r="O21" s="18" t="n">
        <v>0</v>
      </c>
      <c r="P21" s="20" t="n">
        <v>0</v>
      </c>
      <c r="Q21" s="18" t="n">
        <v>0.44692734</v>
      </c>
      <c r="R21" s="20" t="n">
        <v>0.13031874</v>
      </c>
    </row>
    <row r="22" spans="1:18">
      <c r="A22" s="15" t="s">
        <v>580</v>
      </c>
      <c r="B22" s="17" t="n">
        <v>6598</v>
      </c>
      <c r="C22" s="18">
        <f>(5227.0/B22*100)</f>
        <v/>
      </c>
      <c r="D22" s="19" t="n">
        <v>1371</v>
      </c>
      <c r="E22" s="18" t="n">
        <v>19.38955511</v>
      </c>
      <c r="F22" s="20" t="n">
        <v>1.22878705</v>
      </c>
      <c r="G22" s="18" t="n">
        <v>77.33991623</v>
      </c>
      <c r="H22" s="20" t="n">
        <v>1.28947395</v>
      </c>
      <c r="I22" s="18" t="n">
        <v>0</v>
      </c>
      <c r="J22" s="20" t="n">
        <v>0</v>
      </c>
      <c r="K22" s="18" t="n">
        <v>1.09701802</v>
      </c>
      <c r="L22" s="20" t="n">
        <v>0.32558798</v>
      </c>
      <c r="M22" s="18" t="n">
        <v>0</v>
      </c>
      <c r="N22" s="20" t="n">
        <v>0</v>
      </c>
      <c r="O22" s="18" t="n">
        <v>0</v>
      </c>
      <c r="P22" s="20" t="n">
        <v>0</v>
      </c>
      <c r="Q22" s="18" t="n">
        <v>2.17351064</v>
      </c>
      <c r="R22" s="20" t="n">
        <v>0.44325956</v>
      </c>
    </row>
    <row r="23" spans="1:18">
      <c r="A23" s="15" t="s">
        <v>581</v>
      </c>
      <c r="B23" s="17" t="n">
        <v>11583</v>
      </c>
      <c r="C23" s="18">
        <f>(9022.0/B23*100)</f>
        <v/>
      </c>
      <c r="D23" s="19" t="n">
        <v>2561</v>
      </c>
      <c r="E23" s="18" t="n">
        <v>16.23109642</v>
      </c>
      <c r="F23" s="20" t="n">
        <v>1.20483914</v>
      </c>
      <c r="G23" s="18" t="n">
        <v>82.3498462</v>
      </c>
      <c r="H23" s="20" t="n">
        <v>1.26700309</v>
      </c>
      <c r="I23" s="18" t="n">
        <v>0</v>
      </c>
      <c r="J23" s="20" t="n">
        <v>0</v>
      </c>
      <c r="K23" s="18" t="n">
        <v>0.74946248</v>
      </c>
      <c r="L23" s="20" t="n">
        <v>0.26910181</v>
      </c>
      <c r="M23" s="18" t="n">
        <v>0</v>
      </c>
      <c r="N23" s="20" t="n">
        <v>0</v>
      </c>
      <c r="O23" s="18" t="n">
        <v>0</v>
      </c>
      <c r="P23" s="20" t="n">
        <v>0</v>
      </c>
      <c r="Q23" s="18" t="n">
        <v>0.6695948900000001</v>
      </c>
      <c r="R23" s="20" t="n">
        <v>0.21099526</v>
      </c>
    </row>
    <row r="24" spans="1:18">
      <c r="A24" s="15" t="s">
        <v>582</v>
      </c>
      <c r="B24" s="17" t="n">
        <v>6647</v>
      </c>
      <c r="C24" s="18">
        <f>(5214.0/B24*100)</f>
        <v/>
      </c>
      <c r="D24" s="19" t="n">
        <v>1433</v>
      </c>
      <c r="E24" s="18" t="n">
        <v>11.46382438</v>
      </c>
      <c r="F24" s="20" t="n">
        <v>0.86698365</v>
      </c>
      <c r="G24" s="18" t="n">
        <v>87.50804055</v>
      </c>
      <c r="H24" s="20" t="n">
        <v>0.88345344</v>
      </c>
      <c r="I24" s="18" t="n">
        <v>0</v>
      </c>
      <c r="J24" s="20" t="n">
        <v>0</v>
      </c>
      <c r="K24" s="18" t="n">
        <v>0.31854021</v>
      </c>
      <c r="L24" s="20" t="n">
        <v>0.14416445</v>
      </c>
      <c r="M24" s="18" t="n">
        <v>0</v>
      </c>
      <c r="N24" s="20" t="n">
        <v>0</v>
      </c>
      <c r="O24" s="18" t="n">
        <v>0</v>
      </c>
      <c r="P24" s="20" t="n">
        <v>0</v>
      </c>
      <c r="Q24" s="18" t="n">
        <v>0.70959485</v>
      </c>
      <c r="R24" s="20" t="n">
        <v>0.2355126</v>
      </c>
    </row>
    <row r="25" spans="1:18">
      <c r="A25" s="15" t="s">
        <v>583</v>
      </c>
      <c r="B25" s="17" t="n">
        <v>5581</v>
      </c>
      <c r="C25" s="18">
        <f>(4366.0/B25*100)</f>
        <v/>
      </c>
      <c r="D25" s="19" t="n">
        <v>1215</v>
      </c>
      <c r="E25" s="18" t="n">
        <v>20.10048781</v>
      </c>
      <c r="F25" s="20" t="n">
        <v>1.27328003</v>
      </c>
      <c r="G25" s="18" t="n">
        <v>79.31356114</v>
      </c>
      <c r="H25" s="20" t="n">
        <v>1.28741668</v>
      </c>
      <c r="I25" s="18" t="n">
        <v>0</v>
      </c>
      <c r="J25" s="20" t="n">
        <v>0</v>
      </c>
      <c r="K25" s="18" t="n">
        <v>0.06954566</v>
      </c>
      <c r="L25" s="20" t="n">
        <v>0.0699224</v>
      </c>
      <c r="M25" s="18" t="n">
        <v>0</v>
      </c>
      <c r="N25" s="20" t="n">
        <v>0</v>
      </c>
      <c r="O25" s="18" t="n">
        <v>0</v>
      </c>
      <c r="P25" s="20" t="n">
        <v>0</v>
      </c>
      <c r="Q25" s="18" t="n">
        <v>0.51640539</v>
      </c>
      <c r="R25" s="20" t="n">
        <v>0.15009255</v>
      </c>
    </row>
    <row r="26" spans="1:18">
      <c r="A26" s="15" t="s">
        <v>584</v>
      </c>
      <c r="B26" s="17" t="n">
        <v>4869</v>
      </c>
      <c r="C26" s="18">
        <f>(3769.0/B26*100)</f>
        <v/>
      </c>
      <c r="D26" s="19" t="n">
        <v>1100</v>
      </c>
      <c r="E26" s="18" t="n">
        <v>18.8372407</v>
      </c>
      <c r="F26" s="20" t="n">
        <v>1.26683087</v>
      </c>
      <c r="G26" s="18" t="n">
        <v>80.68525941999999</v>
      </c>
      <c r="H26" s="20" t="n">
        <v>1.29545767</v>
      </c>
      <c r="I26" s="18" t="n">
        <v>0</v>
      </c>
      <c r="J26" s="20" t="n">
        <v>0</v>
      </c>
      <c r="K26" s="18" t="n">
        <v>0.06788354000000001</v>
      </c>
      <c r="L26" s="20" t="n">
        <v>0.06853693</v>
      </c>
      <c r="M26" s="18" t="n">
        <v>0</v>
      </c>
      <c r="N26" s="20" t="n">
        <v>0</v>
      </c>
      <c r="O26" s="18" t="n">
        <v>0</v>
      </c>
      <c r="P26" s="20" t="n">
        <v>0</v>
      </c>
      <c r="Q26" s="18" t="n">
        <v>0.40961634</v>
      </c>
      <c r="R26" s="20" t="n">
        <v>0.18518162</v>
      </c>
    </row>
    <row r="27" spans="1:18">
      <c r="A27" s="15" t="s">
        <v>585</v>
      </c>
      <c r="B27" s="17" t="n">
        <v>5299</v>
      </c>
      <c r="C27" s="18">
        <f>(4173.0/B27*100)</f>
        <v/>
      </c>
      <c r="D27" s="19" t="n">
        <v>1126</v>
      </c>
      <c r="E27" s="18" t="n">
        <v>16.95412403</v>
      </c>
      <c r="F27" s="20" t="n">
        <v>1.05237731</v>
      </c>
      <c r="G27" s="18" t="n">
        <v>81.45496765</v>
      </c>
      <c r="H27" s="20" t="n">
        <v>1.13183984</v>
      </c>
      <c r="I27" s="18" t="n">
        <v>0</v>
      </c>
      <c r="J27" s="20" t="n">
        <v>0</v>
      </c>
      <c r="K27" s="18" t="n">
        <v>0.26001193</v>
      </c>
      <c r="L27" s="20" t="n">
        <v>0.14888455</v>
      </c>
      <c r="M27" s="18" t="n">
        <v>0</v>
      </c>
      <c r="N27" s="20" t="n">
        <v>0</v>
      </c>
      <c r="O27" s="18" t="n">
        <v>0</v>
      </c>
      <c r="P27" s="20" t="n">
        <v>0</v>
      </c>
      <c r="Q27" s="18" t="n">
        <v>1.33089638</v>
      </c>
      <c r="R27" s="20" t="n">
        <v>0.33399747</v>
      </c>
    </row>
    <row r="28" spans="1:18">
      <c r="A28" s="15" t="s">
        <v>586</v>
      </c>
      <c r="B28" s="17" t="n">
        <v>7568</v>
      </c>
      <c r="C28" s="18">
        <f>(6048.0/B28*100)</f>
        <v/>
      </c>
      <c r="D28" s="19" t="n">
        <v>1520</v>
      </c>
      <c r="E28" s="18" t="n">
        <v>20.98437499</v>
      </c>
      <c r="F28" s="20" t="n">
        <v>1.23718106</v>
      </c>
      <c r="G28" s="18" t="n">
        <v>76.72861331999999</v>
      </c>
      <c r="H28" s="20" t="n">
        <v>1.30318492</v>
      </c>
      <c r="I28" s="18" t="n">
        <v>0</v>
      </c>
      <c r="J28" s="20" t="n">
        <v>0</v>
      </c>
      <c r="K28" s="18" t="n">
        <v>1.03005764</v>
      </c>
      <c r="L28" s="20" t="n">
        <v>0.34477991</v>
      </c>
      <c r="M28" s="18" t="n">
        <v>0</v>
      </c>
      <c r="N28" s="20" t="n">
        <v>0</v>
      </c>
      <c r="O28" s="18" t="n">
        <v>0</v>
      </c>
      <c r="P28" s="20" t="n">
        <v>0</v>
      </c>
      <c r="Q28" s="18" t="n">
        <v>1.25695406</v>
      </c>
      <c r="R28" s="20" t="n">
        <v>0.41306423</v>
      </c>
    </row>
    <row r="29" spans="1:18">
      <c r="A29" s="15" t="s">
        <v>587</v>
      </c>
      <c r="B29" s="17" t="n">
        <v>5385</v>
      </c>
      <c r="C29" s="18">
        <f>(4213.0/B29*100)</f>
        <v/>
      </c>
      <c r="D29" s="19" t="n">
        <v>1172</v>
      </c>
      <c r="E29" s="18" t="n">
        <v>15.78446386</v>
      </c>
      <c r="F29" s="20" t="n">
        <v>1.15651605</v>
      </c>
      <c r="G29" s="18" t="n">
        <v>83.39958326</v>
      </c>
      <c r="H29" s="20" t="n">
        <v>1.28042539</v>
      </c>
      <c r="I29" s="18" t="n">
        <v>0</v>
      </c>
      <c r="J29" s="20" t="n">
        <v>0</v>
      </c>
      <c r="K29" s="18" t="n">
        <v>0.48686989</v>
      </c>
      <c r="L29" s="20" t="n">
        <v>0.1775361</v>
      </c>
      <c r="M29" s="18" t="n">
        <v>0</v>
      </c>
      <c r="N29" s="20" t="n">
        <v>0</v>
      </c>
      <c r="O29" s="18" t="n">
        <v>0</v>
      </c>
      <c r="P29" s="20" t="n">
        <v>0</v>
      </c>
      <c r="Q29" s="18" t="n">
        <v>0.32908299</v>
      </c>
      <c r="R29" s="20" t="n">
        <v>0.1612807</v>
      </c>
    </row>
    <row r="30" spans="1:18">
      <c r="A30" s="15" t="s">
        <v>588</v>
      </c>
      <c r="B30" s="17" t="n">
        <v>4520</v>
      </c>
      <c r="C30" s="18">
        <f>(3575.0/B30*100)</f>
        <v/>
      </c>
      <c r="D30" s="19" t="n">
        <v>945</v>
      </c>
      <c r="E30" s="18" t="n">
        <v>12.21653893</v>
      </c>
      <c r="F30" s="20" t="n">
        <v>1.10466575</v>
      </c>
      <c r="G30" s="18" t="n">
        <v>85.3118958</v>
      </c>
      <c r="H30" s="20" t="n">
        <v>1.15370507</v>
      </c>
      <c r="I30" s="18" t="n">
        <v>0</v>
      </c>
      <c r="J30" s="20" t="n">
        <v>0</v>
      </c>
      <c r="K30" s="18" t="n">
        <v>0.3267748</v>
      </c>
      <c r="L30" s="20" t="n">
        <v>0.17762667</v>
      </c>
      <c r="M30" s="18" t="n">
        <v>0</v>
      </c>
      <c r="N30" s="20" t="n">
        <v>0</v>
      </c>
      <c r="O30" s="18" t="n">
        <v>0</v>
      </c>
      <c r="P30" s="20" t="n">
        <v>0</v>
      </c>
      <c r="Q30" s="18" t="n">
        <v>2.14479047</v>
      </c>
      <c r="R30" s="20" t="n">
        <v>0.45085393</v>
      </c>
    </row>
    <row r="31" spans="1:18">
      <c r="A31" s="15" t="s">
        <v>589</v>
      </c>
      <c r="B31" s="17" t="n">
        <v>5456</v>
      </c>
      <c r="C31" s="18">
        <f>(4294.0/B31*100)</f>
        <v/>
      </c>
      <c r="D31" s="19" t="n">
        <v>1162</v>
      </c>
      <c r="E31" s="18" t="n">
        <v>13.39403839</v>
      </c>
      <c r="F31" s="20" t="n">
        <v>1.02059244</v>
      </c>
      <c r="G31" s="18" t="n">
        <v>84.07610509</v>
      </c>
      <c r="H31" s="20" t="n">
        <v>1.10645489</v>
      </c>
      <c r="I31" s="18" t="n">
        <v>0</v>
      </c>
      <c r="J31" s="20" t="n">
        <v>0</v>
      </c>
      <c r="K31" s="18" t="n">
        <v>0.97412888</v>
      </c>
      <c r="L31" s="20" t="n">
        <v>0.27195146</v>
      </c>
      <c r="M31" s="18" t="n">
        <v>0</v>
      </c>
      <c r="N31" s="20" t="n">
        <v>0</v>
      </c>
      <c r="O31" s="18" t="n">
        <v>0</v>
      </c>
      <c r="P31" s="20" t="n">
        <v>0</v>
      </c>
      <c r="Q31" s="18" t="n">
        <v>1.55572764</v>
      </c>
      <c r="R31" s="20" t="n">
        <v>0.37603752</v>
      </c>
    </row>
    <row r="32" spans="1:18">
      <c r="A32" s="15" t="s">
        <v>590</v>
      </c>
      <c r="B32" s="17" t="n">
        <v>4478</v>
      </c>
      <c r="C32" s="18">
        <f>(3544.0/B32*100)</f>
        <v/>
      </c>
      <c r="D32" s="19" t="n">
        <v>934</v>
      </c>
      <c r="E32" s="18" t="n">
        <v>19.61870487</v>
      </c>
      <c r="F32" s="20" t="n">
        <v>1.47884845</v>
      </c>
      <c r="G32" s="18" t="n">
        <v>80.0354018</v>
      </c>
      <c r="H32" s="20" t="n">
        <v>1.48016523</v>
      </c>
      <c r="I32" s="18" t="n">
        <v>0</v>
      </c>
      <c r="J32" s="20" t="n">
        <v>0</v>
      </c>
      <c r="K32" s="18" t="n">
        <v>0.19695454</v>
      </c>
      <c r="L32" s="20" t="n">
        <v>0.14598209</v>
      </c>
      <c r="M32" s="18" t="n">
        <v>0</v>
      </c>
      <c r="N32" s="20" t="n">
        <v>0</v>
      </c>
      <c r="O32" s="18" t="n">
        <v>0</v>
      </c>
      <c r="P32" s="20" t="n">
        <v>0</v>
      </c>
      <c r="Q32" s="18" t="n">
        <v>0.1489388</v>
      </c>
      <c r="R32" s="20" t="n">
        <v>0.14532028</v>
      </c>
    </row>
    <row r="33" spans="1:18">
      <c r="A33" s="15" t="s">
        <v>591</v>
      </c>
      <c r="B33" s="17" t="n">
        <v>7325</v>
      </c>
      <c r="C33" s="18">
        <f>(5750.0/B33*100)</f>
        <v/>
      </c>
      <c r="D33" s="19" t="n">
        <v>1575</v>
      </c>
      <c r="E33" s="18" t="n">
        <v>12.0811466</v>
      </c>
      <c r="F33" s="20" t="n">
        <v>0.97258302</v>
      </c>
      <c r="G33" s="18" t="n">
        <v>86.84183714</v>
      </c>
      <c r="H33" s="20" t="n">
        <v>0.9799635</v>
      </c>
      <c r="I33" s="18" t="n">
        <v>0</v>
      </c>
      <c r="J33" s="20" t="n">
        <v>0</v>
      </c>
      <c r="K33" s="18" t="n">
        <v>0.17520136</v>
      </c>
      <c r="L33" s="20" t="n">
        <v>0.11037441</v>
      </c>
      <c r="M33" s="18" t="n">
        <v>0</v>
      </c>
      <c r="N33" s="20" t="n">
        <v>0</v>
      </c>
      <c r="O33" s="18" t="n">
        <v>0</v>
      </c>
      <c r="P33" s="20" t="n">
        <v>0</v>
      </c>
      <c r="Q33" s="18" t="n">
        <v>0.9018149</v>
      </c>
      <c r="R33" s="20" t="n">
        <v>0.28660742</v>
      </c>
    </row>
    <row r="34" spans="1:18">
      <c r="A34" s="15" t="s">
        <v>592</v>
      </c>
      <c r="B34" s="17" t="n">
        <v>6350</v>
      </c>
      <c r="C34" s="18">
        <f>(5009.0/B34*100)</f>
        <v/>
      </c>
      <c r="D34" s="19" t="n">
        <v>1341</v>
      </c>
      <c r="E34" s="18" t="n">
        <v>23.15285669</v>
      </c>
      <c r="F34" s="20" t="n">
        <v>1.20412551</v>
      </c>
      <c r="G34" s="18" t="n">
        <v>74.9758041</v>
      </c>
      <c r="H34" s="20" t="n">
        <v>1.24077201</v>
      </c>
      <c r="I34" s="18" t="n">
        <v>0</v>
      </c>
      <c r="J34" s="20" t="n">
        <v>0</v>
      </c>
      <c r="K34" s="18" t="n">
        <v>0.24253534</v>
      </c>
      <c r="L34" s="20" t="n">
        <v>0.14420855</v>
      </c>
      <c r="M34" s="18" t="n">
        <v>0</v>
      </c>
      <c r="N34" s="20" t="n">
        <v>0</v>
      </c>
      <c r="O34" s="18" t="n">
        <v>0</v>
      </c>
      <c r="P34" s="20" t="n">
        <v>0</v>
      </c>
      <c r="Q34" s="18" t="n">
        <v>1.62880387</v>
      </c>
      <c r="R34" s="20" t="n">
        <v>0.33235519</v>
      </c>
    </row>
    <row r="35" spans="1:18">
      <c r="A35" s="15" t="s">
        <v>593</v>
      </c>
      <c r="B35" s="17" t="n">
        <v>6406</v>
      </c>
      <c r="C35" s="18">
        <f>(4979.0/B35*100)</f>
        <v/>
      </c>
      <c r="D35" s="19" t="n">
        <v>1427</v>
      </c>
      <c r="E35" s="18" t="n">
        <v>13.73895792</v>
      </c>
      <c r="F35" s="20" t="n">
        <v>1.02290684</v>
      </c>
      <c r="G35" s="18" t="n">
        <v>84.97724325</v>
      </c>
      <c r="H35" s="20" t="n">
        <v>0.99461901</v>
      </c>
      <c r="I35" s="18" t="n">
        <v>0</v>
      </c>
      <c r="J35" s="20" t="n">
        <v>0</v>
      </c>
      <c r="K35" s="18" t="n">
        <v>0.16803199</v>
      </c>
      <c r="L35" s="20" t="n">
        <v>0.11290502</v>
      </c>
      <c r="M35" s="18" t="n">
        <v>0</v>
      </c>
      <c r="N35" s="20" t="n">
        <v>0</v>
      </c>
      <c r="O35" s="18" t="n">
        <v>0</v>
      </c>
      <c r="P35" s="20" t="n">
        <v>0</v>
      </c>
      <c r="Q35" s="18" t="n">
        <v>1.11576684</v>
      </c>
      <c r="R35" s="20" t="n">
        <v>0.25116868</v>
      </c>
    </row>
    <row r="36" spans="1:18">
      <c r="A36" s="15" t="s">
        <v>594</v>
      </c>
      <c r="B36" s="17" t="n">
        <v>6736</v>
      </c>
      <c r="C36" s="18">
        <f>(5267.0/B36*100)</f>
        <v/>
      </c>
      <c r="D36" s="19" t="n">
        <v>1469</v>
      </c>
      <c r="E36" s="18" t="n">
        <v>9.482549929999999</v>
      </c>
      <c r="F36" s="20" t="n">
        <v>0.82785308</v>
      </c>
      <c r="G36" s="18" t="n">
        <v>89.33976283</v>
      </c>
      <c r="H36" s="20" t="n">
        <v>0.8786437499999999</v>
      </c>
      <c r="I36" s="18" t="n">
        <v>0</v>
      </c>
      <c r="J36" s="20" t="n">
        <v>0</v>
      </c>
      <c r="K36" s="18" t="n">
        <v>0.32831086</v>
      </c>
      <c r="L36" s="20" t="n">
        <v>0.17740516</v>
      </c>
      <c r="M36" s="18" t="n">
        <v>0</v>
      </c>
      <c r="N36" s="20" t="n">
        <v>0</v>
      </c>
      <c r="O36" s="18" t="n">
        <v>0</v>
      </c>
      <c r="P36" s="20" t="n">
        <v>0</v>
      </c>
      <c r="Q36" s="18" t="n">
        <v>0.84937638</v>
      </c>
      <c r="R36" s="20" t="n">
        <v>0.23066784</v>
      </c>
    </row>
    <row r="37" spans="1:18">
      <c r="A37" s="15" t="s">
        <v>595</v>
      </c>
      <c r="B37" s="17" t="n">
        <v>5458</v>
      </c>
      <c r="C37" s="18">
        <f>(4292.0/B37*100)</f>
        <v/>
      </c>
      <c r="D37" s="19" t="n">
        <v>1166</v>
      </c>
      <c r="E37" s="18" t="n">
        <v>10.52454072</v>
      </c>
      <c r="F37" s="20" t="n">
        <v>0.90108171</v>
      </c>
      <c r="G37" s="18" t="n">
        <v>86.64162331</v>
      </c>
      <c r="H37" s="20" t="n">
        <v>0.89317323</v>
      </c>
      <c r="I37" s="18" t="n">
        <v>0</v>
      </c>
      <c r="J37" s="20" t="n">
        <v>0</v>
      </c>
      <c r="K37" s="18" t="n">
        <v>1.22050846</v>
      </c>
      <c r="L37" s="20" t="n">
        <v>0.2641394</v>
      </c>
      <c r="M37" s="18" t="n">
        <v>0</v>
      </c>
      <c r="N37" s="20" t="n">
        <v>0</v>
      </c>
      <c r="O37" s="18" t="n">
        <v>0</v>
      </c>
      <c r="P37" s="20" t="n">
        <v>0</v>
      </c>
      <c r="Q37" s="18" t="n">
        <v>1.61332751</v>
      </c>
      <c r="R37" s="20" t="n">
        <v>0.37569408</v>
      </c>
    </row>
    <row r="38" spans="1:18">
      <c r="A38" s="15" t="s">
        <v>596</v>
      </c>
      <c r="B38" s="17" t="n">
        <v>5860</v>
      </c>
      <c r="C38" s="18">
        <f>(4519.0/B38*100)</f>
        <v/>
      </c>
      <c r="D38" s="19" t="n">
        <v>1341</v>
      </c>
      <c r="E38" s="18" t="n">
        <v>13.5364028</v>
      </c>
      <c r="F38" s="20" t="n">
        <v>1.10810596</v>
      </c>
      <c r="G38" s="18" t="n">
        <v>85.18289387</v>
      </c>
      <c r="H38" s="20" t="n">
        <v>1.12502756</v>
      </c>
      <c r="I38" s="18" t="n">
        <v>0</v>
      </c>
      <c r="J38" s="20" t="n">
        <v>0</v>
      </c>
      <c r="K38" s="18" t="n">
        <v>0.56420504</v>
      </c>
      <c r="L38" s="20" t="n">
        <v>0.21265533</v>
      </c>
      <c r="M38" s="18" t="n">
        <v>0</v>
      </c>
      <c r="N38" s="20" t="n">
        <v>0</v>
      </c>
      <c r="O38" s="18" t="n">
        <v>0</v>
      </c>
      <c r="P38" s="20" t="n">
        <v>0</v>
      </c>
      <c r="Q38" s="18" t="n">
        <v>0.71649829</v>
      </c>
      <c r="R38" s="20" t="n">
        <v>0.1948554</v>
      </c>
    </row>
    <row r="39" spans="1:18">
      <c r="A39" s="15" t="s">
        <v>597</v>
      </c>
      <c r="B39" s="17" t="n">
        <v>5895</v>
      </c>
      <c r="C39" s="18">
        <f>(4593.0/B39*100)</f>
        <v/>
      </c>
      <c r="D39" s="19" t="n">
        <v>1302</v>
      </c>
      <c r="E39" s="18" t="n">
        <v>33.45211615</v>
      </c>
      <c r="F39" s="20" t="n">
        <v>1.42310772</v>
      </c>
      <c r="G39" s="18" t="n">
        <v>65.08491835</v>
      </c>
      <c r="H39" s="20" t="n">
        <v>1.47728264</v>
      </c>
      <c r="I39" s="18" t="n">
        <v>0</v>
      </c>
      <c r="J39" s="20" t="n">
        <v>0</v>
      </c>
      <c r="K39" s="18" t="n">
        <v>0.17044556</v>
      </c>
      <c r="L39" s="20" t="n">
        <v>0.12167669</v>
      </c>
      <c r="M39" s="18" t="n">
        <v>0</v>
      </c>
      <c r="N39" s="20" t="n">
        <v>0</v>
      </c>
      <c r="O39" s="18" t="n">
        <v>0</v>
      </c>
      <c r="P39" s="20" t="n">
        <v>0</v>
      </c>
      <c r="Q39" s="18" t="n">
        <v>1.29251994</v>
      </c>
      <c r="R39" s="20" t="n">
        <v>0.39351278</v>
      </c>
    </row>
    <row r="40" spans="1:18">
      <c r="A40" s="15" t="s">
        <v>598</v>
      </c>
      <c r="B40" s="17" t="n">
        <v>14157</v>
      </c>
      <c r="C40" s="18">
        <f>(10981.0/B40*100)</f>
        <v/>
      </c>
      <c r="D40" s="19" t="n">
        <v>3176</v>
      </c>
      <c r="E40" s="18" t="n">
        <v>11.77291289</v>
      </c>
      <c r="F40" s="20" t="n">
        <v>0.88559146</v>
      </c>
      <c r="G40" s="18" t="n">
        <v>86.44831954999999</v>
      </c>
      <c r="H40" s="20" t="n">
        <v>0.92661756</v>
      </c>
      <c r="I40" s="18" t="n">
        <v>0</v>
      </c>
      <c r="J40" s="20" t="n">
        <v>0</v>
      </c>
      <c r="K40" s="18" t="n">
        <v>0.42705002</v>
      </c>
      <c r="L40" s="20" t="n">
        <v>0.16763558</v>
      </c>
      <c r="M40" s="18" t="n">
        <v>0</v>
      </c>
      <c r="N40" s="20" t="n">
        <v>0</v>
      </c>
      <c r="O40" s="18" t="n">
        <v>0</v>
      </c>
      <c r="P40" s="20" t="n">
        <v>0</v>
      </c>
      <c r="Q40" s="18" t="n">
        <v>1.35171754</v>
      </c>
      <c r="R40" s="20" t="n">
        <v>0.30177243</v>
      </c>
    </row>
    <row r="41" spans="1:18">
      <c r="A41" s="15" t="s">
        <v>599</v>
      </c>
      <c r="B41" s="17" t="n">
        <v>5712</v>
      </c>
      <c r="C41" s="18">
        <f>(4527.0/B41*100)</f>
        <v/>
      </c>
      <c r="D41" s="19" t="n">
        <v>1185</v>
      </c>
      <c r="E41" s="18" t="n">
        <v>16.03076164</v>
      </c>
      <c r="F41" s="20" t="n">
        <v>1.22536319</v>
      </c>
      <c r="G41" s="18" t="n">
        <v>82.68885951999999</v>
      </c>
      <c r="H41" s="20" t="n">
        <v>1.26370566</v>
      </c>
      <c r="I41" s="18" t="n">
        <v>0</v>
      </c>
      <c r="J41" s="20" t="n">
        <v>0</v>
      </c>
      <c r="K41" s="18" t="n">
        <v>0.31743437</v>
      </c>
      <c r="L41" s="20" t="n">
        <v>0.17364189</v>
      </c>
      <c r="M41" s="18" t="n">
        <v>0</v>
      </c>
      <c r="N41" s="20" t="n">
        <v>0</v>
      </c>
      <c r="O41" s="18" t="n">
        <v>0</v>
      </c>
      <c r="P41" s="20" t="n">
        <v>0</v>
      </c>
      <c r="Q41" s="18" t="n">
        <v>0.96294446</v>
      </c>
      <c r="R41" s="20" t="n">
        <v>0.28192863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(19181.0/B46*100)</f>
        <v/>
      </c>
      <c r="D46" s="19" t="n">
        <v>3960</v>
      </c>
      <c r="E46" s="18" t="n">
        <v>21.36495842</v>
      </c>
      <c r="F46" s="20" t="n">
        <v>1.03158076</v>
      </c>
      <c r="G46" s="18" t="n">
        <v>74.74236294000001</v>
      </c>
      <c r="H46" s="20" t="n">
        <v>1.1289929</v>
      </c>
      <c r="I46" s="18" t="n">
        <v>0</v>
      </c>
      <c r="J46" s="20" t="n">
        <v>0</v>
      </c>
      <c r="K46" s="18" t="n">
        <v>1.87566963</v>
      </c>
      <c r="L46" s="20" t="n">
        <v>0.40005424</v>
      </c>
      <c r="M46" s="18" t="n">
        <v>0</v>
      </c>
      <c r="N46" s="20" t="n">
        <v>0</v>
      </c>
      <c r="O46" s="18" t="n">
        <v>0</v>
      </c>
      <c r="P46" s="20" t="n">
        <v>0</v>
      </c>
      <c r="Q46" s="18" t="n">
        <v>2.01700901</v>
      </c>
      <c r="R46" s="20" t="n">
        <v>0.30846548</v>
      </c>
    </row>
    <row r="47" spans="1:18">
      <c r="A47" s="15" t="s">
        <v>606</v>
      </c>
      <c r="B47" s="17" t="n">
        <v>5928</v>
      </c>
      <c r="C47" s="18">
        <f>(4652.0/B47*100)</f>
        <v/>
      </c>
      <c r="D47" s="19" t="n">
        <v>1276</v>
      </c>
      <c r="E47" s="18" t="n">
        <v>25.27345458</v>
      </c>
      <c r="F47" s="20" t="n">
        <v>1.31978166</v>
      </c>
      <c r="G47" s="18" t="n">
        <v>72.52728856</v>
      </c>
      <c r="H47" s="20" t="n">
        <v>1.41576173</v>
      </c>
      <c r="I47" s="18" t="n">
        <v>0</v>
      </c>
      <c r="J47" s="20" t="n">
        <v>0</v>
      </c>
      <c r="K47" s="18" t="n">
        <v>0.92611343</v>
      </c>
      <c r="L47" s="20" t="n">
        <v>0.229506</v>
      </c>
      <c r="M47" s="18" t="n">
        <v>0</v>
      </c>
      <c r="N47" s="20" t="n">
        <v>0</v>
      </c>
      <c r="O47" s="18" t="n">
        <v>0</v>
      </c>
      <c r="P47" s="20" t="n">
        <v>0</v>
      </c>
      <c r="Q47" s="18" t="n">
        <v>1.27314343</v>
      </c>
      <c r="R47" s="20" t="n">
        <v>0.34630301</v>
      </c>
    </row>
    <row r="48" spans="1:18">
      <c r="A48" s="15" t="s">
        <v>607</v>
      </c>
      <c r="B48" s="17" t="n">
        <v>9841</v>
      </c>
      <c r="C48" s="18">
        <f>(7700.0/B48*100)</f>
        <v/>
      </c>
      <c r="D48" s="19" t="n">
        <v>2141</v>
      </c>
      <c r="E48" s="18" t="n">
        <v>8.50677509</v>
      </c>
      <c r="F48" s="20" t="n">
        <v>0.98471155</v>
      </c>
      <c r="G48" s="18" t="n">
        <v>90.21412728</v>
      </c>
      <c r="H48" s="20" t="n">
        <v>1.07114361</v>
      </c>
      <c r="I48" s="18" t="n">
        <v>0</v>
      </c>
      <c r="J48" s="20" t="n">
        <v>0</v>
      </c>
      <c r="K48" s="18" t="n">
        <v>0.7694745200000001</v>
      </c>
      <c r="L48" s="20" t="n">
        <v>0.23077427</v>
      </c>
      <c r="M48" s="18" t="n">
        <v>0</v>
      </c>
      <c r="N48" s="20" t="n">
        <v>0</v>
      </c>
      <c r="O48" s="18" t="n">
        <v>0</v>
      </c>
      <c r="P48" s="20" t="n">
        <v>0</v>
      </c>
      <c r="Q48" s="18" t="n">
        <v>0.50962311</v>
      </c>
      <c r="R48" s="20" t="n">
        <v>0.17779532</v>
      </c>
    </row>
    <row r="49" spans="1:18">
      <c r="A49" s="15" t="s">
        <v>608</v>
      </c>
      <c r="B49" s="17" t="n">
        <v>11795</v>
      </c>
      <c r="C49" s="18">
        <f>(9263.0/B49*100)</f>
        <v/>
      </c>
      <c r="D49" s="19" t="n">
        <v>2532</v>
      </c>
      <c r="E49" s="18" t="n">
        <v>16.5668385</v>
      </c>
      <c r="F49" s="20" t="n">
        <v>1.05517569</v>
      </c>
      <c r="G49" s="18" t="n">
        <v>79.66729546000001</v>
      </c>
      <c r="H49" s="20" t="n">
        <v>1.04687349</v>
      </c>
      <c r="I49" s="18" t="n">
        <v>0</v>
      </c>
      <c r="J49" s="20" t="n">
        <v>0</v>
      </c>
      <c r="K49" s="18" t="n">
        <v>2.38307122</v>
      </c>
      <c r="L49" s="20" t="n">
        <v>0.43583686</v>
      </c>
      <c r="M49" s="18" t="n">
        <v>0</v>
      </c>
      <c r="N49" s="20" t="n">
        <v>0</v>
      </c>
      <c r="O49" s="18" t="n">
        <v>0</v>
      </c>
      <c r="P49" s="20" t="n">
        <v>0</v>
      </c>
      <c r="Q49" s="18" t="n">
        <v>1.38279483</v>
      </c>
      <c r="R49" s="20" t="n">
        <v>0.31704702</v>
      </c>
    </row>
    <row r="50" spans="1:18">
      <c r="A50" s="15" t="s">
        <v>609</v>
      </c>
      <c r="B50" s="17" t="n">
        <v>6866</v>
      </c>
      <c r="C50" s="18">
        <f>(5588.0/B50*100)</f>
        <v/>
      </c>
      <c r="D50" s="19" t="n">
        <v>1278</v>
      </c>
      <c r="E50" s="18" t="n">
        <v>13.21887638</v>
      </c>
      <c r="F50" s="20" t="n">
        <v>1.08344046</v>
      </c>
      <c r="G50" s="18" t="n">
        <v>84.42576898999999</v>
      </c>
      <c r="H50" s="20" t="n">
        <v>1.17834715</v>
      </c>
      <c r="I50" s="18" t="n">
        <v>0</v>
      </c>
      <c r="J50" s="20" t="n">
        <v>0</v>
      </c>
      <c r="K50" s="18" t="n">
        <v>1.37111194</v>
      </c>
      <c r="L50" s="20" t="n">
        <v>0.40916202</v>
      </c>
      <c r="M50" s="18" t="n">
        <v>0</v>
      </c>
      <c r="N50" s="20" t="n">
        <v>0</v>
      </c>
      <c r="O50" s="18" t="n">
        <v>0</v>
      </c>
      <c r="P50" s="20" t="n">
        <v>0</v>
      </c>
      <c r="Q50" s="18" t="n">
        <v>0.98424269</v>
      </c>
      <c r="R50" s="20" t="n">
        <v>0.29545943</v>
      </c>
    </row>
    <row r="51" spans="1:18">
      <c r="A51" s="15" t="s">
        <v>610</v>
      </c>
      <c r="B51" s="17" t="n">
        <v>5809</v>
      </c>
      <c r="C51" s="18">
        <f>(4554.0/B51*100)</f>
        <v/>
      </c>
      <c r="D51" s="19" t="n">
        <v>1255</v>
      </c>
      <c r="E51" s="18" t="n">
        <v>15.42928287</v>
      </c>
      <c r="F51" s="20" t="n">
        <v>0.9469959</v>
      </c>
      <c r="G51" s="18" t="n">
        <v>83.77587763</v>
      </c>
      <c r="H51" s="20" t="n">
        <v>0.89935475</v>
      </c>
      <c r="I51" s="18" t="n">
        <v>0</v>
      </c>
      <c r="J51" s="20" t="n">
        <v>0</v>
      </c>
      <c r="K51" s="18" t="n">
        <v>0.13680125</v>
      </c>
      <c r="L51" s="20" t="n">
        <v>0.09608335</v>
      </c>
      <c r="M51" s="18" t="n">
        <v>0</v>
      </c>
      <c r="N51" s="20" t="n">
        <v>0</v>
      </c>
      <c r="O51" s="18" t="n">
        <v>0</v>
      </c>
      <c r="P51" s="20" t="n">
        <v>0</v>
      </c>
      <c r="Q51" s="18" t="n">
        <v>0.65803825</v>
      </c>
      <c r="R51" s="20" t="n">
        <v>0.27957411</v>
      </c>
    </row>
    <row r="52" spans="1:18">
      <c r="A52" s="15" t="s">
        <v>611</v>
      </c>
      <c r="B52" s="17" t="n">
        <v>5571</v>
      </c>
      <c r="C52" s="18">
        <f>(4358.0/B52*100)</f>
        <v/>
      </c>
      <c r="D52" s="19" t="n">
        <v>1213</v>
      </c>
      <c r="E52" s="18" t="n">
        <v>42.30990536</v>
      </c>
      <c r="F52" s="20" t="n">
        <v>1.32281641</v>
      </c>
      <c r="G52" s="18" t="n">
        <v>55.96500776</v>
      </c>
      <c r="H52" s="20" t="n">
        <v>1.35466702</v>
      </c>
      <c r="I52" s="18" t="n">
        <v>0</v>
      </c>
      <c r="J52" s="20" t="n">
        <v>0</v>
      </c>
      <c r="K52" s="18" t="n">
        <v>0.47401481</v>
      </c>
      <c r="L52" s="20" t="n">
        <v>0.17814237</v>
      </c>
      <c r="M52" s="18" t="n">
        <v>0</v>
      </c>
      <c r="N52" s="20" t="n">
        <v>0</v>
      </c>
      <c r="O52" s="18" t="n">
        <v>0</v>
      </c>
      <c r="P52" s="20" t="n">
        <v>0</v>
      </c>
      <c r="Q52" s="18" t="n">
        <v>1.25107207</v>
      </c>
      <c r="R52" s="20" t="n">
        <v>0.28932977</v>
      </c>
    </row>
    <row r="53" spans="1:18">
      <c r="A53" s="15" t="s">
        <v>612</v>
      </c>
      <c r="B53" s="17" t="n">
        <v>4740</v>
      </c>
      <c r="C53" s="18">
        <f>(3680.0/B53*100)</f>
        <v/>
      </c>
      <c r="D53" s="19" t="n">
        <v>1060</v>
      </c>
      <c r="E53" s="18" t="n">
        <v>21.10450601</v>
      </c>
      <c r="F53" s="20" t="n">
        <v>1.45656736</v>
      </c>
      <c r="G53" s="18" t="n">
        <v>61.32344276</v>
      </c>
      <c r="H53" s="20" t="n">
        <v>1.63266194</v>
      </c>
      <c r="I53" s="18" t="n">
        <v>0</v>
      </c>
      <c r="J53" s="20" t="n">
        <v>0</v>
      </c>
      <c r="K53" s="18" t="n">
        <v>14.83929044</v>
      </c>
      <c r="L53" s="20" t="n">
        <v>1.21132518</v>
      </c>
      <c r="M53" s="18" t="n">
        <v>0</v>
      </c>
      <c r="N53" s="20" t="n">
        <v>0</v>
      </c>
      <c r="O53" s="18" t="n">
        <v>0</v>
      </c>
      <c r="P53" s="20" t="n">
        <v>0</v>
      </c>
      <c r="Q53" s="18" t="n">
        <v>2.73276079</v>
      </c>
      <c r="R53" s="20" t="n">
        <v>0.61288878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(4160.0/B55*100)</f>
        <v/>
      </c>
      <c r="D55" s="19" t="n">
        <v>1199</v>
      </c>
      <c r="E55" s="18" t="n">
        <v>10.73846797</v>
      </c>
      <c r="F55" s="20" t="n">
        <v>1.09345115</v>
      </c>
      <c r="G55" s="18" t="n">
        <v>88.47196965000001</v>
      </c>
      <c r="H55" s="20" t="n">
        <v>1.12354193</v>
      </c>
      <c r="I55" s="18" t="n">
        <v>0</v>
      </c>
      <c r="J55" s="20" t="n">
        <v>0</v>
      </c>
      <c r="K55" s="18" t="n">
        <v>0.29133429</v>
      </c>
      <c r="L55" s="20" t="n">
        <v>0.19350598</v>
      </c>
      <c r="M55" s="18" t="n">
        <v>0</v>
      </c>
      <c r="N55" s="20" t="n">
        <v>0</v>
      </c>
      <c r="O55" s="18" t="n">
        <v>0</v>
      </c>
      <c r="P55" s="20" t="n">
        <v>0</v>
      </c>
      <c r="Q55" s="18" t="n">
        <v>0.4982281</v>
      </c>
      <c r="R55" s="20" t="n">
        <v>0.20589768</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(5098.0/B61*100)</f>
        <v/>
      </c>
      <c r="D61" s="19" t="n">
        <v>1427</v>
      </c>
      <c r="E61" s="18" t="n">
        <v>13.27548318</v>
      </c>
      <c r="F61" s="20" t="n">
        <v>0.93796872</v>
      </c>
      <c r="G61" s="18" t="n">
        <v>85.78478545</v>
      </c>
      <c r="H61" s="20" t="n">
        <v>1.0198881</v>
      </c>
      <c r="I61" s="18" t="n">
        <v>0</v>
      </c>
      <c r="J61" s="20" t="n">
        <v>0</v>
      </c>
      <c r="K61" s="18" t="n">
        <v>0.47740793</v>
      </c>
      <c r="L61" s="20" t="n">
        <v>0.24066949</v>
      </c>
      <c r="M61" s="18" t="n">
        <v>0</v>
      </c>
      <c r="N61" s="20" t="n">
        <v>0</v>
      </c>
      <c r="O61" s="18" t="n">
        <v>0</v>
      </c>
      <c r="P61" s="20" t="n">
        <v>0</v>
      </c>
      <c r="Q61" s="18" t="n">
        <v>0.46232344</v>
      </c>
      <c r="R61" s="20" t="n">
        <v>0.1750695</v>
      </c>
    </row>
    <row r="62" spans="1:18">
      <c r="A62" s="15" t="s">
        <v>622</v>
      </c>
      <c r="B62" s="17" t="n">
        <v>4476</v>
      </c>
      <c r="C62" s="18">
        <f>(3491.0/B62*100)</f>
        <v/>
      </c>
      <c r="D62" s="19" t="n">
        <v>985</v>
      </c>
      <c r="E62" s="18" t="n">
        <v>7.8418299</v>
      </c>
      <c r="F62" s="20" t="n">
        <v>0.85305321</v>
      </c>
      <c r="G62" s="18" t="n">
        <v>92.05730437</v>
      </c>
      <c r="H62" s="20" t="n">
        <v>0.85104714</v>
      </c>
      <c r="I62" s="18" t="n">
        <v>0</v>
      </c>
      <c r="J62" s="20" t="n">
        <v>0</v>
      </c>
      <c r="K62" s="18" t="n">
        <v>0</v>
      </c>
      <c r="L62" s="20" t="n">
        <v>0</v>
      </c>
      <c r="M62" s="18" t="n">
        <v>0</v>
      </c>
      <c r="N62" s="20" t="n">
        <v>0</v>
      </c>
      <c r="O62" s="18" t="n">
        <v>0</v>
      </c>
      <c r="P62" s="20" t="n">
        <v>0</v>
      </c>
      <c r="Q62" s="18" t="n">
        <v>0.10086574</v>
      </c>
      <c r="R62" s="20" t="n">
        <v>0.10120251</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(4483.0/B67*100)</f>
        <v/>
      </c>
      <c r="D67" s="19" t="n">
        <v>1182</v>
      </c>
      <c r="E67" s="18" t="n">
        <v>26.19318473</v>
      </c>
      <c r="F67" s="20" t="n">
        <v>1.35825755</v>
      </c>
      <c r="G67" s="18" t="n">
        <v>69.09001168</v>
      </c>
      <c r="H67" s="20" t="n">
        <v>1.52522174</v>
      </c>
      <c r="I67" s="18" t="n">
        <v>0</v>
      </c>
      <c r="J67" s="20" t="n">
        <v>0</v>
      </c>
      <c r="K67" s="18" t="n">
        <v>0.83248197</v>
      </c>
      <c r="L67" s="20" t="n">
        <v>0.26269148</v>
      </c>
      <c r="M67" s="18" t="n">
        <v>0</v>
      </c>
      <c r="N67" s="20" t="n">
        <v>0</v>
      </c>
      <c r="O67" s="18" t="n">
        <v>0</v>
      </c>
      <c r="P67" s="20" t="n">
        <v>0</v>
      </c>
      <c r="Q67" s="18" t="n">
        <v>3.88432162</v>
      </c>
      <c r="R67" s="20" t="n">
        <v>0.56482694</v>
      </c>
    </row>
    <row r="68" spans="1:18">
      <c r="A68" s="15" t="s">
        <v>628</v>
      </c>
      <c r="B68" s="17" t="n">
        <v>6971</v>
      </c>
      <c r="C68" s="18">
        <f>(5656.0/B68*100)</f>
        <v/>
      </c>
      <c r="D68" s="19" t="n">
        <v>1315</v>
      </c>
      <c r="E68" s="18" t="n">
        <v>19.85464812</v>
      </c>
      <c r="F68" s="20" t="n">
        <v>1.24357454</v>
      </c>
      <c r="G68" s="18" t="n">
        <v>78.49633221000001</v>
      </c>
      <c r="H68" s="20" t="n">
        <v>1.33974348</v>
      </c>
      <c r="I68" s="18" t="n">
        <v>0</v>
      </c>
      <c r="J68" s="20" t="n">
        <v>0</v>
      </c>
      <c r="K68" s="18" t="n">
        <v>0.48085281</v>
      </c>
      <c r="L68" s="20" t="n">
        <v>0.2411575</v>
      </c>
      <c r="M68" s="18" t="n">
        <v>0</v>
      </c>
      <c r="N68" s="20" t="n">
        <v>0</v>
      </c>
      <c r="O68" s="18" t="n">
        <v>0</v>
      </c>
      <c r="P68" s="20" t="n">
        <v>0</v>
      </c>
      <c r="Q68" s="18" t="n">
        <v>1.16816686</v>
      </c>
      <c r="R68" s="20" t="n">
        <v>0.32533935</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(9362.0/B70*100)</f>
        <v/>
      </c>
      <c r="D70" s="19" t="n">
        <v>2721</v>
      </c>
      <c r="E70" s="18" t="n">
        <v>24.26901644</v>
      </c>
      <c r="F70" s="20" t="n">
        <v>0.87765865</v>
      </c>
      <c r="G70" s="18" t="n">
        <v>70.17863122999999</v>
      </c>
      <c r="H70" s="20" t="n">
        <v>0.86078386</v>
      </c>
      <c r="I70" s="18" t="n">
        <v>0</v>
      </c>
      <c r="J70" s="20" t="n">
        <v>0</v>
      </c>
      <c r="K70" s="18" t="n">
        <v>3.0837624</v>
      </c>
      <c r="L70" s="20" t="n">
        <v>0.26749689</v>
      </c>
      <c r="M70" s="18" t="n">
        <v>0</v>
      </c>
      <c r="N70" s="20" t="n">
        <v>0</v>
      </c>
      <c r="O70" s="18" t="n">
        <v>0</v>
      </c>
      <c r="P70" s="20" t="n">
        <v>0</v>
      </c>
      <c r="Q70" s="18" t="n">
        <v>2.46858993</v>
      </c>
      <c r="R70" s="20" t="n">
        <v>0.3066462</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(4756.0/B72*100)</f>
        <v/>
      </c>
      <c r="D72" s="19" t="n">
        <v>1280</v>
      </c>
      <c r="E72" s="18" t="n">
        <v>14.80014917</v>
      </c>
      <c r="F72" s="20" t="n">
        <v>1.41060962</v>
      </c>
      <c r="G72" s="18" t="n">
        <v>83.58326759000001</v>
      </c>
      <c r="H72" s="20" t="n">
        <v>1.50242219</v>
      </c>
      <c r="I72" s="18" t="n">
        <v>0</v>
      </c>
      <c r="J72" s="20" t="n">
        <v>0</v>
      </c>
      <c r="K72" s="18" t="n">
        <v>0.44850925</v>
      </c>
      <c r="L72" s="20" t="n">
        <v>0.14015248</v>
      </c>
      <c r="M72" s="18" t="n">
        <v>0</v>
      </c>
      <c r="N72" s="20" t="n">
        <v>0</v>
      </c>
      <c r="O72" s="18" t="n">
        <v>0</v>
      </c>
      <c r="P72" s="20" t="n">
        <v>0</v>
      </c>
      <c r="Q72" s="18" t="n">
        <v>1.16807399</v>
      </c>
      <c r="R72" s="20" t="n">
        <v>0.37195968</v>
      </c>
    </row>
    <row r="73" spans="1:18">
      <c r="A73" s="15" t="s">
        <v>633</v>
      </c>
      <c r="B73" s="17" t="n">
        <v>6115</v>
      </c>
      <c r="C73" s="18">
        <f>(4796.0/B73*100)</f>
        <v/>
      </c>
      <c r="D73" s="19" t="n">
        <v>1319</v>
      </c>
      <c r="E73" s="18" t="n">
        <v>7.17071467</v>
      </c>
      <c r="F73" s="20" t="n">
        <v>0.71728154</v>
      </c>
      <c r="G73" s="18" t="n">
        <v>92.08767598999999</v>
      </c>
      <c r="H73" s="20" t="n">
        <v>0.7403345</v>
      </c>
      <c r="I73" s="18" t="n">
        <v>0</v>
      </c>
      <c r="J73" s="20" t="n">
        <v>0</v>
      </c>
      <c r="K73" s="18" t="n">
        <v>0.20632554</v>
      </c>
      <c r="L73" s="20" t="n">
        <v>0.12096633</v>
      </c>
      <c r="M73" s="18" t="n">
        <v>0</v>
      </c>
      <c r="N73" s="20" t="n">
        <v>0</v>
      </c>
      <c r="O73" s="18" t="n">
        <v>0</v>
      </c>
      <c r="P73" s="20" t="n">
        <v>0</v>
      </c>
      <c r="Q73" s="18" t="n">
        <v>0.5352838</v>
      </c>
      <c r="R73" s="20" t="n">
        <v>0.1815731</v>
      </c>
    </row>
    <row r="74" spans="1:18">
      <c r="A74" s="15" t="s">
        <v>634</v>
      </c>
      <c r="B74" s="17" t="n">
        <v>7708</v>
      </c>
      <c r="C74" s="18">
        <f>(6067.0/B74*100)</f>
        <v/>
      </c>
      <c r="D74" s="19" t="n">
        <v>1641</v>
      </c>
      <c r="E74" s="18" t="n">
        <v>9.247381839999999</v>
      </c>
      <c r="F74" s="20" t="n">
        <v>0.76001217</v>
      </c>
      <c r="G74" s="18" t="n">
        <v>90.30159041</v>
      </c>
      <c r="H74" s="20" t="n">
        <v>0.76288192</v>
      </c>
      <c r="I74" s="18" t="n">
        <v>0</v>
      </c>
      <c r="J74" s="20" t="n">
        <v>0</v>
      </c>
      <c r="K74" s="18" t="n">
        <v>0.20748204</v>
      </c>
      <c r="L74" s="20" t="n">
        <v>0.15737902</v>
      </c>
      <c r="M74" s="18" t="n">
        <v>0</v>
      </c>
      <c r="N74" s="20" t="n">
        <v>0</v>
      </c>
      <c r="O74" s="18" t="n">
        <v>0</v>
      </c>
      <c r="P74" s="20" t="n">
        <v>0</v>
      </c>
      <c r="Q74" s="18" t="n">
        <v>0.24354571</v>
      </c>
      <c r="R74" s="20" t="n">
        <v>0.12748996</v>
      </c>
    </row>
    <row r="75" spans="1:18">
      <c r="A75" s="15" t="s">
        <v>635</v>
      </c>
      <c r="B75" s="17" t="n">
        <v>8249</v>
      </c>
      <c r="C75" s="18">
        <f>(6485.0/B75*100)</f>
        <v/>
      </c>
      <c r="D75" s="19" t="n">
        <v>1764</v>
      </c>
      <c r="E75" s="18" t="n">
        <v>22.44737765</v>
      </c>
      <c r="F75" s="20" t="n">
        <v>1.30837241</v>
      </c>
      <c r="G75" s="18" t="n">
        <v>76.91034186</v>
      </c>
      <c r="H75" s="20" t="n">
        <v>1.34955018</v>
      </c>
      <c r="I75" s="18" t="n">
        <v>0</v>
      </c>
      <c r="J75" s="20" t="n">
        <v>0</v>
      </c>
      <c r="K75" s="18" t="n">
        <v>0.1608402</v>
      </c>
      <c r="L75" s="20" t="n">
        <v>0.10028354</v>
      </c>
      <c r="M75" s="18" t="n">
        <v>0</v>
      </c>
      <c r="N75" s="20" t="n">
        <v>0</v>
      </c>
      <c r="O75" s="18" t="n">
        <v>0</v>
      </c>
      <c r="P75" s="20" t="n">
        <v>0</v>
      </c>
      <c r="Q75" s="18" t="n">
        <v>0.48144029</v>
      </c>
      <c r="R75" s="20" t="n">
        <v>0.18693433</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(4321.0/B77*100)</f>
        <v/>
      </c>
      <c r="D77" s="19" t="n">
        <v>1054</v>
      </c>
      <c r="E77" s="18" t="n">
        <v>29.61015785</v>
      </c>
      <c r="F77" s="20" t="n">
        <v>1.49418191</v>
      </c>
      <c r="G77" s="18" t="n">
        <v>64.97851439999999</v>
      </c>
      <c r="H77" s="20" t="n">
        <v>1.5473382</v>
      </c>
      <c r="I77" s="18" t="n">
        <v>0</v>
      </c>
      <c r="J77" s="20" t="n">
        <v>0</v>
      </c>
      <c r="K77" s="18" t="n">
        <v>3.2569764</v>
      </c>
      <c r="L77" s="20" t="n">
        <v>0.62733586</v>
      </c>
      <c r="M77" s="18" t="n">
        <v>0</v>
      </c>
      <c r="N77" s="20" t="n">
        <v>0</v>
      </c>
      <c r="O77" s="18" t="n">
        <v>0</v>
      </c>
      <c r="P77" s="20" t="n">
        <v>0</v>
      </c>
      <c r="Q77" s="18" t="n">
        <v>2.15435135</v>
      </c>
      <c r="R77" s="20" t="n">
        <v>0.42703257</v>
      </c>
    </row>
    <row r="78" spans="1:18">
      <c r="A78" s="15" t="s">
        <v>638</v>
      </c>
      <c r="B78" s="17" t="n">
        <v>14167</v>
      </c>
      <c r="C78" s="18">
        <f>(11032.0/B78*100)</f>
        <v/>
      </c>
      <c r="D78" s="19" t="n">
        <v>3135</v>
      </c>
      <c r="E78" s="18" t="n">
        <v>19.2737886</v>
      </c>
      <c r="F78" s="20" t="n">
        <v>0.88350298</v>
      </c>
      <c r="G78" s="18" t="n">
        <v>77.66304104</v>
      </c>
      <c r="H78" s="20" t="n">
        <v>0.8869506700000001</v>
      </c>
      <c r="I78" s="18" t="n">
        <v>0</v>
      </c>
      <c r="J78" s="20" t="n">
        <v>0</v>
      </c>
      <c r="K78" s="18" t="n">
        <v>1.40612568</v>
      </c>
      <c r="L78" s="20" t="n">
        <v>0.25469899</v>
      </c>
      <c r="M78" s="18" t="n">
        <v>0</v>
      </c>
      <c r="N78" s="20" t="n">
        <v>0</v>
      </c>
      <c r="O78" s="18" t="n">
        <v>0</v>
      </c>
      <c r="P78" s="20" t="n">
        <v>0</v>
      </c>
      <c r="Q78" s="18" t="n">
        <v>1.65704468</v>
      </c>
      <c r="R78" s="20" t="n">
        <v>0.25513828</v>
      </c>
    </row>
    <row r="79" spans="1:18">
      <c r="A79" s="15" t="s">
        <v>639</v>
      </c>
      <c r="B79" s="17" t="n">
        <v>6062</v>
      </c>
      <c r="C79" s="18">
        <f>(4763.0/B79*100)</f>
        <v/>
      </c>
      <c r="D79" s="19" t="n">
        <v>1299</v>
      </c>
      <c r="E79" s="18" t="n">
        <v>15.16915409</v>
      </c>
      <c r="F79" s="20" t="n">
        <v>1.00300642</v>
      </c>
      <c r="G79" s="18" t="n">
        <v>82.09104823</v>
      </c>
      <c r="H79" s="20" t="n">
        <v>1.12225524</v>
      </c>
      <c r="I79" s="18" t="n">
        <v>0</v>
      </c>
      <c r="J79" s="20" t="n">
        <v>0</v>
      </c>
      <c r="K79" s="18" t="n">
        <v>1.15969265</v>
      </c>
      <c r="L79" s="20" t="n">
        <v>0.29598684</v>
      </c>
      <c r="M79" s="18" t="n">
        <v>0</v>
      </c>
      <c r="N79" s="20" t="n">
        <v>0</v>
      </c>
      <c r="O79" s="18" t="n">
        <v>0</v>
      </c>
      <c r="P79" s="20" t="n">
        <v>0</v>
      </c>
      <c r="Q79" s="18" t="n">
        <v>1.58010503</v>
      </c>
      <c r="R79" s="20" t="n">
        <v>0.40468516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(25246.0/B82*100)</f>
        <v/>
      </c>
      <c r="D82" s="19" t="n">
        <v>7084</v>
      </c>
      <c r="E82" s="18" t="n">
        <v>9.175519769999999</v>
      </c>
      <c r="F82" s="20" t="n">
        <v>0.58964123</v>
      </c>
      <c r="G82" s="18" t="n">
        <v>89.49139277</v>
      </c>
      <c r="H82" s="20" t="n">
        <v>0.64046003</v>
      </c>
      <c r="I82" s="18" t="n">
        <v>0</v>
      </c>
      <c r="J82" s="20" t="n">
        <v>0</v>
      </c>
      <c r="K82" s="18" t="n">
        <v>0.37759672</v>
      </c>
      <c r="L82" s="20" t="n">
        <v>0.09671957</v>
      </c>
      <c r="M82" s="18" t="n">
        <v>0</v>
      </c>
      <c r="N82" s="20" t="n">
        <v>0</v>
      </c>
      <c r="O82" s="18" t="n">
        <v>0</v>
      </c>
      <c r="P82" s="20" t="n">
        <v>0</v>
      </c>
      <c r="Q82" s="18" t="n">
        <v>0.95549074</v>
      </c>
      <c r="R82" s="20" t="n">
        <v>0.18774561</v>
      </c>
    </row>
    <row r="83" spans="1:18">
      <c r="A83" s="15" t="s">
        <v>643</v>
      </c>
      <c r="B83" s="17" t="n">
        <v>1652</v>
      </c>
      <c r="C83" s="18">
        <f>(1294.0/B83*100)</f>
        <v/>
      </c>
      <c r="D83" s="19" t="n">
        <v>358</v>
      </c>
      <c r="E83" s="18" t="n">
        <v>11.23487721</v>
      </c>
      <c r="F83" s="20" t="n">
        <v>2.19563328</v>
      </c>
      <c r="G83" s="18" t="n">
        <v>88.27213639</v>
      </c>
      <c r="H83" s="20" t="n">
        <v>2.2977796</v>
      </c>
      <c r="I83" s="18" t="n">
        <v>0</v>
      </c>
      <c r="J83" s="20" t="n">
        <v>0</v>
      </c>
      <c r="K83" s="18" t="n">
        <v>0.25710337</v>
      </c>
      <c r="L83" s="20" t="n">
        <v>0.25827382</v>
      </c>
      <c r="M83" s="18" t="n">
        <v>0</v>
      </c>
      <c r="N83" s="20" t="n">
        <v>0</v>
      </c>
      <c r="O83" s="18" t="n">
        <v>0</v>
      </c>
      <c r="P83" s="20" t="n">
        <v>0</v>
      </c>
      <c r="Q83" s="18" t="n">
        <v>0.23588303</v>
      </c>
      <c r="R83" s="20" t="n">
        <v>0.22861778</v>
      </c>
    </row>
    <row r="84" spans="1:18">
      <c r="A84" s="23" t="s">
        <v>644</v>
      </c>
      <c r="B84" s="24" t="n">
        <v>1887</v>
      </c>
      <c r="C84" s="25">
        <f>(1505.0/B84*100)</f>
        <v/>
      </c>
      <c r="D84" s="19" t="n">
        <v>382</v>
      </c>
      <c r="E84" s="18" t="n">
        <v>13.8828513</v>
      </c>
      <c r="F84" s="20" t="n">
        <v>1.82418809</v>
      </c>
      <c r="G84" s="18" t="n">
        <v>85.60127984</v>
      </c>
      <c r="H84" s="20" t="n">
        <v>1.91068435</v>
      </c>
      <c r="I84" s="18" t="n">
        <v>0</v>
      </c>
      <c r="J84" s="20" t="n">
        <v>0</v>
      </c>
      <c r="K84" s="18" t="n">
        <v>0.27394934</v>
      </c>
      <c r="L84" s="20" t="n">
        <v>0.27319448</v>
      </c>
      <c r="M84" s="18" t="n">
        <v>0</v>
      </c>
      <c r="N84" s="20" t="n">
        <v>0</v>
      </c>
      <c r="O84" s="18" t="n">
        <v>0</v>
      </c>
      <c r="P84" s="20" t="n">
        <v>0</v>
      </c>
      <c r="Q84" s="18" t="n">
        <v>0.24191952</v>
      </c>
      <c r="R84" s="20" t="n">
        <v>0.24465264</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(11434.0/B7*100)</f>
        <v/>
      </c>
      <c r="D7" s="19" t="n">
        <v>3096</v>
      </c>
      <c r="E7" s="18" t="n">
        <v>51.65727885</v>
      </c>
      <c r="F7" s="20" t="n">
        <v>0.93063007</v>
      </c>
      <c r="G7" s="18" t="n">
        <v>45.58071588</v>
      </c>
      <c r="H7" s="20" t="n">
        <v>0.98717755</v>
      </c>
      <c r="I7" s="18" t="n">
        <v>0</v>
      </c>
      <c r="J7" s="20" t="n">
        <v>0</v>
      </c>
      <c r="K7" s="18" t="n">
        <v>1.0110131</v>
      </c>
      <c r="L7" s="20" t="n">
        <v>0.22532199</v>
      </c>
      <c r="M7" s="18" t="n">
        <v>0</v>
      </c>
      <c r="N7" s="20" t="n">
        <v>0</v>
      </c>
      <c r="O7" s="18" t="n">
        <v>0</v>
      </c>
      <c r="P7" s="20" t="n">
        <v>0</v>
      </c>
      <c r="Q7" s="18" t="n">
        <v>1.75099216</v>
      </c>
      <c r="R7" s="20" t="n">
        <v>0.27727265</v>
      </c>
    </row>
    <row r="8" spans="1:18">
      <c r="A8" s="15" t="s">
        <v>566</v>
      </c>
      <c r="B8" s="17" t="n">
        <v>7007</v>
      </c>
      <c r="C8" s="18">
        <f>(5462.0/B8*100)</f>
        <v/>
      </c>
      <c r="D8" s="19" t="n">
        <v>1545</v>
      </c>
      <c r="E8" s="18" t="n">
        <v>40.31290354</v>
      </c>
      <c r="F8" s="20" t="n">
        <v>1.45595961</v>
      </c>
      <c r="G8" s="18" t="n">
        <v>58.15392283</v>
      </c>
      <c r="H8" s="20" t="n">
        <v>1.4693323</v>
      </c>
      <c r="I8" s="18" t="n">
        <v>0</v>
      </c>
      <c r="J8" s="20" t="n">
        <v>0</v>
      </c>
      <c r="K8" s="18" t="n">
        <v>0.21059291</v>
      </c>
      <c r="L8" s="20" t="n">
        <v>0.12116579</v>
      </c>
      <c r="M8" s="18" t="n">
        <v>0</v>
      </c>
      <c r="N8" s="20" t="n">
        <v>0</v>
      </c>
      <c r="O8" s="18" t="n">
        <v>0</v>
      </c>
      <c r="P8" s="20" t="n">
        <v>0</v>
      </c>
      <c r="Q8" s="18" t="n">
        <v>1.32258072</v>
      </c>
      <c r="R8" s="20" t="n">
        <v>0.36039831</v>
      </c>
    </row>
    <row r="9" spans="1:18">
      <c r="A9" s="15" t="s">
        <v>567</v>
      </c>
      <c r="B9" s="17" t="n">
        <v>9651</v>
      </c>
      <c r="C9" s="18">
        <f>(7601.0/B9*100)</f>
        <v/>
      </c>
      <c r="D9" s="19" t="n">
        <v>2050</v>
      </c>
      <c r="E9" s="18" t="n">
        <v>50.12834183</v>
      </c>
      <c r="F9" s="20" t="n">
        <v>1.32754889</v>
      </c>
      <c r="G9" s="18" t="n">
        <v>47.48866471</v>
      </c>
      <c r="H9" s="20" t="n">
        <v>1.28348519</v>
      </c>
      <c r="I9" s="18" t="n">
        <v>0</v>
      </c>
      <c r="J9" s="20" t="n">
        <v>0</v>
      </c>
      <c r="K9" s="18" t="n">
        <v>0.7344374</v>
      </c>
      <c r="L9" s="20" t="n">
        <v>0.23431819</v>
      </c>
      <c r="M9" s="18" t="n">
        <v>0</v>
      </c>
      <c r="N9" s="20" t="n">
        <v>0</v>
      </c>
      <c r="O9" s="18" t="n">
        <v>0</v>
      </c>
      <c r="P9" s="20" t="n">
        <v>0</v>
      </c>
      <c r="Q9" s="18" t="n">
        <v>1.64855607</v>
      </c>
      <c r="R9" s="20" t="n">
        <v>0.30223189</v>
      </c>
    </row>
    <row r="10" spans="1:18">
      <c r="A10" s="15" t="s">
        <v>568</v>
      </c>
      <c r="B10" s="17" t="n">
        <v>20058</v>
      </c>
      <c r="C10" s="18">
        <f>(15636.0/B10*100)</f>
        <v/>
      </c>
      <c r="D10" s="19" t="n">
        <v>4422</v>
      </c>
      <c r="E10" s="18" t="n">
        <v>41.86225221</v>
      </c>
      <c r="F10" s="20" t="n">
        <v>1.2389786</v>
      </c>
      <c r="G10" s="18" t="n">
        <v>56.12728096</v>
      </c>
      <c r="H10" s="20" t="n">
        <v>1.2494984</v>
      </c>
      <c r="I10" s="18" t="n">
        <v>0</v>
      </c>
      <c r="J10" s="20" t="n">
        <v>0</v>
      </c>
      <c r="K10" s="18" t="n">
        <v>0.84531034</v>
      </c>
      <c r="L10" s="20" t="n">
        <v>0.20640677</v>
      </c>
      <c r="M10" s="18" t="n">
        <v>0</v>
      </c>
      <c r="N10" s="20" t="n">
        <v>0</v>
      </c>
      <c r="O10" s="18" t="n">
        <v>0</v>
      </c>
      <c r="P10" s="20" t="n">
        <v>0</v>
      </c>
      <c r="Q10" s="18" t="n">
        <v>1.16515649</v>
      </c>
      <c r="R10" s="20" t="n">
        <v>0.2046672</v>
      </c>
    </row>
    <row r="11" spans="1:18">
      <c r="A11" s="15" t="s">
        <v>569</v>
      </c>
      <c r="B11" s="17" t="n">
        <v>7053</v>
      </c>
      <c r="C11" s="18">
        <f>(5518.0/B11*100)</f>
        <v/>
      </c>
      <c r="D11" s="19" t="n">
        <v>1535</v>
      </c>
      <c r="E11" s="18" t="n">
        <v>51.47611484</v>
      </c>
      <c r="F11" s="20" t="n">
        <v>1.60150791</v>
      </c>
      <c r="G11" s="18" t="n">
        <v>41.91275648</v>
      </c>
      <c r="H11" s="20" t="n">
        <v>1.61424922</v>
      </c>
      <c r="I11" s="18" t="n">
        <v>0</v>
      </c>
      <c r="J11" s="20" t="n">
        <v>0</v>
      </c>
      <c r="K11" s="18" t="n">
        <v>1.09279143</v>
      </c>
      <c r="L11" s="20" t="n">
        <v>0.26303799</v>
      </c>
      <c r="M11" s="18" t="n">
        <v>0</v>
      </c>
      <c r="N11" s="20" t="n">
        <v>0</v>
      </c>
      <c r="O11" s="18" t="n">
        <v>0</v>
      </c>
      <c r="P11" s="20" t="n">
        <v>0</v>
      </c>
      <c r="Q11" s="18" t="n">
        <v>5.51833725</v>
      </c>
      <c r="R11" s="20" t="n">
        <v>0.66374118</v>
      </c>
    </row>
    <row r="12" spans="1:18">
      <c r="A12" s="15" t="s">
        <v>570</v>
      </c>
      <c r="B12" s="17" t="n">
        <v>6894</v>
      </c>
      <c r="C12" s="18">
        <f>(5423.0/B12*100)</f>
        <v/>
      </c>
      <c r="D12" s="19" t="n">
        <v>1471</v>
      </c>
      <c r="E12" s="18" t="n">
        <v>50.90844038</v>
      </c>
      <c r="F12" s="20" t="n">
        <v>1.79979982</v>
      </c>
      <c r="G12" s="18" t="n">
        <v>46.53530097</v>
      </c>
      <c r="H12" s="20" t="n">
        <v>1.7769878</v>
      </c>
      <c r="I12" s="18" t="n">
        <v>0</v>
      </c>
      <c r="J12" s="20" t="n">
        <v>0</v>
      </c>
      <c r="K12" s="18" t="n">
        <v>0.22249946</v>
      </c>
      <c r="L12" s="20" t="n">
        <v>0.11148234</v>
      </c>
      <c r="M12" s="18" t="n">
        <v>0</v>
      </c>
      <c r="N12" s="20" t="n">
        <v>0</v>
      </c>
      <c r="O12" s="18" t="n">
        <v>0</v>
      </c>
      <c r="P12" s="20" t="n">
        <v>0</v>
      </c>
      <c r="Q12" s="18" t="n">
        <v>2.33375918</v>
      </c>
      <c r="R12" s="20" t="n">
        <v>0.55783941</v>
      </c>
    </row>
    <row r="13" spans="1:18">
      <c r="A13" s="15" t="s">
        <v>571</v>
      </c>
      <c r="B13" s="17" t="n">
        <v>7161</v>
      </c>
      <c r="C13" s="18">
        <f>(5720.0/B13*100)</f>
        <v/>
      </c>
      <c r="D13" s="19" t="n">
        <v>1441</v>
      </c>
      <c r="E13" s="18" t="n">
        <v>63.92930433</v>
      </c>
      <c r="F13" s="20" t="n">
        <v>1.34582969</v>
      </c>
      <c r="G13" s="18" t="n">
        <v>33.11766033</v>
      </c>
      <c r="H13" s="20" t="n">
        <v>1.37106998</v>
      </c>
      <c r="I13" s="18" t="n">
        <v>0</v>
      </c>
      <c r="J13" s="20" t="n">
        <v>0</v>
      </c>
      <c r="K13" s="18" t="n">
        <v>1.16349409</v>
      </c>
      <c r="L13" s="20" t="n">
        <v>0.27687644</v>
      </c>
      <c r="M13" s="18" t="n">
        <v>0</v>
      </c>
      <c r="N13" s="20" t="n">
        <v>0</v>
      </c>
      <c r="O13" s="18" t="n">
        <v>0</v>
      </c>
      <c r="P13" s="20" t="n">
        <v>0</v>
      </c>
      <c r="Q13" s="18" t="n">
        <v>1.78954126</v>
      </c>
      <c r="R13" s="20" t="n">
        <v>0.36859089</v>
      </c>
    </row>
    <row r="14" spans="1:18">
      <c r="A14" s="15" t="s">
        <v>572</v>
      </c>
      <c r="B14" s="17" t="n">
        <v>5587</v>
      </c>
      <c r="C14" s="18">
        <f>(4335.0/B14*100)</f>
        <v/>
      </c>
      <c r="D14" s="19" t="n">
        <v>1252</v>
      </c>
      <c r="E14" s="18" t="n">
        <v>31.43531644</v>
      </c>
      <c r="F14" s="20" t="n">
        <v>1.50757678</v>
      </c>
      <c r="G14" s="18" t="n">
        <v>67.31142749</v>
      </c>
      <c r="H14" s="20" t="n">
        <v>1.5886324</v>
      </c>
      <c r="I14" s="18" t="n">
        <v>0</v>
      </c>
      <c r="J14" s="20" t="n">
        <v>0</v>
      </c>
      <c r="K14" s="18" t="n">
        <v>0.41275331</v>
      </c>
      <c r="L14" s="20" t="n">
        <v>0.17003425</v>
      </c>
      <c r="M14" s="18" t="n">
        <v>0</v>
      </c>
      <c r="N14" s="20" t="n">
        <v>0</v>
      </c>
      <c r="O14" s="18" t="n">
        <v>0</v>
      </c>
      <c r="P14" s="20" t="n">
        <v>0</v>
      </c>
      <c r="Q14" s="18" t="n">
        <v>0.84050276</v>
      </c>
      <c r="R14" s="20" t="n">
        <v>0.33613313</v>
      </c>
    </row>
    <row r="15" spans="1:18">
      <c r="A15" s="15" t="s">
        <v>573</v>
      </c>
      <c r="B15" s="17" t="n">
        <v>5882</v>
      </c>
      <c r="C15" s="18">
        <f>(4531.0/B15*100)</f>
        <v/>
      </c>
      <c r="D15" s="19" t="n">
        <v>1351</v>
      </c>
      <c r="E15" s="18" t="n">
        <v>64.93538074</v>
      </c>
      <c r="F15" s="20" t="n">
        <v>1.36378722</v>
      </c>
      <c r="G15" s="18" t="n">
        <v>33.449958</v>
      </c>
      <c r="H15" s="20" t="n">
        <v>1.3472097</v>
      </c>
      <c r="I15" s="18" t="n">
        <v>0</v>
      </c>
      <c r="J15" s="20" t="n">
        <v>0</v>
      </c>
      <c r="K15" s="18" t="n">
        <v>0.16270859</v>
      </c>
      <c r="L15" s="20" t="n">
        <v>0.12316819</v>
      </c>
      <c r="M15" s="18" t="n">
        <v>0</v>
      </c>
      <c r="N15" s="20" t="n">
        <v>0</v>
      </c>
      <c r="O15" s="18" t="n">
        <v>0</v>
      </c>
      <c r="P15" s="20" t="n">
        <v>0</v>
      </c>
      <c r="Q15" s="18" t="n">
        <v>1.45195266</v>
      </c>
      <c r="R15" s="20" t="n">
        <v>0.35386484</v>
      </c>
    </row>
    <row r="16" spans="1:18">
      <c r="A16" s="15" t="s">
        <v>574</v>
      </c>
      <c r="B16" s="17" t="n">
        <v>6108</v>
      </c>
      <c r="C16" s="18">
        <f>(4770.0/B16*100)</f>
        <v/>
      </c>
      <c r="D16" s="19" t="n">
        <v>1338</v>
      </c>
      <c r="E16" s="18" t="n">
        <v>45.2735001</v>
      </c>
      <c r="F16" s="20" t="n">
        <v>1.16730319</v>
      </c>
      <c r="G16" s="18" t="n">
        <v>49.80353936</v>
      </c>
      <c r="H16" s="20" t="n">
        <v>1.35785848</v>
      </c>
      <c r="I16" s="18" t="n">
        <v>0</v>
      </c>
      <c r="J16" s="20" t="n">
        <v>0</v>
      </c>
      <c r="K16" s="18" t="n">
        <v>1.88633761</v>
      </c>
      <c r="L16" s="20" t="n">
        <v>0.38809747</v>
      </c>
      <c r="M16" s="18" t="n">
        <v>0</v>
      </c>
      <c r="N16" s="20" t="n">
        <v>0</v>
      </c>
      <c r="O16" s="18" t="n">
        <v>0</v>
      </c>
      <c r="P16" s="20" t="n">
        <v>0</v>
      </c>
      <c r="Q16" s="18" t="n">
        <v>3.03662294</v>
      </c>
      <c r="R16" s="20" t="n">
        <v>0.52989064</v>
      </c>
    </row>
    <row r="17" spans="1:18">
      <c r="A17" s="15" t="s">
        <v>575</v>
      </c>
      <c r="B17" s="17" t="n">
        <v>6504</v>
      </c>
      <c r="C17" s="18">
        <f>(5142.0/B17*100)</f>
        <v/>
      </c>
      <c r="D17" s="19" t="n">
        <v>1362</v>
      </c>
      <c r="E17" s="18" t="n">
        <v>31.59439855</v>
      </c>
      <c r="F17" s="20" t="n">
        <v>1.36459033</v>
      </c>
      <c r="G17" s="18" t="n">
        <v>66.31511961</v>
      </c>
      <c r="H17" s="20" t="n">
        <v>1.31704465</v>
      </c>
      <c r="I17" s="18" t="n">
        <v>0</v>
      </c>
      <c r="J17" s="20" t="n">
        <v>0</v>
      </c>
      <c r="K17" s="18" t="n">
        <v>0.4126939</v>
      </c>
      <c r="L17" s="20" t="n">
        <v>0.18653529</v>
      </c>
      <c r="M17" s="18" t="n">
        <v>0</v>
      </c>
      <c r="N17" s="20" t="n">
        <v>0</v>
      </c>
      <c r="O17" s="18" t="n">
        <v>0</v>
      </c>
      <c r="P17" s="20" t="n">
        <v>0</v>
      </c>
      <c r="Q17" s="18" t="n">
        <v>1.67778795</v>
      </c>
      <c r="R17" s="20" t="n">
        <v>0.30928264</v>
      </c>
    </row>
    <row r="18" spans="1:18">
      <c r="A18" s="15" t="s">
        <v>576</v>
      </c>
      <c r="B18" s="17" t="n">
        <v>5532</v>
      </c>
      <c r="C18" s="18">
        <f>(4330.0/B18*100)</f>
        <v/>
      </c>
      <c r="D18" s="19" t="n">
        <v>1202</v>
      </c>
      <c r="E18" s="18" t="n">
        <v>59.30384249</v>
      </c>
      <c r="F18" s="20" t="n">
        <v>1.31732562</v>
      </c>
      <c r="G18" s="18" t="n">
        <v>36.68667979</v>
      </c>
      <c r="H18" s="20" t="n">
        <v>1.49303647</v>
      </c>
      <c r="I18" s="18" t="n">
        <v>0</v>
      </c>
      <c r="J18" s="20" t="n">
        <v>0</v>
      </c>
      <c r="K18" s="18" t="n">
        <v>0.73821635</v>
      </c>
      <c r="L18" s="20" t="n">
        <v>0.26965144</v>
      </c>
      <c r="M18" s="18" t="n">
        <v>0</v>
      </c>
      <c r="N18" s="20" t="n">
        <v>0</v>
      </c>
      <c r="O18" s="18" t="n">
        <v>0</v>
      </c>
      <c r="P18" s="20" t="n">
        <v>0</v>
      </c>
      <c r="Q18" s="18" t="n">
        <v>3.27126137</v>
      </c>
      <c r="R18" s="20" t="n">
        <v>0.62012261</v>
      </c>
    </row>
    <row r="19" spans="1:18">
      <c r="A19" s="15" t="s">
        <v>577</v>
      </c>
      <c r="B19" s="17" t="n">
        <v>5658</v>
      </c>
      <c r="C19" s="18">
        <f>(4394.0/B19*100)</f>
        <v/>
      </c>
      <c r="D19" s="19" t="n">
        <v>1264</v>
      </c>
      <c r="E19" s="18" t="n">
        <v>49.07354383</v>
      </c>
      <c r="F19" s="20" t="n">
        <v>1.49826675</v>
      </c>
      <c r="G19" s="18" t="n">
        <v>48.52419366</v>
      </c>
      <c r="H19" s="20" t="n">
        <v>1.54633674</v>
      </c>
      <c r="I19" s="18" t="n">
        <v>0</v>
      </c>
      <c r="J19" s="20" t="n">
        <v>0</v>
      </c>
      <c r="K19" s="18" t="n">
        <v>0.32803171</v>
      </c>
      <c r="L19" s="20" t="n">
        <v>0.19660571</v>
      </c>
      <c r="M19" s="18" t="n">
        <v>0</v>
      </c>
      <c r="N19" s="20" t="n">
        <v>0</v>
      </c>
      <c r="O19" s="18" t="n">
        <v>0</v>
      </c>
      <c r="P19" s="20" t="n">
        <v>0</v>
      </c>
      <c r="Q19" s="18" t="n">
        <v>2.0742308</v>
      </c>
      <c r="R19" s="20" t="n">
        <v>0.34244175</v>
      </c>
    </row>
    <row r="20" spans="1:18">
      <c r="A20" s="15" t="s">
        <v>578</v>
      </c>
      <c r="B20" s="17" t="n">
        <v>3371</v>
      </c>
      <c r="C20" s="18">
        <f>(2647.0/B20*100)</f>
        <v/>
      </c>
      <c r="D20" s="19" t="n">
        <v>724</v>
      </c>
      <c r="E20" s="18" t="n">
        <v>54.14202104</v>
      </c>
      <c r="F20" s="20" t="n">
        <v>1.5970396</v>
      </c>
      <c r="G20" s="18" t="n">
        <v>42.58269536</v>
      </c>
      <c r="H20" s="20" t="n">
        <v>1.65469729</v>
      </c>
      <c r="I20" s="18" t="n">
        <v>0</v>
      </c>
      <c r="J20" s="20" t="n">
        <v>0</v>
      </c>
      <c r="K20" s="18" t="n">
        <v>0.64950798</v>
      </c>
      <c r="L20" s="20" t="n">
        <v>0.28627918</v>
      </c>
      <c r="M20" s="18" t="n">
        <v>0</v>
      </c>
      <c r="N20" s="20" t="n">
        <v>0</v>
      </c>
      <c r="O20" s="18" t="n">
        <v>0</v>
      </c>
      <c r="P20" s="20" t="n">
        <v>0</v>
      </c>
      <c r="Q20" s="18" t="n">
        <v>2.62577562</v>
      </c>
      <c r="R20" s="20" t="n">
        <v>0.58912297</v>
      </c>
    </row>
    <row r="21" spans="1:18">
      <c r="A21" s="15" t="s">
        <v>579</v>
      </c>
      <c r="B21" s="17" t="n">
        <v>5741</v>
      </c>
      <c r="C21" s="18">
        <f>(4494.0/B21*100)</f>
        <v/>
      </c>
      <c r="D21" s="19" t="n">
        <v>1247</v>
      </c>
      <c r="E21" s="18" t="n">
        <v>50.37972313</v>
      </c>
      <c r="F21" s="20" t="n">
        <v>1.38651824</v>
      </c>
      <c r="G21" s="18" t="n">
        <v>47.54336223</v>
      </c>
      <c r="H21" s="20" t="n">
        <v>1.45047395</v>
      </c>
      <c r="I21" s="18" t="n">
        <v>0</v>
      </c>
      <c r="J21" s="20" t="n">
        <v>0</v>
      </c>
      <c r="K21" s="18" t="n">
        <v>0.88112608</v>
      </c>
      <c r="L21" s="20" t="n">
        <v>0.25620745</v>
      </c>
      <c r="M21" s="18" t="n">
        <v>0</v>
      </c>
      <c r="N21" s="20" t="n">
        <v>0</v>
      </c>
      <c r="O21" s="18" t="n">
        <v>0</v>
      </c>
      <c r="P21" s="20" t="n">
        <v>0</v>
      </c>
      <c r="Q21" s="18" t="n">
        <v>1.19578856</v>
      </c>
      <c r="R21" s="20" t="n">
        <v>0.33155021</v>
      </c>
    </row>
    <row r="22" spans="1:18">
      <c r="A22" s="15" t="s">
        <v>580</v>
      </c>
      <c r="B22" s="17" t="n">
        <v>6598</v>
      </c>
      <c r="C22" s="18">
        <f>(5236.0/B22*100)</f>
        <v/>
      </c>
      <c r="D22" s="19" t="n">
        <v>1362</v>
      </c>
      <c r="E22" s="18" t="n">
        <v>47.88086347</v>
      </c>
      <c r="F22" s="20" t="n">
        <v>1.50884381</v>
      </c>
      <c r="G22" s="18" t="n">
        <v>45.07754247</v>
      </c>
      <c r="H22" s="20" t="n">
        <v>1.63513164</v>
      </c>
      <c r="I22" s="18" t="n">
        <v>0</v>
      </c>
      <c r="J22" s="20" t="n">
        <v>0</v>
      </c>
      <c r="K22" s="18" t="n">
        <v>1.10362179</v>
      </c>
      <c r="L22" s="20" t="n">
        <v>0.32771136</v>
      </c>
      <c r="M22" s="18" t="n">
        <v>0</v>
      </c>
      <c r="N22" s="20" t="n">
        <v>0</v>
      </c>
      <c r="O22" s="18" t="n">
        <v>0</v>
      </c>
      <c r="P22" s="20" t="n">
        <v>0</v>
      </c>
      <c r="Q22" s="18" t="n">
        <v>5.93797227</v>
      </c>
      <c r="R22" s="20" t="n">
        <v>0.89145302</v>
      </c>
    </row>
    <row r="23" spans="1:18">
      <c r="A23" s="15" t="s">
        <v>581</v>
      </c>
      <c r="B23" s="17" t="n">
        <v>11583</v>
      </c>
      <c r="C23" s="18">
        <f>(9033.0/B23*100)</f>
        <v/>
      </c>
      <c r="D23" s="19" t="n">
        <v>2550</v>
      </c>
      <c r="E23" s="18" t="n">
        <v>39.01740448</v>
      </c>
      <c r="F23" s="20" t="n">
        <v>1.43218513</v>
      </c>
      <c r="G23" s="18" t="n">
        <v>56.38420695</v>
      </c>
      <c r="H23" s="20" t="n">
        <v>1.53010301</v>
      </c>
      <c r="I23" s="18" t="n">
        <v>0</v>
      </c>
      <c r="J23" s="20" t="n">
        <v>0</v>
      </c>
      <c r="K23" s="18" t="n">
        <v>1.13278349</v>
      </c>
      <c r="L23" s="20" t="n">
        <v>0.32365693</v>
      </c>
      <c r="M23" s="18" t="n">
        <v>0</v>
      </c>
      <c r="N23" s="20" t="n">
        <v>0</v>
      </c>
      <c r="O23" s="18" t="n">
        <v>0</v>
      </c>
      <c r="P23" s="20" t="n">
        <v>0</v>
      </c>
      <c r="Q23" s="18" t="n">
        <v>3.46560508</v>
      </c>
      <c r="R23" s="20" t="n">
        <v>0.52908629</v>
      </c>
    </row>
    <row r="24" spans="1:18">
      <c r="A24" s="15" t="s">
        <v>582</v>
      </c>
      <c r="B24" s="17" t="n">
        <v>6647</v>
      </c>
      <c r="C24" s="18">
        <f>(5218.0/B24*100)</f>
        <v/>
      </c>
      <c r="D24" s="19" t="n">
        <v>1429</v>
      </c>
      <c r="E24" s="18" t="n">
        <v>24.61485426</v>
      </c>
      <c r="F24" s="20" t="n">
        <v>1.02693933</v>
      </c>
      <c r="G24" s="18" t="n">
        <v>73.81522515</v>
      </c>
      <c r="H24" s="20" t="n">
        <v>1.12297659</v>
      </c>
      <c r="I24" s="18" t="n">
        <v>0</v>
      </c>
      <c r="J24" s="20" t="n">
        <v>0</v>
      </c>
      <c r="K24" s="18" t="n">
        <v>0.31930216</v>
      </c>
      <c r="L24" s="20" t="n">
        <v>0.14451075</v>
      </c>
      <c r="M24" s="18" t="n">
        <v>0</v>
      </c>
      <c r="N24" s="20" t="n">
        <v>0</v>
      </c>
      <c r="O24" s="18" t="n">
        <v>0</v>
      </c>
      <c r="P24" s="20" t="n">
        <v>0</v>
      </c>
      <c r="Q24" s="18" t="n">
        <v>1.25061843</v>
      </c>
      <c r="R24" s="20" t="n">
        <v>0.34721218</v>
      </c>
    </row>
    <row r="25" spans="1:18">
      <c r="A25" s="15" t="s">
        <v>583</v>
      </c>
      <c r="B25" s="17" t="n">
        <v>5581</v>
      </c>
      <c r="C25" s="18">
        <f>(4366.0/B25*100)</f>
        <v/>
      </c>
      <c r="D25" s="19" t="n">
        <v>1215</v>
      </c>
      <c r="E25" s="18" t="n">
        <v>33.61000373</v>
      </c>
      <c r="F25" s="20" t="n">
        <v>1.5470826</v>
      </c>
      <c r="G25" s="18" t="n">
        <v>64.59495932</v>
      </c>
      <c r="H25" s="20" t="n">
        <v>1.66541301</v>
      </c>
      <c r="I25" s="18" t="n">
        <v>0</v>
      </c>
      <c r="J25" s="20" t="n">
        <v>0</v>
      </c>
      <c r="K25" s="18" t="n">
        <v>0.06954566</v>
      </c>
      <c r="L25" s="20" t="n">
        <v>0.0699224</v>
      </c>
      <c r="M25" s="18" t="n">
        <v>0</v>
      </c>
      <c r="N25" s="20" t="n">
        <v>0</v>
      </c>
      <c r="O25" s="18" t="n">
        <v>0</v>
      </c>
      <c r="P25" s="20" t="n">
        <v>0</v>
      </c>
      <c r="Q25" s="18" t="n">
        <v>1.72549129</v>
      </c>
      <c r="R25" s="20" t="n">
        <v>0.42702142</v>
      </c>
    </row>
    <row r="26" spans="1:18">
      <c r="A26" s="15" t="s">
        <v>584</v>
      </c>
      <c r="B26" s="17" t="n">
        <v>4869</v>
      </c>
      <c r="C26" s="18">
        <f>(3771.0/B26*100)</f>
        <v/>
      </c>
      <c r="D26" s="19" t="n">
        <v>1098</v>
      </c>
      <c r="E26" s="18" t="n">
        <v>33.92339467</v>
      </c>
      <c r="F26" s="20" t="n">
        <v>1.61539719</v>
      </c>
      <c r="G26" s="18" t="n">
        <v>64.49722242999999</v>
      </c>
      <c r="H26" s="20" t="n">
        <v>1.61246296</v>
      </c>
      <c r="I26" s="18" t="n">
        <v>0</v>
      </c>
      <c r="J26" s="20" t="n">
        <v>0</v>
      </c>
      <c r="K26" s="18" t="n">
        <v>0.06799541000000001</v>
      </c>
      <c r="L26" s="20" t="n">
        <v>0.06865528</v>
      </c>
      <c r="M26" s="18" t="n">
        <v>0</v>
      </c>
      <c r="N26" s="20" t="n">
        <v>0</v>
      </c>
      <c r="O26" s="18" t="n">
        <v>0</v>
      </c>
      <c r="P26" s="20" t="n">
        <v>0</v>
      </c>
      <c r="Q26" s="18" t="n">
        <v>1.51138749</v>
      </c>
      <c r="R26" s="20" t="n">
        <v>0.49212688</v>
      </c>
    </row>
    <row r="27" spans="1:18">
      <c r="A27" s="15" t="s">
        <v>585</v>
      </c>
      <c r="B27" s="17" t="n">
        <v>5299</v>
      </c>
      <c r="C27" s="18">
        <f>(4184.0/B27*100)</f>
        <v/>
      </c>
      <c r="D27" s="19" t="n">
        <v>1115</v>
      </c>
      <c r="E27" s="18" t="n">
        <v>46.03056243</v>
      </c>
      <c r="F27" s="20" t="n">
        <v>1.46126556</v>
      </c>
      <c r="G27" s="18" t="n">
        <v>51.84040303</v>
      </c>
      <c r="H27" s="20" t="n">
        <v>1.51716078</v>
      </c>
      <c r="I27" s="18" t="n">
        <v>0</v>
      </c>
      <c r="J27" s="20" t="n">
        <v>0</v>
      </c>
      <c r="K27" s="18" t="n">
        <v>0.26260027</v>
      </c>
      <c r="L27" s="20" t="n">
        <v>0.15037981</v>
      </c>
      <c r="M27" s="18" t="n">
        <v>0</v>
      </c>
      <c r="N27" s="20" t="n">
        <v>0</v>
      </c>
      <c r="O27" s="18" t="n">
        <v>0</v>
      </c>
      <c r="P27" s="20" t="n">
        <v>0</v>
      </c>
      <c r="Q27" s="18" t="n">
        <v>1.86643427</v>
      </c>
      <c r="R27" s="20" t="n">
        <v>0.4185061</v>
      </c>
    </row>
    <row r="28" spans="1:18">
      <c r="A28" s="15" t="s">
        <v>586</v>
      </c>
      <c r="B28" s="17" t="n">
        <v>7568</v>
      </c>
      <c r="C28" s="18">
        <f>(6066.0/B28*100)</f>
        <v/>
      </c>
      <c r="D28" s="19" t="n">
        <v>1502</v>
      </c>
      <c r="E28" s="18" t="n">
        <v>68.05497171</v>
      </c>
      <c r="F28" s="20" t="n">
        <v>1.46288109</v>
      </c>
      <c r="G28" s="18" t="n">
        <v>27.85960659</v>
      </c>
      <c r="H28" s="20" t="n">
        <v>1.57232121</v>
      </c>
      <c r="I28" s="18" t="n">
        <v>0</v>
      </c>
      <c r="J28" s="20" t="n">
        <v>0</v>
      </c>
      <c r="K28" s="18" t="n">
        <v>1.10999027</v>
      </c>
      <c r="L28" s="20" t="n">
        <v>0.35323248</v>
      </c>
      <c r="M28" s="18" t="n">
        <v>0</v>
      </c>
      <c r="N28" s="20" t="n">
        <v>0</v>
      </c>
      <c r="O28" s="18" t="n">
        <v>0</v>
      </c>
      <c r="P28" s="20" t="n">
        <v>0</v>
      </c>
      <c r="Q28" s="18" t="n">
        <v>2.97543143</v>
      </c>
      <c r="R28" s="20" t="n">
        <v>0.62021249</v>
      </c>
    </row>
    <row r="29" spans="1:18">
      <c r="A29" s="15" t="s">
        <v>587</v>
      </c>
      <c r="B29" s="17" t="n">
        <v>5385</v>
      </c>
      <c r="C29" s="18">
        <f>(4213.0/B29*100)</f>
        <v/>
      </c>
      <c r="D29" s="19" t="n">
        <v>1172</v>
      </c>
      <c r="E29" s="18" t="n">
        <v>56.37619318</v>
      </c>
      <c r="F29" s="20" t="n">
        <v>1.79541203</v>
      </c>
      <c r="G29" s="18" t="n">
        <v>42.83371866</v>
      </c>
      <c r="H29" s="20" t="n">
        <v>1.77785866</v>
      </c>
      <c r="I29" s="18" t="n">
        <v>0</v>
      </c>
      <c r="J29" s="20" t="n">
        <v>0</v>
      </c>
      <c r="K29" s="18" t="n">
        <v>0.48686989</v>
      </c>
      <c r="L29" s="20" t="n">
        <v>0.1775361</v>
      </c>
      <c r="M29" s="18" t="n">
        <v>0</v>
      </c>
      <c r="N29" s="20" t="n">
        <v>0</v>
      </c>
      <c r="O29" s="18" t="n">
        <v>0</v>
      </c>
      <c r="P29" s="20" t="n">
        <v>0</v>
      </c>
      <c r="Q29" s="18" t="n">
        <v>0.30321827</v>
      </c>
      <c r="R29" s="20" t="n">
        <v>0.16485077</v>
      </c>
    </row>
    <row r="30" spans="1:18">
      <c r="A30" s="15" t="s">
        <v>588</v>
      </c>
      <c r="B30" s="17" t="n">
        <v>4520</v>
      </c>
      <c r="C30" s="18">
        <f>(3575.0/B30*100)</f>
        <v/>
      </c>
      <c r="D30" s="19" t="n">
        <v>945</v>
      </c>
      <c r="E30" s="18" t="n">
        <v>48.87089494</v>
      </c>
      <c r="F30" s="20" t="n">
        <v>1.69955866</v>
      </c>
      <c r="G30" s="18" t="n">
        <v>47.94625913</v>
      </c>
      <c r="H30" s="20" t="n">
        <v>1.76020882</v>
      </c>
      <c r="I30" s="18" t="n">
        <v>0</v>
      </c>
      <c r="J30" s="20" t="n">
        <v>0</v>
      </c>
      <c r="K30" s="18" t="n">
        <v>0.44358842</v>
      </c>
      <c r="L30" s="20" t="n">
        <v>0.20208467</v>
      </c>
      <c r="M30" s="18" t="n">
        <v>0</v>
      </c>
      <c r="N30" s="20" t="n">
        <v>0</v>
      </c>
      <c r="O30" s="18" t="n">
        <v>0</v>
      </c>
      <c r="P30" s="20" t="n">
        <v>0</v>
      </c>
      <c r="Q30" s="18" t="n">
        <v>2.73925751</v>
      </c>
      <c r="R30" s="20" t="n">
        <v>0.50433048</v>
      </c>
    </row>
    <row r="31" spans="1:18">
      <c r="A31" s="15" t="s">
        <v>589</v>
      </c>
      <c r="B31" s="17" t="n">
        <v>5456</v>
      </c>
      <c r="C31" s="18">
        <f>(4301.0/B31*100)</f>
        <v/>
      </c>
      <c r="D31" s="19" t="n">
        <v>1155</v>
      </c>
      <c r="E31" s="18" t="n">
        <v>54.13109553</v>
      </c>
      <c r="F31" s="20" t="n">
        <v>1.800399</v>
      </c>
      <c r="G31" s="18" t="n">
        <v>42.22134465</v>
      </c>
      <c r="H31" s="20" t="n">
        <v>1.76007987</v>
      </c>
      <c r="I31" s="18" t="n">
        <v>0</v>
      </c>
      <c r="J31" s="20" t="n">
        <v>0</v>
      </c>
      <c r="K31" s="18" t="n">
        <v>0.97982375</v>
      </c>
      <c r="L31" s="20" t="n">
        <v>0.27375724</v>
      </c>
      <c r="M31" s="18" t="n">
        <v>0</v>
      </c>
      <c r="N31" s="20" t="n">
        <v>0</v>
      </c>
      <c r="O31" s="18" t="n">
        <v>0</v>
      </c>
      <c r="P31" s="20" t="n">
        <v>0</v>
      </c>
      <c r="Q31" s="18" t="n">
        <v>2.66773608</v>
      </c>
      <c r="R31" s="20" t="n">
        <v>0.46180712</v>
      </c>
    </row>
    <row r="32" spans="1:18">
      <c r="A32" s="15" t="s">
        <v>590</v>
      </c>
      <c r="B32" s="17" t="n">
        <v>4478</v>
      </c>
      <c r="C32" s="18">
        <f>(3546.0/B32*100)</f>
        <v/>
      </c>
      <c r="D32" s="19" t="n">
        <v>932</v>
      </c>
      <c r="E32" s="18" t="n">
        <v>53.68017312</v>
      </c>
      <c r="F32" s="20" t="n">
        <v>1.65329603</v>
      </c>
      <c r="G32" s="18" t="n">
        <v>45.81067701</v>
      </c>
      <c r="H32" s="20" t="n">
        <v>1.68050541</v>
      </c>
      <c r="I32" s="18" t="n">
        <v>0</v>
      </c>
      <c r="J32" s="20" t="n">
        <v>0</v>
      </c>
      <c r="K32" s="18" t="n">
        <v>0.29078769</v>
      </c>
      <c r="L32" s="20" t="n">
        <v>0.17359236</v>
      </c>
      <c r="M32" s="18" t="n">
        <v>0</v>
      </c>
      <c r="N32" s="20" t="n">
        <v>0</v>
      </c>
      <c r="O32" s="18" t="n">
        <v>0</v>
      </c>
      <c r="P32" s="20" t="n">
        <v>0</v>
      </c>
      <c r="Q32" s="18" t="n">
        <v>0.21836218</v>
      </c>
      <c r="R32" s="20" t="n">
        <v>0.14871316</v>
      </c>
    </row>
    <row r="33" spans="1:18">
      <c r="A33" s="15" t="s">
        <v>591</v>
      </c>
      <c r="B33" s="17" t="n">
        <v>7325</v>
      </c>
      <c r="C33" s="18">
        <f>(5760.0/B33*100)</f>
        <v/>
      </c>
      <c r="D33" s="19" t="n">
        <v>1565</v>
      </c>
      <c r="E33" s="18" t="n">
        <v>42.2380287</v>
      </c>
      <c r="F33" s="20" t="n">
        <v>1.28531505</v>
      </c>
      <c r="G33" s="18" t="n">
        <v>56.55854739</v>
      </c>
      <c r="H33" s="20" t="n">
        <v>1.35633108</v>
      </c>
      <c r="I33" s="18" t="n">
        <v>0</v>
      </c>
      <c r="J33" s="20" t="n">
        <v>0</v>
      </c>
      <c r="K33" s="18" t="n">
        <v>0.17644781</v>
      </c>
      <c r="L33" s="20" t="n">
        <v>0.1111996</v>
      </c>
      <c r="M33" s="18" t="n">
        <v>0</v>
      </c>
      <c r="N33" s="20" t="n">
        <v>0</v>
      </c>
      <c r="O33" s="18" t="n">
        <v>0</v>
      </c>
      <c r="P33" s="20" t="n">
        <v>0</v>
      </c>
      <c r="Q33" s="18" t="n">
        <v>1.0269761</v>
      </c>
      <c r="R33" s="20" t="n">
        <v>0.27325521</v>
      </c>
    </row>
    <row r="34" spans="1:18">
      <c r="A34" s="15" t="s">
        <v>592</v>
      </c>
      <c r="B34" s="17" t="n">
        <v>6350</v>
      </c>
      <c r="C34" s="18">
        <f>(5014.0/B34*100)</f>
        <v/>
      </c>
      <c r="D34" s="19" t="n">
        <v>1336</v>
      </c>
      <c r="E34" s="18" t="n">
        <v>50.71216435</v>
      </c>
      <c r="F34" s="20" t="n">
        <v>1.29012963</v>
      </c>
      <c r="G34" s="18" t="n">
        <v>43.63718498</v>
      </c>
      <c r="H34" s="20" t="n">
        <v>1.45033382</v>
      </c>
      <c r="I34" s="18" t="n">
        <v>0</v>
      </c>
      <c r="J34" s="20" t="n">
        <v>0</v>
      </c>
      <c r="K34" s="18" t="n">
        <v>0.24317405</v>
      </c>
      <c r="L34" s="20" t="n">
        <v>0.14465824</v>
      </c>
      <c r="M34" s="18" t="n">
        <v>0</v>
      </c>
      <c r="N34" s="20" t="n">
        <v>0</v>
      </c>
      <c r="O34" s="18" t="n">
        <v>0</v>
      </c>
      <c r="P34" s="20" t="n">
        <v>0</v>
      </c>
      <c r="Q34" s="18" t="n">
        <v>5.40747661</v>
      </c>
      <c r="R34" s="20" t="n">
        <v>0.80637187</v>
      </c>
    </row>
    <row r="35" spans="1:18">
      <c r="A35" s="15" t="s">
        <v>593</v>
      </c>
      <c r="B35" s="17" t="n">
        <v>6406</v>
      </c>
      <c r="C35" s="18">
        <f>(4980.0/B35*100)</f>
        <v/>
      </c>
      <c r="D35" s="19" t="n">
        <v>1426</v>
      </c>
      <c r="E35" s="18" t="n">
        <v>40.45957477</v>
      </c>
      <c r="F35" s="20" t="n">
        <v>1.18040554</v>
      </c>
      <c r="G35" s="18" t="n">
        <v>57.94673445</v>
      </c>
      <c r="H35" s="20" t="n">
        <v>1.21822153</v>
      </c>
      <c r="I35" s="18" t="n">
        <v>0</v>
      </c>
      <c r="J35" s="20" t="n">
        <v>0</v>
      </c>
      <c r="K35" s="18" t="n">
        <v>0.16840745</v>
      </c>
      <c r="L35" s="20" t="n">
        <v>0.11315083</v>
      </c>
      <c r="M35" s="18" t="n">
        <v>0</v>
      </c>
      <c r="N35" s="20" t="n">
        <v>0</v>
      </c>
      <c r="O35" s="18" t="n">
        <v>0</v>
      </c>
      <c r="P35" s="20" t="n">
        <v>0</v>
      </c>
      <c r="Q35" s="18" t="n">
        <v>1.42528334</v>
      </c>
      <c r="R35" s="20" t="n">
        <v>0.29344562</v>
      </c>
    </row>
    <row r="36" spans="1:18">
      <c r="A36" s="15" t="s">
        <v>594</v>
      </c>
      <c r="B36" s="17" t="n">
        <v>6736</v>
      </c>
      <c r="C36" s="18">
        <f>(5279.0/B36*100)</f>
        <v/>
      </c>
      <c r="D36" s="19" t="n">
        <v>1457</v>
      </c>
      <c r="E36" s="18" t="n">
        <v>34.08444221</v>
      </c>
      <c r="F36" s="20" t="n">
        <v>1.48474543</v>
      </c>
      <c r="G36" s="18" t="n">
        <v>62.466591</v>
      </c>
      <c r="H36" s="20" t="n">
        <v>1.55082102</v>
      </c>
      <c r="I36" s="18" t="n">
        <v>0</v>
      </c>
      <c r="J36" s="20" t="n">
        <v>0</v>
      </c>
      <c r="K36" s="18" t="n">
        <v>0.45562899</v>
      </c>
      <c r="L36" s="20" t="n">
        <v>0.19979923</v>
      </c>
      <c r="M36" s="18" t="n">
        <v>0</v>
      </c>
      <c r="N36" s="20" t="n">
        <v>0</v>
      </c>
      <c r="O36" s="18" t="n">
        <v>0</v>
      </c>
      <c r="P36" s="20" t="n">
        <v>0</v>
      </c>
      <c r="Q36" s="18" t="n">
        <v>2.9933378</v>
      </c>
      <c r="R36" s="20" t="n">
        <v>0.48266427</v>
      </c>
    </row>
    <row r="37" spans="1:18">
      <c r="A37" s="15" t="s">
        <v>595</v>
      </c>
      <c r="B37" s="17" t="n">
        <v>5458</v>
      </c>
      <c r="C37" s="18">
        <f>(4306.0/B37*100)</f>
        <v/>
      </c>
      <c r="D37" s="19" t="n">
        <v>1152</v>
      </c>
      <c r="E37" s="18" t="n">
        <v>48.05070839</v>
      </c>
      <c r="F37" s="20" t="n">
        <v>1.62295172</v>
      </c>
      <c r="G37" s="18" t="n">
        <v>44.88921131</v>
      </c>
      <c r="H37" s="20" t="n">
        <v>1.56429292</v>
      </c>
      <c r="I37" s="18" t="n">
        <v>0</v>
      </c>
      <c r="J37" s="20" t="n">
        <v>0</v>
      </c>
      <c r="K37" s="18" t="n">
        <v>1.37516826</v>
      </c>
      <c r="L37" s="20" t="n">
        <v>0.30593879</v>
      </c>
      <c r="M37" s="18" t="n">
        <v>0</v>
      </c>
      <c r="N37" s="20" t="n">
        <v>0</v>
      </c>
      <c r="O37" s="18" t="n">
        <v>0</v>
      </c>
      <c r="P37" s="20" t="n">
        <v>0</v>
      </c>
      <c r="Q37" s="18" t="n">
        <v>5.68491204</v>
      </c>
      <c r="R37" s="20" t="n">
        <v>0.79288071</v>
      </c>
    </row>
    <row r="38" spans="1:18">
      <c r="A38" s="15" t="s">
        <v>596</v>
      </c>
      <c r="B38" s="17" t="n">
        <v>5860</v>
      </c>
      <c r="C38" s="18">
        <f>(4522.0/B38*100)</f>
        <v/>
      </c>
      <c r="D38" s="19" t="n">
        <v>1338</v>
      </c>
      <c r="E38" s="18" t="n">
        <v>37.2871605</v>
      </c>
      <c r="F38" s="20" t="n">
        <v>1.60835429</v>
      </c>
      <c r="G38" s="18" t="n">
        <v>60.78843411</v>
      </c>
      <c r="H38" s="20" t="n">
        <v>1.62821392</v>
      </c>
      <c r="I38" s="18" t="n">
        <v>0</v>
      </c>
      <c r="J38" s="20" t="n">
        <v>0</v>
      </c>
      <c r="K38" s="18" t="n">
        <v>0.792536</v>
      </c>
      <c r="L38" s="20" t="n">
        <v>0.268335</v>
      </c>
      <c r="M38" s="18" t="n">
        <v>0</v>
      </c>
      <c r="N38" s="20" t="n">
        <v>0</v>
      </c>
      <c r="O38" s="18" t="n">
        <v>0</v>
      </c>
      <c r="P38" s="20" t="n">
        <v>0</v>
      </c>
      <c r="Q38" s="18" t="n">
        <v>1.13186939</v>
      </c>
      <c r="R38" s="20" t="n">
        <v>0.28040655</v>
      </c>
    </row>
    <row r="39" spans="1:18">
      <c r="A39" s="15" t="s">
        <v>597</v>
      </c>
      <c r="B39" s="17" t="n">
        <v>5895</v>
      </c>
      <c r="C39" s="18">
        <f>(4593.0/B39*100)</f>
        <v/>
      </c>
      <c r="D39" s="19" t="n">
        <v>1302</v>
      </c>
      <c r="E39" s="18" t="n">
        <v>88.63481844</v>
      </c>
      <c r="F39" s="20" t="n">
        <v>0.9447737899999999</v>
      </c>
      <c r="G39" s="18" t="n">
        <v>7.53638298</v>
      </c>
      <c r="H39" s="20" t="n">
        <v>0.76315541</v>
      </c>
      <c r="I39" s="18" t="n">
        <v>0</v>
      </c>
      <c r="J39" s="20" t="n">
        <v>0</v>
      </c>
      <c r="K39" s="18" t="n">
        <v>0.17044556</v>
      </c>
      <c r="L39" s="20" t="n">
        <v>0.12167669</v>
      </c>
      <c r="M39" s="18" t="n">
        <v>0</v>
      </c>
      <c r="N39" s="20" t="n">
        <v>0</v>
      </c>
      <c r="O39" s="18" t="n">
        <v>0</v>
      </c>
      <c r="P39" s="20" t="n">
        <v>0</v>
      </c>
      <c r="Q39" s="18" t="n">
        <v>3.65835302</v>
      </c>
      <c r="R39" s="20" t="n">
        <v>0.66413128</v>
      </c>
    </row>
    <row r="40" spans="1:18">
      <c r="A40" s="15" t="s">
        <v>598</v>
      </c>
      <c r="B40" s="17" t="n">
        <v>14157</v>
      </c>
      <c r="C40" s="18">
        <f>(10983.0/B40*100)</f>
        <v/>
      </c>
      <c r="D40" s="19" t="n">
        <v>3174</v>
      </c>
      <c r="E40" s="18" t="n">
        <v>52.75420658</v>
      </c>
      <c r="F40" s="20" t="n">
        <v>1.52307929</v>
      </c>
      <c r="G40" s="18" t="n">
        <v>45.52853289</v>
      </c>
      <c r="H40" s="20" t="n">
        <v>1.52445764</v>
      </c>
      <c r="I40" s="18" t="n">
        <v>0</v>
      </c>
      <c r="J40" s="20" t="n">
        <v>0</v>
      </c>
      <c r="K40" s="18" t="n">
        <v>0.50296079</v>
      </c>
      <c r="L40" s="20" t="n">
        <v>0.18367522</v>
      </c>
      <c r="M40" s="18" t="n">
        <v>0</v>
      </c>
      <c r="N40" s="20" t="n">
        <v>0</v>
      </c>
      <c r="O40" s="18" t="n">
        <v>0</v>
      </c>
      <c r="P40" s="20" t="n">
        <v>0</v>
      </c>
      <c r="Q40" s="18" t="n">
        <v>1.21429974</v>
      </c>
      <c r="R40" s="20" t="n">
        <v>0.29409349</v>
      </c>
    </row>
    <row r="41" spans="1:18">
      <c r="A41" s="15" t="s">
        <v>599</v>
      </c>
      <c r="B41" s="17" t="n">
        <v>5712</v>
      </c>
      <c r="C41" s="18">
        <f>(4532.0/B41*100)</f>
        <v/>
      </c>
      <c r="D41" s="19" t="n">
        <v>1180</v>
      </c>
      <c r="E41" s="18" t="n">
        <v>56.62982573</v>
      </c>
      <c r="F41" s="20" t="n">
        <v>1.82322708</v>
      </c>
      <c r="G41" s="18" t="n">
        <v>41.72225693</v>
      </c>
      <c r="H41" s="20" t="n">
        <v>1.89883567</v>
      </c>
      <c r="I41" s="18" t="n">
        <v>0</v>
      </c>
      <c r="J41" s="20" t="n">
        <v>0</v>
      </c>
      <c r="K41" s="18" t="n">
        <v>0.31861369</v>
      </c>
      <c r="L41" s="20" t="n">
        <v>0.17427881</v>
      </c>
      <c r="M41" s="18" t="n">
        <v>0</v>
      </c>
      <c r="N41" s="20" t="n">
        <v>0</v>
      </c>
      <c r="O41" s="18" t="n">
        <v>0</v>
      </c>
      <c r="P41" s="20" t="n">
        <v>0</v>
      </c>
      <c r="Q41" s="18" t="n">
        <v>1.32930365</v>
      </c>
      <c r="R41" s="20" t="n">
        <v>0.39371648</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(19286.0/B46*100)</f>
        <v/>
      </c>
      <c r="D46" s="19" t="n">
        <v>3855</v>
      </c>
      <c r="E46" s="18" t="n">
        <v>59.3825949</v>
      </c>
      <c r="F46" s="20" t="n">
        <v>1.15987297</v>
      </c>
      <c r="G46" s="18" t="n">
        <v>28.54063958</v>
      </c>
      <c r="H46" s="20" t="n">
        <v>1.31459183</v>
      </c>
      <c r="I46" s="18" t="n">
        <v>0</v>
      </c>
      <c r="J46" s="20" t="n">
        <v>0</v>
      </c>
      <c r="K46" s="18" t="n">
        <v>2.30024694</v>
      </c>
      <c r="L46" s="20" t="n">
        <v>0.49397482</v>
      </c>
      <c r="M46" s="18" t="n">
        <v>0</v>
      </c>
      <c r="N46" s="20" t="n">
        <v>0</v>
      </c>
      <c r="O46" s="18" t="n">
        <v>0</v>
      </c>
      <c r="P46" s="20" t="n">
        <v>0</v>
      </c>
      <c r="Q46" s="18" t="n">
        <v>9.776518579999999</v>
      </c>
      <c r="R46" s="20" t="n">
        <v>0.81593288</v>
      </c>
    </row>
    <row r="47" spans="1:18">
      <c r="A47" s="15" t="s">
        <v>606</v>
      </c>
      <c r="B47" s="17" t="n">
        <v>5928</v>
      </c>
      <c r="C47" s="18">
        <f>(4658.0/B47*100)</f>
        <v/>
      </c>
      <c r="D47" s="19" t="n">
        <v>1270</v>
      </c>
      <c r="E47" s="18" t="n">
        <v>64.84558376</v>
      </c>
      <c r="F47" s="20" t="n">
        <v>1.5023775</v>
      </c>
      <c r="G47" s="18" t="n">
        <v>27.35301749</v>
      </c>
      <c r="H47" s="20" t="n">
        <v>1.65318971</v>
      </c>
      <c r="I47" s="18" t="n">
        <v>0</v>
      </c>
      <c r="J47" s="20" t="n">
        <v>0</v>
      </c>
      <c r="K47" s="18" t="n">
        <v>1.00635419</v>
      </c>
      <c r="L47" s="20" t="n">
        <v>0.24152047</v>
      </c>
      <c r="M47" s="18" t="n">
        <v>0</v>
      </c>
      <c r="N47" s="20" t="n">
        <v>0</v>
      </c>
      <c r="O47" s="18" t="n">
        <v>0</v>
      </c>
      <c r="P47" s="20" t="n">
        <v>0</v>
      </c>
      <c r="Q47" s="18" t="n">
        <v>6.79504456</v>
      </c>
      <c r="R47" s="20" t="n">
        <v>0.85099799</v>
      </c>
    </row>
    <row r="48" spans="1:18">
      <c r="A48" s="15" t="s">
        <v>607</v>
      </c>
      <c r="B48" s="17" t="n">
        <v>9841</v>
      </c>
      <c r="C48" s="18">
        <f>(7703.0/B48*100)</f>
        <v/>
      </c>
      <c r="D48" s="19" t="n">
        <v>2138</v>
      </c>
      <c r="E48" s="18" t="n">
        <v>36.24158319</v>
      </c>
      <c r="F48" s="20" t="n">
        <v>1.54629016</v>
      </c>
      <c r="G48" s="18" t="n">
        <v>59.55276928</v>
      </c>
      <c r="H48" s="20" t="n">
        <v>1.83132026</v>
      </c>
      <c r="I48" s="18" t="n">
        <v>0</v>
      </c>
      <c r="J48" s="20" t="n">
        <v>0</v>
      </c>
      <c r="K48" s="18" t="n">
        <v>1.007257</v>
      </c>
      <c r="L48" s="20" t="n">
        <v>0.32055476</v>
      </c>
      <c r="M48" s="18" t="n">
        <v>0</v>
      </c>
      <c r="N48" s="20" t="n">
        <v>0</v>
      </c>
      <c r="O48" s="18" t="n">
        <v>0</v>
      </c>
      <c r="P48" s="20" t="n">
        <v>0</v>
      </c>
      <c r="Q48" s="18" t="n">
        <v>3.19839053</v>
      </c>
      <c r="R48" s="20" t="n">
        <v>0.5000333</v>
      </c>
    </row>
    <row r="49" spans="1:18">
      <c r="A49" s="15" t="s">
        <v>608</v>
      </c>
      <c r="B49" s="17" t="n">
        <v>11795</v>
      </c>
      <c r="C49" s="18">
        <f>(9283.0/B49*100)</f>
        <v/>
      </c>
      <c r="D49" s="19" t="n">
        <v>2512</v>
      </c>
      <c r="E49" s="18" t="n">
        <v>64.06512155999999</v>
      </c>
      <c r="F49" s="20" t="n">
        <v>1.40133427</v>
      </c>
      <c r="G49" s="18" t="n">
        <v>27.58166839</v>
      </c>
      <c r="H49" s="20" t="n">
        <v>1.40474764</v>
      </c>
      <c r="I49" s="18" t="n">
        <v>0</v>
      </c>
      <c r="J49" s="20" t="n">
        <v>0</v>
      </c>
      <c r="K49" s="18" t="n">
        <v>2.83824257</v>
      </c>
      <c r="L49" s="20" t="n">
        <v>0.46171599</v>
      </c>
      <c r="M49" s="18" t="n">
        <v>0</v>
      </c>
      <c r="N49" s="20" t="n">
        <v>0</v>
      </c>
      <c r="O49" s="18" t="n">
        <v>0</v>
      </c>
      <c r="P49" s="20" t="n">
        <v>0</v>
      </c>
      <c r="Q49" s="18" t="n">
        <v>5.51496748</v>
      </c>
      <c r="R49" s="20" t="n">
        <v>0.64164924</v>
      </c>
    </row>
    <row r="50" spans="1:18">
      <c r="A50" s="15" t="s">
        <v>609</v>
      </c>
      <c r="B50" s="17" t="n">
        <v>6866</v>
      </c>
      <c r="C50" s="18">
        <f>(5604.0/B50*100)</f>
        <v/>
      </c>
      <c r="D50" s="19" t="n">
        <v>1262</v>
      </c>
      <c r="E50" s="18" t="n">
        <v>60.21627643</v>
      </c>
      <c r="F50" s="20" t="n">
        <v>1.64809013</v>
      </c>
      <c r="G50" s="18" t="n">
        <v>35.05819396</v>
      </c>
      <c r="H50" s="20" t="n">
        <v>1.64452194</v>
      </c>
      <c r="I50" s="18" t="n">
        <v>0</v>
      </c>
      <c r="J50" s="20" t="n">
        <v>0</v>
      </c>
      <c r="K50" s="18" t="n">
        <v>1.39051298</v>
      </c>
      <c r="L50" s="20" t="n">
        <v>0.41486975</v>
      </c>
      <c r="M50" s="18" t="n">
        <v>0</v>
      </c>
      <c r="N50" s="20" t="n">
        <v>0</v>
      </c>
      <c r="O50" s="18" t="n">
        <v>0</v>
      </c>
      <c r="P50" s="20" t="n">
        <v>0</v>
      </c>
      <c r="Q50" s="18" t="n">
        <v>3.33501663</v>
      </c>
      <c r="R50" s="20" t="n">
        <v>0.47822246</v>
      </c>
    </row>
    <row r="51" spans="1:18">
      <c r="A51" s="15" t="s">
        <v>610</v>
      </c>
      <c r="B51" s="17" t="n">
        <v>5809</v>
      </c>
      <c r="C51" s="18">
        <f>(4557.0/B51*100)</f>
        <v/>
      </c>
      <c r="D51" s="19" t="n">
        <v>1252</v>
      </c>
      <c r="E51" s="18" t="n">
        <v>63.86479469</v>
      </c>
      <c r="F51" s="20" t="n">
        <v>1.4076833</v>
      </c>
      <c r="G51" s="18" t="n">
        <v>32.82536255</v>
      </c>
      <c r="H51" s="20" t="n">
        <v>1.41834645</v>
      </c>
      <c r="I51" s="18" t="n">
        <v>0</v>
      </c>
      <c r="J51" s="20" t="n">
        <v>0</v>
      </c>
      <c r="K51" s="18" t="n">
        <v>0.21847768</v>
      </c>
      <c r="L51" s="20" t="n">
        <v>0.12685284</v>
      </c>
      <c r="M51" s="18" t="n">
        <v>0</v>
      </c>
      <c r="N51" s="20" t="n">
        <v>0</v>
      </c>
      <c r="O51" s="18" t="n">
        <v>0</v>
      </c>
      <c r="P51" s="20" t="n">
        <v>0</v>
      </c>
      <c r="Q51" s="18" t="n">
        <v>3.09136508</v>
      </c>
      <c r="R51" s="20" t="n">
        <v>0.61480665</v>
      </c>
    </row>
    <row r="52" spans="1:18">
      <c r="A52" s="15" t="s">
        <v>611</v>
      </c>
      <c r="B52" s="17" t="n">
        <v>5571</v>
      </c>
      <c r="C52" s="18">
        <f>(4361.0/B52*100)</f>
        <v/>
      </c>
      <c r="D52" s="19" t="n">
        <v>1210</v>
      </c>
      <c r="E52" s="18" t="n">
        <v>73.13039234999999</v>
      </c>
      <c r="F52" s="20" t="n">
        <v>1.25834917</v>
      </c>
      <c r="G52" s="18" t="n">
        <v>22.85771839</v>
      </c>
      <c r="H52" s="20" t="n">
        <v>1.24597372</v>
      </c>
      <c r="I52" s="18" t="n">
        <v>0</v>
      </c>
      <c r="J52" s="20" t="n">
        <v>0</v>
      </c>
      <c r="K52" s="18" t="n">
        <v>0.56628632</v>
      </c>
      <c r="L52" s="20" t="n">
        <v>0.19956862</v>
      </c>
      <c r="M52" s="18" t="n">
        <v>0</v>
      </c>
      <c r="N52" s="20" t="n">
        <v>0</v>
      </c>
      <c r="O52" s="18" t="n">
        <v>0</v>
      </c>
      <c r="P52" s="20" t="n">
        <v>0</v>
      </c>
      <c r="Q52" s="18" t="n">
        <v>3.44560295</v>
      </c>
      <c r="R52" s="20" t="n">
        <v>0.51177325</v>
      </c>
    </row>
    <row r="53" spans="1:18">
      <c r="A53" s="15" t="s">
        <v>612</v>
      </c>
      <c r="B53" s="17" t="n">
        <v>4740</v>
      </c>
      <c r="C53" s="18">
        <f>(3681.0/B53*100)</f>
        <v/>
      </c>
      <c r="D53" s="19" t="n">
        <v>1059</v>
      </c>
      <c r="E53" s="18" t="n">
        <v>56.33768584</v>
      </c>
      <c r="F53" s="20" t="n">
        <v>1.97917452</v>
      </c>
      <c r="G53" s="18" t="n">
        <v>9.008208059999999</v>
      </c>
      <c r="H53" s="20" t="n">
        <v>1.10710466</v>
      </c>
      <c r="I53" s="18" t="n">
        <v>0</v>
      </c>
      <c r="J53" s="20" t="n">
        <v>0</v>
      </c>
      <c r="K53" s="18" t="n">
        <v>17.4834123</v>
      </c>
      <c r="L53" s="20" t="n">
        <v>1.28515804</v>
      </c>
      <c r="M53" s="18" t="n">
        <v>0</v>
      </c>
      <c r="N53" s="20" t="n">
        <v>0</v>
      </c>
      <c r="O53" s="18" t="n">
        <v>0</v>
      </c>
      <c r="P53" s="20" t="n">
        <v>0</v>
      </c>
      <c r="Q53" s="18" t="n">
        <v>17.1706938</v>
      </c>
      <c r="R53" s="20" t="n">
        <v>1.31704528</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(4161.0/B55*100)</f>
        <v/>
      </c>
      <c r="D55" s="19" t="n">
        <v>1198</v>
      </c>
      <c r="E55" s="18" t="n">
        <v>33.6396926</v>
      </c>
      <c r="F55" s="20" t="n">
        <v>1.71157898</v>
      </c>
      <c r="G55" s="18" t="n">
        <v>65.32181008000001</v>
      </c>
      <c r="H55" s="20" t="n">
        <v>1.72206515</v>
      </c>
      <c r="I55" s="18" t="n">
        <v>0</v>
      </c>
      <c r="J55" s="20" t="n">
        <v>0</v>
      </c>
      <c r="K55" s="18" t="n">
        <v>0.2915444</v>
      </c>
      <c r="L55" s="20" t="n">
        <v>0.19364398</v>
      </c>
      <c r="M55" s="18" t="n">
        <v>0</v>
      </c>
      <c r="N55" s="20" t="n">
        <v>0</v>
      </c>
      <c r="O55" s="18" t="n">
        <v>0</v>
      </c>
      <c r="P55" s="20" t="n">
        <v>0</v>
      </c>
      <c r="Q55" s="18" t="n">
        <v>0.74695291</v>
      </c>
      <c r="R55" s="20" t="n">
        <v>0.2566359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(5099.0/B61*100)</f>
        <v/>
      </c>
      <c r="D61" s="19" t="n">
        <v>1426</v>
      </c>
      <c r="E61" s="18" t="n">
        <v>36.49728244</v>
      </c>
      <c r="F61" s="20" t="n">
        <v>1.40203513</v>
      </c>
      <c r="G61" s="18" t="n">
        <v>60.72397315</v>
      </c>
      <c r="H61" s="20" t="n">
        <v>1.52029168</v>
      </c>
      <c r="I61" s="18" t="n">
        <v>0</v>
      </c>
      <c r="J61" s="20" t="n">
        <v>0</v>
      </c>
      <c r="K61" s="18" t="n">
        <v>0.55597049</v>
      </c>
      <c r="L61" s="20" t="n">
        <v>0.25380564</v>
      </c>
      <c r="M61" s="18" t="n">
        <v>0</v>
      </c>
      <c r="N61" s="20" t="n">
        <v>0</v>
      </c>
      <c r="O61" s="18" t="n">
        <v>0</v>
      </c>
      <c r="P61" s="20" t="n">
        <v>0</v>
      </c>
      <c r="Q61" s="18" t="n">
        <v>2.22277392</v>
      </c>
      <c r="R61" s="20" t="n">
        <v>0.44658937</v>
      </c>
    </row>
    <row r="62" spans="1:18">
      <c r="A62" s="15" t="s">
        <v>622</v>
      </c>
      <c r="B62" s="17" t="n">
        <v>4476</v>
      </c>
      <c r="C62" s="18">
        <f>(3496.0/B62*100)</f>
        <v/>
      </c>
      <c r="D62" s="19" t="n">
        <v>980</v>
      </c>
      <c r="E62" s="18" t="n">
        <v>51.5390514</v>
      </c>
      <c r="F62" s="20" t="n">
        <v>1.42261298</v>
      </c>
      <c r="G62" s="18" t="n">
        <v>48.25819239</v>
      </c>
      <c r="H62" s="20" t="n">
        <v>1.43431584</v>
      </c>
      <c r="I62" s="18" t="n">
        <v>0</v>
      </c>
      <c r="J62" s="20" t="n">
        <v>0</v>
      </c>
      <c r="K62" s="18" t="n">
        <v>0</v>
      </c>
      <c r="L62" s="20" t="n">
        <v>0</v>
      </c>
      <c r="M62" s="18" t="n">
        <v>0</v>
      </c>
      <c r="N62" s="20" t="n">
        <v>0</v>
      </c>
      <c r="O62" s="18" t="n">
        <v>0</v>
      </c>
      <c r="P62" s="20" t="n">
        <v>0</v>
      </c>
      <c r="Q62" s="18" t="n">
        <v>0.20275621</v>
      </c>
      <c r="R62" s="20" t="n">
        <v>0.14414009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(4488.0/B67*100)</f>
        <v/>
      </c>
      <c r="D67" s="19" t="n">
        <v>1177</v>
      </c>
      <c r="E67" s="18" t="n">
        <v>65.42522056999999</v>
      </c>
      <c r="F67" s="20" t="n">
        <v>1.43619275</v>
      </c>
      <c r="G67" s="18" t="n">
        <v>17.65100191</v>
      </c>
      <c r="H67" s="20" t="n">
        <v>1.22791743</v>
      </c>
      <c r="I67" s="18" t="n">
        <v>0</v>
      </c>
      <c r="J67" s="20" t="n">
        <v>0</v>
      </c>
      <c r="K67" s="18" t="n">
        <v>0.91078019</v>
      </c>
      <c r="L67" s="20" t="n">
        <v>0.25397732</v>
      </c>
      <c r="M67" s="18" t="n">
        <v>0</v>
      </c>
      <c r="N67" s="20" t="n">
        <v>0</v>
      </c>
      <c r="O67" s="18" t="n">
        <v>0</v>
      </c>
      <c r="P67" s="20" t="n">
        <v>0</v>
      </c>
      <c r="Q67" s="18" t="n">
        <v>16.01299733</v>
      </c>
      <c r="R67" s="20" t="n">
        <v>1.19675427</v>
      </c>
    </row>
    <row r="68" spans="1:18">
      <c r="A68" s="15" t="s">
        <v>628</v>
      </c>
      <c r="B68" s="17" t="n">
        <v>6971</v>
      </c>
      <c r="C68" s="18">
        <f>(5671.0/B68*100)</f>
        <v/>
      </c>
      <c r="D68" s="19" t="n">
        <v>1300</v>
      </c>
      <c r="E68" s="18" t="n">
        <v>68.54007015000001</v>
      </c>
      <c r="F68" s="20" t="n">
        <v>1.42226533</v>
      </c>
      <c r="G68" s="18" t="n">
        <v>25.05390118</v>
      </c>
      <c r="H68" s="20" t="n">
        <v>1.39573383</v>
      </c>
      <c r="I68" s="18" t="n">
        <v>0</v>
      </c>
      <c r="J68" s="20" t="n">
        <v>0</v>
      </c>
      <c r="K68" s="18" t="n">
        <v>0.48669253</v>
      </c>
      <c r="L68" s="20" t="n">
        <v>0.24407869</v>
      </c>
      <c r="M68" s="18" t="n">
        <v>0</v>
      </c>
      <c r="N68" s="20" t="n">
        <v>0</v>
      </c>
      <c r="O68" s="18" t="n">
        <v>0</v>
      </c>
      <c r="P68" s="20" t="n">
        <v>0</v>
      </c>
      <c r="Q68" s="18" t="n">
        <v>5.91933615</v>
      </c>
      <c r="R68" s="20" t="n">
        <v>0.71226801</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(9364.0/B70*100)</f>
        <v/>
      </c>
      <c r="D70" s="19" t="n">
        <v>2719</v>
      </c>
      <c r="E70" s="18" t="n">
        <v>76.29410394999999</v>
      </c>
      <c r="F70" s="20" t="n">
        <v>0.76307246</v>
      </c>
      <c r="G70" s="18" t="n">
        <v>15.1865707</v>
      </c>
      <c r="H70" s="20" t="n">
        <v>0.67812881</v>
      </c>
      <c r="I70" s="18" t="n">
        <v>0</v>
      </c>
      <c r="J70" s="20" t="n">
        <v>0</v>
      </c>
      <c r="K70" s="18" t="n">
        <v>3.44793038</v>
      </c>
      <c r="L70" s="20" t="n">
        <v>0.32820666</v>
      </c>
      <c r="M70" s="18" t="n">
        <v>0</v>
      </c>
      <c r="N70" s="20" t="n">
        <v>0</v>
      </c>
      <c r="O70" s="18" t="n">
        <v>0</v>
      </c>
      <c r="P70" s="20" t="n">
        <v>0</v>
      </c>
      <c r="Q70" s="18" t="n">
        <v>5.07139497</v>
      </c>
      <c r="R70" s="20" t="n">
        <v>0.37401173</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(4761.0/B72*100)</f>
        <v/>
      </c>
      <c r="D72" s="19" t="n">
        <v>1275</v>
      </c>
      <c r="E72" s="18" t="n">
        <v>41.22145991</v>
      </c>
      <c r="F72" s="20" t="n">
        <v>2.23708133</v>
      </c>
      <c r="G72" s="18" t="n">
        <v>56.0691007</v>
      </c>
      <c r="H72" s="20" t="n">
        <v>2.30861641</v>
      </c>
      <c r="I72" s="18" t="n">
        <v>0</v>
      </c>
      <c r="J72" s="20" t="n">
        <v>0</v>
      </c>
      <c r="K72" s="18" t="n">
        <v>0.45111207</v>
      </c>
      <c r="L72" s="20" t="n">
        <v>0.14092979</v>
      </c>
      <c r="M72" s="18" t="n">
        <v>0</v>
      </c>
      <c r="N72" s="20" t="n">
        <v>0</v>
      </c>
      <c r="O72" s="18" t="n">
        <v>0</v>
      </c>
      <c r="P72" s="20" t="n">
        <v>0</v>
      </c>
      <c r="Q72" s="18" t="n">
        <v>2.25832732</v>
      </c>
      <c r="R72" s="20" t="n">
        <v>0.54732931</v>
      </c>
    </row>
    <row r="73" spans="1:18">
      <c r="A73" s="15" t="s">
        <v>633</v>
      </c>
      <c r="B73" s="17" t="n">
        <v>6115</v>
      </c>
      <c r="C73" s="18">
        <f>(4797.0/B73*100)</f>
        <v/>
      </c>
      <c r="D73" s="19" t="n">
        <v>1318</v>
      </c>
      <c r="E73" s="18" t="n">
        <v>44.50992663</v>
      </c>
      <c r="F73" s="20" t="n">
        <v>1.22838356</v>
      </c>
      <c r="G73" s="18" t="n">
        <v>54.48778589</v>
      </c>
      <c r="H73" s="20" t="n">
        <v>1.18885248</v>
      </c>
      <c r="I73" s="18" t="n">
        <v>0</v>
      </c>
      <c r="J73" s="20" t="n">
        <v>0</v>
      </c>
      <c r="K73" s="18" t="n">
        <v>0.20647648</v>
      </c>
      <c r="L73" s="20" t="n">
        <v>0.12106577</v>
      </c>
      <c r="M73" s="18" t="n">
        <v>0</v>
      </c>
      <c r="N73" s="20" t="n">
        <v>0</v>
      </c>
      <c r="O73" s="18" t="n">
        <v>0</v>
      </c>
      <c r="P73" s="20" t="n">
        <v>0</v>
      </c>
      <c r="Q73" s="18" t="n">
        <v>0.795811</v>
      </c>
      <c r="R73" s="20" t="n">
        <v>0.26222442</v>
      </c>
    </row>
    <row r="74" spans="1:18">
      <c r="A74" s="15" t="s">
        <v>634</v>
      </c>
      <c r="B74" s="17" t="n">
        <v>7708</v>
      </c>
      <c r="C74" s="18">
        <f>(6067.0/B74*100)</f>
        <v/>
      </c>
      <c r="D74" s="19" t="n">
        <v>1641</v>
      </c>
      <c r="E74" s="18" t="n">
        <v>31.64756895</v>
      </c>
      <c r="F74" s="20" t="n">
        <v>1.25460907</v>
      </c>
      <c r="G74" s="18" t="n">
        <v>67.60668149</v>
      </c>
      <c r="H74" s="20" t="n">
        <v>1.23494331</v>
      </c>
      <c r="I74" s="18" t="n">
        <v>0</v>
      </c>
      <c r="J74" s="20" t="n">
        <v>0</v>
      </c>
      <c r="K74" s="18" t="n">
        <v>0.20748204</v>
      </c>
      <c r="L74" s="20" t="n">
        <v>0.15737902</v>
      </c>
      <c r="M74" s="18" t="n">
        <v>0</v>
      </c>
      <c r="N74" s="20" t="n">
        <v>0</v>
      </c>
      <c r="O74" s="18" t="n">
        <v>0</v>
      </c>
      <c r="P74" s="20" t="n">
        <v>0</v>
      </c>
      <c r="Q74" s="18" t="n">
        <v>0.53826752</v>
      </c>
      <c r="R74" s="20" t="n">
        <v>0.17100711</v>
      </c>
    </row>
    <row r="75" spans="1:18">
      <c r="A75" s="15" t="s">
        <v>635</v>
      </c>
      <c r="B75" s="17" t="n">
        <v>8249</v>
      </c>
      <c r="C75" s="18">
        <f>(6492.0/B75*100)</f>
        <v/>
      </c>
      <c r="D75" s="19" t="n">
        <v>1757</v>
      </c>
      <c r="E75" s="18" t="n">
        <v>75.08859063</v>
      </c>
      <c r="F75" s="20" t="n">
        <v>1.55550039</v>
      </c>
      <c r="G75" s="18" t="n">
        <v>22.42796893</v>
      </c>
      <c r="H75" s="20" t="n">
        <v>1.56973861</v>
      </c>
      <c r="I75" s="18" t="n">
        <v>0</v>
      </c>
      <c r="J75" s="20" t="n">
        <v>0</v>
      </c>
      <c r="K75" s="18" t="n">
        <v>0.16166362</v>
      </c>
      <c r="L75" s="20" t="n">
        <v>0.10069697</v>
      </c>
      <c r="M75" s="18" t="n">
        <v>0</v>
      </c>
      <c r="N75" s="20" t="n">
        <v>0</v>
      </c>
      <c r="O75" s="18" t="n">
        <v>0</v>
      </c>
      <c r="P75" s="20" t="n">
        <v>0</v>
      </c>
      <c r="Q75" s="18" t="n">
        <v>2.32177682</v>
      </c>
      <c r="R75" s="20" t="n">
        <v>0.40795726</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(4332.0/B77*100)</f>
        <v/>
      </c>
      <c r="D77" s="19" t="n">
        <v>1043</v>
      </c>
      <c r="E77" s="18" t="n">
        <v>87.48848984</v>
      </c>
      <c r="F77" s="20" t="n">
        <v>1.16998119</v>
      </c>
      <c r="G77" s="18" t="n">
        <v>3.79628491</v>
      </c>
      <c r="H77" s="20" t="n">
        <v>0.57838919</v>
      </c>
      <c r="I77" s="18" t="n">
        <v>0</v>
      </c>
      <c r="J77" s="20" t="n">
        <v>0</v>
      </c>
      <c r="K77" s="18" t="n">
        <v>3.55510986</v>
      </c>
      <c r="L77" s="20" t="n">
        <v>0.65894914</v>
      </c>
      <c r="M77" s="18" t="n">
        <v>0</v>
      </c>
      <c r="N77" s="20" t="n">
        <v>0</v>
      </c>
      <c r="O77" s="18" t="n">
        <v>0</v>
      </c>
      <c r="P77" s="20" t="n">
        <v>0</v>
      </c>
      <c r="Q77" s="18" t="n">
        <v>5.1601154</v>
      </c>
      <c r="R77" s="20" t="n">
        <v>0.74455468</v>
      </c>
    </row>
    <row r="78" spans="1:18">
      <c r="A78" s="15" t="s">
        <v>638</v>
      </c>
      <c r="B78" s="17" t="n">
        <v>14167</v>
      </c>
      <c r="C78" s="18">
        <f>(11035.0/B78*100)</f>
        <v/>
      </c>
      <c r="D78" s="19" t="n">
        <v>3132</v>
      </c>
      <c r="E78" s="18" t="n">
        <v>77.16960817</v>
      </c>
      <c r="F78" s="20" t="n">
        <v>0.96991013</v>
      </c>
      <c r="G78" s="18" t="n">
        <v>17.63665966</v>
      </c>
      <c r="H78" s="20" t="n">
        <v>0.9235273899999999</v>
      </c>
      <c r="I78" s="18" t="n">
        <v>0</v>
      </c>
      <c r="J78" s="20" t="n">
        <v>0</v>
      </c>
      <c r="K78" s="18" t="n">
        <v>1.60717009</v>
      </c>
      <c r="L78" s="20" t="n">
        <v>0.27635418</v>
      </c>
      <c r="M78" s="18" t="n">
        <v>0</v>
      </c>
      <c r="N78" s="20" t="n">
        <v>0</v>
      </c>
      <c r="O78" s="18" t="n">
        <v>0</v>
      </c>
      <c r="P78" s="20" t="n">
        <v>0</v>
      </c>
      <c r="Q78" s="18" t="n">
        <v>3.58656209</v>
      </c>
      <c r="R78" s="20" t="n">
        <v>0.46287536</v>
      </c>
    </row>
    <row r="79" spans="1:18">
      <c r="A79" s="15" t="s">
        <v>639</v>
      </c>
      <c r="B79" s="17" t="n">
        <v>6062</v>
      </c>
      <c r="C79" s="18">
        <f>(4779.0/B79*100)</f>
        <v/>
      </c>
      <c r="D79" s="19" t="n">
        <v>1283</v>
      </c>
      <c r="E79" s="18" t="n">
        <v>56.41580908</v>
      </c>
      <c r="F79" s="20" t="n">
        <v>1.56808399</v>
      </c>
      <c r="G79" s="18" t="n">
        <v>35.39905684</v>
      </c>
      <c r="H79" s="20" t="n">
        <v>1.53557279</v>
      </c>
      <c r="I79" s="18" t="n">
        <v>0</v>
      </c>
      <c r="J79" s="20" t="n">
        <v>0</v>
      </c>
      <c r="K79" s="18" t="n">
        <v>1.61722499</v>
      </c>
      <c r="L79" s="20" t="n">
        <v>0.39663271</v>
      </c>
      <c r="M79" s="18" t="n">
        <v>0</v>
      </c>
      <c r="N79" s="20" t="n">
        <v>0</v>
      </c>
      <c r="O79" s="18" t="n">
        <v>0</v>
      </c>
      <c r="P79" s="20" t="n">
        <v>0</v>
      </c>
      <c r="Q79" s="18" t="n">
        <v>6.56790908</v>
      </c>
      <c r="R79" s="20" t="n">
        <v>0.69046685</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(25289.0/B82*100)</f>
        <v/>
      </c>
      <c r="D82" s="19" t="n">
        <v>7041</v>
      </c>
      <c r="E82" s="18" t="n">
        <v>34.17270984</v>
      </c>
      <c r="F82" s="20" t="n">
        <v>0.92086557</v>
      </c>
      <c r="G82" s="18" t="n">
        <v>62.26396555</v>
      </c>
      <c r="H82" s="20" t="n">
        <v>0.92113365</v>
      </c>
      <c r="I82" s="18" t="n">
        <v>0</v>
      </c>
      <c r="J82" s="20" t="n">
        <v>0</v>
      </c>
      <c r="K82" s="18" t="n">
        <v>0.57036589</v>
      </c>
      <c r="L82" s="20" t="n">
        <v>0.12201917</v>
      </c>
      <c r="M82" s="18" t="n">
        <v>0</v>
      </c>
      <c r="N82" s="20" t="n">
        <v>0</v>
      </c>
      <c r="O82" s="18" t="n">
        <v>0</v>
      </c>
      <c r="P82" s="20" t="n">
        <v>0</v>
      </c>
      <c r="Q82" s="18" t="n">
        <v>2.99295872</v>
      </c>
      <c r="R82" s="20" t="n">
        <v>0.31892857</v>
      </c>
    </row>
    <row r="83" spans="1:18">
      <c r="A83" s="15" t="s">
        <v>643</v>
      </c>
      <c r="B83" s="17" t="n">
        <v>1652</v>
      </c>
      <c r="C83" s="18">
        <f>(1294.0/B83*100)</f>
        <v/>
      </c>
      <c r="D83" s="19" t="n">
        <v>358</v>
      </c>
      <c r="E83" s="18" t="n">
        <v>41.48514844</v>
      </c>
      <c r="F83" s="20" t="n">
        <v>3.60193972</v>
      </c>
      <c r="G83" s="18" t="n">
        <v>56.66882631</v>
      </c>
      <c r="H83" s="20" t="n">
        <v>3.48050303</v>
      </c>
      <c r="I83" s="18" t="n">
        <v>0</v>
      </c>
      <c r="J83" s="20" t="n">
        <v>0</v>
      </c>
      <c r="K83" s="18" t="n">
        <v>0.57174776</v>
      </c>
      <c r="L83" s="20" t="n">
        <v>0.41707285</v>
      </c>
      <c r="M83" s="18" t="n">
        <v>0</v>
      </c>
      <c r="N83" s="20" t="n">
        <v>0</v>
      </c>
      <c r="O83" s="18" t="n">
        <v>0</v>
      </c>
      <c r="P83" s="20" t="n">
        <v>0</v>
      </c>
      <c r="Q83" s="18" t="n">
        <v>1.27427749</v>
      </c>
      <c r="R83" s="20" t="n">
        <v>0.59449061</v>
      </c>
    </row>
    <row r="84" spans="1:18">
      <c r="A84" s="23" t="s">
        <v>644</v>
      </c>
      <c r="B84" s="24" t="n">
        <v>1887</v>
      </c>
      <c r="C84" s="25">
        <f>(1505.0/B84*100)</f>
        <v/>
      </c>
      <c r="D84" s="19" t="n">
        <v>382</v>
      </c>
      <c r="E84" s="18" t="n">
        <v>53.65278455</v>
      </c>
      <c r="F84" s="20" t="n">
        <v>3.09195994</v>
      </c>
      <c r="G84" s="18" t="n">
        <v>46.07326611</v>
      </c>
      <c r="H84" s="20" t="n">
        <v>3.10620123</v>
      </c>
      <c r="I84" s="18" t="n">
        <v>0</v>
      </c>
      <c r="J84" s="20" t="n">
        <v>0</v>
      </c>
      <c r="K84" s="18" t="n">
        <v>0.27394934</v>
      </c>
      <c r="L84" s="20" t="n">
        <v>0.27319448</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(11462.0/B7*100)</f>
        <v/>
      </c>
      <c r="D7" s="19" t="n">
        <v>3068</v>
      </c>
      <c r="E7" s="18" t="n">
        <v>32.91446746</v>
      </c>
      <c r="F7" s="20" t="n">
        <v>1.01165594</v>
      </c>
      <c r="G7" s="18" t="n">
        <v>65.57850712</v>
      </c>
      <c r="H7" s="20" t="n">
        <v>1.06341322</v>
      </c>
      <c r="I7" s="18" t="n">
        <v>0</v>
      </c>
      <c r="J7" s="20" t="n">
        <v>0</v>
      </c>
      <c r="K7" s="18" t="n">
        <v>1.0402524</v>
      </c>
      <c r="L7" s="20" t="n">
        <v>0.22828404</v>
      </c>
      <c r="M7" s="18" t="n">
        <v>0</v>
      </c>
      <c r="N7" s="20" t="n">
        <v>0</v>
      </c>
      <c r="O7" s="18" t="n">
        <v>0</v>
      </c>
      <c r="P7" s="20" t="n">
        <v>0</v>
      </c>
      <c r="Q7" s="18" t="n">
        <v>0.46677301</v>
      </c>
      <c r="R7" s="20" t="n">
        <v>0.14471217</v>
      </c>
    </row>
    <row r="8" spans="1:18">
      <c r="A8" s="15" t="s">
        <v>566</v>
      </c>
      <c r="B8" s="17" t="n">
        <v>7007</v>
      </c>
      <c r="C8" s="18">
        <f>(5467.0/B8*100)</f>
        <v/>
      </c>
      <c r="D8" s="19" t="n">
        <v>1540</v>
      </c>
      <c r="E8" s="18" t="n">
        <v>36.3168733</v>
      </c>
      <c r="F8" s="20" t="n">
        <v>1.43957375</v>
      </c>
      <c r="G8" s="18" t="n">
        <v>63.08818729</v>
      </c>
      <c r="H8" s="20" t="n">
        <v>1.44924441</v>
      </c>
      <c r="I8" s="18" t="n">
        <v>0</v>
      </c>
      <c r="J8" s="20" t="n">
        <v>0</v>
      </c>
      <c r="K8" s="18" t="n">
        <v>0.27352103</v>
      </c>
      <c r="L8" s="20" t="n">
        <v>0.13621784</v>
      </c>
      <c r="M8" s="18" t="n">
        <v>0</v>
      </c>
      <c r="N8" s="20" t="n">
        <v>0</v>
      </c>
      <c r="O8" s="18" t="n">
        <v>0</v>
      </c>
      <c r="P8" s="20" t="n">
        <v>0</v>
      </c>
      <c r="Q8" s="18" t="n">
        <v>0.32141838</v>
      </c>
      <c r="R8" s="20" t="n">
        <v>0.11581898</v>
      </c>
    </row>
    <row r="9" spans="1:18">
      <c r="A9" s="15" t="s">
        <v>567</v>
      </c>
      <c r="B9" s="17" t="n">
        <v>9651</v>
      </c>
      <c r="C9" s="18">
        <f>(7612.0/B9*100)</f>
        <v/>
      </c>
      <c r="D9" s="19" t="n">
        <v>2039</v>
      </c>
      <c r="E9" s="18" t="n">
        <v>38.29003978</v>
      </c>
      <c r="F9" s="20" t="n">
        <v>1.31447938</v>
      </c>
      <c r="G9" s="18" t="n">
        <v>60.40372754</v>
      </c>
      <c r="H9" s="20" t="n">
        <v>1.32640742</v>
      </c>
      <c r="I9" s="18" t="n">
        <v>0</v>
      </c>
      <c r="J9" s="20" t="n">
        <v>0</v>
      </c>
      <c r="K9" s="18" t="n">
        <v>0.80951407</v>
      </c>
      <c r="L9" s="20" t="n">
        <v>0.24106254</v>
      </c>
      <c r="M9" s="18" t="n">
        <v>0</v>
      </c>
      <c r="N9" s="20" t="n">
        <v>0</v>
      </c>
      <c r="O9" s="18" t="n">
        <v>0</v>
      </c>
      <c r="P9" s="20" t="n">
        <v>0</v>
      </c>
      <c r="Q9" s="18" t="n">
        <v>0.49671861</v>
      </c>
      <c r="R9" s="20" t="n">
        <v>0.15639024</v>
      </c>
    </row>
    <row r="10" spans="1:18">
      <c r="A10" s="15" t="s">
        <v>568</v>
      </c>
      <c r="B10" s="17" t="n">
        <v>20058</v>
      </c>
      <c r="C10" s="18">
        <f>(15644.0/B10*100)</f>
        <v/>
      </c>
      <c r="D10" s="19" t="n">
        <v>4414</v>
      </c>
      <c r="E10" s="18" t="n">
        <v>28.56081452</v>
      </c>
      <c r="F10" s="20" t="n">
        <v>0.93338993</v>
      </c>
      <c r="G10" s="18" t="n">
        <v>70.10045082000001</v>
      </c>
      <c r="H10" s="20" t="n">
        <v>0.99048165</v>
      </c>
      <c r="I10" s="18" t="n">
        <v>0</v>
      </c>
      <c r="J10" s="20" t="n">
        <v>0</v>
      </c>
      <c r="K10" s="18" t="n">
        <v>0.87438994</v>
      </c>
      <c r="L10" s="20" t="n">
        <v>0.20910548</v>
      </c>
      <c r="M10" s="18" t="n">
        <v>0</v>
      </c>
      <c r="N10" s="20" t="n">
        <v>0</v>
      </c>
      <c r="O10" s="18" t="n">
        <v>0</v>
      </c>
      <c r="P10" s="20" t="n">
        <v>0</v>
      </c>
      <c r="Q10" s="18" t="n">
        <v>0.46434472</v>
      </c>
      <c r="R10" s="20" t="n">
        <v>0.13748762</v>
      </c>
    </row>
    <row r="11" spans="1:18">
      <c r="A11" s="15" t="s">
        <v>569</v>
      </c>
      <c r="B11" s="17" t="n">
        <v>7053</v>
      </c>
      <c r="C11" s="18">
        <f>(5528.0/B11*100)</f>
        <v/>
      </c>
      <c r="D11" s="19" t="n">
        <v>1525</v>
      </c>
      <c r="E11" s="18" t="n">
        <v>48.61641097</v>
      </c>
      <c r="F11" s="20" t="n">
        <v>1.4649788</v>
      </c>
      <c r="G11" s="18" t="n">
        <v>49.52963399</v>
      </c>
      <c r="H11" s="20" t="n">
        <v>1.53337014</v>
      </c>
      <c r="I11" s="18" t="n">
        <v>0</v>
      </c>
      <c r="J11" s="20" t="n">
        <v>0</v>
      </c>
      <c r="K11" s="18" t="n">
        <v>1.39281066</v>
      </c>
      <c r="L11" s="20" t="n">
        <v>0.28075361</v>
      </c>
      <c r="M11" s="18" t="n">
        <v>0</v>
      </c>
      <c r="N11" s="20" t="n">
        <v>0</v>
      </c>
      <c r="O11" s="18" t="n">
        <v>0</v>
      </c>
      <c r="P11" s="20" t="n">
        <v>0</v>
      </c>
      <c r="Q11" s="18" t="n">
        <v>0.46114439</v>
      </c>
      <c r="R11" s="20" t="n">
        <v>0.19700664</v>
      </c>
    </row>
    <row r="12" spans="1:18">
      <c r="A12" s="15" t="s">
        <v>570</v>
      </c>
      <c r="B12" s="17" t="n">
        <v>6894</v>
      </c>
      <c r="C12" s="18">
        <f>(5426.0/B12*100)</f>
        <v/>
      </c>
      <c r="D12" s="19" t="n">
        <v>1468</v>
      </c>
      <c r="E12" s="18" t="n">
        <v>37.1702707</v>
      </c>
      <c r="F12" s="20" t="n">
        <v>1.61991561</v>
      </c>
      <c r="G12" s="18" t="n">
        <v>62.45005534</v>
      </c>
      <c r="H12" s="20" t="n">
        <v>1.61543837</v>
      </c>
      <c r="I12" s="18" t="n">
        <v>0</v>
      </c>
      <c r="J12" s="20" t="n">
        <v>0</v>
      </c>
      <c r="K12" s="18" t="n">
        <v>0.22278696</v>
      </c>
      <c r="L12" s="20" t="n">
        <v>0.11162005</v>
      </c>
      <c r="M12" s="18" t="n">
        <v>0</v>
      </c>
      <c r="N12" s="20" t="n">
        <v>0</v>
      </c>
      <c r="O12" s="18" t="n">
        <v>0</v>
      </c>
      <c r="P12" s="20" t="n">
        <v>0</v>
      </c>
      <c r="Q12" s="18" t="n">
        <v>0.156887</v>
      </c>
      <c r="R12" s="20" t="n">
        <v>0.14293476</v>
      </c>
    </row>
    <row r="13" spans="1:18">
      <c r="A13" s="15" t="s">
        <v>571</v>
      </c>
      <c r="B13" s="17" t="n">
        <v>7161</v>
      </c>
      <c r="C13" s="18">
        <f>(5723.0/B13*100)</f>
        <v/>
      </c>
      <c r="D13" s="19" t="n">
        <v>1438</v>
      </c>
      <c r="E13" s="18" t="n">
        <v>36.01446384</v>
      </c>
      <c r="F13" s="20" t="n">
        <v>1.58319903</v>
      </c>
      <c r="G13" s="18" t="n">
        <v>62.56086049</v>
      </c>
      <c r="H13" s="20" t="n">
        <v>1.6535509</v>
      </c>
      <c r="I13" s="18" t="n">
        <v>0</v>
      </c>
      <c r="J13" s="20" t="n">
        <v>0</v>
      </c>
      <c r="K13" s="18" t="n">
        <v>1.1665112</v>
      </c>
      <c r="L13" s="20" t="n">
        <v>0.27712039</v>
      </c>
      <c r="M13" s="18" t="n">
        <v>0</v>
      </c>
      <c r="N13" s="20" t="n">
        <v>0</v>
      </c>
      <c r="O13" s="18" t="n">
        <v>0</v>
      </c>
      <c r="P13" s="20" t="n">
        <v>0</v>
      </c>
      <c r="Q13" s="18" t="n">
        <v>0.25816446</v>
      </c>
      <c r="R13" s="20" t="n">
        <v>0.21387659</v>
      </c>
    </row>
    <row r="14" spans="1:18">
      <c r="A14" s="15" t="s">
        <v>572</v>
      </c>
      <c r="B14" s="17" t="n">
        <v>5587</v>
      </c>
      <c r="C14" s="18">
        <f>(4338.0/B14*100)</f>
        <v/>
      </c>
      <c r="D14" s="19" t="n">
        <v>1249</v>
      </c>
      <c r="E14" s="18" t="n">
        <v>31.13077566</v>
      </c>
      <c r="F14" s="20" t="n">
        <v>1.52232048</v>
      </c>
      <c r="G14" s="18" t="n">
        <v>68.31837271000001</v>
      </c>
      <c r="H14" s="20" t="n">
        <v>1.51631431</v>
      </c>
      <c r="I14" s="18" t="n">
        <v>0</v>
      </c>
      <c r="J14" s="20" t="n">
        <v>0</v>
      </c>
      <c r="K14" s="18" t="n">
        <v>0.47670644</v>
      </c>
      <c r="L14" s="20" t="n">
        <v>0.1819559</v>
      </c>
      <c r="M14" s="18" t="n">
        <v>0</v>
      </c>
      <c r="N14" s="20" t="n">
        <v>0</v>
      </c>
      <c r="O14" s="18" t="n">
        <v>0</v>
      </c>
      <c r="P14" s="20" t="n">
        <v>0</v>
      </c>
      <c r="Q14" s="18" t="n">
        <v>0.07414519</v>
      </c>
      <c r="R14" s="20" t="n">
        <v>0.06654908</v>
      </c>
    </row>
    <row r="15" spans="1:18">
      <c r="A15" s="15" t="s">
        <v>573</v>
      </c>
      <c r="B15" s="17" t="n">
        <v>5882</v>
      </c>
      <c r="C15" s="18">
        <f>(4532.0/B15*100)</f>
        <v/>
      </c>
      <c r="D15" s="19" t="n">
        <v>1350</v>
      </c>
      <c r="E15" s="18" t="n">
        <v>28.88096363</v>
      </c>
      <c r="F15" s="20" t="n">
        <v>1.37706856</v>
      </c>
      <c r="G15" s="18" t="n">
        <v>70.88937024000001</v>
      </c>
      <c r="H15" s="20" t="n">
        <v>1.41644527</v>
      </c>
      <c r="I15" s="18" t="n">
        <v>0</v>
      </c>
      <c r="J15" s="20" t="n">
        <v>0</v>
      </c>
      <c r="K15" s="18" t="n">
        <v>0.1628225</v>
      </c>
      <c r="L15" s="20" t="n">
        <v>0.123256</v>
      </c>
      <c r="M15" s="18" t="n">
        <v>0</v>
      </c>
      <c r="N15" s="20" t="n">
        <v>0</v>
      </c>
      <c r="O15" s="18" t="n">
        <v>0</v>
      </c>
      <c r="P15" s="20" t="n">
        <v>0</v>
      </c>
      <c r="Q15" s="18" t="n">
        <v>0.06684364</v>
      </c>
      <c r="R15" s="20" t="n">
        <v>0.06700257</v>
      </c>
    </row>
    <row r="16" spans="1:18">
      <c r="A16" s="15" t="s">
        <v>574</v>
      </c>
      <c r="B16" s="17" t="n">
        <v>6108</v>
      </c>
      <c r="C16" s="18">
        <f>(4779.0/B16*100)</f>
        <v/>
      </c>
      <c r="D16" s="19" t="n">
        <v>1329</v>
      </c>
      <c r="E16" s="18" t="n">
        <v>36.13470018</v>
      </c>
      <c r="F16" s="20" t="n">
        <v>1.40824815</v>
      </c>
      <c r="G16" s="18" t="n">
        <v>61.16710531</v>
      </c>
      <c r="H16" s="20" t="n">
        <v>1.56595287</v>
      </c>
      <c r="I16" s="18" t="n">
        <v>0</v>
      </c>
      <c r="J16" s="20" t="n">
        <v>0</v>
      </c>
      <c r="K16" s="18" t="n">
        <v>2.05842654</v>
      </c>
      <c r="L16" s="20" t="n">
        <v>0.44931819</v>
      </c>
      <c r="M16" s="18" t="n">
        <v>0</v>
      </c>
      <c r="N16" s="20" t="n">
        <v>0</v>
      </c>
      <c r="O16" s="18" t="n">
        <v>0</v>
      </c>
      <c r="P16" s="20" t="n">
        <v>0</v>
      </c>
      <c r="Q16" s="18" t="n">
        <v>0.63976797</v>
      </c>
      <c r="R16" s="20" t="n">
        <v>0.2387554</v>
      </c>
    </row>
    <row r="17" spans="1:18">
      <c r="A17" s="15" t="s">
        <v>575</v>
      </c>
      <c r="B17" s="17" t="n">
        <v>6504</v>
      </c>
      <c r="C17" s="18">
        <f>(5147.0/B17*100)</f>
        <v/>
      </c>
      <c r="D17" s="19" t="n">
        <v>1357</v>
      </c>
      <c r="E17" s="18" t="n">
        <v>28.87305689</v>
      </c>
      <c r="F17" s="20" t="n">
        <v>1.56769444</v>
      </c>
      <c r="G17" s="18" t="n">
        <v>70.51695055</v>
      </c>
      <c r="H17" s="20" t="n">
        <v>1.51181768</v>
      </c>
      <c r="I17" s="18" t="n">
        <v>0</v>
      </c>
      <c r="J17" s="20" t="n">
        <v>0</v>
      </c>
      <c r="K17" s="18" t="n">
        <v>0.51989086</v>
      </c>
      <c r="L17" s="20" t="n">
        <v>0.21358966</v>
      </c>
      <c r="M17" s="18" t="n">
        <v>0</v>
      </c>
      <c r="N17" s="20" t="n">
        <v>0</v>
      </c>
      <c r="O17" s="18" t="n">
        <v>0</v>
      </c>
      <c r="P17" s="20" t="n">
        <v>0</v>
      </c>
      <c r="Q17" s="18" t="n">
        <v>0.09010169</v>
      </c>
      <c r="R17" s="20" t="n">
        <v>0.08975767</v>
      </c>
    </row>
    <row r="18" spans="1:18">
      <c r="A18" s="15" t="s">
        <v>576</v>
      </c>
      <c r="B18" s="17" t="n">
        <v>5532</v>
      </c>
      <c r="C18" s="18">
        <f>(4335.0/B18*100)</f>
        <v/>
      </c>
      <c r="D18" s="19" t="n">
        <v>1197</v>
      </c>
      <c r="E18" s="18" t="n">
        <v>51.30343299</v>
      </c>
      <c r="F18" s="20" t="n">
        <v>1.37805263</v>
      </c>
      <c r="G18" s="18" t="n">
        <v>46.88616441</v>
      </c>
      <c r="H18" s="20" t="n">
        <v>1.47718417</v>
      </c>
      <c r="I18" s="18" t="n">
        <v>0</v>
      </c>
      <c r="J18" s="20" t="n">
        <v>0</v>
      </c>
      <c r="K18" s="18" t="n">
        <v>1.08259714</v>
      </c>
      <c r="L18" s="20" t="n">
        <v>0.34944789</v>
      </c>
      <c r="M18" s="18" t="n">
        <v>0</v>
      </c>
      <c r="N18" s="20" t="n">
        <v>0</v>
      </c>
      <c r="O18" s="18" t="n">
        <v>0</v>
      </c>
      <c r="P18" s="20" t="n">
        <v>0</v>
      </c>
      <c r="Q18" s="18" t="n">
        <v>0.72780546</v>
      </c>
      <c r="R18" s="20" t="n">
        <v>0.29504904</v>
      </c>
    </row>
    <row r="19" spans="1:18">
      <c r="A19" s="15" t="s">
        <v>577</v>
      </c>
      <c r="B19" s="17" t="n">
        <v>5658</v>
      </c>
      <c r="C19" s="18">
        <f>(4400.0/B19*100)</f>
        <v/>
      </c>
      <c r="D19" s="19" t="n">
        <v>1258</v>
      </c>
      <c r="E19" s="18" t="n">
        <v>38.49284858</v>
      </c>
      <c r="F19" s="20" t="n">
        <v>1.55154341</v>
      </c>
      <c r="G19" s="18" t="n">
        <v>60.31485867</v>
      </c>
      <c r="H19" s="20" t="n">
        <v>1.53722578</v>
      </c>
      <c r="I19" s="18" t="n">
        <v>0</v>
      </c>
      <c r="J19" s="20" t="n">
        <v>0</v>
      </c>
      <c r="K19" s="18" t="n">
        <v>0.32967604</v>
      </c>
      <c r="L19" s="20" t="n">
        <v>0.19761849</v>
      </c>
      <c r="M19" s="18" t="n">
        <v>0</v>
      </c>
      <c r="N19" s="20" t="n">
        <v>0</v>
      </c>
      <c r="O19" s="18" t="n">
        <v>0</v>
      </c>
      <c r="P19" s="20" t="n">
        <v>0</v>
      </c>
      <c r="Q19" s="18" t="n">
        <v>0.8626167</v>
      </c>
      <c r="R19" s="20" t="n">
        <v>0.2869417</v>
      </c>
    </row>
    <row r="20" spans="1:18">
      <c r="A20" s="15" t="s">
        <v>578</v>
      </c>
      <c r="B20" s="17" t="n">
        <v>3371</v>
      </c>
      <c r="C20" s="18">
        <f>(2649.0/B20*100)</f>
        <v/>
      </c>
      <c r="D20" s="19" t="n">
        <v>722</v>
      </c>
      <c r="E20" s="18" t="n">
        <v>41.07633047</v>
      </c>
      <c r="F20" s="20" t="n">
        <v>1.93360555</v>
      </c>
      <c r="G20" s="18" t="n">
        <v>58.00598681</v>
      </c>
      <c r="H20" s="20" t="n">
        <v>1.9217272</v>
      </c>
      <c r="I20" s="18" t="n">
        <v>0</v>
      </c>
      <c r="J20" s="20" t="n">
        <v>0</v>
      </c>
      <c r="K20" s="18" t="n">
        <v>0.65123516</v>
      </c>
      <c r="L20" s="20" t="n">
        <v>0.28703998</v>
      </c>
      <c r="M20" s="18" t="n">
        <v>0</v>
      </c>
      <c r="N20" s="20" t="n">
        <v>0</v>
      </c>
      <c r="O20" s="18" t="n">
        <v>0</v>
      </c>
      <c r="P20" s="20" t="n">
        <v>0</v>
      </c>
      <c r="Q20" s="18" t="n">
        <v>0.26644756</v>
      </c>
      <c r="R20" s="20" t="n">
        <v>0.18838184</v>
      </c>
    </row>
    <row r="21" spans="1:18">
      <c r="A21" s="15" t="s">
        <v>579</v>
      </c>
      <c r="B21" s="17" t="n">
        <v>5741</v>
      </c>
      <c r="C21" s="18">
        <f>(4496.0/B21*100)</f>
        <v/>
      </c>
      <c r="D21" s="19" t="n">
        <v>1245</v>
      </c>
      <c r="E21" s="18" t="n">
        <v>33.68069925</v>
      </c>
      <c r="F21" s="20" t="n">
        <v>1.34720953</v>
      </c>
      <c r="G21" s="18" t="n">
        <v>64.96145099</v>
      </c>
      <c r="H21" s="20" t="n">
        <v>1.39836966</v>
      </c>
      <c r="I21" s="18" t="n">
        <v>0</v>
      </c>
      <c r="J21" s="20" t="n">
        <v>0</v>
      </c>
      <c r="K21" s="18" t="n">
        <v>1.04325709</v>
      </c>
      <c r="L21" s="20" t="n">
        <v>0.28237246</v>
      </c>
      <c r="M21" s="18" t="n">
        <v>0</v>
      </c>
      <c r="N21" s="20" t="n">
        <v>0</v>
      </c>
      <c r="O21" s="18" t="n">
        <v>0</v>
      </c>
      <c r="P21" s="20" t="n">
        <v>0</v>
      </c>
      <c r="Q21" s="18" t="n">
        <v>0.31459268</v>
      </c>
      <c r="R21" s="20" t="n">
        <v>0.16722457</v>
      </c>
    </row>
    <row r="22" spans="1:18">
      <c r="A22" s="15" t="s">
        <v>580</v>
      </c>
      <c r="B22" s="17" t="n">
        <v>6598</v>
      </c>
      <c r="C22" s="18">
        <f>(5243.0/B22*100)</f>
        <v/>
      </c>
      <c r="D22" s="19" t="n">
        <v>1355</v>
      </c>
      <c r="E22" s="18" t="n">
        <v>48.65247442</v>
      </c>
      <c r="F22" s="20" t="n">
        <v>1.63378951</v>
      </c>
      <c r="G22" s="18" t="n">
        <v>49.0903864</v>
      </c>
      <c r="H22" s="20" t="n">
        <v>1.56039455</v>
      </c>
      <c r="I22" s="18" t="n">
        <v>0</v>
      </c>
      <c r="J22" s="20" t="n">
        <v>0</v>
      </c>
      <c r="K22" s="18" t="n">
        <v>1.36787907</v>
      </c>
      <c r="L22" s="20" t="n">
        <v>0.3554741</v>
      </c>
      <c r="M22" s="18" t="n">
        <v>0</v>
      </c>
      <c r="N22" s="20" t="n">
        <v>0</v>
      </c>
      <c r="O22" s="18" t="n">
        <v>0</v>
      </c>
      <c r="P22" s="20" t="n">
        <v>0</v>
      </c>
      <c r="Q22" s="18" t="n">
        <v>0.88926012</v>
      </c>
      <c r="R22" s="20" t="n">
        <v>0.27506133</v>
      </c>
    </row>
    <row r="23" spans="1:18">
      <c r="A23" s="15" t="s">
        <v>581</v>
      </c>
      <c r="B23" s="17" t="n">
        <v>11583</v>
      </c>
      <c r="C23" s="18">
        <f>(9043.0/B23*100)</f>
        <v/>
      </c>
      <c r="D23" s="19" t="n">
        <v>2540</v>
      </c>
      <c r="E23" s="18" t="n">
        <v>45.50257871</v>
      </c>
      <c r="F23" s="20" t="n">
        <v>1.09356595</v>
      </c>
      <c r="G23" s="18" t="n">
        <v>52.78554423</v>
      </c>
      <c r="H23" s="20" t="n">
        <v>1.16305321</v>
      </c>
      <c r="I23" s="18" t="n">
        <v>0</v>
      </c>
      <c r="J23" s="20" t="n">
        <v>0</v>
      </c>
      <c r="K23" s="18" t="n">
        <v>1.20636516</v>
      </c>
      <c r="L23" s="20" t="n">
        <v>0.34105018</v>
      </c>
      <c r="M23" s="18" t="n">
        <v>0</v>
      </c>
      <c r="N23" s="20" t="n">
        <v>0</v>
      </c>
      <c r="O23" s="18" t="n">
        <v>0</v>
      </c>
      <c r="P23" s="20" t="n">
        <v>0</v>
      </c>
      <c r="Q23" s="18" t="n">
        <v>0.5055119</v>
      </c>
      <c r="R23" s="20" t="n">
        <v>0.20432701</v>
      </c>
    </row>
    <row r="24" spans="1:18">
      <c r="A24" s="15" t="s">
        <v>582</v>
      </c>
      <c r="B24" s="17" t="n">
        <v>6647</v>
      </c>
      <c r="C24" s="18">
        <f>(5220.0/B24*100)</f>
        <v/>
      </c>
      <c r="D24" s="19" t="n">
        <v>1427</v>
      </c>
      <c r="E24" s="18" t="n">
        <v>32.33726505</v>
      </c>
      <c r="F24" s="20" t="n">
        <v>1.087495</v>
      </c>
      <c r="G24" s="18" t="n">
        <v>66.78229576</v>
      </c>
      <c r="H24" s="20" t="n">
        <v>1.09581972</v>
      </c>
      <c r="I24" s="18" t="n">
        <v>0</v>
      </c>
      <c r="J24" s="20" t="n">
        <v>0</v>
      </c>
      <c r="K24" s="18" t="n">
        <v>0.5985765</v>
      </c>
      <c r="L24" s="20" t="n">
        <v>0.20259311</v>
      </c>
      <c r="M24" s="18" t="n">
        <v>0</v>
      </c>
      <c r="N24" s="20" t="n">
        <v>0</v>
      </c>
      <c r="O24" s="18" t="n">
        <v>0</v>
      </c>
      <c r="P24" s="20" t="n">
        <v>0</v>
      </c>
      <c r="Q24" s="18" t="n">
        <v>0.28186269</v>
      </c>
      <c r="R24" s="20" t="n">
        <v>0.1262105</v>
      </c>
    </row>
    <row r="25" spans="1:18">
      <c r="A25" s="15" t="s">
        <v>583</v>
      </c>
      <c r="B25" s="17" t="n">
        <v>5581</v>
      </c>
      <c r="C25" s="18">
        <f>(4366.0/B25*100)</f>
        <v/>
      </c>
      <c r="D25" s="19" t="n">
        <v>1215</v>
      </c>
      <c r="E25" s="18" t="n">
        <v>41.611565</v>
      </c>
      <c r="F25" s="20" t="n">
        <v>1.53001661</v>
      </c>
      <c r="G25" s="18" t="n">
        <v>58.16198996</v>
      </c>
      <c r="H25" s="20" t="n">
        <v>1.51639437</v>
      </c>
      <c r="I25" s="18" t="n">
        <v>0</v>
      </c>
      <c r="J25" s="20" t="n">
        <v>0</v>
      </c>
      <c r="K25" s="18" t="n">
        <v>0.06954566</v>
      </c>
      <c r="L25" s="20" t="n">
        <v>0.0699224</v>
      </c>
      <c r="M25" s="18" t="n">
        <v>0</v>
      </c>
      <c r="N25" s="20" t="n">
        <v>0</v>
      </c>
      <c r="O25" s="18" t="n">
        <v>0</v>
      </c>
      <c r="P25" s="20" t="n">
        <v>0</v>
      </c>
      <c r="Q25" s="18" t="n">
        <v>0.15689938</v>
      </c>
      <c r="R25" s="20" t="n">
        <v>0.11160198</v>
      </c>
    </row>
    <row r="26" spans="1:18">
      <c r="A26" s="15" t="s">
        <v>584</v>
      </c>
      <c r="B26" s="17" t="n">
        <v>4869</v>
      </c>
      <c r="C26" s="18">
        <f>(3773.0/B26*100)</f>
        <v/>
      </c>
      <c r="D26" s="19" t="n">
        <v>1096</v>
      </c>
      <c r="E26" s="18" t="n">
        <v>45.56964634</v>
      </c>
      <c r="F26" s="20" t="n">
        <v>1.62753846</v>
      </c>
      <c r="G26" s="18" t="n">
        <v>53.89415984</v>
      </c>
      <c r="H26" s="20" t="n">
        <v>1.618358</v>
      </c>
      <c r="I26" s="18" t="n">
        <v>0</v>
      </c>
      <c r="J26" s="20" t="n">
        <v>0</v>
      </c>
      <c r="K26" s="18" t="n">
        <v>0.06820373</v>
      </c>
      <c r="L26" s="20" t="n">
        <v>0.06886655</v>
      </c>
      <c r="M26" s="18" t="n">
        <v>0</v>
      </c>
      <c r="N26" s="20" t="n">
        <v>0</v>
      </c>
      <c r="O26" s="18" t="n">
        <v>0</v>
      </c>
      <c r="P26" s="20" t="n">
        <v>0</v>
      </c>
      <c r="Q26" s="18" t="n">
        <v>0.46799009</v>
      </c>
      <c r="R26" s="20" t="n">
        <v>0.22643876</v>
      </c>
    </row>
    <row r="27" spans="1:18">
      <c r="A27" s="15" t="s">
        <v>585</v>
      </c>
      <c r="B27" s="17" t="n">
        <v>5299</v>
      </c>
      <c r="C27" s="18">
        <f>(4189.0/B27*100)</f>
        <v/>
      </c>
      <c r="D27" s="19" t="n">
        <v>1110</v>
      </c>
      <c r="E27" s="18" t="n">
        <v>34.87454708</v>
      </c>
      <c r="F27" s="20" t="n">
        <v>1.47959239</v>
      </c>
      <c r="G27" s="18" t="n">
        <v>63.68501218</v>
      </c>
      <c r="H27" s="20" t="n">
        <v>1.5053991</v>
      </c>
      <c r="I27" s="18" t="n">
        <v>0</v>
      </c>
      <c r="J27" s="20" t="n">
        <v>0</v>
      </c>
      <c r="K27" s="18" t="n">
        <v>0.54437147</v>
      </c>
      <c r="L27" s="20" t="n">
        <v>0.21985251</v>
      </c>
      <c r="M27" s="18" t="n">
        <v>0</v>
      </c>
      <c r="N27" s="20" t="n">
        <v>0</v>
      </c>
      <c r="O27" s="18" t="n">
        <v>0</v>
      </c>
      <c r="P27" s="20" t="n">
        <v>0</v>
      </c>
      <c r="Q27" s="18" t="n">
        <v>0.89606927</v>
      </c>
      <c r="R27" s="20" t="n">
        <v>0.28275943</v>
      </c>
    </row>
    <row r="28" spans="1:18">
      <c r="A28" s="15" t="s">
        <v>586</v>
      </c>
      <c r="B28" s="17" t="n">
        <v>7568</v>
      </c>
      <c r="C28" s="18">
        <f>(6084.0/B28*100)</f>
        <v/>
      </c>
      <c r="D28" s="19" t="n">
        <v>1484</v>
      </c>
      <c r="E28" s="18" t="n">
        <v>53.49042859</v>
      </c>
      <c r="F28" s="20" t="n">
        <v>1.46706505</v>
      </c>
      <c r="G28" s="18" t="n">
        <v>44.48575389</v>
      </c>
      <c r="H28" s="20" t="n">
        <v>1.5000158</v>
      </c>
      <c r="I28" s="18" t="n">
        <v>0</v>
      </c>
      <c r="J28" s="20" t="n">
        <v>0</v>
      </c>
      <c r="K28" s="18" t="n">
        <v>1.25276286</v>
      </c>
      <c r="L28" s="20" t="n">
        <v>0.3889362</v>
      </c>
      <c r="M28" s="18" t="n">
        <v>0</v>
      </c>
      <c r="N28" s="20" t="n">
        <v>0</v>
      </c>
      <c r="O28" s="18" t="n">
        <v>0</v>
      </c>
      <c r="P28" s="20" t="n">
        <v>0</v>
      </c>
      <c r="Q28" s="18" t="n">
        <v>0.7710546700000001</v>
      </c>
      <c r="R28" s="20" t="n">
        <v>0.25718808</v>
      </c>
    </row>
    <row r="29" spans="1:18">
      <c r="A29" s="15" t="s">
        <v>587</v>
      </c>
      <c r="B29" s="17" t="n">
        <v>5385</v>
      </c>
      <c r="C29" s="18">
        <f>(4213.0/B29*100)</f>
        <v/>
      </c>
      <c r="D29" s="19" t="n">
        <v>1172</v>
      </c>
      <c r="E29" s="18" t="n">
        <v>41.7720305</v>
      </c>
      <c r="F29" s="20" t="n">
        <v>1.3326083</v>
      </c>
      <c r="G29" s="18" t="n">
        <v>57.56206285</v>
      </c>
      <c r="H29" s="20" t="n">
        <v>1.38722305</v>
      </c>
      <c r="I29" s="18" t="n">
        <v>0</v>
      </c>
      <c r="J29" s="20" t="n">
        <v>0</v>
      </c>
      <c r="K29" s="18" t="n">
        <v>0.58477225</v>
      </c>
      <c r="L29" s="20" t="n">
        <v>0.20269858</v>
      </c>
      <c r="M29" s="18" t="n">
        <v>0</v>
      </c>
      <c r="N29" s="20" t="n">
        <v>0</v>
      </c>
      <c r="O29" s="18" t="n">
        <v>0</v>
      </c>
      <c r="P29" s="20" t="n">
        <v>0</v>
      </c>
      <c r="Q29" s="18" t="n">
        <v>0.08113439</v>
      </c>
      <c r="R29" s="20" t="n">
        <v>0.0852855</v>
      </c>
    </row>
    <row r="30" spans="1:18">
      <c r="A30" s="15" t="s">
        <v>588</v>
      </c>
      <c r="B30" s="17" t="n">
        <v>4520</v>
      </c>
      <c r="C30" s="18">
        <f>(3581.0/B30*100)</f>
        <v/>
      </c>
      <c r="D30" s="19" t="n">
        <v>939</v>
      </c>
      <c r="E30" s="18" t="n">
        <v>26.42720818</v>
      </c>
      <c r="F30" s="20" t="n">
        <v>1.42640337</v>
      </c>
      <c r="G30" s="18" t="n">
        <v>72.15323601999999</v>
      </c>
      <c r="H30" s="20" t="n">
        <v>1.38981622</v>
      </c>
      <c r="I30" s="18" t="n">
        <v>0</v>
      </c>
      <c r="J30" s="20" t="n">
        <v>0</v>
      </c>
      <c r="K30" s="18" t="n">
        <v>0.4466207</v>
      </c>
      <c r="L30" s="20" t="n">
        <v>0.20349002</v>
      </c>
      <c r="M30" s="18" t="n">
        <v>0</v>
      </c>
      <c r="N30" s="20" t="n">
        <v>0</v>
      </c>
      <c r="O30" s="18" t="n">
        <v>0</v>
      </c>
      <c r="P30" s="20" t="n">
        <v>0</v>
      </c>
      <c r="Q30" s="18" t="n">
        <v>0.9729351000000001</v>
      </c>
      <c r="R30" s="20" t="n">
        <v>0.32516855</v>
      </c>
    </row>
    <row r="31" spans="1:18">
      <c r="A31" s="15" t="s">
        <v>589</v>
      </c>
      <c r="B31" s="17" t="n">
        <v>5456</v>
      </c>
      <c r="C31" s="18">
        <f>(4308.0/B31*100)</f>
        <v/>
      </c>
      <c r="D31" s="19" t="n">
        <v>1148</v>
      </c>
      <c r="E31" s="18" t="n">
        <v>42.09605022</v>
      </c>
      <c r="F31" s="20" t="n">
        <v>1.68490446</v>
      </c>
      <c r="G31" s="18" t="n">
        <v>56.5328423</v>
      </c>
      <c r="H31" s="20" t="n">
        <v>1.65906661</v>
      </c>
      <c r="I31" s="18" t="n">
        <v>0</v>
      </c>
      <c r="J31" s="20" t="n">
        <v>0</v>
      </c>
      <c r="K31" s="18" t="n">
        <v>1.16827934</v>
      </c>
      <c r="L31" s="20" t="n">
        <v>0.30301965</v>
      </c>
      <c r="M31" s="18" t="n">
        <v>0</v>
      </c>
      <c r="N31" s="20" t="n">
        <v>0</v>
      </c>
      <c r="O31" s="18" t="n">
        <v>0</v>
      </c>
      <c r="P31" s="20" t="n">
        <v>0</v>
      </c>
      <c r="Q31" s="18" t="n">
        <v>0.20282814</v>
      </c>
      <c r="R31" s="20" t="n">
        <v>0.1288247</v>
      </c>
    </row>
    <row r="32" spans="1:18">
      <c r="A32" s="15" t="s">
        <v>590</v>
      </c>
      <c r="B32" s="17" t="n">
        <v>4478</v>
      </c>
      <c r="C32" s="18">
        <f>(3549.0/B32*100)</f>
        <v/>
      </c>
      <c r="D32" s="19" t="n">
        <v>929</v>
      </c>
      <c r="E32" s="18" t="n">
        <v>38.96957201</v>
      </c>
      <c r="F32" s="20" t="n">
        <v>1.60592328</v>
      </c>
      <c r="G32" s="18" t="n">
        <v>60.54008807</v>
      </c>
      <c r="H32" s="20" t="n">
        <v>1.66282169</v>
      </c>
      <c r="I32" s="18" t="n">
        <v>0</v>
      </c>
      <c r="J32" s="20" t="n">
        <v>0</v>
      </c>
      <c r="K32" s="18" t="n">
        <v>0.38530735</v>
      </c>
      <c r="L32" s="20" t="n">
        <v>0.19765594</v>
      </c>
      <c r="M32" s="18" t="n">
        <v>0</v>
      </c>
      <c r="N32" s="20" t="n">
        <v>0</v>
      </c>
      <c r="O32" s="18" t="n">
        <v>0</v>
      </c>
      <c r="P32" s="20" t="n">
        <v>0</v>
      </c>
      <c r="Q32" s="18" t="n">
        <v>0.10503256</v>
      </c>
      <c r="R32" s="20" t="n">
        <v>0.09467201</v>
      </c>
    </row>
    <row r="33" spans="1:18">
      <c r="A33" s="15" t="s">
        <v>591</v>
      </c>
      <c r="B33" s="17" t="n">
        <v>7325</v>
      </c>
      <c r="C33" s="18">
        <f>(5785.0/B33*100)</f>
        <v/>
      </c>
      <c r="D33" s="19" t="n">
        <v>1540</v>
      </c>
      <c r="E33" s="18" t="n">
        <v>40.16207172</v>
      </c>
      <c r="F33" s="20" t="n">
        <v>1.37212288</v>
      </c>
      <c r="G33" s="18" t="n">
        <v>59.18521408</v>
      </c>
      <c r="H33" s="20" t="n">
        <v>1.39844166</v>
      </c>
      <c r="I33" s="18" t="n">
        <v>0</v>
      </c>
      <c r="J33" s="20" t="n">
        <v>0</v>
      </c>
      <c r="K33" s="18" t="n">
        <v>0.35067355</v>
      </c>
      <c r="L33" s="20" t="n">
        <v>0.16756409</v>
      </c>
      <c r="M33" s="18" t="n">
        <v>0</v>
      </c>
      <c r="N33" s="20" t="n">
        <v>0</v>
      </c>
      <c r="O33" s="18" t="n">
        <v>0</v>
      </c>
      <c r="P33" s="20" t="n">
        <v>0</v>
      </c>
      <c r="Q33" s="18" t="n">
        <v>0.30204066</v>
      </c>
      <c r="R33" s="20" t="n">
        <v>0.15044399</v>
      </c>
    </row>
    <row r="34" spans="1:18">
      <c r="A34" s="15" t="s">
        <v>592</v>
      </c>
      <c r="B34" s="17" t="n">
        <v>6350</v>
      </c>
      <c r="C34" s="18">
        <f>(5026.0/B34*100)</f>
        <v/>
      </c>
      <c r="D34" s="19" t="n">
        <v>1324</v>
      </c>
      <c r="E34" s="18" t="n">
        <v>46.40480182</v>
      </c>
      <c r="F34" s="20" t="n">
        <v>1.50591732</v>
      </c>
      <c r="G34" s="18" t="n">
        <v>52.40981964</v>
      </c>
      <c r="H34" s="20" t="n">
        <v>1.53323044</v>
      </c>
      <c r="I34" s="18" t="n">
        <v>0</v>
      </c>
      <c r="J34" s="20" t="n">
        <v>0</v>
      </c>
      <c r="K34" s="18" t="n">
        <v>0.30404748</v>
      </c>
      <c r="L34" s="20" t="n">
        <v>0.15848967</v>
      </c>
      <c r="M34" s="18" t="n">
        <v>0</v>
      </c>
      <c r="N34" s="20" t="n">
        <v>0</v>
      </c>
      <c r="O34" s="18" t="n">
        <v>0</v>
      </c>
      <c r="P34" s="20" t="n">
        <v>0</v>
      </c>
      <c r="Q34" s="18" t="n">
        <v>0.8813310600000001</v>
      </c>
      <c r="R34" s="20" t="n">
        <v>0.2979186</v>
      </c>
    </row>
    <row r="35" spans="1:18">
      <c r="A35" s="15" t="s">
        <v>593</v>
      </c>
      <c r="B35" s="17" t="n">
        <v>6406</v>
      </c>
      <c r="C35" s="18">
        <f>(4981.0/B35*100)</f>
        <v/>
      </c>
      <c r="D35" s="19" t="n">
        <v>1425</v>
      </c>
      <c r="E35" s="18" t="n">
        <v>45.60444574</v>
      </c>
      <c r="F35" s="20" t="n">
        <v>1.6555811</v>
      </c>
      <c r="G35" s="18" t="n">
        <v>53.88737446</v>
      </c>
      <c r="H35" s="20" t="n">
        <v>1.66148122</v>
      </c>
      <c r="I35" s="18" t="n">
        <v>0</v>
      </c>
      <c r="J35" s="20" t="n">
        <v>0</v>
      </c>
      <c r="K35" s="18" t="n">
        <v>0.16852033</v>
      </c>
      <c r="L35" s="20" t="n">
        <v>0.11322689</v>
      </c>
      <c r="M35" s="18" t="n">
        <v>0</v>
      </c>
      <c r="N35" s="20" t="n">
        <v>0</v>
      </c>
      <c r="O35" s="18" t="n">
        <v>0</v>
      </c>
      <c r="P35" s="20" t="n">
        <v>0</v>
      </c>
      <c r="Q35" s="18" t="n">
        <v>0.33965947</v>
      </c>
      <c r="R35" s="20" t="n">
        <v>0.15497358</v>
      </c>
    </row>
    <row r="36" spans="1:18">
      <c r="A36" s="15" t="s">
        <v>594</v>
      </c>
      <c r="B36" s="17" t="n">
        <v>6736</v>
      </c>
      <c r="C36" s="18">
        <f>(5291.0/B36*100)</f>
        <v/>
      </c>
      <c r="D36" s="19" t="n">
        <v>1445</v>
      </c>
      <c r="E36" s="18" t="n">
        <v>41.12587113</v>
      </c>
      <c r="F36" s="20" t="n">
        <v>1.44988082</v>
      </c>
      <c r="G36" s="18" t="n">
        <v>58.11968906</v>
      </c>
      <c r="H36" s="20" t="n">
        <v>1.4584269</v>
      </c>
      <c r="I36" s="18" t="n">
        <v>0</v>
      </c>
      <c r="J36" s="20" t="n">
        <v>0</v>
      </c>
      <c r="K36" s="18" t="n">
        <v>0.52757368</v>
      </c>
      <c r="L36" s="20" t="n">
        <v>0.21245213</v>
      </c>
      <c r="M36" s="18" t="n">
        <v>0</v>
      </c>
      <c r="N36" s="20" t="n">
        <v>0</v>
      </c>
      <c r="O36" s="18" t="n">
        <v>0</v>
      </c>
      <c r="P36" s="20" t="n">
        <v>0</v>
      </c>
      <c r="Q36" s="18" t="n">
        <v>0.22686613</v>
      </c>
      <c r="R36" s="20" t="n">
        <v>0.14148127</v>
      </c>
    </row>
    <row r="37" spans="1:18">
      <c r="A37" s="15" t="s">
        <v>595</v>
      </c>
      <c r="B37" s="17" t="n">
        <v>5458</v>
      </c>
      <c r="C37" s="18">
        <f>(4316.0/B37*100)</f>
        <v/>
      </c>
      <c r="D37" s="19" t="n">
        <v>1142</v>
      </c>
      <c r="E37" s="18" t="n">
        <v>41.34364311</v>
      </c>
      <c r="F37" s="20" t="n">
        <v>1.79898497</v>
      </c>
      <c r="G37" s="18" t="n">
        <v>56.94348068</v>
      </c>
      <c r="H37" s="20" t="n">
        <v>1.84011489</v>
      </c>
      <c r="I37" s="18" t="n">
        <v>0</v>
      </c>
      <c r="J37" s="20" t="n">
        <v>0</v>
      </c>
      <c r="K37" s="18" t="n">
        <v>1.48047203</v>
      </c>
      <c r="L37" s="20" t="n">
        <v>0.29790416</v>
      </c>
      <c r="M37" s="18" t="n">
        <v>0</v>
      </c>
      <c r="N37" s="20" t="n">
        <v>0</v>
      </c>
      <c r="O37" s="18" t="n">
        <v>0</v>
      </c>
      <c r="P37" s="20" t="n">
        <v>0</v>
      </c>
      <c r="Q37" s="18" t="n">
        <v>0.23240418</v>
      </c>
      <c r="R37" s="20" t="n">
        <v>0.13837514</v>
      </c>
    </row>
    <row r="38" spans="1:18">
      <c r="A38" s="15" t="s">
        <v>596</v>
      </c>
      <c r="B38" s="17" t="n">
        <v>5860</v>
      </c>
      <c r="C38" s="18">
        <f>(4527.0/B38*100)</f>
        <v/>
      </c>
      <c r="D38" s="19" t="n">
        <v>1333</v>
      </c>
      <c r="E38" s="18" t="n">
        <v>31.60390536</v>
      </c>
      <c r="F38" s="20" t="n">
        <v>1.49059708</v>
      </c>
      <c r="G38" s="18" t="n">
        <v>67.41708706999999</v>
      </c>
      <c r="H38" s="20" t="n">
        <v>1.50830008</v>
      </c>
      <c r="I38" s="18" t="n">
        <v>0</v>
      </c>
      <c r="J38" s="20" t="n">
        <v>0</v>
      </c>
      <c r="K38" s="18" t="n">
        <v>0.90038987</v>
      </c>
      <c r="L38" s="20" t="n">
        <v>0.28103499</v>
      </c>
      <c r="M38" s="18" t="n">
        <v>0</v>
      </c>
      <c r="N38" s="20" t="n">
        <v>0</v>
      </c>
      <c r="O38" s="18" t="n">
        <v>0</v>
      </c>
      <c r="P38" s="20" t="n">
        <v>0</v>
      </c>
      <c r="Q38" s="18" t="n">
        <v>0.0786177</v>
      </c>
      <c r="R38" s="20" t="n">
        <v>0.0678695</v>
      </c>
    </row>
    <row r="39" spans="1:18">
      <c r="A39" s="15" t="s">
        <v>597</v>
      </c>
      <c r="B39" s="17" t="n">
        <v>5895</v>
      </c>
      <c r="C39" s="18">
        <f>(4592.0/B39*100)</f>
        <v/>
      </c>
      <c r="D39" s="19" t="n">
        <v>1303</v>
      </c>
      <c r="E39" s="18" t="n">
        <v>51.86647537</v>
      </c>
      <c r="F39" s="20" t="n">
        <v>1.55354224</v>
      </c>
      <c r="G39" s="18" t="n">
        <v>47.45521388</v>
      </c>
      <c r="H39" s="20" t="n">
        <v>1.53658432</v>
      </c>
      <c r="I39" s="18" t="n">
        <v>0</v>
      </c>
      <c r="J39" s="20" t="n">
        <v>0</v>
      </c>
      <c r="K39" s="18" t="n">
        <v>0.17031345</v>
      </c>
      <c r="L39" s="20" t="n">
        <v>0.12157442</v>
      </c>
      <c r="M39" s="18" t="n">
        <v>0</v>
      </c>
      <c r="N39" s="20" t="n">
        <v>0</v>
      </c>
      <c r="O39" s="18" t="n">
        <v>0</v>
      </c>
      <c r="P39" s="20" t="n">
        <v>0</v>
      </c>
      <c r="Q39" s="18" t="n">
        <v>0.5079973</v>
      </c>
      <c r="R39" s="20" t="n">
        <v>0.17922001</v>
      </c>
    </row>
    <row r="40" spans="1:18">
      <c r="A40" s="15" t="s">
        <v>598</v>
      </c>
      <c r="B40" s="17" t="n">
        <v>14157</v>
      </c>
      <c r="C40" s="18">
        <f>(10990.0/B40*100)</f>
        <v/>
      </c>
      <c r="D40" s="19" t="n">
        <v>3167</v>
      </c>
      <c r="E40" s="18" t="n">
        <v>34.64683855</v>
      </c>
      <c r="F40" s="20" t="n">
        <v>1.22846074</v>
      </c>
      <c r="G40" s="18" t="n">
        <v>64.57210481</v>
      </c>
      <c r="H40" s="20" t="n">
        <v>1.24668434</v>
      </c>
      <c r="I40" s="18" t="n">
        <v>0</v>
      </c>
      <c r="J40" s="20" t="n">
        <v>0</v>
      </c>
      <c r="K40" s="18" t="n">
        <v>0.51794064</v>
      </c>
      <c r="L40" s="20" t="n">
        <v>0.17840913</v>
      </c>
      <c r="M40" s="18" t="n">
        <v>0</v>
      </c>
      <c r="N40" s="20" t="n">
        <v>0</v>
      </c>
      <c r="O40" s="18" t="n">
        <v>0</v>
      </c>
      <c r="P40" s="20" t="n">
        <v>0</v>
      </c>
      <c r="Q40" s="18" t="n">
        <v>0.263116</v>
      </c>
      <c r="R40" s="20" t="n">
        <v>0.11910833</v>
      </c>
    </row>
    <row r="41" spans="1:18">
      <c r="A41" s="15" t="s">
        <v>599</v>
      </c>
      <c r="B41" s="17" t="n">
        <v>5712</v>
      </c>
      <c r="C41" s="18">
        <f>(4536.0/B41*100)</f>
        <v/>
      </c>
      <c r="D41" s="19" t="n">
        <v>1176</v>
      </c>
      <c r="E41" s="18" t="n">
        <v>37.01873585</v>
      </c>
      <c r="F41" s="20" t="n">
        <v>1.6145762</v>
      </c>
      <c r="G41" s="18" t="n">
        <v>62.3708389</v>
      </c>
      <c r="H41" s="20" t="n">
        <v>1.65651792</v>
      </c>
      <c r="I41" s="18" t="n">
        <v>0</v>
      </c>
      <c r="J41" s="20" t="n">
        <v>0</v>
      </c>
      <c r="K41" s="18" t="n">
        <v>0.38838717</v>
      </c>
      <c r="L41" s="20" t="n">
        <v>0.18836324</v>
      </c>
      <c r="M41" s="18" t="n">
        <v>0</v>
      </c>
      <c r="N41" s="20" t="n">
        <v>0</v>
      </c>
      <c r="O41" s="18" t="n">
        <v>0</v>
      </c>
      <c r="P41" s="20" t="n">
        <v>0</v>
      </c>
      <c r="Q41" s="18" t="n">
        <v>0.22203808</v>
      </c>
      <c r="R41" s="20" t="n">
        <v>0.12380081</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(19419.0/B46*100)</f>
        <v/>
      </c>
      <c r="D46" s="19" t="n">
        <v>3722</v>
      </c>
      <c r="E46" s="18" t="n">
        <v>47.67127293</v>
      </c>
      <c r="F46" s="20" t="n">
        <v>1.1985449</v>
      </c>
      <c r="G46" s="18" t="n">
        <v>48.90010181</v>
      </c>
      <c r="H46" s="20" t="n">
        <v>1.22492531</v>
      </c>
      <c r="I46" s="18" t="n">
        <v>0</v>
      </c>
      <c r="J46" s="20" t="n">
        <v>0</v>
      </c>
      <c r="K46" s="18" t="n">
        <v>2.49863329</v>
      </c>
      <c r="L46" s="20" t="n">
        <v>0.52392078</v>
      </c>
      <c r="M46" s="18" t="n">
        <v>0</v>
      </c>
      <c r="N46" s="20" t="n">
        <v>0</v>
      </c>
      <c r="O46" s="18" t="n">
        <v>0</v>
      </c>
      <c r="P46" s="20" t="n">
        <v>0</v>
      </c>
      <c r="Q46" s="18" t="n">
        <v>0.92999197</v>
      </c>
      <c r="R46" s="20" t="n">
        <v>0.20706232</v>
      </c>
    </row>
    <row r="47" spans="1:18">
      <c r="A47" s="15" t="s">
        <v>606</v>
      </c>
      <c r="B47" s="17" t="n">
        <v>5928</v>
      </c>
      <c r="C47" s="18">
        <f>(4670.0/B47*100)</f>
        <v/>
      </c>
      <c r="D47" s="19" t="n">
        <v>1258</v>
      </c>
      <c r="E47" s="18" t="n">
        <v>45.92084018</v>
      </c>
      <c r="F47" s="20" t="n">
        <v>1.46893103</v>
      </c>
      <c r="G47" s="18" t="n">
        <v>52.07399562</v>
      </c>
      <c r="H47" s="20" t="n">
        <v>1.47681636</v>
      </c>
      <c r="I47" s="18" t="n">
        <v>0</v>
      </c>
      <c r="J47" s="20" t="n">
        <v>0</v>
      </c>
      <c r="K47" s="18" t="n">
        <v>1.18104776</v>
      </c>
      <c r="L47" s="20" t="n">
        <v>0.26631681</v>
      </c>
      <c r="M47" s="18" t="n">
        <v>0</v>
      </c>
      <c r="N47" s="20" t="n">
        <v>0</v>
      </c>
      <c r="O47" s="18" t="n">
        <v>0</v>
      </c>
      <c r="P47" s="20" t="n">
        <v>0</v>
      </c>
      <c r="Q47" s="18" t="n">
        <v>0.82411644</v>
      </c>
      <c r="R47" s="20" t="n">
        <v>0.28180443</v>
      </c>
    </row>
    <row r="48" spans="1:18">
      <c r="A48" s="15" t="s">
        <v>607</v>
      </c>
      <c r="B48" s="17" t="n">
        <v>9841</v>
      </c>
      <c r="C48" s="18">
        <f>(7707.0/B48*100)</f>
        <v/>
      </c>
      <c r="D48" s="19" t="n">
        <v>2134</v>
      </c>
      <c r="E48" s="18" t="n">
        <v>47.4583721</v>
      </c>
      <c r="F48" s="20" t="n">
        <v>1.47678342</v>
      </c>
      <c r="G48" s="18" t="n">
        <v>51.04769583</v>
      </c>
      <c r="H48" s="20" t="n">
        <v>1.56118753</v>
      </c>
      <c r="I48" s="18" t="n">
        <v>0</v>
      </c>
      <c r="J48" s="20" t="n">
        <v>0</v>
      </c>
      <c r="K48" s="18" t="n">
        <v>1.00905045</v>
      </c>
      <c r="L48" s="20" t="n">
        <v>0.3209137</v>
      </c>
      <c r="M48" s="18" t="n">
        <v>0</v>
      </c>
      <c r="N48" s="20" t="n">
        <v>0</v>
      </c>
      <c r="O48" s="18" t="n">
        <v>0</v>
      </c>
      <c r="P48" s="20" t="n">
        <v>0</v>
      </c>
      <c r="Q48" s="18" t="n">
        <v>0.48488163</v>
      </c>
      <c r="R48" s="20" t="n">
        <v>0.198373</v>
      </c>
    </row>
    <row r="49" spans="1:18">
      <c r="A49" s="15" t="s">
        <v>608</v>
      </c>
      <c r="B49" s="17" t="n">
        <v>11795</v>
      </c>
      <c r="C49" s="18">
        <f>(9297.0/B49*100)</f>
        <v/>
      </c>
      <c r="D49" s="19" t="n">
        <v>2498</v>
      </c>
      <c r="E49" s="18" t="n">
        <v>51.6167477</v>
      </c>
      <c r="F49" s="20" t="n">
        <v>1.36515513</v>
      </c>
      <c r="G49" s="18" t="n">
        <v>44.62754943</v>
      </c>
      <c r="H49" s="20" t="n">
        <v>1.37108236</v>
      </c>
      <c r="I49" s="18" t="n">
        <v>0</v>
      </c>
      <c r="J49" s="20" t="n">
        <v>0</v>
      </c>
      <c r="K49" s="18" t="n">
        <v>3.19797273</v>
      </c>
      <c r="L49" s="20" t="n">
        <v>0.50374666</v>
      </c>
      <c r="M49" s="18" t="n">
        <v>0</v>
      </c>
      <c r="N49" s="20" t="n">
        <v>0</v>
      </c>
      <c r="O49" s="18" t="n">
        <v>0</v>
      </c>
      <c r="P49" s="20" t="n">
        <v>0</v>
      </c>
      <c r="Q49" s="18" t="n">
        <v>0.55773014</v>
      </c>
      <c r="R49" s="20" t="n">
        <v>0.16834067</v>
      </c>
    </row>
    <row r="50" spans="1:18">
      <c r="A50" s="15" t="s">
        <v>609</v>
      </c>
      <c r="B50" s="17" t="n">
        <v>6866</v>
      </c>
      <c r="C50" s="18">
        <f>(5609.0/B50*100)</f>
        <v/>
      </c>
      <c r="D50" s="19" t="n">
        <v>1257</v>
      </c>
      <c r="E50" s="18" t="n">
        <v>42.51907036</v>
      </c>
      <c r="F50" s="20" t="n">
        <v>1.33683408</v>
      </c>
      <c r="G50" s="18" t="n">
        <v>55.80546247</v>
      </c>
      <c r="H50" s="20" t="n">
        <v>1.42062932</v>
      </c>
      <c r="I50" s="18" t="n">
        <v>0</v>
      </c>
      <c r="J50" s="20" t="n">
        <v>0</v>
      </c>
      <c r="K50" s="18" t="n">
        <v>1.39678393</v>
      </c>
      <c r="L50" s="20" t="n">
        <v>0.41656888</v>
      </c>
      <c r="M50" s="18" t="n">
        <v>0</v>
      </c>
      <c r="N50" s="20" t="n">
        <v>0</v>
      </c>
      <c r="O50" s="18" t="n">
        <v>0</v>
      </c>
      <c r="P50" s="20" t="n">
        <v>0</v>
      </c>
      <c r="Q50" s="18" t="n">
        <v>0.27868325</v>
      </c>
      <c r="R50" s="20" t="n">
        <v>0.19283398</v>
      </c>
    </row>
    <row r="51" spans="1:18">
      <c r="A51" s="15" t="s">
        <v>610</v>
      </c>
      <c r="B51" s="17" t="n">
        <v>5809</v>
      </c>
      <c r="C51" s="18">
        <f>(4563.0/B51*100)</f>
        <v/>
      </c>
      <c r="D51" s="19" t="n">
        <v>1246</v>
      </c>
      <c r="E51" s="18" t="n">
        <v>50.61931054</v>
      </c>
      <c r="F51" s="20" t="n">
        <v>1.37260876</v>
      </c>
      <c r="G51" s="18" t="n">
        <v>48.89158765</v>
      </c>
      <c r="H51" s="20" t="n">
        <v>1.36677285</v>
      </c>
      <c r="I51" s="18" t="n">
        <v>0</v>
      </c>
      <c r="J51" s="20" t="n">
        <v>0</v>
      </c>
      <c r="K51" s="18" t="n">
        <v>0.35700484</v>
      </c>
      <c r="L51" s="20" t="n">
        <v>0.16092796</v>
      </c>
      <c r="M51" s="18" t="n">
        <v>0</v>
      </c>
      <c r="N51" s="20" t="n">
        <v>0</v>
      </c>
      <c r="O51" s="18" t="n">
        <v>0</v>
      </c>
      <c r="P51" s="20" t="n">
        <v>0</v>
      </c>
      <c r="Q51" s="18" t="n">
        <v>0.13209697</v>
      </c>
      <c r="R51" s="20" t="n">
        <v>0.09295972</v>
      </c>
    </row>
    <row r="52" spans="1:18">
      <c r="A52" s="15" t="s">
        <v>611</v>
      </c>
      <c r="B52" s="17" t="n">
        <v>5571</v>
      </c>
      <c r="C52" s="18">
        <f>(4367.0/B52*100)</f>
        <v/>
      </c>
      <c r="D52" s="19" t="n">
        <v>1204</v>
      </c>
      <c r="E52" s="18" t="n">
        <v>57.5537039</v>
      </c>
      <c r="F52" s="20" t="n">
        <v>1.43869987</v>
      </c>
      <c r="G52" s="18" t="n">
        <v>41.17348235</v>
      </c>
      <c r="H52" s="20" t="n">
        <v>1.42456243</v>
      </c>
      <c r="I52" s="18" t="n">
        <v>0</v>
      </c>
      <c r="J52" s="20" t="n">
        <v>0</v>
      </c>
      <c r="K52" s="18" t="n">
        <v>0.63665982</v>
      </c>
      <c r="L52" s="20" t="n">
        <v>0.21198263</v>
      </c>
      <c r="M52" s="18" t="n">
        <v>0</v>
      </c>
      <c r="N52" s="20" t="n">
        <v>0</v>
      </c>
      <c r="O52" s="18" t="n">
        <v>0</v>
      </c>
      <c r="P52" s="20" t="n">
        <v>0</v>
      </c>
      <c r="Q52" s="18" t="n">
        <v>0.63615393</v>
      </c>
      <c r="R52" s="20" t="n">
        <v>0.24533375</v>
      </c>
    </row>
    <row r="53" spans="1:18">
      <c r="A53" s="15" t="s">
        <v>612</v>
      </c>
      <c r="B53" s="17" t="n">
        <v>4740</v>
      </c>
      <c r="C53" s="18">
        <f>(3683.0/B53*100)</f>
        <v/>
      </c>
      <c r="D53" s="19" t="n">
        <v>1057</v>
      </c>
      <c r="E53" s="18" t="n">
        <v>42.55863466</v>
      </c>
      <c r="F53" s="20" t="n">
        <v>1.76240862</v>
      </c>
      <c r="G53" s="18" t="n">
        <v>35.85827665</v>
      </c>
      <c r="H53" s="20" t="n">
        <v>1.75062069</v>
      </c>
      <c r="I53" s="18" t="n">
        <v>0</v>
      </c>
      <c r="J53" s="20" t="n">
        <v>0</v>
      </c>
      <c r="K53" s="18" t="n">
        <v>19.24291902</v>
      </c>
      <c r="L53" s="20" t="n">
        <v>1.36234093</v>
      </c>
      <c r="M53" s="18" t="n">
        <v>0</v>
      </c>
      <c r="N53" s="20" t="n">
        <v>0</v>
      </c>
      <c r="O53" s="18" t="n">
        <v>0</v>
      </c>
      <c r="P53" s="20" t="n">
        <v>0</v>
      </c>
      <c r="Q53" s="18" t="n">
        <v>2.34016966</v>
      </c>
      <c r="R53" s="20" t="n">
        <v>0.77142023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(4165.0/B55*100)</f>
        <v/>
      </c>
      <c r="D55" s="19" t="n">
        <v>1194</v>
      </c>
      <c r="E55" s="18" t="n">
        <v>40.27091358</v>
      </c>
      <c r="F55" s="20" t="n">
        <v>1.30030559</v>
      </c>
      <c r="G55" s="18" t="n">
        <v>59.09925275</v>
      </c>
      <c r="H55" s="20" t="n">
        <v>1.33341118</v>
      </c>
      <c r="I55" s="18" t="n">
        <v>0</v>
      </c>
      <c r="J55" s="20" t="n">
        <v>0</v>
      </c>
      <c r="K55" s="18" t="n">
        <v>0.29243144</v>
      </c>
      <c r="L55" s="20" t="n">
        <v>0.19420353</v>
      </c>
      <c r="M55" s="18" t="n">
        <v>0</v>
      </c>
      <c r="N55" s="20" t="n">
        <v>0</v>
      </c>
      <c r="O55" s="18" t="n">
        <v>0</v>
      </c>
      <c r="P55" s="20" t="n">
        <v>0</v>
      </c>
      <c r="Q55" s="18" t="n">
        <v>0.33740223</v>
      </c>
      <c r="R55" s="20" t="n">
        <v>0.34654372</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(5099.0/B61*100)</f>
        <v/>
      </c>
      <c r="D61" s="19" t="n">
        <v>1426</v>
      </c>
      <c r="E61" s="18" t="n">
        <v>43.60481642</v>
      </c>
      <c r="F61" s="20" t="n">
        <v>1.53093828</v>
      </c>
      <c r="G61" s="18" t="n">
        <v>55.55856133</v>
      </c>
      <c r="H61" s="20" t="n">
        <v>1.57370414</v>
      </c>
      <c r="I61" s="18" t="n">
        <v>0</v>
      </c>
      <c r="J61" s="20" t="n">
        <v>0</v>
      </c>
      <c r="K61" s="18" t="n">
        <v>0.55561238</v>
      </c>
      <c r="L61" s="20" t="n">
        <v>0.25365791</v>
      </c>
      <c r="M61" s="18" t="n">
        <v>0</v>
      </c>
      <c r="N61" s="20" t="n">
        <v>0</v>
      </c>
      <c r="O61" s="18" t="n">
        <v>0</v>
      </c>
      <c r="P61" s="20" t="n">
        <v>0</v>
      </c>
      <c r="Q61" s="18" t="n">
        <v>0.28100987</v>
      </c>
      <c r="R61" s="20" t="n">
        <v>0.15259264</v>
      </c>
    </row>
    <row r="62" spans="1:18">
      <c r="A62" s="15" t="s">
        <v>622</v>
      </c>
      <c r="B62" s="17" t="n">
        <v>4476</v>
      </c>
      <c r="C62" s="18">
        <f>(3502.0/B62*100)</f>
        <v/>
      </c>
      <c r="D62" s="19" t="n">
        <v>974</v>
      </c>
      <c r="E62" s="18" t="n">
        <v>43.21672875</v>
      </c>
      <c r="F62" s="20" t="n">
        <v>1.50751755</v>
      </c>
      <c r="G62" s="18" t="n">
        <v>56.57682093</v>
      </c>
      <c r="H62" s="20" t="n">
        <v>1.50547407</v>
      </c>
      <c r="I62" s="18" t="n">
        <v>0</v>
      </c>
      <c r="J62" s="20" t="n">
        <v>0</v>
      </c>
      <c r="K62" s="18" t="n">
        <v>0</v>
      </c>
      <c r="L62" s="20" t="n">
        <v>0</v>
      </c>
      <c r="M62" s="18" t="n">
        <v>0</v>
      </c>
      <c r="N62" s="20" t="n">
        <v>0</v>
      </c>
      <c r="O62" s="18" t="n">
        <v>0</v>
      </c>
      <c r="P62" s="20" t="n">
        <v>0</v>
      </c>
      <c r="Q62" s="18" t="n">
        <v>0.20645032</v>
      </c>
      <c r="R62" s="20" t="n">
        <v>0.14562325</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(4498.0/B67*100)</f>
        <v/>
      </c>
      <c r="D67" s="19" t="n">
        <v>1167</v>
      </c>
      <c r="E67" s="18" t="n">
        <v>55.97993596</v>
      </c>
      <c r="F67" s="20" t="n">
        <v>1.4349351</v>
      </c>
      <c r="G67" s="18" t="n">
        <v>41.20931876</v>
      </c>
      <c r="H67" s="20" t="n">
        <v>1.49130924</v>
      </c>
      <c r="I67" s="18" t="n">
        <v>0</v>
      </c>
      <c r="J67" s="20" t="n">
        <v>0</v>
      </c>
      <c r="K67" s="18" t="n">
        <v>0.91909621</v>
      </c>
      <c r="L67" s="20" t="n">
        <v>0.25676182</v>
      </c>
      <c r="M67" s="18" t="n">
        <v>0</v>
      </c>
      <c r="N67" s="20" t="n">
        <v>0</v>
      </c>
      <c r="O67" s="18" t="n">
        <v>0</v>
      </c>
      <c r="P67" s="20" t="n">
        <v>0</v>
      </c>
      <c r="Q67" s="18" t="n">
        <v>1.89164908</v>
      </c>
      <c r="R67" s="20" t="n">
        <v>0.43617498</v>
      </c>
    </row>
    <row r="68" spans="1:18">
      <c r="A68" s="15" t="s">
        <v>628</v>
      </c>
      <c r="B68" s="17" t="n">
        <v>6971</v>
      </c>
      <c r="C68" s="18">
        <f>(5691.0/B68*100)</f>
        <v/>
      </c>
      <c r="D68" s="19" t="n">
        <v>1280</v>
      </c>
      <c r="E68" s="18" t="n">
        <v>57.2233416</v>
      </c>
      <c r="F68" s="20" t="n">
        <v>1.52974581</v>
      </c>
      <c r="G68" s="18" t="n">
        <v>41.69513283</v>
      </c>
      <c r="H68" s="20" t="n">
        <v>1.51261642</v>
      </c>
      <c r="I68" s="18" t="n">
        <v>0</v>
      </c>
      <c r="J68" s="20" t="n">
        <v>0</v>
      </c>
      <c r="K68" s="18" t="n">
        <v>0.69776636</v>
      </c>
      <c r="L68" s="20" t="n">
        <v>0.28881275</v>
      </c>
      <c r="M68" s="18" t="n">
        <v>0</v>
      </c>
      <c r="N68" s="20" t="n">
        <v>0</v>
      </c>
      <c r="O68" s="18" t="n">
        <v>0</v>
      </c>
      <c r="P68" s="20" t="n">
        <v>0</v>
      </c>
      <c r="Q68" s="18" t="n">
        <v>0.38375922</v>
      </c>
      <c r="R68" s="20" t="n">
        <v>0.19611002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(9362.0/B70*100)</f>
        <v/>
      </c>
      <c r="D70" s="19" t="n">
        <v>2721</v>
      </c>
      <c r="E70" s="18" t="n">
        <v>55.02494041</v>
      </c>
      <c r="F70" s="20" t="n">
        <v>1.10637517</v>
      </c>
      <c r="G70" s="18" t="n">
        <v>40.61029249</v>
      </c>
      <c r="H70" s="20" t="n">
        <v>1.06637387</v>
      </c>
      <c r="I70" s="18" t="n">
        <v>0</v>
      </c>
      <c r="J70" s="20" t="n">
        <v>0</v>
      </c>
      <c r="K70" s="18" t="n">
        <v>3.74507056</v>
      </c>
      <c r="L70" s="20" t="n">
        <v>0.31577561</v>
      </c>
      <c r="M70" s="18" t="n">
        <v>0</v>
      </c>
      <c r="N70" s="20" t="n">
        <v>0</v>
      </c>
      <c r="O70" s="18" t="n">
        <v>0</v>
      </c>
      <c r="P70" s="20" t="n">
        <v>0</v>
      </c>
      <c r="Q70" s="18" t="n">
        <v>0.61969655</v>
      </c>
      <c r="R70" s="20" t="n">
        <v>0.15326619</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(4777.0/B72*100)</f>
        <v/>
      </c>
      <c r="D72" s="19" t="n">
        <v>1259</v>
      </c>
      <c r="E72" s="18" t="n">
        <v>40.19141163</v>
      </c>
      <c r="F72" s="20" t="n">
        <v>1.54127056</v>
      </c>
      <c r="G72" s="18" t="n">
        <v>58.65929562</v>
      </c>
      <c r="H72" s="20" t="n">
        <v>1.57407222</v>
      </c>
      <c r="I72" s="18" t="n">
        <v>0</v>
      </c>
      <c r="J72" s="20" t="n">
        <v>0</v>
      </c>
      <c r="K72" s="18" t="n">
        <v>0.60363715</v>
      </c>
      <c r="L72" s="20" t="n">
        <v>0.1793818</v>
      </c>
      <c r="M72" s="18" t="n">
        <v>0</v>
      </c>
      <c r="N72" s="20" t="n">
        <v>0</v>
      </c>
      <c r="O72" s="18" t="n">
        <v>0</v>
      </c>
      <c r="P72" s="20" t="n">
        <v>0</v>
      </c>
      <c r="Q72" s="18" t="n">
        <v>0.5456556</v>
      </c>
      <c r="R72" s="20" t="n">
        <v>0.21200699</v>
      </c>
    </row>
    <row r="73" spans="1:18">
      <c r="A73" s="15" t="s">
        <v>633</v>
      </c>
      <c r="B73" s="17" t="n">
        <v>6115</v>
      </c>
      <c r="C73" s="18">
        <f>(4798.0/B73*100)</f>
        <v/>
      </c>
      <c r="D73" s="19" t="n">
        <v>1317</v>
      </c>
      <c r="E73" s="18" t="n">
        <v>35.19138923</v>
      </c>
      <c r="F73" s="20" t="n">
        <v>1.27977579</v>
      </c>
      <c r="G73" s="18" t="n">
        <v>64.47068913</v>
      </c>
      <c r="H73" s="20" t="n">
        <v>1.24655302</v>
      </c>
      <c r="I73" s="18" t="n">
        <v>0</v>
      </c>
      <c r="J73" s="20" t="n">
        <v>0</v>
      </c>
      <c r="K73" s="18" t="n">
        <v>0.20662709</v>
      </c>
      <c r="L73" s="20" t="n">
        <v>0.12115213</v>
      </c>
      <c r="M73" s="18" t="n">
        <v>0</v>
      </c>
      <c r="N73" s="20" t="n">
        <v>0</v>
      </c>
      <c r="O73" s="18" t="n">
        <v>0</v>
      </c>
      <c r="P73" s="20" t="n">
        <v>0</v>
      </c>
      <c r="Q73" s="18" t="n">
        <v>0.13129455</v>
      </c>
      <c r="R73" s="20" t="n">
        <v>0.08038625000000001</v>
      </c>
    </row>
    <row r="74" spans="1:18">
      <c r="A74" s="15" t="s">
        <v>634</v>
      </c>
      <c r="B74" s="17" t="n">
        <v>7708</v>
      </c>
      <c r="C74" s="18">
        <f>(6068.0/B74*100)</f>
        <v/>
      </c>
      <c r="D74" s="19" t="n">
        <v>1640</v>
      </c>
      <c r="E74" s="18" t="n">
        <v>51.06518409</v>
      </c>
      <c r="F74" s="20" t="n">
        <v>1.35250187</v>
      </c>
      <c r="G74" s="18" t="n">
        <v>48.55950005</v>
      </c>
      <c r="H74" s="20" t="n">
        <v>1.35973019</v>
      </c>
      <c r="I74" s="18" t="n">
        <v>0</v>
      </c>
      <c r="J74" s="20" t="n">
        <v>0</v>
      </c>
      <c r="K74" s="18" t="n">
        <v>0.26120581</v>
      </c>
      <c r="L74" s="20" t="n">
        <v>0.16553821</v>
      </c>
      <c r="M74" s="18" t="n">
        <v>0</v>
      </c>
      <c r="N74" s="20" t="n">
        <v>0</v>
      </c>
      <c r="O74" s="18" t="n">
        <v>0</v>
      </c>
      <c r="P74" s="20" t="n">
        <v>0</v>
      </c>
      <c r="Q74" s="18" t="n">
        <v>0.11411005</v>
      </c>
      <c r="R74" s="20" t="n">
        <v>0.08285516</v>
      </c>
    </row>
    <row r="75" spans="1:18">
      <c r="A75" s="15" t="s">
        <v>635</v>
      </c>
      <c r="B75" s="17" t="n">
        <v>8249</v>
      </c>
      <c r="C75" s="18">
        <f>(6513.0/B75*100)</f>
        <v/>
      </c>
      <c r="D75" s="19" t="n">
        <v>1736</v>
      </c>
      <c r="E75" s="18" t="n">
        <v>62.77221245</v>
      </c>
      <c r="F75" s="20" t="n">
        <v>1.70038545</v>
      </c>
      <c r="G75" s="18" t="n">
        <v>36.81643126</v>
      </c>
      <c r="H75" s="20" t="n">
        <v>1.71242575</v>
      </c>
      <c r="I75" s="18" t="n">
        <v>0</v>
      </c>
      <c r="J75" s="20" t="n">
        <v>0</v>
      </c>
      <c r="K75" s="18" t="n">
        <v>0.16703883</v>
      </c>
      <c r="L75" s="20" t="n">
        <v>0.10204036</v>
      </c>
      <c r="M75" s="18" t="n">
        <v>0</v>
      </c>
      <c r="N75" s="20" t="n">
        <v>0</v>
      </c>
      <c r="O75" s="18" t="n">
        <v>0</v>
      </c>
      <c r="P75" s="20" t="n">
        <v>0</v>
      </c>
      <c r="Q75" s="18" t="n">
        <v>0.24431746</v>
      </c>
      <c r="R75" s="20" t="n">
        <v>0.13992177</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(4347.0/B77*100)</f>
        <v/>
      </c>
      <c r="D77" s="19" t="n">
        <v>1028</v>
      </c>
      <c r="E77" s="18" t="n">
        <v>56.28642854</v>
      </c>
      <c r="F77" s="20" t="n">
        <v>1.40690013</v>
      </c>
      <c r="G77" s="18" t="n">
        <v>37.69839757</v>
      </c>
      <c r="H77" s="20" t="n">
        <v>1.43433712</v>
      </c>
      <c r="I77" s="18" t="n">
        <v>0</v>
      </c>
      <c r="J77" s="20" t="n">
        <v>0</v>
      </c>
      <c r="K77" s="18" t="n">
        <v>4.49032039</v>
      </c>
      <c r="L77" s="20" t="n">
        <v>0.76902205</v>
      </c>
      <c r="M77" s="18" t="n">
        <v>0</v>
      </c>
      <c r="N77" s="20" t="n">
        <v>0</v>
      </c>
      <c r="O77" s="18" t="n">
        <v>0</v>
      </c>
      <c r="P77" s="20" t="n">
        <v>0</v>
      </c>
      <c r="Q77" s="18" t="n">
        <v>1.5248535</v>
      </c>
      <c r="R77" s="20" t="n">
        <v>0.33630352</v>
      </c>
    </row>
    <row r="78" spans="1:18">
      <c r="A78" s="15" t="s">
        <v>638</v>
      </c>
      <c r="B78" s="17" t="n">
        <v>14167</v>
      </c>
      <c r="C78" s="18">
        <f>(11034.0/B78*100)</f>
        <v/>
      </c>
      <c r="D78" s="19" t="n">
        <v>3133</v>
      </c>
      <c r="E78" s="18" t="n">
        <v>51.93862373</v>
      </c>
      <c r="F78" s="20" t="n">
        <v>1.15825503</v>
      </c>
      <c r="G78" s="18" t="n">
        <v>45.68017349</v>
      </c>
      <c r="H78" s="20" t="n">
        <v>1.15015954</v>
      </c>
      <c r="I78" s="18" t="n">
        <v>0</v>
      </c>
      <c r="J78" s="20" t="n">
        <v>0</v>
      </c>
      <c r="K78" s="18" t="n">
        <v>1.70679698</v>
      </c>
      <c r="L78" s="20" t="n">
        <v>0.27325846</v>
      </c>
      <c r="M78" s="18" t="n">
        <v>0</v>
      </c>
      <c r="N78" s="20" t="n">
        <v>0</v>
      </c>
      <c r="O78" s="18" t="n">
        <v>0</v>
      </c>
      <c r="P78" s="20" t="n">
        <v>0</v>
      </c>
      <c r="Q78" s="18" t="n">
        <v>0.67440579</v>
      </c>
      <c r="R78" s="20" t="n">
        <v>0.1589968</v>
      </c>
    </row>
    <row r="79" spans="1:18">
      <c r="A79" s="15" t="s">
        <v>639</v>
      </c>
      <c r="B79" s="17" t="n">
        <v>6062</v>
      </c>
      <c r="C79" s="18">
        <f>(4788.0/B79*100)</f>
        <v/>
      </c>
      <c r="D79" s="19" t="n">
        <v>1274</v>
      </c>
      <c r="E79" s="18" t="n">
        <v>46.13735196</v>
      </c>
      <c r="F79" s="20" t="n">
        <v>1.588463</v>
      </c>
      <c r="G79" s="18" t="n">
        <v>51.19469228</v>
      </c>
      <c r="H79" s="20" t="n">
        <v>1.49267421</v>
      </c>
      <c r="I79" s="18" t="n">
        <v>0</v>
      </c>
      <c r="J79" s="20" t="n">
        <v>0</v>
      </c>
      <c r="K79" s="18" t="n">
        <v>2.03726853</v>
      </c>
      <c r="L79" s="20" t="n">
        <v>0.41916783</v>
      </c>
      <c r="M79" s="18" t="n">
        <v>0</v>
      </c>
      <c r="N79" s="20" t="n">
        <v>0</v>
      </c>
      <c r="O79" s="18" t="n">
        <v>0</v>
      </c>
      <c r="P79" s="20" t="n">
        <v>0</v>
      </c>
      <c r="Q79" s="18" t="n">
        <v>0.63068723</v>
      </c>
      <c r="R79" s="20" t="n">
        <v>0.25224352</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(25334.0/B82*100)</f>
        <v/>
      </c>
      <c r="D82" s="19" t="n">
        <v>6996</v>
      </c>
      <c r="E82" s="18" t="n">
        <v>42.15509321</v>
      </c>
      <c r="F82" s="20" t="n">
        <v>0.83160048</v>
      </c>
      <c r="G82" s="18" t="n">
        <v>56.87559552</v>
      </c>
      <c r="H82" s="20" t="n">
        <v>0.82339953</v>
      </c>
      <c r="I82" s="18" t="n">
        <v>0</v>
      </c>
      <c r="J82" s="20" t="n">
        <v>0</v>
      </c>
      <c r="K82" s="18" t="n">
        <v>0.64749891</v>
      </c>
      <c r="L82" s="20" t="n">
        <v>0.13242502</v>
      </c>
      <c r="M82" s="18" t="n">
        <v>0</v>
      </c>
      <c r="N82" s="20" t="n">
        <v>0</v>
      </c>
      <c r="O82" s="18" t="n">
        <v>0</v>
      </c>
      <c r="P82" s="20" t="n">
        <v>0</v>
      </c>
      <c r="Q82" s="18" t="n">
        <v>0.32181237</v>
      </c>
      <c r="R82" s="20" t="n">
        <v>0.12057011</v>
      </c>
    </row>
    <row r="83" spans="1:18">
      <c r="A83" s="15" t="s">
        <v>643</v>
      </c>
      <c r="B83" s="17" t="n">
        <v>1652</v>
      </c>
      <c r="C83" s="18">
        <f>(1294.0/B83*100)</f>
        <v/>
      </c>
      <c r="D83" s="19" t="n">
        <v>358</v>
      </c>
      <c r="E83" s="18" t="n">
        <v>33.19253992</v>
      </c>
      <c r="F83" s="20" t="n">
        <v>2.91682297</v>
      </c>
      <c r="G83" s="18" t="n">
        <v>66.23571232</v>
      </c>
      <c r="H83" s="20" t="n">
        <v>3.01364688</v>
      </c>
      <c r="I83" s="18" t="n">
        <v>0</v>
      </c>
      <c r="J83" s="20" t="n">
        <v>0</v>
      </c>
      <c r="K83" s="18" t="n">
        <v>0.57174776</v>
      </c>
      <c r="L83" s="20" t="n">
        <v>0.41707285</v>
      </c>
      <c r="M83" s="18" t="n">
        <v>0</v>
      </c>
      <c r="N83" s="20" t="n">
        <v>0</v>
      </c>
      <c r="O83" s="18" t="n">
        <v>0</v>
      </c>
      <c r="P83" s="20" t="n">
        <v>0</v>
      </c>
      <c r="Q83" s="18" t="n">
        <v>0</v>
      </c>
      <c r="R83" s="20" t="n">
        <v>0</v>
      </c>
    </row>
    <row r="84" spans="1:18">
      <c r="A84" s="23" t="s">
        <v>644</v>
      </c>
      <c r="B84" s="24" t="n">
        <v>1887</v>
      </c>
      <c r="C84" s="25">
        <f>(1505.0/B84*100)</f>
        <v/>
      </c>
      <c r="D84" s="19" t="n">
        <v>382</v>
      </c>
      <c r="E84" s="18" t="n">
        <v>32.83909414</v>
      </c>
      <c r="F84" s="20" t="n">
        <v>2.30606715</v>
      </c>
      <c r="G84" s="18" t="n">
        <v>66.46969946</v>
      </c>
      <c r="H84" s="20" t="n">
        <v>2.24875128</v>
      </c>
      <c r="I84" s="18" t="n">
        <v>0</v>
      </c>
      <c r="J84" s="20" t="n">
        <v>0</v>
      </c>
      <c r="K84" s="18" t="n">
        <v>0.27394934</v>
      </c>
      <c r="L84" s="20" t="n">
        <v>0.27319448</v>
      </c>
      <c r="M84" s="18" t="n">
        <v>0</v>
      </c>
      <c r="N84" s="20" t="n">
        <v>0</v>
      </c>
      <c r="O84" s="18" t="n">
        <v>0</v>
      </c>
      <c r="P84" s="20" t="n">
        <v>0</v>
      </c>
      <c r="Q84" s="18" t="n">
        <v>0.41725706</v>
      </c>
      <c r="R84" s="20" t="n">
        <v>0.31217032</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(11468.0/B7*100)</f>
        <v/>
      </c>
      <c r="D7" s="19" t="n">
        <v>3062</v>
      </c>
      <c r="E7" s="18" t="n">
        <v>41.67219544</v>
      </c>
      <c r="F7" s="20" t="n">
        <v>0.98851517</v>
      </c>
      <c r="G7" s="18" t="n">
        <v>56.30026443</v>
      </c>
      <c r="H7" s="20" t="n">
        <v>0.99369128</v>
      </c>
      <c r="I7" s="18" t="n">
        <v>0</v>
      </c>
      <c r="J7" s="20" t="n">
        <v>0</v>
      </c>
      <c r="K7" s="18" t="n">
        <v>1.3866281</v>
      </c>
      <c r="L7" s="20" t="n">
        <v>0.26077398</v>
      </c>
      <c r="M7" s="18" t="n">
        <v>0</v>
      </c>
      <c r="N7" s="20" t="n">
        <v>0</v>
      </c>
      <c r="O7" s="18" t="n">
        <v>0</v>
      </c>
      <c r="P7" s="20" t="n">
        <v>0</v>
      </c>
      <c r="Q7" s="18" t="n">
        <v>0.64091203</v>
      </c>
      <c r="R7" s="20" t="n">
        <v>0.16875173</v>
      </c>
    </row>
    <row r="8" spans="1:18">
      <c r="A8" s="15" t="s">
        <v>566</v>
      </c>
      <c r="B8" s="17" t="n">
        <v>7007</v>
      </c>
      <c r="C8" s="18">
        <f>(5470.0/B8*100)</f>
        <v/>
      </c>
      <c r="D8" s="19" t="n">
        <v>1537</v>
      </c>
      <c r="E8" s="18" t="n">
        <v>45.85535626</v>
      </c>
      <c r="F8" s="20" t="n">
        <v>1.43612767</v>
      </c>
      <c r="G8" s="18" t="n">
        <v>51.95513007</v>
      </c>
      <c r="H8" s="20" t="n">
        <v>1.42198204</v>
      </c>
      <c r="I8" s="18" t="n">
        <v>0</v>
      </c>
      <c r="J8" s="20" t="n">
        <v>0</v>
      </c>
      <c r="K8" s="18" t="n">
        <v>0.69748961</v>
      </c>
      <c r="L8" s="20" t="n">
        <v>0.22654014</v>
      </c>
      <c r="M8" s="18" t="n">
        <v>0</v>
      </c>
      <c r="N8" s="20" t="n">
        <v>0</v>
      </c>
      <c r="O8" s="18" t="n">
        <v>0</v>
      </c>
      <c r="P8" s="20" t="n">
        <v>0</v>
      </c>
      <c r="Q8" s="18" t="n">
        <v>1.49202407</v>
      </c>
      <c r="R8" s="20" t="n">
        <v>0.39478474</v>
      </c>
    </row>
    <row r="9" spans="1:18">
      <c r="A9" s="15" t="s">
        <v>567</v>
      </c>
      <c r="B9" s="17" t="n">
        <v>9651</v>
      </c>
      <c r="C9" s="18">
        <f>(7620.0/B9*100)</f>
        <v/>
      </c>
      <c r="D9" s="19" t="n">
        <v>2031</v>
      </c>
      <c r="E9" s="18" t="n">
        <v>42.78462284</v>
      </c>
      <c r="F9" s="20" t="n">
        <v>1.05297213</v>
      </c>
      <c r="G9" s="18" t="n">
        <v>54.84265617</v>
      </c>
      <c r="H9" s="20" t="n">
        <v>0.98312914</v>
      </c>
      <c r="I9" s="18" t="n">
        <v>0</v>
      </c>
      <c r="J9" s="20" t="n">
        <v>0</v>
      </c>
      <c r="K9" s="18" t="n">
        <v>1.25812229</v>
      </c>
      <c r="L9" s="20" t="n">
        <v>0.28056763</v>
      </c>
      <c r="M9" s="18" t="n">
        <v>0</v>
      </c>
      <c r="N9" s="20" t="n">
        <v>0</v>
      </c>
      <c r="O9" s="18" t="n">
        <v>0</v>
      </c>
      <c r="P9" s="20" t="n">
        <v>0</v>
      </c>
      <c r="Q9" s="18" t="n">
        <v>1.11459869</v>
      </c>
      <c r="R9" s="20" t="n">
        <v>0.24853992</v>
      </c>
    </row>
    <row r="10" spans="1:18">
      <c r="A10" s="15" t="s">
        <v>568</v>
      </c>
      <c r="B10" s="17" t="n">
        <v>20058</v>
      </c>
      <c r="C10" s="18">
        <f>(15653.0/B10*100)</f>
        <v/>
      </c>
      <c r="D10" s="19" t="n">
        <v>4405</v>
      </c>
      <c r="E10" s="18" t="n">
        <v>40.98264086</v>
      </c>
      <c r="F10" s="20" t="n">
        <v>1.21104066</v>
      </c>
      <c r="G10" s="18" t="n">
        <v>57.35870395</v>
      </c>
      <c r="H10" s="20" t="n">
        <v>1.26329252</v>
      </c>
      <c r="I10" s="18" t="n">
        <v>0</v>
      </c>
      <c r="J10" s="20" t="n">
        <v>0</v>
      </c>
      <c r="K10" s="18" t="n">
        <v>1.06980421</v>
      </c>
      <c r="L10" s="20" t="n">
        <v>0.22478612</v>
      </c>
      <c r="M10" s="18" t="n">
        <v>0</v>
      </c>
      <c r="N10" s="20" t="n">
        <v>0</v>
      </c>
      <c r="O10" s="18" t="n">
        <v>0</v>
      </c>
      <c r="P10" s="20" t="n">
        <v>0</v>
      </c>
      <c r="Q10" s="18" t="n">
        <v>0.58885098</v>
      </c>
      <c r="R10" s="20" t="n">
        <v>0.13755176</v>
      </c>
    </row>
    <row r="11" spans="1:18">
      <c r="A11" s="15" t="s">
        <v>569</v>
      </c>
      <c r="B11" s="17" t="n">
        <v>7053</v>
      </c>
      <c r="C11" s="18">
        <f>(5535.0/B11*100)</f>
        <v/>
      </c>
      <c r="D11" s="19" t="n">
        <v>1518</v>
      </c>
      <c r="E11" s="18" t="n">
        <v>60.38931624</v>
      </c>
      <c r="F11" s="20" t="n">
        <v>1.57927925</v>
      </c>
      <c r="G11" s="18" t="n">
        <v>35.8107334</v>
      </c>
      <c r="H11" s="20" t="n">
        <v>1.5724532</v>
      </c>
      <c r="I11" s="18" t="n">
        <v>0</v>
      </c>
      <c r="J11" s="20" t="n">
        <v>0</v>
      </c>
      <c r="K11" s="18" t="n">
        <v>1.94437614</v>
      </c>
      <c r="L11" s="20" t="n">
        <v>0.3781498</v>
      </c>
      <c r="M11" s="18" t="n">
        <v>0</v>
      </c>
      <c r="N11" s="20" t="n">
        <v>0</v>
      </c>
      <c r="O11" s="18" t="n">
        <v>0</v>
      </c>
      <c r="P11" s="20" t="n">
        <v>0</v>
      </c>
      <c r="Q11" s="18" t="n">
        <v>1.85557423</v>
      </c>
      <c r="R11" s="20" t="n">
        <v>0.43870707</v>
      </c>
    </row>
    <row r="12" spans="1:18">
      <c r="A12" s="15" t="s">
        <v>570</v>
      </c>
      <c r="B12" s="17" t="n">
        <v>6894</v>
      </c>
      <c r="C12" s="18">
        <f>(5430.0/B12*100)</f>
        <v/>
      </c>
      <c r="D12" s="19" t="n">
        <v>1464</v>
      </c>
      <c r="E12" s="18" t="n">
        <v>53.38136182</v>
      </c>
      <c r="F12" s="20" t="n">
        <v>1.52489203</v>
      </c>
      <c r="G12" s="18" t="n">
        <v>44.95971174</v>
      </c>
      <c r="H12" s="20" t="n">
        <v>1.50920094</v>
      </c>
      <c r="I12" s="18" t="n">
        <v>0</v>
      </c>
      <c r="J12" s="20" t="n">
        <v>0</v>
      </c>
      <c r="K12" s="18" t="n">
        <v>0.49323998</v>
      </c>
      <c r="L12" s="20" t="n">
        <v>0.19657427</v>
      </c>
      <c r="M12" s="18" t="n">
        <v>0</v>
      </c>
      <c r="N12" s="20" t="n">
        <v>0</v>
      </c>
      <c r="O12" s="18" t="n">
        <v>0</v>
      </c>
      <c r="P12" s="20" t="n">
        <v>0</v>
      </c>
      <c r="Q12" s="18" t="n">
        <v>1.16568646</v>
      </c>
      <c r="R12" s="20" t="n">
        <v>0.36066212</v>
      </c>
    </row>
    <row r="13" spans="1:18">
      <c r="A13" s="15" t="s">
        <v>571</v>
      </c>
      <c r="B13" s="17" t="n">
        <v>7161</v>
      </c>
      <c r="C13" s="18">
        <f>(5727.0/B13*100)</f>
        <v/>
      </c>
      <c r="D13" s="19" t="n">
        <v>1434</v>
      </c>
      <c r="E13" s="18" t="n">
        <v>51.28277421</v>
      </c>
      <c r="F13" s="20" t="n">
        <v>1.49429624</v>
      </c>
      <c r="G13" s="18" t="n">
        <v>46.76892063</v>
      </c>
      <c r="H13" s="20" t="n">
        <v>1.49123332</v>
      </c>
      <c r="I13" s="18" t="n">
        <v>0</v>
      </c>
      <c r="J13" s="20" t="n">
        <v>0</v>
      </c>
      <c r="K13" s="18" t="n">
        <v>1.74827887</v>
      </c>
      <c r="L13" s="20" t="n">
        <v>0.34169626</v>
      </c>
      <c r="M13" s="18" t="n">
        <v>0</v>
      </c>
      <c r="N13" s="20" t="n">
        <v>0</v>
      </c>
      <c r="O13" s="18" t="n">
        <v>0</v>
      </c>
      <c r="P13" s="20" t="n">
        <v>0</v>
      </c>
      <c r="Q13" s="18" t="n">
        <v>0.20002629</v>
      </c>
      <c r="R13" s="20" t="n">
        <v>0.09492209</v>
      </c>
    </row>
    <row r="14" spans="1:18">
      <c r="A14" s="15" t="s">
        <v>572</v>
      </c>
      <c r="B14" s="17" t="n">
        <v>5587</v>
      </c>
      <c r="C14" s="18">
        <f>(4340.0/B14*100)</f>
        <v/>
      </c>
      <c r="D14" s="19" t="n">
        <v>1247</v>
      </c>
      <c r="E14" s="18" t="n">
        <v>33.84396671</v>
      </c>
      <c r="F14" s="20" t="n">
        <v>1.61314566</v>
      </c>
      <c r="G14" s="18" t="n">
        <v>65.21674836</v>
      </c>
      <c r="H14" s="20" t="n">
        <v>1.66787769</v>
      </c>
      <c r="I14" s="18" t="n">
        <v>0</v>
      </c>
      <c r="J14" s="20" t="n">
        <v>0</v>
      </c>
      <c r="K14" s="18" t="n">
        <v>0.62481711</v>
      </c>
      <c r="L14" s="20" t="n">
        <v>0.21121173</v>
      </c>
      <c r="M14" s="18" t="n">
        <v>0</v>
      </c>
      <c r="N14" s="20" t="n">
        <v>0</v>
      </c>
      <c r="O14" s="18" t="n">
        <v>0</v>
      </c>
      <c r="P14" s="20" t="n">
        <v>0</v>
      </c>
      <c r="Q14" s="18" t="n">
        <v>0.31446782</v>
      </c>
      <c r="R14" s="20" t="n">
        <v>0.19824579</v>
      </c>
    </row>
    <row r="15" spans="1:18">
      <c r="A15" s="15" t="s">
        <v>573</v>
      </c>
      <c r="B15" s="17" t="n">
        <v>5882</v>
      </c>
      <c r="C15" s="18">
        <f>(4534.0/B15*100)</f>
        <v/>
      </c>
      <c r="D15" s="19" t="n">
        <v>1348</v>
      </c>
      <c r="E15" s="18" t="n">
        <v>31.33795345</v>
      </c>
      <c r="F15" s="20" t="n">
        <v>1.21999347</v>
      </c>
      <c r="G15" s="18" t="n">
        <v>67.66860024</v>
      </c>
      <c r="H15" s="20" t="n">
        <v>1.21525361</v>
      </c>
      <c r="I15" s="18" t="n">
        <v>0</v>
      </c>
      <c r="J15" s="20" t="n">
        <v>0</v>
      </c>
      <c r="K15" s="18" t="n">
        <v>0.26582047</v>
      </c>
      <c r="L15" s="20" t="n">
        <v>0.14685428</v>
      </c>
      <c r="M15" s="18" t="n">
        <v>0</v>
      </c>
      <c r="N15" s="20" t="n">
        <v>0</v>
      </c>
      <c r="O15" s="18" t="n">
        <v>0</v>
      </c>
      <c r="P15" s="20" t="n">
        <v>0</v>
      </c>
      <c r="Q15" s="18" t="n">
        <v>0.72762583</v>
      </c>
      <c r="R15" s="20" t="n">
        <v>0.22967865</v>
      </c>
    </row>
    <row r="16" spans="1:18">
      <c r="A16" s="15" t="s">
        <v>574</v>
      </c>
      <c r="B16" s="17" t="n">
        <v>6108</v>
      </c>
      <c r="C16" s="18">
        <f>(4781.0/B16*100)</f>
        <v/>
      </c>
      <c r="D16" s="19" t="n">
        <v>1327</v>
      </c>
      <c r="E16" s="18" t="n">
        <v>43.68677614</v>
      </c>
      <c r="F16" s="20" t="n">
        <v>1.3928223</v>
      </c>
      <c r="G16" s="18" t="n">
        <v>51.46581585</v>
      </c>
      <c r="H16" s="20" t="n">
        <v>1.43420409</v>
      </c>
      <c r="I16" s="18" t="n">
        <v>0</v>
      </c>
      <c r="J16" s="20" t="n">
        <v>0</v>
      </c>
      <c r="K16" s="18" t="n">
        <v>3.05174988</v>
      </c>
      <c r="L16" s="20" t="n">
        <v>0.55392739</v>
      </c>
      <c r="M16" s="18" t="n">
        <v>0</v>
      </c>
      <c r="N16" s="20" t="n">
        <v>0</v>
      </c>
      <c r="O16" s="18" t="n">
        <v>0</v>
      </c>
      <c r="P16" s="20" t="n">
        <v>0</v>
      </c>
      <c r="Q16" s="18" t="n">
        <v>1.79565812</v>
      </c>
      <c r="R16" s="20" t="n">
        <v>0.3617331</v>
      </c>
    </row>
    <row r="17" spans="1:18">
      <c r="A17" s="15" t="s">
        <v>575</v>
      </c>
      <c r="B17" s="17" t="n">
        <v>6504</v>
      </c>
      <c r="C17" s="18">
        <f>(5148.0/B17*100)</f>
        <v/>
      </c>
      <c r="D17" s="19" t="n">
        <v>1356</v>
      </c>
      <c r="E17" s="18" t="n">
        <v>44.2760438</v>
      </c>
      <c r="F17" s="20" t="n">
        <v>1.4252706</v>
      </c>
      <c r="G17" s="18" t="n">
        <v>54.21473434</v>
      </c>
      <c r="H17" s="20" t="n">
        <v>1.44322516</v>
      </c>
      <c r="I17" s="18" t="n">
        <v>0</v>
      </c>
      <c r="J17" s="20" t="n">
        <v>0</v>
      </c>
      <c r="K17" s="18" t="n">
        <v>1.11807543</v>
      </c>
      <c r="L17" s="20" t="n">
        <v>0.32749666</v>
      </c>
      <c r="M17" s="18" t="n">
        <v>0</v>
      </c>
      <c r="N17" s="20" t="n">
        <v>0</v>
      </c>
      <c r="O17" s="18" t="n">
        <v>0</v>
      </c>
      <c r="P17" s="20" t="n">
        <v>0</v>
      </c>
      <c r="Q17" s="18" t="n">
        <v>0.39114643</v>
      </c>
      <c r="R17" s="20" t="n">
        <v>0.15525929</v>
      </c>
    </row>
    <row r="18" spans="1:18">
      <c r="A18" s="15" t="s">
        <v>576</v>
      </c>
      <c r="B18" s="17" t="n">
        <v>5532</v>
      </c>
      <c r="C18" s="18">
        <f>(4334.0/B18*100)</f>
        <v/>
      </c>
      <c r="D18" s="19" t="n">
        <v>1198</v>
      </c>
      <c r="E18" s="18" t="n">
        <v>48.52068034</v>
      </c>
      <c r="F18" s="20" t="n">
        <v>1.29345028</v>
      </c>
      <c r="G18" s="18" t="n">
        <v>48.68066103</v>
      </c>
      <c r="H18" s="20" t="n">
        <v>1.36938</v>
      </c>
      <c r="I18" s="18" t="n">
        <v>0</v>
      </c>
      <c r="J18" s="20" t="n">
        <v>0</v>
      </c>
      <c r="K18" s="18" t="n">
        <v>1.55801304</v>
      </c>
      <c r="L18" s="20" t="n">
        <v>0.43563537</v>
      </c>
      <c r="M18" s="18" t="n">
        <v>0</v>
      </c>
      <c r="N18" s="20" t="n">
        <v>0</v>
      </c>
      <c r="O18" s="18" t="n">
        <v>0</v>
      </c>
      <c r="P18" s="20" t="n">
        <v>0</v>
      </c>
      <c r="Q18" s="18" t="n">
        <v>1.24064559</v>
      </c>
      <c r="R18" s="20" t="n">
        <v>0.41687934</v>
      </c>
    </row>
    <row r="19" spans="1:18">
      <c r="A19" s="15" t="s">
        <v>577</v>
      </c>
      <c r="B19" s="17" t="n">
        <v>5658</v>
      </c>
      <c r="C19" s="18">
        <f>(4402.0/B19*100)</f>
        <v/>
      </c>
      <c r="D19" s="19" t="n">
        <v>1256</v>
      </c>
      <c r="E19" s="18" t="n">
        <v>56.25923332</v>
      </c>
      <c r="F19" s="20" t="n">
        <v>1.35121183</v>
      </c>
      <c r="G19" s="18" t="n">
        <v>43.02917308</v>
      </c>
      <c r="H19" s="20" t="n">
        <v>1.36948858</v>
      </c>
      <c r="I19" s="18" t="n">
        <v>0</v>
      </c>
      <c r="J19" s="20" t="n">
        <v>0</v>
      </c>
      <c r="K19" s="18" t="n">
        <v>0.33008912</v>
      </c>
      <c r="L19" s="20" t="n">
        <v>0.19786133</v>
      </c>
      <c r="M19" s="18" t="n">
        <v>0</v>
      </c>
      <c r="N19" s="20" t="n">
        <v>0</v>
      </c>
      <c r="O19" s="18" t="n">
        <v>0</v>
      </c>
      <c r="P19" s="20" t="n">
        <v>0</v>
      </c>
      <c r="Q19" s="18" t="n">
        <v>0.38150448</v>
      </c>
      <c r="R19" s="20" t="n">
        <v>0.13154542</v>
      </c>
    </row>
    <row r="20" spans="1:18">
      <c r="A20" s="15" t="s">
        <v>578</v>
      </c>
      <c r="B20" s="17" t="n">
        <v>3371</v>
      </c>
      <c r="C20" s="18">
        <f>(2651.0/B20*100)</f>
        <v/>
      </c>
      <c r="D20" s="19" t="n">
        <v>720</v>
      </c>
      <c r="E20" s="18" t="n">
        <v>51.98666284</v>
      </c>
      <c r="F20" s="20" t="n">
        <v>2.20063019</v>
      </c>
      <c r="G20" s="18" t="n">
        <v>45.48246219</v>
      </c>
      <c r="H20" s="20" t="n">
        <v>2.22821838</v>
      </c>
      <c r="I20" s="18" t="n">
        <v>0</v>
      </c>
      <c r="J20" s="20" t="n">
        <v>0</v>
      </c>
      <c r="K20" s="18" t="n">
        <v>1.61785188</v>
      </c>
      <c r="L20" s="20" t="n">
        <v>0.44778479</v>
      </c>
      <c r="M20" s="18" t="n">
        <v>0</v>
      </c>
      <c r="N20" s="20" t="n">
        <v>0</v>
      </c>
      <c r="O20" s="18" t="n">
        <v>0</v>
      </c>
      <c r="P20" s="20" t="n">
        <v>0</v>
      </c>
      <c r="Q20" s="18" t="n">
        <v>0.91302309</v>
      </c>
      <c r="R20" s="20" t="n">
        <v>0.34466623</v>
      </c>
    </row>
    <row r="21" spans="1:18">
      <c r="A21" s="15" t="s">
        <v>579</v>
      </c>
      <c r="B21" s="17" t="n">
        <v>5741</v>
      </c>
      <c r="C21" s="18">
        <f>(4496.0/B21*100)</f>
        <v/>
      </c>
      <c r="D21" s="19" t="n">
        <v>1245</v>
      </c>
      <c r="E21" s="18" t="n">
        <v>41.67323752</v>
      </c>
      <c r="F21" s="20" t="n">
        <v>1.62409022</v>
      </c>
      <c r="G21" s="18" t="n">
        <v>56.26634592</v>
      </c>
      <c r="H21" s="20" t="n">
        <v>1.65780406</v>
      </c>
      <c r="I21" s="18" t="n">
        <v>0</v>
      </c>
      <c r="J21" s="20" t="n">
        <v>0</v>
      </c>
      <c r="K21" s="18" t="n">
        <v>1.10201967</v>
      </c>
      <c r="L21" s="20" t="n">
        <v>0.2755421</v>
      </c>
      <c r="M21" s="18" t="n">
        <v>0</v>
      </c>
      <c r="N21" s="20" t="n">
        <v>0</v>
      </c>
      <c r="O21" s="18" t="n">
        <v>0</v>
      </c>
      <c r="P21" s="20" t="n">
        <v>0</v>
      </c>
      <c r="Q21" s="18" t="n">
        <v>0.9583969</v>
      </c>
      <c r="R21" s="20" t="n">
        <v>0.2552824</v>
      </c>
    </row>
    <row r="22" spans="1:18">
      <c r="A22" s="15" t="s">
        <v>580</v>
      </c>
      <c r="B22" s="17" t="n">
        <v>6598</v>
      </c>
      <c r="C22" s="18">
        <f>(5248.0/B22*100)</f>
        <v/>
      </c>
      <c r="D22" s="19" t="n">
        <v>1350</v>
      </c>
      <c r="E22" s="18" t="n">
        <v>44.31326791</v>
      </c>
      <c r="F22" s="20" t="n">
        <v>1.34234863</v>
      </c>
      <c r="G22" s="18" t="n">
        <v>53.05562567</v>
      </c>
      <c r="H22" s="20" t="n">
        <v>1.44180137</v>
      </c>
      <c r="I22" s="18" t="n">
        <v>0</v>
      </c>
      <c r="J22" s="20" t="n">
        <v>0</v>
      </c>
      <c r="K22" s="18" t="n">
        <v>2.08618174</v>
      </c>
      <c r="L22" s="20" t="n">
        <v>0.5087207500000001</v>
      </c>
      <c r="M22" s="18" t="n">
        <v>0</v>
      </c>
      <c r="N22" s="20" t="n">
        <v>0</v>
      </c>
      <c r="O22" s="18" t="n">
        <v>0</v>
      </c>
      <c r="P22" s="20" t="n">
        <v>0</v>
      </c>
      <c r="Q22" s="18" t="n">
        <v>0.5449246800000001</v>
      </c>
      <c r="R22" s="20" t="n">
        <v>0.20937649</v>
      </c>
    </row>
    <row r="23" spans="1:18">
      <c r="A23" s="15" t="s">
        <v>581</v>
      </c>
      <c r="B23" s="17" t="n">
        <v>11583</v>
      </c>
      <c r="C23" s="18">
        <f>(9049.0/B23*100)</f>
        <v/>
      </c>
      <c r="D23" s="19" t="n">
        <v>2534</v>
      </c>
      <c r="E23" s="18" t="n">
        <v>47.24688732</v>
      </c>
      <c r="F23" s="20" t="n">
        <v>1.56756664</v>
      </c>
      <c r="G23" s="18" t="n">
        <v>49.41917869</v>
      </c>
      <c r="H23" s="20" t="n">
        <v>1.43012534</v>
      </c>
      <c r="I23" s="18" t="n">
        <v>0</v>
      </c>
      <c r="J23" s="20" t="n">
        <v>0</v>
      </c>
      <c r="K23" s="18" t="n">
        <v>1.84701698</v>
      </c>
      <c r="L23" s="20" t="n">
        <v>0.45341391</v>
      </c>
      <c r="M23" s="18" t="n">
        <v>0</v>
      </c>
      <c r="N23" s="20" t="n">
        <v>0</v>
      </c>
      <c r="O23" s="18" t="n">
        <v>0</v>
      </c>
      <c r="P23" s="20" t="n">
        <v>0</v>
      </c>
      <c r="Q23" s="18" t="n">
        <v>1.48691701</v>
      </c>
      <c r="R23" s="20" t="n">
        <v>0.28669365</v>
      </c>
    </row>
    <row r="24" spans="1:18">
      <c r="A24" s="15" t="s">
        <v>582</v>
      </c>
      <c r="B24" s="17" t="n">
        <v>6647</v>
      </c>
      <c r="C24" s="18">
        <f>(5223.0/B24*100)</f>
        <v/>
      </c>
      <c r="D24" s="19" t="n">
        <v>1424</v>
      </c>
      <c r="E24" s="18" t="n">
        <v>39.71488842</v>
      </c>
      <c r="F24" s="20" t="n">
        <v>1.35579217</v>
      </c>
      <c r="G24" s="18" t="n">
        <v>58.89533149</v>
      </c>
      <c r="H24" s="20" t="n">
        <v>1.31571084</v>
      </c>
      <c r="I24" s="18" t="n">
        <v>0</v>
      </c>
      <c r="J24" s="20" t="n">
        <v>0</v>
      </c>
      <c r="K24" s="18" t="n">
        <v>0.67058837</v>
      </c>
      <c r="L24" s="20" t="n">
        <v>0.21722613</v>
      </c>
      <c r="M24" s="18" t="n">
        <v>0</v>
      </c>
      <c r="N24" s="20" t="n">
        <v>0</v>
      </c>
      <c r="O24" s="18" t="n">
        <v>0</v>
      </c>
      <c r="P24" s="20" t="n">
        <v>0</v>
      </c>
      <c r="Q24" s="18" t="n">
        <v>0.71919171</v>
      </c>
      <c r="R24" s="20" t="n">
        <v>0.19141966</v>
      </c>
    </row>
    <row r="25" spans="1:18">
      <c r="A25" s="15" t="s">
        <v>583</v>
      </c>
      <c r="B25" s="17" t="n">
        <v>5581</v>
      </c>
      <c r="C25" s="18">
        <f>(4366.0/B25*100)</f>
        <v/>
      </c>
      <c r="D25" s="19" t="n">
        <v>1215</v>
      </c>
      <c r="E25" s="18" t="n">
        <v>48.01155479</v>
      </c>
      <c r="F25" s="20" t="n">
        <v>1.70914136</v>
      </c>
      <c r="G25" s="18" t="n">
        <v>51.50741806</v>
      </c>
      <c r="H25" s="20" t="n">
        <v>1.70697825</v>
      </c>
      <c r="I25" s="18" t="n">
        <v>0</v>
      </c>
      <c r="J25" s="20" t="n">
        <v>0</v>
      </c>
      <c r="K25" s="18" t="n">
        <v>0.06954566</v>
      </c>
      <c r="L25" s="20" t="n">
        <v>0.0699224</v>
      </c>
      <c r="M25" s="18" t="n">
        <v>0</v>
      </c>
      <c r="N25" s="20" t="n">
        <v>0</v>
      </c>
      <c r="O25" s="18" t="n">
        <v>0</v>
      </c>
      <c r="P25" s="20" t="n">
        <v>0</v>
      </c>
      <c r="Q25" s="18" t="n">
        <v>0.41148149</v>
      </c>
      <c r="R25" s="20" t="n">
        <v>0.185558</v>
      </c>
    </row>
    <row r="26" spans="1:18">
      <c r="A26" s="15" t="s">
        <v>584</v>
      </c>
      <c r="B26" s="17" t="n">
        <v>4869</v>
      </c>
      <c r="C26" s="18">
        <f>(3774.0/B26*100)</f>
        <v/>
      </c>
      <c r="D26" s="19" t="n">
        <v>1095</v>
      </c>
      <c r="E26" s="18" t="n">
        <v>42.85703926</v>
      </c>
      <c r="F26" s="20" t="n">
        <v>1.57147419</v>
      </c>
      <c r="G26" s="18" t="n">
        <v>56.58682475</v>
      </c>
      <c r="H26" s="20" t="n">
        <v>1.55409549</v>
      </c>
      <c r="I26" s="18" t="n">
        <v>0</v>
      </c>
      <c r="J26" s="20" t="n">
        <v>0</v>
      </c>
      <c r="K26" s="18" t="n">
        <v>0.15825418</v>
      </c>
      <c r="L26" s="20" t="n">
        <v>0.11390909</v>
      </c>
      <c r="M26" s="18" t="n">
        <v>0</v>
      </c>
      <c r="N26" s="20" t="n">
        <v>0</v>
      </c>
      <c r="O26" s="18" t="n">
        <v>0</v>
      </c>
      <c r="P26" s="20" t="n">
        <v>0</v>
      </c>
      <c r="Q26" s="18" t="n">
        <v>0.39788181</v>
      </c>
      <c r="R26" s="20" t="n">
        <v>0.17933121</v>
      </c>
    </row>
    <row r="27" spans="1:18">
      <c r="A27" s="15" t="s">
        <v>585</v>
      </c>
      <c r="B27" s="17" t="n">
        <v>5299</v>
      </c>
      <c r="C27" s="18">
        <f>(4197.0/B27*100)</f>
        <v/>
      </c>
      <c r="D27" s="19" t="n">
        <v>1102</v>
      </c>
      <c r="E27" s="18" t="n">
        <v>52.01408007</v>
      </c>
      <c r="F27" s="20" t="n">
        <v>1.61889498</v>
      </c>
      <c r="G27" s="18" t="n">
        <v>45.40220161</v>
      </c>
      <c r="H27" s="20" t="n">
        <v>1.58538623</v>
      </c>
      <c r="I27" s="18" t="n">
        <v>0</v>
      </c>
      <c r="J27" s="20" t="n">
        <v>0</v>
      </c>
      <c r="K27" s="18" t="n">
        <v>0.9092101500000001</v>
      </c>
      <c r="L27" s="20" t="n">
        <v>0.2822629</v>
      </c>
      <c r="M27" s="18" t="n">
        <v>0</v>
      </c>
      <c r="N27" s="20" t="n">
        <v>0</v>
      </c>
      <c r="O27" s="18" t="n">
        <v>0</v>
      </c>
      <c r="P27" s="20" t="n">
        <v>0</v>
      </c>
      <c r="Q27" s="18" t="n">
        <v>1.67450817</v>
      </c>
      <c r="R27" s="20" t="n">
        <v>0.38954841</v>
      </c>
    </row>
    <row r="28" spans="1:18">
      <c r="A28" s="15" t="s">
        <v>586</v>
      </c>
      <c r="B28" s="17" t="n">
        <v>7568</v>
      </c>
      <c r="C28" s="18">
        <f>(6103.0/B28*100)</f>
        <v/>
      </c>
      <c r="D28" s="19" t="n">
        <v>1465</v>
      </c>
      <c r="E28" s="18" t="n">
        <v>68.54682669</v>
      </c>
      <c r="F28" s="20" t="n">
        <v>1.24343066</v>
      </c>
      <c r="G28" s="18" t="n">
        <v>28.80197875</v>
      </c>
      <c r="H28" s="20" t="n">
        <v>1.2520059</v>
      </c>
      <c r="I28" s="18" t="n">
        <v>0</v>
      </c>
      <c r="J28" s="20" t="n">
        <v>0</v>
      </c>
      <c r="K28" s="18" t="n">
        <v>1.39524134</v>
      </c>
      <c r="L28" s="20" t="n">
        <v>0.41445903</v>
      </c>
      <c r="M28" s="18" t="n">
        <v>0</v>
      </c>
      <c r="N28" s="20" t="n">
        <v>0</v>
      </c>
      <c r="O28" s="18" t="n">
        <v>0</v>
      </c>
      <c r="P28" s="20" t="n">
        <v>0</v>
      </c>
      <c r="Q28" s="18" t="n">
        <v>1.25595322</v>
      </c>
      <c r="R28" s="20" t="n">
        <v>0.29526098</v>
      </c>
    </row>
    <row r="29" spans="1:18">
      <c r="A29" s="15" t="s">
        <v>587</v>
      </c>
      <c r="B29" s="17" t="n">
        <v>5385</v>
      </c>
      <c r="C29" s="18">
        <f>(4213.0/B29*100)</f>
        <v/>
      </c>
      <c r="D29" s="19" t="n">
        <v>1172</v>
      </c>
      <c r="E29" s="18" t="n">
        <v>47.64045384</v>
      </c>
      <c r="F29" s="20" t="n">
        <v>1.54643099</v>
      </c>
      <c r="G29" s="18" t="n">
        <v>51.55784603</v>
      </c>
      <c r="H29" s="20" t="n">
        <v>1.55542476</v>
      </c>
      <c r="I29" s="18" t="n">
        <v>0</v>
      </c>
      <c r="J29" s="20" t="n">
        <v>0</v>
      </c>
      <c r="K29" s="18" t="n">
        <v>0.67246162</v>
      </c>
      <c r="L29" s="20" t="n">
        <v>0.21767105</v>
      </c>
      <c r="M29" s="18" t="n">
        <v>0</v>
      </c>
      <c r="N29" s="20" t="n">
        <v>0</v>
      </c>
      <c r="O29" s="18" t="n">
        <v>0</v>
      </c>
      <c r="P29" s="20" t="n">
        <v>0</v>
      </c>
      <c r="Q29" s="18" t="n">
        <v>0.12923851</v>
      </c>
      <c r="R29" s="20" t="n">
        <v>0.10720448</v>
      </c>
    </row>
    <row r="30" spans="1:18">
      <c r="A30" s="15" t="s">
        <v>588</v>
      </c>
      <c r="B30" s="17" t="n">
        <v>4520</v>
      </c>
      <c r="C30" s="18">
        <f>(3584.0/B30*100)</f>
        <v/>
      </c>
      <c r="D30" s="19" t="n">
        <v>936</v>
      </c>
      <c r="E30" s="18" t="n">
        <v>41.05647579</v>
      </c>
      <c r="F30" s="20" t="n">
        <v>1.54731611</v>
      </c>
      <c r="G30" s="18" t="n">
        <v>56.79129721</v>
      </c>
      <c r="H30" s="20" t="n">
        <v>1.52773832</v>
      </c>
      <c r="I30" s="18" t="n">
        <v>0</v>
      </c>
      <c r="J30" s="20" t="n">
        <v>0</v>
      </c>
      <c r="K30" s="18" t="n">
        <v>1.02374586</v>
      </c>
      <c r="L30" s="20" t="n">
        <v>0.35958139</v>
      </c>
      <c r="M30" s="18" t="n">
        <v>0</v>
      </c>
      <c r="N30" s="20" t="n">
        <v>0</v>
      </c>
      <c r="O30" s="18" t="n">
        <v>0</v>
      </c>
      <c r="P30" s="20" t="n">
        <v>0</v>
      </c>
      <c r="Q30" s="18" t="n">
        <v>1.12848115</v>
      </c>
      <c r="R30" s="20" t="n">
        <v>0.35123921</v>
      </c>
    </row>
    <row r="31" spans="1:18">
      <c r="A31" s="15" t="s">
        <v>589</v>
      </c>
      <c r="B31" s="17" t="n">
        <v>5456</v>
      </c>
      <c r="C31" s="18">
        <f>(4310.0/B31*100)</f>
        <v/>
      </c>
      <c r="D31" s="19" t="n">
        <v>1146</v>
      </c>
      <c r="E31" s="18" t="n">
        <v>51.12229164</v>
      </c>
      <c r="F31" s="20" t="n">
        <v>1.46699001</v>
      </c>
      <c r="G31" s="18" t="n">
        <v>46.48026402</v>
      </c>
      <c r="H31" s="20" t="n">
        <v>1.2768184</v>
      </c>
      <c r="I31" s="18" t="n">
        <v>0</v>
      </c>
      <c r="J31" s="20" t="n">
        <v>0</v>
      </c>
      <c r="K31" s="18" t="n">
        <v>1.68495116</v>
      </c>
      <c r="L31" s="20" t="n">
        <v>0.36717419</v>
      </c>
      <c r="M31" s="18" t="n">
        <v>0</v>
      </c>
      <c r="N31" s="20" t="n">
        <v>0</v>
      </c>
      <c r="O31" s="18" t="n">
        <v>0</v>
      </c>
      <c r="P31" s="20" t="n">
        <v>0</v>
      </c>
      <c r="Q31" s="18" t="n">
        <v>0.7124931799999999</v>
      </c>
      <c r="R31" s="20" t="n">
        <v>0.25277111</v>
      </c>
    </row>
    <row r="32" spans="1:18">
      <c r="A32" s="15" t="s">
        <v>590</v>
      </c>
      <c r="B32" s="17" t="n">
        <v>4478</v>
      </c>
      <c r="C32" s="18">
        <f>(3549.0/B32*100)</f>
        <v/>
      </c>
      <c r="D32" s="19" t="n">
        <v>929</v>
      </c>
      <c r="E32" s="18" t="n">
        <v>44.24277229</v>
      </c>
      <c r="F32" s="20" t="n">
        <v>1.58852794</v>
      </c>
      <c r="G32" s="18" t="n">
        <v>55.18981967</v>
      </c>
      <c r="H32" s="20" t="n">
        <v>1.62876237</v>
      </c>
      <c r="I32" s="18" t="n">
        <v>0</v>
      </c>
      <c r="J32" s="20" t="n">
        <v>0</v>
      </c>
      <c r="K32" s="18" t="n">
        <v>0.38530735</v>
      </c>
      <c r="L32" s="20" t="n">
        <v>0.19765594</v>
      </c>
      <c r="M32" s="18" t="n">
        <v>0</v>
      </c>
      <c r="N32" s="20" t="n">
        <v>0</v>
      </c>
      <c r="O32" s="18" t="n">
        <v>0</v>
      </c>
      <c r="P32" s="20" t="n">
        <v>0</v>
      </c>
      <c r="Q32" s="18" t="n">
        <v>0.18210068</v>
      </c>
      <c r="R32" s="20" t="n">
        <v>0.1285579</v>
      </c>
    </row>
    <row r="33" spans="1:18">
      <c r="A33" s="15" t="s">
        <v>591</v>
      </c>
      <c r="B33" s="17" t="n">
        <v>7325</v>
      </c>
      <c r="C33" s="18">
        <f>(5798.0/B33*100)</f>
        <v/>
      </c>
      <c r="D33" s="19" t="n">
        <v>1527</v>
      </c>
      <c r="E33" s="18" t="n">
        <v>55.55870418</v>
      </c>
      <c r="F33" s="20" t="n">
        <v>1.67617638</v>
      </c>
      <c r="G33" s="18" t="n">
        <v>43.43959096</v>
      </c>
      <c r="H33" s="20" t="n">
        <v>1.71396788</v>
      </c>
      <c r="I33" s="18" t="n">
        <v>0</v>
      </c>
      <c r="J33" s="20" t="n">
        <v>0</v>
      </c>
      <c r="K33" s="18" t="n">
        <v>0.49856175</v>
      </c>
      <c r="L33" s="20" t="n">
        <v>0.1947897</v>
      </c>
      <c r="M33" s="18" t="n">
        <v>0</v>
      </c>
      <c r="N33" s="20" t="n">
        <v>0</v>
      </c>
      <c r="O33" s="18" t="n">
        <v>0</v>
      </c>
      <c r="P33" s="20" t="n">
        <v>0</v>
      </c>
      <c r="Q33" s="18" t="n">
        <v>0.5031431200000001</v>
      </c>
      <c r="R33" s="20" t="n">
        <v>0.21039868</v>
      </c>
    </row>
    <row r="34" spans="1:18">
      <c r="A34" s="15" t="s">
        <v>592</v>
      </c>
      <c r="B34" s="17" t="n">
        <v>6350</v>
      </c>
      <c r="C34" s="18">
        <f>(5032.0/B34*100)</f>
        <v/>
      </c>
      <c r="D34" s="19" t="n">
        <v>1318</v>
      </c>
      <c r="E34" s="18" t="n">
        <v>56.10615257</v>
      </c>
      <c r="F34" s="20" t="n">
        <v>1.45367572</v>
      </c>
      <c r="G34" s="18" t="n">
        <v>42.32442629</v>
      </c>
      <c r="H34" s="20" t="n">
        <v>1.45267116</v>
      </c>
      <c r="I34" s="18" t="n">
        <v>0</v>
      </c>
      <c r="J34" s="20" t="n">
        <v>0</v>
      </c>
      <c r="K34" s="18" t="n">
        <v>0.47234487</v>
      </c>
      <c r="L34" s="20" t="n">
        <v>0.23370352</v>
      </c>
      <c r="M34" s="18" t="n">
        <v>0</v>
      </c>
      <c r="N34" s="20" t="n">
        <v>0</v>
      </c>
      <c r="O34" s="18" t="n">
        <v>0</v>
      </c>
      <c r="P34" s="20" t="n">
        <v>0</v>
      </c>
      <c r="Q34" s="18" t="n">
        <v>1.09707627</v>
      </c>
      <c r="R34" s="20" t="n">
        <v>0.26589988</v>
      </c>
    </row>
    <row r="35" spans="1:18">
      <c r="A35" s="15" t="s">
        <v>593</v>
      </c>
      <c r="B35" s="17" t="n">
        <v>6406</v>
      </c>
      <c r="C35" s="18">
        <f>(4981.0/B35*100)</f>
        <v/>
      </c>
      <c r="D35" s="19" t="n">
        <v>1425</v>
      </c>
      <c r="E35" s="18" t="n">
        <v>45.77928719</v>
      </c>
      <c r="F35" s="20" t="n">
        <v>1.6400503</v>
      </c>
      <c r="G35" s="18" t="n">
        <v>53.23245233</v>
      </c>
      <c r="H35" s="20" t="n">
        <v>1.66383951</v>
      </c>
      <c r="I35" s="18" t="n">
        <v>0</v>
      </c>
      <c r="J35" s="20" t="n">
        <v>0</v>
      </c>
      <c r="K35" s="18" t="n">
        <v>0.36521495</v>
      </c>
      <c r="L35" s="20" t="n">
        <v>0.1662073</v>
      </c>
      <c r="M35" s="18" t="n">
        <v>0</v>
      </c>
      <c r="N35" s="20" t="n">
        <v>0</v>
      </c>
      <c r="O35" s="18" t="n">
        <v>0</v>
      </c>
      <c r="P35" s="20" t="n">
        <v>0</v>
      </c>
      <c r="Q35" s="18" t="n">
        <v>0.62304553</v>
      </c>
      <c r="R35" s="20" t="n">
        <v>0.18927984</v>
      </c>
    </row>
    <row r="36" spans="1:18">
      <c r="A36" s="15" t="s">
        <v>594</v>
      </c>
      <c r="B36" s="17" t="n">
        <v>6736</v>
      </c>
      <c r="C36" s="18">
        <f>(5300.0/B36*100)</f>
        <v/>
      </c>
      <c r="D36" s="19" t="n">
        <v>1436</v>
      </c>
      <c r="E36" s="18" t="n">
        <v>54.0280399</v>
      </c>
      <c r="F36" s="20" t="n">
        <v>1.14016824</v>
      </c>
      <c r="G36" s="18" t="n">
        <v>44.03701825</v>
      </c>
      <c r="H36" s="20" t="n">
        <v>1.1987553</v>
      </c>
      <c r="I36" s="18" t="n">
        <v>0</v>
      </c>
      <c r="J36" s="20" t="n">
        <v>0</v>
      </c>
      <c r="K36" s="18" t="n">
        <v>1.09244046</v>
      </c>
      <c r="L36" s="20" t="n">
        <v>0.27431526</v>
      </c>
      <c r="M36" s="18" t="n">
        <v>0</v>
      </c>
      <c r="N36" s="20" t="n">
        <v>0</v>
      </c>
      <c r="O36" s="18" t="n">
        <v>0</v>
      </c>
      <c r="P36" s="20" t="n">
        <v>0</v>
      </c>
      <c r="Q36" s="18" t="n">
        <v>0.8425014</v>
      </c>
      <c r="R36" s="20" t="n">
        <v>0.24903174</v>
      </c>
    </row>
    <row r="37" spans="1:18">
      <c r="A37" s="15" t="s">
        <v>595</v>
      </c>
      <c r="B37" s="17" t="n">
        <v>5458</v>
      </c>
      <c r="C37" s="18">
        <f>(4321.0/B37*100)</f>
        <v/>
      </c>
      <c r="D37" s="19" t="n">
        <v>1137</v>
      </c>
      <c r="E37" s="18" t="n">
        <v>48.26194727</v>
      </c>
      <c r="F37" s="20" t="n">
        <v>1.76907001</v>
      </c>
      <c r="G37" s="18" t="n">
        <v>47.82001932</v>
      </c>
      <c r="H37" s="20" t="n">
        <v>1.77422947</v>
      </c>
      <c r="I37" s="18" t="n">
        <v>0</v>
      </c>
      <c r="J37" s="20" t="n">
        <v>0</v>
      </c>
      <c r="K37" s="18" t="n">
        <v>2.71793031</v>
      </c>
      <c r="L37" s="20" t="n">
        <v>0.44939688</v>
      </c>
      <c r="M37" s="18" t="n">
        <v>0</v>
      </c>
      <c r="N37" s="20" t="n">
        <v>0</v>
      </c>
      <c r="O37" s="18" t="n">
        <v>0</v>
      </c>
      <c r="P37" s="20" t="n">
        <v>0</v>
      </c>
      <c r="Q37" s="18" t="n">
        <v>1.20010311</v>
      </c>
      <c r="R37" s="20" t="n">
        <v>0.36353042</v>
      </c>
    </row>
    <row r="38" spans="1:18">
      <c r="A38" s="15" t="s">
        <v>596</v>
      </c>
      <c r="B38" s="17" t="n">
        <v>5860</v>
      </c>
      <c r="C38" s="18">
        <f>(4535.0/B38*100)</f>
        <v/>
      </c>
      <c r="D38" s="19" t="n">
        <v>1325</v>
      </c>
      <c r="E38" s="18" t="n">
        <v>43.4950537</v>
      </c>
      <c r="F38" s="20" t="n">
        <v>1.48616353</v>
      </c>
      <c r="G38" s="18" t="n">
        <v>54.2825533</v>
      </c>
      <c r="H38" s="20" t="n">
        <v>1.46868713</v>
      </c>
      <c r="I38" s="18" t="n">
        <v>0</v>
      </c>
      <c r="J38" s="20" t="n">
        <v>0</v>
      </c>
      <c r="K38" s="18" t="n">
        <v>1.45849293</v>
      </c>
      <c r="L38" s="20" t="n">
        <v>0.34683129</v>
      </c>
      <c r="M38" s="18" t="n">
        <v>0</v>
      </c>
      <c r="N38" s="20" t="n">
        <v>0</v>
      </c>
      <c r="O38" s="18" t="n">
        <v>0</v>
      </c>
      <c r="P38" s="20" t="n">
        <v>0</v>
      </c>
      <c r="Q38" s="18" t="n">
        <v>0.76390006</v>
      </c>
      <c r="R38" s="20" t="n">
        <v>0.24290027</v>
      </c>
    </row>
    <row r="39" spans="1:18">
      <c r="A39" s="15" t="s">
        <v>597</v>
      </c>
      <c r="B39" s="17" t="n">
        <v>5895</v>
      </c>
      <c r="C39" s="18">
        <f>(4593.0/B39*100)</f>
        <v/>
      </c>
      <c r="D39" s="19" t="n">
        <v>1302</v>
      </c>
      <c r="E39" s="18" t="n">
        <v>54.98448642</v>
      </c>
      <c r="F39" s="20" t="n">
        <v>1.71902686</v>
      </c>
      <c r="G39" s="18" t="n">
        <v>43.76318455</v>
      </c>
      <c r="H39" s="20" t="n">
        <v>1.79293717</v>
      </c>
      <c r="I39" s="18" t="n">
        <v>0</v>
      </c>
      <c r="J39" s="20" t="n">
        <v>0</v>
      </c>
      <c r="K39" s="18" t="n">
        <v>0.27980636</v>
      </c>
      <c r="L39" s="20" t="n">
        <v>0.15497789</v>
      </c>
      <c r="M39" s="18" t="n">
        <v>0</v>
      </c>
      <c r="N39" s="20" t="n">
        <v>0</v>
      </c>
      <c r="O39" s="18" t="n">
        <v>0</v>
      </c>
      <c r="P39" s="20" t="n">
        <v>0</v>
      </c>
      <c r="Q39" s="18" t="n">
        <v>0.97252267</v>
      </c>
      <c r="R39" s="20" t="n">
        <v>0.24716011</v>
      </c>
    </row>
    <row r="40" spans="1:18">
      <c r="A40" s="15" t="s">
        <v>598</v>
      </c>
      <c r="B40" s="17" t="n">
        <v>14157</v>
      </c>
      <c r="C40" s="18">
        <f>(10990.0/B40*100)</f>
        <v/>
      </c>
      <c r="D40" s="19" t="n">
        <v>3167</v>
      </c>
      <c r="E40" s="18" t="n">
        <v>41.17459144</v>
      </c>
      <c r="F40" s="20" t="n">
        <v>1.34790227</v>
      </c>
      <c r="G40" s="18" t="n">
        <v>57.63109134</v>
      </c>
      <c r="H40" s="20" t="n">
        <v>1.3428961</v>
      </c>
      <c r="I40" s="18" t="n">
        <v>0</v>
      </c>
      <c r="J40" s="20" t="n">
        <v>0</v>
      </c>
      <c r="K40" s="18" t="n">
        <v>0.63904609</v>
      </c>
      <c r="L40" s="20" t="n">
        <v>0.22207651</v>
      </c>
      <c r="M40" s="18" t="n">
        <v>0</v>
      </c>
      <c r="N40" s="20" t="n">
        <v>0</v>
      </c>
      <c r="O40" s="18" t="n">
        <v>0</v>
      </c>
      <c r="P40" s="20" t="n">
        <v>0</v>
      </c>
      <c r="Q40" s="18" t="n">
        <v>0.5552711299999999</v>
      </c>
      <c r="R40" s="20" t="n">
        <v>0.17489993</v>
      </c>
    </row>
    <row r="41" spans="1:18">
      <c r="A41" s="15" t="s">
        <v>599</v>
      </c>
      <c r="B41" s="17" t="n">
        <v>5712</v>
      </c>
      <c r="C41" s="18">
        <f>(4540.0/B41*100)</f>
        <v/>
      </c>
      <c r="D41" s="19" t="n">
        <v>1172</v>
      </c>
      <c r="E41" s="18" t="n">
        <v>42.94608542</v>
      </c>
      <c r="F41" s="20" t="n">
        <v>1.77200825</v>
      </c>
      <c r="G41" s="18" t="n">
        <v>55.61824913</v>
      </c>
      <c r="H41" s="20" t="n">
        <v>1.72982933</v>
      </c>
      <c r="I41" s="18" t="n">
        <v>0</v>
      </c>
      <c r="J41" s="20" t="n">
        <v>0</v>
      </c>
      <c r="K41" s="18" t="n">
        <v>0.4965936</v>
      </c>
      <c r="L41" s="20" t="n">
        <v>0.21903451</v>
      </c>
      <c r="M41" s="18" t="n">
        <v>0</v>
      </c>
      <c r="N41" s="20" t="n">
        <v>0</v>
      </c>
      <c r="O41" s="18" t="n">
        <v>0</v>
      </c>
      <c r="P41" s="20" t="n">
        <v>0</v>
      </c>
      <c r="Q41" s="18" t="n">
        <v>0.93907185</v>
      </c>
      <c r="R41" s="20" t="n">
        <v>0.31236127</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(19499.0/B46*100)</f>
        <v/>
      </c>
      <c r="D46" s="19" t="n">
        <v>3642</v>
      </c>
      <c r="E46" s="18" t="n">
        <v>69.27350563</v>
      </c>
      <c r="F46" s="20" t="n">
        <v>0.94482555</v>
      </c>
      <c r="G46" s="18" t="n">
        <v>26.6332162</v>
      </c>
      <c r="H46" s="20" t="n">
        <v>1.06224513</v>
      </c>
      <c r="I46" s="18" t="n">
        <v>0</v>
      </c>
      <c r="J46" s="20" t="n">
        <v>0</v>
      </c>
      <c r="K46" s="18" t="n">
        <v>3.06429914</v>
      </c>
      <c r="L46" s="20" t="n">
        <v>0.5752791</v>
      </c>
      <c r="M46" s="18" t="n">
        <v>0</v>
      </c>
      <c r="N46" s="20" t="n">
        <v>0</v>
      </c>
      <c r="O46" s="18" t="n">
        <v>0</v>
      </c>
      <c r="P46" s="20" t="n">
        <v>0</v>
      </c>
      <c r="Q46" s="18" t="n">
        <v>1.02897903</v>
      </c>
      <c r="R46" s="20" t="n">
        <v>0.22143057</v>
      </c>
    </row>
    <row r="47" spans="1:18">
      <c r="A47" s="15" t="s">
        <v>606</v>
      </c>
      <c r="B47" s="17" t="n">
        <v>5928</v>
      </c>
      <c r="C47" s="18">
        <f>(4672.0/B47*100)</f>
        <v/>
      </c>
      <c r="D47" s="19" t="n">
        <v>1256</v>
      </c>
      <c r="E47" s="18" t="n">
        <v>53.37944073</v>
      </c>
      <c r="F47" s="20" t="n">
        <v>1.53101357</v>
      </c>
      <c r="G47" s="18" t="n">
        <v>43.42052555</v>
      </c>
      <c r="H47" s="20" t="n">
        <v>1.50660527</v>
      </c>
      <c r="I47" s="18" t="n">
        <v>0</v>
      </c>
      <c r="J47" s="20" t="n">
        <v>0</v>
      </c>
      <c r="K47" s="18" t="n">
        <v>1.55945853</v>
      </c>
      <c r="L47" s="20" t="n">
        <v>0.31265981</v>
      </c>
      <c r="M47" s="18" t="n">
        <v>0</v>
      </c>
      <c r="N47" s="20" t="n">
        <v>0</v>
      </c>
      <c r="O47" s="18" t="n">
        <v>0</v>
      </c>
      <c r="P47" s="20" t="n">
        <v>0</v>
      </c>
      <c r="Q47" s="18" t="n">
        <v>1.64057519</v>
      </c>
      <c r="R47" s="20" t="n">
        <v>0.37823201</v>
      </c>
    </row>
    <row r="48" spans="1:18">
      <c r="A48" s="15" t="s">
        <v>607</v>
      </c>
      <c r="B48" s="17" t="n">
        <v>9841</v>
      </c>
      <c r="C48" s="18">
        <f>(7710.0/B48*100)</f>
        <v/>
      </c>
      <c r="D48" s="19" t="n">
        <v>2131</v>
      </c>
      <c r="E48" s="18" t="n">
        <v>36.81821318</v>
      </c>
      <c r="F48" s="20" t="n">
        <v>2.09688717</v>
      </c>
      <c r="G48" s="18" t="n">
        <v>61.74977285</v>
      </c>
      <c r="H48" s="20" t="n">
        <v>2.12764986</v>
      </c>
      <c r="I48" s="18" t="n">
        <v>0</v>
      </c>
      <c r="J48" s="20" t="n">
        <v>0</v>
      </c>
      <c r="K48" s="18" t="n">
        <v>1.09071891</v>
      </c>
      <c r="L48" s="20" t="n">
        <v>0.33118986</v>
      </c>
      <c r="M48" s="18" t="n">
        <v>0</v>
      </c>
      <c r="N48" s="20" t="n">
        <v>0</v>
      </c>
      <c r="O48" s="18" t="n">
        <v>0</v>
      </c>
      <c r="P48" s="20" t="n">
        <v>0</v>
      </c>
      <c r="Q48" s="18" t="n">
        <v>0.34129506</v>
      </c>
      <c r="R48" s="20" t="n">
        <v>0.1307931</v>
      </c>
    </row>
    <row r="49" spans="1:18">
      <c r="A49" s="15" t="s">
        <v>608</v>
      </c>
      <c r="B49" s="17" t="n">
        <v>11795</v>
      </c>
      <c r="C49" s="18">
        <f>(9314.0/B49*100)</f>
        <v/>
      </c>
      <c r="D49" s="19" t="n">
        <v>2481</v>
      </c>
      <c r="E49" s="18" t="n">
        <v>67.69117190999999</v>
      </c>
      <c r="F49" s="20" t="n">
        <v>1.30469149</v>
      </c>
      <c r="G49" s="18" t="n">
        <v>28.26336227</v>
      </c>
      <c r="H49" s="20" t="n">
        <v>1.17428056</v>
      </c>
      <c r="I49" s="18" t="n">
        <v>0</v>
      </c>
      <c r="J49" s="20" t="n">
        <v>0</v>
      </c>
      <c r="K49" s="18" t="n">
        <v>3.67050434</v>
      </c>
      <c r="L49" s="20" t="n">
        <v>0.5531070300000001</v>
      </c>
      <c r="M49" s="18" t="n">
        <v>0</v>
      </c>
      <c r="N49" s="20" t="n">
        <v>0</v>
      </c>
      <c r="O49" s="18" t="n">
        <v>0</v>
      </c>
      <c r="P49" s="20" t="n">
        <v>0</v>
      </c>
      <c r="Q49" s="18" t="n">
        <v>0.37496148</v>
      </c>
      <c r="R49" s="20" t="n">
        <v>0.14065361</v>
      </c>
    </row>
    <row r="50" spans="1:18">
      <c r="A50" s="15" t="s">
        <v>609</v>
      </c>
      <c r="B50" s="17" t="n">
        <v>6866</v>
      </c>
      <c r="C50" s="18">
        <f>(5621.0/B50*100)</f>
        <v/>
      </c>
      <c r="D50" s="19" t="n">
        <v>1245</v>
      </c>
      <c r="E50" s="18" t="n">
        <v>69.30500021</v>
      </c>
      <c r="F50" s="20" t="n">
        <v>1.23861237</v>
      </c>
      <c r="G50" s="18" t="n">
        <v>27.79837496</v>
      </c>
      <c r="H50" s="20" t="n">
        <v>1.26953293</v>
      </c>
      <c r="I50" s="18" t="n">
        <v>0</v>
      </c>
      <c r="J50" s="20" t="n">
        <v>0</v>
      </c>
      <c r="K50" s="18" t="n">
        <v>1.68171126</v>
      </c>
      <c r="L50" s="20" t="n">
        <v>0.44121463</v>
      </c>
      <c r="M50" s="18" t="n">
        <v>0</v>
      </c>
      <c r="N50" s="20" t="n">
        <v>0</v>
      </c>
      <c r="O50" s="18" t="n">
        <v>0</v>
      </c>
      <c r="P50" s="20" t="n">
        <v>0</v>
      </c>
      <c r="Q50" s="18" t="n">
        <v>1.21491357</v>
      </c>
      <c r="R50" s="20" t="n">
        <v>0.3311418</v>
      </c>
    </row>
    <row r="51" spans="1:18">
      <c r="A51" s="15" t="s">
        <v>610</v>
      </c>
      <c r="B51" s="17" t="n">
        <v>5809</v>
      </c>
      <c r="C51" s="18">
        <f>(4567.0/B51*100)</f>
        <v/>
      </c>
      <c r="D51" s="19" t="n">
        <v>1242</v>
      </c>
      <c r="E51" s="18" t="n">
        <v>54.57865061</v>
      </c>
      <c r="F51" s="20" t="n">
        <v>1.37446999</v>
      </c>
      <c r="G51" s="18" t="n">
        <v>44.50726864</v>
      </c>
      <c r="H51" s="20" t="n">
        <v>1.48453034</v>
      </c>
      <c r="I51" s="18" t="n">
        <v>0</v>
      </c>
      <c r="J51" s="20" t="n">
        <v>0</v>
      </c>
      <c r="K51" s="18" t="n">
        <v>0.4293691</v>
      </c>
      <c r="L51" s="20" t="n">
        <v>0.17565905</v>
      </c>
      <c r="M51" s="18" t="n">
        <v>0</v>
      </c>
      <c r="N51" s="20" t="n">
        <v>0</v>
      </c>
      <c r="O51" s="18" t="n">
        <v>0</v>
      </c>
      <c r="P51" s="20" t="n">
        <v>0</v>
      </c>
      <c r="Q51" s="18" t="n">
        <v>0.48471165</v>
      </c>
      <c r="R51" s="20" t="n">
        <v>0.27771877</v>
      </c>
    </row>
    <row r="52" spans="1:18">
      <c r="A52" s="15" t="s">
        <v>611</v>
      </c>
      <c r="B52" s="17" t="n">
        <v>5571</v>
      </c>
      <c r="C52" s="18">
        <f>(4364.0/B52*100)</f>
        <v/>
      </c>
      <c r="D52" s="19" t="n">
        <v>1207</v>
      </c>
      <c r="E52" s="18" t="n">
        <v>57.49639703</v>
      </c>
      <c r="F52" s="20" t="n">
        <v>1.45864171</v>
      </c>
      <c r="G52" s="18" t="n">
        <v>40.91903587</v>
      </c>
      <c r="H52" s="20" t="n">
        <v>1.43285231</v>
      </c>
      <c r="I52" s="18" t="n">
        <v>0</v>
      </c>
      <c r="J52" s="20" t="n">
        <v>0</v>
      </c>
      <c r="K52" s="18" t="n">
        <v>0.76907514</v>
      </c>
      <c r="L52" s="20" t="n">
        <v>0.22930842</v>
      </c>
      <c r="M52" s="18" t="n">
        <v>0</v>
      </c>
      <c r="N52" s="20" t="n">
        <v>0</v>
      </c>
      <c r="O52" s="18" t="n">
        <v>0</v>
      </c>
      <c r="P52" s="20" t="n">
        <v>0</v>
      </c>
      <c r="Q52" s="18" t="n">
        <v>0.81549196</v>
      </c>
      <c r="R52" s="20" t="n">
        <v>0.26755936</v>
      </c>
    </row>
    <row r="53" spans="1:18">
      <c r="A53" s="15" t="s">
        <v>612</v>
      </c>
      <c r="B53" s="17" t="n">
        <v>4740</v>
      </c>
      <c r="C53" s="18">
        <f>(3684.0/B53*100)</f>
        <v/>
      </c>
      <c r="D53" s="19" t="n">
        <v>1056</v>
      </c>
      <c r="E53" s="18" t="n">
        <v>62.24161328</v>
      </c>
      <c r="F53" s="20" t="n">
        <v>1.74991698</v>
      </c>
      <c r="G53" s="18" t="n">
        <v>13.13870589</v>
      </c>
      <c r="H53" s="20" t="n">
        <v>1.10558247</v>
      </c>
      <c r="I53" s="18" t="n">
        <v>0</v>
      </c>
      <c r="J53" s="20" t="n">
        <v>0</v>
      </c>
      <c r="K53" s="18" t="n">
        <v>21.34892367</v>
      </c>
      <c r="L53" s="20" t="n">
        <v>1.46589124</v>
      </c>
      <c r="M53" s="18" t="n">
        <v>0</v>
      </c>
      <c r="N53" s="20" t="n">
        <v>0</v>
      </c>
      <c r="O53" s="18" t="n">
        <v>0</v>
      </c>
      <c r="P53" s="20" t="n">
        <v>0</v>
      </c>
      <c r="Q53" s="18" t="n">
        <v>3.27075716</v>
      </c>
      <c r="R53" s="20" t="n">
        <v>0.8649907</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(4166.0/B55*100)</f>
        <v/>
      </c>
      <c r="D55" s="19" t="n">
        <v>1193</v>
      </c>
      <c r="E55" s="18" t="n">
        <v>37.85470055</v>
      </c>
      <c r="F55" s="20" t="n">
        <v>1.30242745</v>
      </c>
      <c r="G55" s="18" t="n">
        <v>61.49433796</v>
      </c>
      <c r="H55" s="20" t="n">
        <v>1.40765683</v>
      </c>
      <c r="I55" s="18" t="n">
        <v>0</v>
      </c>
      <c r="J55" s="20" t="n">
        <v>0</v>
      </c>
      <c r="K55" s="18" t="n">
        <v>0.29263555</v>
      </c>
      <c r="L55" s="20" t="n">
        <v>0.19433918</v>
      </c>
      <c r="M55" s="18" t="n">
        <v>0</v>
      </c>
      <c r="N55" s="20" t="n">
        <v>0</v>
      </c>
      <c r="O55" s="18" t="n">
        <v>0</v>
      </c>
      <c r="P55" s="20" t="n">
        <v>0</v>
      </c>
      <c r="Q55" s="18" t="n">
        <v>0.35832594</v>
      </c>
      <c r="R55" s="20" t="n">
        <v>0.20845625</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(5102.0/B61*100)</f>
        <v/>
      </c>
      <c r="D61" s="19" t="n">
        <v>1423</v>
      </c>
      <c r="E61" s="18" t="n">
        <v>50.17395474</v>
      </c>
      <c r="F61" s="20" t="n">
        <v>1.64284822</v>
      </c>
      <c r="G61" s="18" t="n">
        <v>48.42343339</v>
      </c>
      <c r="H61" s="20" t="n">
        <v>1.67738784</v>
      </c>
      <c r="I61" s="18" t="n">
        <v>0</v>
      </c>
      <c r="J61" s="20" t="n">
        <v>0</v>
      </c>
      <c r="K61" s="18" t="n">
        <v>0.58903041</v>
      </c>
      <c r="L61" s="20" t="n">
        <v>0.2552604</v>
      </c>
      <c r="M61" s="18" t="n">
        <v>0</v>
      </c>
      <c r="N61" s="20" t="n">
        <v>0</v>
      </c>
      <c r="O61" s="18" t="n">
        <v>0</v>
      </c>
      <c r="P61" s="20" t="n">
        <v>0</v>
      </c>
      <c r="Q61" s="18" t="n">
        <v>0.81358146</v>
      </c>
      <c r="R61" s="20" t="n">
        <v>0.26462176</v>
      </c>
    </row>
    <row r="62" spans="1:18">
      <c r="A62" s="15" t="s">
        <v>622</v>
      </c>
      <c r="B62" s="17" t="n">
        <v>4476</v>
      </c>
      <c r="C62" s="18">
        <f>(3507.0/B62*100)</f>
        <v/>
      </c>
      <c r="D62" s="19" t="n">
        <v>969</v>
      </c>
      <c r="E62" s="18" t="n">
        <v>38.6866758</v>
      </c>
      <c r="F62" s="20" t="n">
        <v>1.56306758</v>
      </c>
      <c r="G62" s="18" t="n">
        <v>61.10581547</v>
      </c>
      <c r="H62" s="20" t="n">
        <v>1.58442597</v>
      </c>
      <c r="I62" s="18" t="n">
        <v>0</v>
      </c>
      <c r="J62" s="20" t="n">
        <v>0</v>
      </c>
      <c r="K62" s="18" t="n">
        <v>0</v>
      </c>
      <c r="L62" s="20" t="n">
        <v>0</v>
      </c>
      <c r="M62" s="18" t="n">
        <v>0</v>
      </c>
      <c r="N62" s="20" t="n">
        <v>0</v>
      </c>
      <c r="O62" s="18" t="n">
        <v>0</v>
      </c>
      <c r="P62" s="20" t="n">
        <v>0</v>
      </c>
      <c r="Q62" s="18" t="n">
        <v>0.20750872</v>
      </c>
      <c r="R62" s="20" t="n">
        <v>0.14647288</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(4499.0/B67*100)</f>
        <v/>
      </c>
      <c r="D67" s="19" t="n">
        <v>1166</v>
      </c>
      <c r="E67" s="18" t="n">
        <v>62.73551712</v>
      </c>
      <c r="F67" s="20" t="n">
        <v>1.32925341</v>
      </c>
      <c r="G67" s="18" t="n">
        <v>32.24346643</v>
      </c>
      <c r="H67" s="20" t="n">
        <v>1.39295625</v>
      </c>
      <c r="I67" s="18" t="n">
        <v>0</v>
      </c>
      <c r="J67" s="20" t="n">
        <v>0</v>
      </c>
      <c r="K67" s="18" t="n">
        <v>1.97295611</v>
      </c>
      <c r="L67" s="20" t="n">
        <v>0.40745692</v>
      </c>
      <c r="M67" s="18" t="n">
        <v>0</v>
      </c>
      <c r="N67" s="20" t="n">
        <v>0</v>
      </c>
      <c r="O67" s="18" t="n">
        <v>0</v>
      </c>
      <c r="P67" s="20" t="n">
        <v>0</v>
      </c>
      <c r="Q67" s="18" t="n">
        <v>3.04806035</v>
      </c>
      <c r="R67" s="20" t="n">
        <v>0.56200936</v>
      </c>
    </row>
    <row r="68" spans="1:18">
      <c r="A68" s="15" t="s">
        <v>628</v>
      </c>
      <c r="B68" s="17" t="n">
        <v>6971</v>
      </c>
      <c r="C68" s="18">
        <f>(5703.0/B68*100)</f>
        <v/>
      </c>
      <c r="D68" s="19" t="n">
        <v>1268</v>
      </c>
      <c r="E68" s="18" t="n">
        <v>68.86638464000001</v>
      </c>
      <c r="F68" s="20" t="n">
        <v>1.24264336</v>
      </c>
      <c r="G68" s="18" t="n">
        <v>28.87005013</v>
      </c>
      <c r="H68" s="20" t="n">
        <v>1.2901523</v>
      </c>
      <c r="I68" s="18" t="n">
        <v>0</v>
      </c>
      <c r="J68" s="20" t="n">
        <v>0</v>
      </c>
      <c r="K68" s="18" t="n">
        <v>1.03905012</v>
      </c>
      <c r="L68" s="20" t="n">
        <v>0.38064715</v>
      </c>
      <c r="M68" s="18" t="n">
        <v>0</v>
      </c>
      <c r="N68" s="20" t="n">
        <v>0</v>
      </c>
      <c r="O68" s="18" t="n">
        <v>0</v>
      </c>
      <c r="P68" s="20" t="n">
        <v>0</v>
      </c>
      <c r="Q68" s="18" t="n">
        <v>1.22451511</v>
      </c>
      <c r="R68" s="20" t="n">
        <v>0.32539663</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(9361.0/B70*100)</f>
        <v/>
      </c>
      <c r="D70" s="19" t="n">
        <v>2722</v>
      </c>
      <c r="E70" s="18" t="n">
        <v>55.71893175</v>
      </c>
      <c r="F70" s="20" t="n">
        <v>0.9146209199999999</v>
      </c>
      <c r="G70" s="18" t="n">
        <v>38.53127063</v>
      </c>
      <c r="H70" s="20" t="n">
        <v>0.86718119</v>
      </c>
      <c r="I70" s="18" t="n">
        <v>0</v>
      </c>
      <c r="J70" s="20" t="n">
        <v>0</v>
      </c>
      <c r="K70" s="18" t="n">
        <v>4.41680573</v>
      </c>
      <c r="L70" s="20" t="n">
        <v>0.35183507</v>
      </c>
      <c r="M70" s="18" t="n">
        <v>0</v>
      </c>
      <c r="N70" s="20" t="n">
        <v>0</v>
      </c>
      <c r="O70" s="18" t="n">
        <v>0</v>
      </c>
      <c r="P70" s="20" t="n">
        <v>0</v>
      </c>
      <c r="Q70" s="18" t="n">
        <v>1.33299189</v>
      </c>
      <c r="R70" s="20" t="n">
        <v>0.21667584</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(4784.0/B72*100)</f>
        <v/>
      </c>
      <c r="D72" s="19" t="n">
        <v>1252</v>
      </c>
      <c r="E72" s="18" t="n">
        <v>42.27880067</v>
      </c>
      <c r="F72" s="20" t="n">
        <v>2.09109576</v>
      </c>
      <c r="G72" s="18" t="n">
        <v>56.45302239</v>
      </c>
      <c r="H72" s="20" t="n">
        <v>2.14685633</v>
      </c>
      <c r="I72" s="18" t="n">
        <v>0</v>
      </c>
      <c r="J72" s="20" t="n">
        <v>0</v>
      </c>
      <c r="K72" s="18" t="n">
        <v>0.87301745</v>
      </c>
      <c r="L72" s="20" t="n">
        <v>0.23105615</v>
      </c>
      <c r="M72" s="18" t="n">
        <v>0</v>
      </c>
      <c r="N72" s="20" t="n">
        <v>0</v>
      </c>
      <c r="O72" s="18" t="n">
        <v>0</v>
      </c>
      <c r="P72" s="20" t="n">
        <v>0</v>
      </c>
      <c r="Q72" s="18" t="n">
        <v>0.3951595</v>
      </c>
      <c r="R72" s="20" t="n">
        <v>0.15331454</v>
      </c>
    </row>
    <row r="73" spans="1:18">
      <c r="A73" s="15" t="s">
        <v>633</v>
      </c>
      <c r="B73" s="17" t="n">
        <v>6115</v>
      </c>
      <c r="C73" s="18">
        <f>(4800.0/B73*100)</f>
        <v/>
      </c>
      <c r="D73" s="19" t="n">
        <v>1315</v>
      </c>
      <c r="E73" s="18" t="n">
        <v>31.46457351</v>
      </c>
      <c r="F73" s="20" t="n">
        <v>1.17314652</v>
      </c>
      <c r="G73" s="18" t="n">
        <v>68.03209454</v>
      </c>
      <c r="H73" s="20" t="n">
        <v>1.16746009</v>
      </c>
      <c r="I73" s="18" t="n">
        <v>0</v>
      </c>
      <c r="J73" s="20" t="n">
        <v>0</v>
      </c>
      <c r="K73" s="18" t="n">
        <v>0.35345847</v>
      </c>
      <c r="L73" s="20" t="n">
        <v>0.15976429</v>
      </c>
      <c r="M73" s="18" t="n">
        <v>0</v>
      </c>
      <c r="N73" s="20" t="n">
        <v>0</v>
      </c>
      <c r="O73" s="18" t="n">
        <v>0</v>
      </c>
      <c r="P73" s="20" t="n">
        <v>0</v>
      </c>
      <c r="Q73" s="18" t="n">
        <v>0.14987348</v>
      </c>
      <c r="R73" s="20" t="n">
        <v>0.10184129</v>
      </c>
    </row>
    <row r="74" spans="1:18">
      <c r="A74" s="15" t="s">
        <v>634</v>
      </c>
      <c r="B74" s="17" t="n">
        <v>7708</v>
      </c>
      <c r="C74" s="18">
        <f>(6068.0/B74*100)</f>
        <v/>
      </c>
      <c r="D74" s="19" t="n">
        <v>1640</v>
      </c>
      <c r="E74" s="18" t="n">
        <v>37.00831038</v>
      </c>
      <c r="F74" s="20" t="n">
        <v>1.48054371</v>
      </c>
      <c r="G74" s="18" t="n">
        <v>62.65479514</v>
      </c>
      <c r="H74" s="20" t="n">
        <v>1.49825797</v>
      </c>
      <c r="I74" s="18" t="n">
        <v>0</v>
      </c>
      <c r="J74" s="20" t="n">
        <v>0</v>
      </c>
      <c r="K74" s="18" t="n">
        <v>0.26120581</v>
      </c>
      <c r="L74" s="20" t="n">
        <v>0.16553821</v>
      </c>
      <c r="M74" s="18" t="n">
        <v>0</v>
      </c>
      <c r="N74" s="20" t="n">
        <v>0</v>
      </c>
      <c r="O74" s="18" t="n">
        <v>0</v>
      </c>
      <c r="P74" s="20" t="n">
        <v>0</v>
      </c>
      <c r="Q74" s="18" t="n">
        <v>0.07568866</v>
      </c>
      <c r="R74" s="20" t="n">
        <v>0.07602941000000001</v>
      </c>
    </row>
    <row r="75" spans="1:18">
      <c r="A75" s="15" t="s">
        <v>635</v>
      </c>
      <c r="B75" s="17" t="n">
        <v>8249</v>
      </c>
      <c r="C75" s="18">
        <f>(6523.0/B75*100)</f>
        <v/>
      </c>
      <c r="D75" s="19" t="n">
        <v>1726</v>
      </c>
      <c r="E75" s="18" t="n">
        <v>53.62230762</v>
      </c>
      <c r="F75" s="20" t="n">
        <v>1.55874947</v>
      </c>
      <c r="G75" s="18" t="n">
        <v>45.7235542</v>
      </c>
      <c r="H75" s="20" t="n">
        <v>1.54371865</v>
      </c>
      <c r="I75" s="18" t="n">
        <v>0</v>
      </c>
      <c r="J75" s="20" t="n">
        <v>0</v>
      </c>
      <c r="K75" s="18" t="n">
        <v>0.2733168</v>
      </c>
      <c r="L75" s="20" t="n">
        <v>0.13141481</v>
      </c>
      <c r="M75" s="18" t="n">
        <v>0</v>
      </c>
      <c r="N75" s="20" t="n">
        <v>0</v>
      </c>
      <c r="O75" s="18" t="n">
        <v>0</v>
      </c>
      <c r="P75" s="20" t="n">
        <v>0</v>
      </c>
      <c r="Q75" s="18" t="n">
        <v>0.38082138</v>
      </c>
      <c r="R75" s="20" t="n">
        <v>0.21075694</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(4352.0/B77*100)</f>
        <v/>
      </c>
      <c r="D77" s="19" t="n">
        <v>1023</v>
      </c>
      <c r="E77" s="18" t="n">
        <v>64.40568791</v>
      </c>
      <c r="F77" s="20" t="n">
        <v>1.49869655</v>
      </c>
      <c r="G77" s="18" t="n">
        <v>28.31228594</v>
      </c>
      <c r="H77" s="20" t="n">
        <v>1.80466225</v>
      </c>
      <c r="I77" s="18" t="n">
        <v>0</v>
      </c>
      <c r="J77" s="20" t="n">
        <v>0</v>
      </c>
      <c r="K77" s="18" t="n">
        <v>5.53406733</v>
      </c>
      <c r="L77" s="20" t="n">
        <v>0.89996111</v>
      </c>
      <c r="M77" s="18" t="n">
        <v>0</v>
      </c>
      <c r="N77" s="20" t="n">
        <v>0</v>
      </c>
      <c r="O77" s="18" t="n">
        <v>0</v>
      </c>
      <c r="P77" s="20" t="n">
        <v>0</v>
      </c>
      <c r="Q77" s="18" t="n">
        <v>1.74795882</v>
      </c>
      <c r="R77" s="20" t="n">
        <v>0.42595018</v>
      </c>
    </row>
    <row r="78" spans="1:18">
      <c r="A78" s="15" t="s">
        <v>638</v>
      </c>
      <c r="B78" s="17" t="n">
        <v>14167</v>
      </c>
      <c r="C78" s="18">
        <f>(11034.0/B78*100)</f>
        <v/>
      </c>
      <c r="D78" s="19" t="n">
        <v>3133</v>
      </c>
      <c r="E78" s="18" t="n">
        <v>57.11611503</v>
      </c>
      <c r="F78" s="20" t="n">
        <v>1.33633923</v>
      </c>
      <c r="G78" s="18" t="n">
        <v>39.89093064</v>
      </c>
      <c r="H78" s="20" t="n">
        <v>1.3144539</v>
      </c>
      <c r="I78" s="18" t="n">
        <v>0</v>
      </c>
      <c r="J78" s="20" t="n">
        <v>0</v>
      </c>
      <c r="K78" s="18" t="n">
        <v>1.94876697</v>
      </c>
      <c r="L78" s="20" t="n">
        <v>0.27862334</v>
      </c>
      <c r="M78" s="18" t="n">
        <v>0</v>
      </c>
      <c r="N78" s="20" t="n">
        <v>0</v>
      </c>
      <c r="O78" s="18" t="n">
        <v>0</v>
      </c>
      <c r="P78" s="20" t="n">
        <v>0</v>
      </c>
      <c r="Q78" s="18" t="n">
        <v>1.04418736</v>
      </c>
      <c r="R78" s="20" t="n">
        <v>0.18661104</v>
      </c>
    </row>
    <row r="79" spans="1:18">
      <c r="A79" s="15" t="s">
        <v>639</v>
      </c>
      <c r="B79" s="17" t="n">
        <v>6062</v>
      </c>
      <c r="C79" s="18">
        <f>(4801.0/B79*100)</f>
        <v/>
      </c>
      <c r="D79" s="19" t="n">
        <v>1261</v>
      </c>
      <c r="E79" s="18" t="n">
        <v>59.88027585</v>
      </c>
      <c r="F79" s="20" t="n">
        <v>1.49227521</v>
      </c>
      <c r="G79" s="18" t="n">
        <v>34.97465023</v>
      </c>
      <c r="H79" s="20" t="n">
        <v>1.56549641</v>
      </c>
      <c r="I79" s="18" t="n">
        <v>0</v>
      </c>
      <c r="J79" s="20" t="n">
        <v>0</v>
      </c>
      <c r="K79" s="18" t="n">
        <v>3.02830209</v>
      </c>
      <c r="L79" s="20" t="n">
        <v>0.44117467</v>
      </c>
      <c r="M79" s="18" t="n">
        <v>0</v>
      </c>
      <c r="N79" s="20" t="n">
        <v>0</v>
      </c>
      <c r="O79" s="18" t="n">
        <v>0</v>
      </c>
      <c r="P79" s="20" t="n">
        <v>0</v>
      </c>
      <c r="Q79" s="18" t="n">
        <v>2.11677183</v>
      </c>
      <c r="R79" s="20" t="n">
        <v>0.36565666</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(25363.0/B82*100)</f>
        <v/>
      </c>
      <c r="D82" s="19" t="n">
        <v>6967</v>
      </c>
      <c r="E82" s="18" t="n">
        <v>54.36197312</v>
      </c>
      <c r="F82" s="20" t="n">
        <v>0.88070793</v>
      </c>
      <c r="G82" s="18" t="n">
        <v>43.74279522</v>
      </c>
      <c r="H82" s="20" t="n">
        <v>0.89253653</v>
      </c>
      <c r="I82" s="18" t="n">
        <v>0</v>
      </c>
      <c r="J82" s="20" t="n">
        <v>0</v>
      </c>
      <c r="K82" s="18" t="n">
        <v>1.10814826</v>
      </c>
      <c r="L82" s="20" t="n">
        <v>0.19700278</v>
      </c>
      <c r="M82" s="18" t="n">
        <v>0</v>
      </c>
      <c r="N82" s="20" t="n">
        <v>0</v>
      </c>
      <c r="O82" s="18" t="n">
        <v>0</v>
      </c>
      <c r="P82" s="20" t="n">
        <v>0</v>
      </c>
      <c r="Q82" s="18" t="n">
        <v>0.7870834</v>
      </c>
      <c r="R82" s="20" t="n">
        <v>0.1473757</v>
      </c>
    </row>
    <row r="83" spans="1:18">
      <c r="A83" s="15" t="s">
        <v>643</v>
      </c>
      <c r="B83" s="17" t="n">
        <v>1652</v>
      </c>
      <c r="C83" s="18">
        <f>(1295.0/B83*100)</f>
        <v/>
      </c>
      <c r="D83" s="19" t="n">
        <v>357</v>
      </c>
      <c r="E83" s="18" t="n">
        <v>34.93597095</v>
      </c>
      <c r="F83" s="20" t="n">
        <v>2.20102971</v>
      </c>
      <c r="G83" s="18" t="n">
        <v>64.23919366</v>
      </c>
      <c r="H83" s="20" t="n">
        <v>2.22430925</v>
      </c>
      <c r="I83" s="18" t="n">
        <v>0</v>
      </c>
      <c r="J83" s="20" t="n">
        <v>0</v>
      </c>
      <c r="K83" s="18" t="n">
        <v>0.8248353899999999</v>
      </c>
      <c r="L83" s="20" t="n">
        <v>0.48885659</v>
      </c>
      <c r="M83" s="18" t="n">
        <v>0</v>
      </c>
      <c r="N83" s="20" t="n">
        <v>0</v>
      </c>
      <c r="O83" s="18" t="n">
        <v>0</v>
      </c>
      <c r="P83" s="20" t="n">
        <v>0</v>
      </c>
      <c r="Q83" s="18" t="n">
        <v>0</v>
      </c>
      <c r="R83" s="20" t="n">
        <v>0</v>
      </c>
    </row>
    <row r="84" spans="1:18">
      <c r="A84" s="23" t="s">
        <v>644</v>
      </c>
      <c r="B84" s="24" t="n">
        <v>1887</v>
      </c>
      <c r="C84" s="25">
        <f>(1505.0/B84*100)</f>
        <v/>
      </c>
      <c r="D84" s="19" t="n">
        <v>382</v>
      </c>
      <c r="E84" s="18" t="n">
        <v>50.02254458</v>
      </c>
      <c r="F84" s="20" t="n">
        <v>2.51349473</v>
      </c>
      <c r="G84" s="18" t="n">
        <v>48.34631269</v>
      </c>
      <c r="H84" s="20" t="n">
        <v>2.74211262</v>
      </c>
      <c r="I84" s="18" t="n">
        <v>0</v>
      </c>
      <c r="J84" s="20" t="n">
        <v>0</v>
      </c>
      <c r="K84" s="18" t="n">
        <v>0.46733422</v>
      </c>
      <c r="L84" s="20" t="n">
        <v>0.33475575</v>
      </c>
      <c r="M84" s="18" t="n">
        <v>0</v>
      </c>
      <c r="N84" s="20" t="n">
        <v>0</v>
      </c>
      <c r="O84" s="18" t="n">
        <v>0</v>
      </c>
      <c r="P84" s="20" t="n">
        <v>0</v>
      </c>
      <c r="Q84" s="18" t="n">
        <v>1.1638085</v>
      </c>
      <c r="R84" s="20" t="n">
        <v>0.71824971</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849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(11475.0/B7*100)</f>
        <v/>
      </c>
      <c r="D7" s="19" t="n">
        <v>3055</v>
      </c>
      <c r="E7" s="18" t="n">
        <v>28.19432137</v>
      </c>
      <c r="F7" s="20" t="n">
        <v>1.01727175</v>
      </c>
      <c r="G7" s="18" t="n">
        <v>69.44612171999999</v>
      </c>
      <c r="H7" s="20" t="n">
        <v>1.08271328</v>
      </c>
      <c r="I7" s="18" t="n">
        <v>0</v>
      </c>
      <c r="J7" s="20" t="n">
        <v>0</v>
      </c>
      <c r="K7" s="18" t="n">
        <v>1.65269103</v>
      </c>
      <c r="L7" s="20" t="n">
        <v>0.26455378</v>
      </c>
      <c r="M7" s="18" t="n">
        <v>0</v>
      </c>
      <c r="N7" s="20" t="n">
        <v>0</v>
      </c>
      <c r="O7" s="18" t="n">
        <v>0</v>
      </c>
      <c r="P7" s="20" t="n">
        <v>0</v>
      </c>
      <c r="Q7" s="18" t="n">
        <v>0.70686587</v>
      </c>
      <c r="R7" s="20" t="n">
        <v>0.18249091</v>
      </c>
    </row>
    <row r="8" spans="1:18">
      <c r="A8" s="15" t="s">
        <v>566</v>
      </c>
      <c r="B8" s="17" t="n">
        <v>7007</v>
      </c>
      <c r="C8" s="18">
        <f>(5473.0/B8*100)</f>
        <v/>
      </c>
      <c r="D8" s="19" t="n">
        <v>1534</v>
      </c>
      <c r="E8" s="18" t="n">
        <v>34.79511112</v>
      </c>
      <c r="F8" s="20" t="n">
        <v>1.44962704</v>
      </c>
      <c r="G8" s="18" t="n">
        <v>62.88975428</v>
      </c>
      <c r="H8" s="20" t="n">
        <v>1.40717008</v>
      </c>
      <c r="I8" s="18" t="n">
        <v>0</v>
      </c>
      <c r="J8" s="20" t="n">
        <v>0</v>
      </c>
      <c r="K8" s="18" t="n">
        <v>1.04766606</v>
      </c>
      <c r="L8" s="20" t="n">
        <v>0.27982614</v>
      </c>
      <c r="M8" s="18" t="n">
        <v>0</v>
      </c>
      <c r="N8" s="20" t="n">
        <v>0</v>
      </c>
      <c r="O8" s="18" t="n">
        <v>0</v>
      </c>
      <c r="P8" s="20" t="n">
        <v>0</v>
      </c>
      <c r="Q8" s="18" t="n">
        <v>1.26746854</v>
      </c>
      <c r="R8" s="20" t="n">
        <v>0.32388162</v>
      </c>
    </row>
    <row r="9" spans="1:18">
      <c r="A9" s="15" t="s">
        <v>567</v>
      </c>
      <c r="B9" s="17" t="n">
        <v>9651</v>
      </c>
      <c r="C9" s="18">
        <f>(7633.0/B9*100)</f>
        <v/>
      </c>
      <c r="D9" s="19" t="n">
        <v>2018</v>
      </c>
      <c r="E9" s="18" t="n">
        <v>30.58007935</v>
      </c>
      <c r="F9" s="20" t="n">
        <v>1.1590056</v>
      </c>
      <c r="G9" s="18" t="n">
        <v>65.81204031</v>
      </c>
      <c r="H9" s="20" t="n">
        <v>1.0702168</v>
      </c>
      <c r="I9" s="18" t="n">
        <v>0</v>
      </c>
      <c r="J9" s="20" t="n">
        <v>0</v>
      </c>
      <c r="K9" s="18" t="n">
        <v>1.8342689</v>
      </c>
      <c r="L9" s="20" t="n">
        <v>0.41794631</v>
      </c>
      <c r="M9" s="18" t="n">
        <v>0</v>
      </c>
      <c r="N9" s="20" t="n">
        <v>0</v>
      </c>
      <c r="O9" s="18" t="n">
        <v>0</v>
      </c>
      <c r="P9" s="20" t="n">
        <v>0</v>
      </c>
      <c r="Q9" s="18" t="n">
        <v>1.77361143</v>
      </c>
      <c r="R9" s="20" t="n">
        <v>0.27672799</v>
      </c>
    </row>
    <row r="10" spans="1:18">
      <c r="A10" s="15" t="s">
        <v>568</v>
      </c>
      <c r="B10" s="17" t="n">
        <v>20058</v>
      </c>
      <c r="C10" s="18">
        <f>(15658.0/B10*100)</f>
        <v/>
      </c>
      <c r="D10" s="19" t="n">
        <v>4400</v>
      </c>
      <c r="E10" s="18" t="n">
        <v>26.36729761</v>
      </c>
      <c r="F10" s="20" t="n">
        <v>1.12954933</v>
      </c>
      <c r="G10" s="18" t="n">
        <v>71.58967271</v>
      </c>
      <c r="H10" s="20" t="n">
        <v>1.12369221</v>
      </c>
      <c r="I10" s="18" t="n">
        <v>0</v>
      </c>
      <c r="J10" s="20" t="n">
        <v>0</v>
      </c>
      <c r="K10" s="18" t="n">
        <v>1.22744299</v>
      </c>
      <c r="L10" s="20" t="n">
        <v>0.23756193</v>
      </c>
      <c r="M10" s="18" t="n">
        <v>0</v>
      </c>
      <c r="N10" s="20" t="n">
        <v>0</v>
      </c>
      <c r="O10" s="18" t="n">
        <v>0</v>
      </c>
      <c r="P10" s="20" t="n">
        <v>0</v>
      </c>
      <c r="Q10" s="18" t="n">
        <v>0.8155866899999999</v>
      </c>
      <c r="R10" s="20" t="n">
        <v>0.18269337</v>
      </c>
    </row>
    <row r="11" spans="1:18">
      <c r="A11" s="15" t="s">
        <v>569</v>
      </c>
      <c r="B11" s="17" t="n">
        <v>7053</v>
      </c>
      <c r="C11" s="18">
        <f>(5546.0/B11*100)</f>
        <v/>
      </c>
      <c r="D11" s="19" t="n">
        <v>1507</v>
      </c>
      <c r="E11" s="18" t="n">
        <v>39.9740558</v>
      </c>
      <c r="F11" s="20" t="n">
        <v>1.46943576</v>
      </c>
      <c r="G11" s="18" t="n">
        <v>55.99731233</v>
      </c>
      <c r="H11" s="20" t="n">
        <v>1.65429369</v>
      </c>
      <c r="I11" s="18" t="n">
        <v>0</v>
      </c>
      <c r="J11" s="20" t="n">
        <v>0</v>
      </c>
      <c r="K11" s="18" t="n">
        <v>2.46252174</v>
      </c>
      <c r="L11" s="20" t="n">
        <v>0.44200392</v>
      </c>
      <c r="M11" s="18" t="n">
        <v>0</v>
      </c>
      <c r="N11" s="20" t="n">
        <v>0</v>
      </c>
      <c r="O11" s="18" t="n">
        <v>0</v>
      </c>
      <c r="P11" s="20" t="n">
        <v>0</v>
      </c>
      <c r="Q11" s="18" t="n">
        <v>1.56611013</v>
      </c>
      <c r="R11" s="20" t="n">
        <v>0.35476048</v>
      </c>
    </row>
    <row r="12" spans="1:18">
      <c r="A12" s="15" t="s">
        <v>570</v>
      </c>
      <c r="B12" s="17" t="n">
        <v>6894</v>
      </c>
      <c r="C12" s="18">
        <f>(5435.0/B12*100)</f>
        <v/>
      </c>
      <c r="D12" s="19" t="n">
        <v>1459</v>
      </c>
      <c r="E12" s="18" t="n">
        <v>31.86589918</v>
      </c>
      <c r="F12" s="20" t="n">
        <v>1.46059067</v>
      </c>
      <c r="G12" s="18" t="n">
        <v>65.79044829</v>
      </c>
      <c r="H12" s="20" t="n">
        <v>1.45069823</v>
      </c>
      <c r="I12" s="18" t="n">
        <v>0</v>
      </c>
      <c r="J12" s="20" t="n">
        <v>0</v>
      </c>
      <c r="K12" s="18" t="n">
        <v>0.88435404</v>
      </c>
      <c r="L12" s="20" t="n">
        <v>0.26966242</v>
      </c>
      <c r="M12" s="18" t="n">
        <v>0</v>
      </c>
      <c r="N12" s="20" t="n">
        <v>0</v>
      </c>
      <c r="O12" s="18" t="n">
        <v>0</v>
      </c>
      <c r="P12" s="20" t="n">
        <v>0</v>
      </c>
      <c r="Q12" s="18" t="n">
        <v>1.45929849</v>
      </c>
      <c r="R12" s="20" t="n">
        <v>0.42965239</v>
      </c>
    </row>
    <row r="13" spans="1:18">
      <c r="A13" s="15" t="s">
        <v>571</v>
      </c>
      <c r="B13" s="17" t="n">
        <v>7161</v>
      </c>
      <c r="C13" s="18">
        <f>(5732.0/B13*100)</f>
        <v/>
      </c>
      <c r="D13" s="19" t="n">
        <v>1429</v>
      </c>
      <c r="E13" s="18" t="n">
        <v>26.80938805</v>
      </c>
      <c r="F13" s="20" t="n">
        <v>1.42240159</v>
      </c>
      <c r="G13" s="18" t="n">
        <v>71.16844227</v>
      </c>
      <c r="H13" s="20" t="n">
        <v>1.51795032</v>
      </c>
      <c r="I13" s="18" t="n">
        <v>0</v>
      </c>
      <c r="J13" s="20" t="n">
        <v>0</v>
      </c>
      <c r="K13" s="18" t="n">
        <v>1.84884273</v>
      </c>
      <c r="L13" s="20" t="n">
        <v>0.34850342</v>
      </c>
      <c r="M13" s="18" t="n">
        <v>0</v>
      </c>
      <c r="N13" s="20" t="n">
        <v>0</v>
      </c>
      <c r="O13" s="18" t="n">
        <v>0</v>
      </c>
      <c r="P13" s="20" t="n">
        <v>0</v>
      </c>
      <c r="Q13" s="18" t="n">
        <v>0.17332695</v>
      </c>
      <c r="R13" s="20" t="n">
        <v>0.0808765</v>
      </c>
    </row>
    <row r="14" spans="1:18">
      <c r="A14" s="15" t="s">
        <v>572</v>
      </c>
      <c r="B14" s="17" t="n">
        <v>5587</v>
      </c>
      <c r="C14" s="18">
        <f>(4341.0/B14*100)</f>
        <v/>
      </c>
      <c r="D14" s="19" t="n">
        <v>1246</v>
      </c>
      <c r="E14" s="18" t="n">
        <v>21.91215499</v>
      </c>
      <c r="F14" s="20" t="n">
        <v>1.43377605</v>
      </c>
      <c r="G14" s="18" t="n">
        <v>77.26469829</v>
      </c>
      <c r="H14" s="20" t="n">
        <v>1.42624329</v>
      </c>
      <c r="I14" s="18" t="n">
        <v>0</v>
      </c>
      <c r="J14" s="20" t="n">
        <v>0</v>
      </c>
      <c r="K14" s="18" t="n">
        <v>0.62522187</v>
      </c>
      <c r="L14" s="20" t="n">
        <v>0.21135234</v>
      </c>
      <c r="M14" s="18" t="n">
        <v>0</v>
      </c>
      <c r="N14" s="20" t="n">
        <v>0</v>
      </c>
      <c r="O14" s="18" t="n">
        <v>0</v>
      </c>
      <c r="P14" s="20" t="n">
        <v>0</v>
      </c>
      <c r="Q14" s="18" t="n">
        <v>0.19792485</v>
      </c>
      <c r="R14" s="20" t="n">
        <v>0.11480229</v>
      </c>
    </row>
    <row r="15" spans="1:18">
      <c r="A15" s="15" t="s">
        <v>573</v>
      </c>
      <c r="B15" s="17" t="n">
        <v>5882</v>
      </c>
      <c r="C15" s="18">
        <f>(4537.0/B15*100)</f>
        <v/>
      </c>
      <c r="D15" s="19" t="n">
        <v>1345</v>
      </c>
      <c r="E15" s="18" t="n">
        <v>20.99213504</v>
      </c>
      <c r="F15" s="20" t="n">
        <v>1.28710656</v>
      </c>
      <c r="G15" s="18" t="n">
        <v>77.67680795</v>
      </c>
      <c r="H15" s="20" t="n">
        <v>1.30217558</v>
      </c>
      <c r="I15" s="18" t="n">
        <v>0</v>
      </c>
      <c r="J15" s="20" t="n">
        <v>0</v>
      </c>
      <c r="K15" s="18" t="n">
        <v>0.47259964</v>
      </c>
      <c r="L15" s="20" t="n">
        <v>0.19159895</v>
      </c>
      <c r="M15" s="18" t="n">
        <v>0</v>
      </c>
      <c r="N15" s="20" t="n">
        <v>0</v>
      </c>
      <c r="O15" s="18" t="n">
        <v>0</v>
      </c>
      <c r="P15" s="20" t="n">
        <v>0</v>
      </c>
      <c r="Q15" s="18" t="n">
        <v>0.85845737</v>
      </c>
      <c r="R15" s="20" t="n">
        <v>0.23256327</v>
      </c>
    </row>
    <row r="16" spans="1:18">
      <c r="A16" s="15" t="s">
        <v>574</v>
      </c>
      <c r="B16" s="17" t="n">
        <v>6108</v>
      </c>
      <c r="C16" s="18">
        <f>(4783.0/B16*100)</f>
        <v/>
      </c>
      <c r="D16" s="19" t="n">
        <v>1325</v>
      </c>
      <c r="E16" s="18" t="n">
        <v>31.76428736</v>
      </c>
      <c r="F16" s="20" t="n">
        <v>1.34783517</v>
      </c>
      <c r="G16" s="18" t="n">
        <v>62.80643329</v>
      </c>
      <c r="H16" s="20" t="n">
        <v>1.50648632</v>
      </c>
      <c r="I16" s="18" t="n">
        <v>0</v>
      </c>
      <c r="J16" s="20" t="n">
        <v>0</v>
      </c>
      <c r="K16" s="18" t="n">
        <v>3.55531516</v>
      </c>
      <c r="L16" s="20" t="n">
        <v>0.61915472</v>
      </c>
      <c r="M16" s="18" t="n">
        <v>0</v>
      </c>
      <c r="N16" s="20" t="n">
        <v>0</v>
      </c>
      <c r="O16" s="18" t="n">
        <v>0</v>
      </c>
      <c r="P16" s="20" t="n">
        <v>0</v>
      </c>
      <c r="Q16" s="18" t="n">
        <v>1.87396419</v>
      </c>
      <c r="R16" s="20" t="n">
        <v>0.33988801</v>
      </c>
    </row>
    <row r="17" spans="1:18">
      <c r="A17" s="15" t="s">
        <v>575</v>
      </c>
      <c r="B17" s="17" t="n">
        <v>6504</v>
      </c>
      <c r="C17" s="18">
        <f>(5152.0/B17*100)</f>
        <v/>
      </c>
      <c r="D17" s="19" t="n">
        <v>1352</v>
      </c>
      <c r="E17" s="18" t="n">
        <v>27.55676419</v>
      </c>
      <c r="F17" s="20" t="n">
        <v>1.66858292</v>
      </c>
      <c r="G17" s="18" t="n">
        <v>70.18346926</v>
      </c>
      <c r="H17" s="20" t="n">
        <v>1.70218532</v>
      </c>
      <c r="I17" s="18" t="n">
        <v>0</v>
      </c>
      <c r="J17" s="20" t="n">
        <v>0</v>
      </c>
      <c r="K17" s="18" t="n">
        <v>1.49340677</v>
      </c>
      <c r="L17" s="20" t="n">
        <v>0.39561734</v>
      </c>
      <c r="M17" s="18" t="n">
        <v>0</v>
      </c>
      <c r="N17" s="20" t="n">
        <v>0</v>
      </c>
      <c r="O17" s="18" t="n">
        <v>0</v>
      </c>
      <c r="P17" s="20" t="n">
        <v>0</v>
      </c>
      <c r="Q17" s="18" t="n">
        <v>0.76635978</v>
      </c>
      <c r="R17" s="20" t="n">
        <v>0.24628729</v>
      </c>
    </row>
    <row r="18" spans="1:18">
      <c r="A18" s="15" t="s">
        <v>576</v>
      </c>
      <c r="B18" s="17" t="n">
        <v>5532</v>
      </c>
      <c r="C18" s="18">
        <f>(4335.0/B18*100)</f>
        <v/>
      </c>
      <c r="D18" s="19" t="n">
        <v>1197</v>
      </c>
      <c r="E18" s="18" t="n">
        <v>41.25879173</v>
      </c>
      <c r="F18" s="20" t="n">
        <v>1.70068959</v>
      </c>
      <c r="G18" s="18" t="n">
        <v>55.62544492</v>
      </c>
      <c r="H18" s="20" t="n">
        <v>1.66575518</v>
      </c>
      <c r="I18" s="18" t="n">
        <v>0</v>
      </c>
      <c r="J18" s="20" t="n">
        <v>0</v>
      </c>
      <c r="K18" s="18" t="n">
        <v>1.55893224</v>
      </c>
      <c r="L18" s="20" t="n">
        <v>0.43597093</v>
      </c>
      <c r="M18" s="18" t="n">
        <v>0</v>
      </c>
      <c r="N18" s="20" t="n">
        <v>0</v>
      </c>
      <c r="O18" s="18" t="n">
        <v>0</v>
      </c>
      <c r="P18" s="20" t="n">
        <v>0</v>
      </c>
      <c r="Q18" s="18" t="n">
        <v>1.55683111</v>
      </c>
      <c r="R18" s="20" t="n">
        <v>0.42184027</v>
      </c>
    </row>
    <row r="19" spans="1:18">
      <c r="A19" s="15" t="s">
        <v>577</v>
      </c>
      <c r="B19" s="17" t="n">
        <v>5658</v>
      </c>
      <c r="C19" s="18">
        <f>(4410.0/B19*100)</f>
        <v/>
      </c>
      <c r="D19" s="19" t="n">
        <v>1248</v>
      </c>
      <c r="E19" s="18" t="n">
        <v>30.25077092</v>
      </c>
      <c r="F19" s="20" t="n">
        <v>1.47846238</v>
      </c>
      <c r="G19" s="18" t="n">
        <v>68.39552195</v>
      </c>
      <c r="H19" s="20" t="n">
        <v>1.4903556</v>
      </c>
      <c r="I19" s="18" t="n">
        <v>0</v>
      </c>
      <c r="J19" s="20" t="n">
        <v>0</v>
      </c>
      <c r="K19" s="18" t="n">
        <v>0.41695416</v>
      </c>
      <c r="L19" s="20" t="n">
        <v>0.21746908</v>
      </c>
      <c r="M19" s="18" t="n">
        <v>0</v>
      </c>
      <c r="N19" s="20" t="n">
        <v>0</v>
      </c>
      <c r="O19" s="18" t="n">
        <v>0</v>
      </c>
      <c r="P19" s="20" t="n">
        <v>0</v>
      </c>
      <c r="Q19" s="18" t="n">
        <v>0.93675298</v>
      </c>
      <c r="R19" s="20" t="n">
        <v>0.2594117</v>
      </c>
    </row>
    <row r="20" spans="1:18">
      <c r="A20" s="15" t="s">
        <v>578</v>
      </c>
      <c r="B20" s="17" t="n">
        <v>3371</v>
      </c>
      <c r="C20" s="18">
        <f>(2655.0/B20*100)</f>
        <v/>
      </c>
      <c r="D20" s="19" t="n">
        <v>716</v>
      </c>
      <c r="E20" s="18" t="n">
        <v>33.10802702</v>
      </c>
      <c r="F20" s="20" t="n">
        <v>1.92352049</v>
      </c>
      <c r="G20" s="18" t="n">
        <v>63.33041316</v>
      </c>
      <c r="H20" s="20" t="n">
        <v>1.81938486</v>
      </c>
      <c r="I20" s="18" t="n">
        <v>0</v>
      </c>
      <c r="J20" s="20" t="n">
        <v>0</v>
      </c>
      <c r="K20" s="18" t="n">
        <v>1.75777209</v>
      </c>
      <c r="L20" s="20" t="n">
        <v>0.42861574</v>
      </c>
      <c r="M20" s="18" t="n">
        <v>0</v>
      </c>
      <c r="N20" s="20" t="n">
        <v>0</v>
      </c>
      <c r="O20" s="18" t="n">
        <v>0</v>
      </c>
      <c r="P20" s="20" t="n">
        <v>0</v>
      </c>
      <c r="Q20" s="18" t="n">
        <v>1.80378774</v>
      </c>
      <c r="R20" s="20" t="n">
        <v>0.49673683</v>
      </c>
    </row>
    <row r="21" spans="1:18">
      <c r="A21" s="15" t="s">
        <v>579</v>
      </c>
      <c r="B21" s="17" t="n">
        <v>5741</v>
      </c>
      <c r="C21" s="18">
        <f>(4498.0/B21*100)</f>
        <v/>
      </c>
      <c r="D21" s="19" t="n">
        <v>1243</v>
      </c>
      <c r="E21" s="18" t="n">
        <v>29.63885292</v>
      </c>
      <c r="F21" s="20" t="n">
        <v>1.29965713</v>
      </c>
      <c r="G21" s="18" t="n">
        <v>68.10055199</v>
      </c>
      <c r="H21" s="20" t="n">
        <v>1.38467724</v>
      </c>
      <c r="I21" s="18" t="n">
        <v>0</v>
      </c>
      <c r="J21" s="20" t="n">
        <v>0</v>
      </c>
      <c r="K21" s="18" t="n">
        <v>1.27839221</v>
      </c>
      <c r="L21" s="20" t="n">
        <v>0.31618908</v>
      </c>
      <c r="M21" s="18" t="n">
        <v>0</v>
      </c>
      <c r="N21" s="20" t="n">
        <v>0</v>
      </c>
      <c r="O21" s="18" t="n">
        <v>0</v>
      </c>
      <c r="P21" s="20" t="n">
        <v>0</v>
      </c>
      <c r="Q21" s="18" t="n">
        <v>0.98220288</v>
      </c>
      <c r="R21" s="20" t="n">
        <v>0.30371357</v>
      </c>
    </row>
    <row r="22" spans="1:18">
      <c r="A22" s="15" t="s">
        <v>580</v>
      </c>
      <c r="B22" s="17" t="n">
        <v>6598</v>
      </c>
      <c r="C22" s="18">
        <f>(5255.0/B22*100)</f>
        <v/>
      </c>
      <c r="D22" s="19" t="n">
        <v>1343</v>
      </c>
      <c r="E22" s="18" t="n">
        <v>34.21977952</v>
      </c>
      <c r="F22" s="20" t="n">
        <v>1.58444929</v>
      </c>
      <c r="G22" s="18" t="n">
        <v>61.38264899</v>
      </c>
      <c r="H22" s="20" t="n">
        <v>1.57271784</v>
      </c>
      <c r="I22" s="18" t="n">
        <v>0</v>
      </c>
      <c r="J22" s="20" t="n">
        <v>0</v>
      </c>
      <c r="K22" s="18" t="n">
        <v>2.51525663</v>
      </c>
      <c r="L22" s="20" t="n">
        <v>0.5514336399999999</v>
      </c>
      <c r="M22" s="18" t="n">
        <v>0</v>
      </c>
      <c r="N22" s="20" t="n">
        <v>0</v>
      </c>
      <c r="O22" s="18" t="n">
        <v>0</v>
      </c>
      <c r="P22" s="20" t="n">
        <v>0</v>
      </c>
      <c r="Q22" s="18" t="n">
        <v>1.88231486</v>
      </c>
      <c r="R22" s="20" t="n">
        <v>0.59403567</v>
      </c>
    </row>
    <row r="23" spans="1:18">
      <c r="A23" s="15" t="s">
        <v>581</v>
      </c>
      <c r="B23" s="17" t="n">
        <v>11583</v>
      </c>
      <c r="C23" s="18">
        <f>(9058.0/B23*100)</f>
        <v/>
      </c>
      <c r="D23" s="19" t="n">
        <v>2525</v>
      </c>
      <c r="E23" s="18" t="n">
        <v>34.71899986</v>
      </c>
      <c r="F23" s="20" t="n">
        <v>1.25914514</v>
      </c>
      <c r="G23" s="18" t="n">
        <v>61.67868852</v>
      </c>
      <c r="H23" s="20" t="n">
        <v>1.29803225</v>
      </c>
      <c r="I23" s="18" t="n">
        <v>0</v>
      </c>
      <c r="J23" s="20" t="n">
        <v>0</v>
      </c>
      <c r="K23" s="18" t="n">
        <v>2.18332142</v>
      </c>
      <c r="L23" s="20" t="n">
        <v>0.46445636</v>
      </c>
      <c r="M23" s="18" t="n">
        <v>0</v>
      </c>
      <c r="N23" s="20" t="n">
        <v>0</v>
      </c>
      <c r="O23" s="18" t="n">
        <v>0</v>
      </c>
      <c r="P23" s="20" t="n">
        <v>0</v>
      </c>
      <c r="Q23" s="18" t="n">
        <v>1.4189902</v>
      </c>
      <c r="R23" s="20" t="n">
        <v>0.31753705</v>
      </c>
    </row>
    <row r="24" spans="1:18">
      <c r="A24" s="15" t="s">
        <v>582</v>
      </c>
      <c r="B24" s="17" t="n">
        <v>6647</v>
      </c>
      <c r="C24" s="18">
        <f>(5226.0/B24*100)</f>
        <v/>
      </c>
      <c r="D24" s="19" t="n">
        <v>1421</v>
      </c>
      <c r="E24" s="18" t="n">
        <v>25.89669737</v>
      </c>
      <c r="F24" s="20" t="n">
        <v>1.23558158</v>
      </c>
      <c r="G24" s="18" t="n">
        <v>72.70021889</v>
      </c>
      <c r="H24" s="20" t="n">
        <v>1.26849539</v>
      </c>
      <c r="I24" s="18" t="n">
        <v>0</v>
      </c>
      <c r="J24" s="20" t="n">
        <v>0</v>
      </c>
      <c r="K24" s="18" t="n">
        <v>0.8725493</v>
      </c>
      <c r="L24" s="20" t="n">
        <v>0.26845978</v>
      </c>
      <c r="M24" s="18" t="n">
        <v>0</v>
      </c>
      <c r="N24" s="20" t="n">
        <v>0</v>
      </c>
      <c r="O24" s="18" t="n">
        <v>0</v>
      </c>
      <c r="P24" s="20" t="n">
        <v>0</v>
      </c>
      <c r="Q24" s="18" t="n">
        <v>0.53053445</v>
      </c>
      <c r="R24" s="20" t="n">
        <v>0.19594449</v>
      </c>
    </row>
    <row r="25" spans="1:18">
      <c r="A25" s="15" t="s">
        <v>583</v>
      </c>
      <c r="B25" s="17" t="n">
        <v>5581</v>
      </c>
      <c r="C25" s="18">
        <f>(4366.0/B25*100)</f>
        <v/>
      </c>
      <c r="D25" s="19" t="n">
        <v>1215</v>
      </c>
      <c r="E25" s="18" t="n">
        <v>26.95909929</v>
      </c>
      <c r="F25" s="20" t="n">
        <v>1.29818186</v>
      </c>
      <c r="G25" s="18" t="n">
        <v>72.36285463</v>
      </c>
      <c r="H25" s="20" t="n">
        <v>1.3250816</v>
      </c>
      <c r="I25" s="18" t="n">
        <v>0</v>
      </c>
      <c r="J25" s="20" t="n">
        <v>0</v>
      </c>
      <c r="K25" s="18" t="n">
        <v>0.06954566</v>
      </c>
      <c r="L25" s="20" t="n">
        <v>0.0699224</v>
      </c>
      <c r="M25" s="18" t="n">
        <v>0</v>
      </c>
      <c r="N25" s="20" t="n">
        <v>0</v>
      </c>
      <c r="O25" s="18" t="n">
        <v>0</v>
      </c>
      <c r="P25" s="20" t="n">
        <v>0</v>
      </c>
      <c r="Q25" s="18" t="n">
        <v>0.60850042</v>
      </c>
      <c r="R25" s="20" t="n">
        <v>0.22148614</v>
      </c>
    </row>
    <row r="26" spans="1:18">
      <c r="A26" s="15" t="s">
        <v>584</v>
      </c>
      <c r="B26" s="17" t="n">
        <v>4869</v>
      </c>
      <c r="C26" s="18">
        <f>(3774.0/B26*100)</f>
        <v/>
      </c>
      <c r="D26" s="19" t="n">
        <v>1095</v>
      </c>
      <c r="E26" s="18" t="n">
        <v>28.67353927</v>
      </c>
      <c r="F26" s="20" t="n">
        <v>1.35112617</v>
      </c>
      <c r="G26" s="18" t="n">
        <v>70.27508647000001</v>
      </c>
      <c r="H26" s="20" t="n">
        <v>1.32469381</v>
      </c>
      <c r="I26" s="18" t="n">
        <v>0</v>
      </c>
      <c r="J26" s="20" t="n">
        <v>0</v>
      </c>
      <c r="K26" s="18" t="n">
        <v>0.15825418</v>
      </c>
      <c r="L26" s="20" t="n">
        <v>0.11390909</v>
      </c>
      <c r="M26" s="18" t="n">
        <v>0</v>
      </c>
      <c r="N26" s="20" t="n">
        <v>0</v>
      </c>
      <c r="O26" s="18" t="n">
        <v>0</v>
      </c>
      <c r="P26" s="20" t="n">
        <v>0</v>
      </c>
      <c r="Q26" s="18" t="n">
        <v>0.89312009</v>
      </c>
      <c r="R26" s="20" t="n">
        <v>0.18053135</v>
      </c>
    </row>
    <row r="27" spans="1:18">
      <c r="A27" s="15" t="s">
        <v>585</v>
      </c>
      <c r="B27" s="17" t="n">
        <v>5299</v>
      </c>
      <c r="C27" s="18">
        <f>(4208.0/B27*100)</f>
        <v/>
      </c>
      <c r="D27" s="19" t="n">
        <v>1091</v>
      </c>
      <c r="E27" s="18" t="n">
        <v>36.49583809</v>
      </c>
      <c r="F27" s="20" t="n">
        <v>1.51219732</v>
      </c>
      <c r="G27" s="18" t="n">
        <v>60.21492078</v>
      </c>
      <c r="H27" s="20" t="n">
        <v>1.58938615</v>
      </c>
      <c r="I27" s="18" t="n">
        <v>0</v>
      </c>
      <c r="J27" s="20" t="n">
        <v>0</v>
      </c>
      <c r="K27" s="18" t="n">
        <v>1.56639556</v>
      </c>
      <c r="L27" s="20" t="n">
        <v>0.34827751</v>
      </c>
      <c r="M27" s="18" t="n">
        <v>0</v>
      </c>
      <c r="N27" s="20" t="n">
        <v>0</v>
      </c>
      <c r="O27" s="18" t="n">
        <v>0</v>
      </c>
      <c r="P27" s="20" t="n">
        <v>0</v>
      </c>
      <c r="Q27" s="18" t="n">
        <v>1.72284557</v>
      </c>
      <c r="R27" s="20" t="n">
        <v>0.34610154</v>
      </c>
    </row>
    <row r="28" spans="1:18">
      <c r="A28" s="15" t="s">
        <v>586</v>
      </c>
      <c r="B28" s="17" t="n">
        <v>7568</v>
      </c>
      <c r="C28" s="18">
        <f>(6111.0/B28*100)</f>
        <v/>
      </c>
      <c r="D28" s="19" t="n">
        <v>1457</v>
      </c>
      <c r="E28" s="18" t="n">
        <v>52.40091952</v>
      </c>
      <c r="F28" s="20" t="n">
        <v>1.4566636</v>
      </c>
      <c r="G28" s="18" t="n">
        <v>45.00557628</v>
      </c>
      <c r="H28" s="20" t="n">
        <v>1.55552463</v>
      </c>
      <c r="I28" s="18" t="n">
        <v>0</v>
      </c>
      <c r="J28" s="20" t="n">
        <v>0</v>
      </c>
      <c r="K28" s="18" t="n">
        <v>1.48596982</v>
      </c>
      <c r="L28" s="20" t="n">
        <v>0.42446959</v>
      </c>
      <c r="M28" s="18" t="n">
        <v>0</v>
      </c>
      <c r="N28" s="20" t="n">
        <v>0</v>
      </c>
      <c r="O28" s="18" t="n">
        <v>0</v>
      </c>
      <c r="P28" s="20" t="n">
        <v>0</v>
      </c>
      <c r="Q28" s="18" t="n">
        <v>1.10753438</v>
      </c>
      <c r="R28" s="20" t="n">
        <v>0.28588913</v>
      </c>
    </row>
    <row r="29" spans="1:18">
      <c r="A29" s="15" t="s">
        <v>587</v>
      </c>
      <c r="B29" s="17" t="n">
        <v>5385</v>
      </c>
      <c r="C29" s="18">
        <f>(4213.0/B29*100)</f>
        <v/>
      </c>
      <c r="D29" s="19" t="n">
        <v>1172</v>
      </c>
      <c r="E29" s="18" t="n">
        <v>31.75660155</v>
      </c>
      <c r="F29" s="20" t="n">
        <v>1.37411114</v>
      </c>
      <c r="G29" s="18" t="n">
        <v>67.30254250999999</v>
      </c>
      <c r="H29" s="20" t="n">
        <v>1.41674321</v>
      </c>
      <c r="I29" s="18" t="n">
        <v>0</v>
      </c>
      <c r="J29" s="20" t="n">
        <v>0</v>
      </c>
      <c r="K29" s="18" t="n">
        <v>0.7627611399999999</v>
      </c>
      <c r="L29" s="20" t="n">
        <v>0.24465768</v>
      </c>
      <c r="M29" s="18" t="n">
        <v>0</v>
      </c>
      <c r="N29" s="20" t="n">
        <v>0</v>
      </c>
      <c r="O29" s="18" t="n">
        <v>0</v>
      </c>
      <c r="P29" s="20" t="n">
        <v>0</v>
      </c>
      <c r="Q29" s="18" t="n">
        <v>0.17809481</v>
      </c>
      <c r="R29" s="20" t="n">
        <v>0.11898282</v>
      </c>
    </row>
    <row r="30" spans="1:18">
      <c r="A30" s="15" t="s">
        <v>588</v>
      </c>
      <c r="B30" s="17" t="n">
        <v>4520</v>
      </c>
      <c r="C30" s="18">
        <f>(3585.0/B30*100)</f>
        <v/>
      </c>
      <c r="D30" s="19" t="n">
        <v>935</v>
      </c>
      <c r="E30" s="18" t="n">
        <v>26.77639908</v>
      </c>
      <c r="F30" s="20" t="n">
        <v>1.65023554</v>
      </c>
      <c r="G30" s="18" t="n">
        <v>70.38661688000001</v>
      </c>
      <c r="H30" s="20" t="n">
        <v>1.84340821</v>
      </c>
      <c r="I30" s="18" t="n">
        <v>0</v>
      </c>
      <c r="J30" s="20" t="n">
        <v>0</v>
      </c>
      <c r="K30" s="18" t="n">
        <v>1.76135914</v>
      </c>
      <c r="L30" s="20" t="n">
        <v>0.4936663</v>
      </c>
      <c r="M30" s="18" t="n">
        <v>0</v>
      </c>
      <c r="N30" s="20" t="n">
        <v>0</v>
      </c>
      <c r="O30" s="18" t="n">
        <v>0</v>
      </c>
      <c r="P30" s="20" t="n">
        <v>0</v>
      </c>
      <c r="Q30" s="18" t="n">
        <v>1.07562491</v>
      </c>
      <c r="R30" s="20" t="n">
        <v>0.32263977</v>
      </c>
    </row>
    <row r="31" spans="1:18">
      <c r="A31" s="15" t="s">
        <v>589</v>
      </c>
      <c r="B31" s="17" t="n">
        <v>5456</v>
      </c>
      <c r="C31" s="18">
        <f>(4316.0/B31*100)</f>
        <v/>
      </c>
      <c r="D31" s="19" t="n">
        <v>1140</v>
      </c>
      <c r="E31" s="18" t="n">
        <v>29.40245036</v>
      </c>
      <c r="F31" s="20" t="n">
        <v>1.45033007</v>
      </c>
      <c r="G31" s="18" t="n">
        <v>67.52100771000001</v>
      </c>
      <c r="H31" s="20" t="n">
        <v>1.46210994</v>
      </c>
      <c r="I31" s="18" t="n">
        <v>0</v>
      </c>
      <c r="J31" s="20" t="n">
        <v>0</v>
      </c>
      <c r="K31" s="18" t="n">
        <v>1.78302227</v>
      </c>
      <c r="L31" s="20" t="n">
        <v>0.40034367</v>
      </c>
      <c r="M31" s="18" t="n">
        <v>0</v>
      </c>
      <c r="N31" s="20" t="n">
        <v>0</v>
      </c>
      <c r="O31" s="18" t="n">
        <v>0</v>
      </c>
      <c r="P31" s="20" t="n">
        <v>0</v>
      </c>
      <c r="Q31" s="18" t="n">
        <v>1.29351966</v>
      </c>
      <c r="R31" s="20" t="n">
        <v>0.3880226</v>
      </c>
    </row>
    <row r="32" spans="1:18">
      <c r="A32" s="15" t="s">
        <v>590</v>
      </c>
      <c r="B32" s="17" t="n">
        <v>4478</v>
      </c>
      <c r="C32" s="18">
        <f>(3552.0/B32*100)</f>
        <v/>
      </c>
      <c r="D32" s="19" t="n">
        <v>926</v>
      </c>
      <c r="E32" s="18" t="n">
        <v>33.8990619</v>
      </c>
      <c r="F32" s="20" t="n">
        <v>1.78906085</v>
      </c>
      <c r="G32" s="18" t="n">
        <v>65.25103439999999</v>
      </c>
      <c r="H32" s="20" t="n">
        <v>1.83034533</v>
      </c>
      <c r="I32" s="18" t="n">
        <v>0</v>
      </c>
      <c r="J32" s="20" t="n">
        <v>0</v>
      </c>
      <c r="K32" s="18" t="n">
        <v>0.38649765</v>
      </c>
      <c r="L32" s="20" t="n">
        <v>0.19829246</v>
      </c>
      <c r="M32" s="18" t="n">
        <v>0</v>
      </c>
      <c r="N32" s="20" t="n">
        <v>0</v>
      </c>
      <c r="O32" s="18" t="n">
        <v>0</v>
      </c>
      <c r="P32" s="20" t="n">
        <v>0</v>
      </c>
      <c r="Q32" s="18" t="n">
        <v>0.46340605</v>
      </c>
      <c r="R32" s="20" t="n">
        <v>0.26554892</v>
      </c>
    </row>
    <row r="33" spans="1:18">
      <c r="A33" s="15" t="s">
        <v>591</v>
      </c>
      <c r="B33" s="17" t="n">
        <v>7325</v>
      </c>
      <c r="C33" s="18">
        <f>(5803.0/B33*100)</f>
        <v/>
      </c>
      <c r="D33" s="19" t="n">
        <v>1522</v>
      </c>
      <c r="E33" s="18" t="n">
        <v>30.9314246</v>
      </c>
      <c r="F33" s="20" t="n">
        <v>1.39508581</v>
      </c>
      <c r="G33" s="18" t="n">
        <v>67.49191589</v>
      </c>
      <c r="H33" s="20" t="n">
        <v>1.39132383</v>
      </c>
      <c r="I33" s="18" t="n">
        <v>0</v>
      </c>
      <c r="J33" s="20" t="n">
        <v>0</v>
      </c>
      <c r="K33" s="18" t="n">
        <v>0.92453919</v>
      </c>
      <c r="L33" s="20" t="n">
        <v>0.32369615</v>
      </c>
      <c r="M33" s="18" t="n">
        <v>0</v>
      </c>
      <c r="N33" s="20" t="n">
        <v>0</v>
      </c>
      <c r="O33" s="18" t="n">
        <v>0</v>
      </c>
      <c r="P33" s="20" t="n">
        <v>0</v>
      </c>
      <c r="Q33" s="18" t="n">
        <v>0.65212032</v>
      </c>
      <c r="R33" s="20" t="n">
        <v>0.21591151</v>
      </c>
    </row>
    <row r="34" spans="1:18">
      <c r="A34" s="15" t="s">
        <v>592</v>
      </c>
      <c r="B34" s="17" t="n">
        <v>6350</v>
      </c>
      <c r="C34" s="18">
        <f>(5037.0/B34*100)</f>
        <v/>
      </c>
      <c r="D34" s="19" t="n">
        <v>1313</v>
      </c>
      <c r="E34" s="18" t="n">
        <v>37.50533528</v>
      </c>
      <c r="F34" s="20" t="n">
        <v>1.55335035</v>
      </c>
      <c r="G34" s="18" t="n">
        <v>61.06448133</v>
      </c>
      <c r="H34" s="20" t="n">
        <v>1.63859204</v>
      </c>
      <c r="I34" s="18" t="n">
        <v>0</v>
      </c>
      <c r="J34" s="20" t="n">
        <v>0</v>
      </c>
      <c r="K34" s="18" t="n">
        <v>0.68790409</v>
      </c>
      <c r="L34" s="20" t="n">
        <v>0.24452679</v>
      </c>
      <c r="M34" s="18" t="n">
        <v>0</v>
      </c>
      <c r="N34" s="20" t="n">
        <v>0</v>
      </c>
      <c r="O34" s="18" t="n">
        <v>0</v>
      </c>
      <c r="P34" s="20" t="n">
        <v>0</v>
      </c>
      <c r="Q34" s="18" t="n">
        <v>0.74227931</v>
      </c>
      <c r="R34" s="20" t="n">
        <v>0.23930157</v>
      </c>
    </row>
    <row r="35" spans="1:18">
      <c r="A35" s="15" t="s">
        <v>593</v>
      </c>
      <c r="B35" s="17" t="n">
        <v>6406</v>
      </c>
      <c r="C35" s="18">
        <f>(4981.0/B35*100)</f>
        <v/>
      </c>
      <c r="D35" s="19" t="n">
        <v>1425</v>
      </c>
      <c r="E35" s="18" t="n">
        <v>25.20783403</v>
      </c>
      <c r="F35" s="20" t="n">
        <v>1.25474235</v>
      </c>
      <c r="G35" s="18" t="n">
        <v>73.49972972</v>
      </c>
      <c r="H35" s="20" t="n">
        <v>1.30972407</v>
      </c>
      <c r="I35" s="18" t="n">
        <v>0</v>
      </c>
      <c r="J35" s="20" t="n">
        <v>0</v>
      </c>
      <c r="K35" s="18" t="n">
        <v>0.40182439</v>
      </c>
      <c r="L35" s="20" t="n">
        <v>0.17040794</v>
      </c>
      <c r="M35" s="18" t="n">
        <v>0</v>
      </c>
      <c r="N35" s="20" t="n">
        <v>0</v>
      </c>
      <c r="O35" s="18" t="n">
        <v>0</v>
      </c>
      <c r="P35" s="20" t="n">
        <v>0</v>
      </c>
      <c r="Q35" s="18" t="n">
        <v>0.89061187</v>
      </c>
      <c r="R35" s="20" t="n">
        <v>0.26554916</v>
      </c>
    </row>
    <row r="36" spans="1:18">
      <c r="A36" s="15" t="s">
        <v>594</v>
      </c>
      <c r="B36" s="17" t="n">
        <v>6736</v>
      </c>
      <c r="C36" s="18">
        <f>(5307.0/B36*100)</f>
        <v/>
      </c>
      <c r="D36" s="19" t="n">
        <v>1429</v>
      </c>
      <c r="E36" s="18" t="n">
        <v>31.62373523</v>
      </c>
      <c r="F36" s="20" t="n">
        <v>1.18030812</v>
      </c>
      <c r="G36" s="18" t="n">
        <v>66.0210385</v>
      </c>
      <c r="H36" s="20" t="n">
        <v>1.25487129</v>
      </c>
      <c r="I36" s="18" t="n">
        <v>0</v>
      </c>
      <c r="J36" s="20" t="n">
        <v>0</v>
      </c>
      <c r="K36" s="18" t="n">
        <v>1.34100999</v>
      </c>
      <c r="L36" s="20" t="n">
        <v>0.32192748</v>
      </c>
      <c r="M36" s="18" t="n">
        <v>0</v>
      </c>
      <c r="N36" s="20" t="n">
        <v>0</v>
      </c>
      <c r="O36" s="18" t="n">
        <v>0</v>
      </c>
      <c r="P36" s="20" t="n">
        <v>0</v>
      </c>
      <c r="Q36" s="18" t="n">
        <v>1.01421628</v>
      </c>
      <c r="R36" s="20" t="n">
        <v>0.28829829</v>
      </c>
    </row>
    <row r="37" spans="1:18">
      <c r="A37" s="15" t="s">
        <v>595</v>
      </c>
      <c r="B37" s="17" t="n">
        <v>5458</v>
      </c>
      <c r="C37" s="18">
        <f>(4325.0/B37*100)</f>
        <v/>
      </c>
      <c r="D37" s="19" t="n">
        <v>1133</v>
      </c>
      <c r="E37" s="18" t="n">
        <v>25.44398713</v>
      </c>
      <c r="F37" s="20" t="n">
        <v>1.43656085</v>
      </c>
      <c r="G37" s="18" t="n">
        <v>69.1118845</v>
      </c>
      <c r="H37" s="20" t="n">
        <v>1.49496267</v>
      </c>
      <c r="I37" s="18" t="n">
        <v>0</v>
      </c>
      <c r="J37" s="20" t="n">
        <v>0</v>
      </c>
      <c r="K37" s="18" t="n">
        <v>3.43662602</v>
      </c>
      <c r="L37" s="20" t="n">
        <v>0.5516071299999999</v>
      </c>
      <c r="M37" s="18" t="n">
        <v>0</v>
      </c>
      <c r="N37" s="20" t="n">
        <v>0</v>
      </c>
      <c r="O37" s="18" t="n">
        <v>0</v>
      </c>
      <c r="P37" s="20" t="n">
        <v>0</v>
      </c>
      <c r="Q37" s="18" t="n">
        <v>2.00750235</v>
      </c>
      <c r="R37" s="20" t="n">
        <v>0.4535086</v>
      </c>
    </row>
    <row r="38" spans="1:18">
      <c r="A38" s="15" t="s">
        <v>596</v>
      </c>
      <c r="B38" s="17" t="n">
        <v>5860</v>
      </c>
      <c r="C38" s="18">
        <f>(4538.0/B38*100)</f>
        <v/>
      </c>
      <c r="D38" s="19" t="n">
        <v>1322</v>
      </c>
      <c r="E38" s="18" t="n">
        <v>29.55038924</v>
      </c>
      <c r="F38" s="20" t="n">
        <v>1.37595177</v>
      </c>
      <c r="G38" s="18" t="n">
        <v>67.79337837999999</v>
      </c>
      <c r="H38" s="20" t="n">
        <v>1.27306096</v>
      </c>
      <c r="I38" s="18" t="n">
        <v>0</v>
      </c>
      <c r="J38" s="20" t="n">
        <v>0</v>
      </c>
      <c r="K38" s="18" t="n">
        <v>2.00260851</v>
      </c>
      <c r="L38" s="20" t="n">
        <v>0.42261218</v>
      </c>
      <c r="M38" s="18" t="n">
        <v>0</v>
      </c>
      <c r="N38" s="20" t="n">
        <v>0</v>
      </c>
      <c r="O38" s="18" t="n">
        <v>0</v>
      </c>
      <c r="P38" s="20" t="n">
        <v>0</v>
      </c>
      <c r="Q38" s="18" t="n">
        <v>0.65362388</v>
      </c>
      <c r="R38" s="20" t="n">
        <v>0.22949247</v>
      </c>
    </row>
    <row r="39" spans="1:18">
      <c r="A39" s="15" t="s">
        <v>597</v>
      </c>
      <c r="B39" s="17" t="n">
        <v>5895</v>
      </c>
      <c r="C39" s="18">
        <f>(4593.0/B39*100)</f>
        <v/>
      </c>
      <c r="D39" s="19" t="n">
        <v>1302</v>
      </c>
      <c r="E39" s="18" t="n">
        <v>47.71627293</v>
      </c>
      <c r="F39" s="20" t="n">
        <v>1.64198618</v>
      </c>
      <c r="G39" s="18" t="n">
        <v>50.48229129</v>
      </c>
      <c r="H39" s="20" t="n">
        <v>1.62428051</v>
      </c>
      <c r="I39" s="18" t="n">
        <v>0</v>
      </c>
      <c r="J39" s="20" t="n">
        <v>0</v>
      </c>
      <c r="K39" s="18" t="n">
        <v>0.50871131</v>
      </c>
      <c r="L39" s="20" t="n">
        <v>0.19414306</v>
      </c>
      <c r="M39" s="18" t="n">
        <v>0</v>
      </c>
      <c r="N39" s="20" t="n">
        <v>0</v>
      </c>
      <c r="O39" s="18" t="n">
        <v>0</v>
      </c>
      <c r="P39" s="20" t="n">
        <v>0</v>
      </c>
      <c r="Q39" s="18" t="n">
        <v>1.29272446</v>
      </c>
      <c r="R39" s="20" t="n">
        <v>0.29406018</v>
      </c>
    </row>
    <row r="40" spans="1:18">
      <c r="A40" s="15" t="s">
        <v>598</v>
      </c>
      <c r="B40" s="17" t="n">
        <v>14157</v>
      </c>
      <c r="C40" s="18">
        <f>(10996.0/B40*100)</f>
        <v/>
      </c>
      <c r="D40" s="19" t="n">
        <v>3161</v>
      </c>
      <c r="E40" s="18" t="n">
        <v>30.77519818</v>
      </c>
      <c r="F40" s="20" t="n">
        <v>1.22219017</v>
      </c>
      <c r="G40" s="18" t="n">
        <v>67.09101173000001</v>
      </c>
      <c r="H40" s="20" t="n">
        <v>1.29383304</v>
      </c>
      <c r="I40" s="18" t="n">
        <v>0</v>
      </c>
      <c r="J40" s="20" t="n">
        <v>0</v>
      </c>
      <c r="K40" s="18" t="n">
        <v>0.88823989</v>
      </c>
      <c r="L40" s="20" t="n">
        <v>0.26953463</v>
      </c>
      <c r="M40" s="18" t="n">
        <v>0</v>
      </c>
      <c r="N40" s="20" t="n">
        <v>0</v>
      </c>
      <c r="O40" s="18" t="n">
        <v>0</v>
      </c>
      <c r="P40" s="20" t="n">
        <v>0</v>
      </c>
      <c r="Q40" s="18" t="n">
        <v>1.2455502</v>
      </c>
      <c r="R40" s="20" t="n">
        <v>0.29764453</v>
      </c>
    </row>
    <row r="41" spans="1:18">
      <c r="A41" s="15" t="s">
        <v>599</v>
      </c>
      <c r="B41" s="17" t="n">
        <v>5712</v>
      </c>
      <c r="C41" s="18">
        <f>(4545.0/B41*100)</f>
        <v/>
      </c>
      <c r="D41" s="19" t="n">
        <v>1167</v>
      </c>
      <c r="E41" s="18" t="n">
        <v>31.56293665</v>
      </c>
      <c r="F41" s="20" t="n">
        <v>1.74901297</v>
      </c>
      <c r="G41" s="18" t="n">
        <v>67.31605356999999</v>
      </c>
      <c r="H41" s="20" t="n">
        <v>1.81631516</v>
      </c>
      <c r="I41" s="18" t="n">
        <v>0</v>
      </c>
      <c r="J41" s="20" t="n">
        <v>0</v>
      </c>
      <c r="K41" s="18" t="n">
        <v>0.49830729</v>
      </c>
      <c r="L41" s="20" t="n">
        <v>0.21959972</v>
      </c>
      <c r="M41" s="18" t="n">
        <v>0</v>
      </c>
      <c r="N41" s="20" t="n">
        <v>0</v>
      </c>
      <c r="O41" s="18" t="n">
        <v>0</v>
      </c>
      <c r="P41" s="20" t="n">
        <v>0</v>
      </c>
      <c r="Q41" s="18" t="n">
        <v>0.6227025</v>
      </c>
      <c r="R41" s="20" t="n">
        <v>0.23267834</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(19558.0/B46*100)</f>
        <v/>
      </c>
      <c r="D46" s="19" t="n">
        <v>3583</v>
      </c>
      <c r="E46" s="18" t="n">
        <v>50.78254961</v>
      </c>
      <c r="F46" s="20" t="n">
        <v>1.22557515</v>
      </c>
      <c r="G46" s="18" t="n">
        <v>44.37582352</v>
      </c>
      <c r="H46" s="20" t="n">
        <v>1.23407318</v>
      </c>
      <c r="I46" s="18" t="n">
        <v>0</v>
      </c>
      <c r="J46" s="20" t="n">
        <v>0</v>
      </c>
      <c r="K46" s="18" t="n">
        <v>3.64794185</v>
      </c>
      <c r="L46" s="20" t="n">
        <v>0.63346444</v>
      </c>
      <c r="M46" s="18" t="n">
        <v>0</v>
      </c>
      <c r="N46" s="20" t="n">
        <v>0</v>
      </c>
      <c r="O46" s="18" t="n">
        <v>0</v>
      </c>
      <c r="P46" s="20" t="n">
        <v>0</v>
      </c>
      <c r="Q46" s="18" t="n">
        <v>1.19368503</v>
      </c>
      <c r="R46" s="20" t="n">
        <v>0.23326866</v>
      </c>
    </row>
    <row r="47" spans="1:18">
      <c r="A47" s="15" t="s">
        <v>606</v>
      </c>
      <c r="B47" s="17" t="n">
        <v>5928</v>
      </c>
      <c r="C47" s="18">
        <f>(4675.0/B47*100)</f>
        <v/>
      </c>
      <c r="D47" s="19" t="n">
        <v>1253</v>
      </c>
      <c r="E47" s="18" t="n">
        <v>39.44822779</v>
      </c>
      <c r="F47" s="20" t="n">
        <v>1.70371157</v>
      </c>
      <c r="G47" s="18" t="n">
        <v>57.03597379</v>
      </c>
      <c r="H47" s="20" t="n">
        <v>1.8256818</v>
      </c>
      <c r="I47" s="18" t="n">
        <v>0</v>
      </c>
      <c r="J47" s="20" t="n">
        <v>0</v>
      </c>
      <c r="K47" s="18" t="n">
        <v>1.7189123</v>
      </c>
      <c r="L47" s="20" t="n">
        <v>0.34738182</v>
      </c>
      <c r="M47" s="18" t="n">
        <v>0</v>
      </c>
      <c r="N47" s="20" t="n">
        <v>0</v>
      </c>
      <c r="O47" s="18" t="n">
        <v>0</v>
      </c>
      <c r="P47" s="20" t="n">
        <v>0</v>
      </c>
      <c r="Q47" s="18" t="n">
        <v>1.79688612</v>
      </c>
      <c r="R47" s="20" t="n">
        <v>0.36730443</v>
      </c>
    </row>
    <row r="48" spans="1:18">
      <c r="A48" s="15" t="s">
        <v>607</v>
      </c>
      <c r="B48" s="17" t="n">
        <v>9841</v>
      </c>
      <c r="C48" s="18">
        <f>(7712.0/B48*100)</f>
        <v/>
      </c>
      <c r="D48" s="19" t="n">
        <v>2129</v>
      </c>
      <c r="E48" s="18" t="n">
        <v>24.41909861</v>
      </c>
      <c r="F48" s="20" t="n">
        <v>1.42434483</v>
      </c>
      <c r="G48" s="18" t="n">
        <v>73.20605591</v>
      </c>
      <c r="H48" s="20" t="n">
        <v>1.61408849</v>
      </c>
      <c r="I48" s="18" t="n">
        <v>0</v>
      </c>
      <c r="J48" s="20" t="n">
        <v>0</v>
      </c>
      <c r="K48" s="18" t="n">
        <v>1.57620285</v>
      </c>
      <c r="L48" s="20" t="n">
        <v>0.56331925</v>
      </c>
      <c r="M48" s="18" t="n">
        <v>0</v>
      </c>
      <c r="N48" s="20" t="n">
        <v>0</v>
      </c>
      <c r="O48" s="18" t="n">
        <v>0</v>
      </c>
      <c r="P48" s="20" t="n">
        <v>0</v>
      </c>
      <c r="Q48" s="18" t="n">
        <v>0.79864263</v>
      </c>
      <c r="R48" s="20" t="n">
        <v>0.24235554</v>
      </c>
    </row>
    <row r="49" spans="1:18">
      <c r="A49" s="15" t="s">
        <v>608</v>
      </c>
      <c r="B49" s="17" t="n">
        <v>11795</v>
      </c>
      <c r="C49" s="18">
        <f>(9327.0/B49*100)</f>
        <v/>
      </c>
      <c r="D49" s="19" t="n">
        <v>2468</v>
      </c>
      <c r="E49" s="18" t="n">
        <v>48.35253759</v>
      </c>
      <c r="F49" s="20" t="n">
        <v>1.61515547</v>
      </c>
      <c r="G49" s="18" t="n">
        <v>46.94102858</v>
      </c>
      <c r="H49" s="20" t="n">
        <v>1.60347675</v>
      </c>
      <c r="I49" s="18" t="n">
        <v>0</v>
      </c>
      <c r="J49" s="20" t="n">
        <v>0</v>
      </c>
      <c r="K49" s="18" t="n">
        <v>4.04712319</v>
      </c>
      <c r="L49" s="20" t="n">
        <v>0.624613</v>
      </c>
      <c r="M49" s="18" t="n">
        <v>0</v>
      </c>
      <c r="N49" s="20" t="n">
        <v>0</v>
      </c>
      <c r="O49" s="18" t="n">
        <v>0</v>
      </c>
      <c r="P49" s="20" t="n">
        <v>0</v>
      </c>
      <c r="Q49" s="18" t="n">
        <v>0.6593106399999999</v>
      </c>
      <c r="R49" s="20" t="n">
        <v>0.18571436</v>
      </c>
    </row>
    <row r="50" spans="1:18">
      <c r="A50" s="15" t="s">
        <v>609</v>
      </c>
      <c r="B50" s="17" t="n">
        <v>6866</v>
      </c>
      <c r="C50" s="18">
        <f>(5627.0/B50*100)</f>
        <v/>
      </c>
      <c r="D50" s="19" t="n">
        <v>1239</v>
      </c>
      <c r="E50" s="18" t="n">
        <v>46.10916699</v>
      </c>
      <c r="F50" s="20" t="n">
        <v>1.32535839</v>
      </c>
      <c r="G50" s="18" t="n">
        <v>50.83391514</v>
      </c>
      <c r="H50" s="20" t="n">
        <v>1.4330339</v>
      </c>
      <c r="I50" s="18" t="n">
        <v>0</v>
      </c>
      <c r="J50" s="20" t="n">
        <v>0</v>
      </c>
      <c r="K50" s="18" t="n">
        <v>1.90986351</v>
      </c>
      <c r="L50" s="20" t="n">
        <v>0.46654695</v>
      </c>
      <c r="M50" s="18" t="n">
        <v>0</v>
      </c>
      <c r="N50" s="20" t="n">
        <v>0</v>
      </c>
      <c r="O50" s="18" t="n">
        <v>0</v>
      </c>
      <c r="P50" s="20" t="n">
        <v>0</v>
      </c>
      <c r="Q50" s="18" t="n">
        <v>1.14705435</v>
      </c>
      <c r="R50" s="20" t="n">
        <v>0.35739519</v>
      </c>
    </row>
    <row r="51" spans="1:18">
      <c r="A51" s="15" t="s">
        <v>610</v>
      </c>
      <c r="B51" s="17" t="n">
        <v>5809</v>
      </c>
      <c r="C51" s="18">
        <f>(4575.0/B51*100)</f>
        <v/>
      </c>
      <c r="D51" s="19" t="n">
        <v>1234</v>
      </c>
      <c r="E51" s="18" t="n">
        <v>38.97368933</v>
      </c>
      <c r="F51" s="20" t="n">
        <v>1.47269951</v>
      </c>
      <c r="G51" s="18" t="n">
        <v>59.45536455</v>
      </c>
      <c r="H51" s="20" t="n">
        <v>1.46334885</v>
      </c>
      <c r="I51" s="18" t="n">
        <v>0</v>
      </c>
      <c r="J51" s="20" t="n">
        <v>0</v>
      </c>
      <c r="K51" s="18" t="n">
        <v>0.49805526</v>
      </c>
      <c r="L51" s="20" t="n">
        <v>0.18938266</v>
      </c>
      <c r="M51" s="18" t="n">
        <v>0</v>
      </c>
      <c r="N51" s="20" t="n">
        <v>0</v>
      </c>
      <c r="O51" s="18" t="n">
        <v>0</v>
      </c>
      <c r="P51" s="20" t="n">
        <v>0</v>
      </c>
      <c r="Q51" s="18" t="n">
        <v>1.07289086</v>
      </c>
      <c r="R51" s="20" t="n">
        <v>0.34063718</v>
      </c>
    </row>
    <row r="52" spans="1:18">
      <c r="A52" s="15" t="s">
        <v>611</v>
      </c>
      <c r="B52" s="17" t="n">
        <v>5571</v>
      </c>
      <c r="C52" s="18">
        <f>(4366.0/B52*100)</f>
        <v/>
      </c>
      <c r="D52" s="19" t="n">
        <v>1205</v>
      </c>
      <c r="E52" s="18" t="n">
        <v>47.16292721</v>
      </c>
      <c r="F52" s="20" t="n">
        <v>1.42667096</v>
      </c>
      <c r="G52" s="18" t="n">
        <v>50.50595608</v>
      </c>
      <c r="H52" s="20" t="n">
        <v>1.54259067</v>
      </c>
      <c r="I52" s="18" t="n">
        <v>0</v>
      </c>
      <c r="J52" s="20" t="n">
        <v>0</v>
      </c>
      <c r="K52" s="18" t="n">
        <v>1.18220751</v>
      </c>
      <c r="L52" s="20" t="n">
        <v>0.30579513</v>
      </c>
      <c r="M52" s="18" t="n">
        <v>0</v>
      </c>
      <c r="N52" s="20" t="n">
        <v>0</v>
      </c>
      <c r="O52" s="18" t="n">
        <v>0</v>
      </c>
      <c r="P52" s="20" t="n">
        <v>0</v>
      </c>
      <c r="Q52" s="18" t="n">
        <v>1.1489092</v>
      </c>
      <c r="R52" s="20" t="n">
        <v>0.29975757</v>
      </c>
    </row>
    <row r="53" spans="1:18">
      <c r="A53" s="15" t="s">
        <v>612</v>
      </c>
      <c r="B53" s="17" t="n">
        <v>4740</v>
      </c>
      <c r="C53" s="18">
        <f>(3684.0/B53*100)</f>
        <v/>
      </c>
      <c r="D53" s="19" t="n">
        <v>1056</v>
      </c>
      <c r="E53" s="18" t="n">
        <v>47.11666403</v>
      </c>
      <c r="F53" s="20" t="n">
        <v>1.8165492</v>
      </c>
      <c r="G53" s="18" t="n">
        <v>27.55600479</v>
      </c>
      <c r="H53" s="20" t="n">
        <v>1.30989126</v>
      </c>
      <c r="I53" s="18" t="n">
        <v>0</v>
      </c>
      <c r="J53" s="20" t="n">
        <v>0</v>
      </c>
      <c r="K53" s="18" t="n">
        <v>22.76069607</v>
      </c>
      <c r="L53" s="20" t="n">
        <v>1.57205295</v>
      </c>
      <c r="M53" s="18" t="n">
        <v>0</v>
      </c>
      <c r="N53" s="20" t="n">
        <v>0</v>
      </c>
      <c r="O53" s="18" t="n">
        <v>0</v>
      </c>
      <c r="P53" s="20" t="n">
        <v>0</v>
      </c>
      <c r="Q53" s="18" t="n">
        <v>2.5666351</v>
      </c>
      <c r="R53" s="20" t="n">
        <v>0.79048703</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(4170.0/B55*100)</f>
        <v/>
      </c>
      <c r="D55" s="19" t="n">
        <v>1189</v>
      </c>
      <c r="E55" s="18" t="n">
        <v>26.06348828</v>
      </c>
      <c r="F55" s="20" t="n">
        <v>1.56123763</v>
      </c>
      <c r="G55" s="18" t="n">
        <v>73.2779523</v>
      </c>
      <c r="H55" s="20" t="n">
        <v>1.61156926</v>
      </c>
      <c r="I55" s="18" t="n">
        <v>0</v>
      </c>
      <c r="J55" s="20" t="n">
        <v>0</v>
      </c>
      <c r="K55" s="18" t="n">
        <v>0.29373858</v>
      </c>
      <c r="L55" s="20" t="n">
        <v>0.1950245</v>
      </c>
      <c r="M55" s="18" t="n">
        <v>0</v>
      </c>
      <c r="N55" s="20" t="n">
        <v>0</v>
      </c>
      <c r="O55" s="18" t="n">
        <v>0</v>
      </c>
      <c r="P55" s="20" t="n">
        <v>0</v>
      </c>
      <c r="Q55" s="18" t="n">
        <v>0.36482084</v>
      </c>
      <c r="R55" s="20" t="n">
        <v>0.18447179</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(5104.0/B61*100)</f>
        <v/>
      </c>
      <c r="D61" s="19" t="n">
        <v>1421</v>
      </c>
      <c r="E61" s="18" t="n">
        <v>34.1373449</v>
      </c>
      <c r="F61" s="20" t="n">
        <v>1.4768888</v>
      </c>
      <c r="G61" s="18" t="n">
        <v>64.56285576000001</v>
      </c>
      <c r="H61" s="20" t="n">
        <v>1.52440568</v>
      </c>
      <c r="I61" s="18" t="n">
        <v>0</v>
      </c>
      <c r="J61" s="20" t="n">
        <v>0</v>
      </c>
      <c r="K61" s="18" t="n">
        <v>0.58958151</v>
      </c>
      <c r="L61" s="20" t="n">
        <v>0.25552186</v>
      </c>
      <c r="M61" s="18" t="n">
        <v>0</v>
      </c>
      <c r="N61" s="20" t="n">
        <v>0</v>
      </c>
      <c r="O61" s="18" t="n">
        <v>0</v>
      </c>
      <c r="P61" s="20" t="n">
        <v>0</v>
      </c>
      <c r="Q61" s="18" t="n">
        <v>0.71021783</v>
      </c>
      <c r="R61" s="20" t="n">
        <v>0.23947565</v>
      </c>
    </row>
    <row r="62" spans="1:18">
      <c r="A62" s="15" t="s">
        <v>622</v>
      </c>
      <c r="B62" s="17" t="n">
        <v>4476</v>
      </c>
      <c r="C62" s="18">
        <f>(3515.0/B62*100)</f>
        <v/>
      </c>
      <c r="D62" s="19" t="n">
        <v>961</v>
      </c>
      <c r="E62" s="18" t="n">
        <v>23.74503738</v>
      </c>
      <c r="F62" s="20" t="n">
        <v>1.14266581</v>
      </c>
      <c r="G62" s="18" t="n">
        <v>76.15157843</v>
      </c>
      <c r="H62" s="20" t="n">
        <v>1.14977148</v>
      </c>
      <c r="I62" s="18" t="n">
        <v>0</v>
      </c>
      <c r="J62" s="20" t="n">
        <v>0</v>
      </c>
      <c r="K62" s="18" t="n">
        <v>0</v>
      </c>
      <c r="L62" s="20" t="n">
        <v>0</v>
      </c>
      <c r="M62" s="18" t="n">
        <v>0</v>
      </c>
      <c r="N62" s="20" t="n">
        <v>0</v>
      </c>
      <c r="O62" s="18" t="n">
        <v>0</v>
      </c>
      <c r="P62" s="20" t="n">
        <v>0</v>
      </c>
      <c r="Q62" s="18" t="n">
        <v>0.10338419</v>
      </c>
      <c r="R62" s="20" t="n">
        <v>0.10307969</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(4502.0/B67*100)</f>
        <v/>
      </c>
      <c r="D67" s="19" t="n">
        <v>1163</v>
      </c>
      <c r="E67" s="18" t="n">
        <v>47.6544552</v>
      </c>
      <c r="F67" s="20" t="n">
        <v>1.39864557</v>
      </c>
      <c r="G67" s="18" t="n">
        <v>45.90311555</v>
      </c>
      <c r="H67" s="20" t="n">
        <v>1.44058862</v>
      </c>
      <c r="I67" s="18" t="n">
        <v>0</v>
      </c>
      <c r="J67" s="20" t="n">
        <v>0</v>
      </c>
      <c r="K67" s="18" t="n">
        <v>3.0479514</v>
      </c>
      <c r="L67" s="20" t="n">
        <v>0.45924586</v>
      </c>
      <c r="M67" s="18" t="n">
        <v>0</v>
      </c>
      <c r="N67" s="20" t="n">
        <v>0</v>
      </c>
      <c r="O67" s="18" t="n">
        <v>0</v>
      </c>
      <c r="P67" s="20" t="n">
        <v>0</v>
      </c>
      <c r="Q67" s="18" t="n">
        <v>3.39447785</v>
      </c>
      <c r="R67" s="20" t="n">
        <v>0.63652759</v>
      </c>
    </row>
    <row r="68" spans="1:18">
      <c r="A68" s="15" t="s">
        <v>628</v>
      </c>
      <c r="B68" s="17" t="n">
        <v>6971</v>
      </c>
      <c r="C68" s="18">
        <f>(5729.0/B68*100)</f>
        <v/>
      </c>
      <c r="D68" s="19" t="n">
        <v>1242</v>
      </c>
      <c r="E68" s="18" t="n">
        <v>53.40462671</v>
      </c>
      <c r="F68" s="20" t="n">
        <v>1.25427292</v>
      </c>
      <c r="G68" s="18" t="n">
        <v>44.46090858</v>
      </c>
      <c r="H68" s="20" t="n">
        <v>1.3317071</v>
      </c>
      <c r="I68" s="18" t="n">
        <v>0</v>
      </c>
      <c r="J68" s="20" t="n">
        <v>0</v>
      </c>
      <c r="K68" s="18" t="n">
        <v>1.06184787</v>
      </c>
      <c r="L68" s="20" t="n">
        <v>0.38918531</v>
      </c>
      <c r="M68" s="18" t="n">
        <v>0</v>
      </c>
      <c r="N68" s="20" t="n">
        <v>0</v>
      </c>
      <c r="O68" s="18" t="n">
        <v>0</v>
      </c>
      <c r="P68" s="20" t="n">
        <v>0</v>
      </c>
      <c r="Q68" s="18" t="n">
        <v>1.07261684</v>
      </c>
      <c r="R68" s="20" t="n">
        <v>0.29309822</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(9362.0/B70*100)</f>
        <v/>
      </c>
      <c r="D70" s="19" t="n">
        <v>2721</v>
      </c>
      <c r="E70" s="18" t="n">
        <v>43.56935358</v>
      </c>
      <c r="F70" s="20" t="n">
        <v>0.98980964</v>
      </c>
      <c r="G70" s="18" t="n">
        <v>49.812458</v>
      </c>
      <c r="H70" s="20" t="n">
        <v>1.03425636</v>
      </c>
      <c r="I70" s="18" t="n">
        <v>0</v>
      </c>
      <c r="J70" s="20" t="n">
        <v>0</v>
      </c>
      <c r="K70" s="18" t="n">
        <v>5.10137345</v>
      </c>
      <c r="L70" s="20" t="n">
        <v>0.38825487</v>
      </c>
      <c r="M70" s="18" t="n">
        <v>0</v>
      </c>
      <c r="N70" s="20" t="n">
        <v>0</v>
      </c>
      <c r="O70" s="18" t="n">
        <v>0</v>
      </c>
      <c r="P70" s="20" t="n">
        <v>0</v>
      </c>
      <c r="Q70" s="18" t="n">
        <v>1.51681497</v>
      </c>
      <c r="R70" s="20" t="n">
        <v>0.24976246</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(4788.0/B72*100)</f>
        <v/>
      </c>
      <c r="D72" s="19" t="n">
        <v>1248</v>
      </c>
      <c r="E72" s="18" t="n">
        <v>33.16427152</v>
      </c>
      <c r="F72" s="20" t="n">
        <v>1.32194006</v>
      </c>
      <c r="G72" s="18" t="n">
        <v>65.06749748</v>
      </c>
      <c r="H72" s="20" t="n">
        <v>1.43426938</v>
      </c>
      <c r="I72" s="18" t="n">
        <v>0</v>
      </c>
      <c r="J72" s="20" t="n">
        <v>0</v>
      </c>
      <c r="K72" s="18" t="n">
        <v>0.9270923</v>
      </c>
      <c r="L72" s="20" t="n">
        <v>0.23790351</v>
      </c>
      <c r="M72" s="18" t="n">
        <v>0</v>
      </c>
      <c r="N72" s="20" t="n">
        <v>0</v>
      </c>
      <c r="O72" s="18" t="n">
        <v>0</v>
      </c>
      <c r="P72" s="20" t="n">
        <v>0</v>
      </c>
      <c r="Q72" s="18" t="n">
        <v>0.84113871</v>
      </c>
      <c r="R72" s="20" t="n">
        <v>0.25323742</v>
      </c>
    </row>
    <row r="73" spans="1:18">
      <c r="A73" s="15" t="s">
        <v>633</v>
      </c>
      <c r="B73" s="17" t="n">
        <v>6115</v>
      </c>
      <c r="C73" s="18">
        <f>(4802.0/B73*100)</f>
        <v/>
      </c>
      <c r="D73" s="19" t="n">
        <v>1313</v>
      </c>
      <c r="E73" s="18" t="n">
        <v>21.06210159</v>
      </c>
      <c r="F73" s="20" t="n">
        <v>1.17249596</v>
      </c>
      <c r="G73" s="18" t="n">
        <v>77.89363225</v>
      </c>
      <c r="H73" s="20" t="n">
        <v>1.14886473</v>
      </c>
      <c r="I73" s="18" t="n">
        <v>0</v>
      </c>
      <c r="J73" s="20" t="n">
        <v>0</v>
      </c>
      <c r="K73" s="18" t="n">
        <v>0.35399843</v>
      </c>
      <c r="L73" s="20" t="n">
        <v>0.16004013</v>
      </c>
      <c r="M73" s="18" t="n">
        <v>0</v>
      </c>
      <c r="N73" s="20" t="n">
        <v>0</v>
      </c>
      <c r="O73" s="18" t="n">
        <v>0</v>
      </c>
      <c r="P73" s="20" t="n">
        <v>0</v>
      </c>
      <c r="Q73" s="18" t="n">
        <v>0.69026773</v>
      </c>
      <c r="R73" s="20" t="n">
        <v>0.20093648</v>
      </c>
    </row>
    <row r="74" spans="1:18">
      <c r="A74" s="15" t="s">
        <v>634</v>
      </c>
      <c r="B74" s="17" t="n">
        <v>7708</v>
      </c>
      <c r="C74" s="18">
        <f>(6070.0/B74*100)</f>
        <v/>
      </c>
      <c r="D74" s="19" t="n">
        <v>1638</v>
      </c>
      <c r="E74" s="18" t="n">
        <v>22.66865318</v>
      </c>
      <c r="F74" s="20" t="n">
        <v>1.14159227</v>
      </c>
      <c r="G74" s="18" t="n">
        <v>76.68832078</v>
      </c>
      <c r="H74" s="20" t="n">
        <v>1.08983647</v>
      </c>
      <c r="I74" s="18" t="n">
        <v>0</v>
      </c>
      <c r="J74" s="20" t="n">
        <v>0</v>
      </c>
      <c r="K74" s="18" t="n">
        <v>0.30399525</v>
      </c>
      <c r="L74" s="20" t="n">
        <v>0.17086201</v>
      </c>
      <c r="M74" s="18" t="n">
        <v>0</v>
      </c>
      <c r="N74" s="20" t="n">
        <v>0</v>
      </c>
      <c r="O74" s="18" t="n">
        <v>0</v>
      </c>
      <c r="P74" s="20" t="n">
        <v>0</v>
      </c>
      <c r="Q74" s="18" t="n">
        <v>0.33903079</v>
      </c>
      <c r="R74" s="20" t="n">
        <v>0.1568576</v>
      </c>
    </row>
    <row r="75" spans="1:18">
      <c r="A75" s="15" t="s">
        <v>635</v>
      </c>
      <c r="B75" s="17" t="n">
        <v>8249</v>
      </c>
      <c r="C75" s="18">
        <f>(6536.0/B75*100)</f>
        <v/>
      </c>
      <c r="D75" s="19" t="n">
        <v>1713</v>
      </c>
      <c r="E75" s="18" t="n">
        <v>45.31457355</v>
      </c>
      <c r="F75" s="20" t="n">
        <v>1.51603937</v>
      </c>
      <c r="G75" s="18" t="n">
        <v>53.62794881</v>
      </c>
      <c r="H75" s="20" t="n">
        <v>1.50077112</v>
      </c>
      <c r="I75" s="18" t="n">
        <v>0</v>
      </c>
      <c r="J75" s="20" t="n">
        <v>0</v>
      </c>
      <c r="K75" s="18" t="n">
        <v>0.27522018</v>
      </c>
      <c r="L75" s="20" t="n">
        <v>0.13252706</v>
      </c>
      <c r="M75" s="18" t="n">
        <v>0</v>
      </c>
      <c r="N75" s="20" t="n">
        <v>0</v>
      </c>
      <c r="O75" s="18" t="n">
        <v>0</v>
      </c>
      <c r="P75" s="20" t="n">
        <v>0</v>
      </c>
      <c r="Q75" s="18" t="n">
        <v>0.78225746</v>
      </c>
      <c r="R75" s="20" t="n">
        <v>0.26078095</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(4360.0/B77*100)</f>
        <v/>
      </c>
      <c r="D77" s="19" t="n">
        <v>1015</v>
      </c>
      <c r="E77" s="18" t="n">
        <v>45.10684137</v>
      </c>
      <c r="F77" s="20" t="n">
        <v>1.85104991</v>
      </c>
      <c r="G77" s="18" t="n">
        <v>46.7570924</v>
      </c>
      <c r="H77" s="20" t="n">
        <v>2.04010298</v>
      </c>
      <c r="I77" s="18" t="n">
        <v>0</v>
      </c>
      <c r="J77" s="20" t="n">
        <v>0</v>
      </c>
      <c r="K77" s="18" t="n">
        <v>6.07415095</v>
      </c>
      <c r="L77" s="20" t="n">
        <v>0.98261431</v>
      </c>
      <c r="M77" s="18" t="n">
        <v>0</v>
      </c>
      <c r="N77" s="20" t="n">
        <v>0</v>
      </c>
      <c r="O77" s="18" t="n">
        <v>0</v>
      </c>
      <c r="P77" s="20" t="n">
        <v>0</v>
      </c>
      <c r="Q77" s="18" t="n">
        <v>2.06191528</v>
      </c>
      <c r="R77" s="20" t="n">
        <v>0.4206178</v>
      </c>
    </row>
    <row r="78" spans="1:18">
      <c r="A78" s="15" t="s">
        <v>638</v>
      </c>
      <c r="B78" s="17" t="n">
        <v>14167</v>
      </c>
      <c r="C78" s="18">
        <f>(11037.0/B78*100)</f>
        <v/>
      </c>
      <c r="D78" s="19" t="n">
        <v>3130</v>
      </c>
      <c r="E78" s="18" t="n">
        <v>42.36754964</v>
      </c>
      <c r="F78" s="20" t="n">
        <v>1.06394915</v>
      </c>
      <c r="G78" s="18" t="n">
        <v>53.97688724</v>
      </c>
      <c r="H78" s="20" t="n">
        <v>1.13138153</v>
      </c>
      <c r="I78" s="18" t="n">
        <v>0</v>
      </c>
      <c r="J78" s="20" t="n">
        <v>0</v>
      </c>
      <c r="K78" s="18" t="n">
        <v>2.26157544</v>
      </c>
      <c r="L78" s="20" t="n">
        <v>0.30997764</v>
      </c>
      <c r="M78" s="18" t="n">
        <v>0</v>
      </c>
      <c r="N78" s="20" t="n">
        <v>0</v>
      </c>
      <c r="O78" s="18" t="n">
        <v>0</v>
      </c>
      <c r="P78" s="20" t="n">
        <v>0</v>
      </c>
      <c r="Q78" s="18" t="n">
        <v>1.39398768</v>
      </c>
      <c r="R78" s="20" t="n">
        <v>0.25435065</v>
      </c>
    </row>
    <row r="79" spans="1:18">
      <c r="A79" s="15" t="s">
        <v>639</v>
      </c>
      <c r="B79" s="17" t="n">
        <v>6062</v>
      </c>
      <c r="C79" s="18">
        <f>(4807.0/B79*100)</f>
        <v/>
      </c>
      <c r="D79" s="19" t="n">
        <v>1255</v>
      </c>
      <c r="E79" s="18" t="n">
        <v>45.02708053</v>
      </c>
      <c r="F79" s="20" t="n">
        <v>1.49417675</v>
      </c>
      <c r="G79" s="18" t="n">
        <v>49.25773116</v>
      </c>
      <c r="H79" s="20" t="n">
        <v>1.42340435</v>
      </c>
      <c r="I79" s="18" t="n">
        <v>0</v>
      </c>
      <c r="J79" s="20" t="n">
        <v>0</v>
      </c>
      <c r="K79" s="18" t="n">
        <v>4.02144552</v>
      </c>
      <c r="L79" s="20" t="n">
        <v>0.59415065</v>
      </c>
      <c r="M79" s="18" t="n">
        <v>0</v>
      </c>
      <c r="N79" s="20" t="n">
        <v>0</v>
      </c>
      <c r="O79" s="18" t="n">
        <v>0</v>
      </c>
      <c r="P79" s="20" t="n">
        <v>0</v>
      </c>
      <c r="Q79" s="18" t="n">
        <v>1.6937428</v>
      </c>
      <c r="R79" s="20" t="n">
        <v>0.36583301</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(25387.0/B82*100)</f>
        <v/>
      </c>
      <c r="D82" s="19" t="n">
        <v>6943</v>
      </c>
      <c r="E82" s="18" t="n">
        <v>30.89428907</v>
      </c>
      <c r="F82" s="20" t="n">
        <v>0.77474566</v>
      </c>
      <c r="G82" s="18" t="n">
        <v>66.89391764</v>
      </c>
      <c r="H82" s="20" t="n">
        <v>0.74904012</v>
      </c>
      <c r="I82" s="18" t="n">
        <v>0</v>
      </c>
      <c r="J82" s="20" t="n">
        <v>0</v>
      </c>
      <c r="K82" s="18" t="n">
        <v>1.30601475</v>
      </c>
      <c r="L82" s="20" t="n">
        <v>0.21100234</v>
      </c>
      <c r="M82" s="18" t="n">
        <v>0</v>
      </c>
      <c r="N82" s="20" t="n">
        <v>0</v>
      </c>
      <c r="O82" s="18" t="n">
        <v>0</v>
      </c>
      <c r="P82" s="20" t="n">
        <v>0</v>
      </c>
      <c r="Q82" s="18" t="n">
        <v>0.90577854</v>
      </c>
      <c r="R82" s="20" t="n">
        <v>0.18929996</v>
      </c>
    </row>
    <row r="83" spans="1:18">
      <c r="A83" s="15" t="s">
        <v>643</v>
      </c>
      <c r="B83" s="17" t="n">
        <v>1652</v>
      </c>
      <c r="C83" s="18">
        <f>(1295.0/B83*100)</f>
        <v/>
      </c>
      <c r="D83" s="19" t="n">
        <v>357</v>
      </c>
      <c r="E83" s="18" t="n">
        <v>24.44815055</v>
      </c>
      <c r="F83" s="20" t="n">
        <v>2.52721947</v>
      </c>
      <c r="G83" s="18" t="n">
        <v>73.76033206</v>
      </c>
      <c r="H83" s="20" t="n">
        <v>2.51309368</v>
      </c>
      <c r="I83" s="18" t="n">
        <v>0</v>
      </c>
      <c r="J83" s="20" t="n">
        <v>0</v>
      </c>
      <c r="K83" s="18" t="n">
        <v>0.8248353899999999</v>
      </c>
      <c r="L83" s="20" t="n">
        <v>0.48885659</v>
      </c>
      <c r="M83" s="18" t="n">
        <v>0</v>
      </c>
      <c r="N83" s="20" t="n">
        <v>0</v>
      </c>
      <c r="O83" s="18" t="n">
        <v>0</v>
      </c>
      <c r="P83" s="20" t="n">
        <v>0</v>
      </c>
      <c r="Q83" s="18" t="n">
        <v>0.966682</v>
      </c>
      <c r="R83" s="20" t="n">
        <v>0.49687769</v>
      </c>
    </row>
    <row r="84" spans="1:18">
      <c r="A84" s="23" t="s">
        <v>644</v>
      </c>
      <c r="B84" s="24" t="n">
        <v>1887</v>
      </c>
      <c r="C84" s="25">
        <f>(1505.0/B84*100)</f>
        <v/>
      </c>
      <c r="D84" s="19" t="n">
        <v>382</v>
      </c>
      <c r="E84" s="18" t="n">
        <v>31.34905213</v>
      </c>
      <c r="F84" s="20" t="n">
        <v>2.5771318</v>
      </c>
      <c r="G84" s="18" t="n">
        <v>67.59337094999999</v>
      </c>
      <c r="H84" s="20" t="n">
        <v>2.79184698</v>
      </c>
      <c r="I84" s="18" t="n">
        <v>0</v>
      </c>
      <c r="J84" s="20" t="n">
        <v>0</v>
      </c>
      <c r="K84" s="18" t="n">
        <v>0.46733422</v>
      </c>
      <c r="L84" s="20" t="n">
        <v>0.33475575</v>
      </c>
      <c r="M84" s="18" t="n">
        <v>0</v>
      </c>
      <c r="N84" s="20" t="n">
        <v>0</v>
      </c>
      <c r="O84" s="18" t="n">
        <v>0</v>
      </c>
      <c r="P84" s="20" t="n">
        <v>0</v>
      </c>
      <c r="Q84" s="18" t="n">
        <v>0.59024269</v>
      </c>
      <c r="R84" s="20" t="n">
        <v>0.40325239</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(11486.0/B7*100)</f>
        <v/>
      </c>
      <c r="D7" s="19" t="n">
        <v>3044</v>
      </c>
      <c r="E7" s="18" t="n">
        <v>31.45539992</v>
      </c>
      <c r="F7" s="20" t="n">
        <v>1.0115739</v>
      </c>
      <c r="G7" s="18" t="n">
        <v>65.18619567</v>
      </c>
      <c r="H7" s="20" t="n">
        <v>1.02970788</v>
      </c>
      <c r="I7" s="18" t="n">
        <v>0</v>
      </c>
      <c r="J7" s="20" t="n">
        <v>0</v>
      </c>
      <c r="K7" s="18" t="n">
        <v>3.34215869</v>
      </c>
      <c r="L7" s="20" t="n">
        <v>0.38038306</v>
      </c>
      <c r="M7" s="18" t="n">
        <v>0.01624572</v>
      </c>
      <c r="N7" s="20" t="n">
        <v>0.008003140000000001</v>
      </c>
      <c r="O7" s="18" t="n">
        <v>0</v>
      </c>
      <c r="P7" s="20" t="n">
        <v>0</v>
      </c>
      <c r="Q7" s="18" t="n">
        <v>0</v>
      </c>
      <c r="R7" s="20" t="n">
        <v>0</v>
      </c>
    </row>
    <row r="8" spans="1:18">
      <c r="A8" s="15" t="s">
        <v>566</v>
      </c>
      <c r="B8" s="17" t="n">
        <v>7007</v>
      </c>
      <c r="C8" s="18">
        <f>(5480.0/B8*100)</f>
        <v/>
      </c>
      <c r="D8" s="19" t="n">
        <v>1527</v>
      </c>
      <c r="E8" s="18" t="n">
        <v>53.02882676</v>
      </c>
      <c r="F8" s="20" t="n">
        <v>1.8717988</v>
      </c>
      <c r="G8" s="18" t="n">
        <v>43.78926123</v>
      </c>
      <c r="H8" s="20" t="n">
        <v>1.70162168</v>
      </c>
      <c r="I8" s="18" t="n">
        <v>0</v>
      </c>
      <c r="J8" s="20" t="n">
        <v>0</v>
      </c>
      <c r="K8" s="18" t="n">
        <v>3.18191201</v>
      </c>
      <c r="L8" s="20" t="n">
        <v>0.83518006</v>
      </c>
      <c r="M8" s="18" t="n">
        <v>0</v>
      </c>
      <c r="N8" s="20" t="n">
        <v>0</v>
      </c>
      <c r="O8" s="18" t="n">
        <v>0</v>
      </c>
      <c r="P8" s="20" t="n">
        <v>0</v>
      </c>
      <c r="Q8" s="18" t="n">
        <v>0</v>
      </c>
      <c r="R8" s="20" t="n">
        <v>0</v>
      </c>
    </row>
    <row r="9" spans="1:18">
      <c r="A9" s="15" t="s">
        <v>567</v>
      </c>
      <c r="B9" s="17" t="n">
        <v>9651</v>
      </c>
      <c r="C9" s="18">
        <f>(7653.0/B9*100)</f>
        <v/>
      </c>
      <c r="D9" s="19" t="n">
        <v>1998</v>
      </c>
      <c r="E9" s="18" t="n">
        <v>34.69805557</v>
      </c>
      <c r="F9" s="20" t="n">
        <v>1.26825061</v>
      </c>
      <c r="G9" s="18" t="n">
        <v>61.57789468</v>
      </c>
      <c r="H9" s="20" t="n">
        <v>1.28633931</v>
      </c>
      <c r="I9" s="18" t="n">
        <v>0</v>
      </c>
      <c r="J9" s="20" t="n">
        <v>0</v>
      </c>
      <c r="K9" s="18" t="n">
        <v>3.31945715</v>
      </c>
      <c r="L9" s="20" t="n">
        <v>0.5170657</v>
      </c>
      <c r="M9" s="18" t="n">
        <v>0.4045926</v>
      </c>
      <c r="N9" s="20" t="n">
        <v>0.13752835</v>
      </c>
      <c r="O9" s="18" t="n">
        <v>0</v>
      </c>
      <c r="P9" s="20" t="n">
        <v>0</v>
      </c>
      <c r="Q9" s="18" t="n">
        <v>0</v>
      </c>
      <c r="R9" s="20" t="n">
        <v>0</v>
      </c>
    </row>
    <row r="10" spans="1:18">
      <c r="A10" s="15" t="s">
        <v>568</v>
      </c>
      <c r="B10" s="17" t="n">
        <v>20058</v>
      </c>
      <c r="C10" s="18">
        <f>(15667.0/B10*100)</f>
        <v/>
      </c>
      <c r="D10" s="19" t="n">
        <v>4391</v>
      </c>
      <c r="E10" s="18" t="n">
        <v>30.23962367</v>
      </c>
      <c r="F10" s="20" t="n">
        <v>1.15704268</v>
      </c>
      <c r="G10" s="18" t="n">
        <v>67.78836346</v>
      </c>
      <c r="H10" s="20" t="n">
        <v>1.20108568</v>
      </c>
      <c r="I10" s="18" t="n">
        <v>0</v>
      </c>
      <c r="J10" s="20" t="n">
        <v>0</v>
      </c>
      <c r="K10" s="18" t="n">
        <v>1.96911233</v>
      </c>
      <c r="L10" s="20" t="n">
        <v>0.29439595</v>
      </c>
      <c r="M10" s="18" t="n">
        <v>0.00290053</v>
      </c>
      <c r="N10" s="20" t="n">
        <v>0.00414378</v>
      </c>
      <c r="O10" s="18" t="n">
        <v>0</v>
      </c>
      <c r="P10" s="20" t="n">
        <v>0</v>
      </c>
      <c r="Q10" s="18" t="n">
        <v>0</v>
      </c>
      <c r="R10" s="20" t="n">
        <v>0</v>
      </c>
    </row>
    <row r="11" spans="1:18">
      <c r="A11" s="15" t="s">
        <v>569</v>
      </c>
      <c r="B11" s="17" t="n">
        <v>7053</v>
      </c>
      <c r="C11" s="18">
        <f>(5552.0/B11*100)</f>
        <v/>
      </c>
      <c r="D11" s="19" t="n">
        <v>1501</v>
      </c>
      <c r="E11" s="18" t="n">
        <v>64.96426628</v>
      </c>
      <c r="F11" s="20" t="n">
        <v>1.42364542</v>
      </c>
      <c r="G11" s="18" t="n">
        <v>28.60262643</v>
      </c>
      <c r="H11" s="20" t="n">
        <v>1.41230976</v>
      </c>
      <c r="I11" s="18" t="n">
        <v>0</v>
      </c>
      <c r="J11" s="20" t="n">
        <v>0</v>
      </c>
      <c r="K11" s="18" t="n">
        <v>6.4041146</v>
      </c>
      <c r="L11" s="20" t="n">
        <v>0.7614767099999999</v>
      </c>
      <c r="M11" s="18" t="n">
        <v>0.02899269</v>
      </c>
      <c r="N11" s="20" t="n">
        <v>0.03163565</v>
      </c>
      <c r="O11" s="18" t="n">
        <v>0</v>
      </c>
      <c r="P11" s="20" t="n">
        <v>0</v>
      </c>
      <c r="Q11" s="18" t="n">
        <v>0</v>
      </c>
      <c r="R11" s="20" t="n">
        <v>0</v>
      </c>
    </row>
    <row r="12" spans="1:18">
      <c r="A12" s="15" t="s">
        <v>570</v>
      </c>
      <c r="B12" s="17" t="n">
        <v>6894</v>
      </c>
      <c r="C12" s="18">
        <f>(5445.0/B12*100)</f>
        <v/>
      </c>
      <c r="D12" s="19" t="n">
        <v>1449</v>
      </c>
      <c r="E12" s="18" t="n">
        <v>61.96567979</v>
      </c>
      <c r="F12" s="20" t="n">
        <v>1.57232511</v>
      </c>
      <c r="G12" s="18" t="n">
        <v>36.11741101</v>
      </c>
      <c r="H12" s="20" t="n">
        <v>1.54510089</v>
      </c>
      <c r="I12" s="18" t="n">
        <v>0</v>
      </c>
      <c r="J12" s="20" t="n">
        <v>0</v>
      </c>
      <c r="K12" s="18" t="n">
        <v>1.89129608</v>
      </c>
      <c r="L12" s="20" t="n">
        <v>0.34922868</v>
      </c>
      <c r="M12" s="18" t="n">
        <v>0.02561313</v>
      </c>
      <c r="N12" s="20" t="n">
        <v>0.02569563</v>
      </c>
      <c r="O12" s="18" t="n">
        <v>0</v>
      </c>
      <c r="P12" s="20" t="n">
        <v>0</v>
      </c>
      <c r="Q12" s="18" t="n">
        <v>0</v>
      </c>
      <c r="R12" s="20" t="n">
        <v>0</v>
      </c>
    </row>
    <row r="13" spans="1:18">
      <c r="A13" s="15" t="s">
        <v>571</v>
      </c>
      <c r="B13" s="17" t="n">
        <v>7161</v>
      </c>
      <c r="C13" s="18">
        <f>(5738.0/B13*100)</f>
        <v/>
      </c>
      <c r="D13" s="19" t="n">
        <v>1423</v>
      </c>
      <c r="E13" s="18" t="n">
        <v>40.86540408</v>
      </c>
      <c r="F13" s="20" t="n">
        <v>1.80680129</v>
      </c>
      <c r="G13" s="18" t="n">
        <v>55.87589368</v>
      </c>
      <c r="H13" s="20" t="n">
        <v>1.78730971</v>
      </c>
      <c r="I13" s="18" t="n">
        <v>0</v>
      </c>
      <c r="J13" s="20" t="n">
        <v>0</v>
      </c>
      <c r="K13" s="18" t="n">
        <v>3.22115973</v>
      </c>
      <c r="L13" s="20" t="n">
        <v>0.43283218</v>
      </c>
      <c r="M13" s="18" t="n">
        <v>0.03754252</v>
      </c>
      <c r="N13" s="20" t="n">
        <v>0.03607635</v>
      </c>
      <c r="O13" s="18" t="n">
        <v>0</v>
      </c>
      <c r="P13" s="20" t="n">
        <v>0</v>
      </c>
      <c r="Q13" s="18" t="n">
        <v>0</v>
      </c>
      <c r="R13" s="20" t="n">
        <v>0</v>
      </c>
    </row>
    <row r="14" spans="1:18">
      <c r="A14" s="15" t="s">
        <v>572</v>
      </c>
      <c r="B14" s="17" t="n">
        <v>5587</v>
      </c>
      <c r="C14" s="18">
        <f>(4341.0/B14*100)</f>
        <v/>
      </c>
      <c r="D14" s="19" t="n">
        <v>1246</v>
      </c>
      <c r="E14" s="18" t="n">
        <v>29.89101391</v>
      </c>
      <c r="F14" s="20" t="n">
        <v>1.58133444</v>
      </c>
      <c r="G14" s="18" t="n">
        <v>69.13436732</v>
      </c>
      <c r="H14" s="20" t="n">
        <v>1.58400784</v>
      </c>
      <c r="I14" s="18" t="n">
        <v>0</v>
      </c>
      <c r="J14" s="20" t="n">
        <v>0</v>
      </c>
      <c r="K14" s="18" t="n">
        <v>0.97461877</v>
      </c>
      <c r="L14" s="20" t="n">
        <v>0.26993897</v>
      </c>
      <c r="M14" s="18" t="n">
        <v>0</v>
      </c>
      <c r="N14" s="20" t="n">
        <v>0</v>
      </c>
      <c r="O14" s="18" t="n">
        <v>0</v>
      </c>
      <c r="P14" s="20" t="n">
        <v>0</v>
      </c>
      <c r="Q14" s="18" t="n">
        <v>0</v>
      </c>
      <c r="R14" s="20" t="n">
        <v>0</v>
      </c>
    </row>
    <row r="15" spans="1:18">
      <c r="A15" s="15" t="s">
        <v>573</v>
      </c>
      <c r="B15" s="17" t="n">
        <v>5882</v>
      </c>
      <c r="C15" s="18">
        <f>(4546.0/B15*100)</f>
        <v/>
      </c>
      <c r="D15" s="19" t="n">
        <v>1336</v>
      </c>
      <c r="E15" s="18" t="n">
        <v>34.79447909</v>
      </c>
      <c r="F15" s="20" t="n">
        <v>1.63562306</v>
      </c>
      <c r="G15" s="18" t="n">
        <v>63.91368667</v>
      </c>
      <c r="H15" s="20" t="n">
        <v>1.60025871</v>
      </c>
      <c r="I15" s="18" t="n">
        <v>0</v>
      </c>
      <c r="J15" s="20" t="n">
        <v>0</v>
      </c>
      <c r="K15" s="18" t="n">
        <v>1.29183425</v>
      </c>
      <c r="L15" s="20" t="n">
        <v>0.38147962</v>
      </c>
      <c r="M15" s="18" t="n">
        <v>0</v>
      </c>
      <c r="N15" s="20" t="n">
        <v>0</v>
      </c>
      <c r="O15" s="18" t="n">
        <v>0</v>
      </c>
      <c r="P15" s="20" t="n">
        <v>0</v>
      </c>
      <c r="Q15" s="18" t="n">
        <v>0</v>
      </c>
      <c r="R15" s="20" t="n">
        <v>0</v>
      </c>
    </row>
    <row r="16" spans="1:18">
      <c r="A16" s="15" t="s">
        <v>574</v>
      </c>
      <c r="B16" s="17" t="n">
        <v>6108</v>
      </c>
      <c r="C16" s="18">
        <f>(4790.0/B16*100)</f>
        <v/>
      </c>
      <c r="D16" s="19" t="n">
        <v>1318</v>
      </c>
      <c r="E16" s="18" t="n">
        <v>33.8230629</v>
      </c>
      <c r="F16" s="20" t="n">
        <v>1.19355286</v>
      </c>
      <c r="G16" s="18" t="n">
        <v>60.65574572</v>
      </c>
      <c r="H16" s="20" t="n">
        <v>1.27376567</v>
      </c>
      <c r="I16" s="18" t="n">
        <v>0</v>
      </c>
      <c r="J16" s="20" t="n">
        <v>0</v>
      </c>
      <c r="K16" s="18" t="n">
        <v>5.52119138</v>
      </c>
      <c r="L16" s="20" t="n">
        <v>0.70434044</v>
      </c>
      <c r="M16" s="18" t="n">
        <v>0</v>
      </c>
      <c r="N16" s="20" t="n">
        <v>0</v>
      </c>
      <c r="O16" s="18" t="n">
        <v>0</v>
      </c>
      <c r="P16" s="20" t="n">
        <v>0</v>
      </c>
      <c r="Q16" s="18" t="n">
        <v>0</v>
      </c>
      <c r="R16" s="20" t="n">
        <v>0</v>
      </c>
    </row>
    <row r="17" spans="1:18">
      <c r="A17" s="15" t="s">
        <v>575</v>
      </c>
      <c r="B17" s="17" t="n">
        <v>6504</v>
      </c>
      <c r="C17" s="18">
        <f>(5167.0/B17*100)</f>
        <v/>
      </c>
      <c r="D17" s="19" t="n">
        <v>1337</v>
      </c>
      <c r="E17" s="18" t="n">
        <v>38.77162365</v>
      </c>
      <c r="F17" s="20" t="n">
        <v>1.47667696</v>
      </c>
      <c r="G17" s="18" t="n">
        <v>56.71243737</v>
      </c>
      <c r="H17" s="20" t="n">
        <v>1.53584347</v>
      </c>
      <c r="I17" s="18" t="n">
        <v>0</v>
      </c>
      <c r="J17" s="20" t="n">
        <v>0</v>
      </c>
      <c r="K17" s="18" t="n">
        <v>4.51593899</v>
      </c>
      <c r="L17" s="20" t="n">
        <v>0.56769998</v>
      </c>
      <c r="M17" s="18" t="n">
        <v>0</v>
      </c>
      <c r="N17" s="20" t="n">
        <v>0</v>
      </c>
      <c r="O17" s="18" t="n">
        <v>0</v>
      </c>
      <c r="P17" s="20" t="n">
        <v>0</v>
      </c>
      <c r="Q17" s="18" t="n">
        <v>0</v>
      </c>
      <c r="R17" s="20" t="n">
        <v>0</v>
      </c>
    </row>
    <row r="18" spans="1:18">
      <c r="A18" s="15" t="s">
        <v>576</v>
      </c>
      <c r="B18" s="17" t="n">
        <v>5532</v>
      </c>
      <c r="C18" s="18">
        <f>(4337.0/B18*100)</f>
        <v/>
      </c>
      <c r="D18" s="19" t="n">
        <v>1195</v>
      </c>
      <c r="E18" s="18" t="n">
        <v>58.06873024</v>
      </c>
      <c r="F18" s="20" t="n">
        <v>1.64112171</v>
      </c>
      <c r="G18" s="18" t="n">
        <v>39.60147517</v>
      </c>
      <c r="H18" s="20" t="n">
        <v>1.64891145</v>
      </c>
      <c r="I18" s="18" t="n">
        <v>0</v>
      </c>
      <c r="J18" s="20" t="n">
        <v>0</v>
      </c>
      <c r="K18" s="18" t="n">
        <v>2.32979459</v>
      </c>
      <c r="L18" s="20" t="n">
        <v>0.55725406</v>
      </c>
      <c r="M18" s="18" t="n">
        <v>0</v>
      </c>
      <c r="N18" s="20" t="n">
        <v>0</v>
      </c>
      <c r="O18" s="18" t="n">
        <v>0</v>
      </c>
      <c r="P18" s="20" t="n">
        <v>0</v>
      </c>
      <c r="Q18" s="18" t="n">
        <v>0</v>
      </c>
      <c r="R18" s="20" t="n">
        <v>0</v>
      </c>
    </row>
    <row r="19" spans="1:18">
      <c r="A19" s="15" t="s">
        <v>577</v>
      </c>
      <c r="B19" s="17" t="n">
        <v>5658</v>
      </c>
      <c r="C19" s="18">
        <f>(4416.0/B19*100)</f>
        <v/>
      </c>
      <c r="D19" s="19" t="n">
        <v>1242</v>
      </c>
      <c r="E19" s="18" t="n">
        <v>49.92651426</v>
      </c>
      <c r="F19" s="20" t="n">
        <v>1.69832932</v>
      </c>
      <c r="G19" s="18" t="n">
        <v>48.46407885</v>
      </c>
      <c r="H19" s="20" t="n">
        <v>1.74343363</v>
      </c>
      <c r="I19" s="18" t="n">
        <v>0</v>
      </c>
      <c r="J19" s="20" t="n">
        <v>0</v>
      </c>
      <c r="K19" s="18" t="n">
        <v>1.60940688</v>
      </c>
      <c r="L19" s="20" t="n">
        <v>0.38356211</v>
      </c>
      <c r="M19" s="18" t="n">
        <v>0</v>
      </c>
      <c r="N19" s="20" t="n">
        <v>0</v>
      </c>
      <c r="O19" s="18" t="n">
        <v>0</v>
      </c>
      <c r="P19" s="20" t="n">
        <v>0</v>
      </c>
      <c r="Q19" s="18" t="n">
        <v>0</v>
      </c>
      <c r="R19" s="20" t="n">
        <v>0</v>
      </c>
    </row>
    <row r="20" spans="1:18">
      <c r="A20" s="15" t="s">
        <v>578</v>
      </c>
      <c r="B20" s="17" t="n">
        <v>3371</v>
      </c>
      <c r="C20" s="18">
        <f>(2655.0/B20*100)</f>
        <v/>
      </c>
      <c r="D20" s="19" t="n">
        <v>716</v>
      </c>
      <c r="E20" s="18" t="n">
        <v>51.83915116</v>
      </c>
      <c r="F20" s="20" t="n">
        <v>1.86918424</v>
      </c>
      <c r="G20" s="18" t="n">
        <v>45.6599927</v>
      </c>
      <c r="H20" s="20" t="n">
        <v>1.89471936</v>
      </c>
      <c r="I20" s="18" t="n">
        <v>0</v>
      </c>
      <c r="J20" s="20" t="n">
        <v>0</v>
      </c>
      <c r="K20" s="18" t="n">
        <v>2.28534385</v>
      </c>
      <c r="L20" s="20" t="n">
        <v>0.49095329</v>
      </c>
      <c r="M20" s="18" t="n">
        <v>0.21551229</v>
      </c>
      <c r="N20" s="20" t="n">
        <v>0.2089908</v>
      </c>
      <c r="O20" s="18" t="n">
        <v>0</v>
      </c>
      <c r="P20" s="20" t="n">
        <v>0</v>
      </c>
      <c r="Q20" s="18" t="n">
        <v>0</v>
      </c>
      <c r="R20" s="20" t="n">
        <v>0</v>
      </c>
    </row>
    <row r="21" spans="1:18">
      <c r="A21" s="15" t="s">
        <v>579</v>
      </c>
      <c r="B21" s="17" t="n">
        <v>5741</v>
      </c>
      <c r="C21" s="18">
        <f>(4500.0/B21*100)</f>
        <v/>
      </c>
      <c r="D21" s="19" t="n">
        <v>1241</v>
      </c>
      <c r="E21" s="18" t="n">
        <v>26.1848737</v>
      </c>
      <c r="F21" s="20" t="n">
        <v>1.22400284</v>
      </c>
      <c r="G21" s="18" t="n">
        <v>69.47999163</v>
      </c>
      <c r="H21" s="20" t="n">
        <v>1.31968019</v>
      </c>
      <c r="I21" s="18" t="n">
        <v>0</v>
      </c>
      <c r="J21" s="20" t="n">
        <v>0</v>
      </c>
      <c r="K21" s="18" t="n">
        <v>4.33513468</v>
      </c>
      <c r="L21" s="20" t="n">
        <v>0.56392748</v>
      </c>
      <c r="M21" s="18" t="n">
        <v>0</v>
      </c>
      <c r="N21" s="20" t="n">
        <v>0</v>
      </c>
      <c r="O21" s="18" t="n">
        <v>0</v>
      </c>
      <c r="P21" s="20" t="n">
        <v>0</v>
      </c>
      <c r="Q21" s="18" t="n">
        <v>0</v>
      </c>
      <c r="R21" s="20" t="n">
        <v>0</v>
      </c>
    </row>
    <row r="22" spans="1:18">
      <c r="A22" s="15" t="s">
        <v>580</v>
      </c>
      <c r="B22" s="17" t="n">
        <v>6598</v>
      </c>
      <c r="C22" s="18">
        <f>(5259.0/B22*100)</f>
        <v/>
      </c>
      <c r="D22" s="19" t="n">
        <v>1339</v>
      </c>
      <c r="E22" s="18" t="n">
        <v>45.86537178</v>
      </c>
      <c r="F22" s="20" t="n">
        <v>1.54027315</v>
      </c>
      <c r="G22" s="18" t="n">
        <v>48.71675933</v>
      </c>
      <c r="H22" s="20" t="n">
        <v>1.7234787</v>
      </c>
      <c r="I22" s="18" t="n">
        <v>0</v>
      </c>
      <c r="J22" s="20" t="n">
        <v>0</v>
      </c>
      <c r="K22" s="18" t="n">
        <v>5.41786889</v>
      </c>
      <c r="L22" s="20" t="n">
        <v>0.83316758</v>
      </c>
      <c r="M22" s="18" t="n">
        <v>0</v>
      </c>
      <c r="N22" s="20" t="n">
        <v>0</v>
      </c>
      <c r="O22" s="18" t="n">
        <v>0</v>
      </c>
      <c r="P22" s="20" t="n">
        <v>0</v>
      </c>
      <c r="Q22" s="18" t="n">
        <v>0</v>
      </c>
      <c r="R22" s="20" t="n">
        <v>0</v>
      </c>
    </row>
    <row r="23" spans="1:18">
      <c r="A23" s="15" t="s">
        <v>581</v>
      </c>
      <c r="B23" s="17" t="n">
        <v>11583</v>
      </c>
      <c r="C23" s="18">
        <f>(9075.0/B23*100)</f>
        <v/>
      </c>
      <c r="D23" s="19" t="n">
        <v>2508</v>
      </c>
      <c r="E23" s="18" t="n">
        <v>47.70657664</v>
      </c>
      <c r="F23" s="20" t="n">
        <v>1.30321844</v>
      </c>
      <c r="G23" s="18" t="n">
        <v>45.06507436</v>
      </c>
      <c r="H23" s="20" t="n">
        <v>1.29939931</v>
      </c>
      <c r="I23" s="18" t="n">
        <v>0</v>
      </c>
      <c r="J23" s="20" t="n">
        <v>0</v>
      </c>
      <c r="K23" s="18" t="n">
        <v>6.14520123</v>
      </c>
      <c r="L23" s="20" t="n">
        <v>0.69433725</v>
      </c>
      <c r="M23" s="18" t="n">
        <v>1.08314777</v>
      </c>
      <c r="N23" s="20" t="n">
        <v>0.67207938</v>
      </c>
      <c r="O23" s="18" t="n">
        <v>0</v>
      </c>
      <c r="P23" s="20" t="n">
        <v>0</v>
      </c>
      <c r="Q23" s="18" t="n">
        <v>0</v>
      </c>
      <c r="R23" s="20" t="n">
        <v>0</v>
      </c>
    </row>
    <row r="24" spans="1:18">
      <c r="A24" s="15" t="s">
        <v>582</v>
      </c>
      <c r="B24" s="17" t="n">
        <v>6647</v>
      </c>
      <c r="C24" s="18">
        <f>(5239.0/B24*100)</f>
        <v/>
      </c>
      <c r="D24" s="19" t="n">
        <v>1408</v>
      </c>
      <c r="E24" s="18" t="n">
        <v>28.59720938</v>
      </c>
      <c r="F24" s="20" t="n">
        <v>1.3607731</v>
      </c>
      <c r="G24" s="18" t="n">
        <v>68.25130086</v>
      </c>
      <c r="H24" s="20" t="n">
        <v>1.41194937</v>
      </c>
      <c r="I24" s="18" t="n">
        <v>0</v>
      </c>
      <c r="J24" s="20" t="n">
        <v>0</v>
      </c>
      <c r="K24" s="18" t="n">
        <v>3.15148977</v>
      </c>
      <c r="L24" s="20" t="n">
        <v>0.50118481</v>
      </c>
      <c r="M24" s="18" t="n">
        <v>0</v>
      </c>
      <c r="N24" s="20" t="n">
        <v>0</v>
      </c>
      <c r="O24" s="18" t="n">
        <v>0</v>
      </c>
      <c r="P24" s="20" t="n">
        <v>0</v>
      </c>
      <c r="Q24" s="18" t="n">
        <v>0</v>
      </c>
      <c r="R24" s="20" t="n">
        <v>0</v>
      </c>
    </row>
    <row r="25" spans="1:18">
      <c r="A25" s="15" t="s">
        <v>583</v>
      </c>
      <c r="B25" s="17" t="n">
        <v>5581</v>
      </c>
      <c r="C25" s="18">
        <f>(4366.0/B25*100)</f>
        <v/>
      </c>
      <c r="D25" s="19" t="n">
        <v>1215</v>
      </c>
      <c r="E25" s="18" t="n">
        <v>40.02880834</v>
      </c>
      <c r="F25" s="20" t="n">
        <v>1.46895097</v>
      </c>
      <c r="G25" s="18" t="n">
        <v>59.39606221</v>
      </c>
      <c r="H25" s="20" t="n">
        <v>1.50941538</v>
      </c>
      <c r="I25" s="18" t="n">
        <v>0</v>
      </c>
      <c r="J25" s="20" t="n">
        <v>0</v>
      </c>
      <c r="K25" s="18" t="n">
        <v>0.57512945</v>
      </c>
      <c r="L25" s="20" t="n">
        <v>0.22006869</v>
      </c>
      <c r="M25" s="18" t="n">
        <v>0</v>
      </c>
      <c r="N25" s="20" t="n">
        <v>0</v>
      </c>
      <c r="O25" s="18" t="n">
        <v>0</v>
      </c>
      <c r="P25" s="20" t="n">
        <v>0</v>
      </c>
      <c r="Q25" s="18" t="n">
        <v>0</v>
      </c>
      <c r="R25" s="20" t="n">
        <v>0</v>
      </c>
    </row>
    <row r="26" spans="1:18">
      <c r="A26" s="15" t="s">
        <v>584</v>
      </c>
      <c r="B26" s="17" t="n">
        <v>4869</v>
      </c>
      <c r="C26" s="18">
        <f>(3777.0/B26*100)</f>
        <v/>
      </c>
      <c r="D26" s="19" t="n">
        <v>1092</v>
      </c>
      <c r="E26" s="18" t="n">
        <v>46.72854287</v>
      </c>
      <c r="F26" s="20" t="n">
        <v>1.63528041</v>
      </c>
      <c r="G26" s="18" t="n">
        <v>52.9121338</v>
      </c>
      <c r="H26" s="20" t="n">
        <v>1.61475232</v>
      </c>
      <c r="I26" s="18" t="n">
        <v>0</v>
      </c>
      <c r="J26" s="20" t="n">
        <v>0</v>
      </c>
      <c r="K26" s="18" t="n">
        <v>0.35932333</v>
      </c>
      <c r="L26" s="20" t="n">
        <v>0.16401506</v>
      </c>
      <c r="M26" s="18" t="n">
        <v>0</v>
      </c>
      <c r="N26" s="20" t="n">
        <v>0</v>
      </c>
      <c r="O26" s="18" t="n">
        <v>0</v>
      </c>
      <c r="P26" s="20" t="n">
        <v>0</v>
      </c>
      <c r="Q26" s="18" t="n">
        <v>0</v>
      </c>
      <c r="R26" s="20" t="n">
        <v>0</v>
      </c>
    </row>
    <row r="27" spans="1:18">
      <c r="A27" s="15" t="s">
        <v>585</v>
      </c>
      <c r="B27" s="17" t="n">
        <v>5299</v>
      </c>
      <c r="C27" s="18">
        <f>(4224.0/B27*100)</f>
        <v/>
      </c>
      <c r="D27" s="19" t="n">
        <v>1075</v>
      </c>
      <c r="E27" s="18" t="n">
        <v>42.02714005</v>
      </c>
      <c r="F27" s="20" t="n">
        <v>1.46147484</v>
      </c>
      <c r="G27" s="18" t="n">
        <v>53.26827741</v>
      </c>
      <c r="H27" s="20" t="n">
        <v>1.44985821</v>
      </c>
      <c r="I27" s="18" t="n">
        <v>0</v>
      </c>
      <c r="J27" s="20" t="n">
        <v>0</v>
      </c>
      <c r="K27" s="18" t="n">
        <v>4.70458254</v>
      </c>
      <c r="L27" s="20" t="n">
        <v>0.69107332</v>
      </c>
      <c r="M27" s="18" t="n">
        <v>0</v>
      </c>
      <c r="N27" s="20" t="n">
        <v>0</v>
      </c>
      <c r="O27" s="18" t="n">
        <v>0</v>
      </c>
      <c r="P27" s="20" t="n">
        <v>0</v>
      </c>
      <c r="Q27" s="18" t="n">
        <v>0</v>
      </c>
      <c r="R27" s="20" t="n">
        <v>0</v>
      </c>
    </row>
    <row r="28" spans="1:18">
      <c r="A28" s="15" t="s">
        <v>586</v>
      </c>
      <c r="B28" s="17" t="n">
        <v>7568</v>
      </c>
      <c r="C28" s="18">
        <f>(6137.0/B28*100)</f>
        <v/>
      </c>
      <c r="D28" s="19" t="n">
        <v>1431</v>
      </c>
      <c r="E28" s="18" t="n">
        <v>76.97839589</v>
      </c>
      <c r="F28" s="20" t="n">
        <v>1.11050243</v>
      </c>
      <c r="G28" s="18" t="n">
        <v>20.38560153</v>
      </c>
      <c r="H28" s="20" t="n">
        <v>1.18476056</v>
      </c>
      <c r="I28" s="18" t="n">
        <v>0</v>
      </c>
      <c r="J28" s="20" t="n">
        <v>0</v>
      </c>
      <c r="K28" s="18" t="n">
        <v>2.58010832</v>
      </c>
      <c r="L28" s="20" t="n">
        <v>0.50352957</v>
      </c>
      <c r="M28" s="18" t="n">
        <v>0.05589426</v>
      </c>
      <c r="N28" s="20" t="n">
        <v>0.0557722</v>
      </c>
      <c r="O28" s="18" t="n">
        <v>0</v>
      </c>
      <c r="P28" s="20" t="n">
        <v>0</v>
      </c>
      <c r="Q28" s="18" t="n">
        <v>0</v>
      </c>
      <c r="R28" s="20" t="n">
        <v>0</v>
      </c>
    </row>
    <row r="29" spans="1:18">
      <c r="A29" s="15" t="s">
        <v>587</v>
      </c>
      <c r="B29" s="17" t="n">
        <v>5385</v>
      </c>
      <c r="C29" s="18">
        <f>(4213.0/B29*100)</f>
        <v/>
      </c>
      <c r="D29" s="19" t="n">
        <v>1172</v>
      </c>
      <c r="E29" s="18" t="n">
        <v>36.14259856</v>
      </c>
      <c r="F29" s="20" t="n">
        <v>1.67814585</v>
      </c>
      <c r="G29" s="18" t="n">
        <v>62.71916545</v>
      </c>
      <c r="H29" s="20" t="n">
        <v>1.75047236</v>
      </c>
      <c r="I29" s="18" t="n">
        <v>0</v>
      </c>
      <c r="J29" s="20" t="n">
        <v>0</v>
      </c>
      <c r="K29" s="18" t="n">
        <v>1.13823599</v>
      </c>
      <c r="L29" s="20" t="n">
        <v>0.33942108</v>
      </c>
      <c r="M29" s="18" t="n">
        <v>0</v>
      </c>
      <c r="N29" s="20" t="n">
        <v>0</v>
      </c>
      <c r="O29" s="18" t="n">
        <v>0</v>
      </c>
      <c r="P29" s="20" t="n">
        <v>0</v>
      </c>
      <c r="Q29" s="18" t="n">
        <v>0</v>
      </c>
      <c r="R29" s="20" t="n">
        <v>0</v>
      </c>
    </row>
    <row r="30" spans="1:18">
      <c r="A30" s="15" t="s">
        <v>588</v>
      </c>
      <c r="B30" s="17" t="n">
        <v>4520</v>
      </c>
      <c r="C30" s="18">
        <f>(3594.0/B30*100)</f>
        <v/>
      </c>
      <c r="D30" s="19" t="n">
        <v>926</v>
      </c>
      <c r="E30" s="18" t="n">
        <v>27.94157659</v>
      </c>
      <c r="F30" s="20" t="n">
        <v>1.45215283</v>
      </c>
      <c r="G30" s="18" t="n">
        <v>67.66626017</v>
      </c>
      <c r="H30" s="20" t="n">
        <v>1.61133546</v>
      </c>
      <c r="I30" s="18" t="n">
        <v>0</v>
      </c>
      <c r="J30" s="20" t="n">
        <v>0</v>
      </c>
      <c r="K30" s="18" t="n">
        <v>4.29166589</v>
      </c>
      <c r="L30" s="20" t="n">
        <v>0.70685282</v>
      </c>
      <c r="M30" s="18" t="n">
        <v>0.10049734</v>
      </c>
      <c r="N30" s="20" t="n">
        <v>0.09969346</v>
      </c>
      <c r="O30" s="18" t="n">
        <v>0</v>
      </c>
      <c r="P30" s="20" t="n">
        <v>0</v>
      </c>
      <c r="Q30" s="18" t="n">
        <v>0</v>
      </c>
      <c r="R30" s="20" t="n">
        <v>0</v>
      </c>
    </row>
    <row r="31" spans="1:18">
      <c r="A31" s="15" t="s">
        <v>589</v>
      </c>
      <c r="B31" s="17" t="n">
        <v>5456</v>
      </c>
      <c r="C31" s="18">
        <f>(4322.0/B31*100)</f>
        <v/>
      </c>
      <c r="D31" s="19" t="n">
        <v>1134</v>
      </c>
      <c r="E31" s="18" t="n">
        <v>41.9792531</v>
      </c>
      <c r="F31" s="20" t="n">
        <v>1.7149907</v>
      </c>
      <c r="G31" s="18" t="n">
        <v>54.67420534</v>
      </c>
      <c r="H31" s="20" t="n">
        <v>1.75128091</v>
      </c>
      <c r="I31" s="18" t="n">
        <v>0</v>
      </c>
      <c r="J31" s="20" t="n">
        <v>0</v>
      </c>
      <c r="K31" s="18" t="n">
        <v>3.00622342</v>
      </c>
      <c r="L31" s="20" t="n">
        <v>0.55642141</v>
      </c>
      <c r="M31" s="18" t="n">
        <v>0.34031814</v>
      </c>
      <c r="N31" s="20" t="n">
        <v>0.23324477</v>
      </c>
      <c r="O31" s="18" t="n">
        <v>0</v>
      </c>
      <c r="P31" s="20" t="n">
        <v>0</v>
      </c>
      <c r="Q31" s="18" t="n">
        <v>0</v>
      </c>
      <c r="R31" s="20" t="n">
        <v>0</v>
      </c>
    </row>
    <row r="32" spans="1:18">
      <c r="A32" s="15" t="s">
        <v>590</v>
      </c>
      <c r="B32" s="17" t="n">
        <v>4478</v>
      </c>
      <c r="C32" s="18">
        <f>(3559.0/B32*100)</f>
        <v/>
      </c>
      <c r="D32" s="19" t="n">
        <v>919</v>
      </c>
      <c r="E32" s="18" t="n">
        <v>48.3086124</v>
      </c>
      <c r="F32" s="20" t="n">
        <v>1.77658325</v>
      </c>
      <c r="G32" s="18" t="n">
        <v>50.54964353</v>
      </c>
      <c r="H32" s="20" t="n">
        <v>1.76662625</v>
      </c>
      <c r="I32" s="18" t="n">
        <v>0</v>
      </c>
      <c r="J32" s="20" t="n">
        <v>0</v>
      </c>
      <c r="K32" s="18" t="n">
        <v>1.14174407</v>
      </c>
      <c r="L32" s="20" t="n">
        <v>0.3789019</v>
      </c>
      <c r="M32" s="18" t="n">
        <v>0</v>
      </c>
      <c r="N32" s="20" t="n">
        <v>0</v>
      </c>
      <c r="O32" s="18" t="n">
        <v>0</v>
      </c>
      <c r="P32" s="20" t="n">
        <v>0</v>
      </c>
      <c r="Q32" s="18" t="n">
        <v>0</v>
      </c>
      <c r="R32" s="20" t="n">
        <v>0</v>
      </c>
    </row>
    <row r="33" spans="1:18">
      <c r="A33" s="15" t="s">
        <v>591</v>
      </c>
      <c r="B33" s="17" t="n">
        <v>7325</v>
      </c>
      <c r="C33" s="18">
        <f>(5829.0/B33*100)</f>
        <v/>
      </c>
      <c r="D33" s="19" t="n">
        <v>1496</v>
      </c>
      <c r="E33" s="18" t="n">
        <v>39.06996943</v>
      </c>
      <c r="F33" s="20" t="n">
        <v>1.56097903</v>
      </c>
      <c r="G33" s="18" t="n">
        <v>59.17462357</v>
      </c>
      <c r="H33" s="20" t="n">
        <v>1.65486863</v>
      </c>
      <c r="I33" s="18" t="n">
        <v>0</v>
      </c>
      <c r="J33" s="20" t="n">
        <v>0</v>
      </c>
      <c r="K33" s="18" t="n">
        <v>1.74939903</v>
      </c>
      <c r="L33" s="20" t="n">
        <v>0.42559559</v>
      </c>
      <c r="M33" s="18" t="n">
        <v>0.00600797</v>
      </c>
      <c r="N33" s="20" t="n">
        <v>0.00386615</v>
      </c>
      <c r="O33" s="18" t="n">
        <v>0</v>
      </c>
      <c r="P33" s="20" t="n">
        <v>0</v>
      </c>
      <c r="Q33" s="18" t="n">
        <v>0</v>
      </c>
      <c r="R33" s="20" t="n">
        <v>0</v>
      </c>
    </row>
    <row r="34" spans="1:18">
      <c r="A34" s="15" t="s">
        <v>592</v>
      </c>
      <c r="B34" s="17" t="n">
        <v>6350</v>
      </c>
      <c r="C34" s="18">
        <f>(5045.0/B34*100)</f>
        <v/>
      </c>
      <c r="D34" s="19" t="n">
        <v>1305</v>
      </c>
      <c r="E34" s="18" t="n">
        <v>66.91613618</v>
      </c>
      <c r="F34" s="20" t="n">
        <v>1.43761263</v>
      </c>
      <c r="G34" s="18" t="n">
        <v>30.98711195</v>
      </c>
      <c r="H34" s="20" t="n">
        <v>1.43776006</v>
      </c>
      <c r="I34" s="18" t="n">
        <v>0</v>
      </c>
      <c r="J34" s="20" t="n">
        <v>0</v>
      </c>
      <c r="K34" s="18" t="n">
        <v>1.87215154</v>
      </c>
      <c r="L34" s="20" t="n">
        <v>0.39007198</v>
      </c>
      <c r="M34" s="18" t="n">
        <v>0.22460033</v>
      </c>
      <c r="N34" s="20" t="n">
        <v>0.16817737</v>
      </c>
      <c r="O34" s="18" t="n">
        <v>0</v>
      </c>
      <c r="P34" s="20" t="n">
        <v>0</v>
      </c>
      <c r="Q34" s="18" t="n">
        <v>0</v>
      </c>
      <c r="R34" s="20" t="n">
        <v>0</v>
      </c>
    </row>
    <row r="35" spans="1:18">
      <c r="A35" s="15" t="s">
        <v>593</v>
      </c>
      <c r="B35" s="17" t="n">
        <v>6406</v>
      </c>
      <c r="C35" s="18">
        <f>(4982.0/B35*100)</f>
        <v/>
      </c>
      <c r="D35" s="19" t="n">
        <v>1424</v>
      </c>
      <c r="E35" s="18" t="n">
        <v>46.01659551</v>
      </c>
      <c r="F35" s="20" t="n">
        <v>1.40438861</v>
      </c>
      <c r="G35" s="18" t="n">
        <v>52.79899951</v>
      </c>
      <c r="H35" s="20" t="n">
        <v>1.44592522</v>
      </c>
      <c r="I35" s="18" t="n">
        <v>0</v>
      </c>
      <c r="J35" s="20" t="n">
        <v>0</v>
      </c>
      <c r="K35" s="18" t="n">
        <v>1.06518968</v>
      </c>
      <c r="L35" s="20" t="n">
        <v>0.24753421</v>
      </c>
      <c r="M35" s="18" t="n">
        <v>0.11921529</v>
      </c>
      <c r="N35" s="20" t="n">
        <v>0.11951424</v>
      </c>
      <c r="O35" s="18" t="n">
        <v>0</v>
      </c>
      <c r="P35" s="20" t="n">
        <v>0</v>
      </c>
      <c r="Q35" s="18" t="n">
        <v>0</v>
      </c>
      <c r="R35" s="20" t="n">
        <v>0</v>
      </c>
    </row>
    <row r="36" spans="1:18">
      <c r="A36" s="15" t="s">
        <v>594</v>
      </c>
      <c r="B36" s="17" t="n">
        <v>6736</v>
      </c>
      <c r="C36" s="18">
        <f>(5319.0/B36*100)</f>
        <v/>
      </c>
      <c r="D36" s="19" t="n">
        <v>1417</v>
      </c>
      <c r="E36" s="18" t="n">
        <v>40.76440092</v>
      </c>
      <c r="F36" s="20" t="n">
        <v>1.47576428</v>
      </c>
      <c r="G36" s="18" t="n">
        <v>55.6771213</v>
      </c>
      <c r="H36" s="20" t="n">
        <v>1.48380731</v>
      </c>
      <c r="I36" s="18" t="n">
        <v>0</v>
      </c>
      <c r="J36" s="20" t="n">
        <v>0</v>
      </c>
      <c r="K36" s="18" t="n">
        <v>3.49179237</v>
      </c>
      <c r="L36" s="20" t="n">
        <v>0.54071589</v>
      </c>
      <c r="M36" s="18" t="n">
        <v>0.06668542</v>
      </c>
      <c r="N36" s="20" t="n">
        <v>0.06639970000000001</v>
      </c>
      <c r="O36" s="18" t="n">
        <v>0</v>
      </c>
      <c r="P36" s="20" t="n">
        <v>0</v>
      </c>
      <c r="Q36" s="18" t="n">
        <v>0</v>
      </c>
      <c r="R36" s="20" t="n">
        <v>0</v>
      </c>
    </row>
    <row r="37" spans="1:18">
      <c r="A37" s="15" t="s">
        <v>595</v>
      </c>
      <c r="B37" s="17" t="n">
        <v>5458</v>
      </c>
      <c r="C37" s="18">
        <f>(4332.0/B37*100)</f>
        <v/>
      </c>
      <c r="D37" s="19" t="n">
        <v>1126</v>
      </c>
      <c r="E37" s="18" t="n">
        <v>47.00204797</v>
      </c>
      <c r="F37" s="20" t="n">
        <v>1.72006465</v>
      </c>
      <c r="G37" s="18" t="n">
        <v>48.01255526</v>
      </c>
      <c r="H37" s="20" t="n">
        <v>1.74015093</v>
      </c>
      <c r="I37" s="18" t="n">
        <v>0</v>
      </c>
      <c r="J37" s="20" t="n">
        <v>0</v>
      </c>
      <c r="K37" s="18" t="n">
        <v>4.98539678</v>
      </c>
      <c r="L37" s="20" t="n">
        <v>0.67532925</v>
      </c>
      <c r="M37" s="18" t="n">
        <v>0</v>
      </c>
      <c r="N37" s="20" t="n">
        <v>0</v>
      </c>
      <c r="O37" s="18" t="n">
        <v>0</v>
      </c>
      <c r="P37" s="20" t="n">
        <v>0</v>
      </c>
      <c r="Q37" s="18" t="n">
        <v>0</v>
      </c>
      <c r="R37" s="20" t="n">
        <v>0</v>
      </c>
    </row>
    <row r="38" spans="1:18">
      <c r="A38" s="15" t="s">
        <v>596</v>
      </c>
      <c r="B38" s="17" t="n">
        <v>5860</v>
      </c>
      <c r="C38" s="18">
        <f>(4546.0/B38*100)</f>
        <v/>
      </c>
      <c r="D38" s="19" t="n">
        <v>1314</v>
      </c>
      <c r="E38" s="18" t="n">
        <v>43.35449576</v>
      </c>
      <c r="F38" s="20" t="n">
        <v>1.81689444</v>
      </c>
      <c r="G38" s="18" t="n">
        <v>51.82118532</v>
      </c>
      <c r="H38" s="20" t="n">
        <v>1.75732282</v>
      </c>
      <c r="I38" s="18" t="n">
        <v>0</v>
      </c>
      <c r="J38" s="20" t="n">
        <v>0</v>
      </c>
      <c r="K38" s="18" t="n">
        <v>2.89822294</v>
      </c>
      <c r="L38" s="20" t="n">
        <v>0.46367577</v>
      </c>
      <c r="M38" s="18" t="n">
        <v>1.92609599</v>
      </c>
      <c r="N38" s="20" t="n">
        <v>0.36109039</v>
      </c>
      <c r="O38" s="18" t="n">
        <v>0</v>
      </c>
      <c r="P38" s="20" t="n">
        <v>0</v>
      </c>
      <c r="Q38" s="18" t="n">
        <v>0</v>
      </c>
      <c r="R38" s="20" t="n">
        <v>0</v>
      </c>
    </row>
    <row r="39" spans="1:18">
      <c r="A39" s="15" t="s">
        <v>597</v>
      </c>
      <c r="B39" s="17" t="n">
        <v>5895</v>
      </c>
      <c r="C39" s="18">
        <f>(4593.0/B39*100)</f>
        <v/>
      </c>
      <c r="D39" s="19" t="n">
        <v>1302</v>
      </c>
      <c r="E39" s="18" t="n">
        <v>65.00351154000001</v>
      </c>
      <c r="F39" s="20" t="n">
        <v>1.9742169</v>
      </c>
      <c r="G39" s="18" t="n">
        <v>32.60871068</v>
      </c>
      <c r="H39" s="20" t="n">
        <v>1.97133135</v>
      </c>
      <c r="I39" s="18" t="n">
        <v>0</v>
      </c>
      <c r="J39" s="20" t="n">
        <v>0</v>
      </c>
      <c r="K39" s="18" t="n">
        <v>2.26917585</v>
      </c>
      <c r="L39" s="20" t="n">
        <v>0.38550031</v>
      </c>
      <c r="M39" s="18" t="n">
        <v>0.11860193</v>
      </c>
      <c r="N39" s="20" t="n">
        <v>0.08244804999999999</v>
      </c>
      <c r="O39" s="18" t="n">
        <v>0</v>
      </c>
      <c r="P39" s="20" t="n">
        <v>0</v>
      </c>
      <c r="Q39" s="18" t="n">
        <v>0</v>
      </c>
      <c r="R39" s="20" t="n">
        <v>0</v>
      </c>
    </row>
    <row r="40" spans="1:18">
      <c r="A40" s="15" t="s">
        <v>598</v>
      </c>
      <c r="B40" s="17" t="n">
        <v>14157</v>
      </c>
      <c r="C40" s="18">
        <f>(10998.0/B40*100)</f>
        <v/>
      </c>
      <c r="D40" s="19" t="n">
        <v>3159</v>
      </c>
      <c r="E40" s="18" t="n">
        <v>27.38628874</v>
      </c>
      <c r="F40" s="20" t="n">
        <v>1.25673226</v>
      </c>
      <c r="G40" s="18" t="n">
        <v>69.43791711999999</v>
      </c>
      <c r="H40" s="20" t="n">
        <v>1.36051437</v>
      </c>
      <c r="I40" s="18" t="n">
        <v>0</v>
      </c>
      <c r="J40" s="20" t="n">
        <v>0</v>
      </c>
      <c r="K40" s="18" t="n">
        <v>3.15129443</v>
      </c>
      <c r="L40" s="20" t="n">
        <v>0.56212095</v>
      </c>
      <c r="M40" s="18" t="n">
        <v>0.0244997</v>
      </c>
      <c r="N40" s="20" t="n">
        <v>0.02368277</v>
      </c>
      <c r="O40" s="18" t="n">
        <v>0</v>
      </c>
      <c r="P40" s="20" t="n">
        <v>0</v>
      </c>
      <c r="Q40" s="18" t="n">
        <v>0</v>
      </c>
      <c r="R40" s="20" t="n">
        <v>0</v>
      </c>
    </row>
    <row r="41" spans="1:18">
      <c r="A41" s="15" t="s">
        <v>599</v>
      </c>
      <c r="B41" s="17" t="n">
        <v>5712</v>
      </c>
      <c r="C41" s="18">
        <f>(4551.0/B41*100)</f>
        <v/>
      </c>
      <c r="D41" s="19" t="n">
        <v>1161</v>
      </c>
      <c r="E41" s="18" t="n">
        <v>38.92373815</v>
      </c>
      <c r="F41" s="20" t="n">
        <v>1.84417743</v>
      </c>
      <c r="G41" s="18" t="n">
        <v>59.72800626</v>
      </c>
      <c r="H41" s="20" t="n">
        <v>1.86264945</v>
      </c>
      <c r="I41" s="18" t="n">
        <v>0</v>
      </c>
      <c r="J41" s="20" t="n">
        <v>0</v>
      </c>
      <c r="K41" s="18" t="n">
        <v>1.34825559</v>
      </c>
      <c r="L41" s="20" t="n">
        <v>0.3804382</v>
      </c>
      <c r="M41" s="18" t="n">
        <v>0</v>
      </c>
      <c r="N41" s="20" t="n">
        <v>0</v>
      </c>
      <c r="O41" s="18" t="n">
        <v>0</v>
      </c>
      <c r="P41" s="20" t="n">
        <v>0</v>
      </c>
      <c r="Q41" s="18" t="n">
        <v>0</v>
      </c>
      <c r="R41" s="20" t="n">
        <v>0</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(5215.0/B44*100)</f>
        <v/>
      </c>
      <c r="D44" s="19" t="n">
        <v>0</v>
      </c>
      <c r="E44" s="18" t="s">
        <v>603</v>
      </c>
      <c r="F44" s="20" t="s">
        <v>603</v>
      </c>
      <c r="G44" s="18" t="s">
        <v>603</v>
      </c>
      <c r="H44" s="20" t="s">
        <v>603</v>
      </c>
      <c r="I44" s="18" t="s">
        <v>603</v>
      </c>
      <c r="J44" s="20" t="s">
        <v>603</v>
      </c>
      <c r="K44" s="18" t="s">
        <v>603</v>
      </c>
      <c r="L44" s="20" t="s">
        <v>603</v>
      </c>
      <c r="M44" s="18" t="s">
        <v>603</v>
      </c>
      <c r="N44" s="20" t="s">
        <v>603</v>
      </c>
      <c r="O44" s="18" t="s">
        <v>603</v>
      </c>
      <c r="P44" s="20" t="s">
        <v>603</v>
      </c>
      <c r="Q44" s="18" t="s">
        <v>603</v>
      </c>
      <c r="R44" s="20" t="s">
        <v>603</v>
      </c>
    </row>
    <row r="45" spans="1:18">
      <c r="A45" s="15" t="s">
        <v>604</v>
      </c>
      <c r="B45" s="17" t="n">
        <v>5519</v>
      </c>
      <c r="C45" s="18">
        <f>(5519.0/B45*100)</f>
        <v/>
      </c>
      <c r="D45" s="19" t="n">
        <v>0</v>
      </c>
      <c r="E45" s="18" t="s">
        <v>603</v>
      </c>
      <c r="F45" s="20" t="s">
        <v>603</v>
      </c>
      <c r="G45" s="18" t="s">
        <v>603</v>
      </c>
      <c r="H45" s="20" t="s">
        <v>603</v>
      </c>
      <c r="I45" s="18" t="s">
        <v>603</v>
      </c>
      <c r="J45" s="20" t="s">
        <v>603</v>
      </c>
      <c r="K45" s="18" t="s">
        <v>603</v>
      </c>
      <c r="L45" s="20" t="s">
        <v>603</v>
      </c>
      <c r="M45" s="18" t="s">
        <v>603</v>
      </c>
      <c r="N45" s="20" t="s">
        <v>603</v>
      </c>
      <c r="O45" s="18" t="s">
        <v>603</v>
      </c>
      <c r="P45" s="20" t="s">
        <v>603</v>
      </c>
      <c r="Q45" s="18" t="s">
        <v>603</v>
      </c>
      <c r="R45" s="20" t="s">
        <v>603</v>
      </c>
    </row>
    <row r="46" spans="1:18">
      <c r="A46" s="15" t="s">
        <v>605</v>
      </c>
      <c r="B46" s="17" t="n">
        <v>23141</v>
      </c>
      <c r="C46" s="18">
        <f>(19664.0/B46*100)</f>
        <v/>
      </c>
      <c r="D46" s="19" t="n">
        <v>3477</v>
      </c>
      <c r="E46" s="18" t="n">
        <v>70.5239175</v>
      </c>
      <c r="F46" s="20" t="n">
        <v>1.26804121</v>
      </c>
      <c r="G46" s="18" t="n">
        <v>21.25021911</v>
      </c>
      <c r="H46" s="20" t="n">
        <v>1.27933969</v>
      </c>
      <c r="I46" s="18" t="n">
        <v>0</v>
      </c>
      <c r="J46" s="20" t="n">
        <v>0</v>
      </c>
      <c r="K46" s="18" t="n">
        <v>7.79804134</v>
      </c>
      <c r="L46" s="20" t="n">
        <v>0.71107566</v>
      </c>
      <c r="M46" s="18" t="n">
        <v>0.42782204</v>
      </c>
      <c r="N46" s="20" t="n">
        <v>0.15918482</v>
      </c>
      <c r="O46" s="18" t="n">
        <v>0</v>
      </c>
      <c r="P46" s="20" t="n">
        <v>0</v>
      </c>
      <c r="Q46" s="18" t="n">
        <v>0</v>
      </c>
      <c r="R46" s="20" t="n">
        <v>0</v>
      </c>
    </row>
    <row r="47" spans="1:18">
      <c r="A47" s="15" t="s">
        <v>606</v>
      </c>
      <c r="B47" s="17" t="n">
        <v>5928</v>
      </c>
      <c r="C47" s="18">
        <f>(4680.0/B47*100)</f>
        <v/>
      </c>
      <c r="D47" s="19" t="n">
        <v>1248</v>
      </c>
      <c r="E47" s="18" t="n">
        <v>65.19443413</v>
      </c>
      <c r="F47" s="20" t="n">
        <v>1.87523432</v>
      </c>
      <c r="G47" s="18" t="n">
        <v>31.66657622</v>
      </c>
      <c r="H47" s="20" t="n">
        <v>1.88150719</v>
      </c>
      <c r="I47" s="18" t="n">
        <v>0</v>
      </c>
      <c r="J47" s="20" t="n">
        <v>0</v>
      </c>
      <c r="K47" s="18" t="n">
        <v>2.98419643</v>
      </c>
      <c r="L47" s="20" t="n">
        <v>0.4998693</v>
      </c>
      <c r="M47" s="18" t="n">
        <v>0.15479322</v>
      </c>
      <c r="N47" s="20" t="n">
        <v>0.10885516</v>
      </c>
      <c r="O47" s="18" t="n">
        <v>0</v>
      </c>
      <c r="P47" s="20" t="n">
        <v>0</v>
      </c>
      <c r="Q47" s="18" t="n">
        <v>0</v>
      </c>
      <c r="R47" s="20" t="n">
        <v>0</v>
      </c>
    </row>
    <row r="48" spans="1:18">
      <c r="A48" s="15" t="s">
        <v>607</v>
      </c>
      <c r="B48" s="17" t="n">
        <v>9841</v>
      </c>
      <c r="C48" s="18">
        <f>(7716.0/B48*100)</f>
        <v/>
      </c>
      <c r="D48" s="19" t="n">
        <v>2125</v>
      </c>
      <c r="E48" s="18" t="n">
        <v>44.21640512</v>
      </c>
      <c r="F48" s="20" t="n">
        <v>1.91245664</v>
      </c>
      <c r="G48" s="18" t="n">
        <v>53.4310787</v>
      </c>
      <c r="H48" s="20" t="n">
        <v>1.92152529</v>
      </c>
      <c r="I48" s="18" t="n">
        <v>0</v>
      </c>
      <c r="J48" s="20" t="n">
        <v>0</v>
      </c>
      <c r="K48" s="18" t="n">
        <v>2.27133534</v>
      </c>
      <c r="L48" s="20" t="n">
        <v>0.591899</v>
      </c>
      <c r="M48" s="18" t="n">
        <v>0.08118084</v>
      </c>
      <c r="N48" s="20" t="n">
        <v>0.08077549000000001</v>
      </c>
      <c r="O48" s="18" t="n">
        <v>0</v>
      </c>
      <c r="P48" s="20" t="n">
        <v>0</v>
      </c>
      <c r="Q48" s="18" t="n">
        <v>0</v>
      </c>
      <c r="R48" s="20" t="n">
        <v>0</v>
      </c>
    </row>
    <row r="49" spans="1:18">
      <c r="A49" s="15" t="s">
        <v>608</v>
      </c>
      <c r="B49" s="17" t="n">
        <v>11795</v>
      </c>
      <c r="C49" s="18">
        <f>(9350.0/B49*100)</f>
        <v/>
      </c>
      <c r="D49" s="19" t="n">
        <v>2445</v>
      </c>
      <c r="E49" s="18" t="n">
        <v>70.24639635</v>
      </c>
      <c r="F49" s="20" t="n">
        <v>1.41768334</v>
      </c>
      <c r="G49" s="18" t="n">
        <v>23.68077206</v>
      </c>
      <c r="H49" s="20" t="n">
        <v>1.23080657</v>
      </c>
      <c r="I49" s="18" t="n">
        <v>0</v>
      </c>
      <c r="J49" s="20" t="n">
        <v>0</v>
      </c>
      <c r="K49" s="18" t="n">
        <v>6.04853271</v>
      </c>
      <c r="L49" s="20" t="n">
        <v>0.75997648</v>
      </c>
      <c r="M49" s="18" t="n">
        <v>0.02429887</v>
      </c>
      <c r="N49" s="20" t="n">
        <v>0.02039251</v>
      </c>
      <c r="O49" s="18" t="n">
        <v>0</v>
      </c>
      <c r="P49" s="20" t="n">
        <v>0</v>
      </c>
      <c r="Q49" s="18" t="n">
        <v>0</v>
      </c>
      <c r="R49" s="20" t="n">
        <v>0</v>
      </c>
    </row>
    <row r="50" spans="1:18">
      <c r="A50" s="15" t="s">
        <v>609</v>
      </c>
      <c r="B50" s="17" t="n">
        <v>6866</v>
      </c>
      <c r="C50" s="18">
        <f>(5641.0/B50*100)</f>
        <v/>
      </c>
      <c r="D50" s="19" t="n">
        <v>1225</v>
      </c>
      <c r="E50" s="18" t="n">
        <v>78.19050935999999</v>
      </c>
      <c r="F50" s="20" t="n">
        <v>1.55006446</v>
      </c>
      <c r="G50" s="18" t="n">
        <v>18.81964371</v>
      </c>
      <c r="H50" s="20" t="n">
        <v>1.44363842</v>
      </c>
      <c r="I50" s="18" t="n">
        <v>0</v>
      </c>
      <c r="J50" s="20" t="n">
        <v>0</v>
      </c>
      <c r="K50" s="18" t="n">
        <v>2.98984692</v>
      </c>
      <c r="L50" s="20" t="n">
        <v>0.6224536000000001</v>
      </c>
      <c r="M50" s="18" t="n">
        <v>0</v>
      </c>
      <c r="N50" s="20" t="n">
        <v>0</v>
      </c>
      <c r="O50" s="18" t="n">
        <v>0</v>
      </c>
      <c r="P50" s="20" t="n">
        <v>0</v>
      </c>
      <c r="Q50" s="18" t="n">
        <v>0</v>
      </c>
      <c r="R50" s="20" t="n">
        <v>0</v>
      </c>
    </row>
    <row r="51" spans="1:18">
      <c r="A51" s="15" t="s">
        <v>610</v>
      </c>
      <c r="B51" s="17" t="n">
        <v>5809</v>
      </c>
      <c r="C51" s="18">
        <f>(4582.0/B51*100)</f>
        <v/>
      </c>
      <c r="D51" s="19" t="n">
        <v>1227</v>
      </c>
      <c r="E51" s="18" t="n">
        <v>47.37470373</v>
      </c>
      <c r="F51" s="20" t="n">
        <v>1.60600923</v>
      </c>
      <c r="G51" s="18" t="n">
        <v>50.51263252</v>
      </c>
      <c r="H51" s="20" t="n">
        <v>1.63096669</v>
      </c>
      <c r="I51" s="18" t="n">
        <v>0</v>
      </c>
      <c r="J51" s="20" t="n">
        <v>0</v>
      </c>
      <c r="K51" s="18" t="n">
        <v>2.11266375</v>
      </c>
      <c r="L51" s="20" t="n">
        <v>0.4610363</v>
      </c>
      <c r="M51" s="18" t="n">
        <v>0</v>
      </c>
      <c r="N51" s="20" t="n">
        <v>0</v>
      </c>
      <c r="O51" s="18" t="n">
        <v>0</v>
      </c>
      <c r="P51" s="20" t="n">
        <v>0</v>
      </c>
      <c r="Q51" s="18" t="n">
        <v>0</v>
      </c>
      <c r="R51" s="20" t="n">
        <v>0</v>
      </c>
    </row>
    <row r="52" spans="1:18">
      <c r="A52" s="15" t="s">
        <v>611</v>
      </c>
      <c r="B52" s="17" t="n">
        <v>5571</v>
      </c>
      <c r="C52" s="18">
        <f>(4373.0/B52*100)</f>
        <v/>
      </c>
      <c r="D52" s="19" t="n">
        <v>1198</v>
      </c>
      <c r="E52" s="18" t="n">
        <v>62.36207159</v>
      </c>
      <c r="F52" s="20" t="n">
        <v>1.44783642</v>
      </c>
      <c r="G52" s="18" t="n">
        <v>35.6830511</v>
      </c>
      <c r="H52" s="20" t="n">
        <v>1.48480806</v>
      </c>
      <c r="I52" s="18" t="n">
        <v>0</v>
      </c>
      <c r="J52" s="20" t="n">
        <v>0</v>
      </c>
      <c r="K52" s="18" t="n">
        <v>1.95487731</v>
      </c>
      <c r="L52" s="20" t="n">
        <v>0.39052063</v>
      </c>
      <c r="M52" s="18" t="n">
        <v>0</v>
      </c>
      <c r="N52" s="20" t="n">
        <v>0</v>
      </c>
      <c r="O52" s="18" t="n">
        <v>0</v>
      </c>
      <c r="P52" s="20" t="n">
        <v>0</v>
      </c>
      <c r="Q52" s="18" t="n">
        <v>0</v>
      </c>
      <c r="R52" s="20" t="n">
        <v>0</v>
      </c>
    </row>
    <row r="53" spans="1:18">
      <c r="A53" s="15" t="s">
        <v>612</v>
      </c>
      <c r="B53" s="17" t="n">
        <v>4740</v>
      </c>
      <c r="C53" s="18">
        <f>(3687.0/B53*100)</f>
        <v/>
      </c>
      <c r="D53" s="19" t="n">
        <v>1053</v>
      </c>
      <c r="E53" s="18" t="n">
        <v>67.68832713</v>
      </c>
      <c r="F53" s="20" t="n">
        <v>1.76716227</v>
      </c>
      <c r="G53" s="18" t="n">
        <v>3.66356642</v>
      </c>
      <c r="H53" s="20" t="n">
        <v>0.6745955300000001</v>
      </c>
      <c r="I53" s="18" t="n">
        <v>0</v>
      </c>
      <c r="J53" s="20" t="n">
        <v>0</v>
      </c>
      <c r="K53" s="18" t="n">
        <v>27.83542147</v>
      </c>
      <c r="L53" s="20" t="n">
        <v>1.55041404</v>
      </c>
      <c r="M53" s="18" t="n">
        <v>0.81268497</v>
      </c>
      <c r="N53" s="20" t="n">
        <v>0.70738544</v>
      </c>
      <c r="O53" s="18" t="n">
        <v>0</v>
      </c>
      <c r="P53" s="20" t="n">
        <v>0</v>
      </c>
      <c r="Q53" s="18" t="n">
        <v>0</v>
      </c>
      <c r="R53" s="20" t="n">
        <v>0</v>
      </c>
    </row>
    <row r="54" spans="1:18">
      <c r="A54" s="15" t="s">
        <v>613</v>
      </c>
      <c r="B54" s="17" t="n">
        <v>5316</v>
      </c>
      <c r="C54" s="18">
        <f>(5316.0/B54*100)</f>
        <v/>
      </c>
      <c r="D54" s="19" t="n">
        <v>0</v>
      </c>
      <c r="E54" s="18" t="s">
        <v>603</v>
      </c>
      <c r="F54" s="20" t="s">
        <v>603</v>
      </c>
      <c r="G54" s="18" t="s">
        <v>603</v>
      </c>
      <c r="H54" s="20" t="s">
        <v>603</v>
      </c>
      <c r="I54" s="18" t="s">
        <v>603</v>
      </c>
      <c r="J54" s="20" t="s">
        <v>603</v>
      </c>
      <c r="K54" s="18" t="s">
        <v>603</v>
      </c>
      <c r="L54" s="20" t="s">
        <v>603</v>
      </c>
      <c r="M54" s="18" t="s">
        <v>603</v>
      </c>
      <c r="N54" s="20" t="s">
        <v>603</v>
      </c>
      <c r="O54" s="18" t="s">
        <v>603</v>
      </c>
      <c r="P54" s="20" t="s">
        <v>603</v>
      </c>
      <c r="Q54" s="18" t="s">
        <v>603</v>
      </c>
      <c r="R54" s="20" t="s">
        <v>603</v>
      </c>
    </row>
    <row r="55" spans="1:18">
      <c r="A55" s="15" t="s">
        <v>614</v>
      </c>
      <c r="B55" s="17" t="n">
        <v>5359</v>
      </c>
      <c r="C55" s="18">
        <f>(4177.0/B55*100)</f>
        <v/>
      </c>
      <c r="D55" s="19" t="n">
        <v>1182</v>
      </c>
      <c r="E55" s="18" t="n">
        <v>36.29675585</v>
      </c>
      <c r="F55" s="20" t="n">
        <v>1.43716392</v>
      </c>
      <c r="G55" s="18" t="n">
        <v>62.71692752</v>
      </c>
      <c r="H55" s="20" t="n">
        <v>1.48940467</v>
      </c>
      <c r="I55" s="18" t="n">
        <v>0</v>
      </c>
      <c r="J55" s="20" t="n">
        <v>0</v>
      </c>
      <c r="K55" s="18" t="n">
        <v>0.98631664</v>
      </c>
      <c r="L55" s="20" t="n">
        <v>0.31816721</v>
      </c>
      <c r="M55" s="18" t="n">
        <v>0</v>
      </c>
      <c r="N55" s="20" t="n">
        <v>0</v>
      </c>
      <c r="O55" s="18" t="n">
        <v>0</v>
      </c>
      <c r="P55" s="20" t="n">
        <v>0</v>
      </c>
      <c r="Q55" s="18" t="n">
        <v>0</v>
      </c>
      <c r="R55" s="20" t="n">
        <v>0</v>
      </c>
    </row>
    <row r="56" spans="1:18">
      <c r="A56" s="15" t="s">
        <v>615</v>
      </c>
      <c r="B56" s="17" t="n">
        <v>6513</v>
      </c>
      <c r="C56" s="18">
        <f>(6513.0/B56*100)</f>
        <v/>
      </c>
      <c r="D56" s="19" t="n">
        <v>0</v>
      </c>
      <c r="E56" s="18" t="s">
        <v>603</v>
      </c>
      <c r="F56" s="20" t="s">
        <v>603</v>
      </c>
      <c r="G56" s="18" t="s">
        <v>603</v>
      </c>
      <c r="H56" s="20" t="s">
        <v>603</v>
      </c>
      <c r="I56" s="18" t="s">
        <v>603</v>
      </c>
      <c r="J56" s="20" t="s">
        <v>603</v>
      </c>
      <c r="K56" s="18" t="s">
        <v>603</v>
      </c>
      <c r="L56" s="20" t="s">
        <v>603</v>
      </c>
      <c r="M56" s="18" t="s">
        <v>603</v>
      </c>
      <c r="N56" s="20" t="s">
        <v>603</v>
      </c>
      <c r="O56" s="18" t="s">
        <v>603</v>
      </c>
      <c r="P56" s="20" t="s">
        <v>603</v>
      </c>
      <c r="Q56" s="18" t="s">
        <v>603</v>
      </c>
      <c r="R56" s="20" t="s">
        <v>603</v>
      </c>
    </row>
    <row r="57" spans="1:18">
      <c r="A57" s="15" t="s">
        <v>616</v>
      </c>
      <c r="B57" s="17" t="n">
        <v>7267</v>
      </c>
      <c r="C57" s="18">
        <f>(7267.0/B57*100)</f>
        <v/>
      </c>
      <c r="D57" s="19" t="n">
        <v>0</v>
      </c>
      <c r="E57" s="18" t="s">
        <v>603</v>
      </c>
      <c r="F57" s="20" t="s">
        <v>603</v>
      </c>
      <c r="G57" s="18" t="s">
        <v>603</v>
      </c>
      <c r="H57" s="20" t="s">
        <v>603</v>
      </c>
      <c r="I57" s="18" t="s">
        <v>603</v>
      </c>
      <c r="J57" s="20" t="s">
        <v>603</v>
      </c>
      <c r="K57" s="18" t="s">
        <v>603</v>
      </c>
      <c r="L57" s="20" t="s">
        <v>603</v>
      </c>
      <c r="M57" s="18" t="s">
        <v>603</v>
      </c>
      <c r="N57" s="20" t="s">
        <v>603</v>
      </c>
      <c r="O57" s="18" t="s">
        <v>603</v>
      </c>
      <c r="P57" s="20" t="s">
        <v>603</v>
      </c>
      <c r="Q57" s="18" t="s">
        <v>603</v>
      </c>
      <c r="R57" s="20" t="s">
        <v>603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(4826.0/B59*100)</f>
        <v/>
      </c>
      <c r="D59" s="19" t="n">
        <v>0</v>
      </c>
      <c r="E59" s="18" t="s">
        <v>603</v>
      </c>
      <c r="F59" s="20" t="s">
        <v>603</v>
      </c>
      <c r="G59" s="18" t="s">
        <v>603</v>
      </c>
      <c r="H59" s="20" t="s">
        <v>603</v>
      </c>
      <c r="I59" s="18" t="s">
        <v>603</v>
      </c>
      <c r="J59" s="20" t="s">
        <v>603</v>
      </c>
      <c r="K59" s="18" t="s">
        <v>603</v>
      </c>
      <c r="L59" s="20" t="s">
        <v>603</v>
      </c>
      <c r="M59" s="18" t="s">
        <v>603</v>
      </c>
      <c r="N59" s="20" t="s">
        <v>603</v>
      </c>
      <c r="O59" s="18" t="s">
        <v>603</v>
      </c>
      <c r="P59" s="20" t="s">
        <v>603</v>
      </c>
      <c r="Q59" s="18" t="s">
        <v>603</v>
      </c>
      <c r="R59" s="20" t="s">
        <v>603</v>
      </c>
    </row>
    <row r="60" spans="1:18">
      <c r="A60" s="15" t="s">
        <v>620</v>
      </c>
      <c r="B60" s="17" t="n">
        <v>4546</v>
      </c>
      <c r="C60" s="18">
        <f>(4546.0/B60*100)</f>
        <v/>
      </c>
      <c r="D60" s="19" t="n">
        <v>0</v>
      </c>
      <c r="E60" s="18" t="s">
        <v>603</v>
      </c>
      <c r="F60" s="20" t="s">
        <v>603</v>
      </c>
      <c r="G60" s="18" t="s">
        <v>603</v>
      </c>
      <c r="H60" s="20" t="s">
        <v>603</v>
      </c>
      <c r="I60" s="18" t="s">
        <v>603</v>
      </c>
      <c r="J60" s="20" t="s">
        <v>603</v>
      </c>
      <c r="K60" s="18" t="s">
        <v>603</v>
      </c>
      <c r="L60" s="20" t="s">
        <v>603</v>
      </c>
      <c r="M60" s="18" t="s">
        <v>603</v>
      </c>
      <c r="N60" s="20" t="s">
        <v>603</v>
      </c>
      <c r="O60" s="18" t="s">
        <v>603</v>
      </c>
      <c r="P60" s="20" t="s">
        <v>603</v>
      </c>
      <c r="Q60" s="18" t="s">
        <v>603</v>
      </c>
      <c r="R60" s="20" t="s">
        <v>603</v>
      </c>
    </row>
    <row r="61" spans="1:18">
      <c r="A61" s="15" t="s">
        <v>621</v>
      </c>
      <c r="B61" s="17" t="n">
        <v>6525</v>
      </c>
      <c r="C61" s="18">
        <f>(5110.0/B61*100)</f>
        <v/>
      </c>
      <c r="D61" s="19" t="n">
        <v>1415</v>
      </c>
      <c r="E61" s="18" t="n">
        <v>48.40718034</v>
      </c>
      <c r="F61" s="20" t="n">
        <v>1.72580567</v>
      </c>
      <c r="G61" s="18" t="n">
        <v>50.12965385</v>
      </c>
      <c r="H61" s="20" t="n">
        <v>1.73017086</v>
      </c>
      <c r="I61" s="18" t="n">
        <v>0</v>
      </c>
      <c r="J61" s="20" t="n">
        <v>0</v>
      </c>
      <c r="K61" s="18" t="n">
        <v>1.46316581</v>
      </c>
      <c r="L61" s="20" t="n">
        <v>0.35957181</v>
      </c>
      <c r="M61" s="18" t="n">
        <v>0</v>
      </c>
      <c r="N61" s="20" t="n">
        <v>0</v>
      </c>
      <c r="O61" s="18" t="n">
        <v>0</v>
      </c>
      <c r="P61" s="20" t="n">
        <v>0</v>
      </c>
      <c r="Q61" s="18" t="n">
        <v>0</v>
      </c>
      <c r="R61" s="20" t="n">
        <v>0</v>
      </c>
    </row>
    <row r="62" spans="1:18">
      <c r="A62" s="15" t="s">
        <v>622</v>
      </c>
      <c r="B62" s="17" t="n">
        <v>4476</v>
      </c>
      <c r="C62" s="18">
        <f>(3537.0/B62*100)</f>
        <v/>
      </c>
      <c r="D62" s="19" t="n">
        <v>939</v>
      </c>
      <c r="E62" s="18" t="n">
        <v>34.42979893</v>
      </c>
      <c r="F62" s="20" t="n">
        <v>1.59801953</v>
      </c>
      <c r="G62" s="18" t="n">
        <v>65.57020107</v>
      </c>
      <c r="H62" s="20" t="n">
        <v>1.59801953</v>
      </c>
      <c r="I62" s="18" t="n">
        <v>0</v>
      </c>
      <c r="J62" s="20" t="n">
        <v>0</v>
      </c>
      <c r="K62" s="18" t="n">
        <v>0</v>
      </c>
      <c r="L62" s="20" t="n">
        <v>0</v>
      </c>
      <c r="M62" s="18" t="n">
        <v>0</v>
      </c>
      <c r="N62" s="20" t="n">
        <v>0</v>
      </c>
      <c r="O62" s="18" t="n">
        <v>0</v>
      </c>
      <c r="P62" s="20" t="n">
        <v>0</v>
      </c>
      <c r="Q62" s="18" t="n">
        <v>0</v>
      </c>
      <c r="R62" s="20" t="n">
        <v>0</v>
      </c>
    </row>
    <row r="63" spans="1:18">
      <c r="A63" s="15" t="s">
        <v>623</v>
      </c>
      <c r="B63" s="17" t="n">
        <v>5324</v>
      </c>
      <c r="C63" s="18">
        <f>(5324.0/B63*100)</f>
        <v/>
      </c>
      <c r="D63" s="19" t="n">
        <v>0</v>
      </c>
      <c r="E63" s="18" t="s">
        <v>603</v>
      </c>
      <c r="F63" s="20" t="s">
        <v>603</v>
      </c>
      <c r="G63" s="18" t="s">
        <v>603</v>
      </c>
      <c r="H63" s="20" t="s">
        <v>603</v>
      </c>
      <c r="I63" s="18" t="s">
        <v>603</v>
      </c>
      <c r="J63" s="20" t="s">
        <v>603</v>
      </c>
      <c r="K63" s="18" t="s">
        <v>603</v>
      </c>
      <c r="L63" s="20" t="s">
        <v>603</v>
      </c>
      <c r="M63" s="18" t="s">
        <v>603</v>
      </c>
      <c r="N63" s="20" t="s">
        <v>603</v>
      </c>
      <c r="O63" s="18" t="s">
        <v>603</v>
      </c>
      <c r="P63" s="20" t="s">
        <v>603</v>
      </c>
      <c r="Q63" s="18" t="s">
        <v>603</v>
      </c>
      <c r="R63" s="20" t="s">
        <v>603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(3634.0/B65*100)</f>
        <v/>
      </c>
      <c r="D65" s="19" t="n">
        <v>0</v>
      </c>
      <c r="E65" s="18" t="s">
        <v>603</v>
      </c>
      <c r="F65" s="20" t="s">
        <v>603</v>
      </c>
      <c r="G65" s="18" t="s">
        <v>603</v>
      </c>
      <c r="H65" s="20" t="s">
        <v>603</v>
      </c>
      <c r="I65" s="18" t="s">
        <v>603</v>
      </c>
      <c r="J65" s="20" t="s">
        <v>603</v>
      </c>
      <c r="K65" s="18" t="s">
        <v>603</v>
      </c>
      <c r="L65" s="20" t="s">
        <v>603</v>
      </c>
      <c r="M65" s="18" t="s">
        <v>603</v>
      </c>
      <c r="N65" s="20" t="s">
        <v>603</v>
      </c>
      <c r="O65" s="18" t="s">
        <v>603</v>
      </c>
      <c r="P65" s="20" t="s">
        <v>603</v>
      </c>
      <c r="Q65" s="18" t="s">
        <v>603</v>
      </c>
      <c r="R65" s="20" t="s">
        <v>603</v>
      </c>
    </row>
    <row r="66" spans="1:18">
      <c r="A66" s="15" t="s">
        <v>626</v>
      </c>
      <c r="B66" s="17" t="n">
        <v>5325</v>
      </c>
      <c r="C66" s="18">
        <f>(5325.0/B66*100)</f>
        <v/>
      </c>
      <c r="D66" s="19" t="n">
        <v>0</v>
      </c>
      <c r="E66" s="18" t="s">
        <v>603</v>
      </c>
      <c r="F66" s="20" t="s">
        <v>603</v>
      </c>
      <c r="G66" s="18" t="s">
        <v>603</v>
      </c>
      <c r="H66" s="20" t="s">
        <v>603</v>
      </c>
      <c r="I66" s="18" t="s">
        <v>603</v>
      </c>
      <c r="J66" s="20" t="s">
        <v>603</v>
      </c>
      <c r="K66" s="18" t="s">
        <v>603</v>
      </c>
      <c r="L66" s="20" t="s">
        <v>603</v>
      </c>
      <c r="M66" s="18" t="s">
        <v>603</v>
      </c>
      <c r="N66" s="20" t="s">
        <v>603</v>
      </c>
      <c r="O66" s="18" t="s">
        <v>603</v>
      </c>
      <c r="P66" s="20" t="s">
        <v>603</v>
      </c>
      <c r="Q66" s="18" t="s">
        <v>603</v>
      </c>
      <c r="R66" s="20" t="s">
        <v>603</v>
      </c>
    </row>
    <row r="67" spans="1:18">
      <c r="A67" s="15" t="s">
        <v>627</v>
      </c>
      <c r="B67" s="17" t="n">
        <v>5665</v>
      </c>
      <c r="C67" s="18">
        <f>(4508.0/B67*100)</f>
        <v/>
      </c>
      <c r="D67" s="19" t="n">
        <v>1157</v>
      </c>
      <c r="E67" s="18" t="n">
        <v>66.96081031999999</v>
      </c>
      <c r="F67" s="20" t="n">
        <v>1.29797391</v>
      </c>
      <c r="G67" s="18" t="n">
        <v>26.28294846</v>
      </c>
      <c r="H67" s="20" t="n">
        <v>1.27379477</v>
      </c>
      <c r="I67" s="18" t="n">
        <v>0</v>
      </c>
      <c r="J67" s="20" t="n">
        <v>0</v>
      </c>
      <c r="K67" s="18" t="n">
        <v>6.68172097</v>
      </c>
      <c r="L67" s="20" t="n">
        <v>0.80484499</v>
      </c>
      <c r="M67" s="18" t="n">
        <v>0.07452024</v>
      </c>
      <c r="N67" s="20" t="n">
        <v>0.07467404</v>
      </c>
      <c r="O67" s="18" t="n">
        <v>0</v>
      </c>
      <c r="P67" s="20" t="n">
        <v>0</v>
      </c>
      <c r="Q67" s="18" t="n">
        <v>0</v>
      </c>
      <c r="R67" s="20" t="n">
        <v>0</v>
      </c>
    </row>
    <row r="68" spans="1:18">
      <c r="A68" s="15" t="s">
        <v>628</v>
      </c>
      <c r="B68" s="17" t="n">
        <v>6971</v>
      </c>
      <c r="C68" s="18">
        <f>(5767.0/B68*100)</f>
        <v/>
      </c>
      <c r="D68" s="19" t="n">
        <v>1204</v>
      </c>
      <c r="E68" s="18" t="n">
        <v>81.70675487</v>
      </c>
      <c r="F68" s="20" t="n">
        <v>1.16808261</v>
      </c>
      <c r="G68" s="18" t="n">
        <v>14.13850793</v>
      </c>
      <c r="H68" s="20" t="n">
        <v>1.1213483</v>
      </c>
      <c r="I68" s="18" t="n">
        <v>0</v>
      </c>
      <c r="J68" s="20" t="n">
        <v>0</v>
      </c>
      <c r="K68" s="18" t="n">
        <v>3.8695939</v>
      </c>
      <c r="L68" s="20" t="n">
        <v>0.73729292</v>
      </c>
      <c r="M68" s="18" t="n">
        <v>0.2851433</v>
      </c>
      <c r="N68" s="20" t="n">
        <v>0.14565164</v>
      </c>
      <c r="O68" s="18" t="n">
        <v>0</v>
      </c>
      <c r="P68" s="20" t="n">
        <v>0</v>
      </c>
      <c r="Q68" s="18" t="n">
        <v>0</v>
      </c>
      <c r="R68" s="20" t="n">
        <v>0</v>
      </c>
    </row>
    <row r="69" spans="1:18">
      <c r="A69" s="15" t="s">
        <v>629</v>
      </c>
      <c r="B69" s="17" t="n">
        <v>1398</v>
      </c>
      <c r="C69" s="18">
        <f>(1398.0/B69*100)</f>
        <v/>
      </c>
      <c r="D69" s="19" t="n">
        <v>0</v>
      </c>
      <c r="E69" s="18" t="s">
        <v>603</v>
      </c>
      <c r="F69" s="20" t="s">
        <v>603</v>
      </c>
      <c r="G69" s="18" t="s">
        <v>603</v>
      </c>
      <c r="H69" s="20" t="s">
        <v>603</v>
      </c>
      <c r="I69" s="18" t="s">
        <v>603</v>
      </c>
      <c r="J69" s="20" t="s">
        <v>603</v>
      </c>
      <c r="K69" s="18" t="s">
        <v>603</v>
      </c>
      <c r="L69" s="20" t="s">
        <v>603</v>
      </c>
      <c r="M69" s="18" t="s">
        <v>603</v>
      </c>
      <c r="N69" s="20" t="s">
        <v>603</v>
      </c>
      <c r="O69" s="18" t="s">
        <v>603</v>
      </c>
      <c r="P69" s="20" t="s">
        <v>603</v>
      </c>
      <c r="Q69" s="18" t="s">
        <v>603</v>
      </c>
      <c r="R69" s="20" t="s">
        <v>603</v>
      </c>
    </row>
    <row r="70" spans="1:18">
      <c r="A70" s="15" t="s">
        <v>630</v>
      </c>
      <c r="B70" s="17" t="n">
        <v>12083</v>
      </c>
      <c r="C70" s="18">
        <f>(9359.0/B70*100)</f>
        <v/>
      </c>
      <c r="D70" s="19" t="n">
        <v>2724</v>
      </c>
      <c r="E70" s="18" t="n">
        <v>61.25066805</v>
      </c>
      <c r="F70" s="20" t="n">
        <v>1.02545899</v>
      </c>
      <c r="G70" s="18" t="n">
        <v>31.78840211</v>
      </c>
      <c r="H70" s="20" t="n">
        <v>0.9233699</v>
      </c>
      <c r="I70" s="18" t="n">
        <v>0</v>
      </c>
      <c r="J70" s="20" t="n">
        <v>0</v>
      </c>
      <c r="K70" s="18" t="n">
        <v>6.92610958</v>
      </c>
      <c r="L70" s="20" t="n">
        <v>0.4986522</v>
      </c>
      <c r="M70" s="18" t="n">
        <v>0.03482026</v>
      </c>
      <c r="N70" s="20" t="n">
        <v>0.03491395</v>
      </c>
      <c r="O70" s="18" t="n">
        <v>0</v>
      </c>
      <c r="P70" s="20" t="n">
        <v>0</v>
      </c>
      <c r="Q70" s="18" t="n">
        <v>0</v>
      </c>
      <c r="R70" s="20" t="n">
        <v>0</v>
      </c>
    </row>
    <row r="71" spans="1:18">
      <c r="A71" s="15" t="s">
        <v>631</v>
      </c>
      <c r="B71" s="17" t="n">
        <v>4876</v>
      </c>
      <c r="C71" s="18">
        <f>(4876.0/B71*100)</f>
        <v/>
      </c>
      <c r="D71" s="19" t="n">
        <v>0</v>
      </c>
      <c r="E71" s="18" t="s">
        <v>603</v>
      </c>
      <c r="F71" s="20" t="s">
        <v>603</v>
      </c>
      <c r="G71" s="18" t="s">
        <v>603</v>
      </c>
      <c r="H71" s="20" t="s">
        <v>603</v>
      </c>
      <c r="I71" s="18" t="s">
        <v>603</v>
      </c>
      <c r="J71" s="20" t="s">
        <v>603</v>
      </c>
      <c r="K71" s="18" t="s">
        <v>603</v>
      </c>
      <c r="L71" s="20" t="s">
        <v>603</v>
      </c>
      <c r="M71" s="18" t="s">
        <v>603</v>
      </c>
      <c r="N71" s="20" t="s">
        <v>603</v>
      </c>
      <c r="O71" s="18" t="s">
        <v>603</v>
      </c>
      <c r="P71" s="20" t="s">
        <v>603</v>
      </c>
      <c r="Q71" s="18" t="s">
        <v>603</v>
      </c>
      <c r="R71" s="20" t="s">
        <v>603</v>
      </c>
    </row>
    <row r="72" spans="1:18">
      <c r="A72" s="15" t="s">
        <v>632</v>
      </c>
      <c r="B72" s="17" t="n">
        <v>6036</v>
      </c>
      <c r="C72" s="18">
        <f>(4797.0/B72*100)</f>
        <v/>
      </c>
      <c r="D72" s="19" t="n">
        <v>1239</v>
      </c>
      <c r="E72" s="18" t="n">
        <v>54.38822437</v>
      </c>
      <c r="F72" s="20" t="n">
        <v>1.50531858</v>
      </c>
      <c r="G72" s="18" t="n">
        <v>43.81788157</v>
      </c>
      <c r="H72" s="20" t="n">
        <v>1.5513659</v>
      </c>
      <c r="I72" s="18" t="n">
        <v>0</v>
      </c>
      <c r="J72" s="20" t="n">
        <v>0</v>
      </c>
      <c r="K72" s="18" t="n">
        <v>1.70083664</v>
      </c>
      <c r="L72" s="20" t="n">
        <v>0.39342414</v>
      </c>
      <c r="M72" s="18" t="n">
        <v>0.09305742</v>
      </c>
      <c r="N72" s="20" t="n">
        <v>0.09263863</v>
      </c>
      <c r="O72" s="18" t="n">
        <v>0</v>
      </c>
      <c r="P72" s="20" t="n">
        <v>0</v>
      </c>
      <c r="Q72" s="18" t="n">
        <v>0</v>
      </c>
      <c r="R72" s="20" t="n">
        <v>0</v>
      </c>
    </row>
    <row r="73" spans="1:18">
      <c r="A73" s="15" t="s">
        <v>633</v>
      </c>
      <c r="B73" s="17" t="n">
        <v>6115</v>
      </c>
      <c r="C73" s="18">
        <f>(4806.0/B73*100)</f>
        <v/>
      </c>
      <c r="D73" s="19" t="n">
        <v>1309</v>
      </c>
      <c r="E73" s="18" t="n">
        <v>20.03072579</v>
      </c>
      <c r="F73" s="20" t="n">
        <v>1.06419409</v>
      </c>
      <c r="G73" s="18" t="n">
        <v>79.24807686</v>
      </c>
      <c r="H73" s="20" t="n">
        <v>1.06158335</v>
      </c>
      <c r="I73" s="18" t="n">
        <v>0</v>
      </c>
      <c r="J73" s="20" t="n">
        <v>0</v>
      </c>
      <c r="K73" s="18" t="n">
        <v>0.72119735</v>
      </c>
      <c r="L73" s="20" t="n">
        <v>0.2337841</v>
      </c>
      <c r="M73" s="18" t="n">
        <v>0</v>
      </c>
      <c r="N73" s="20" t="n">
        <v>0</v>
      </c>
      <c r="O73" s="18" t="n">
        <v>0</v>
      </c>
      <c r="P73" s="20" t="n">
        <v>0</v>
      </c>
      <c r="Q73" s="18" t="n">
        <v>0</v>
      </c>
      <c r="R73" s="20" t="n">
        <v>0</v>
      </c>
    </row>
    <row r="74" spans="1:18">
      <c r="A74" s="15" t="s">
        <v>634</v>
      </c>
      <c r="B74" s="17" t="n">
        <v>7708</v>
      </c>
      <c r="C74" s="18">
        <f>(6072.0/B74*100)</f>
        <v/>
      </c>
      <c r="D74" s="19" t="n">
        <v>1636</v>
      </c>
      <c r="E74" s="18" t="n">
        <v>46.88331932</v>
      </c>
      <c r="F74" s="20" t="n">
        <v>1.52823586</v>
      </c>
      <c r="G74" s="18" t="n">
        <v>52.65218939</v>
      </c>
      <c r="H74" s="20" t="n">
        <v>1.51862203</v>
      </c>
      <c r="I74" s="18" t="n">
        <v>0</v>
      </c>
      <c r="J74" s="20" t="n">
        <v>0</v>
      </c>
      <c r="K74" s="18" t="n">
        <v>0.46449129</v>
      </c>
      <c r="L74" s="20" t="n">
        <v>0.20486772</v>
      </c>
      <c r="M74" s="18" t="n">
        <v>0</v>
      </c>
      <c r="N74" s="20" t="n">
        <v>0</v>
      </c>
      <c r="O74" s="18" t="n">
        <v>0</v>
      </c>
      <c r="P74" s="20" t="n">
        <v>0</v>
      </c>
      <c r="Q74" s="18" t="n">
        <v>0</v>
      </c>
      <c r="R74" s="20" t="n">
        <v>0</v>
      </c>
    </row>
    <row r="75" spans="1:18">
      <c r="A75" s="15" t="s">
        <v>635</v>
      </c>
      <c r="B75" s="17" t="n">
        <v>8249</v>
      </c>
      <c r="C75" s="18">
        <f>(6546.0/B75*100)</f>
        <v/>
      </c>
      <c r="D75" s="19" t="n">
        <v>1703</v>
      </c>
      <c r="E75" s="18" t="n">
        <v>74.56467541000001</v>
      </c>
      <c r="F75" s="20" t="n">
        <v>1.74690826</v>
      </c>
      <c r="G75" s="18" t="n">
        <v>24.28964303</v>
      </c>
      <c r="H75" s="20" t="n">
        <v>1.72690781</v>
      </c>
      <c r="I75" s="18" t="n">
        <v>0</v>
      </c>
      <c r="J75" s="20" t="n">
        <v>0</v>
      </c>
      <c r="K75" s="18" t="n">
        <v>0.97407991</v>
      </c>
      <c r="L75" s="20" t="n">
        <v>0.29051376</v>
      </c>
      <c r="M75" s="18" t="n">
        <v>0.17160165</v>
      </c>
      <c r="N75" s="20" t="n">
        <v>0.11987607</v>
      </c>
      <c r="O75" s="18" t="n">
        <v>0</v>
      </c>
      <c r="P75" s="20" t="n">
        <v>0</v>
      </c>
      <c r="Q75" s="18" t="n">
        <v>0</v>
      </c>
      <c r="R75" s="20" t="n">
        <v>0</v>
      </c>
    </row>
    <row r="76" spans="1:18">
      <c r="A76" s="15" t="s">
        <v>636</v>
      </c>
      <c r="B76" s="17" t="n">
        <v>4692</v>
      </c>
      <c r="C76" s="18">
        <f>(4692.0/B76*100)</f>
        <v/>
      </c>
      <c r="D76" s="19" t="n">
        <v>0</v>
      </c>
      <c r="E76" s="18" t="s">
        <v>603</v>
      </c>
      <c r="F76" s="20" t="s">
        <v>603</v>
      </c>
      <c r="G76" s="18" t="s">
        <v>603</v>
      </c>
      <c r="H76" s="20" t="s">
        <v>603</v>
      </c>
      <c r="I76" s="18" t="s">
        <v>603</v>
      </c>
      <c r="J76" s="20" t="s">
        <v>603</v>
      </c>
      <c r="K76" s="18" t="s">
        <v>603</v>
      </c>
      <c r="L76" s="20" t="s">
        <v>603</v>
      </c>
      <c r="M76" s="18" t="s">
        <v>603</v>
      </c>
      <c r="N76" s="20" t="s">
        <v>603</v>
      </c>
      <c r="O76" s="18" t="s">
        <v>603</v>
      </c>
      <c r="P76" s="20" t="s">
        <v>603</v>
      </c>
      <c r="Q76" s="18" t="s">
        <v>603</v>
      </c>
      <c r="R76" s="20" t="s">
        <v>603</v>
      </c>
    </row>
    <row r="77" spans="1:18">
      <c r="A77" s="15" t="s">
        <v>637</v>
      </c>
      <c r="B77" s="17" t="n">
        <v>5375</v>
      </c>
      <c r="C77" s="18">
        <f>(4366.0/B77*100)</f>
        <v/>
      </c>
      <c r="D77" s="19" t="n">
        <v>1009</v>
      </c>
      <c r="E77" s="18" t="n">
        <v>74.70159382</v>
      </c>
      <c r="F77" s="20" t="n">
        <v>1.57534275</v>
      </c>
      <c r="G77" s="18" t="n">
        <v>15.38984509</v>
      </c>
      <c r="H77" s="20" t="n">
        <v>1.65882137</v>
      </c>
      <c r="I77" s="18" t="n">
        <v>0</v>
      </c>
      <c r="J77" s="20" t="n">
        <v>0</v>
      </c>
      <c r="K77" s="18" t="n">
        <v>9.400467839999999</v>
      </c>
      <c r="L77" s="20" t="n">
        <v>1.20234311</v>
      </c>
      <c r="M77" s="18" t="n">
        <v>0.50809324</v>
      </c>
      <c r="N77" s="20" t="n">
        <v>0.26395163</v>
      </c>
      <c r="O77" s="18" t="n">
        <v>0</v>
      </c>
      <c r="P77" s="20" t="n">
        <v>0</v>
      </c>
      <c r="Q77" s="18" t="n">
        <v>0</v>
      </c>
      <c r="R77" s="20" t="n">
        <v>0</v>
      </c>
    </row>
    <row r="78" spans="1:18">
      <c r="A78" s="15" t="s">
        <v>638</v>
      </c>
      <c r="B78" s="17" t="n">
        <v>14167</v>
      </c>
      <c r="C78" s="18">
        <f>(11042.0/B78*100)</f>
        <v/>
      </c>
      <c r="D78" s="19" t="n">
        <v>3125</v>
      </c>
      <c r="E78" s="18" t="n">
        <v>60.41541353</v>
      </c>
      <c r="F78" s="20" t="n">
        <v>1.04120143</v>
      </c>
      <c r="G78" s="18" t="n">
        <v>35.12781098</v>
      </c>
      <c r="H78" s="20" t="n">
        <v>1.16997158</v>
      </c>
      <c r="I78" s="18" t="n">
        <v>0</v>
      </c>
      <c r="J78" s="20" t="n">
        <v>0</v>
      </c>
      <c r="K78" s="18" t="n">
        <v>4.24141998</v>
      </c>
      <c r="L78" s="20" t="n">
        <v>0.43304953</v>
      </c>
      <c r="M78" s="18" t="n">
        <v>0.21535552</v>
      </c>
      <c r="N78" s="20" t="n">
        <v>0.12895207</v>
      </c>
      <c r="O78" s="18" t="n">
        <v>0</v>
      </c>
      <c r="P78" s="20" t="n">
        <v>0</v>
      </c>
      <c r="Q78" s="18" t="n">
        <v>0</v>
      </c>
      <c r="R78" s="20" t="n">
        <v>0</v>
      </c>
    </row>
    <row r="79" spans="1:18">
      <c r="A79" s="15" t="s">
        <v>639</v>
      </c>
      <c r="B79" s="17" t="n">
        <v>6062</v>
      </c>
      <c r="C79" s="18">
        <f>(4817.0/B79*100)</f>
        <v/>
      </c>
      <c r="D79" s="19" t="n">
        <v>1245</v>
      </c>
      <c r="E79" s="18" t="n">
        <v>62.37940124</v>
      </c>
      <c r="F79" s="20" t="n">
        <v>1.78780596</v>
      </c>
      <c r="G79" s="18" t="n">
        <v>29.46667094</v>
      </c>
      <c r="H79" s="20" t="n">
        <v>1.7338104</v>
      </c>
      <c r="I79" s="18" t="n">
        <v>0</v>
      </c>
      <c r="J79" s="20" t="n">
        <v>0</v>
      </c>
      <c r="K79" s="18" t="n">
        <v>7.96773837</v>
      </c>
      <c r="L79" s="20" t="n">
        <v>0.83352793</v>
      </c>
      <c r="M79" s="18" t="n">
        <v>0.18618945</v>
      </c>
      <c r="N79" s="20" t="n">
        <v>0.13441027</v>
      </c>
      <c r="O79" s="18" t="n">
        <v>0</v>
      </c>
      <c r="P79" s="20" t="n">
        <v>0</v>
      </c>
      <c r="Q79" s="18" t="n">
        <v>0</v>
      </c>
      <c r="R79" s="20" t="n">
        <v>0</v>
      </c>
    </row>
    <row r="80" spans="1:18">
      <c r="A80" s="15" t="s">
        <v>640</v>
      </c>
      <c r="B80" s="17" t="n">
        <v>5826</v>
      </c>
      <c r="C80" s="18">
        <f>(5826.0/B80*100)</f>
        <v/>
      </c>
      <c r="D80" s="19" t="n">
        <v>0</v>
      </c>
      <c r="E80" s="18" t="s">
        <v>603</v>
      </c>
      <c r="F80" s="20" t="s">
        <v>603</v>
      </c>
      <c r="G80" s="18" t="s">
        <v>603</v>
      </c>
      <c r="H80" s="20" t="s">
        <v>603</v>
      </c>
      <c r="I80" s="18" t="s">
        <v>603</v>
      </c>
      <c r="J80" s="20" t="s">
        <v>603</v>
      </c>
      <c r="K80" s="18" t="s">
        <v>603</v>
      </c>
      <c r="L80" s="20" t="s">
        <v>603</v>
      </c>
      <c r="M80" s="18" t="s">
        <v>603</v>
      </c>
      <c r="N80" s="20" t="s">
        <v>603</v>
      </c>
      <c r="O80" s="18" t="s">
        <v>603</v>
      </c>
      <c r="P80" s="20" t="s">
        <v>603</v>
      </c>
      <c r="Q80" s="18" t="s">
        <v>603</v>
      </c>
      <c r="R80" s="20" t="s">
        <v>603</v>
      </c>
    </row>
    <row r="81" spans="1:18">
      <c r="A81" s="15" t="s">
        <v>641</v>
      </c>
      <c r="B81" s="17" t="n">
        <v>1657</v>
      </c>
      <c r="C81" s="18">
        <f>(1657.0/B81*100)</f>
        <v/>
      </c>
      <c r="D81" s="19" t="n">
        <v>0</v>
      </c>
      <c r="E81" s="18" t="s">
        <v>603</v>
      </c>
      <c r="F81" s="20" t="s">
        <v>603</v>
      </c>
      <c r="G81" s="18" t="s">
        <v>603</v>
      </c>
      <c r="H81" s="20" t="s">
        <v>603</v>
      </c>
      <c r="I81" s="18" t="s">
        <v>603</v>
      </c>
      <c r="J81" s="20" t="s">
        <v>603</v>
      </c>
      <c r="K81" s="18" t="s">
        <v>603</v>
      </c>
      <c r="L81" s="20" t="s">
        <v>603</v>
      </c>
      <c r="M81" s="18" t="s">
        <v>603</v>
      </c>
      <c r="N81" s="20" t="s">
        <v>603</v>
      </c>
      <c r="O81" s="18" t="s">
        <v>603</v>
      </c>
      <c r="P81" s="20" t="s">
        <v>603</v>
      </c>
      <c r="Q81" s="18" t="s">
        <v>603</v>
      </c>
      <c r="R81" s="20" t="s">
        <v>603</v>
      </c>
    </row>
    <row r="82" spans="1:18">
      <c r="A82" s="15" t="s">
        <v>642</v>
      </c>
      <c r="B82" s="17" t="n">
        <v>32330</v>
      </c>
      <c r="C82" s="18">
        <f>(25434.0/B82*100)</f>
        <v/>
      </c>
      <c r="D82" s="19" t="n">
        <v>6896</v>
      </c>
      <c r="E82" s="18" t="n">
        <v>41.44968792</v>
      </c>
      <c r="F82" s="20" t="n">
        <v>0.95956214</v>
      </c>
      <c r="G82" s="18" t="n">
        <v>55.0104204</v>
      </c>
      <c r="H82" s="20" t="n">
        <v>1.02131989</v>
      </c>
      <c r="I82" s="18" t="n">
        <v>0</v>
      </c>
      <c r="J82" s="20" t="n">
        <v>0</v>
      </c>
      <c r="K82" s="18" t="n">
        <v>3.49565376</v>
      </c>
      <c r="L82" s="20" t="n">
        <v>0.37613619</v>
      </c>
      <c r="M82" s="18" t="n">
        <v>0.04423792</v>
      </c>
      <c r="N82" s="20" t="n">
        <v>0.03943804</v>
      </c>
      <c r="O82" s="18" t="n">
        <v>0</v>
      </c>
      <c r="P82" s="20" t="n">
        <v>0</v>
      </c>
      <c r="Q82" s="18" t="n">
        <v>0</v>
      </c>
      <c r="R82" s="20" t="n">
        <v>0</v>
      </c>
    </row>
    <row r="83" spans="1:18">
      <c r="A83" s="15" t="s">
        <v>643</v>
      </c>
      <c r="B83" s="17" t="n">
        <v>1652</v>
      </c>
      <c r="C83" s="18">
        <f>(1296.0/B83*100)</f>
        <v/>
      </c>
      <c r="D83" s="19" t="n">
        <v>356</v>
      </c>
      <c r="E83" s="18" t="n">
        <v>29.13717335</v>
      </c>
      <c r="F83" s="20" t="n">
        <v>2.75299502</v>
      </c>
      <c r="G83" s="18" t="n">
        <v>69.31222723</v>
      </c>
      <c r="H83" s="20" t="n">
        <v>2.97324616</v>
      </c>
      <c r="I83" s="18" t="n">
        <v>0</v>
      </c>
      <c r="J83" s="20" t="n">
        <v>0</v>
      </c>
      <c r="K83" s="18" t="n">
        <v>1.55059942</v>
      </c>
      <c r="L83" s="20" t="n">
        <v>0.73338885</v>
      </c>
      <c r="M83" s="18" t="n">
        <v>0</v>
      </c>
      <c r="N83" s="20" t="n">
        <v>0</v>
      </c>
      <c r="O83" s="18" t="n">
        <v>0</v>
      </c>
      <c r="P83" s="20" t="n">
        <v>0</v>
      </c>
      <c r="Q83" s="18" t="n">
        <v>0</v>
      </c>
      <c r="R83" s="20" t="n">
        <v>0</v>
      </c>
    </row>
    <row r="84" spans="1:18">
      <c r="A84" s="23" t="s">
        <v>644</v>
      </c>
      <c r="B84" s="24" t="n">
        <v>1887</v>
      </c>
      <c r="C84" s="25">
        <f>(1507.0/B84*100)</f>
        <v/>
      </c>
      <c r="D84" s="19" t="n">
        <v>380</v>
      </c>
      <c r="E84" s="18" t="n">
        <v>47.88511227</v>
      </c>
      <c r="F84" s="20" t="n">
        <v>2.49343537</v>
      </c>
      <c r="G84" s="18" t="n">
        <v>51.35210468</v>
      </c>
      <c r="H84" s="20" t="n">
        <v>2.59249991</v>
      </c>
      <c r="I84" s="18" t="n">
        <v>0</v>
      </c>
      <c r="J84" s="20" t="n">
        <v>0</v>
      </c>
      <c r="K84" s="18" t="n">
        <v>0.76278305</v>
      </c>
      <c r="L84" s="20" t="n">
        <v>0.4455279</v>
      </c>
      <c r="M84" s="18" t="n">
        <v>0</v>
      </c>
      <c r="N84" s="20" t="n">
        <v>0</v>
      </c>
      <c r="O84" s="18" t="n">
        <v>0</v>
      </c>
      <c r="P84" s="20" t="n">
        <v>0</v>
      </c>
      <c r="Q84" s="18" t="n">
        <v>0</v>
      </c>
      <c r="R84" s="20" t="n">
        <v>0</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36.43765156</v>
      </c>
      <c r="F44" s="20" t="n">
        <v>1.37915471</v>
      </c>
      <c r="G44" s="18" t="n">
        <v>35.95259628</v>
      </c>
      <c r="H44" s="20" t="n">
        <v>1.7096431</v>
      </c>
      <c r="I44" s="18" t="n">
        <v>0</v>
      </c>
      <c r="J44" s="20" t="n">
        <v>0</v>
      </c>
      <c r="K44" s="18" t="n">
        <v>1.14341134</v>
      </c>
      <c r="L44" s="20" t="n">
        <v>0.28591415</v>
      </c>
      <c r="M44" s="18" t="n">
        <v>0</v>
      </c>
      <c r="N44" s="20" t="n">
        <v>0</v>
      </c>
      <c r="O44" s="18" t="n">
        <v>0</v>
      </c>
      <c r="P44" s="20" t="n">
        <v>0</v>
      </c>
      <c r="Q44" s="18" t="n">
        <v>26.46634081</v>
      </c>
      <c r="R44" s="20" t="n">
        <v>1.35240143</v>
      </c>
    </row>
    <row r="45" spans="1:18">
      <c r="A45" s="15" t="s">
        <v>604</v>
      </c>
      <c r="B45" s="17" t="n">
        <v>5519</v>
      </c>
      <c r="C45" s="18">
        <f>(3697.0/B45*100)</f>
        <v/>
      </c>
      <c r="D45" s="19" t="n">
        <v>1822</v>
      </c>
      <c r="E45" s="18" t="n">
        <v>55.63018664</v>
      </c>
      <c r="F45" s="20" t="n">
        <v>1.35653116</v>
      </c>
      <c r="G45" s="18" t="n">
        <v>21.19255862</v>
      </c>
      <c r="H45" s="20" t="n">
        <v>1.08160691</v>
      </c>
      <c r="I45" s="18" t="n">
        <v>0</v>
      </c>
      <c r="J45" s="20" t="n">
        <v>0</v>
      </c>
      <c r="K45" s="18" t="n">
        <v>3.12240467</v>
      </c>
      <c r="L45" s="20" t="n">
        <v>0.51133043</v>
      </c>
      <c r="M45" s="18" t="n">
        <v>0.72353622</v>
      </c>
      <c r="N45" s="20" t="n">
        <v>0.22213678</v>
      </c>
      <c r="O45" s="18" t="n">
        <v>0.15557833</v>
      </c>
      <c r="P45" s="20" t="n">
        <v>0.08215488999999999</v>
      </c>
      <c r="Q45" s="18" t="n">
        <v>19.17573552</v>
      </c>
      <c r="R45" s="20" t="n">
        <v>1.08545276</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20.21018615</v>
      </c>
      <c r="F54" s="20" t="n">
        <v>0.9345842</v>
      </c>
      <c r="G54" s="18" t="n">
        <v>36.79293047</v>
      </c>
      <c r="H54" s="20" t="n">
        <v>1.27931971</v>
      </c>
      <c r="I54" s="18" t="n">
        <v>0</v>
      </c>
      <c r="J54" s="20" t="n">
        <v>0</v>
      </c>
      <c r="K54" s="18" t="n">
        <v>1.09848019</v>
      </c>
      <c r="L54" s="20" t="n">
        <v>0.2710237</v>
      </c>
      <c r="M54" s="18" t="n">
        <v>0.09731929</v>
      </c>
      <c r="N54" s="20" t="n">
        <v>0.0686871</v>
      </c>
      <c r="O54" s="18" t="n">
        <v>0.4486238</v>
      </c>
      <c r="P54" s="20" t="n">
        <v>0.13434625</v>
      </c>
      <c r="Q54" s="18" t="n">
        <v>41.3524601</v>
      </c>
      <c r="R54" s="20" t="n">
        <v>1.44103637</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59.3379685</v>
      </c>
      <c r="F56" s="20" t="n">
        <v>1.34936571</v>
      </c>
      <c r="G56" s="18" t="n">
        <v>33.52838313</v>
      </c>
      <c r="H56" s="20" t="n">
        <v>1.27817877</v>
      </c>
      <c r="I56" s="18" t="n">
        <v>0</v>
      </c>
      <c r="J56" s="20" t="n">
        <v>0</v>
      </c>
      <c r="K56" s="18" t="n">
        <v>1.13818288</v>
      </c>
      <c r="L56" s="20" t="n">
        <v>0.33161081</v>
      </c>
      <c r="M56" s="18" t="n">
        <v>0.18672277</v>
      </c>
      <c r="N56" s="20" t="n">
        <v>0.111494</v>
      </c>
      <c r="O56" s="18" t="n">
        <v>0</v>
      </c>
      <c r="P56" s="20" t="n">
        <v>0</v>
      </c>
      <c r="Q56" s="18" t="n">
        <v>5.80874272</v>
      </c>
      <c r="R56" s="20" t="n">
        <v>0.74723415</v>
      </c>
    </row>
    <row r="57" spans="1:18">
      <c r="A57" s="15" t="s">
        <v>616</v>
      </c>
      <c r="B57" s="17" t="n">
        <v>7267</v>
      </c>
      <c r="C57" s="18">
        <f>(4831.0/B57*100)</f>
        <v/>
      </c>
      <c r="D57" s="19" t="n">
        <v>2436</v>
      </c>
      <c r="E57" s="18" t="n">
        <v>47.77644454</v>
      </c>
      <c r="F57" s="20" t="n">
        <v>1.23965006</v>
      </c>
      <c r="G57" s="18" t="n">
        <v>36.04026007</v>
      </c>
      <c r="H57" s="20" t="n">
        <v>1.35786631</v>
      </c>
      <c r="I57" s="18" t="n">
        <v>0</v>
      </c>
      <c r="J57" s="20" t="n">
        <v>0</v>
      </c>
      <c r="K57" s="18" t="n">
        <v>0.7743113700000001</v>
      </c>
      <c r="L57" s="20" t="n">
        <v>0.18850435</v>
      </c>
      <c r="M57" s="18" t="n">
        <v>0</v>
      </c>
      <c r="N57" s="20" t="n">
        <v>0</v>
      </c>
      <c r="O57" s="18" t="n">
        <v>0</v>
      </c>
      <c r="P57" s="20" t="n">
        <v>0</v>
      </c>
      <c r="Q57" s="18" t="n">
        <v>15.40898402</v>
      </c>
      <c r="R57" s="20" t="n">
        <v>1.08262228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58.57330827</v>
      </c>
      <c r="F59" s="20" t="n">
        <v>1.49030047</v>
      </c>
      <c r="G59" s="18" t="n">
        <v>18.87280384</v>
      </c>
      <c r="H59" s="20" t="n">
        <v>1.26807605</v>
      </c>
      <c r="I59" s="18" t="n">
        <v>0</v>
      </c>
      <c r="J59" s="20" t="n">
        <v>0</v>
      </c>
      <c r="K59" s="18" t="n">
        <v>0.17071176</v>
      </c>
      <c r="L59" s="20" t="n">
        <v>0.08599091</v>
      </c>
      <c r="M59" s="18" t="n">
        <v>0.0221359</v>
      </c>
      <c r="N59" s="20" t="n">
        <v>0.02206148</v>
      </c>
      <c r="O59" s="18" t="n">
        <v>0</v>
      </c>
      <c r="P59" s="20" t="n">
        <v>0</v>
      </c>
      <c r="Q59" s="18" t="n">
        <v>22.36104024</v>
      </c>
      <c r="R59" s="20" t="n">
        <v>1.19025318</v>
      </c>
    </row>
    <row r="60" spans="1:18">
      <c r="A60" s="15" t="s">
        <v>620</v>
      </c>
      <c r="B60" s="17" t="n">
        <v>4546</v>
      </c>
      <c r="C60" s="18">
        <f>(3042.0/B60*100)</f>
        <v/>
      </c>
      <c r="D60" s="19" t="n">
        <v>1504</v>
      </c>
      <c r="E60" s="18" t="n">
        <v>52.10402476</v>
      </c>
      <c r="F60" s="20" t="n">
        <v>1.58053768</v>
      </c>
      <c r="G60" s="18" t="n">
        <v>22.55231074</v>
      </c>
      <c r="H60" s="20" t="n">
        <v>1.34827641</v>
      </c>
      <c r="I60" s="18" t="n">
        <v>0</v>
      </c>
      <c r="J60" s="20" t="n">
        <v>0</v>
      </c>
      <c r="K60" s="18" t="n">
        <v>2.7366331</v>
      </c>
      <c r="L60" s="20" t="n">
        <v>0.52232232</v>
      </c>
      <c r="M60" s="18" t="n">
        <v>0.12328518</v>
      </c>
      <c r="N60" s="20" t="n">
        <v>0.08678842000000001</v>
      </c>
      <c r="O60" s="18" t="n">
        <v>0.09310441</v>
      </c>
      <c r="P60" s="20" t="n">
        <v>0.06594951</v>
      </c>
      <c r="Q60" s="18" t="n">
        <v>22.39064181</v>
      </c>
      <c r="R60" s="20" t="n">
        <v>1.6110669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20.88029523</v>
      </c>
      <c r="F63" s="20" t="n">
        <v>0.90570467</v>
      </c>
      <c r="G63" s="18" t="n">
        <v>25.39356104</v>
      </c>
      <c r="H63" s="20" t="n">
        <v>1.12464753</v>
      </c>
      <c r="I63" s="18" t="n">
        <v>0</v>
      </c>
      <c r="J63" s="20" t="n">
        <v>0</v>
      </c>
      <c r="K63" s="18" t="n">
        <v>1.5230607</v>
      </c>
      <c r="L63" s="20" t="n">
        <v>0.32331801</v>
      </c>
      <c r="M63" s="18" t="n">
        <v>0</v>
      </c>
      <c r="N63" s="20" t="n">
        <v>0</v>
      </c>
      <c r="O63" s="18" t="n">
        <v>0</v>
      </c>
      <c r="P63" s="20" t="n">
        <v>0</v>
      </c>
      <c r="Q63" s="18" t="n">
        <v>52.20308303</v>
      </c>
      <c r="R63" s="20" t="n">
        <v>1.1882229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34.52194259</v>
      </c>
      <c r="F65" s="20" t="n">
        <v>1.40989041</v>
      </c>
      <c r="G65" s="18" t="n">
        <v>42.34929598</v>
      </c>
      <c r="H65" s="20" t="n">
        <v>1.49275288</v>
      </c>
      <c r="I65" s="18" t="n">
        <v>0</v>
      </c>
      <c r="J65" s="20" t="n">
        <v>0</v>
      </c>
      <c r="K65" s="18" t="n">
        <v>2.22700278</v>
      </c>
      <c r="L65" s="20" t="n">
        <v>0.41885534</v>
      </c>
      <c r="M65" s="18" t="n">
        <v>0</v>
      </c>
      <c r="N65" s="20" t="n">
        <v>0</v>
      </c>
      <c r="O65" s="18" t="n">
        <v>0</v>
      </c>
      <c r="P65" s="20" t="n">
        <v>0</v>
      </c>
      <c r="Q65" s="18" t="n">
        <v>20.90175865</v>
      </c>
      <c r="R65" s="20" t="n">
        <v>1.11671621</v>
      </c>
    </row>
    <row r="66" spans="1:18">
      <c r="A66" s="15" t="s">
        <v>626</v>
      </c>
      <c r="B66" s="17" t="n">
        <v>5325</v>
      </c>
      <c r="C66" s="18">
        <f>(3532.0/B66*100)</f>
        <v/>
      </c>
      <c r="D66" s="19" t="n">
        <v>1793</v>
      </c>
      <c r="E66" s="18" t="n">
        <v>31.82732094</v>
      </c>
      <c r="F66" s="20" t="n">
        <v>1.0581484</v>
      </c>
      <c r="G66" s="18" t="n">
        <v>35.85378683</v>
      </c>
      <c r="H66" s="20" t="n">
        <v>1.14333969</v>
      </c>
      <c r="I66" s="18" t="n">
        <v>0</v>
      </c>
      <c r="J66" s="20" t="n">
        <v>0</v>
      </c>
      <c r="K66" s="18" t="n">
        <v>2.52575229</v>
      </c>
      <c r="L66" s="20" t="n">
        <v>0.34330553</v>
      </c>
      <c r="M66" s="18" t="n">
        <v>0</v>
      </c>
      <c r="N66" s="20" t="n">
        <v>0</v>
      </c>
      <c r="O66" s="18" t="n">
        <v>0</v>
      </c>
      <c r="P66" s="20" t="n">
        <v>0</v>
      </c>
      <c r="Q66" s="18" t="n">
        <v>29.79313994</v>
      </c>
      <c r="R66" s="20" t="n">
        <v>1.28849951</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47.87813422</v>
      </c>
      <c r="F69" s="20" t="n">
        <v>3.08171591</v>
      </c>
      <c r="G69" s="18" t="n">
        <v>37.09002904</v>
      </c>
      <c r="H69" s="20" t="n">
        <v>2.9217596</v>
      </c>
      <c r="I69" s="18" t="n">
        <v>0</v>
      </c>
      <c r="J69" s="20" t="n">
        <v>0</v>
      </c>
      <c r="K69" s="18" t="n">
        <v>0.46892584</v>
      </c>
      <c r="L69" s="20" t="n">
        <v>0.34426021</v>
      </c>
      <c r="M69" s="18" t="n">
        <v>0</v>
      </c>
      <c r="N69" s="20" t="n">
        <v>0</v>
      </c>
      <c r="O69" s="18" t="n">
        <v>0</v>
      </c>
      <c r="P69" s="20" t="n">
        <v>0</v>
      </c>
      <c r="Q69" s="18" t="n">
        <v>14.5629109</v>
      </c>
      <c r="R69" s="20" t="n">
        <v>1.55903703</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53.10655298</v>
      </c>
      <c r="F71" s="20" t="n">
        <v>1.45845799</v>
      </c>
      <c r="G71" s="18" t="n">
        <v>46.50236867</v>
      </c>
      <c r="H71" s="20" t="n">
        <v>1.44209391</v>
      </c>
      <c r="I71" s="18" t="n">
        <v>0</v>
      </c>
      <c r="J71" s="20" t="n">
        <v>0</v>
      </c>
      <c r="K71" s="18" t="n">
        <v>0</v>
      </c>
      <c r="L71" s="20" t="n">
        <v>0</v>
      </c>
      <c r="M71" s="18" t="n">
        <v>0</v>
      </c>
      <c r="N71" s="20" t="n">
        <v>0</v>
      </c>
      <c r="O71" s="18" t="n">
        <v>0</v>
      </c>
      <c r="P71" s="20" t="n">
        <v>0</v>
      </c>
      <c r="Q71" s="18" t="n">
        <v>0.39107835</v>
      </c>
      <c r="R71" s="20" t="n">
        <v>0.18929591</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42.23164399</v>
      </c>
      <c r="F76" s="20" t="n">
        <v>1.52121683</v>
      </c>
      <c r="G76" s="18" t="n">
        <v>28.52511475</v>
      </c>
      <c r="H76" s="20" t="n">
        <v>1.13176722</v>
      </c>
      <c r="I76" s="18" t="n">
        <v>0</v>
      </c>
      <c r="J76" s="20" t="n">
        <v>0</v>
      </c>
      <c r="K76" s="18" t="n">
        <v>3.25098484</v>
      </c>
      <c r="L76" s="20" t="n">
        <v>0.53962672</v>
      </c>
      <c r="M76" s="18" t="n">
        <v>0</v>
      </c>
      <c r="N76" s="20" t="n">
        <v>0</v>
      </c>
      <c r="O76" s="18" t="n">
        <v>0</v>
      </c>
      <c r="P76" s="20" t="n">
        <v>0</v>
      </c>
      <c r="Q76" s="18" t="n">
        <v>25.99225642</v>
      </c>
      <c r="R76" s="20" t="n">
        <v>1.28010537</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34.67136385</v>
      </c>
      <c r="F80" s="20" t="n">
        <v>1.55102972</v>
      </c>
      <c r="G80" s="18" t="n">
        <v>64.20606306000001</v>
      </c>
      <c r="H80" s="20" t="n">
        <v>1.5602389</v>
      </c>
      <c r="I80" s="18" t="n">
        <v>0</v>
      </c>
      <c r="J80" s="20" t="n">
        <v>0</v>
      </c>
      <c r="K80" s="18" t="n">
        <v>0</v>
      </c>
      <c r="L80" s="20" t="n">
        <v>0</v>
      </c>
      <c r="M80" s="18" t="n">
        <v>0</v>
      </c>
      <c r="N80" s="20" t="n">
        <v>0</v>
      </c>
      <c r="O80" s="18" t="n">
        <v>0</v>
      </c>
      <c r="P80" s="20" t="n">
        <v>0</v>
      </c>
      <c r="Q80" s="18" t="n">
        <v>1.12257309</v>
      </c>
      <c r="R80" s="20" t="n">
        <v>0.27584116</v>
      </c>
    </row>
    <row r="81" spans="1:18">
      <c r="A81" s="15" t="s">
        <v>641</v>
      </c>
      <c r="B81" s="17" t="n">
        <v>1657</v>
      </c>
      <c r="C81" s="18">
        <f>(1100.0/B81*100)</f>
        <v/>
      </c>
      <c r="D81" s="19" t="n">
        <v>557</v>
      </c>
      <c r="E81" s="18" t="n">
        <v>36.87880166</v>
      </c>
      <c r="F81" s="20" t="n">
        <v>2.83021656</v>
      </c>
      <c r="G81" s="18" t="n">
        <v>44.35468787</v>
      </c>
      <c r="H81" s="20" t="n">
        <v>3.03623498</v>
      </c>
      <c r="I81" s="18" t="n">
        <v>0</v>
      </c>
      <c r="J81" s="20" t="n">
        <v>0</v>
      </c>
      <c r="K81" s="18" t="n">
        <v>1.8226935</v>
      </c>
      <c r="L81" s="20" t="n">
        <v>0.47093932</v>
      </c>
      <c r="M81" s="18" t="n">
        <v>0</v>
      </c>
      <c r="N81" s="20" t="n">
        <v>0</v>
      </c>
      <c r="O81" s="18" t="n">
        <v>0</v>
      </c>
      <c r="P81" s="20" t="n">
        <v>0</v>
      </c>
      <c r="Q81" s="18" t="n">
        <v>16.94381697</v>
      </c>
      <c r="R81" s="20" t="n">
        <v>1.71342573</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7.xml><?xml version="1.0" encoding="utf-8"?>
<worksheet xmlns="http://schemas.openxmlformats.org/spreadsheetml/2006/main">
  <sheetPr>
    <outlinePr summaryBelow="1" summaryRight="1"/>
    <pageSetUpPr/>
  </sheetPr>
  <dimension ref="A1:X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4">
      <c r="A1" s="4" t="s">
        <v>549</v>
      </c>
    </row>
    <row r="2" spans="1:24">
      <c r="A2" s="5" t="s">
        <v>852</v>
      </c>
    </row>
    <row customHeight="1" ht="30" r="4" spans="1:24">
      <c r="A4" s="6" t="n"/>
      <c r="B4" s="7" t="s">
        <v>551</v>
      </c>
      <c r="C4" s="7" t="s">
        <v>552</v>
      </c>
      <c r="D4" s="8" t="s">
        <v>551</v>
      </c>
      <c r="E4" s="9" t="s">
        <v>655</v>
      </c>
      <c r="F4" s="10" t="n"/>
      <c r="G4" s="9" t="s">
        <v>656</v>
      </c>
      <c r="H4" s="10" t="n"/>
      <c r="I4" s="9" t="s">
        <v>853</v>
      </c>
      <c r="J4" s="10" t="n"/>
      <c r="K4" s="9" t="s">
        <v>657</v>
      </c>
      <c r="L4" s="10" t="n"/>
      <c r="M4" s="9" t="s">
        <v>658</v>
      </c>
      <c r="N4" s="10" t="n"/>
      <c r="O4" s="9" t="s">
        <v>555</v>
      </c>
      <c r="P4" s="10" t="n"/>
      <c r="Q4" s="9" t="s">
        <v>556</v>
      </c>
      <c r="R4" s="10" t="n"/>
      <c r="S4" s="9" t="s">
        <v>557</v>
      </c>
      <c r="T4" s="10" t="n"/>
      <c r="U4" s="9" t="s">
        <v>558</v>
      </c>
      <c r="V4" s="10" t="n"/>
      <c r="W4" s="9" t="s">
        <v>559</v>
      </c>
      <c r="X4" s="10" t="n"/>
    </row>
    <row r="5" spans="1:24">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row>
    <row r="6" spans="1:24">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6" t="n"/>
    </row>
    <row r="7" spans="1:24">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c r="W7" s="18" t="s">
        <v>603</v>
      </c>
      <c r="X7" s="20" t="s">
        <v>603</v>
      </c>
    </row>
    <row r="8" spans="1:24">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c r="W8" s="18" t="s">
        <v>603</v>
      </c>
      <c r="X8" s="20" t="s">
        <v>603</v>
      </c>
    </row>
    <row r="9" spans="1:24">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c r="W9" s="18" t="s">
        <v>603</v>
      </c>
      <c r="X9" s="20" t="s">
        <v>603</v>
      </c>
    </row>
    <row r="10" spans="1:24">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c r="W10" s="18" t="s">
        <v>603</v>
      </c>
      <c r="X10" s="20" t="s">
        <v>603</v>
      </c>
    </row>
    <row r="11" spans="1:24">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c r="W11" s="18" t="s">
        <v>603</v>
      </c>
      <c r="X11" s="20" t="s">
        <v>603</v>
      </c>
    </row>
    <row r="12" spans="1:24">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c r="W12" s="18" t="s">
        <v>603</v>
      </c>
      <c r="X12" s="20" t="s">
        <v>603</v>
      </c>
    </row>
    <row r="13" spans="1:24">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c r="W13" s="18" t="s">
        <v>603</v>
      </c>
      <c r="X13" s="20" t="s">
        <v>603</v>
      </c>
    </row>
    <row r="14" spans="1:24">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c r="W14" s="18" t="s">
        <v>603</v>
      </c>
      <c r="X14" s="20" t="s">
        <v>603</v>
      </c>
    </row>
    <row r="15" spans="1:24">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c r="W15" s="18" t="s">
        <v>603</v>
      </c>
      <c r="X15" s="20" t="s">
        <v>603</v>
      </c>
    </row>
    <row r="16" spans="1:24">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c r="W16" s="18" t="s">
        <v>603</v>
      </c>
      <c r="X16" s="20" t="s">
        <v>603</v>
      </c>
    </row>
    <row r="17" spans="1:24">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c r="W17" s="18" t="s">
        <v>603</v>
      </c>
      <c r="X17" s="20" t="s">
        <v>603</v>
      </c>
    </row>
    <row r="18" spans="1:24">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c r="W18" s="18" t="s">
        <v>603</v>
      </c>
      <c r="X18" s="20" t="s">
        <v>603</v>
      </c>
    </row>
    <row r="19" spans="1:24">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c r="W19" s="18" t="s">
        <v>603</v>
      </c>
      <c r="X19" s="20" t="s">
        <v>603</v>
      </c>
    </row>
    <row r="20" spans="1:24">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c r="W20" s="18" t="s">
        <v>603</v>
      </c>
      <c r="X20" s="20" t="s">
        <v>603</v>
      </c>
    </row>
    <row r="21" spans="1:24">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c r="W21" s="18" t="s">
        <v>603</v>
      </c>
      <c r="X21" s="20" t="s">
        <v>603</v>
      </c>
    </row>
    <row r="22" spans="1:24">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c r="W22" s="18" t="s">
        <v>603</v>
      </c>
      <c r="X22" s="20" t="s">
        <v>603</v>
      </c>
    </row>
    <row r="23" spans="1:24">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c r="W23" s="18" t="s">
        <v>603</v>
      </c>
      <c r="X23" s="20" t="s">
        <v>603</v>
      </c>
    </row>
    <row r="24" spans="1:24">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c r="W24" s="18" t="s">
        <v>603</v>
      </c>
      <c r="X24" s="20" t="s">
        <v>603</v>
      </c>
    </row>
    <row r="25" spans="1:24">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c r="W25" s="18" t="s">
        <v>603</v>
      </c>
      <c r="X25" s="20" t="s">
        <v>603</v>
      </c>
    </row>
    <row r="26" spans="1:24">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c r="W26" s="18" t="s">
        <v>603</v>
      </c>
      <c r="X26" s="20" t="s">
        <v>603</v>
      </c>
    </row>
    <row r="27" spans="1:24">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c r="W27" s="18" t="s">
        <v>603</v>
      </c>
      <c r="X27" s="20" t="s">
        <v>603</v>
      </c>
    </row>
    <row r="28" spans="1:24">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c r="W28" s="18" t="s">
        <v>603</v>
      </c>
      <c r="X28" s="20" t="s">
        <v>603</v>
      </c>
    </row>
    <row r="29" spans="1:24">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c r="W29" s="18" t="s">
        <v>603</v>
      </c>
      <c r="X29" s="20" t="s">
        <v>603</v>
      </c>
    </row>
    <row r="30" spans="1:24">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c r="W30" s="18" t="s">
        <v>603</v>
      </c>
      <c r="X30" s="20" t="s">
        <v>603</v>
      </c>
    </row>
    <row r="31" spans="1:24">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c r="W31" s="18" t="s">
        <v>603</v>
      </c>
      <c r="X31" s="20" t="s">
        <v>603</v>
      </c>
    </row>
    <row r="32" spans="1:24">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c r="W32" s="18" t="s">
        <v>603</v>
      </c>
      <c r="X32" s="20" t="s">
        <v>603</v>
      </c>
    </row>
    <row r="33" spans="1:24">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c r="W33" s="18" t="s">
        <v>603</v>
      </c>
      <c r="X33" s="20" t="s">
        <v>603</v>
      </c>
    </row>
    <row r="34" spans="1:24">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c r="W34" s="18" t="s">
        <v>603</v>
      </c>
      <c r="X34" s="20" t="s">
        <v>603</v>
      </c>
    </row>
    <row r="35" spans="1:24">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c r="W35" s="18" t="s">
        <v>603</v>
      </c>
      <c r="X35" s="20" t="s">
        <v>603</v>
      </c>
    </row>
    <row r="36" spans="1:24">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c r="W36" s="18" t="s">
        <v>603</v>
      </c>
      <c r="X36" s="20" t="s">
        <v>603</v>
      </c>
    </row>
    <row r="37" spans="1:24">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c r="W37" s="18" t="s">
        <v>603</v>
      </c>
      <c r="X37" s="20" t="s">
        <v>603</v>
      </c>
    </row>
    <row r="38" spans="1:24">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c r="W38" s="18" t="s">
        <v>603</v>
      </c>
      <c r="X38" s="20" t="s">
        <v>603</v>
      </c>
    </row>
    <row r="39" spans="1:24">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c r="W39" s="18" t="s">
        <v>603</v>
      </c>
      <c r="X39" s="20" t="s">
        <v>603</v>
      </c>
    </row>
    <row r="40" spans="1:24">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c r="W40" s="18" t="s">
        <v>603</v>
      </c>
      <c r="X40" s="20" t="s">
        <v>603</v>
      </c>
    </row>
    <row r="41" spans="1:24">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c r="W41" s="18" t="s">
        <v>603</v>
      </c>
      <c r="X41" s="20" t="s">
        <v>603</v>
      </c>
    </row>
    <row r="42" spans="1:24">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row>
    <row r="43" spans="1:24">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6" t="n"/>
    </row>
    <row r="44" spans="1:24">
      <c r="A44" s="15" t="s">
        <v>602</v>
      </c>
      <c r="B44" s="17" t="n">
        <v>5215</v>
      </c>
      <c r="C44" s="18">
        <f>(3448.0/B44*100)</f>
        <v/>
      </c>
      <c r="D44" s="19" t="n">
        <v>1767</v>
      </c>
      <c r="E44" s="18" t="n">
        <v>14.47500577</v>
      </c>
      <c r="F44" s="20" t="n">
        <v>1.08417112</v>
      </c>
      <c r="G44" s="18" t="n">
        <v>18.40979987</v>
      </c>
      <c r="H44" s="20" t="n">
        <v>0.9459929</v>
      </c>
      <c r="I44" s="18" t="n">
        <v>0</v>
      </c>
      <c r="J44" s="20" t="n">
        <v>0</v>
      </c>
      <c r="K44" s="18" t="n">
        <v>34.33895482</v>
      </c>
      <c r="L44" s="20" t="n">
        <v>1.56899268</v>
      </c>
      <c r="M44" s="18" t="n">
        <v>9.92844882</v>
      </c>
      <c r="N44" s="20" t="n">
        <v>0.91807191</v>
      </c>
      <c r="O44" s="18" t="n">
        <v>0</v>
      </c>
      <c r="P44" s="20" t="n">
        <v>0</v>
      </c>
      <c r="Q44" s="18" t="n">
        <v>1.18731568</v>
      </c>
      <c r="R44" s="20" t="n">
        <v>0.29076399</v>
      </c>
      <c r="S44" s="18" t="n">
        <v>0</v>
      </c>
      <c r="T44" s="20" t="n">
        <v>0</v>
      </c>
      <c r="U44" s="18" t="n">
        <v>0</v>
      </c>
      <c r="V44" s="20" t="n">
        <v>0</v>
      </c>
      <c r="W44" s="18" t="n">
        <v>21.66047504</v>
      </c>
      <c r="X44" s="20" t="n">
        <v>1.51437269</v>
      </c>
    </row>
    <row r="45" spans="1:24">
      <c r="A45" s="15" t="s">
        <v>604</v>
      </c>
      <c r="B45" s="17" t="n">
        <v>5519</v>
      </c>
      <c r="C45" s="18">
        <f>(3697.0/B45*100)</f>
        <v/>
      </c>
      <c r="D45" s="19" t="n">
        <v>1822</v>
      </c>
      <c r="E45" s="18" t="n">
        <v>29.38883753</v>
      </c>
      <c r="F45" s="20" t="n">
        <v>1.27176358</v>
      </c>
      <c r="G45" s="18" t="n">
        <v>31.8428206</v>
      </c>
      <c r="H45" s="20" t="n">
        <v>1.2250344</v>
      </c>
      <c r="I45" s="18" t="n">
        <v>0</v>
      </c>
      <c r="J45" s="20" t="n">
        <v>0</v>
      </c>
      <c r="K45" s="18" t="n">
        <v>7.70488226</v>
      </c>
      <c r="L45" s="20" t="n">
        <v>0.89345456</v>
      </c>
      <c r="M45" s="18" t="n">
        <v>5.11167727</v>
      </c>
      <c r="N45" s="20" t="n">
        <v>0.52290387</v>
      </c>
      <c r="O45" s="18" t="n">
        <v>0</v>
      </c>
      <c r="P45" s="20" t="n">
        <v>0</v>
      </c>
      <c r="Q45" s="18" t="n">
        <v>3.32975411</v>
      </c>
      <c r="R45" s="20" t="n">
        <v>0.51450474</v>
      </c>
      <c r="S45" s="18" t="n">
        <v>0.72630995</v>
      </c>
      <c r="T45" s="20" t="n">
        <v>0.21988484</v>
      </c>
      <c r="U45" s="18" t="n">
        <v>0.22201933</v>
      </c>
      <c r="V45" s="20" t="n">
        <v>0.11324769</v>
      </c>
      <c r="W45" s="18" t="n">
        <v>21.67369894</v>
      </c>
      <c r="X45" s="20" t="n">
        <v>1.44026803</v>
      </c>
    </row>
    <row r="46" spans="1:24">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c r="W46" s="18" t="s">
        <v>603</v>
      </c>
      <c r="X46" s="20" t="s">
        <v>603</v>
      </c>
    </row>
    <row r="47" spans="1:24">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c r="W47" s="18" t="s">
        <v>603</v>
      </c>
      <c r="X47" s="20" t="s">
        <v>603</v>
      </c>
    </row>
    <row r="48" spans="1:24">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c r="W48" s="18" t="s">
        <v>603</v>
      </c>
      <c r="X48" s="20" t="s">
        <v>603</v>
      </c>
    </row>
    <row r="49" spans="1:24">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c r="W49" s="18" t="s">
        <v>603</v>
      </c>
      <c r="X49" s="20" t="s">
        <v>603</v>
      </c>
    </row>
    <row r="50" spans="1:24">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c r="W50" s="18" t="s">
        <v>603</v>
      </c>
      <c r="X50" s="20" t="s">
        <v>603</v>
      </c>
    </row>
    <row r="51" spans="1:24">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c r="W51" s="18" t="s">
        <v>603</v>
      </c>
      <c r="X51" s="20" t="s">
        <v>603</v>
      </c>
    </row>
    <row r="52" spans="1:24">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c r="W52" s="18" t="s">
        <v>603</v>
      </c>
      <c r="X52" s="20" t="s">
        <v>603</v>
      </c>
    </row>
    <row r="53" spans="1:24">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c r="W53" s="18" t="s">
        <v>603</v>
      </c>
      <c r="X53" s="20" t="s">
        <v>603</v>
      </c>
    </row>
    <row r="54" spans="1:24">
      <c r="A54" s="15" t="s">
        <v>613</v>
      </c>
      <c r="B54" s="17" t="n">
        <v>5316</v>
      </c>
      <c r="C54" s="18">
        <f>(3562.0/B54*100)</f>
        <v/>
      </c>
      <c r="D54" s="19" t="n">
        <v>1754</v>
      </c>
      <c r="E54" s="18" t="n">
        <v>18.86112044</v>
      </c>
      <c r="F54" s="20" t="n">
        <v>1.00669802</v>
      </c>
      <c r="G54" s="18" t="n">
        <v>19.96939758</v>
      </c>
      <c r="H54" s="20" t="n">
        <v>1.03224975</v>
      </c>
      <c r="I54" s="18" t="n">
        <v>0</v>
      </c>
      <c r="J54" s="20" t="n">
        <v>0</v>
      </c>
      <c r="K54" s="18" t="n">
        <v>16.0823758</v>
      </c>
      <c r="L54" s="20" t="n">
        <v>0.9020004</v>
      </c>
      <c r="M54" s="18" t="n">
        <v>5.32726244</v>
      </c>
      <c r="N54" s="20" t="n">
        <v>0.49221206</v>
      </c>
      <c r="O54" s="18" t="n">
        <v>0</v>
      </c>
      <c r="P54" s="20" t="n">
        <v>0</v>
      </c>
      <c r="Q54" s="18" t="n">
        <v>1.09848019</v>
      </c>
      <c r="R54" s="20" t="n">
        <v>0.2710237</v>
      </c>
      <c r="S54" s="18" t="n">
        <v>0.09731929</v>
      </c>
      <c r="T54" s="20" t="n">
        <v>0.0686871</v>
      </c>
      <c r="U54" s="18" t="n">
        <v>0.04692475</v>
      </c>
      <c r="V54" s="20" t="n">
        <v>0.04689735</v>
      </c>
      <c r="W54" s="18" t="n">
        <v>38.5171195</v>
      </c>
      <c r="X54" s="20" t="n">
        <v>1.30372912</v>
      </c>
    </row>
    <row r="55" spans="1:24">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c r="W55" s="18" t="s">
        <v>603</v>
      </c>
      <c r="X55" s="20" t="s">
        <v>603</v>
      </c>
    </row>
    <row r="56" spans="1:24">
      <c r="A56" s="15" t="s">
        <v>615</v>
      </c>
      <c r="B56" s="17" t="n">
        <v>6513</v>
      </c>
      <c r="C56" s="18">
        <f>(4319.0/B56*100)</f>
        <v/>
      </c>
      <c r="D56" s="19" t="n">
        <v>2194</v>
      </c>
      <c r="E56" s="18" t="n">
        <v>34.31401743</v>
      </c>
      <c r="F56" s="20" t="n">
        <v>1.09217989</v>
      </c>
      <c r="G56" s="18" t="n">
        <v>38.37348877</v>
      </c>
      <c r="H56" s="20" t="n">
        <v>1.11486442</v>
      </c>
      <c r="I56" s="18" t="n">
        <v>0</v>
      </c>
      <c r="J56" s="20" t="n">
        <v>0</v>
      </c>
      <c r="K56" s="18" t="n">
        <v>12.85744632</v>
      </c>
      <c r="L56" s="20" t="n">
        <v>0.75457704</v>
      </c>
      <c r="M56" s="18" t="n">
        <v>7.90426703</v>
      </c>
      <c r="N56" s="20" t="n">
        <v>0.64487396</v>
      </c>
      <c r="O56" s="18" t="n">
        <v>0</v>
      </c>
      <c r="P56" s="20" t="n">
        <v>0</v>
      </c>
      <c r="Q56" s="18" t="n">
        <v>1.13818288</v>
      </c>
      <c r="R56" s="20" t="n">
        <v>0.33161081</v>
      </c>
      <c r="S56" s="18" t="n">
        <v>0.18672277</v>
      </c>
      <c r="T56" s="20" t="n">
        <v>0.111494</v>
      </c>
      <c r="U56" s="18" t="n">
        <v>0</v>
      </c>
      <c r="V56" s="20" t="n">
        <v>0</v>
      </c>
      <c r="W56" s="18" t="n">
        <v>5.2258748</v>
      </c>
      <c r="X56" s="20" t="n">
        <v>0.70514806</v>
      </c>
    </row>
    <row r="57" spans="1:24">
      <c r="A57" s="15" t="s">
        <v>616</v>
      </c>
      <c r="B57" s="17" t="n">
        <v>7267</v>
      </c>
      <c r="C57" s="18">
        <f>(4831.0/B57*100)</f>
        <v/>
      </c>
      <c r="D57" s="19" t="n">
        <v>2436</v>
      </c>
      <c r="E57" s="18" t="n">
        <v>20.4244313</v>
      </c>
      <c r="F57" s="20" t="n">
        <v>0.93221915</v>
      </c>
      <c r="G57" s="18" t="n">
        <v>28.31989983</v>
      </c>
      <c r="H57" s="20" t="n">
        <v>1.19125726</v>
      </c>
      <c r="I57" s="18" t="n">
        <v>0</v>
      </c>
      <c r="J57" s="20" t="n">
        <v>0</v>
      </c>
      <c r="K57" s="18" t="n">
        <v>25.68173037</v>
      </c>
      <c r="L57" s="20" t="n">
        <v>1.0068996</v>
      </c>
      <c r="M57" s="18" t="n">
        <v>10.35984333</v>
      </c>
      <c r="N57" s="20" t="n">
        <v>0.7333766900000001</v>
      </c>
      <c r="O57" s="18" t="n">
        <v>0</v>
      </c>
      <c r="P57" s="20" t="n">
        <v>0</v>
      </c>
      <c r="Q57" s="18" t="n">
        <v>0.8132499399999999</v>
      </c>
      <c r="R57" s="20" t="n">
        <v>0.19250599</v>
      </c>
      <c r="S57" s="18" t="n">
        <v>0</v>
      </c>
      <c r="T57" s="20" t="n">
        <v>0</v>
      </c>
      <c r="U57" s="18" t="n">
        <v>0</v>
      </c>
      <c r="V57" s="20" t="n">
        <v>0</v>
      </c>
      <c r="W57" s="18" t="n">
        <v>14.40084523</v>
      </c>
      <c r="X57" s="20" t="n">
        <v>1.07689351</v>
      </c>
    </row>
    <row r="58" spans="1:24">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row>
    <row r="59" spans="1:24">
      <c r="A59" s="15" t="s">
        <v>619</v>
      </c>
      <c r="B59" s="17" t="n">
        <v>4826</v>
      </c>
      <c r="C59" s="18">
        <f>(3215.0/B59*100)</f>
        <v/>
      </c>
      <c r="D59" s="19" t="n">
        <v>1611</v>
      </c>
      <c r="E59" s="18" t="n">
        <v>39.72575881</v>
      </c>
      <c r="F59" s="20" t="n">
        <v>1.28110071</v>
      </c>
      <c r="G59" s="18" t="n">
        <v>22.04201844</v>
      </c>
      <c r="H59" s="20" t="n">
        <v>1.24654805</v>
      </c>
      <c r="I59" s="18" t="n">
        <v>0</v>
      </c>
      <c r="J59" s="20" t="n">
        <v>0</v>
      </c>
      <c r="K59" s="18" t="n">
        <v>14.67541633</v>
      </c>
      <c r="L59" s="20" t="n">
        <v>1.20084939</v>
      </c>
      <c r="M59" s="18" t="n">
        <v>4.18025375</v>
      </c>
      <c r="N59" s="20" t="n">
        <v>0.52807254</v>
      </c>
      <c r="O59" s="18" t="n">
        <v>0</v>
      </c>
      <c r="P59" s="20" t="n">
        <v>0</v>
      </c>
      <c r="Q59" s="18" t="n">
        <v>0.17071176</v>
      </c>
      <c r="R59" s="20" t="n">
        <v>0.08599091</v>
      </c>
      <c r="S59" s="18" t="n">
        <v>0.04295787</v>
      </c>
      <c r="T59" s="20" t="n">
        <v>0.03076903</v>
      </c>
      <c r="U59" s="18" t="n">
        <v>0</v>
      </c>
      <c r="V59" s="20" t="n">
        <v>0</v>
      </c>
      <c r="W59" s="18" t="n">
        <v>19.16288304</v>
      </c>
      <c r="X59" s="20" t="n">
        <v>1.09863793</v>
      </c>
    </row>
    <row r="60" spans="1:24">
      <c r="A60" s="15" t="s">
        <v>620</v>
      </c>
      <c r="B60" s="17" t="n">
        <v>4546</v>
      </c>
      <c r="C60" s="18">
        <f>(3042.0/B60*100)</f>
        <v/>
      </c>
      <c r="D60" s="19" t="n">
        <v>1504</v>
      </c>
      <c r="E60" s="18" t="n">
        <v>13.5127859</v>
      </c>
      <c r="F60" s="20" t="n">
        <v>1.11517111</v>
      </c>
      <c r="G60" s="18" t="n">
        <v>33.50865908</v>
      </c>
      <c r="H60" s="20" t="n">
        <v>1.40882522</v>
      </c>
      <c r="I60" s="18" t="n">
        <v>0</v>
      </c>
      <c r="J60" s="20" t="n">
        <v>0</v>
      </c>
      <c r="K60" s="18" t="n">
        <v>18.18933651</v>
      </c>
      <c r="L60" s="20" t="n">
        <v>1.17619741</v>
      </c>
      <c r="M60" s="18" t="n">
        <v>6.71431261</v>
      </c>
      <c r="N60" s="20" t="n">
        <v>0.61891231</v>
      </c>
      <c r="O60" s="18" t="n">
        <v>0</v>
      </c>
      <c r="P60" s="20" t="n">
        <v>0</v>
      </c>
      <c r="Q60" s="18" t="n">
        <v>2.7366331</v>
      </c>
      <c r="R60" s="20" t="n">
        <v>0.52232232</v>
      </c>
      <c r="S60" s="18" t="n">
        <v>0</v>
      </c>
      <c r="T60" s="20" t="n">
        <v>0</v>
      </c>
      <c r="U60" s="18" t="n">
        <v>0.1976639</v>
      </c>
      <c r="V60" s="20" t="n">
        <v>0.11634218</v>
      </c>
      <c r="W60" s="18" t="n">
        <v>25.1406089</v>
      </c>
      <c r="X60" s="20" t="n">
        <v>1.73849546</v>
      </c>
    </row>
    <row r="61" spans="1:24">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c r="W61" s="18" t="s">
        <v>603</v>
      </c>
      <c r="X61" s="20" t="s">
        <v>603</v>
      </c>
    </row>
    <row r="62" spans="1:24">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c r="W62" s="18" t="s">
        <v>603</v>
      </c>
      <c r="X62" s="20" t="s">
        <v>603</v>
      </c>
    </row>
    <row r="63" spans="1:24">
      <c r="A63" s="15" t="s">
        <v>623</v>
      </c>
      <c r="B63" s="17" t="n">
        <v>5324</v>
      </c>
      <c r="C63" s="18">
        <f>(3548.0/B63*100)</f>
        <v/>
      </c>
      <c r="D63" s="19" t="n">
        <v>1776</v>
      </c>
      <c r="E63" s="18" t="n">
        <v>21.73976438</v>
      </c>
      <c r="F63" s="20" t="n">
        <v>1.07051401</v>
      </c>
      <c r="G63" s="18" t="n">
        <v>13.5865442</v>
      </c>
      <c r="H63" s="20" t="n">
        <v>0.98529075</v>
      </c>
      <c r="I63" s="18" t="n">
        <v>0</v>
      </c>
      <c r="J63" s="20" t="n">
        <v>0</v>
      </c>
      <c r="K63" s="18" t="n">
        <v>7.58714059</v>
      </c>
      <c r="L63" s="20" t="n">
        <v>0.62234321</v>
      </c>
      <c r="M63" s="18" t="n">
        <v>9.005940620000001</v>
      </c>
      <c r="N63" s="20" t="n">
        <v>0.70898584</v>
      </c>
      <c r="O63" s="18" t="n">
        <v>0</v>
      </c>
      <c r="P63" s="20" t="n">
        <v>0</v>
      </c>
      <c r="Q63" s="18" t="n">
        <v>1.5230607</v>
      </c>
      <c r="R63" s="20" t="n">
        <v>0.32331801</v>
      </c>
      <c r="S63" s="18" t="n">
        <v>0</v>
      </c>
      <c r="T63" s="20" t="n">
        <v>0</v>
      </c>
      <c r="U63" s="18" t="n">
        <v>0</v>
      </c>
      <c r="V63" s="20" t="n">
        <v>0</v>
      </c>
      <c r="W63" s="18" t="n">
        <v>46.5575495</v>
      </c>
      <c r="X63" s="20" t="n">
        <v>1.31417087</v>
      </c>
    </row>
    <row r="64" spans="1:24">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row>
    <row r="65" spans="1:24">
      <c r="A65" s="15" t="s">
        <v>625</v>
      </c>
      <c r="B65" s="17" t="n">
        <v>3634</v>
      </c>
      <c r="C65" s="18">
        <f>(2415.0/B65*100)</f>
        <v/>
      </c>
      <c r="D65" s="19" t="n">
        <v>1219</v>
      </c>
      <c r="E65" s="18" t="n">
        <v>6.50913613</v>
      </c>
      <c r="F65" s="20" t="n">
        <v>0.65593692</v>
      </c>
      <c r="G65" s="18" t="n">
        <v>25.63486056</v>
      </c>
      <c r="H65" s="20" t="n">
        <v>1.1631993</v>
      </c>
      <c r="I65" s="18" t="n">
        <v>0</v>
      </c>
      <c r="J65" s="20" t="n">
        <v>0</v>
      </c>
      <c r="K65" s="18" t="n">
        <v>36.76948005</v>
      </c>
      <c r="L65" s="20" t="n">
        <v>1.43784245</v>
      </c>
      <c r="M65" s="18" t="n">
        <v>9.585765479999999</v>
      </c>
      <c r="N65" s="20" t="n">
        <v>0.83972191</v>
      </c>
      <c r="O65" s="18" t="n">
        <v>0</v>
      </c>
      <c r="P65" s="20" t="n">
        <v>0</v>
      </c>
      <c r="Q65" s="18" t="n">
        <v>2.22700278</v>
      </c>
      <c r="R65" s="20" t="n">
        <v>0.41885534</v>
      </c>
      <c r="S65" s="18" t="n">
        <v>0</v>
      </c>
      <c r="T65" s="20" t="n">
        <v>0</v>
      </c>
      <c r="U65" s="18" t="n">
        <v>0</v>
      </c>
      <c r="V65" s="20" t="n">
        <v>0</v>
      </c>
      <c r="W65" s="18" t="n">
        <v>19.273755</v>
      </c>
      <c r="X65" s="20" t="n">
        <v>1.06701527</v>
      </c>
    </row>
    <row r="66" spans="1:24">
      <c r="A66" s="15" t="s">
        <v>626</v>
      </c>
      <c r="B66" s="17" t="n">
        <v>5325</v>
      </c>
      <c r="C66" s="18">
        <f>(3532.0/B66*100)</f>
        <v/>
      </c>
      <c r="D66" s="19" t="n">
        <v>1793</v>
      </c>
      <c r="E66" s="18" t="n">
        <v>13.90191305</v>
      </c>
      <c r="F66" s="20" t="n">
        <v>0.8199303100000001</v>
      </c>
      <c r="G66" s="18" t="n">
        <v>23.45012875</v>
      </c>
      <c r="H66" s="20" t="n">
        <v>1.08504472</v>
      </c>
      <c r="I66" s="18" t="n">
        <v>0</v>
      </c>
      <c r="J66" s="20" t="n">
        <v>0</v>
      </c>
      <c r="K66" s="18" t="n">
        <v>21.30606145</v>
      </c>
      <c r="L66" s="20" t="n">
        <v>1.1941863</v>
      </c>
      <c r="M66" s="18" t="n">
        <v>7.42049454</v>
      </c>
      <c r="N66" s="20" t="n">
        <v>0.82979504</v>
      </c>
      <c r="O66" s="18" t="n">
        <v>0</v>
      </c>
      <c r="P66" s="20" t="n">
        <v>0</v>
      </c>
      <c r="Q66" s="18" t="n">
        <v>2.57877132</v>
      </c>
      <c r="R66" s="20" t="n">
        <v>0.34679529</v>
      </c>
      <c r="S66" s="18" t="n">
        <v>0</v>
      </c>
      <c r="T66" s="20" t="n">
        <v>0</v>
      </c>
      <c r="U66" s="18" t="n">
        <v>0</v>
      </c>
      <c r="V66" s="20" t="n">
        <v>0</v>
      </c>
      <c r="W66" s="18" t="n">
        <v>31.34263089</v>
      </c>
      <c r="X66" s="20" t="n">
        <v>1.35172816</v>
      </c>
    </row>
    <row r="67" spans="1:24">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c r="W67" s="18" t="s">
        <v>603</v>
      </c>
      <c r="X67" s="20" t="s">
        <v>603</v>
      </c>
    </row>
    <row r="68" spans="1:24">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c r="W68" s="18" t="s">
        <v>603</v>
      </c>
      <c r="X68" s="20" t="s">
        <v>603</v>
      </c>
    </row>
    <row r="69" spans="1:24">
      <c r="A69" s="15" t="s">
        <v>629</v>
      </c>
      <c r="B69" s="17" t="n">
        <v>1398</v>
      </c>
      <c r="C69" s="18">
        <f>(932.0/B69*100)</f>
        <v/>
      </c>
      <c r="D69" s="19" t="n">
        <v>466</v>
      </c>
      <c r="E69" s="18" t="n">
        <v>14.20786143</v>
      </c>
      <c r="F69" s="20" t="n">
        <v>1.60384141</v>
      </c>
      <c r="G69" s="18" t="n">
        <v>52.07660082</v>
      </c>
      <c r="H69" s="20" t="n">
        <v>2.51654483</v>
      </c>
      <c r="I69" s="18" t="n">
        <v>0</v>
      </c>
      <c r="J69" s="20" t="n">
        <v>0</v>
      </c>
      <c r="K69" s="18" t="n">
        <v>10.17600234</v>
      </c>
      <c r="L69" s="20" t="n">
        <v>1.77729814</v>
      </c>
      <c r="M69" s="18" t="n">
        <v>0.66862913</v>
      </c>
      <c r="N69" s="20" t="n">
        <v>0.51462834</v>
      </c>
      <c r="O69" s="18" t="n">
        <v>0</v>
      </c>
      <c r="P69" s="20" t="n">
        <v>0</v>
      </c>
      <c r="Q69" s="18" t="n">
        <v>0.46892584</v>
      </c>
      <c r="R69" s="20" t="n">
        <v>0.34426021</v>
      </c>
      <c r="S69" s="18" t="n">
        <v>0</v>
      </c>
      <c r="T69" s="20" t="n">
        <v>0</v>
      </c>
      <c r="U69" s="18" t="n">
        <v>0</v>
      </c>
      <c r="V69" s="20" t="n">
        <v>0</v>
      </c>
      <c r="W69" s="18" t="n">
        <v>22.40198045</v>
      </c>
      <c r="X69" s="20" t="n">
        <v>1.9533485</v>
      </c>
    </row>
    <row r="70" spans="1:24">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c r="W70" s="18" t="s">
        <v>603</v>
      </c>
      <c r="X70" s="20" t="s">
        <v>603</v>
      </c>
    </row>
    <row r="71" spans="1:24">
      <c r="A71" s="15" t="s">
        <v>631</v>
      </c>
      <c r="B71" s="17" t="n">
        <v>4876</v>
      </c>
      <c r="C71" s="18">
        <f>(3274.0/B71*100)</f>
        <v/>
      </c>
      <c r="D71" s="19" t="n">
        <v>1602</v>
      </c>
      <c r="E71" s="18" t="n">
        <v>23.88197407</v>
      </c>
      <c r="F71" s="20" t="n">
        <v>1.17852273</v>
      </c>
      <c r="G71" s="18" t="n">
        <v>49.2469204</v>
      </c>
      <c r="H71" s="20" t="n">
        <v>1.64341155</v>
      </c>
      <c r="I71" s="18" t="n">
        <v>0</v>
      </c>
      <c r="J71" s="20" t="n">
        <v>0</v>
      </c>
      <c r="K71" s="18" t="n">
        <v>18.60785314</v>
      </c>
      <c r="L71" s="20" t="n">
        <v>1.19574805</v>
      </c>
      <c r="M71" s="18" t="n">
        <v>7.99107085</v>
      </c>
      <c r="N71" s="20" t="n">
        <v>0.87526854</v>
      </c>
      <c r="O71" s="18" t="n">
        <v>0</v>
      </c>
      <c r="P71" s="20" t="n">
        <v>0</v>
      </c>
      <c r="Q71" s="18" t="n">
        <v>0</v>
      </c>
      <c r="R71" s="20" t="n">
        <v>0</v>
      </c>
      <c r="S71" s="18" t="n">
        <v>0</v>
      </c>
      <c r="T71" s="20" t="n">
        <v>0</v>
      </c>
      <c r="U71" s="18" t="n">
        <v>0</v>
      </c>
      <c r="V71" s="20" t="n">
        <v>0</v>
      </c>
      <c r="W71" s="18" t="n">
        <v>0.27218155</v>
      </c>
      <c r="X71" s="20" t="n">
        <v>0.14631267</v>
      </c>
    </row>
    <row r="72" spans="1:24">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c r="W72" s="18" t="s">
        <v>603</v>
      </c>
      <c r="X72" s="20" t="s">
        <v>603</v>
      </c>
    </row>
    <row r="73" spans="1:24">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c r="W73" s="18" t="s">
        <v>603</v>
      </c>
      <c r="X73" s="20" t="s">
        <v>603</v>
      </c>
    </row>
    <row r="74" spans="1:24">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c r="W74" s="18" t="s">
        <v>603</v>
      </c>
      <c r="X74" s="20" t="s">
        <v>603</v>
      </c>
    </row>
    <row r="75" spans="1:24">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c r="W75" s="18" t="s">
        <v>603</v>
      </c>
      <c r="X75" s="20" t="s">
        <v>603</v>
      </c>
    </row>
    <row r="76" spans="1:24">
      <c r="A76" s="15" t="s">
        <v>636</v>
      </c>
      <c r="B76" s="17" t="n">
        <v>4692</v>
      </c>
      <c r="C76" s="18">
        <f>(3109.0/B76*100)</f>
        <v/>
      </c>
      <c r="D76" s="19" t="n">
        <v>1583</v>
      </c>
      <c r="E76" s="18" t="n">
        <v>9.647326939999999</v>
      </c>
      <c r="F76" s="20" t="n">
        <v>0.88604398</v>
      </c>
      <c r="G76" s="18" t="n">
        <v>29.14650396</v>
      </c>
      <c r="H76" s="20" t="n">
        <v>1.22329643</v>
      </c>
      <c r="I76" s="18" t="n">
        <v>0</v>
      </c>
      <c r="J76" s="20" t="n">
        <v>0</v>
      </c>
      <c r="K76" s="18" t="n">
        <v>19.80669664</v>
      </c>
      <c r="L76" s="20" t="n">
        <v>1.12372468</v>
      </c>
      <c r="M76" s="18" t="n">
        <v>10.23001661</v>
      </c>
      <c r="N76" s="20" t="n">
        <v>0.7315364600000001</v>
      </c>
      <c r="O76" s="18" t="n">
        <v>0</v>
      </c>
      <c r="P76" s="20" t="n">
        <v>0</v>
      </c>
      <c r="Q76" s="18" t="n">
        <v>3.25098484</v>
      </c>
      <c r="R76" s="20" t="n">
        <v>0.53962672</v>
      </c>
      <c r="S76" s="18" t="n">
        <v>0</v>
      </c>
      <c r="T76" s="20" t="n">
        <v>0</v>
      </c>
      <c r="U76" s="18" t="n">
        <v>0</v>
      </c>
      <c r="V76" s="20" t="n">
        <v>0</v>
      </c>
      <c r="W76" s="18" t="n">
        <v>27.91847102</v>
      </c>
      <c r="X76" s="20" t="n">
        <v>1.20162892</v>
      </c>
    </row>
    <row r="77" spans="1:24">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c r="W77" s="18" t="s">
        <v>603</v>
      </c>
      <c r="X77" s="20" t="s">
        <v>603</v>
      </c>
    </row>
    <row r="78" spans="1:24">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c r="W78" s="18" t="s">
        <v>603</v>
      </c>
      <c r="X78" s="20" t="s">
        <v>603</v>
      </c>
    </row>
    <row r="79" spans="1:24">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c r="W79" s="18" t="s">
        <v>603</v>
      </c>
      <c r="X79" s="20" t="s">
        <v>603</v>
      </c>
    </row>
    <row r="80" spans="1:24">
      <c r="A80" s="15" t="s">
        <v>640</v>
      </c>
      <c r="B80" s="17" t="n">
        <v>5826</v>
      </c>
      <c r="C80" s="18">
        <f>(3908.0/B80*100)</f>
        <v/>
      </c>
      <c r="D80" s="19" t="n">
        <v>1918</v>
      </c>
      <c r="E80" s="18" t="n">
        <v>9.9844721</v>
      </c>
      <c r="F80" s="20" t="n">
        <v>0.63187389</v>
      </c>
      <c r="G80" s="18" t="n">
        <v>38.93204864</v>
      </c>
      <c r="H80" s="20" t="n">
        <v>1.6677143</v>
      </c>
      <c r="I80" s="18" t="n">
        <v>0</v>
      </c>
      <c r="J80" s="20" t="n">
        <v>0</v>
      </c>
      <c r="K80" s="18" t="n">
        <v>31.03964419</v>
      </c>
      <c r="L80" s="20" t="n">
        <v>1.18818768</v>
      </c>
      <c r="M80" s="18" t="n">
        <v>18.12786115</v>
      </c>
      <c r="N80" s="20" t="n">
        <v>1.2638634</v>
      </c>
      <c r="O80" s="18" t="n">
        <v>0</v>
      </c>
      <c r="P80" s="20" t="n">
        <v>0</v>
      </c>
      <c r="Q80" s="18" t="n">
        <v>0</v>
      </c>
      <c r="R80" s="20" t="n">
        <v>0</v>
      </c>
      <c r="S80" s="18" t="n">
        <v>0</v>
      </c>
      <c r="T80" s="20" t="n">
        <v>0</v>
      </c>
      <c r="U80" s="18" t="n">
        <v>0</v>
      </c>
      <c r="V80" s="20" t="n">
        <v>0</v>
      </c>
      <c r="W80" s="18" t="n">
        <v>1.91597392</v>
      </c>
      <c r="X80" s="20" t="n">
        <v>0.42894786</v>
      </c>
    </row>
    <row r="81" spans="1:24">
      <c r="A81" s="15" t="s">
        <v>641</v>
      </c>
      <c r="B81" s="17" t="n">
        <v>1657</v>
      </c>
      <c r="C81" s="18">
        <f>(1100.0/B81*100)</f>
        <v/>
      </c>
      <c r="D81" s="19" t="n">
        <v>557</v>
      </c>
      <c r="E81" s="18" t="n">
        <v>19.0037586</v>
      </c>
      <c r="F81" s="20" t="n">
        <v>1.06398773</v>
      </c>
      <c r="G81" s="18" t="n">
        <v>23.41577443</v>
      </c>
      <c r="H81" s="20" t="n">
        <v>2.10260935</v>
      </c>
      <c r="I81" s="18" t="n">
        <v>0</v>
      </c>
      <c r="J81" s="20" t="n">
        <v>0</v>
      </c>
      <c r="K81" s="18" t="n">
        <v>21.41768698</v>
      </c>
      <c r="L81" s="20" t="n">
        <v>1.92827421</v>
      </c>
      <c r="M81" s="18" t="n">
        <v>8.87634121</v>
      </c>
      <c r="N81" s="20" t="n">
        <v>1.14601522</v>
      </c>
      <c r="O81" s="18" t="n">
        <v>0</v>
      </c>
      <c r="P81" s="20" t="n">
        <v>0</v>
      </c>
      <c r="Q81" s="18" t="n">
        <v>2.01327344</v>
      </c>
      <c r="R81" s="20" t="n">
        <v>0.50525672</v>
      </c>
      <c r="S81" s="18" t="n">
        <v>0</v>
      </c>
      <c r="T81" s="20" t="n">
        <v>0</v>
      </c>
      <c r="U81" s="18" t="n">
        <v>0</v>
      </c>
      <c r="V81" s="20" t="n">
        <v>0</v>
      </c>
      <c r="W81" s="18" t="n">
        <v>25.27316533</v>
      </c>
      <c r="X81" s="20" t="n">
        <v>1.93187826</v>
      </c>
    </row>
    <row r="82" spans="1:24">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c r="W82" s="18" t="s">
        <v>603</v>
      </c>
      <c r="X82" s="20" t="s">
        <v>603</v>
      </c>
    </row>
    <row r="83" spans="1:24">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c r="W83" s="18" t="s">
        <v>603</v>
      </c>
      <c r="X83" s="20" t="s">
        <v>603</v>
      </c>
    </row>
    <row r="84" spans="1:24">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c r="W84" s="18" t="s">
        <v>603</v>
      </c>
      <c r="X84" s="20" t="s">
        <v>603</v>
      </c>
    </row>
    <row r="86" spans="1:24">
      <c r="A86" s="3" t="s">
        <v>645</v>
      </c>
    </row>
    <row r="87" spans="1:24">
      <c r="A87" s="26" t="s">
        <v>646</v>
      </c>
    </row>
    <row r="88" spans="1:24">
      <c r="A88" s="26" t="s">
        <v>647</v>
      </c>
    </row>
    <row customHeight="1" ht="30" r="89" spans="1:24">
      <c r="A89" s="26" t="s">
        <v>648</v>
      </c>
    </row>
    <row customHeight="1" ht="30" r="90" spans="1:24">
      <c r="A90" s="26" t="s">
        <v>649</v>
      </c>
    </row>
    <row customHeight="1" ht="30" r="91" spans="1:24">
      <c r="A91" s="26" t="s">
        <v>650</v>
      </c>
    </row>
    <row customHeight="1" ht="30" r="92" spans="1:24">
      <c r="A92" s="26" t="s">
        <v>651</v>
      </c>
    </row>
    <row customHeight="1" ht="30" r="93" spans="1:24">
      <c r="A93" s="26" t="s">
        <v>652</v>
      </c>
    </row>
    <row customHeight="1" ht="30" r="94" spans="1:24">
      <c r="A94" s="26" t="s">
        <v>653</v>
      </c>
    </row>
  </sheetData>
  <mergeCells count="20">
    <mergeCell ref="E4:F4"/>
    <mergeCell ref="G4:H4"/>
    <mergeCell ref="I4:J4"/>
    <mergeCell ref="K4:L4"/>
    <mergeCell ref="M4:N4"/>
    <mergeCell ref="O4:P4"/>
    <mergeCell ref="Q4:R4"/>
    <mergeCell ref="S4:T4"/>
    <mergeCell ref="U4:V4"/>
    <mergeCell ref="W4:X4"/>
    <mergeCell ref="A1:X1"/>
    <mergeCell ref="A2:X2"/>
    <mergeCell ref="A87:X87"/>
    <mergeCell ref="A88:X88"/>
    <mergeCell ref="A89:X89"/>
    <mergeCell ref="A90:X90"/>
    <mergeCell ref="A91:X91"/>
    <mergeCell ref="A92:X92"/>
    <mergeCell ref="A93:X93"/>
    <mergeCell ref="A94:X94"/>
  </mergeCells>
  <pageMargins bottom="1" footer="0.5" header="0.5" left="0.75" right="0.75" top="1"/>
</worksheet>
</file>

<file path=xl/worksheets/sheet18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70.43144966</v>
      </c>
      <c r="F44" s="20" t="n">
        <v>1.36494792</v>
      </c>
      <c r="G44" s="18" t="n">
        <v>23.34371266</v>
      </c>
      <c r="H44" s="20" t="n">
        <v>1.26966877</v>
      </c>
      <c r="I44" s="18" t="n">
        <v>0</v>
      </c>
      <c r="J44" s="20" t="n">
        <v>0</v>
      </c>
      <c r="K44" s="18" t="n">
        <v>1.18731568</v>
      </c>
      <c r="L44" s="20" t="n">
        <v>0.29076399</v>
      </c>
      <c r="M44" s="18" t="n">
        <v>0</v>
      </c>
      <c r="N44" s="20" t="n">
        <v>0</v>
      </c>
      <c r="O44" s="18" t="n">
        <v>0</v>
      </c>
      <c r="P44" s="20" t="n">
        <v>0</v>
      </c>
      <c r="Q44" s="18" t="n">
        <v>5.037522</v>
      </c>
      <c r="R44" s="20" t="n">
        <v>0.57629911</v>
      </c>
    </row>
    <row r="45" spans="1:18">
      <c r="A45" s="15" t="s">
        <v>604</v>
      </c>
      <c r="B45" s="17" t="n">
        <v>5519</v>
      </c>
      <c r="C45" s="18">
        <f>(3697.0/B45*100)</f>
        <v/>
      </c>
      <c r="D45" s="19" t="n">
        <v>1822</v>
      </c>
      <c r="E45" s="18" t="n">
        <v>81.65829308000001</v>
      </c>
      <c r="F45" s="20" t="n">
        <v>0.92628096</v>
      </c>
      <c r="G45" s="18" t="n">
        <v>10.69202574</v>
      </c>
      <c r="H45" s="20" t="n">
        <v>0.68822719</v>
      </c>
      <c r="I45" s="18" t="n">
        <v>0</v>
      </c>
      <c r="J45" s="20" t="n">
        <v>0</v>
      </c>
      <c r="K45" s="18" t="n">
        <v>3.62939158</v>
      </c>
      <c r="L45" s="20" t="n">
        <v>0.53273731</v>
      </c>
      <c r="M45" s="18" t="n">
        <v>0</v>
      </c>
      <c r="N45" s="20" t="n">
        <v>0</v>
      </c>
      <c r="O45" s="18" t="n">
        <v>0.04324892</v>
      </c>
      <c r="P45" s="20" t="n">
        <v>0.04480254</v>
      </c>
      <c r="Q45" s="18" t="n">
        <v>3.97704068</v>
      </c>
      <c r="R45" s="20" t="n">
        <v>0.50288381</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80.31597855</v>
      </c>
      <c r="F54" s="20" t="n">
        <v>0.97316345</v>
      </c>
      <c r="G54" s="18" t="n">
        <v>14.08847891</v>
      </c>
      <c r="H54" s="20" t="n">
        <v>0.84734764</v>
      </c>
      <c r="I54" s="18" t="n">
        <v>0</v>
      </c>
      <c r="J54" s="20" t="n">
        <v>0</v>
      </c>
      <c r="K54" s="18" t="n">
        <v>1.14574859</v>
      </c>
      <c r="L54" s="20" t="n">
        <v>0.27405886</v>
      </c>
      <c r="M54" s="18" t="n">
        <v>0</v>
      </c>
      <c r="N54" s="20" t="n">
        <v>0</v>
      </c>
      <c r="O54" s="18" t="n">
        <v>0.05154324</v>
      </c>
      <c r="P54" s="20" t="n">
        <v>0.04910056</v>
      </c>
      <c r="Q54" s="18" t="n">
        <v>4.39825071</v>
      </c>
      <c r="R54" s="20" t="n">
        <v>0.49103731</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87.48459861000001</v>
      </c>
      <c r="F56" s="20" t="n">
        <v>0.81673062</v>
      </c>
      <c r="G56" s="18" t="n">
        <v>9.5928763</v>
      </c>
      <c r="H56" s="20" t="n">
        <v>0.79942993</v>
      </c>
      <c r="I56" s="18" t="n">
        <v>0</v>
      </c>
      <c r="J56" s="20" t="n">
        <v>0</v>
      </c>
      <c r="K56" s="18" t="n">
        <v>1.18066084</v>
      </c>
      <c r="L56" s="20" t="n">
        <v>0.33964192</v>
      </c>
      <c r="M56" s="18" t="n">
        <v>0.05916573</v>
      </c>
      <c r="N56" s="20" t="n">
        <v>0.05892445</v>
      </c>
      <c r="O56" s="18" t="n">
        <v>0</v>
      </c>
      <c r="P56" s="20" t="n">
        <v>0</v>
      </c>
      <c r="Q56" s="18" t="n">
        <v>1.68269853</v>
      </c>
      <c r="R56" s="20" t="n">
        <v>0.33124647</v>
      </c>
    </row>
    <row r="57" spans="1:18">
      <c r="A57" s="15" t="s">
        <v>616</v>
      </c>
      <c r="B57" s="17" t="n">
        <v>7267</v>
      </c>
      <c r="C57" s="18">
        <f>(4831.0/B57*100)</f>
        <v/>
      </c>
      <c r="D57" s="19" t="n">
        <v>2436</v>
      </c>
      <c r="E57" s="18" t="n">
        <v>82.53842172</v>
      </c>
      <c r="F57" s="20" t="n">
        <v>0.95811134</v>
      </c>
      <c r="G57" s="18" t="n">
        <v>14.69544233</v>
      </c>
      <c r="H57" s="20" t="n">
        <v>0.90755233</v>
      </c>
      <c r="I57" s="18" t="n">
        <v>0</v>
      </c>
      <c r="J57" s="20" t="n">
        <v>0</v>
      </c>
      <c r="K57" s="18" t="n">
        <v>0.8132499399999999</v>
      </c>
      <c r="L57" s="20" t="n">
        <v>0.19250599</v>
      </c>
      <c r="M57" s="18" t="n">
        <v>0</v>
      </c>
      <c r="N57" s="20" t="n">
        <v>0</v>
      </c>
      <c r="O57" s="18" t="n">
        <v>0</v>
      </c>
      <c r="P57" s="20" t="n">
        <v>0</v>
      </c>
      <c r="Q57" s="18" t="n">
        <v>1.95288601</v>
      </c>
      <c r="R57" s="20" t="n">
        <v>0.31523313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76.60193665</v>
      </c>
      <c r="F59" s="20" t="n">
        <v>1.3079881</v>
      </c>
      <c r="G59" s="18" t="n">
        <v>21.436775</v>
      </c>
      <c r="H59" s="20" t="n">
        <v>1.33008603</v>
      </c>
      <c r="I59" s="18" t="n">
        <v>0</v>
      </c>
      <c r="J59" s="20" t="n">
        <v>0</v>
      </c>
      <c r="K59" s="18" t="n">
        <v>0.17071176</v>
      </c>
      <c r="L59" s="20" t="n">
        <v>0.08599091</v>
      </c>
      <c r="M59" s="18" t="n">
        <v>0</v>
      </c>
      <c r="N59" s="20" t="n">
        <v>0</v>
      </c>
      <c r="O59" s="18" t="n">
        <v>0.07972878999999999</v>
      </c>
      <c r="P59" s="20" t="n">
        <v>0.08034054</v>
      </c>
      <c r="Q59" s="18" t="n">
        <v>1.7108478</v>
      </c>
      <c r="R59" s="20" t="n">
        <v>0.35600787</v>
      </c>
    </row>
    <row r="60" spans="1:18">
      <c r="A60" s="15" t="s">
        <v>620</v>
      </c>
      <c r="B60" s="17" t="n">
        <v>4546</v>
      </c>
      <c r="C60" s="18">
        <f>(3042.0/B60*100)</f>
        <v/>
      </c>
      <c r="D60" s="19" t="n">
        <v>1504</v>
      </c>
      <c r="E60" s="18" t="n">
        <v>71.12455561</v>
      </c>
      <c r="F60" s="20" t="n">
        <v>1.4382506</v>
      </c>
      <c r="G60" s="18" t="n">
        <v>23.30261234</v>
      </c>
      <c r="H60" s="20" t="n">
        <v>1.29047275</v>
      </c>
      <c r="I60" s="18" t="n">
        <v>0</v>
      </c>
      <c r="J60" s="20" t="n">
        <v>0</v>
      </c>
      <c r="K60" s="18" t="n">
        <v>2.81055119</v>
      </c>
      <c r="L60" s="20" t="n">
        <v>0.5362335</v>
      </c>
      <c r="M60" s="18" t="n">
        <v>0</v>
      </c>
      <c r="N60" s="20" t="n">
        <v>0</v>
      </c>
      <c r="O60" s="18" t="n">
        <v>0.13122856</v>
      </c>
      <c r="P60" s="20" t="n">
        <v>0.09641107</v>
      </c>
      <c r="Q60" s="18" t="n">
        <v>2.6310523</v>
      </c>
      <c r="R60" s="20" t="n">
        <v>0.4926695</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75.30879169000001</v>
      </c>
      <c r="F63" s="20" t="n">
        <v>1.08972575</v>
      </c>
      <c r="G63" s="18" t="n">
        <v>17.01234947</v>
      </c>
      <c r="H63" s="20" t="n">
        <v>0.98883699</v>
      </c>
      <c r="I63" s="18" t="n">
        <v>0</v>
      </c>
      <c r="J63" s="20" t="n">
        <v>0</v>
      </c>
      <c r="K63" s="18" t="n">
        <v>1.5230607</v>
      </c>
      <c r="L63" s="20" t="n">
        <v>0.32331801</v>
      </c>
      <c r="M63" s="18" t="n">
        <v>0</v>
      </c>
      <c r="N63" s="20" t="n">
        <v>0</v>
      </c>
      <c r="O63" s="18" t="n">
        <v>0</v>
      </c>
      <c r="P63" s="20" t="n">
        <v>0</v>
      </c>
      <c r="Q63" s="18" t="n">
        <v>6.15579814</v>
      </c>
      <c r="R63" s="20" t="n">
        <v>0.69964916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58.5624153</v>
      </c>
      <c r="F65" s="20" t="n">
        <v>1.30052959</v>
      </c>
      <c r="G65" s="18" t="n">
        <v>37.12309671</v>
      </c>
      <c r="H65" s="20" t="n">
        <v>1.33694969</v>
      </c>
      <c r="I65" s="18" t="n">
        <v>0</v>
      </c>
      <c r="J65" s="20" t="n">
        <v>0</v>
      </c>
      <c r="K65" s="18" t="n">
        <v>2.22700278</v>
      </c>
      <c r="L65" s="20" t="n">
        <v>0.41885534</v>
      </c>
      <c r="M65" s="18" t="n">
        <v>0</v>
      </c>
      <c r="N65" s="20" t="n">
        <v>0</v>
      </c>
      <c r="O65" s="18" t="n">
        <v>0</v>
      </c>
      <c r="P65" s="20" t="n">
        <v>0</v>
      </c>
      <c r="Q65" s="18" t="n">
        <v>2.08748521</v>
      </c>
      <c r="R65" s="20" t="n">
        <v>0.40718287</v>
      </c>
    </row>
    <row r="66" spans="1:18">
      <c r="A66" s="15" t="s">
        <v>626</v>
      </c>
      <c r="B66" s="17" t="n">
        <v>5325</v>
      </c>
      <c r="C66" s="18">
        <f>(3532.0/B66*100)</f>
        <v/>
      </c>
      <c r="D66" s="19" t="n">
        <v>1793</v>
      </c>
      <c r="E66" s="18" t="n">
        <v>67.248043</v>
      </c>
      <c r="F66" s="20" t="n">
        <v>1.07780374</v>
      </c>
      <c r="G66" s="18" t="n">
        <v>23.53756669</v>
      </c>
      <c r="H66" s="20" t="n">
        <v>0.94718961</v>
      </c>
      <c r="I66" s="18" t="n">
        <v>0</v>
      </c>
      <c r="J66" s="20" t="n">
        <v>0</v>
      </c>
      <c r="K66" s="18" t="n">
        <v>2.7443482</v>
      </c>
      <c r="L66" s="20" t="n">
        <v>0.34537818</v>
      </c>
      <c r="M66" s="18" t="n">
        <v>0.0458833</v>
      </c>
      <c r="N66" s="20" t="n">
        <v>0.04586567</v>
      </c>
      <c r="O66" s="18" t="n">
        <v>0</v>
      </c>
      <c r="P66" s="20" t="n">
        <v>0</v>
      </c>
      <c r="Q66" s="18" t="n">
        <v>6.42415881</v>
      </c>
      <c r="R66" s="20" t="n">
        <v>0.73262298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79.31301649</v>
      </c>
      <c r="F69" s="20" t="n">
        <v>1.15477949</v>
      </c>
      <c r="G69" s="18" t="n">
        <v>19.41624847</v>
      </c>
      <c r="H69" s="20" t="n">
        <v>1.16242541</v>
      </c>
      <c r="I69" s="18" t="n">
        <v>0</v>
      </c>
      <c r="J69" s="20" t="n">
        <v>0</v>
      </c>
      <c r="K69" s="18" t="n">
        <v>0.46892584</v>
      </c>
      <c r="L69" s="20" t="n">
        <v>0.34426021</v>
      </c>
      <c r="M69" s="18" t="n">
        <v>0</v>
      </c>
      <c r="N69" s="20" t="n">
        <v>0</v>
      </c>
      <c r="O69" s="18" t="n">
        <v>0</v>
      </c>
      <c r="P69" s="20" t="n">
        <v>0</v>
      </c>
      <c r="Q69" s="18" t="n">
        <v>0.8018092</v>
      </c>
      <c r="R69" s="20" t="n">
        <v>0.41352542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81.73336453</v>
      </c>
      <c r="F71" s="20" t="n">
        <v>0.87867907</v>
      </c>
      <c r="G71" s="18" t="n">
        <v>18.26663547</v>
      </c>
      <c r="H71" s="20" t="n">
        <v>0.87867907</v>
      </c>
      <c r="I71" s="18" t="n">
        <v>0</v>
      </c>
      <c r="J71" s="20" t="n">
        <v>0</v>
      </c>
      <c r="K71" s="18" t="n">
        <v>0</v>
      </c>
      <c r="L71" s="20" t="n">
        <v>0</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70.7174555</v>
      </c>
      <c r="F76" s="20" t="n">
        <v>1.13806303</v>
      </c>
      <c r="G76" s="18" t="n">
        <v>20.20074426</v>
      </c>
      <c r="H76" s="20" t="n">
        <v>0.98152482</v>
      </c>
      <c r="I76" s="18" t="n">
        <v>0</v>
      </c>
      <c r="J76" s="20" t="n">
        <v>0</v>
      </c>
      <c r="K76" s="18" t="n">
        <v>3.28290807</v>
      </c>
      <c r="L76" s="20" t="n">
        <v>0.5373785599999999</v>
      </c>
      <c r="M76" s="18" t="n">
        <v>0</v>
      </c>
      <c r="N76" s="20" t="n">
        <v>0</v>
      </c>
      <c r="O76" s="18" t="n">
        <v>0</v>
      </c>
      <c r="P76" s="20" t="n">
        <v>0</v>
      </c>
      <c r="Q76" s="18" t="n">
        <v>5.79889217</v>
      </c>
      <c r="R76" s="20" t="n">
        <v>0.69981786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42.3149716</v>
      </c>
      <c r="F80" s="20" t="n">
        <v>1.54223595</v>
      </c>
      <c r="G80" s="18" t="n">
        <v>57.6850284</v>
      </c>
      <c r="H80" s="20" t="n">
        <v>1.54223595</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(1100.0/B81*100)</f>
        <v/>
      </c>
      <c r="D81" s="19" t="n">
        <v>557</v>
      </c>
      <c r="E81" s="18" t="n">
        <v>71.65964557</v>
      </c>
      <c r="F81" s="20" t="n">
        <v>2.46722297</v>
      </c>
      <c r="G81" s="18" t="n">
        <v>23.89869765</v>
      </c>
      <c r="H81" s="20" t="n">
        <v>2.56054379</v>
      </c>
      <c r="I81" s="18" t="n">
        <v>0</v>
      </c>
      <c r="J81" s="20" t="n">
        <v>0</v>
      </c>
      <c r="K81" s="18" t="n">
        <v>2.01327344</v>
      </c>
      <c r="L81" s="20" t="n">
        <v>0.50525672</v>
      </c>
      <c r="M81" s="18" t="n">
        <v>0</v>
      </c>
      <c r="N81" s="20" t="n">
        <v>0</v>
      </c>
      <c r="O81" s="18" t="n">
        <v>0</v>
      </c>
      <c r="P81" s="20" t="n">
        <v>0</v>
      </c>
      <c r="Q81" s="18" t="n">
        <v>2.42838334</v>
      </c>
      <c r="R81" s="20" t="n">
        <v>0.65661692</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8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34.1563331</v>
      </c>
      <c r="F44" s="20" t="n">
        <v>1.66972582</v>
      </c>
      <c r="G44" s="18" t="n">
        <v>56.53590401</v>
      </c>
      <c r="H44" s="20" t="n">
        <v>1.74770931</v>
      </c>
      <c r="I44" s="18" t="n">
        <v>0</v>
      </c>
      <c r="J44" s="20" t="n">
        <v>0</v>
      </c>
      <c r="K44" s="18" t="n">
        <v>1.28422331</v>
      </c>
      <c r="L44" s="20" t="n">
        <v>0.31123139</v>
      </c>
      <c r="M44" s="18" t="n">
        <v>0</v>
      </c>
      <c r="N44" s="20" t="n">
        <v>0</v>
      </c>
      <c r="O44" s="18" t="n">
        <v>2.79094248</v>
      </c>
      <c r="P44" s="20" t="n">
        <v>0.44649372</v>
      </c>
      <c r="Q44" s="18" t="n">
        <v>5.2325971</v>
      </c>
      <c r="R44" s="20" t="n">
        <v>0.61094772</v>
      </c>
    </row>
    <row r="45" spans="1:18">
      <c r="A45" s="15" t="s">
        <v>604</v>
      </c>
      <c r="B45" s="17" t="n">
        <v>5519</v>
      </c>
      <c r="C45" s="18">
        <f>(3697.0/B45*100)</f>
        <v/>
      </c>
      <c r="D45" s="19" t="n">
        <v>1822</v>
      </c>
      <c r="E45" s="18" t="n">
        <v>50.71887854</v>
      </c>
      <c r="F45" s="20" t="n">
        <v>1.11992391</v>
      </c>
      <c r="G45" s="18" t="n">
        <v>31.5141364</v>
      </c>
      <c r="H45" s="20" t="n">
        <v>1.3542494</v>
      </c>
      <c r="I45" s="18" t="n">
        <v>0</v>
      </c>
      <c r="J45" s="20" t="n">
        <v>0</v>
      </c>
      <c r="K45" s="18" t="n">
        <v>4.13286664</v>
      </c>
      <c r="L45" s="20" t="n">
        <v>0.5501768500000001</v>
      </c>
      <c r="M45" s="18" t="n">
        <v>0.56939536</v>
      </c>
      <c r="N45" s="20" t="n">
        <v>0.1867438</v>
      </c>
      <c r="O45" s="18" t="n">
        <v>5.75466478</v>
      </c>
      <c r="P45" s="20" t="n">
        <v>0.64465944</v>
      </c>
      <c r="Q45" s="18" t="n">
        <v>7.31005828</v>
      </c>
      <c r="R45" s="20" t="n">
        <v>0.77913993</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38.09218903</v>
      </c>
      <c r="F54" s="20" t="n">
        <v>1.29391423</v>
      </c>
      <c r="G54" s="18" t="n">
        <v>56.56236822</v>
      </c>
      <c r="H54" s="20" t="n">
        <v>1.32543953</v>
      </c>
      <c r="I54" s="18" t="n">
        <v>0</v>
      </c>
      <c r="J54" s="20" t="n">
        <v>0</v>
      </c>
      <c r="K54" s="18" t="n">
        <v>1.26497783</v>
      </c>
      <c r="L54" s="20" t="n">
        <v>0.27583684</v>
      </c>
      <c r="M54" s="18" t="n">
        <v>0</v>
      </c>
      <c r="N54" s="20" t="n">
        <v>0</v>
      </c>
      <c r="O54" s="18" t="n">
        <v>1.35620135</v>
      </c>
      <c r="P54" s="20" t="n">
        <v>0.29658925</v>
      </c>
      <c r="Q54" s="18" t="n">
        <v>2.72426358</v>
      </c>
      <c r="R54" s="20" t="n">
        <v>0.38450299</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63.72280241</v>
      </c>
      <c r="F56" s="20" t="n">
        <v>1.26216641</v>
      </c>
      <c r="G56" s="18" t="n">
        <v>32.74942046</v>
      </c>
      <c r="H56" s="20" t="n">
        <v>1.31452777</v>
      </c>
      <c r="I56" s="18" t="n">
        <v>0</v>
      </c>
      <c r="J56" s="20" t="n">
        <v>0</v>
      </c>
      <c r="K56" s="18" t="n">
        <v>1.36831777</v>
      </c>
      <c r="L56" s="20" t="n">
        <v>0.33446396</v>
      </c>
      <c r="M56" s="18" t="n">
        <v>0</v>
      </c>
      <c r="N56" s="20" t="n">
        <v>0</v>
      </c>
      <c r="O56" s="18" t="n">
        <v>0.05493809</v>
      </c>
      <c r="P56" s="20" t="n">
        <v>0.05489025</v>
      </c>
      <c r="Q56" s="18" t="n">
        <v>2.10452127</v>
      </c>
      <c r="R56" s="20" t="n">
        <v>0.37846162</v>
      </c>
    </row>
    <row r="57" spans="1:18">
      <c r="A57" s="15" t="s">
        <v>616</v>
      </c>
      <c r="B57" s="17" t="n">
        <v>7267</v>
      </c>
      <c r="C57" s="18">
        <f>(4831.0/B57*100)</f>
        <v/>
      </c>
      <c r="D57" s="19" t="n">
        <v>2436</v>
      </c>
      <c r="E57" s="18" t="n">
        <v>62.6498472</v>
      </c>
      <c r="F57" s="20" t="n">
        <v>1.10144359</v>
      </c>
      <c r="G57" s="18" t="n">
        <v>30.82274791</v>
      </c>
      <c r="H57" s="20" t="n">
        <v>1.08255855</v>
      </c>
      <c r="I57" s="18" t="n">
        <v>0</v>
      </c>
      <c r="J57" s="20" t="n">
        <v>0</v>
      </c>
      <c r="K57" s="18" t="n">
        <v>0.99564624</v>
      </c>
      <c r="L57" s="20" t="n">
        <v>0.21515564</v>
      </c>
      <c r="M57" s="18" t="n">
        <v>0</v>
      </c>
      <c r="N57" s="20" t="n">
        <v>0</v>
      </c>
      <c r="O57" s="18" t="n">
        <v>0.94144555</v>
      </c>
      <c r="P57" s="20" t="n">
        <v>0.23721162</v>
      </c>
      <c r="Q57" s="18" t="n">
        <v>4.5903131</v>
      </c>
      <c r="R57" s="20" t="n">
        <v>0.4755678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55.94391482</v>
      </c>
      <c r="F59" s="20" t="n">
        <v>1.43649396</v>
      </c>
      <c r="G59" s="18" t="n">
        <v>37.00562242</v>
      </c>
      <c r="H59" s="20" t="n">
        <v>1.38069335</v>
      </c>
      <c r="I59" s="18" t="n">
        <v>0</v>
      </c>
      <c r="J59" s="20" t="n">
        <v>0</v>
      </c>
      <c r="K59" s="18" t="n">
        <v>0.17071176</v>
      </c>
      <c r="L59" s="20" t="n">
        <v>0.08599091</v>
      </c>
      <c r="M59" s="18" t="n">
        <v>0</v>
      </c>
      <c r="N59" s="20" t="n">
        <v>0</v>
      </c>
      <c r="O59" s="18" t="n">
        <v>4.86986205</v>
      </c>
      <c r="P59" s="20" t="n">
        <v>0.63317082</v>
      </c>
      <c r="Q59" s="18" t="n">
        <v>2.00988895</v>
      </c>
      <c r="R59" s="20" t="n">
        <v>0.33255861</v>
      </c>
    </row>
    <row r="60" spans="1:18">
      <c r="A60" s="15" t="s">
        <v>620</v>
      </c>
      <c r="B60" s="17" t="n">
        <v>4546</v>
      </c>
      <c r="C60" s="18">
        <f>(3042.0/B60*100)</f>
        <v/>
      </c>
      <c r="D60" s="19" t="n">
        <v>1504</v>
      </c>
      <c r="E60" s="18" t="n">
        <v>56.22106284</v>
      </c>
      <c r="F60" s="20" t="n">
        <v>1.75422223</v>
      </c>
      <c r="G60" s="18" t="n">
        <v>25.252261</v>
      </c>
      <c r="H60" s="20" t="n">
        <v>1.38328074</v>
      </c>
      <c r="I60" s="18" t="n">
        <v>0</v>
      </c>
      <c r="J60" s="20" t="n">
        <v>0</v>
      </c>
      <c r="K60" s="18" t="n">
        <v>3.76690708</v>
      </c>
      <c r="L60" s="20" t="n">
        <v>0.72494852</v>
      </c>
      <c r="M60" s="18" t="n">
        <v>0</v>
      </c>
      <c r="N60" s="20" t="n">
        <v>0</v>
      </c>
      <c r="O60" s="18" t="n">
        <v>4.94726016</v>
      </c>
      <c r="P60" s="20" t="n">
        <v>0.6074841</v>
      </c>
      <c r="Q60" s="18" t="n">
        <v>9.812508920000001</v>
      </c>
      <c r="R60" s="20" t="n">
        <v>1.02126553</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54.51513012</v>
      </c>
      <c r="F63" s="20" t="n">
        <v>1.45177628</v>
      </c>
      <c r="G63" s="18" t="n">
        <v>32.79670809</v>
      </c>
      <c r="H63" s="20" t="n">
        <v>1.47326069</v>
      </c>
      <c r="I63" s="18" t="n">
        <v>0</v>
      </c>
      <c r="J63" s="20" t="n">
        <v>0</v>
      </c>
      <c r="K63" s="18" t="n">
        <v>1.62867522</v>
      </c>
      <c r="L63" s="20" t="n">
        <v>0.33107729</v>
      </c>
      <c r="M63" s="18" t="n">
        <v>0</v>
      </c>
      <c r="N63" s="20" t="n">
        <v>0</v>
      </c>
      <c r="O63" s="18" t="n">
        <v>1.46686625</v>
      </c>
      <c r="P63" s="20" t="n">
        <v>0.30896229</v>
      </c>
      <c r="Q63" s="18" t="n">
        <v>9.592620309999999</v>
      </c>
      <c r="R63" s="20" t="n">
        <v>0.66438963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43.09361345</v>
      </c>
      <c r="F65" s="20" t="n">
        <v>1.4313752</v>
      </c>
      <c r="G65" s="18" t="n">
        <v>50.91290254</v>
      </c>
      <c r="H65" s="20" t="n">
        <v>1.33682631</v>
      </c>
      <c r="I65" s="18" t="n">
        <v>0</v>
      </c>
      <c r="J65" s="20" t="n">
        <v>0</v>
      </c>
      <c r="K65" s="18" t="n">
        <v>2.39189446</v>
      </c>
      <c r="L65" s="20" t="n">
        <v>0.44114214</v>
      </c>
      <c r="M65" s="18" t="n">
        <v>0</v>
      </c>
      <c r="N65" s="20" t="n">
        <v>0</v>
      </c>
      <c r="O65" s="18" t="n">
        <v>0.5615449</v>
      </c>
      <c r="P65" s="20" t="n">
        <v>0.20982492</v>
      </c>
      <c r="Q65" s="18" t="n">
        <v>3.04004465</v>
      </c>
      <c r="R65" s="20" t="n">
        <v>0.45232979</v>
      </c>
    </row>
    <row r="66" spans="1:18">
      <c r="A66" s="15" t="s">
        <v>626</v>
      </c>
      <c r="B66" s="17" t="n">
        <v>5325</v>
      </c>
      <c r="C66" s="18">
        <f>(3532.0/B66*100)</f>
        <v/>
      </c>
      <c r="D66" s="19" t="n">
        <v>1793</v>
      </c>
      <c r="E66" s="18" t="n">
        <v>36.26821636</v>
      </c>
      <c r="F66" s="20" t="n">
        <v>1.20445028</v>
      </c>
      <c r="G66" s="18" t="n">
        <v>51.5142396</v>
      </c>
      <c r="H66" s="20" t="n">
        <v>1.23809012</v>
      </c>
      <c r="I66" s="18" t="n">
        <v>0</v>
      </c>
      <c r="J66" s="20" t="n">
        <v>0</v>
      </c>
      <c r="K66" s="18" t="n">
        <v>3.25963344</v>
      </c>
      <c r="L66" s="20" t="n">
        <v>0.38068753</v>
      </c>
      <c r="M66" s="18" t="n">
        <v>5.419205</v>
      </c>
      <c r="N66" s="20" t="n">
        <v>0.58950481</v>
      </c>
      <c r="O66" s="18" t="n">
        <v>0.05740239</v>
      </c>
      <c r="P66" s="20" t="n">
        <v>0.04036489</v>
      </c>
      <c r="Q66" s="18" t="n">
        <v>3.48130322</v>
      </c>
      <c r="R66" s="20" t="n">
        <v>0.44792817</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65.27682072</v>
      </c>
      <c r="F69" s="20" t="n">
        <v>2.68318186</v>
      </c>
      <c r="G69" s="18" t="n">
        <v>33.59160769</v>
      </c>
      <c r="H69" s="20" t="n">
        <v>2.62125797</v>
      </c>
      <c r="I69" s="18" t="n">
        <v>0</v>
      </c>
      <c r="J69" s="20" t="n">
        <v>0</v>
      </c>
      <c r="K69" s="18" t="n">
        <v>0.46892584</v>
      </c>
      <c r="L69" s="20" t="n">
        <v>0.34426021</v>
      </c>
      <c r="M69" s="18" t="n">
        <v>0</v>
      </c>
      <c r="N69" s="20" t="n">
        <v>0</v>
      </c>
      <c r="O69" s="18" t="n">
        <v>0.3540175</v>
      </c>
      <c r="P69" s="20" t="n">
        <v>0.26092451</v>
      </c>
      <c r="Q69" s="18" t="n">
        <v>0.30862825</v>
      </c>
      <c r="R69" s="20" t="n">
        <v>0.21167104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52.81658683</v>
      </c>
      <c r="F71" s="20" t="n">
        <v>1.2405967</v>
      </c>
      <c r="G71" s="18" t="n">
        <v>46.9531353</v>
      </c>
      <c r="H71" s="20" t="n">
        <v>1.24876359</v>
      </c>
      <c r="I71" s="18" t="n">
        <v>0</v>
      </c>
      <c r="J71" s="20" t="n">
        <v>0</v>
      </c>
      <c r="K71" s="18" t="n">
        <v>0</v>
      </c>
      <c r="L71" s="20" t="n">
        <v>0</v>
      </c>
      <c r="M71" s="18" t="n">
        <v>0</v>
      </c>
      <c r="N71" s="20" t="n">
        <v>0</v>
      </c>
      <c r="O71" s="18" t="n">
        <v>0</v>
      </c>
      <c r="P71" s="20" t="n">
        <v>0</v>
      </c>
      <c r="Q71" s="18" t="n">
        <v>0.23027787</v>
      </c>
      <c r="R71" s="20" t="n">
        <v>0.11521775</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48.01904072</v>
      </c>
      <c r="F76" s="20" t="n">
        <v>1.34029359</v>
      </c>
      <c r="G76" s="18" t="n">
        <v>44.55826737</v>
      </c>
      <c r="H76" s="20" t="n">
        <v>1.38487254</v>
      </c>
      <c r="I76" s="18" t="n">
        <v>0</v>
      </c>
      <c r="J76" s="20" t="n">
        <v>0</v>
      </c>
      <c r="K76" s="18" t="n">
        <v>3.76124087</v>
      </c>
      <c r="L76" s="20" t="n">
        <v>0.58110921</v>
      </c>
      <c r="M76" s="18" t="n">
        <v>0</v>
      </c>
      <c r="N76" s="20" t="n">
        <v>0</v>
      </c>
      <c r="O76" s="18" t="n">
        <v>0.08709815</v>
      </c>
      <c r="P76" s="20" t="n">
        <v>0.06660692999999999</v>
      </c>
      <c r="Q76" s="18" t="n">
        <v>3.57435289</v>
      </c>
      <c r="R76" s="20" t="n">
        <v>0.5560443900000001</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10.95577178</v>
      </c>
      <c r="F80" s="20" t="n">
        <v>1.01242552</v>
      </c>
      <c r="G80" s="18" t="n">
        <v>88.92221986</v>
      </c>
      <c r="H80" s="20" t="n">
        <v>1.01885541</v>
      </c>
      <c r="I80" s="18" t="n">
        <v>0</v>
      </c>
      <c r="J80" s="20" t="n">
        <v>0</v>
      </c>
      <c r="K80" s="18" t="n">
        <v>0</v>
      </c>
      <c r="L80" s="20" t="n">
        <v>0</v>
      </c>
      <c r="M80" s="18" t="n">
        <v>0</v>
      </c>
      <c r="N80" s="20" t="n">
        <v>0</v>
      </c>
      <c r="O80" s="18" t="n">
        <v>0</v>
      </c>
      <c r="P80" s="20" t="n">
        <v>0</v>
      </c>
      <c r="Q80" s="18" t="n">
        <v>0.12200836</v>
      </c>
      <c r="R80" s="20" t="n">
        <v>0.07167311</v>
      </c>
    </row>
    <row r="81" spans="1:18">
      <c r="A81" s="15" t="s">
        <v>641</v>
      </c>
      <c r="B81" s="17" t="n">
        <v>1657</v>
      </c>
      <c r="C81" s="18">
        <f>(1100.0/B81*100)</f>
        <v/>
      </c>
      <c r="D81" s="19" t="n">
        <v>557</v>
      </c>
      <c r="E81" s="18" t="n">
        <v>34.59845372</v>
      </c>
      <c r="F81" s="20" t="n">
        <v>1.77180806</v>
      </c>
      <c r="G81" s="18" t="n">
        <v>59.44581487</v>
      </c>
      <c r="H81" s="20" t="n">
        <v>1.90688111</v>
      </c>
      <c r="I81" s="18" t="n">
        <v>0</v>
      </c>
      <c r="J81" s="20" t="n">
        <v>0</v>
      </c>
      <c r="K81" s="18" t="n">
        <v>2.58770823</v>
      </c>
      <c r="L81" s="20" t="n">
        <v>0.52519506</v>
      </c>
      <c r="M81" s="18" t="n">
        <v>0</v>
      </c>
      <c r="N81" s="20" t="n">
        <v>0</v>
      </c>
      <c r="O81" s="18" t="n">
        <v>1.02159238</v>
      </c>
      <c r="P81" s="20" t="n">
        <v>0.42327767</v>
      </c>
      <c r="Q81" s="18" t="n">
        <v>2.3464308</v>
      </c>
      <c r="R81" s="20" t="n">
        <v>0.69168092</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48.34147655</v>
      </c>
      <c r="F44" s="20" t="n">
        <v>1.52969136</v>
      </c>
      <c r="G44" s="18" t="n">
        <v>27.80473866</v>
      </c>
      <c r="H44" s="20" t="n">
        <v>1.38794903</v>
      </c>
      <c r="I44" s="18" t="n">
        <v>0</v>
      </c>
      <c r="J44" s="20" t="n">
        <v>0</v>
      </c>
      <c r="K44" s="18" t="n">
        <v>1.28422331</v>
      </c>
      <c r="L44" s="20" t="n">
        <v>0.31123139</v>
      </c>
      <c r="M44" s="18" t="n">
        <v>0</v>
      </c>
      <c r="N44" s="20" t="n">
        <v>0</v>
      </c>
      <c r="O44" s="18" t="n">
        <v>0</v>
      </c>
      <c r="P44" s="20" t="n">
        <v>0</v>
      </c>
      <c r="Q44" s="18" t="n">
        <v>22.56956148</v>
      </c>
      <c r="R44" s="20" t="n">
        <v>1.36741622</v>
      </c>
    </row>
    <row r="45" spans="1:18">
      <c r="A45" s="15" t="s">
        <v>604</v>
      </c>
      <c r="B45" s="17" t="n">
        <v>5519</v>
      </c>
      <c r="C45" s="18">
        <f>(3697.0/B45*100)</f>
        <v/>
      </c>
      <c r="D45" s="19" t="n">
        <v>1822</v>
      </c>
      <c r="E45" s="18" t="n">
        <v>61.63237012</v>
      </c>
      <c r="F45" s="20" t="n">
        <v>1.24318299</v>
      </c>
      <c r="G45" s="18" t="n">
        <v>10.41100877</v>
      </c>
      <c r="H45" s="20" t="n">
        <v>0.76116419</v>
      </c>
      <c r="I45" s="18" t="n">
        <v>0</v>
      </c>
      <c r="J45" s="20" t="n">
        <v>0</v>
      </c>
      <c r="K45" s="18" t="n">
        <v>4.44647986</v>
      </c>
      <c r="L45" s="20" t="n">
        <v>0.54152058</v>
      </c>
      <c r="M45" s="18" t="n">
        <v>1.4860014</v>
      </c>
      <c r="N45" s="20" t="n">
        <v>0.32998767</v>
      </c>
      <c r="O45" s="18" t="n">
        <v>0.21383889</v>
      </c>
      <c r="P45" s="20" t="n">
        <v>0.12568729</v>
      </c>
      <c r="Q45" s="18" t="n">
        <v>21.81030096</v>
      </c>
      <c r="R45" s="20" t="n">
        <v>1.16318938</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41.70184609</v>
      </c>
      <c r="F54" s="20" t="n">
        <v>1.24394148</v>
      </c>
      <c r="G54" s="18" t="n">
        <v>19.48607741</v>
      </c>
      <c r="H54" s="20" t="n">
        <v>0.9297885</v>
      </c>
      <c r="I54" s="18" t="n">
        <v>0</v>
      </c>
      <c r="J54" s="20" t="n">
        <v>0</v>
      </c>
      <c r="K54" s="18" t="n">
        <v>1.33199599</v>
      </c>
      <c r="L54" s="20" t="n">
        <v>0.27968895</v>
      </c>
      <c r="M54" s="18" t="n">
        <v>0</v>
      </c>
      <c r="N54" s="20" t="n">
        <v>0</v>
      </c>
      <c r="O54" s="18" t="n">
        <v>0.1782642</v>
      </c>
      <c r="P54" s="20" t="n">
        <v>0.08756364</v>
      </c>
      <c r="Q54" s="18" t="n">
        <v>37.30181631</v>
      </c>
      <c r="R54" s="20" t="n">
        <v>1.37911977</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63.26293099</v>
      </c>
      <c r="F56" s="20" t="n">
        <v>1.26120209</v>
      </c>
      <c r="G56" s="18" t="n">
        <v>28.07566828</v>
      </c>
      <c r="H56" s="20" t="n">
        <v>1.11331017</v>
      </c>
      <c r="I56" s="18" t="n">
        <v>0</v>
      </c>
      <c r="J56" s="20" t="n">
        <v>0</v>
      </c>
      <c r="K56" s="18" t="n">
        <v>1.54885778</v>
      </c>
      <c r="L56" s="20" t="n">
        <v>0.35114777</v>
      </c>
      <c r="M56" s="18" t="n">
        <v>0.04260112</v>
      </c>
      <c r="N56" s="20" t="n">
        <v>0.04264947</v>
      </c>
      <c r="O56" s="18" t="n">
        <v>0</v>
      </c>
      <c r="P56" s="20" t="n">
        <v>0</v>
      </c>
      <c r="Q56" s="18" t="n">
        <v>7.06994183</v>
      </c>
      <c r="R56" s="20" t="n">
        <v>0.80219854</v>
      </c>
    </row>
    <row r="57" spans="1:18">
      <c r="A57" s="15" t="s">
        <v>616</v>
      </c>
      <c r="B57" s="17" t="n">
        <v>7267</v>
      </c>
      <c r="C57" s="18">
        <f>(4831.0/B57*100)</f>
        <v/>
      </c>
      <c r="D57" s="19" t="n">
        <v>2436</v>
      </c>
      <c r="E57" s="18" t="n">
        <v>66.71903820999999</v>
      </c>
      <c r="F57" s="20" t="n">
        <v>1.25008336</v>
      </c>
      <c r="G57" s="18" t="n">
        <v>17.41548345</v>
      </c>
      <c r="H57" s="20" t="n">
        <v>0.9423309</v>
      </c>
      <c r="I57" s="18" t="n">
        <v>0</v>
      </c>
      <c r="J57" s="20" t="n">
        <v>0</v>
      </c>
      <c r="K57" s="18" t="n">
        <v>0.99564624</v>
      </c>
      <c r="L57" s="20" t="n">
        <v>0.21515564</v>
      </c>
      <c r="M57" s="18" t="n">
        <v>0</v>
      </c>
      <c r="N57" s="20" t="n">
        <v>0</v>
      </c>
      <c r="O57" s="18" t="n">
        <v>0</v>
      </c>
      <c r="P57" s="20" t="n">
        <v>0</v>
      </c>
      <c r="Q57" s="18" t="n">
        <v>14.8698321</v>
      </c>
      <c r="R57" s="20" t="n">
        <v>1.05207639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68.09691719999999</v>
      </c>
      <c r="F59" s="20" t="n">
        <v>1.42798698</v>
      </c>
      <c r="G59" s="18" t="n">
        <v>14.63340912</v>
      </c>
      <c r="H59" s="20" t="n">
        <v>1.15930322</v>
      </c>
      <c r="I59" s="18" t="n">
        <v>0</v>
      </c>
      <c r="J59" s="20" t="n">
        <v>0</v>
      </c>
      <c r="K59" s="18" t="n">
        <v>0.17071176</v>
      </c>
      <c r="L59" s="20" t="n">
        <v>0.08599091</v>
      </c>
      <c r="M59" s="18" t="n">
        <v>0</v>
      </c>
      <c r="N59" s="20" t="n">
        <v>0</v>
      </c>
      <c r="O59" s="18" t="n">
        <v>0.0851546</v>
      </c>
      <c r="P59" s="20" t="n">
        <v>0.08493918</v>
      </c>
      <c r="Q59" s="18" t="n">
        <v>17.01380732</v>
      </c>
      <c r="R59" s="20" t="n">
        <v>1.11290179</v>
      </c>
    </row>
    <row r="60" spans="1:18">
      <c r="A60" s="15" t="s">
        <v>620</v>
      </c>
      <c r="B60" s="17" t="n">
        <v>4546</v>
      </c>
      <c r="C60" s="18">
        <f>(3042.0/B60*100)</f>
        <v/>
      </c>
      <c r="D60" s="19" t="n">
        <v>1504</v>
      </c>
      <c r="E60" s="18" t="n">
        <v>49.58669872</v>
      </c>
      <c r="F60" s="20" t="n">
        <v>1.77579234</v>
      </c>
      <c r="G60" s="18" t="n">
        <v>13.93976758</v>
      </c>
      <c r="H60" s="20" t="n">
        <v>1.13608072</v>
      </c>
      <c r="I60" s="18" t="n">
        <v>0</v>
      </c>
      <c r="J60" s="20" t="n">
        <v>0</v>
      </c>
      <c r="K60" s="18" t="n">
        <v>3.97166886</v>
      </c>
      <c r="L60" s="20" t="n">
        <v>0.71217186</v>
      </c>
      <c r="M60" s="18" t="n">
        <v>0.11338942</v>
      </c>
      <c r="N60" s="20" t="n">
        <v>0.07895984</v>
      </c>
      <c r="O60" s="18" t="n">
        <v>0.12016898</v>
      </c>
      <c r="P60" s="20" t="n">
        <v>0.08741009</v>
      </c>
      <c r="Q60" s="18" t="n">
        <v>32.26830645</v>
      </c>
      <c r="R60" s="20" t="n">
        <v>1.79714789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30.70883933</v>
      </c>
      <c r="F63" s="20" t="n">
        <v>1.00609016</v>
      </c>
      <c r="G63" s="18" t="n">
        <v>20.20665734</v>
      </c>
      <c r="H63" s="20" t="n">
        <v>1.06789035</v>
      </c>
      <c r="I63" s="18" t="n">
        <v>0</v>
      </c>
      <c r="J63" s="20" t="n">
        <v>0</v>
      </c>
      <c r="K63" s="18" t="n">
        <v>1.69190907</v>
      </c>
      <c r="L63" s="20" t="n">
        <v>0.33583773</v>
      </c>
      <c r="M63" s="18" t="n">
        <v>0</v>
      </c>
      <c r="N63" s="20" t="n">
        <v>0</v>
      </c>
      <c r="O63" s="18" t="n">
        <v>0.04818506</v>
      </c>
      <c r="P63" s="20" t="n">
        <v>0.04712246</v>
      </c>
      <c r="Q63" s="18" t="n">
        <v>47.34440921</v>
      </c>
      <c r="R63" s="20" t="n">
        <v>1.13600153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48.60607397</v>
      </c>
      <c r="F65" s="20" t="n">
        <v>1.41136844</v>
      </c>
      <c r="G65" s="18" t="n">
        <v>25.07745529</v>
      </c>
      <c r="H65" s="20" t="n">
        <v>1.1370115</v>
      </c>
      <c r="I65" s="18" t="n">
        <v>0</v>
      </c>
      <c r="J65" s="20" t="n">
        <v>0</v>
      </c>
      <c r="K65" s="18" t="n">
        <v>2.49623734</v>
      </c>
      <c r="L65" s="20" t="n">
        <v>0.46191152</v>
      </c>
      <c r="M65" s="18" t="n">
        <v>0</v>
      </c>
      <c r="N65" s="20" t="n">
        <v>0</v>
      </c>
      <c r="O65" s="18" t="n">
        <v>0</v>
      </c>
      <c r="P65" s="20" t="n">
        <v>0</v>
      </c>
      <c r="Q65" s="18" t="n">
        <v>23.8202334</v>
      </c>
      <c r="R65" s="20" t="n">
        <v>1.21062934</v>
      </c>
    </row>
    <row r="66" spans="1:18">
      <c r="A66" s="15" t="s">
        <v>626</v>
      </c>
      <c r="B66" s="17" t="n">
        <v>5325</v>
      </c>
      <c r="C66" s="18">
        <f>(3532.0/B66*100)</f>
        <v/>
      </c>
      <c r="D66" s="19" t="n">
        <v>1793</v>
      </c>
      <c r="E66" s="18" t="n">
        <v>38.39271139</v>
      </c>
      <c r="F66" s="20" t="n">
        <v>1.17931444</v>
      </c>
      <c r="G66" s="18" t="n">
        <v>32.28249512</v>
      </c>
      <c r="H66" s="20" t="n">
        <v>1.26762209</v>
      </c>
      <c r="I66" s="18" t="n">
        <v>0</v>
      </c>
      <c r="J66" s="20" t="n">
        <v>0</v>
      </c>
      <c r="K66" s="18" t="n">
        <v>3.40501373</v>
      </c>
      <c r="L66" s="20" t="n">
        <v>0.39031251</v>
      </c>
      <c r="M66" s="18" t="n">
        <v>0</v>
      </c>
      <c r="N66" s="20" t="n">
        <v>0</v>
      </c>
      <c r="O66" s="18" t="n">
        <v>0</v>
      </c>
      <c r="P66" s="20" t="n">
        <v>0</v>
      </c>
      <c r="Q66" s="18" t="n">
        <v>25.91977977</v>
      </c>
      <c r="R66" s="20" t="n">
        <v>1.31236708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77.42001401</v>
      </c>
      <c r="F69" s="20" t="n">
        <v>1.98468636</v>
      </c>
      <c r="G69" s="18" t="n">
        <v>9.49089279</v>
      </c>
      <c r="H69" s="20" t="n">
        <v>1.6243003</v>
      </c>
      <c r="I69" s="18" t="n">
        <v>0</v>
      </c>
      <c r="J69" s="20" t="n">
        <v>0</v>
      </c>
      <c r="K69" s="18" t="n">
        <v>0.46892584</v>
      </c>
      <c r="L69" s="20" t="n">
        <v>0.34426021</v>
      </c>
      <c r="M69" s="18" t="n">
        <v>0</v>
      </c>
      <c r="N69" s="20" t="n">
        <v>0</v>
      </c>
      <c r="O69" s="18" t="n">
        <v>0</v>
      </c>
      <c r="P69" s="20" t="n">
        <v>0</v>
      </c>
      <c r="Q69" s="18" t="n">
        <v>12.62016735</v>
      </c>
      <c r="R69" s="20" t="n">
        <v>1.68846619</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53.54097018</v>
      </c>
      <c r="F71" s="20" t="n">
        <v>1.51425731</v>
      </c>
      <c r="G71" s="18" t="n">
        <v>46.34948442</v>
      </c>
      <c r="H71" s="20" t="n">
        <v>1.51977479</v>
      </c>
      <c r="I71" s="18" t="n">
        <v>0</v>
      </c>
      <c r="J71" s="20" t="n">
        <v>0</v>
      </c>
      <c r="K71" s="18" t="n">
        <v>0</v>
      </c>
      <c r="L71" s="20" t="n">
        <v>0</v>
      </c>
      <c r="M71" s="18" t="n">
        <v>0</v>
      </c>
      <c r="N71" s="20" t="n">
        <v>0</v>
      </c>
      <c r="O71" s="18" t="n">
        <v>0</v>
      </c>
      <c r="P71" s="20" t="n">
        <v>0</v>
      </c>
      <c r="Q71" s="18" t="n">
        <v>0.1095454</v>
      </c>
      <c r="R71" s="20" t="n">
        <v>0.07741004</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46.51913584</v>
      </c>
      <c r="F76" s="20" t="n">
        <v>1.5576122</v>
      </c>
      <c r="G76" s="18" t="n">
        <v>26.94364795</v>
      </c>
      <c r="H76" s="20" t="n">
        <v>1.27376575</v>
      </c>
      <c r="I76" s="18" t="n">
        <v>0</v>
      </c>
      <c r="J76" s="20" t="n">
        <v>0</v>
      </c>
      <c r="K76" s="18" t="n">
        <v>4.06118029</v>
      </c>
      <c r="L76" s="20" t="n">
        <v>0.62748811</v>
      </c>
      <c r="M76" s="18" t="n">
        <v>0</v>
      </c>
      <c r="N76" s="20" t="n">
        <v>0</v>
      </c>
      <c r="O76" s="18" t="n">
        <v>0</v>
      </c>
      <c r="P76" s="20" t="n">
        <v>0</v>
      </c>
      <c r="Q76" s="18" t="n">
        <v>22.47603592</v>
      </c>
      <c r="R76" s="20" t="n">
        <v>1.34828269</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41.68656351</v>
      </c>
      <c r="F80" s="20" t="n">
        <v>1.34668363</v>
      </c>
      <c r="G80" s="18" t="n">
        <v>56.913421</v>
      </c>
      <c r="H80" s="20" t="n">
        <v>1.37021143</v>
      </c>
      <c r="I80" s="18" t="n">
        <v>0</v>
      </c>
      <c r="J80" s="20" t="n">
        <v>0</v>
      </c>
      <c r="K80" s="18" t="n">
        <v>0</v>
      </c>
      <c r="L80" s="20" t="n">
        <v>0</v>
      </c>
      <c r="M80" s="18" t="n">
        <v>0</v>
      </c>
      <c r="N80" s="20" t="n">
        <v>0</v>
      </c>
      <c r="O80" s="18" t="n">
        <v>0</v>
      </c>
      <c r="P80" s="20" t="n">
        <v>0</v>
      </c>
      <c r="Q80" s="18" t="n">
        <v>1.40001549</v>
      </c>
      <c r="R80" s="20" t="n">
        <v>0.29289353</v>
      </c>
    </row>
    <row r="81" spans="1:18">
      <c r="A81" s="15" t="s">
        <v>641</v>
      </c>
      <c r="B81" s="17" t="n">
        <v>1657</v>
      </c>
      <c r="C81" s="18">
        <f>(1100.0/B81*100)</f>
        <v/>
      </c>
      <c r="D81" s="19" t="n">
        <v>557</v>
      </c>
      <c r="E81" s="18" t="n">
        <v>61.93772384</v>
      </c>
      <c r="F81" s="20" t="n">
        <v>2.48430112</v>
      </c>
      <c r="G81" s="18" t="n">
        <v>13.85276398</v>
      </c>
      <c r="H81" s="20" t="n">
        <v>1.83917697</v>
      </c>
      <c r="I81" s="18" t="n">
        <v>0</v>
      </c>
      <c r="J81" s="20" t="n">
        <v>0</v>
      </c>
      <c r="K81" s="18" t="n">
        <v>2.89483057</v>
      </c>
      <c r="L81" s="20" t="n">
        <v>0.59654048</v>
      </c>
      <c r="M81" s="18" t="n">
        <v>0</v>
      </c>
      <c r="N81" s="20" t="n">
        <v>0</v>
      </c>
      <c r="O81" s="18" t="n">
        <v>0</v>
      </c>
      <c r="P81" s="20" t="n">
        <v>0</v>
      </c>
      <c r="Q81" s="18" t="n">
        <v>21.31468161</v>
      </c>
      <c r="R81" s="20" t="n">
        <v>2.29294249</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51.2601483</v>
      </c>
      <c r="F44" s="20" t="n">
        <v>1.48914098</v>
      </c>
      <c r="G44" s="18" t="n">
        <v>45.40313859</v>
      </c>
      <c r="H44" s="20" t="n">
        <v>1.40592656</v>
      </c>
      <c r="I44" s="18" t="n">
        <v>0</v>
      </c>
      <c r="J44" s="20" t="n">
        <v>0</v>
      </c>
      <c r="K44" s="18" t="n">
        <v>1.28422331</v>
      </c>
      <c r="L44" s="20" t="n">
        <v>0.31123139</v>
      </c>
      <c r="M44" s="18" t="n">
        <v>0</v>
      </c>
      <c r="N44" s="20" t="n">
        <v>0</v>
      </c>
      <c r="O44" s="18" t="n">
        <v>0</v>
      </c>
      <c r="P44" s="20" t="n">
        <v>0</v>
      </c>
      <c r="Q44" s="18" t="n">
        <v>2.05248981</v>
      </c>
      <c r="R44" s="20" t="n">
        <v>0.39064994</v>
      </c>
    </row>
    <row r="45" spans="1:18">
      <c r="A45" s="15" t="s">
        <v>604</v>
      </c>
      <c r="B45" s="17" t="n">
        <v>5519</v>
      </c>
      <c r="C45" s="18">
        <f>(3697.0/B45*100)</f>
        <v/>
      </c>
      <c r="D45" s="19" t="n">
        <v>1822</v>
      </c>
      <c r="E45" s="18" t="n">
        <v>62.52677298</v>
      </c>
      <c r="F45" s="20" t="n">
        <v>1.09105202</v>
      </c>
      <c r="G45" s="18" t="n">
        <v>30.51742545</v>
      </c>
      <c r="H45" s="20" t="n">
        <v>1.0507996</v>
      </c>
      <c r="I45" s="18" t="n">
        <v>0</v>
      </c>
      <c r="J45" s="20" t="n">
        <v>0</v>
      </c>
      <c r="K45" s="18" t="n">
        <v>4.50111693</v>
      </c>
      <c r="L45" s="20" t="n">
        <v>0.54840434</v>
      </c>
      <c r="M45" s="18" t="n">
        <v>0.17437111</v>
      </c>
      <c r="N45" s="20" t="n">
        <v>0.10184773</v>
      </c>
      <c r="O45" s="18" t="n">
        <v>0</v>
      </c>
      <c r="P45" s="20" t="n">
        <v>0</v>
      </c>
      <c r="Q45" s="18" t="n">
        <v>2.28031353</v>
      </c>
      <c r="R45" s="20" t="n">
        <v>0.38474677</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70.09101922000001</v>
      </c>
      <c r="F54" s="20" t="n">
        <v>1.19678554</v>
      </c>
      <c r="G54" s="18" t="n">
        <v>27.10350414</v>
      </c>
      <c r="H54" s="20" t="n">
        <v>1.22175317</v>
      </c>
      <c r="I54" s="18" t="n">
        <v>0</v>
      </c>
      <c r="J54" s="20" t="n">
        <v>0</v>
      </c>
      <c r="K54" s="18" t="n">
        <v>1.3755731</v>
      </c>
      <c r="L54" s="20" t="n">
        <v>0.28376265</v>
      </c>
      <c r="M54" s="18" t="n">
        <v>0</v>
      </c>
      <c r="N54" s="20" t="n">
        <v>0</v>
      </c>
      <c r="O54" s="18" t="n">
        <v>0</v>
      </c>
      <c r="P54" s="20" t="n">
        <v>0</v>
      </c>
      <c r="Q54" s="18" t="n">
        <v>1.42990354</v>
      </c>
      <c r="R54" s="20" t="n">
        <v>0.23586729</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53.27094439</v>
      </c>
      <c r="F56" s="20" t="n">
        <v>1.3615489</v>
      </c>
      <c r="G56" s="18" t="n">
        <v>44.0238067</v>
      </c>
      <c r="H56" s="20" t="n">
        <v>1.30337776</v>
      </c>
      <c r="I56" s="18" t="n">
        <v>0</v>
      </c>
      <c r="J56" s="20" t="n">
        <v>0</v>
      </c>
      <c r="K56" s="18" t="n">
        <v>1.62292006</v>
      </c>
      <c r="L56" s="20" t="n">
        <v>0.35394348</v>
      </c>
      <c r="M56" s="18" t="n">
        <v>0.12755704</v>
      </c>
      <c r="N56" s="20" t="n">
        <v>0.09507773999999999</v>
      </c>
      <c r="O56" s="18" t="n">
        <v>0</v>
      </c>
      <c r="P56" s="20" t="n">
        <v>0</v>
      </c>
      <c r="Q56" s="18" t="n">
        <v>0.9547717999999999</v>
      </c>
      <c r="R56" s="20" t="n">
        <v>0.25041218</v>
      </c>
    </row>
    <row r="57" spans="1:18">
      <c r="A57" s="15" t="s">
        <v>616</v>
      </c>
      <c r="B57" s="17" t="n">
        <v>7267</v>
      </c>
      <c r="C57" s="18">
        <f>(4831.0/B57*100)</f>
        <v/>
      </c>
      <c r="D57" s="19" t="n">
        <v>2436</v>
      </c>
      <c r="E57" s="18" t="n">
        <v>65.94457454</v>
      </c>
      <c r="F57" s="20" t="n">
        <v>1.13591494</v>
      </c>
      <c r="G57" s="18" t="n">
        <v>31.84728872</v>
      </c>
      <c r="H57" s="20" t="n">
        <v>1.15460503</v>
      </c>
      <c r="I57" s="18" t="n">
        <v>0</v>
      </c>
      <c r="J57" s="20" t="n">
        <v>0</v>
      </c>
      <c r="K57" s="18" t="n">
        <v>0.99564624</v>
      </c>
      <c r="L57" s="20" t="n">
        <v>0.21515564</v>
      </c>
      <c r="M57" s="18" t="n">
        <v>0</v>
      </c>
      <c r="N57" s="20" t="n">
        <v>0</v>
      </c>
      <c r="O57" s="18" t="n">
        <v>0.03945799</v>
      </c>
      <c r="P57" s="20" t="n">
        <v>0.03939412</v>
      </c>
      <c r="Q57" s="18" t="n">
        <v>1.17303251</v>
      </c>
      <c r="R57" s="20" t="n">
        <v>0.2563048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63.24155598</v>
      </c>
      <c r="F59" s="20" t="n">
        <v>1.41590537</v>
      </c>
      <c r="G59" s="18" t="n">
        <v>35.35741844</v>
      </c>
      <c r="H59" s="20" t="n">
        <v>1.36969715</v>
      </c>
      <c r="I59" s="18" t="n">
        <v>0</v>
      </c>
      <c r="J59" s="20" t="n">
        <v>0</v>
      </c>
      <c r="K59" s="18" t="n">
        <v>0.17071176</v>
      </c>
      <c r="L59" s="20" t="n">
        <v>0.08599091</v>
      </c>
      <c r="M59" s="18" t="n">
        <v>0</v>
      </c>
      <c r="N59" s="20" t="n">
        <v>0</v>
      </c>
      <c r="O59" s="18" t="n">
        <v>0.07972878999999999</v>
      </c>
      <c r="P59" s="20" t="n">
        <v>0.08034054</v>
      </c>
      <c r="Q59" s="18" t="n">
        <v>1.15058504</v>
      </c>
      <c r="R59" s="20" t="n">
        <v>0.22529601</v>
      </c>
    </row>
    <row r="60" spans="1:18">
      <c r="A60" s="15" t="s">
        <v>620</v>
      </c>
      <c r="B60" s="17" t="n">
        <v>4546</v>
      </c>
      <c r="C60" s="18">
        <f>(3042.0/B60*100)</f>
        <v/>
      </c>
      <c r="D60" s="19" t="n">
        <v>1504</v>
      </c>
      <c r="E60" s="18" t="n">
        <v>62.38821262</v>
      </c>
      <c r="F60" s="20" t="n">
        <v>1.3655945</v>
      </c>
      <c r="G60" s="18" t="n">
        <v>28.9955654</v>
      </c>
      <c r="H60" s="20" t="n">
        <v>1.27061475</v>
      </c>
      <c r="I60" s="18" t="n">
        <v>0</v>
      </c>
      <c r="J60" s="20" t="n">
        <v>0</v>
      </c>
      <c r="K60" s="18" t="n">
        <v>4.1629254</v>
      </c>
      <c r="L60" s="20" t="n">
        <v>0.71799923</v>
      </c>
      <c r="M60" s="18" t="n">
        <v>0</v>
      </c>
      <c r="N60" s="20" t="n">
        <v>0</v>
      </c>
      <c r="O60" s="18" t="n">
        <v>0.0854423</v>
      </c>
      <c r="P60" s="20" t="n">
        <v>0.08545667999999999</v>
      </c>
      <c r="Q60" s="18" t="n">
        <v>4.36785428</v>
      </c>
      <c r="R60" s="20" t="n">
        <v>0.5336020299999999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57.33497407</v>
      </c>
      <c r="F63" s="20" t="n">
        <v>1.24733084</v>
      </c>
      <c r="G63" s="18" t="n">
        <v>37.66916658</v>
      </c>
      <c r="H63" s="20" t="n">
        <v>1.23286608</v>
      </c>
      <c r="I63" s="18" t="n">
        <v>0</v>
      </c>
      <c r="J63" s="20" t="n">
        <v>0</v>
      </c>
      <c r="K63" s="18" t="n">
        <v>1.69190907</v>
      </c>
      <c r="L63" s="20" t="n">
        <v>0.33583773</v>
      </c>
      <c r="M63" s="18" t="n">
        <v>0</v>
      </c>
      <c r="N63" s="20" t="n">
        <v>0</v>
      </c>
      <c r="O63" s="18" t="n">
        <v>0</v>
      </c>
      <c r="P63" s="20" t="n">
        <v>0</v>
      </c>
      <c r="Q63" s="18" t="n">
        <v>3.30395028</v>
      </c>
      <c r="R63" s="20" t="n">
        <v>0.43943898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50.29330542</v>
      </c>
      <c r="F65" s="20" t="n">
        <v>1.45370472</v>
      </c>
      <c r="G65" s="18" t="n">
        <v>46.06774888</v>
      </c>
      <c r="H65" s="20" t="n">
        <v>1.43087628</v>
      </c>
      <c r="I65" s="18" t="n">
        <v>0</v>
      </c>
      <c r="J65" s="20" t="n">
        <v>0</v>
      </c>
      <c r="K65" s="18" t="n">
        <v>2.49623734</v>
      </c>
      <c r="L65" s="20" t="n">
        <v>0.46191152</v>
      </c>
      <c r="M65" s="18" t="n">
        <v>0</v>
      </c>
      <c r="N65" s="20" t="n">
        <v>0</v>
      </c>
      <c r="O65" s="18" t="n">
        <v>0</v>
      </c>
      <c r="P65" s="20" t="n">
        <v>0</v>
      </c>
      <c r="Q65" s="18" t="n">
        <v>1.14270836</v>
      </c>
      <c r="R65" s="20" t="n">
        <v>0.31716775</v>
      </c>
    </row>
    <row r="66" spans="1:18">
      <c r="A66" s="15" t="s">
        <v>626</v>
      </c>
      <c r="B66" s="17" t="n">
        <v>5325</v>
      </c>
      <c r="C66" s="18">
        <f>(3532.0/B66*100)</f>
        <v/>
      </c>
      <c r="D66" s="19" t="n">
        <v>1793</v>
      </c>
      <c r="E66" s="18" t="n">
        <v>50.659668</v>
      </c>
      <c r="F66" s="20" t="n">
        <v>1.33471909</v>
      </c>
      <c r="G66" s="18" t="n">
        <v>44.11602601</v>
      </c>
      <c r="H66" s="20" t="n">
        <v>1.27449066</v>
      </c>
      <c r="I66" s="18" t="n">
        <v>0</v>
      </c>
      <c r="J66" s="20" t="n">
        <v>0</v>
      </c>
      <c r="K66" s="18" t="n">
        <v>3.62306675</v>
      </c>
      <c r="L66" s="20" t="n">
        <v>0.42437972</v>
      </c>
      <c r="M66" s="18" t="n">
        <v>0</v>
      </c>
      <c r="N66" s="20" t="n">
        <v>0</v>
      </c>
      <c r="O66" s="18" t="n">
        <v>0</v>
      </c>
      <c r="P66" s="20" t="n">
        <v>0</v>
      </c>
      <c r="Q66" s="18" t="n">
        <v>1.60123924</v>
      </c>
      <c r="R66" s="20" t="n">
        <v>0.34926772</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75.69939376000001</v>
      </c>
      <c r="F69" s="20" t="n">
        <v>1.79000634</v>
      </c>
      <c r="G69" s="18" t="n">
        <v>23.63319212</v>
      </c>
      <c r="H69" s="20" t="n">
        <v>1.71227608</v>
      </c>
      <c r="I69" s="18" t="n">
        <v>0</v>
      </c>
      <c r="J69" s="20" t="n">
        <v>0</v>
      </c>
      <c r="K69" s="18" t="n">
        <v>0.66741412</v>
      </c>
      <c r="L69" s="20" t="n">
        <v>0.389799</v>
      </c>
      <c r="M69" s="18" t="n">
        <v>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63.10784684</v>
      </c>
      <c r="F71" s="20" t="n">
        <v>1.35103159</v>
      </c>
      <c r="G71" s="18" t="n">
        <v>36.84269751</v>
      </c>
      <c r="H71" s="20" t="n">
        <v>1.35593795</v>
      </c>
      <c r="I71" s="18" t="n">
        <v>0</v>
      </c>
      <c r="J71" s="20" t="n">
        <v>0</v>
      </c>
      <c r="K71" s="18" t="n">
        <v>0</v>
      </c>
      <c r="L71" s="20" t="n">
        <v>0</v>
      </c>
      <c r="M71" s="18" t="n">
        <v>0</v>
      </c>
      <c r="N71" s="20" t="n">
        <v>0</v>
      </c>
      <c r="O71" s="18" t="n">
        <v>0</v>
      </c>
      <c r="P71" s="20" t="n">
        <v>0</v>
      </c>
      <c r="Q71" s="18" t="n">
        <v>0.04945565</v>
      </c>
      <c r="R71" s="20" t="n">
        <v>0.04945846</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45.46219323</v>
      </c>
      <c r="F76" s="20" t="n">
        <v>1.40238058</v>
      </c>
      <c r="G76" s="18" t="n">
        <v>47.0722773</v>
      </c>
      <c r="H76" s="20" t="n">
        <v>1.48822826</v>
      </c>
      <c r="I76" s="18" t="n">
        <v>0</v>
      </c>
      <c r="J76" s="20" t="n">
        <v>0</v>
      </c>
      <c r="K76" s="18" t="n">
        <v>4.3234397</v>
      </c>
      <c r="L76" s="20" t="n">
        <v>0.64908771</v>
      </c>
      <c r="M76" s="18" t="n">
        <v>0</v>
      </c>
      <c r="N76" s="20" t="n">
        <v>0</v>
      </c>
      <c r="O76" s="18" t="n">
        <v>0</v>
      </c>
      <c r="P76" s="20" t="n">
        <v>0</v>
      </c>
      <c r="Q76" s="18" t="n">
        <v>3.14208978</v>
      </c>
      <c r="R76" s="20" t="n">
        <v>0.57398741</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8.86488864</v>
      </c>
      <c r="F80" s="20" t="n">
        <v>0.72567654</v>
      </c>
      <c r="G80" s="18" t="n">
        <v>91.10108024</v>
      </c>
      <c r="H80" s="20" t="n">
        <v>0.72262859</v>
      </c>
      <c r="I80" s="18" t="n">
        <v>0</v>
      </c>
      <c r="J80" s="20" t="n">
        <v>0</v>
      </c>
      <c r="K80" s="18" t="n">
        <v>0</v>
      </c>
      <c r="L80" s="20" t="n">
        <v>0</v>
      </c>
      <c r="M80" s="18" t="n">
        <v>0</v>
      </c>
      <c r="N80" s="20" t="n">
        <v>0</v>
      </c>
      <c r="O80" s="18" t="n">
        <v>0</v>
      </c>
      <c r="P80" s="20" t="n">
        <v>0</v>
      </c>
      <c r="Q80" s="18" t="n">
        <v>0.03403112</v>
      </c>
      <c r="R80" s="20" t="n">
        <v>0.03440169</v>
      </c>
    </row>
    <row r="81" spans="1:18">
      <c r="A81" s="15" t="s">
        <v>641</v>
      </c>
      <c r="B81" s="17" t="n">
        <v>1657</v>
      </c>
      <c r="C81" s="18">
        <f>(1100.0/B81*100)</f>
        <v/>
      </c>
      <c r="D81" s="19" t="n">
        <v>557</v>
      </c>
      <c r="E81" s="18" t="n">
        <v>55.83733618</v>
      </c>
      <c r="F81" s="20" t="n">
        <v>2.6023078</v>
      </c>
      <c r="G81" s="18" t="n">
        <v>39.100511</v>
      </c>
      <c r="H81" s="20" t="n">
        <v>2.51875911</v>
      </c>
      <c r="I81" s="18" t="n">
        <v>0</v>
      </c>
      <c r="J81" s="20" t="n">
        <v>0</v>
      </c>
      <c r="K81" s="18" t="n">
        <v>2.89483057</v>
      </c>
      <c r="L81" s="20" t="n">
        <v>0.59654048</v>
      </c>
      <c r="M81" s="18" t="n">
        <v>0</v>
      </c>
      <c r="N81" s="20" t="n">
        <v>0</v>
      </c>
      <c r="O81" s="18" t="n">
        <v>0</v>
      </c>
      <c r="P81" s="20" t="n">
        <v>0</v>
      </c>
      <c r="Q81" s="18" t="n">
        <v>2.16732225</v>
      </c>
      <c r="R81" s="20" t="n">
        <v>0.67629324</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66.17735467999999</v>
      </c>
      <c r="F44" s="20" t="n">
        <v>1.49184704</v>
      </c>
      <c r="G44" s="18" t="n">
        <v>20.08278511</v>
      </c>
      <c r="H44" s="20" t="n">
        <v>1.03413764</v>
      </c>
      <c r="I44" s="18" t="n">
        <v>0</v>
      </c>
      <c r="J44" s="20" t="n">
        <v>0</v>
      </c>
      <c r="K44" s="18" t="n">
        <v>1.75295357</v>
      </c>
      <c r="L44" s="20" t="n">
        <v>0.37704607</v>
      </c>
      <c r="M44" s="18" t="n">
        <v>0</v>
      </c>
      <c r="N44" s="20" t="n">
        <v>0</v>
      </c>
      <c r="O44" s="18" t="n">
        <v>5.06923663</v>
      </c>
      <c r="P44" s="20" t="n">
        <v>0.7454377599999999</v>
      </c>
      <c r="Q44" s="18" t="n">
        <v>6.91767001</v>
      </c>
      <c r="R44" s="20" t="n">
        <v>0.66248756</v>
      </c>
    </row>
    <row r="45" spans="1:18">
      <c r="A45" s="15" t="s">
        <v>604</v>
      </c>
      <c r="B45" s="17" t="n">
        <v>5519</v>
      </c>
      <c r="C45" s="18">
        <f>(3697.0/B45*100)</f>
        <v/>
      </c>
      <c r="D45" s="19" t="n">
        <v>1822</v>
      </c>
      <c r="E45" s="18" t="n">
        <v>53.83616212</v>
      </c>
      <c r="F45" s="20" t="n">
        <v>1.35062394</v>
      </c>
      <c r="G45" s="18" t="n">
        <v>28.22153179</v>
      </c>
      <c r="H45" s="20" t="n">
        <v>1.25319245</v>
      </c>
      <c r="I45" s="18" t="n">
        <v>0</v>
      </c>
      <c r="J45" s="20" t="n">
        <v>0</v>
      </c>
      <c r="K45" s="18" t="n">
        <v>4.6478977</v>
      </c>
      <c r="L45" s="20" t="n">
        <v>0.54738126</v>
      </c>
      <c r="M45" s="18" t="n">
        <v>0.61726235</v>
      </c>
      <c r="N45" s="20" t="n">
        <v>0.19105018</v>
      </c>
      <c r="O45" s="18" t="n">
        <v>6.8846184</v>
      </c>
      <c r="P45" s="20" t="n">
        <v>0.7428436</v>
      </c>
      <c r="Q45" s="18" t="n">
        <v>5.79252764</v>
      </c>
      <c r="R45" s="20" t="n">
        <v>0.68119634</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65.48412129</v>
      </c>
      <c r="F54" s="20" t="n">
        <v>1.32264272</v>
      </c>
      <c r="G54" s="18" t="n">
        <v>24.09191657</v>
      </c>
      <c r="H54" s="20" t="n">
        <v>1.22033659</v>
      </c>
      <c r="I54" s="18" t="n">
        <v>0</v>
      </c>
      <c r="J54" s="20" t="n">
        <v>0</v>
      </c>
      <c r="K54" s="18" t="n">
        <v>1.58670884</v>
      </c>
      <c r="L54" s="20" t="n">
        <v>0.30338356</v>
      </c>
      <c r="M54" s="18" t="n">
        <v>0</v>
      </c>
      <c r="N54" s="20" t="n">
        <v>0</v>
      </c>
      <c r="O54" s="18" t="n">
        <v>2.51672735</v>
      </c>
      <c r="P54" s="20" t="n">
        <v>0.41916199</v>
      </c>
      <c r="Q54" s="18" t="n">
        <v>6.32052594</v>
      </c>
      <c r="R54" s="20" t="n">
        <v>0.55957181</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81.80410197</v>
      </c>
      <c r="F56" s="20" t="n">
        <v>1.01901589</v>
      </c>
      <c r="G56" s="18" t="n">
        <v>15.03053412</v>
      </c>
      <c r="H56" s="20" t="n">
        <v>0.94198866</v>
      </c>
      <c r="I56" s="18" t="n">
        <v>0</v>
      </c>
      <c r="J56" s="20" t="n">
        <v>0</v>
      </c>
      <c r="K56" s="18" t="n">
        <v>1.95099165</v>
      </c>
      <c r="L56" s="20" t="n">
        <v>0.36867115</v>
      </c>
      <c r="M56" s="18" t="n">
        <v>0</v>
      </c>
      <c r="N56" s="20" t="n">
        <v>0</v>
      </c>
      <c r="O56" s="18" t="n">
        <v>0.05493809</v>
      </c>
      <c r="P56" s="20" t="n">
        <v>0.05489025</v>
      </c>
      <c r="Q56" s="18" t="n">
        <v>1.15943417</v>
      </c>
      <c r="R56" s="20" t="n">
        <v>0.25518962</v>
      </c>
    </row>
    <row r="57" spans="1:18">
      <c r="A57" s="15" t="s">
        <v>616</v>
      </c>
      <c r="B57" s="17" t="n">
        <v>7267</v>
      </c>
      <c r="C57" s="18">
        <f>(4831.0/B57*100)</f>
        <v/>
      </c>
      <c r="D57" s="19" t="n">
        <v>2436</v>
      </c>
      <c r="E57" s="18" t="n">
        <v>62.51492066</v>
      </c>
      <c r="F57" s="20" t="n">
        <v>1.31315482</v>
      </c>
      <c r="G57" s="18" t="n">
        <v>26.69039254</v>
      </c>
      <c r="H57" s="20" t="n">
        <v>1.22944885</v>
      </c>
      <c r="I57" s="18" t="n">
        <v>0</v>
      </c>
      <c r="J57" s="20" t="n">
        <v>0</v>
      </c>
      <c r="K57" s="18" t="n">
        <v>1.1970016</v>
      </c>
      <c r="L57" s="20" t="n">
        <v>0.23906899</v>
      </c>
      <c r="M57" s="18" t="n">
        <v>0</v>
      </c>
      <c r="N57" s="20" t="n">
        <v>0</v>
      </c>
      <c r="O57" s="18" t="n">
        <v>3.13208022</v>
      </c>
      <c r="P57" s="20" t="n">
        <v>0.41328996</v>
      </c>
      <c r="Q57" s="18" t="n">
        <v>6.46560497</v>
      </c>
      <c r="R57" s="20" t="n">
        <v>0.70674055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76.80882645</v>
      </c>
      <c r="F59" s="20" t="n">
        <v>1.31470761</v>
      </c>
      <c r="G59" s="18" t="n">
        <v>13.68547916</v>
      </c>
      <c r="H59" s="20" t="n">
        <v>1.03304345</v>
      </c>
      <c r="I59" s="18" t="n">
        <v>0</v>
      </c>
      <c r="J59" s="20" t="n">
        <v>0</v>
      </c>
      <c r="K59" s="18" t="n">
        <v>0.21163146</v>
      </c>
      <c r="L59" s="20" t="n">
        <v>0.09046447000000001</v>
      </c>
      <c r="M59" s="18" t="n">
        <v>0</v>
      </c>
      <c r="N59" s="20" t="n">
        <v>0</v>
      </c>
      <c r="O59" s="18" t="n">
        <v>5.96757086</v>
      </c>
      <c r="P59" s="20" t="n">
        <v>0.80939386</v>
      </c>
      <c r="Q59" s="18" t="n">
        <v>3.32649207</v>
      </c>
      <c r="R59" s="20" t="n">
        <v>0.50727537</v>
      </c>
    </row>
    <row r="60" spans="1:18">
      <c r="A60" s="15" t="s">
        <v>620</v>
      </c>
      <c r="B60" s="17" t="n">
        <v>4546</v>
      </c>
      <c r="C60" s="18">
        <f>(3042.0/B60*100)</f>
        <v/>
      </c>
      <c r="D60" s="19" t="n">
        <v>1504</v>
      </c>
      <c r="E60" s="18" t="n">
        <v>59.83760407</v>
      </c>
      <c r="F60" s="20" t="n">
        <v>1.66333267</v>
      </c>
      <c r="G60" s="18" t="n">
        <v>18.93069729</v>
      </c>
      <c r="H60" s="20" t="n">
        <v>1.1453571</v>
      </c>
      <c r="I60" s="18" t="n">
        <v>0</v>
      </c>
      <c r="J60" s="20" t="n">
        <v>0</v>
      </c>
      <c r="K60" s="18" t="n">
        <v>4.54499246</v>
      </c>
      <c r="L60" s="20" t="n">
        <v>0.75793546</v>
      </c>
      <c r="M60" s="18" t="n">
        <v>0</v>
      </c>
      <c r="N60" s="20" t="n">
        <v>0</v>
      </c>
      <c r="O60" s="18" t="n">
        <v>5.10032257</v>
      </c>
      <c r="P60" s="20" t="n">
        <v>0.76986896</v>
      </c>
      <c r="Q60" s="18" t="n">
        <v>11.58638361</v>
      </c>
      <c r="R60" s="20" t="n">
        <v>1.21466558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66.79520711000001</v>
      </c>
      <c r="F63" s="20" t="n">
        <v>1.15033044</v>
      </c>
      <c r="G63" s="18" t="n">
        <v>17.59339095</v>
      </c>
      <c r="H63" s="20" t="n">
        <v>1.04788329</v>
      </c>
      <c r="I63" s="18" t="n">
        <v>0</v>
      </c>
      <c r="J63" s="20" t="n">
        <v>0</v>
      </c>
      <c r="K63" s="18" t="n">
        <v>1.99783821</v>
      </c>
      <c r="L63" s="20" t="n">
        <v>0.38210818</v>
      </c>
      <c r="M63" s="18" t="n">
        <v>0</v>
      </c>
      <c r="N63" s="20" t="n">
        <v>0</v>
      </c>
      <c r="O63" s="18" t="n">
        <v>1.78666164</v>
      </c>
      <c r="P63" s="20" t="n">
        <v>0.31231598</v>
      </c>
      <c r="Q63" s="18" t="n">
        <v>11.82690209</v>
      </c>
      <c r="R63" s="20" t="n">
        <v>0.7877414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60.40756763</v>
      </c>
      <c r="F65" s="20" t="n">
        <v>1.40673221</v>
      </c>
      <c r="G65" s="18" t="n">
        <v>31.34057245</v>
      </c>
      <c r="H65" s="20" t="n">
        <v>1.2786387</v>
      </c>
      <c r="I65" s="18" t="n">
        <v>0</v>
      </c>
      <c r="J65" s="20" t="n">
        <v>0</v>
      </c>
      <c r="K65" s="18" t="n">
        <v>2.84132362</v>
      </c>
      <c r="L65" s="20" t="n">
        <v>0.46470539</v>
      </c>
      <c r="M65" s="18" t="n">
        <v>0</v>
      </c>
      <c r="N65" s="20" t="n">
        <v>0</v>
      </c>
      <c r="O65" s="18" t="n">
        <v>0.72556288</v>
      </c>
      <c r="P65" s="20" t="n">
        <v>0.2340715</v>
      </c>
      <c r="Q65" s="18" t="n">
        <v>4.68497341</v>
      </c>
      <c r="R65" s="20" t="n">
        <v>0.71526177</v>
      </c>
    </row>
    <row r="66" spans="1:18">
      <c r="A66" s="15" t="s">
        <v>626</v>
      </c>
      <c r="B66" s="17" t="n">
        <v>5325</v>
      </c>
      <c r="C66" s="18">
        <f>(3532.0/B66*100)</f>
        <v/>
      </c>
      <c r="D66" s="19" t="n">
        <v>1793</v>
      </c>
      <c r="E66" s="18" t="n">
        <v>58.78446434</v>
      </c>
      <c r="F66" s="20" t="n">
        <v>1.2896453</v>
      </c>
      <c r="G66" s="18" t="n">
        <v>24.98992009</v>
      </c>
      <c r="H66" s="20" t="n">
        <v>1.10462486</v>
      </c>
      <c r="I66" s="18" t="n">
        <v>0</v>
      </c>
      <c r="J66" s="20" t="n">
        <v>0</v>
      </c>
      <c r="K66" s="18" t="n">
        <v>4.35305203</v>
      </c>
      <c r="L66" s="20" t="n">
        <v>0.46554183</v>
      </c>
      <c r="M66" s="18" t="n">
        <v>6.58431953</v>
      </c>
      <c r="N66" s="20" t="n">
        <v>0.62648361</v>
      </c>
      <c r="O66" s="18" t="n">
        <v>0</v>
      </c>
      <c r="P66" s="20" t="n">
        <v>0</v>
      </c>
      <c r="Q66" s="18" t="n">
        <v>5.288244</v>
      </c>
      <c r="R66" s="20" t="n">
        <v>0.55204263</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71.08022391999999</v>
      </c>
      <c r="F69" s="20" t="n">
        <v>2.66639535</v>
      </c>
      <c r="G69" s="18" t="n">
        <v>26.3613577</v>
      </c>
      <c r="H69" s="20" t="n">
        <v>2.42907717</v>
      </c>
      <c r="I69" s="18" t="n">
        <v>0</v>
      </c>
      <c r="J69" s="20" t="n">
        <v>0</v>
      </c>
      <c r="K69" s="18" t="n">
        <v>0.66741412</v>
      </c>
      <c r="L69" s="20" t="n">
        <v>0.389799</v>
      </c>
      <c r="M69" s="18" t="n">
        <v>0</v>
      </c>
      <c r="N69" s="20" t="n">
        <v>0</v>
      </c>
      <c r="O69" s="18" t="n">
        <v>0</v>
      </c>
      <c r="P69" s="20" t="n">
        <v>0</v>
      </c>
      <c r="Q69" s="18" t="n">
        <v>1.89100427</v>
      </c>
      <c r="R69" s="20" t="n">
        <v>0.62854025</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75.32446955</v>
      </c>
      <c r="F71" s="20" t="n">
        <v>1.20590162</v>
      </c>
      <c r="G71" s="18" t="n">
        <v>24.44766734</v>
      </c>
      <c r="H71" s="20" t="n">
        <v>1.21411115</v>
      </c>
      <c r="I71" s="18" t="n">
        <v>0</v>
      </c>
      <c r="J71" s="20" t="n">
        <v>0</v>
      </c>
      <c r="K71" s="18" t="n">
        <v>0.06084811</v>
      </c>
      <c r="L71" s="20" t="n">
        <v>0.06063321</v>
      </c>
      <c r="M71" s="18" t="n">
        <v>0</v>
      </c>
      <c r="N71" s="20" t="n">
        <v>0</v>
      </c>
      <c r="O71" s="18" t="n">
        <v>0</v>
      </c>
      <c r="P71" s="20" t="n">
        <v>0</v>
      </c>
      <c r="Q71" s="18" t="n">
        <v>0.167015</v>
      </c>
      <c r="R71" s="20" t="n">
        <v>0.09610098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63.80861725</v>
      </c>
      <c r="F76" s="20" t="n">
        <v>1.24209626</v>
      </c>
      <c r="G76" s="18" t="n">
        <v>24.7980464</v>
      </c>
      <c r="H76" s="20" t="n">
        <v>1.19116519</v>
      </c>
      <c r="I76" s="18" t="n">
        <v>0</v>
      </c>
      <c r="J76" s="20" t="n">
        <v>0</v>
      </c>
      <c r="K76" s="18" t="n">
        <v>4.74449904</v>
      </c>
      <c r="L76" s="20" t="n">
        <v>0.67708407</v>
      </c>
      <c r="M76" s="18" t="n">
        <v>0</v>
      </c>
      <c r="N76" s="20" t="n">
        <v>0</v>
      </c>
      <c r="O76" s="18" t="n">
        <v>0.26291277</v>
      </c>
      <c r="P76" s="20" t="n">
        <v>0.09775911</v>
      </c>
      <c r="Q76" s="18" t="n">
        <v>6.38592455</v>
      </c>
      <c r="R76" s="20" t="n">
        <v>0.73672114</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15.15764539</v>
      </c>
      <c r="F80" s="20" t="n">
        <v>1.02715672</v>
      </c>
      <c r="G80" s="18" t="n">
        <v>84.78766758</v>
      </c>
      <c r="H80" s="20" t="n">
        <v>1.03671201</v>
      </c>
      <c r="I80" s="18" t="n">
        <v>0</v>
      </c>
      <c r="J80" s="20" t="n">
        <v>0</v>
      </c>
      <c r="K80" s="18" t="n">
        <v>0</v>
      </c>
      <c r="L80" s="20" t="n">
        <v>0</v>
      </c>
      <c r="M80" s="18" t="n">
        <v>0</v>
      </c>
      <c r="N80" s="20" t="n">
        <v>0</v>
      </c>
      <c r="O80" s="18" t="n">
        <v>0</v>
      </c>
      <c r="P80" s="20" t="n">
        <v>0</v>
      </c>
      <c r="Q80" s="18" t="n">
        <v>0.05468703</v>
      </c>
      <c r="R80" s="20" t="n">
        <v>0.0547401</v>
      </c>
    </row>
    <row r="81" spans="1:18">
      <c r="A81" s="15" t="s">
        <v>641</v>
      </c>
      <c r="B81" s="17" t="n">
        <v>1657</v>
      </c>
      <c r="C81" s="18">
        <f>(1100.0/B81*100)</f>
        <v/>
      </c>
      <c r="D81" s="19" t="n">
        <v>557</v>
      </c>
      <c r="E81" s="18" t="n">
        <v>54.18492609</v>
      </c>
      <c r="F81" s="20" t="n">
        <v>1.93748245</v>
      </c>
      <c r="G81" s="18" t="n">
        <v>39.00722332</v>
      </c>
      <c r="H81" s="20" t="n">
        <v>2.00049442</v>
      </c>
      <c r="I81" s="18" t="n">
        <v>0</v>
      </c>
      <c r="J81" s="20" t="n">
        <v>0</v>
      </c>
      <c r="K81" s="18" t="n">
        <v>2.97728382</v>
      </c>
      <c r="L81" s="20" t="n">
        <v>0.55795714</v>
      </c>
      <c r="M81" s="18" t="n">
        <v>0</v>
      </c>
      <c r="N81" s="20" t="n">
        <v>0</v>
      </c>
      <c r="O81" s="18" t="n">
        <v>0.68799809</v>
      </c>
      <c r="P81" s="20" t="n">
        <v>0.36264254</v>
      </c>
      <c r="Q81" s="18" t="n">
        <v>3.14256869</v>
      </c>
      <c r="R81" s="20" t="n">
        <v>0.73253048</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859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36.99863823</v>
      </c>
      <c r="F44" s="20" t="n">
        <v>1.1826772</v>
      </c>
      <c r="G44" s="18" t="n">
        <v>56.56063971</v>
      </c>
      <c r="H44" s="20" t="n">
        <v>1.18119509</v>
      </c>
      <c r="I44" s="18" t="n">
        <v>0</v>
      </c>
      <c r="J44" s="20" t="n">
        <v>0</v>
      </c>
      <c r="K44" s="18" t="n">
        <v>2.03183929</v>
      </c>
      <c r="L44" s="20" t="n">
        <v>0.40793968</v>
      </c>
      <c r="M44" s="18" t="n">
        <v>0</v>
      </c>
      <c r="N44" s="20" t="n">
        <v>0</v>
      </c>
      <c r="O44" s="18" t="n">
        <v>1.22049371</v>
      </c>
      <c r="P44" s="20" t="n">
        <v>0.2878013</v>
      </c>
      <c r="Q44" s="18" t="n">
        <v>3.18838906</v>
      </c>
      <c r="R44" s="20" t="n">
        <v>0.5201742499999999</v>
      </c>
    </row>
    <row r="45" spans="1:18">
      <c r="A45" s="15" t="s">
        <v>604</v>
      </c>
      <c r="B45" s="17" t="n">
        <v>5519</v>
      </c>
      <c r="C45" s="18">
        <f>(3697.0/B45*100)</f>
        <v/>
      </c>
      <c r="D45" s="19" t="n">
        <v>1822</v>
      </c>
      <c r="E45" s="18" t="n">
        <v>62.32384704</v>
      </c>
      <c r="F45" s="20" t="n">
        <v>1.42012415</v>
      </c>
      <c r="G45" s="18" t="n">
        <v>24.59339415</v>
      </c>
      <c r="H45" s="20" t="n">
        <v>1.18896967</v>
      </c>
      <c r="I45" s="18" t="n">
        <v>0</v>
      </c>
      <c r="J45" s="20" t="n">
        <v>0</v>
      </c>
      <c r="K45" s="18" t="n">
        <v>5.32360887</v>
      </c>
      <c r="L45" s="20" t="n">
        <v>0.58405774</v>
      </c>
      <c r="M45" s="18" t="n">
        <v>0.32724889</v>
      </c>
      <c r="N45" s="20" t="n">
        <v>0.12907985</v>
      </c>
      <c r="O45" s="18" t="n">
        <v>3.45931704</v>
      </c>
      <c r="P45" s="20" t="n">
        <v>0.5616895</v>
      </c>
      <c r="Q45" s="18" t="n">
        <v>3.97258401</v>
      </c>
      <c r="R45" s="20" t="n">
        <v>0.58391254</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63.26365209</v>
      </c>
      <c r="F54" s="20" t="n">
        <v>1.34296669</v>
      </c>
      <c r="G54" s="18" t="n">
        <v>31.25174875</v>
      </c>
      <c r="H54" s="20" t="n">
        <v>1.28038253</v>
      </c>
      <c r="I54" s="18" t="n">
        <v>0</v>
      </c>
      <c r="J54" s="20" t="n">
        <v>0</v>
      </c>
      <c r="K54" s="18" t="n">
        <v>1.84198349</v>
      </c>
      <c r="L54" s="20" t="n">
        <v>0.31553588</v>
      </c>
      <c r="M54" s="18" t="n">
        <v>0.21467641</v>
      </c>
      <c r="N54" s="20" t="n">
        <v>0.05895338</v>
      </c>
      <c r="O54" s="18" t="n">
        <v>0.34338917</v>
      </c>
      <c r="P54" s="20" t="n">
        <v>0.1438804</v>
      </c>
      <c r="Q54" s="18" t="n">
        <v>3.08455009</v>
      </c>
      <c r="R54" s="20" t="n">
        <v>0.47586534</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48.74856229</v>
      </c>
      <c r="F56" s="20" t="n">
        <v>1.31983004</v>
      </c>
      <c r="G56" s="18" t="n">
        <v>48.1184027</v>
      </c>
      <c r="H56" s="20" t="n">
        <v>1.39285865</v>
      </c>
      <c r="I56" s="18" t="n">
        <v>0</v>
      </c>
      <c r="J56" s="20" t="n">
        <v>0</v>
      </c>
      <c r="K56" s="18" t="n">
        <v>2.03832117</v>
      </c>
      <c r="L56" s="20" t="n">
        <v>0.37751584</v>
      </c>
      <c r="M56" s="18" t="n">
        <v>0</v>
      </c>
      <c r="N56" s="20" t="n">
        <v>0</v>
      </c>
      <c r="O56" s="18" t="n">
        <v>0</v>
      </c>
      <c r="P56" s="20" t="n">
        <v>0</v>
      </c>
      <c r="Q56" s="18" t="n">
        <v>1.09471384</v>
      </c>
      <c r="R56" s="20" t="n">
        <v>0.27197727</v>
      </c>
    </row>
    <row r="57" spans="1:18">
      <c r="A57" s="15" t="s">
        <v>616</v>
      </c>
      <c r="B57" s="17" t="n">
        <v>7267</v>
      </c>
      <c r="C57" s="18">
        <f>(4831.0/B57*100)</f>
        <v/>
      </c>
      <c r="D57" s="19" t="n">
        <v>2436</v>
      </c>
      <c r="E57" s="18" t="n">
        <v>62.63105866</v>
      </c>
      <c r="F57" s="20" t="n">
        <v>1.10874704</v>
      </c>
      <c r="G57" s="18" t="n">
        <v>32.34482458</v>
      </c>
      <c r="H57" s="20" t="n">
        <v>1.06662275</v>
      </c>
      <c r="I57" s="18" t="n">
        <v>0</v>
      </c>
      <c r="J57" s="20" t="n">
        <v>0</v>
      </c>
      <c r="K57" s="18" t="n">
        <v>1.30993166</v>
      </c>
      <c r="L57" s="20" t="n">
        <v>0.26870176</v>
      </c>
      <c r="M57" s="18" t="n">
        <v>0</v>
      </c>
      <c r="N57" s="20" t="n">
        <v>0</v>
      </c>
      <c r="O57" s="18" t="n">
        <v>0.81810843</v>
      </c>
      <c r="P57" s="20" t="n">
        <v>0.20253507</v>
      </c>
      <c r="Q57" s="18" t="n">
        <v>2.89607667</v>
      </c>
      <c r="R57" s="20" t="n">
        <v>0.43830894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50.71969293</v>
      </c>
      <c r="F59" s="20" t="n">
        <v>1.47056914</v>
      </c>
      <c r="G59" s="18" t="n">
        <v>45.97535187</v>
      </c>
      <c r="H59" s="20" t="n">
        <v>1.54872588</v>
      </c>
      <c r="I59" s="18" t="n">
        <v>0</v>
      </c>
      <c r="J59" s="20" t="n">
        <v>0</v>
      </c>
      <c r="K59" s="18" t="n">
        <v>0.21163146</v>
      </c>
      <c r="L59" s="20" t="n">
        <v>0.09046447000000001</v>
      </c>
      <c r="M59" s="18" t="n">
        <v>0</v>
      </c>
      <c r="N59" s="20" t="n">
        <v>0</v>
      </c>
      <c r="O59" s="18" t="n">
        <v>2.23055052</v>
      </c>
      <c r="P59" s="20" t="n">
        <v>0.4236324</v>
      </c>
      <c r="Q59" s="18" t="n">
        <v>0.86277322</v>
      </c>
      <c r="R59" s="20" t="n">
        <v>0.29308011</v>
      </c>
    </row>
    <row r="60" spans="1:18">
      <c r="A60" s="15" t="s">
        <v>620</v>
      </c>
      <c r="B60" s="17" t="n">
        <v>4546</v>
      </c>
      <c r="C60" s="18">
        <f>(3042.0/B60*100)</f>
        <v/>
      </c>
      <c r="D60" s="19" t="n">
        <v>1504</v>
      </c>
      <c r="E60" s="18" t="n">
        <v>51.89103199</v>
      </c>
      <c r="F60" s="20" t="n">
        <v>1.49681256</v>
      </c>
      <c r="G60" s="18" t="n">
        <v>34.79678884</v>
      </c>
      <c r="H60" s="20" t="n">
        <v>1.57485363</v>
      </c>
      <c r="I60" s="18" t="n">
        <v>0</v>
      </c>
      <c r="J60" s="20" t="n">
        <v>0</v>
      </c>
      <c r="K60" s="18" t="n">
        <v>4.73215076</v>
      </c>
      <c r="L60" s="20" t="n">
        <v>0.77493353</v>
      </c>
      <c r="M60" s="18" t="n">
        <v>0</v>
      </c>
      <c r="N60" s="20" t="n">
        <v>0</v>
      </c>
      <c r="O60" s="18" t="n">
        <v>5.41872283</v>
      </c>
      <c r="P60" s="20" t="n">
        <v>0.84558771</v>
      </c>
      <c r="Q60" s="18" t="n">
        <v>3.16130558</v>
      </c>
      <c r="R60" s="20" t="n">
        <v>0.4921398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68.73856614</v>
      </c>
      <c r="F63" s="20" t="n">
        <v>1.0995694</v>
      </c>
      <c r="G63" s="18" t="n">
        <v>24.86475759</v>
      </c>
      <c r="H63" s="20" t="n">
        <v>1.11028807</v>
      </c>
      <c r="I63" s="18" t="n">
        <v>0</v>
      </c>
      <c r="J63" s="20" t="n">
        <v>0</v>
      </c>
      <c r="K63" s="18" t="n">
        <v>2.1016213</v>
      </c>
      <c r="L63" s="20" t="n">
        <v>0.40100495</v>
      </c>
      <c r="M63" s="18" t="n">
        <v>0</v>
      </c>
      <c r="N63" s="20" t="n">
        <v>0</v>
      </c>
      <c r="O63" s="18" t="n">
        <v>0.51576746</v>
      </c>
      <c r="P63" s="20" t="n">
        <v>0.17495029</v>
      </c>
      <c r="Q63" s="18" t="n">
        <v>3.7792875</v>
      </c>
      <c r="R63" s="20" t="n">
        <v>0.49023194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44.71876785</v>
      </c>
      <c r="F65" s="20" t="n">
        <v>1.51071965</v>
      </c>
      <c r="G65" s="18" t="n">
        <v>50.01110174</v>
      </c>
      <c r="H65" s="20" t="n">
        <v>1.55403512</v>
      </c>
      <c r="I65" s="18" t="n">
        <v>0</v>
      </c>
      <c r="J65" s="20" t="n">
        <v>0</v>
      </c>
      <c r="K65" s="18" t="n">
        <v>2.84132362</v>
      </c>
      <c r="L65" s="20" t="n">
        <v>0.46470539</v>
      </c>
      <c r="M65" s="18" t="n">
        <v>0</v>
      </c>
      <c r="N65" s="20" t="n">
        <v>0</v>
      </c>
      <c r="O65" s="18" t="n">
        <v>0.50678228</v>
      </c>
      <c r="P65" s="20" t="n">
        <v>0.23364382</v>
      </c>
      <c r="Q65" s="18" t="n">
        <v>1.92202452</v>
      </c>
      <c r="R65" s="20" t="n">
        <v>0.39781339</v>
      </c>
    </row>
    <row r="66" spans="1:18">
      <c r="A66" s="15" t="s">
        <v>626</v>
      </c>
      <c r="B66" s="17" t="n">
        <v>5325</v>
      </c>
      <c r="C66" s="18">
        <f>(3532.0/B66*100)</f>
        <v/>
      </c>
      <c r="D66" s="19" t="n">
        <v>1793</v>
      </c>
      <c r="E66" s="18" t="n">
        <v>55.14219475</v>
      </c>
      <c r="F66" s="20" t="n">
        <v>1.21279364</v>
      </c>
      <c r="G66" s="18" t="n">
        <v>34.19218708</v>
      </c>
      <c r="H66" s="20" t="n">
        <v>1.22546972</v>
      </c>
      <c r="I66" s="18" t="n">
        <v>0</v>
      </c>
      <c r="J66" s="20" t="n">
        <v>0</v>
      </c>
      <c r="K66" s="18" t="n">
        <v>4.95833727</v>
      </c>
      <c r="L66" s="20" t="n">
        <v>0.51041001</v>
      </c>
      <c r="M66" s="18" t="n">
        <v>2.56940562</v>
      </c>
      <c r="N66" s="20" t="n">
        <v>0.41205086</v>
      </c>
      <c r="O66" s="18" t="n">
        <v>0.0453279</v>
      </c>
      <c r="P66" s="20" t="n">
        <v>0.04537436</v>
      </c>
      <c r="Q66" s="18" t="n">
        <v>3.09254738</v>
      </c>
      <c r="R66" s="20" t="n">
        <v>0.53996165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60.6305158</v>
      </c>
      <c r="F69" s="20" t="n">
        <v>1.9571334</v>
      </c>
      <c r="G69" s="18" t="n">
        <v>38.22106336</v>
      </c>
      <c r="H69" s="20" t="n">
        <v>1.8901374</v>
      </c>
      <c r="I69" s="18" t="n">
        <v>0</v>
      </c>
      <c r="J69" s="20" t="n">
        <v>0</v>
      </c>
      <c r="K69" s="18" t="n">
        <v>0.66741412</v>
      </c>
      <c r="L69" s="20" t="n">
        <v>0.389799</v>
      </c>
      <c r="M69" s="18" t="n">
        <v>0</v>
      </c>
      <c r="N69" s="20" t="n">
        <v>0</v>
      </c>
      <c r="O69" s="18" t="n">
        <v>0</v>
      </c>
      <c r="P69" s="20" t="n">
        <v>0</v>
      </c>
      <c r="Q69" s="18" t="n">
        <v>0.48100673</v>
      </c>
      <c r="R69" s="20" t="n">
        <v>0.38032262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59.77064767</v>
      </c>
      <c r="F71" s="20" t="n">
        <v>1.52173022</v>
      </c>
      <c r="G71" s="18" t="n">
        <v>39.99850042</v>
      </c>
      <c r="H71" s="20" t="n">
        <v>1.52643045</v>
      </c>
      <c r="I71" s="18" t="n">
        <v>0</v>
      </c>
      <c r="J71" s="20" t="n">
        <v>0</v>
      </c>
      <c r="K71" s="18" t="n">
        <v>0.06084811</v>
      </c>
      <c r="L71" s="20" t="n">
        <v>0.06063321</v>
      </c>
      <c r="M71" s="18" t="n">
        <v>0</v>
      </c>
      <c r="N71" s="20" t="n">
        <v>0</v>
      </c>
      <c r="O71" s="18" t="n">
        <v>0</v>
      </c>
      <c r="P71" s="20" t="n">
        <v>0</v>
      </c>
      <c r="Q71" s="18" t="n">
        <v>0.1700038</v>
      </c>
      <c r="R71" s="20" t="n">
        <v>0.09796729</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55.50411534</v>
      </c>
      <c r="F76" s="20" t="n">
        <v>1.33675168</v>
      </c>
      <c r="G76" s="18" t="n">
        <v>36.65411899</v>
      </c>
      <c r="H76" s="20" t="n">
        <v>1.3033267</v>
      </c>
      <c r="I76" s="18" t="n">
        <v>0</v>
      </c>
      <c r="J76" s="20" t="n">
        <v>0</v>
      </c>
      <c r="K76" s="18" t="n">
        <v>5.1726438</v>
      </c>
      <c r="L76" s="20" t="n">
        <v>0.68681939</v>
      </c>
      <c r="M76" s="18" t="n">
        <v>0</v>
      </c>
      <c r="N76" s="20" t="n">
        <v>0</v>
      </c>
      <c r="O76" s="18" t="n">
        <v>0</v>
      </c>
      <c r="P76" s="20" t="n">
        <v>0</v>
      </c>
      <c r="Q76" s="18" t="n">
        <v>2.66912187</v>
      </c>
      <c r="R76" s="20" t="n">
        <v>0.33271677</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26.74743659</v>
      </c>
      <c r="F80" s="20" t="n">
        <v>1.25351089</v>
      </c>
      <c r="G80" s="18" t="n">
        <v>73.25256340999999</v>
      </c>
      <c r="H80" s="20" t="n">
        <v>1.25351089</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(1100.0/B81*100)</f>
        <v/>
      </c>
      <c r="D81" s="19" t="n">
        <v>557</v>
      </c>
      <c r="E81" s="18" t="n">
        <v>50.55732571</v>
      </c>
      <c r="F81" s="20" t="n">
        <v>2.28293433</v>
      </c>
      <c r="G81" s="18" t="n">
        <v>43.02653546</v>
      </c>
      <c r="H81" s="20" t="n">
        <v>2.23269835</v>
      </c>
      <c r="I81" s="18" t="n">
        <v>0</v>
      </c>
      <c r="J81" s="20" t="n">
        <v>0</v>
      </c>
      <c r="K81" s="18" t="n">
        <v>3.19427901</v>
      </c>
      <c r="L81" s="20" t="n">
        <v>0.5814323300000001</v>
      </c>
      <c r="M81" s="18" t="n">
        <v>0</v>
      </c>
      <c r="N81" s="20" t="n">
        <v>0</v>
      </c>
      <c r="O81" s="18" t="n">
        <v>0.4049457</v>
      </c>
      <c r="P81" s="20" t="n">
        <v>0.29477097</v>
      </c>
      <c r="Q81" s="18" t="n">
        <v>2.81691412</v>
      </c>
      <c r="R81" s="20" t="n">
        <v>0.70586313</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16.97716018</v>
      </c>
      <c r="F44" s="20" t="n">
        <v>1.14733592</v>
      </c>
      <c r="G44" s="18" t="n">
        <v>76.34661219</v>
      </c>
      <c r="H44" s="20" t="n">
        <v>1.28609782</v>
      </c>
      <c r="I44" s="18" t="n">
        <v>0</v>
      </c>
      <c r="J44" s="20" t="n">
        <v>0</v>
      </c>
      <c r="K44" s="18" t="n">
        <v>2.09341966</v>
      </c>
      <c r="L44" s="20" t="n">
        <v>0.41294156</v>
      </c>
      <c r="M44" s="18" t="n">
        <v>0</v>
      </c>
      <c r="N44" s="20" t="n">
        <v>0</v>
      </c>
      <c r="O44" s="18" t="n">
        <v>0.3998835</v>
      </c>
      <c r="P44" s="20" t="n">
        <v>0.1373645</v>
      </c>
      <c r="Q44" s="18" t="n">
        <v>4.18292447</v>
      </c>
      <c r="R44" s="20" t="n">
        <v>0.52600803</v>
      </c>
    </row>
    <row r="45" spans="1:18">
      <c r="A45" s="15" t="s">
        <v>604</v>
      </c>
      <c r="B45" s="17" t="n">
        <v>5519</v>
      </c>
      <c r="C45" s="18">
        <f>(3697.0/B45*100)</f>
        <v/>
      </c>
      <c r="D45" s="19" t="n">
        <v>1822</v>
      </c>
      <c r="E45" s="18" t="n">
        <v>26.40330252</v>
      </c>
      <c r="F45" s="20" t="n">
        <v>0.98509243</v>
      </c>
      <c r="G45" s="18" t="n">
        <v>60.46509914</v>
      </c>
      <c r="H45" s="20" t="n">
        <v>1.34820646</v>
      </c>
      <c r="I45" s="18" t="n">
        <v>0</v>
      </c>
      <c r="J45" s="20" t="n">
        <v>0</v>
      </c>
      <c r="K45" s="18" t="n">
        <v>5.47293329</v>
      </c>
      <c r="L45" s="20" t="n">
        <v>0.57093083</v>
      </c>
      <c r="M45" s="18" t="n">
        <v>0.34237324</v>
      </c>
      <c r="N45" s="20" t="n">
        <v>0.13491665</v>
      </c>
      <c r="O45" s="18" t="n">
        <v>1.72434137</v>
      </c>
      <c r="P45" s="20" t="n">
        <v>0.37004823</v>
      </c>
      <c r="Q45" s="18" t="n">
        <v>5.59195044</v>
      </c>
      <c r="R45" s="20" t="n">
        <v>0.61813841</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18.37442544</v>
      </c>
      <c r="F54" s="20" t="n">
        <v>1.07650561</v>
      </c>
      <c r="G54" s="18" t="n">
        <v>76.71038776</v>
      </c>
      <c r="H54" s="20" t="n">
        <v>1.1662786</v>
      </c>
      <c r="I54" s="18" t="n">
        <v>0</v>
      </c>
      <c r="J54" s="20" t="n">
        <v>0</v>
      </c>
      <c r="K54" s="18" t="n">
        <v>1.84198349</v>
      </c>
      <c r="L54" s="20" t="n">
        <v>0.31553588</v>
      </c>
      <c r="M54" s="18" t="n">
        <v>0.21467641</v>
      </c>
      <c r="N54" s="20" t="n">
        <v>0.05895338</v>
      </c>
      <c r="O54" s="18" t="n">
        <v>0.04827868</v>
      </c>
      <c r="P54" s="20" t="n">
        <v>0.04776721</v>
      </c>
      <c r="Q54" s="18" t="n">
        <v>2.81024821</v>
      </c>
      <c r="R54" s="20" t="n">
        <v>0.41440644</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52.23375519</v>
      </c>
      <c r="F56" s="20" t="n">
        <v>1.34345996</v>
      </c>
      <c r="G56" s="18" t="n">
        <v>44.14778379</v>
      </c>
      <c r="H56" s="20" t="n">
        <v>1.30878203</v>
      </c>
      <c r="I56" s="18" t="n">
        <v>0</v>
      </c>
      <c r="J56" s="20" t="n">
        <v>0</v>
      </c>
      <c r="K56" s="18" t="n">
        <v>2.20791575</v>
      </c>
      <c r="L56" s="20" t="n">
        <v>0.37966619</v>
      </c>
      <c r="M56" s="18" t="n">
        <v>0</v>
      </c>
      <c r="N56" s="20" t="n">
        <v>0</v>
      </c>
      <c r="O56" s="18" t="n">
        <v>0.05493809</v>
      </c>
      <c r="P56" s="20" t="n">
        <v>0.05489025</v>
      </c>
      <c r="Q56" s="18" t="n">
        <v>1.35560718</v>
      </c>
      <c r="R56" s="20" t="n">
        <v>0.32417656</v>
      </c>
    </row>
    <row r="57" spans="1:18">
      <c r="A57" s="15" t="s">
        <v>616</v>
      </c>
      <c r="B57" s="17" t="n">
        <v>7267</v>
      </c>
      <c r="C57" s="18">
        <f>(4831.0/B57*100)</f>
        <v/>
      </c>
      <c r="D57" s="19" t="n">
        <v>2436</v>
      </c>
      <c r="E57" s="18" t="n">
        <v>17.57007848</v>
      </c>
      <c r="F57" s="20" t="n">
        <v>1.03865665</v>
      </c>
      <c r="G57" s="18" t="n">
        <v>78.01974930999999</v>
      </c>
      <c r="H57" s="20" t="n">
        <v>1.18074385</v>
      </c>
      <c r="I57" s="18" t="n">
        <v>0</v>
      </c>
      <c r="J57" s="20" t="n">
        <v>0</v>
      </c>
      <c r="K57" s="18" t="n">
        <v>1.45442833</v>
      </c>
      <c r="L57" s="20" t="n">
        <v>0.28488462</v>
      </c>
      <c r="M57" s="18" t="n">
        <v>0</v>
      </c>
      <c r="N57" s="20" t="n">
        <v>0</v>
      </c>
      <c r="O57" s="18" t="n">
        <v>0.57626029</v>
      </c>
      <c r="P57" s="20" t="n">
        <v>0.17045049</v>
      </c>
      <c r="Q57" s="18" t="n">
        <v>2.3794836</v>
      </c>
      <c r="R57" s="20" t="n">
        <v>0.42113489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25.94047693</v>
      </c>
      <c r="F59" s="20" t="n">
        <v>1.21859701</v>
      </c>
      <c r="G59" s="18" t="n">
        <v>70.6741695</v>
      </c>
      <c r="H59" s="20" t="n">
        <v>1.26477592</v>
      </c>
      <c r="I59" s="18" t="n">
        <v>0</v>
      </c>
      <c r="J59" s="20" t="n">
        <v>0</v>
      </c>
      <c r="K59" s="18" t="n">
        <v>0.28303915</v>
      </c>
      <c r="L59" s="20" t="n">
        <v>0.11582047</v>
      </c>
      <c r="M59" s="18" t="n">
        <v>0</v>
      </c>
      <c r="N59" s="20" t="n">
        <v>0</v>
      </c>
      <c r="O59" s="18" t="n">
        <v>1.62192812</v>
      </c>
      <c r="P59" s="20" t="n">
        <v>0.40417578</v>
      </c>
      <c r="Q59" s="18" t="n">
        <v>1.48038629</v>
      </c>
      <c r="R59" s="20" t="n">
        <v>0.35896135</v>
      </c>
    </row>
    <row r="60" spans="1:18">
      <c r="A60" s="15" t="s">
        <v>620</v>
      </c>
      <c r="B60" s="17" t="n">
        <v>4546</v>
      </c>
      <c r="C60" s="18">
        <f>(3042.0/B60*100)</f>
        <v/>
      </c>
      <c r="D60" s="19" t="n">
        <v>1504</v>
      </c>
      <c r="E60" s="18" t="n">
        <v>22.85377494</v>
      </c>
      <c r="F60" s="20" t="n">
        <v>1.35377093</v>
      </c>
      <c r="G60" s="18" t="n">
        <v>65.7926477</v>
      </c>
      <c r="H60" s="20" t="n">
        <v>1.52877677</v>
      </c>
      <c r="I60" s="18" t="n">
        <v>0</v>
      </c>
      <c r="J60" s="20" t="n">
        <v>0</v>
      </c>
      <c r="K60" s="18" t="n">
        <v>4.89396136</v>
      </c>
      <c r="L60" s="20" t="n">
        <v>0.80562747</v>
      </c>
      <c r="M60" s="18" t="n">
        <v>0</v>
      </c>
      <c r="N60" s="20" t="n">
        <v>0</v>
      </c>
      <c r="O60" s="18" t="n">
        <v>2.01337832</v>
      </c>
      <c r="P60" s="20" t="n">
        <v>0.4426855</v>
      </c>
      <c r="Q60" s="18" t="n">
        <v>4.44623768</v>
      </c>
      <c r="R60" s="20" t="n">
        <v>0.56690785</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23.32799397</v>
      </c>
      <c r="F63" s="20" t="n">
        <v>1.0124749</v>
      </c>
      <c r="G63" s="18" t="n">
        <v>69.42653131</v>
      </c>
      <c r="H63" s="20" t="n">
        <v>1.01654851</v>
      </c>
      <c r="I63" s="18" t="n">
        <v>0</v>
      </c>
      <c r="J63" s="20" t="n">
        <v>0</v>
      </c>
      <c r="K63" s="18" t="n">
        <v>2.35186058</v>
      </c>
      <c r="L63" s="20" t="n">
        <v>0.43921168</v>
      </c>
      <c r="M63" s="18" t="n">
        <v>0</v>
      </c>
      <c r="N63" s="20" t="n">
        <v>0</v>
      </c>
      <c r="O63" s="18" t="n">
        <v>0.20820518</v>
      </c>
      <c r="P63" s="20" t="n">
        <v>0.13699057</v>
      </c>
      <c r="Q63" s="18" t="n">
        <v>4.68540896</v>
      </c>
      <c r="R63" s="20" t="n">
        <v>0.56202177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19.77389202</v>
      </c>
      <c r="F65" s="20" t="n">
        <v>1.16137346</v>
      </c>
      <c r="G65" s="18" t="n">
        <v>74.21496498</v>
      </c>
      <c r="H65" s="20" t="n">
        <v>1.22214482</v>
      </c>
      <c r="I65" s="18" t="n">
        <v>0</v>
      </c>
      <c r="J65" s="20" t="n">
        <v>0</v>
      </c>
      <c r="K65" s="18" t="n">
        <v>2.84132362</v>
      </c>
      <c r="L65" s="20" t="n">
        <v>0.46470539</v>
      </c>
      <c r="M65" s="18" t="n">
        <v>0</v>
      </c>
      <c r="N65" s="20" t="n">
        <v>0</v>
      </c>
      <c r="O65" s="18" t="n">
        <v>0.64101175</v>
      </c>
      <c r="P65" s="20" t="n">
        <v>0.24379831</v>
      </c>
      <c r="Q65" s="18" t="n">
        <v>2.52880763</v>
      </c>
      <c r="R65" s="20" t="n">
        <v>0.45163609</v>
      </c>
    </row>
    <row r="66" spans="1:18">
      <c r="A66" s="15" t="s">
        <v>626</v>
      </c>
      <c r="B66" s="17" t="n">
        <v>5325</v>
      </c>
      <c r="C66" s="18">
        <f>(3532.0/B66*100)</f>
        <v/>
      </c>
      <c r="D66" s="19" t="n">
        <v>1793</v>
      </c>
      <c r="E66" s="18" t="n">
        <v>13.67969776</v>
      </c>
      <c r="F66" s="20" t="n">
        <v>0.88147268</v>
      </c>
      <c r="G66" s="18" t="n">
        <v>76.37544572</v>
      </c>
      <c r="H66" s="20" t="n">
        <v>1.1757739</v>
      </c>
      <c r="I66" s="18" t="n">
        <v>0</v>
      </c>
      <c r="J66" s="20" t="n">
        <v>0</v>
      </c>
      <c r="K66" s="18" t="n">
        <v>5.29019759</v>
      </c>
      <c r="L66" s="20" t="n">
        <v>0.53960085</v>
      </c>
      <c r="M66" s="18" t="n">
        <v>1.45836088</v>
      </c>
      <c r="N66" s="20" t="n">
        <v>0.29577786</v>
      </c>
      <c r="O66" s="18" t="n">
        <v>0</v>
      </c>
      <c r="P66" s="20" t="n">
        <v>0</v>
      </c>
      <c r="Q66" s="18" t="n">
        <v>3.19629805</v>
      </c>
      <c r="R66" s="20" t="n">
        <v>0.41622542</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28.14312327</v>
      </c>
      <c r="F69" s="20" t="n">
        <v>2.48050688</v>
      </c>
      <c r="G69" s="18" t="n">
        <v>70.17670665999999</v>
      </c>
      <c r="H69" s="20" t="n">
        <v>2.55793306</v>
      </c>
      <c r="I69" s="18" t="n">
        <v>0</v>
      </c>
      <c r="J69" s="20" t="n">
        <v>0</v>
      </c>
      <c r="K69" s="18" t="n">
        <v>0.66741412</v>
      </c>
      <c r="L69" s="20" t="n">
        <v>0.389799</v>
      </c>
      <c r="M69" s="18" t="n">
        <v>0</v>
      </c>
      <c r="N69" s="20" t="n">
        <v>0</v>
      </c>
      <c r="O69" s="18" t="n">
        <v>0</v>
      </c>
      <c r="P69" s="20" t="n">
        <v>0</v>
      </c>
      <c r="Q69" s="18" t="n">
        <v>1.01275595</v>
      </c>
      <c r="R69" s="20" t="n">
        <v>0.39010858</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21.28066356</v>
      </c>
      <c r="F71" s="20" t="n">
        <v>0.99547502</v>
      </c>
      <c r="G71" s="18" t="n">
        <v>78.54875860999999</v>
      </c>
      <c r="H71" s="20" t="n">
        <v>1.00684391</v>
      </c>
      <c r="I71" s="18" t="n">
        <v>0</v>
      </c>
      <c r="J71" s="20" t="n">
        <v>0</v>
      </c>
      <c r="K71" s="18" t="n">
        <v>0.06084811</v>
      </c>
      <c r="L71" s="20" t="n">
        <v>0.06063321</v>
      </c>
      <c r="M71" s="18" t="n">
        <v>0</v>
      </c>
      <c r="N71" s="20" t="n">
        <v>0</v>
      </c>
      <c r="O71" s="18" t="n">
        <v>0</v>
      </c>
      <c r="P71" s="20" t="n">
        <v>0</v>
      </c>
      <c r="Q71" s="18" t="n">
        <v>0.10972972</v>
      </c>
      <c r="R71" s="20" t="n">
        <v>0.07747184999999999</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22.51398099</v>
      </c>
      <c r="F76" s="20" t="n">
        <v>1.17167642</v>
      </c>
      <c r="G76" s="18" t="n">
        <v>68.88229413000001</v>
      </c>
      <c r="H76" s="20" t="n">
        <v>1.30158552</v>
      </c>
      <c r="I76" s="18" t="n">
        <v>0</v>
      </c>
      <c r="J76" s="20" t="n">
        <v>0</v>
      </c>
      <c r="K76" s="18" t="n">
        <v>5.31583687</v>
      </c>
      <c r="L76" s="20" t="n">
        <v>0.6952391999999999</v>
      </c>
      <c r="M76" s="18" t="n">
        <v>0</v>
      </c>
      <c r="N76" s="20" t="n">
        <v>0</v>
      </c>
      <c r="O76" s="18" t="n">
        <v>0</v>
      </c>
      <c r="P76" s="20" t="n">
        <v>0</v>
      </c>
      <c r="Q76" s="18" t="n">
        <v>3.28788802</v>
      </c>
      <c r="R76" s="20" t="n">
        <v>0.54670814</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0.73848203</v>
      </c>
      <c r="F80" s="20" t="n">
        <v>0.20921478</v>
      </c>
      <c r="G80" s="18" t="n">
        <v>99.26151797</v>
      </c>
      <c r="H80" s="20" t="n">
        <v>0.20921478</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(1100.0/B81*100)</f>
        <v/>
      </c>
      <c r="D81" s="19" t="n">
        <v>557</v>
      </c>
      <c r="E81" s="18" t="n">
        <v>7.94229728</v>
      </c>
      <c r="F81" s="20" t="n">
        <v>1.51635903</v>
      </c>
      <c r="G81" s="18" t="n">
        <v>87.26284087000001</v>
      </c>
      <c r="H81" s="20" t="n">
        <v>1.62352989</v>
      </c>
      <c r="I81" s="18" t="n">
        <v>0</v>
      </c>
      <c r="J81" s="20" t="n">
        <v>0</v>
      </c>
      <c r="K81" s="18" t="n">
        <v>3.19427901</v>
      </c>
      <c r="L81" s="20" t="n">
        <v>0.5814323300000001</v>
      </c>
      <c r="M81" s="18" t="n">
        <v>0</v>
      </c>
      <c r="N81" s="20" t="n">
        <v>0</v>
      </c>
      <c r="O81" s="18" t="n">
        <v>0</v>
      </c>
      <c r="P81" s="20" t="n">
        <v>0</v>
      </c>
      <c r="Q81" s="18" t="n">
        <v>1.60058283</v>
      </c>
      <c r="R81" s="20" t="n">
        <v>0.43052325</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5.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861</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row>
    <row r="8" spans="1:20">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row>
    <row r="9" spans="1:20">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row>
    <row r="10" spans="1:20">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row>
    <row r="11" spans="1:20">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row>
    <row r="12" spans="1:20">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row>
    <row r="13" spans="1:20">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row>
    <row r="14" spans="1:20">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row>
    <row r="15" spans="1:20">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row>
    <row r="16" spans="1:20">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row>
    <row r="17" spans="1:20">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row>
    <row r="18" spans="1:20">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row>
    <row r="19" spans="1:20">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row>
    <row r="20" spans="1:20">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row>
    <row r="21" spans="1:20">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row>
    <row r="22" spans="1:20">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row>
    <row r="23" spans="1:20">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row>
    <row r="24" spans="1:20">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row>
    <row r="25" spans="1:20">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row>
    <row r="26" spans="1:20">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row>
    <row r="27" spans="1:20">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row>
    <row r="28" spans="1:20">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row>
    <row r="29" spans="1:20">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row>
    <row r="30" spans="1:20">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row>
    <row r="31" spans="1:20">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row>
    <row r="32" spans="1:20">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row>
    <row r="33" spans="1:20">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row>
    <row r="34" spans="1:20">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row>
    <row r="35" spans="1:20">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row>
    <row r="36" spans="1:20">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row>
    <row r="37" spans="1:20">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row>
    <row r="38" spans="1:20">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row>
    <row r="39" spans="1:20">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row>
    <row r="40" spans="1:20">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row>
    <row r="41" spans="1:20">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(3448.0/B44*100)</f>
        <v/>
      </c>
      <c r="D44" s="19" t="n">
        <v>1767</v>
      </c>
      <c r="E44" s="18" t="n">
        <v>39.2656207</v>
      </c>
      <c r="F44" s="20" t="n">
        <v>1.84859864</v>
      </c>
      <c r="G44" s="18" t="n">
        <v>15.18777691</v>
      </c>
      <c r="H44" s="20" t="n">
        <v>0.97514136</v>
      </c>
      <c r="I44" s="18" t="n">
        <v>13.55415868</v>
      </c>
      <c r="J44" s="20" t="n">
        <v>1.60633947</v>
      </c>
      <c r="K44" s="18" t="n">
        <v>0</v>
      </c>
      <c r="L44" s="20" t="n">
        <v>0</v>
      </c>
      <c r="M44" s="18" t="n">
        <v>2.68098106</v>
      </c>
      <c r="N44" s="20" t="n">
        <v>0.45564472</v>
      </c>
      <c r="O44" s="18" t="n">
        <v>0</v>
      </c>
      <c r="P44" s="20" t="n">
        <v>0</v>
      </c>
      <c r="Q44" s="18" t="n">
        <v>0</v>
      </c>
      <c r="R44" s="20" t="n">
        <v>0</v>
      </c>
      <c r="S44" s="18" t="n">
        <v>29.31146265</v>
      </c>
      <c r="T44" s="20" t="n">
        <v>1.60903545</v>
      </c>
    </row>
    <row r="45" spans="1:20">
      <c r="A45" s="15" t="s">
        <v>604</v>
      </c>
      <c r="B45" s="17" t="n">
        <v>5519</v>
      </c>
      <c r="C45" s="18">
        <f>(3697.0/B45*100)</f>
        <v/>
      </c>
      <c r="D45" s="19" t="n">
        <v>1822</v>
      </c>
      <c r="E45" s="18" t="n">
        <v>41.06701901</v>
      </c>
      <c r="F45" s="20" t="n">
        <v>1.20249565</v>
      </c>
      <c r="G45" s="18" t="n">
        <v>14.90542686</v>
      </c>
      <c r="H45" s="20" t="n">
        <v>0.82839827</v>
      </c>
      <c r="I45" s="18" t="n">
        <v>6.61476396</v>
      </c>
      <c r="J45" s="20" t="n">
        <v>0.66518481</v>
      </c>
      <c r="K45" s="18" t="n">
        <v>0</v>
      </c>
      <c r="L45" s="20" t="n">
        <v>0</v>
      </c>
      <c r="M45" s="18" t="n">
        <v>6.27900725</v>
      </c>
      <c r="N45" s="20" t="n">
        <v>0.5487942</v>
      </c>
      <c r="O45" s="18" t="n">
        <v>0.92857025</v>
      </c>
      <c r="P45" s="20" t="n">
        <v>0.25999727</v>
      </c>
      <c r="Q45" s="18" t="n">
        <v>0.16339815</v>
      </c>
      <c r="R45" s="20" t="n">
        <v>0.09833525</v>
      </c>
      <c r="S45" s="18" t="n">
        <v>30.04181452</v>
      </c>
      <c r="T45" s="20" t="n">
        <v>1.30174517</v>
      </c>
    </row>
    <row r="46" spans="1:20">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row>
    <row r="47" spans="1:20">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row>
    <row r="48" spans="1:20">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row>
    <row r="49" spans="1:20">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row>
    <row r="50" spans="1:20">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row>
    <row r="51" spans="1:20">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row>
    <row r="52" spans="1:20">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row>
    <row r="53" spans="1:20">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row>
    <row r="54" spans="1:20">
      <c r="A54" s="15" t="s">
        <v>613</v>
      </c>
      <c r="B54" s="17" t="n">
        <v>5316</v>
      </c>
      <c r="C54" s="18">
        <f>(3562.0/B54*100)</f>
        <v/>
      </c>
      <c r="D54" s="19" t="n">
        <v>1754</v>
      </c>
      <c r="E54" s="18" t="n">
        <v>35.60917495</v>
      </c>
      <c r="F54" s="20" t="n">
        <v>1.49193884</v>
      </c>
      <c r="G54" s="18" t="n">
        <v>7.79492001</v>
      </c>
      <c r="H54" s="20" t="n">
        <v>0.69948664</v>
      </c>
      <c r="I54" s="18" t="n">
        <v>10.97418589</v>
      </c>
      <c r="J54" s="20" t="n">
        <v>0.7852892299999999</v>
      </c>
      <c r="K54" s="18" t="n">
        <v>0</v>
      </c>
      <c r="L54" s="20" t="n">
        <v>0</v>
      </c>
      <c r="M54" s="18" t="n">
        <v>2.06127361</v>
      </c>
      <c r="N54" s="20" t="n">
        <v>0.34868127</v>
      </c>
      <c r="O54" s="18" t="n">
        <v>0</v>
      </c>
      <c r="P54" s="20" t="n">
        <v>0</v>
      </c>
      <c r="Q54" s="18" t="n">
        <v>0.62926984</v>
      </c>
      <c r="R54" s="20" t="n">
        <v>0.2192902</v>
      </c>
      <c r="S54" s="18" t="n">
        <v>42.9311757</v>
      </c>
      <c r="T54" s="20" t="n">
        <v>1.57995315</v>
      </c>
    </row>
    <row r="55" spans="1:20">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row>
    <row r="56" spans="1:20">
      <c r="A56" s="15" t="s">
        <v>615</v>
      </c>
      <c r="B56" s="17" t="n">
        <v>6513</v>
      </c>
      <c r="C56" s="18">
        <f>(4319.0/B56*100)</f>
        <v/>
      </c>
      <c r="D56" s="19" t="n">
        <v>2194</v>
      </c>
      <c r="E56" s="18" t="n">
        <v>59.47703025</v>
      </c>
      <c r="F56" s="20" t="n">
        <v>1.25907472</v>
      </c>
      <c r="G56" s="18" t="n">
        <v>19.48836144</v>
      </c>
      <c r="H56" s="20" t="n">
        <v>0.97421547</v>
      </c>
      <c r="I56" s="18" t="n">
        <v>6.79519537</v>
      </c>
      <c r="J56" s="20" t="n">
        <v>0.53824982</v>
      </c>
      <c r="K56" s="18" t="n">
        <v>0</v>
      </c>
      <c r="L56" s="20" t="n">
        <v>0</v>
      </c>
      <c r="M56" s="18" t="n">
        <v>2.33513147</v>
      </c>
      <c r="N56" s="20" t="n">
        <v>0.39359003</v>
      </c>
      <c r="O56" s="18" t="n">
        <v>0</v>
      </c>
      <c r="P56" s="20" t="n">
        <v>0</v>
      </c>
      <c r="Q56" s="18" t="n">
        <v>0</v>
      </c>
      <c r="R56" s="20" t="n">
        <v>0</v>
      </c>
      <c r="S56" s="18" t="n">
        <v>11.90428146</v>
      </c>
      <c r="T56" s="20" t="n">
        <v>0.99041811</v>
      </c>
    </row>
    <row r="57" spans="1:20">
      <c r="A57" s="15" t="s">
        <v>616</v>
      </c>
      <c r="B57" s="17" t="n">
        <v>7267</v>
      </c>
      <c r="C57" s="18">
        <f>(4831.0/B57*100)</f>
        <v/>
      </c>
      <c r="D57" s="19" t="n">
        <v>2436</v>
      </c>
      <c r="E57" s="18" t="n">
        <v>50.26253614</v>
      </c>
      <c r="F57" s="20" t="n">
        <v>1.23312278</v>
      </c>
      <c r="G57" s="18" t="n">
        <v>14.33951027</v>
      </c>
      <c r="H57" s="20" t="n">
        <v>0.7757139</v>
      </c>
      <c r="I57" s="18" t="n">
        <v>6.34419683</v>
      </c>
      <c r="J57" s="20" t="n">
        <v>0.56415852</v>
      </c>
      <c r="K57" s="18" t="n">
        <v>0</v>
      </c>
      <c r="L57" s="20" t="n">
        <v>0</v>
      </c>
      <c r="M57" s="18" t="n">
        <v>2.01471697</v>
      </c>
      <c r="N57" s="20" t="n">
        <v>0.32257425</v>
      </c>
      <c r="O57" s="18" t="n">
        <v>0</v>
      </c>
      <c r="P57" s="20" t="n">
        <v>0</v>
      </c>
      <c r="Q57" s="18" t="n">
        <v>0</v>
      </c>
      <c r="R57" s="20" t="n">
        <v>0</v>
      </c>
      <c r="S57" s="18" t="n">
        <v>27.03903978</v>
      </c>
      <c r="T57" s="20" t="n">
        <v>1.25597088</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(3215.0/B59*100)</f>
        <v/>
      </c>
      <c r="D59" s="19" t="n">
        <v>1611</v>
      </c>
      <c r="E59" s="18" t="n">
        <v>60.8710772</v>
      </c>
      <c r="F59" s="20" t="n">
        <v>1.27566306</v>
      </c>
      <c r="G59" s="18" t="n">
        <v>13.3608697</v>
      </c>
      <c r="H59" s="20" t="n">
        <v>0.95793945</v>
      </c>
      <c r="I59" s="18" t="n">
        <v>5.31436981</v>
      </c>
      <c r="J59" s="20" t="n">
        <v>0.76093816</v>
      </c>
      <c r="K59" s="18" t="n">
        <v>0</v>
      </c>
      <c r="L59" s="20" t="n">
        <v>0</v>
      </c>
      <c r="M59" s="18" t="n">
        <v>0.55535738</v>
      </c>
      <c r="N59" s="20" t="n">
        <v>0.14081502</v>
      </c>
      <c r="O59" s="18" t="n">
        <v>0</v>
      </c>
      <c r="P59" s="20" t="n">
        <v>0</v>
      </c>
      <c r="Q59" s="18" t="n">
        <v>0.08492766</v>
      </c>
      <c r="R59" s="20" t="n">
        <v>0.08484542</v>
      </c>
      <c r="S59" s="18" t="n">
        <v>19.81339824</v>
      </c>
      <c r="T59" s="20" t="n">
        <v>1.08205799</v>
      </c>
    </row>
    <row r="60" spans="1:20">
      <c r="A60" s="15" t="s">
        <v>620</v>
      </c>
      <c r="B60" s="17" t="n">
        <v>4546</v>
      </c>
      <c r="C60" s="18">
        <f>(3042.0/B60*100)</f>
        <v/>
      </c>
      <c r="D60" s="19" t="n">
        <v>1504</v>
      </c>
      <c r="E60" s="18" t="n">
        <v>31.38232161</v>
      </c>
      <c r="F60" s="20" t="n">
        <v>1.42937707</v>
      </c>
      <c r="G60" s="18" t="n">
        <v>11.02861098</v>
      </c>
      <c r="H60" s="20" t="n">
        <v>0.98481597</v>
      </c>
      <c r="I60" s="18" t="n">
        <v>15.42610517</v>
      </c>
      <c r="J60" s="20" t="n">
        <v>1.02625959</v>
      </c>
      <c r="K60" s="18" t="n">
        <v>0</v>
      </c>
      <c r="L60" s="20" t="n">
        <v>0</v>
      </c>
      <c r="M60" s="18" t="n">
        <v>5.64970609</v>
      </c>
      <c r="N60" s="20" t="n">
        <v>0.88255364</v>
      </c>
      <c r="O60" s="18" t="n">
        <v>0</v>
      </c>
      <c r="P60" s="20" t="n">
        <v>0</v>
      </c>
      <c r="Q60" s="18" t="n">
        <v>0.30926412</v>
      </c>
      <c r="R60" s="20" t="n">
        <v>0.12441469</v>
      </c>
      <c r="S60" s="18" t="n">
        <v>36.20399203</v>
      </c>
      <c r="T60" s="20" t="n">
        <v>1.70565136</v>
      </c>
    </row>
    <row r="61" spans="1:20">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row>
    <row r="62" spans="1:20">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row>
    <row r="63" spans="1:20">
      <c r="A63" s="15" t="s">
        <v>623</v>
      </c>
      <c r="B63" s="17" t="n">
        <v>5324</v>
      </c>
      <c r="C63" s="18">
        <f>(3548.0/B63*100)</f>
        <v/>
      </c>
      <c r="D63" s="19" t="n">
        <v>1776</v>
      </c>
      <c r="E63" s="18" t="n">
        <v>28.71855042</v>
      </c>
      <c r="F63" s="20" t="n">
        <v>1.20383911</v>
      </c>
      <c r="G63" s="18" t="n">
        <v>15.43776178</v>
      </c>
      <c r="H63" s="20" t="n">
        <v>0.82850864</v>
      </c>
      <c r="I63" s="18" t="n">
        <v>12.02363142</v>
      </c>
      <c r="J63" s="20" t="n">
        <v>0.88992428</v>
      </c>
      <c r="K63" s="18" t="n">
        <v>0</v>
      </c>
      <c r="L63" s="20" t="n">
        <v>0</v>
      </c>
      <c r="M63" s="18" t="n">
        <v>2.5961835</v>
      </c>
      <c r="N63" s="20" t="n">
        <v>0.44697488</v>
      </c>
      <c r="O63" s="18" t="n">
        <v>0</v>
      </c>
      <c r="P63" s="20" t="n">
        <v>0</v>
      </c>
      <c r="Q63" s="18" t="n">
        <v>0</v>
      </c>
      <c r="R63" s="20" t="n">
        <v>0</v>
      </c>
      <c r="S63" s="18" t="n">
        <v>41.22387288</v>
      </c>
      <c r="T63" s="20" t="n">
        <v>1.20781967</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(2415.0/B65*100)</f>
        <v/>
      </c>
      <c r="D65" s="19" t="n">
        <v>1219</v>
      </c>
      <c r="E65" s="18" t="n">
        <v>32.21563226</v>
      </c>
      <c r="F65" s="20" t="n">
        <v>1.33535571</v>
      </c>
      <c r="G65" s="18" t="n">
        <v>24.56982714</v>
      </c>
      <c r="H65" s="20" t="n">
        <v>1.13130338</v>
      </c>
      <c r="I65" s="18" t="n">
        <v>23.03711707</v>
      </c>
      <c r="J65" s="20" t="n">
        <v>1.08771239</v>
      </c>
      <c r="K65" s="18" t="n">
        <v>0</v>
      </c>
      <c r="L65" s="20" t="n">
        <v>0</v>
      </c>
      <c r="M65" s="18" t="n">
        <v>3.1785014</v>
      </c>
      <c r="N65" s="20" t="n">
        <v>0.49703748</v>
      </c>
      <c r="O65" s="18" t="n">
        <v>0</v>
      </c>
      <c r="P65" s="20" t="n">
        <v>0</v>
      </c>
      <c r="Q65" s="18" t="n">
        <v>0</v>
      </c>
      <c r="R65" s="20" t="n">
        <v>0</v>
      </c>
      <c r="S65" s="18" t="n">
        <v>16.99892213</v>
      </c>
      <c r="T65" s="20" t="n">
        <v>1.23938877</v>
      </c>
    </row>
    <row r="66" spans="1:20">
      <c r="A66" s="15" t="s">
        <v>626</v>
      </c>
      <c r="B66" s="17" t="n">
        <v>5325</v>
      </c>
      <c r="C66" s="18">
        <f>(3532.0/B66*100)</f>
        <v/>
      </c>
      <c r="D66" s="19" t="n">
        <v>1793</v>
      </c>
      <c r="E66" s="18" t="n">
        <v>36.56046109</v>
      </c>
      <c r="F66" s="20" t="n">
        <v>1.29187145</v>
      </c>
      <c r="G66" s="18" t="n">
        <v>16.24080892</v>
      </c>
      <c r="H66" s="20" t="n">
        <v>0.97691538</v>
      </c>
      <c r="I66" s="18" t="n">
        <v>10.8946588</v>
      </c>
      <c r="J66" s="20" t="n">
        <v>0.83053115</v>
      </c>
      <c r="K66" s="18" t="n">
        <v>0</v>
      </c>
      <c r="L66" s="20" t="n">
        <v>0</v>
      </c>
      <c r="M66" s="18" t="n">
        <v>6.23844507</v>
      </c>
      <c r="N66" s="20" t="n">
        <v>0.57065312</v>
      </c>
      <c r="O66" s="18" t="n">
        <v>0</v>
      </c>
      <c r="P66" s="20" t="n">
        <v>0</v>
      </c>
      <c r="Q66" s="18" t="n">
        <v>0</v>
      </c>
      <c r="R66" s="20" t="n">
        <v>0</v>
      </c>
      <c r="S66" s="18" t="n">
        <v>30.06562612</v>
      </c>
      <c r="T66" s="20" t="n">
        <v>1.26578567</v>
      </c>
    </row>
    <row r="67" spans="1:20">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row>
    <row r="68" spans="1:20">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row>
    <row r="69" spans="1:20">
      <c r="A69" s="15" t="s">
        <v>629</v>
      </c>
      <c r="B69" s="17" t="n">
        <v>1398</v>
      </c>
      <c r="C69" s="18">
        <f>(932.0/B69*100)</f>
        <v/>
      </c>
      <c r="D69" s="19" t="n">
        <v>466</v>
      </c>
      <c r="E69" s="18" t="n">
        <v>62.03900225</v>
      </c>
      <c r="F69" s="20" t="n">
        <v>2.32671477</v>
      </c>
      <c r="G69" s="18" t="n">
        <v>15.05084446</v>
      </c>
      <c r="H69" s="20" t="n">
        <v>1.79966255</v>
      </c>
      <c r="I69" s="18" t="n">
        <v>6.02543543</v>
      </c>
      <c r="J69" s="20" t="n">
        <v>1.21438392</v>
      </c>
      <c r="K69" s="18" t="n">
        <v>0</v>
      </c>
      <c r="L69" s="20" t="n">
        <v>0</v>
      </c>
      <c r="M69" s="18" t="n">
        <v>0.93306982</v>
      </c>
      <c r="N69" s="20" t="n">
        <v>0.46777737</v>
      </c>
      <c r="O69" s="18" t="n">
        <v>0</v>
      </c>
      <c r="P69" s="20" t="n">
        <v>0</v>
      </c>
      <c r="Q69" s="18" t="n">
        <v>0</v>
      </c>
      <c r="R69" s="20" t="n">
        <v>0</v>
      </c>
      <c r="S69" s="18" t="n">
        <v>15.95164803</v>
      </c>
      <c r="T69" s="20" t="n">
        <v>1.94319702</v>
      </c>
    </row>
    <row r="70" spans="1:20">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row>
    <row r="71" spans="1:20">
      <c r="A71" s="15" t="s">
        <v>631</v>
      </c>
      <c r="B71" s="17" t="n">
        <v>4876</v>
      </c>
      <c r="C71" s="18">
        <f>(3274.0/B71*100)</f>
        <v/>
      </c>
      <c r="D71" s="19" t="n">
        <v>1602</v>
      </c>
      <c r="E71" s="18" t="n">
        <v>59.93104638</v>
      </c>
      <c r="F71" s="20" t="n">
        <v>1.4413823</v>
      </c>
      <c r="G71" s="18" t="n">
        <v>24.33780946</v>
      </c>
      <c r="H71" s="20" t="n">
        <v>1.16153435</v>
      </c>
      <c r="I71" s="18" t="n">
        <v>15.56219771</v>
      </c>
      <c r="J71" s="20" t="n">
        <v>0.9150243</v>
      </c>
      <c r="K71" s="18" t="n">
        <v>0</v>
      </c>
      <c r="L71" s="20" t="n">
        <v>0</v>
      </c>
      <c r="M71" s="18" t="n">
        <v>0.06084811</v>
      </c>
      <c r="N71" s="20" t="n">
        <v>0.06063321</v>
      </c>
      <c r="O71" s="18" t="n">
        <v>0</v>
      </c>
      <c r="P71" s="20" t="n">
        <v>0</v>
      </c>
      <c r="Q71" s="18" t="n">
        <v>0</v>
      </c>
      <c r="R71" s="20" t="n">
        <v>0</v>
      </c>
      <c r="S71" s="18" t="n">
        <v>0.10809835</v>
      </c>
      <c r="T71" s="20" t="n">
        <v>0.07667098999999999</v>
      </c>
    </row>
    <row r="72" spans="1:20">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row>
    <row r="73" spans="1:20">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row>
    <row r="74" spans="1:20">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row>
    <row r="75" spans="1:20">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row>
    <row r="76" spans="1:20">
      <c r="A76" s="15" t="s">
        <v>636</v>
      </c>
      <c r="B76" s="17" t="n">
        <v>4692</v>
      </c>
      <c r="C76" s="18">
        <f>(3109.0/B76*100)</f>
        <v/>
      </c>
      <c r="D76" s="19" t="n">
        <v>1583</v>
      </c>
      <c r="E76" s="18" t="n">
        <v>37.72991939</v>
      </c>
      <c r="F76" s="20" t="n">
        <v>1.25357281</v>
      </c>
      <c r="G76" s="18" t="n">
        <v>21.28763189</v>
      </c>
      <c r="H76" s="20" t="n">
        <v>1.16008968</v>
      </c>
      <c r="I76" s="18" t="n">
        <v>8.69384402</v>
      </c>
      <c r="J76" s="20" t="n">
        <v>0.79434996</v>
      </c>
      <c r="K76" s="18" t="n">
        <v>0</v>
      </c>
      <c r="L76" s="20" t="n">
        <v>0</v>
      </c>
      <c r="M76" s="18" t="n">
        <v>6.52614987</v>
      </c>
      <c r="N76" s="20" t="n">
        <v>0.78840948</v>
      </c>
      <c r="O76" s="18" t="n">
        <v>0</v>
      </c>
      <c r="P76" s="20" t="n">
        <v>0</v>
      </c>
      <c r="Q76" s="18" t="n">
        <v>0</v>
      </c>
      <c r="R76" s="20" t="n">
        <v>0</v>
      </c>
      <c r="S76" s="18" t="n">
        <v>25.76245483</v>
      </c>
      <c r="T76" s="20" t="n">
        <v>1.2766172</v>
      </c>
    </row>
    <row r="77" spans="1:20">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row>
    <row r="78" spans="1:20">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row>
    <row r="79" spans="1:20">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row>
    <row r="80" spans="1:20">
      <c r="A80" s="15" t="s">
        <v>640</v>
      </c>
      <c r="B80" s="17" t="n">
        <v>5826</v>
      </c>
      <c r="C80" s="18">
        <f>(3908.0/B80*100)</f>
        <v/>
      </c>
      <c r="D80" s="19" t="n">
        <v>1918</v>
      </c>
      <c r="E80" s="18" t="n">
        <v>37.71736356</v>
      </c>
      <c r="F80" s="20" t="n">
        <v>1.71148462</v>
      </c>
      <c r="G80" s="18" t="n">
        <v>32.96014025</v>
      </c>
      <c r="H80" s="20" t="n">
        <v>1.33252747</v>
      </c>
      <c r="I80" s="18" t="n">
        <v>26.81535016</v>
      </c>
      <c r="J80" s="20" t="n">
        <v>1.58229287</v>
      </c>
      <c r="K80" s="18" t="n">
        <v>0</v>
      </c>
      <c r="L80" s="20" t="n">
        <v>0</v>
      </c>
      <c r="M80" s="18" t="n">
        <v>0</v>
      </c>
      <c r="N80" s="20" t="n">
        <v>0</v>
      </c>
      <c r="O80" s="18" t="n">
        <v>0</v>
      </c>
      <c r="P80" s="20" t="n">
        <v>0</v>
      </c>
      <c r="Q80" s="18" t="n">
        <v>0</v>
      </c>
      <c r="R80" s="20" t="n">
        <v>0</v>
      </c>
      <c r="S80" s="18" t="n">
        <v>2.50714603</v>
      </c>
      <c r="T80" s="20" t="n">
        <v>0.41781283</v>
      </c>
    </row>
    <row r="81" spans="1:20">
      <c r="A81" s="15" t="s">
        <v>641</v>
      </c>
      <c r="B81" s="17" t="n">
        <v>1657</v>
      </c>
      <c r="C81" s="18">
        <f>(1100.0/B81*100)</f>
        <v/>
      </c>
      <c r="D81" s="19" t="n">
        <v>557</v>
      </c>
      <c r="E81" s="18" t="n">
        <v>36.22755796</v>
      </c>
      <c r="F81" s="20" t="n">
        <v>2.06177631</v>
      </c>
      <c r="G81" s="18" t="n">
        <v>17.22715238</v>
      </c>
      <c r="H81" s="20" t="n">
        <v>1.56308742</v>
      </c>
      <c r="I81" s="18" t="n">
        <v>27.88284349</v>
      </c>
      <c r="J81" s="20" t="n">
        <v>1.96992698</v>
      </c>
      <c r="K81" s="18" t="n">
        <v>0</v>
      </c>
      <c r="L81" s="20" t="n">
        <v>0</v>
      </c>
      <c r="M81" s="18" t="n">
        <v>3.74797551</v>
      </c>
      <c r="N81" s="20" t="n">
        <v>0.57110511</v>
      </c>
      <c r="O81" s="18" t="n">
        <v>0</v>
      </c>
      <c r="P81" s="20" t="n">
        <v>0</v>
      </c>
      <c r="Q81" s="18" t="n">
        <v>0</v>
      </c>
      <c r="R81" s="20" t="n">
        <v>0</v>
      </c>
      <c r="S81" s="18" t="n">
        <v>14.91447066</v>
      </c>
      <c r="T81" s="20" t="n">
        <v>1.97435156</v>
      </c>
    </row>
    <row r="82" spans="1:20">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row>
    <row r="83" spans="1:20">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row>
    <row r="84" spans="1:20">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19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62.7184747</v>
      </c>
      <c r="F44" s="20" t="n">
        <v>1.56676945</v>
      </c>
      <c r="G44" s="18" t="n">
        <v>28.46580352</v>
      </c>
      <c r="H44" s="20" t="n">
        <v>1.30910058</v>
      </c>
      <c r="I44" s="18" t="n">
        <v>0</v>
      </c>
      <c r="J44" s="20" t="n">
        <v>0</v>
      </c>
      <c r="K44" s="18" t="n">
        <v>2.72490258</v>
      </c>
      <c r="L44" s="20" t="n">
        <v>0.45410582</v>
      </c>
      <c r="M44" s="18" t="n">
        <v>0</v>
      </c>
      <c r="N44" s="20" t="n">
        <v>0</v>
      </c>
      <c r="O44" s="18" t="n">
        <v>0</v>
      </c>
      <c r="P44" s="20" t="n">
        <v>0</v>
      </c>
      <c r="Q44" s="18" t="n">
        <v>6.0908192</v>
      </c>
      <c r="R44" s="20" t="n">
        <v>0.74614641</v>
      </c>
    </row>
    <row r="45" spans="1:18">
      <c r="A45" s="15" t="s">
        <v>604</v>
      </c>
      <c r="B45" s="17" t="n">
        <v>5519</v>
      </c>
      <c r="C45" s="18">
        <f>(3697.0/B45*100)</f>
        <v/>
      </c>
      <c r="D45" s="19" t="n">
        <v>1822</v>
      </c>
      <c r="E45" s="18" t="n">
        <v>55.51070664</v>
      </c>
      <c r="F45" s="20" t="n">
        <v>1.26897457</v>
      </c>
      <c r="G45" s="18" t="n">
        <v>32.94318136</v>
      </c>
      <c r="H45" s="20" t="n">
        <v>1.26363661</v>
      </c>
      <c r="I45" s="18" t="n">
        <v>0</v>
      </c>
      <c r="J45" s="20" t="n">
        <v>0</v>
      </c>
      <c r="K45" s="18" t="n">
        <v>6.48451961</v>
      </c>
      <c r="L45" s="20" t="n">
        <v>0.56198031</v>
      </c>
      <c r="M45" s="18" t="n">
        <v>0.25554638</v>
      </c>
      <c r="N45" s="20" t="n">
        <v>0.11957535</v>
      </c>
      <c r="O45" s="18" t="n">
        <v>0.06546169</v>
      </c>
      <c r="P45" s="20" t="n">
        <v>0.05426134</v>
      </c>
      <c r="Q45" s="18" t="n">
        <v>4.74058433</v>
      </c>
      <c r="R45" s="20" t="n">
        <v>0.56893438</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51.26395219</v>
      </c>
      <c r="F54" s="20" t="n">
        <v>1.23671862</v>
      </c>
      <c r="G54" s="18" t="n">
        <v>44.08405666</v>
      </c>
      <c r="H54" s="20" t="n">
        <v>1.27033336</v>
      </c>
      <c r="I54" s="18" t="n">
        <v>0</v>
      </c>
      <c r="J54" s="20" t="n">
        <v>0</v>
      </c>
      <c r="K54" s="18" t="n">
        <v>2.1022784</v>
      </c>
      <c r="L54" s="20" t="n">
        <v>0.35155972</v>
      </c>
      <c r="M54" s="18" t="n">
        <v>0</v>
      </c>
      <c r="N54" s="20" t="n">
        <v>0</v>
      </c>
      <c r="O54" s="18" t="n">
        <v>0</v>
      </c>
      <c r="P54" s="20" t="n">
        <v>0</v>
      </c>
      <c r="Q54" s="18" t="n">
        <v>2.54971275</v>
      </c>
      <c r="R54" s="20" t="n">
        <v>0.48162772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58.26616236</v>
      </c>
      <c r="F56" s="20" t="n">
        <v>1.05650974</v>
      </c>
      <c r="G56" s="18" t="n">
        <v>37.18533484</v>
      </c>
      <c r="H56" s="20" t="n">
        <v>1.07522442</v>
      </c>
      <c r="I56" s="18" t="n">
        <v>0</v>
      </c>
      <c r="J56" s="20" t="n">
        <v>0</v>
      </c>
      <c r="K56" s="18" t="n">
        <v>2.54517667</v>
      </c>
      <c r="L56" s="20" t="n">
        <v>0.42560258</v>
      </c>
      <c r="M56" s="18" t="n">
        <v>0</v>
      </c>
      <c r="N56" s="20" t="n">
        <v>0</v>
      </c>
      <c r="O56" s="18" t="n">
        <v>0</v>
      </c>
      <c r="P56" s="20" t="n">
        <v>0</v>
      </c>
      <c r="Q56" s="18" t="n">
        <v>2.00332612</v>
      </c>
      <c r="R56" s="20" t="n">
        <v>0.33273605</v>
      </c>
    </row>
    <row r="57" spans="1:18">
      <c r="A57" s="15" t="s">
        <v>616</v>
      </c>
      <c r="B57" s="17" t="n">
        <v>7267</v>
      </c>
      <c r="C57" s="18">
        <f>(4831.0/B57*100)</f>
        <v/>
      </c>
      <c r="D57" s="19" t="n">
        <v>2436</v>
      </c>
      <c r="E57" s="18" t="n">
        <v>56.78818187</v>
      </c>
      <c r="F57" s="20" t="n">
        <v>1.19013569</v>
      </c>
      <c r="G57" s="18" t="n">
        <v>38.70892248</v>
      </c>
      <c r="H57" s="20" t="n">
        <v>1.20410833</v>
      </c>
      <c r="I57" s="18" t="n">
        <v>0</v>
      </c>
      <c r="J57" s="20" t="n">
        <v>0</v>
      </c>
      <c r="K57" s="18" t="n">
        <v>2.08444162</v>
      </c>
      <c r="L57" s="20" t="n">
        <v>0.32937773</v>
      </c>
      <c r="M57" s="18" t="n">
        <v>0</v>
      </c>
      <c r="N57" s="20" t="n">
        <v>0</v>
      </c>
      <c r="O57" s="18" t="n">
        <v>0</v>
      </c>
      <c r="P57" s="20" t="n">
        <v>0</v>
      </c>
      <c r="Q57" s="18" t="n">
        <v>2.41845403</v>
      </c>
      <c r="R57" s="20" t="n">
        <v>0.32766407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62.74944679</v>
      </c>
      <c r="F59" s="20" t="n">
        <v>1.50248032</v>
      </c>
      <c r="G59" s="18" t="n">
        <v>34.79663965</v>
      </c>
      <c r="H59" s="20" t="n">
        <v>1.53460853</v>
      </c>
      <c r="I59" s="18" t="n">
        <v>0</v>
      </c>
      <c r="J59" s="20" t="n">
        <v>0</v>
      </c>
      <c r="K59" s="18" t="n">
        <v>0.58574247</v>
      </c>
      <c r="L59" s="20" t="n">
        <v>0.14416241</v>
      </c>
      <c r="M59" s="18" t="n">
        <v>0</v>
      </c>
      <c r="N59" s="20" t="n">
        <v>0</v>
      </c>
      <c r="O59" s="18" t="n">
        <v>0.08541709</v>
      </c>
      <c r="P59" s="20" t="n">
        <v>0.08563055999999999</v>
      </c>
      <c r="Q59" s="18" t="n">
        <v>1.78275401</v>
      </c>
      <c r="R59" s="20" t="n">
        <v>0.39434378</v>
      </c>
    </row>
    <row r="60" spans="1:18">
      <c r="A60" s="15" t="s">
        <v>620</v>
      </c>
      <c r="B60" s="17" t="n">
        <v>4546</v>
      </c>
      <c r="C60" s="18">
        <f>(3042.0/B60*100)</f>
        <v/>
      </c>
      <c r="D60" s="19" t="n">
        <v>1504</v>
      </c>
      <c r="E60" s="18" t="n">
        <v>44.15121193</v>
      </c>
      <c r="F60" s="20" t="n">
        <v>1.43184661</v>
      </c>
      <c r="G60" s="18" t="n">
        <v>44.20895566</v>
      </c>
      <c r="H60" s="20" t="n">
        <v>1.53803207</v>
      </c>
      <c r="I60" s="18" t="n">
        <v>0</v>
      </c>
      <c r="J60" s="20" t="n">
        <v>0</v>
      </c>
      <c r="K60" s="18" t="n">
        <v>5.70948387</v>
      </c>
      <c r="L60" s="20" t="n">
        <v>0.88004529</v>
      </c>
      <c r="M60" s="18" t="n">
        <v>0</v>
      </c>
      <c r="N60" s="20" t="n">
        <v>0</v>
      </c>
      <c r="O60" s="18" t="n">
        <v>0.14067332</v>
      </c>
      <c r="P60" s="20" t="n">
        <v>0.09996416</v>
      </c>
      <c r="Q60" s="18" t="n">
        <v>5.78967522</v>
      </c>
      <c r="R60" s="20" t="n">
        <v>0.72442717</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62.66224991</v>
      </c>
      <c r="F63" s="20" t="n">
        <v>1.31496656</v>
      </c>
      <c r="G63" s="18" t="n">
        <v>30.20887315</v>
      </c>
      <c r="H63" s="20" t="n">
        <v>1.18816607</v>
      </c>
      <c r="I63" s="18" t="n">
        <v>0</v>
      </c>
      <c r="J63" s="20" t="n">
        <v>0</v>
      </c>
      <c r="K63" s="18" t="n">
        <v>2.63306685</v>
      </c>
      <c r="L63" s="20" t="n">
        <v>0.44378277</v>
      </c>
      <c r="M63" s="18" t="n">
        <v>0</v>
      </c>
      <c r="N63" s="20" t="n">
        <v>0</v>
      </c>
      <c r="O63" s="18" t="n">
        <v>0</v>
      </c>
      <c r="P63" s="20" t="n">
        <v>0</v>
      </c>
      <c r="Q63" s="18" t="n">
        <v>4.49581009</v>
      </c>
      <c r="R63" s="20" t="n">
        <v>0.65242777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42.35129937</v>
      </c>
      <c r="F65" s="20" t="n">
        <v>1.43154013</v>
      </c>
      <c r="G65" s="18" t="n">
        <v>51.97917555</v>
      </c>
      <c r="H65" s="20" t="n">
        <v>1.4853802</v>
      </c>
      <c r="I65" s="18" t="n">
        <v>0</v>
      </c>
      <c r="J65" s="20" t="n">
        <v>0</v>
      </c>
      <c r="K65" s="18" t="n">
        <v>3.25517604</v>
      </c>
      <c r="L65" s="20" t="n">
        <v>0.50116997</v>
      </c>
      <c r="M65" s="18" t="n">
        <v>0</v>
      </c>
      <c r="N65" s="20" t="n">
        <v>0</v>
      </c>
      <c r="O65" s="18" t="n">
        <v>0.07729095</v>
      </c>
      <c r="P65" s="20" t="n">
        <v>0.07764024</v>
      </c>
      <c r="Q65" s="18" t="n">
        <v>2.33705809</v>
      </c>
      <c r="R65" s="20" t="n">
        <v>0.42511238</v>
      </c>
    </row>
    <row r="66" spans="1:18">
      <c r="A66" s="15" t="s">
        <v>626</v>
      </c>
      <c r="B66" s="17" t="n">
        <v>5325</v>
      </c>
      <c r="C66" s="18">
        <f>(3532.0/B66*100)</f>
        <v/>
      </c>
      <c r="D66" s="19" t="n">
        <v>1793</v>
      </c>
      <c r="E66" s="18" t="n">
        <v>48.41699978</v>
      </c>
      <c r="F66" s="20" t="n">
        <v>1.28563603</v>
      </c>
      <c r="G66" s="18" t="n">
        <v>41.39861276</v>
      </c>
      <c r="H66" s="20" t="n">
        <v>1.3108751</v>
      </c>
      <c r="I66" s="18" t="n">
        <v>0</v>
      </c>
      <c r="J66" s="20" t="n">
        <v>0</v>
      </c>
      <c r="K66" s="18" t="n">
        <v>6.50821349</v>
      </c>
      <c r="L66" s="20" t="n">
        <v>0.5992219</v>
      </c>
      <c r="M66" s="18" t="n">
        <v>0</v>
      </c>
      <c r="N66" s="20" t="n">
        <v>0</v>
      </c>
      <c r="O66" s="18" t="n">
        <v>0</v>
      </c>
      <c r="P66" s="20" t="n">
        <v>0</v>
      </c>
      <c r="Q66" s="18" t="n">
        <v>3.67617397</v>
      </c>
      <c r="R66" s="20" t="n">
        <v>0.5680142</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52.92388246</v>
      </c>
      <c r="F69" s="20" t="n">
        <v>2.80302592</v>
      </c>
      <c r="G69" s="18" t="n">
        <v>44.34832937</v>
      </c>
      <c r="H69" s="20" t="n">
        <v>2.63092808</v>
      </c>
      <c r="I69" s="18" t="n">
        <v>0</v>
      </c>
      <c r="J69" s="20" t="n">
        <v>0</v>
      </c>
      <c r="K69" s="18" t="n">
        <v>0.93306982</v>
      </c>
      <c r="L69" s="20" t="n">
        <v>0.46777737</v>
      </c>
      <c r="M69" s="18" t="n">
        <v>0</v>
      </c>
      <c r="N69" s="20" t="n">
        <v>0</v>
      </c>
      <c r="O69" s="18" t="n">
        <v>0</v>
      </c>
      <c r="P69" s="20" t="n">
        <v>0</v>
      </c>
      <c r="Q69" s="18" t="n">
        <v>1.79471836</v>
      </c>
      <c r="R69" s="20" t="n">
        <v>0.61431424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54.32605006</v>
      </c>
      <c r="F71" s="20" t="n">
        <v>1.3835957</v>
      </c>
      <c r="G71" s="18" t="n">
        <v>45.56364619</v>
      </c>
      <c r="H71" s="20" t="n">
        <v>1.38670339</v>
      </c>
      <c r="I71" s="18" t="n">
        <v>0</v>
      </c>
      <c r="J71" s="20" t="n">
        <v>0</v>
      </c>
      <c r="K71" s="18" t="n">
        <v>0.06084811</v>
      </c>
      <c r="L71" s="20" t="n">
        <v>0.06063321</v>
      </c>
      <c r="M71" s="18" t="n">
        <v>0</v>
      </c>
      <c r="N71" s="20" t="n">
        <v>0</v>
      </c>
      <c r="O71" s="18" t="n">
        <v>0</v>
      </c>
      <c r="P71" s="20" t="n">
        <v>0</v>
      </c>
      <c r="Q71" s="18" t="n">
        <v>0.04945565</v>
      </c>
      <c r="R71" s="20" t="n">
        <v>0.04945846</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45.75815588</v>
      </c>
      <c r="F76" s="20" t="n">
        <v>1.26364055</v>
      </c>
      <c r="G76" s="18" t="n">
        <v>41.53458676</v>
      </c>
      <c r="H76" s="20" t="n">
        <v>1.22946908</v>
      </c>
      <c r="I76" s="18" t="n">
        <v>0</v>
      </c>
      <c r="J76" s="20" t="n">
        <v>0</v>
      </c>
      <c r="K76" s="18" t="n">
        <v>6.76141232</v>
      </c>
      <c r="L76" s="20" t="n">
        <v>0.7908247</v>
      </c>
      <c r="M76" s="18" t="n">
        <v>0</v>
      </c>
      <c r="N76" s="20" t="n">
        <v>0</v>
      </c>
      <c r="O76" s="18" t="n">
        <v>0</v>
      </c>
      <c r="P76" s="20" t="n">
        <v>0</v>
      </c>
      <c r="Q76" s="18" t="n">
        <v>5.94584503</v>
      </c>
      <c r="R76" s="20" t="n">
        <v>0.64448142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33.87919199</v>
      </c>
      <c r="F80" s="20" t="n">
        <v>1.28125125</v>
      </c>
      <c r="G80" s="18" t="n">
        <v>66.06661736</v>
      </c>
      <c r="H80" s="20" t="n">
        <v>1.28694696</v>
      </c>
      <c r="I80" s="18" t="n">
        <v>0</v>
      </c>
      <c r="J80" s="20" t="n">
        <v>0</v>
      </c>
      <c r="K80" s="18" t="n">
        <v>0</v>
      </c>
      <c r="L80" s="20" t="n">
        <v>0</v>
      </c>
      <c r="M80" s="18" t="n">
        <v>0</v>
      </c>
      <c r="N80" s="20" t="n">
        <v>0</v>
      </c>
      <c r="O80" s="18" t="n">
        <v>0</v>
      </c>
      <c r="P80" s="20" t="n">
        <v>0</v>
      </c>
      <c r="Q80" s="18" t="n">
        <v>0.05419064</v>
      </c>
      <c r="R80" s="20" t="n">
        <v>0.04021438</v>
      </c>
    </row>
    <row r="81" spans="1:18">
      <c r="A81" s="15" t="s">
        <v>641</v>
      </c>
      <c r="B81" s="17" t="n">
        <v>1657</v>
      </c>
      <c r="C81" s="18">
        <f>(1100.0/B81*100)</f>
        <v/>
      </c>
      <c r="D81" s="19" t="n">
        <v>557</v>
      </c>
      <c r="E81" s="18" t="n">
        <v>38.86940864</v>
      </c>
      <c r="F81" s="20" t="n">
        <v>1.87231446</v>
      </c>
      <c r="G81" s="18" t="n">
        <v>54.93890014</v>
      </c>
      <c r="H81" s="20" t="n">
        <v>1.9715886</v>
      </c>
      <c r="I81" s="18" t="n">
        <v>0</v>
      </c>
      <c r="J81" s="20" t="n">
        <v>0</v>
      </c>
      <c r="K81" s="18" t="n">
        <v>3.74797551</v>
      </c>
      <c r="L81" s="20" t="n">
        <v>0.57110511</v>
      </c>
      <c r="M81" s="18" t="n">
        <v>0</v>
      </c>
      <c r="N81" s="20" t="n">
        <v>0</v>
      </c>
      <c r="O81" s="18" t="n">
        <v>0</v>
      </c>
      <c r="P81" s="20" t="n">
        <v>0</v>
      </c>
      <c r="Q81" s="18" t="n">
        <v>2.44371571</v>
      </c>
      <c r="R81" s="20" t="n">
        <v>0.8125414399999999</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44.09207299</v>
      </c>
      <c r="F44" s="20" t="n">
        <v>1.46244392</v>
      </c>
      <c r="G44" s="18" t="n">
        <v>20.26786675</v>
      </c>
      <c r="H44" s="20" t="n">
        <v>1.42688248</v>
      </c>
      <c r="I44" s="18" t="n">
        <v>0</v>
      </c>
      <c r="J44" s="20" t="n">
        <v>0</v>
      </c>
      <c r="K44" s="18" t="n">
        <v>3.01162477</v>
      </c>
      <c r="L44" s="20" t="n">
        <v>0.49750828</v>
      </c>
      <c r="M44" s="18" t="n">
        <v>0</v>
      </c>
      <c r="N44" s="20" t="n">
        <v>0</v>
      </c>
      <c r="O44" s="18" t="n">
        <v>0</v>
      </c>
      <c r="P44" s="20" t="n">
        <v>0</v>
      </c>
      <c r="Q44" s="18" t="n">
        <v>32.62843549</v>
      </c>
      <c r="R44" s="20" t="n">
        <v>1.76446858</v>
      </c>
    </row>
    <row r="45" spans="1:18">
      <c r="A45" s="15" t="s">
        <v>604</v>
      </c>
      <c r="B45" s="17" t="n">
        <v>5519</v>
      </c>
      <c r="C45" s="18">
        <f>(3697.0/B45*100)</f>
        <v/>
      </c>
      <c r="D45" s="19" t="n">
        <v>1822</v>
      </c>
      <c r="E45" s="18" t="n">
        <v>53.33552702</v>
      </c>
      <c r="F45" s="20" t="n">
        <v>1.36512437</v>
      </c>
      <c r="G45" s="18" t="n">
        <v>15.72329699</v>
      </c>
      <c r="H45" s="20" t="n">
        <v>1.14267789</v>
      </c>
      <c r="I45" s="18" t="n">
        <v>0</v>
      </c>
      <c r="J45" s="20" t="n">
        <v>0</v>
      </c>
      <c r="K45" s="18" t="n">
        <v>7.22855672</v>
      </c>
      <c r="L45" s="20" t="n">
        <v>0.58912877</v>
      </c>
      <c r="M45" s="18" t="n">
        <v>1.01465385</v>
      </c>
      <c r="N45" s="20" t="n">
        <v>0.26558697</v>
      </c>
      <c r="O45" s="18" t="n">
        <v>0.55215972</v>
      </c>
      <c r="P45" s="20" t="n">
        <v>0.15690829</v>
      </c>
      <c r="Q45" s="18" t="n">
        <v>22.14580569</v>
      </c>
      <c r="R45" s="20" t="n">
        <v>1.28518026</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36.02196204</v>
      </c>
      <c r="F54" s="20" t="n">
        <v>1.44029733</v>
      </c>
      <c r="G54" s="18" t="n">
        <v>15.89304029</v>
      </c>
      <c r="H54" s="20" t="n">
        <v>0.90901681</v>
      </c>
      <c r="I54" s="18" t="n">
        <v>0</v>
      </c>
      <c r="J54" s="20" t="n">
        <v>0</v>
      </c>
      <c r="K54" s="18" t="n">
        <v>2.9748019</v>
      </c>
      <c r="L54" s="20" t="n">
        <v>0.39501677</v>
      </c>
      <c r="M54" s="18" t="n">
        <v>0</v>
      </c>
      <c r="N54" s="20" t="n">
        <v>0</v>
      </c>
      <c r="O54" s="18" t="n">
        <v>0.28422352</v>
      </c>
      <c r="P54" s="20" t="n">
        <v>0.13174913</v>
      </c>
      <c r="Q54" s="18" t="n">
        <v>44.82597225</v>
      </c>
      <c r="R54" s="20" t="n">
        <v>1.60105448</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58.13134776</v>
      </c>
      <c r="F56" s="20" t="n">
        <v>1.27014824</v>
      </c>
      <c r="G56" s="18" t="n">
        <v>32.35750964</v>
      </c>
      <c r="H56" s="20" t="n">
        <v>1.17571278</v>
      </c>
      <c r="I56" s="18" t="n">
        <v>0</v>
      </c>
      <c r="J56" s="20" t="n">
        <v>0</v>
      </c>
      <c r="K56" s="18" t="n">
        <v>2.62190555</v>
      </c>
      <c r="L56" s="20" t="n">
        <v>0.43272298</v>
      </c>
      <c r="M56" s="18" t="n">
        <v>0</v>
      </c>
      <c r="N56" s="20" t="n">
        <v>0</v>
      </c>
      <c r="O56" s="18" t="n">
        <v>0</v>
      </c>
      <c r="P56" s="20" t="n">
        <v>0</v>
      </c>
      <c r="Q56" s="18" t="n">
        <v>6.88923706</v>
      </c>
      <c r="R56" s="20" t="n">
        <v>0.70642785</v>
      </c>
    </row>
    <row r="57" spans="1:18">
      <c r="A57" s="15" t="s">
        <v>616</v>
      </c>
      <c r="B57" s="17" t="n">
        <v>7267</v>
      </c>
      <c r="C57" s="18">
        <f>(4831.0/B57*100)</f>
        <v/>
      </c>
      <c r="D57" s="19" t="n">
        <v>2436</v>
      </c>
      <c r="E57" s="18" t="n">
        <v>73.31287519</v>
      </c>
      <c r="F57" s="20" t="n">
        <v>1.13494925</v>
      </c>
      <c r="G57" s="18" t="n">
        <v>6.92544657</v>
      </c>
      <c r="H57" s="20" t="n">
        <v>0.72879555</v>
      </c>
      <c r="I57" s="18" t="n">
        <v>0</v>
      </c>
      <c r="J57" s="20" t="n">
        <v>0</v>
      </c>
      <c r="K57" s="18" t="n">
        <v>2.85917153</v>
      </c>
      <c r="L57" s="20" t="n">
        <v>0.39980164</v>
      </c>
      <c r="M57" s="18" t="n">
        <v>0</v>
      </c>
      <c r="N57" s="20" t="n">
        <v>0</v>
      </c>
      <c r="O57" s="18" t="n">
        <v>0</v>
      </c>
      <c r="P57" s="20" t="n">
        <v>0</v>
      </c>
      <c r="Q57" s="18" t="n">
        <v>16.90250671</v>
      </c>
      <c r="R57" s="20" t="n">
        <v>0.94790036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59.10801061</v>
      </c>
      <c r="F59" s="20" t="n">
        <v>1.39659441</v>
      </c>
      <c r="G59" s="18" t="n">
        <v>16.64094194</v>
      </c>
      <c r="H59" s="20" t="n">
        <v>1.24739815</v>
      </c>
      <c r="I59" s="18" t="n">
        <v>0</v>
      </c>
      <c r="J59" s="20" t="n">
        <v>0</v>
      </c>
      <c r="K59" s="18" t="n">
        <v>0.70147755</v>
      </c>
      <c r="L59" s="20" t="n">
        <v>0.17773294</v>
      </c>
      <c r="M59" s="18" t="n">
        <v>0</v>
      </c>
      <c r="N59" s="20" t="n">
        <v>0</v>
      </c>
      <c r="O59" s="18" t="n">
        <v>0</v>
      </c>
      <c r="P59" s="20" t="n">
        <v>0</v>
      </c>
      <c r="Q59" s="18" t="n">
        <v>23.54956991</v>
      </c>
      <c r="R59" s="20" t="n">
        <v>1.20798164</v>
      </c>
    </row>
    <row r="60" spans="1:18">
      <c r="A60" s="15" t="s">
        <v>620</v>
      </c>
      <c r="B60" s="17" t="n">
        <v>4546</v>
      </c>
      <c r="C60" s="18">
        <f>(3042.0/B60*100)</f>
        <v/>
      </c>
      <c r="D60" s="19" t="n">
        <v>1504</v>
      </c>
      <c r="E60" s="18" t="n">
        <v>55.35161921</v>
      </c>
      <c r="F60" s="20" t="n">
        <v>1.49245464</v>
      </c>
      <c r="G60" s="18" t="n">
        <v>10.03847717</v>
      </c>
      <c r="H60" s="20" t="n">
        <v>0.8349924</v>
      </c>
      <c r="I60" s="18" t="n">
        <v>0</v>
      </c>
      <c r="J60" s="20" t="n">
        <v>0</v>
      </c>
      <c r="K60" s="18" t="n">
        <v>6.36557004</v>
      </c>
      <c r="L60" s="20" t="n">
        <v>0.88125208</v>
      </c>
      <c r="M60" s="18" t="n">
        <v>0</v>
      </c>
      <c r="N60" s="20" t="n">
        <v>0</v>
      </c>
      <c r="O60" s="18" t="n">
        <v>0.53358477</v>
      </c>
      <c r="P60" s="20" t="n">
        <v>0.17548373</v>
      </c>
      <c r="Q60" s="18" t="n">
        <v>27.71074881</v>
      </c>
      <c r="R60" s="20" t="n">
        <v>1.4672181</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32.80200522</v>
      </c>
      <c r="F63" s="20" t="n">
        <v>1.13397304</v>
      </c>
      <c r="G63" s="18" t="n">
        <v>15.47404359</v>
      </c>
      <c r="H63" s="20" t="n">
        <v>1.05331595</v>
      </c>
      <c r="I63" s="18" t="n">
        <v>0</v>
      </c>
      <c r="J63" s="20" t="n">
        <v>0</v>
      </c>
      <c r="K63" s="18" t="n">
        <v>3.16930799</v>
      </c>
      <c r="L63" s="20" t="n">
        <v>0.4995917</v>
      </c>
      <c r="M63" s="18" t="n">
        <v>0</v>
      </c>
      <c r="N63" s="20" t="n">
        <v>0</v>
      </c>
      <c r="O63" s="18" t="n">
        <v>0</v>
      </c>
      <c r="P63" s="20" t="n">
        <v>0</v>
      </c>
      <c r="Q63" s="18" t="n">
        <v>48.5546432</v>
      </c>
      <c r="R63" s="20" t="n">
        <v>1.27631241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51.03610992</v>
      </c>
      <c r="F65" s="20" t="n">
        <v>1.48789071</v>
      </c>
      <c r="G65" s="18" t="n">
        <v>23.66645702</v>
      </c>
      <c r="H65" s="20" t="n">
        <v>1.04849582</v>
      </c>
      <c r="I65" s="18" t="n">
        <v>0</v>
      </c>
      <c r="J65" s="20" t="n">
        <v>0</v>
      </c>
      <c r="K65" s="18" t="n">
        <v>3.88609296</v>
      </c>
      <c r="L65" s="20" t="n">
        <v>0.53512648</v>
      </c>
      <c r="M65" s="18" t="n">
        <v>0</v>
      </c>
      <c r="N65" s="20" t="n">
        <v>0</v>
      </c>
      <c r="O65" s="18" t="n">
        <v>0.07570006999999999</v>
      </c>
      <c r="P65" s="20" t="n">
        <v>0.0761351</v>
      </c>
      <c r="Q65" s="18" t="n">
        <v>21.33564003</v>
      </c>
      <c r="R65" s="20" t="n">
        <v>1.31352874</v>
      </c>
    </row>
    <row r="66" spans="1:18">
      <c r="A66" s="15" t="s">
        <v>626</v>
      </c>
      <c r="B66" s="17" t="n">
        <v>5325</v>
      </c>
      <c r="C66" s="18">
        <f>(3532.0/B66*100)</f>
        <v/>
      </c>
      <c r="D66" s="19" t="n">
        <v>1793</v>
      </c>
      <c r="E66" s="18" t="n">
        <v>36.2906853</v>
      </c>
      <c r="F66" s="20" t="n">
        <v>1.17471827</v>
      </c>
      <c r="G66" s="18" t="n">
        <v>23.45185358</v>
      </c>
      <c r="H66" s="20" t="n">
        <v>1.01971712</v>
      </c>
      <c r="I66" s="18" t="n">
        <v>0</v>
      </c>
      <c r="J66" s="20" t="n">
        <v>0</v>
      </c>
      <c r="K66" s="18" t="n">
        <v>7.54404332</v>
      </c>
      <c r="L66" s="20" t="n">
        <v>0.66482407</v>
      </c>
      <c r="M66" s="18" t="n">
        <v>0</v>
      </c>
      <c r="N66" s="20" t="n">
        <v>0</v>
      </c>
      <c r="O66" s="18" t="n">
        <v>0</v>
      </c>
      <c r="P66" s="20" t="n">
        <v>0</v>
      </c>
      <c r="Q66" s="18" t="n">
        <v>32.7134178</v>
      </c>
      <c r="R66" s="20" t="n">
        <v>1.27249811</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69.71315841000001</v>
      </c>
      <c r="F69" s="20" t="n">
        <v>2.51103507</v>
      </c>
      <c r="G69" s="18" t="n">
        <v>12.87626641</v>
      </c>
      <c r="H69" s="20" t="n">
        <v>1.4788227</v>
      </c>
      <c r="I69" s="18" t="n">
        <v>0</v>
      </c>
      <c r="J69" s="20" t="n">
        <v>0</v>
      </c>
      <c r="K69" s="18" t="n">
        <v>0.93306982</v>
      </c>
      <c r="L69" s="20" t="n">
        <v>0.46777737</v>
      </c>
      <c r="M69" s="18" t="n">
        <v>0</v>
      </c>
      <c r="N69" s="20" t="n">
        <v>0</v>
      </c>
      <c r="O69" s="18" t="n">
        <v>0</v>
      </c>
      <c r="P69" s="20" t="n">
        <v>0</v>
      </c>
      <c r="Q69" s="18" t="n">
        <v>16.47750536</v>
      </c>
      <c r="R69" s="20" t="n">
        <v>2.23490606</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75.17690655</v>
      </c>
      <c r="F71" s="20" t="n">
        <v>1.28721678</v>
      </c>
      <c r="G71" s="18" t="n">
        <v>24.60180801</v>
      </c>
      <c r="H71" s="20" t="n">
        <v>1.28565312</v>
      </c>
      <c r="I71" s="18" t="n">
        <v>0</v>
      </c>
      <c r="J71" s="20" t="n">
        <v>0</v>
      </c>
      <c r="K71" s="18" t="n">
        <v>0.06084811</v>
      </c>
      <c r="L71" s="20" t="n">
        <v>0.06063321</v>
      </c>
      <c r="M71" s="18" t="n">
        <v>0</v>
      </c>
      <c r="N71" s="20" t="n">
        <v>0</v>
      </c>
      <c r="O71" s="18" t="n">
        <v>0</v>
      </c>
      <c r="P71" s="20" t="n">
        <v>0</v>
      </c>
      <c r="Q71" s="18" t="n">
        <v>0.16043733</v>
      </c>
      <c r="R71" s="20" t="n">
        <v>0.09251295</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55.54422672</v>
      </c>
      <c r="F76" s="20" t="n">
        <v>1.40328548</v>
      </c>
      <c r="G76" s="18" t="n">
        <v>7.80960781</v>
      </c>
      <c r="H76" s="20" t="n">
        <v>0.6376898600000001</v>
      </c>
      <c r="I76" s="18" t="n">
        <v>0</v>
      </c>
      <c r="J76" s="20" t="n">
        <v>0</v>
      </c>
      <c r="K76" s="18" t="n">
        <v>7.90255043</v>
      </c>
      <c r="L76" s="20" t="n">
        <v>0.84369933</v>
      </c>
      <c r="M76" s="18" t="n">
        <v>0</v>
      </c>
      <c r="N76" s="20" t="n">
        <v>0</v>
      </c>
      <c r="O76" s="18" t="n">
        <v>0</v>
      </c>
      <c r="P76" s="20" t="n">
        <v>0</v>
      </c>
      <c r="Q76" s="18" t="n">
        <v>28.74361504</v>
      </c>
      <c r="R76" s="20" t="n">
        <v>1.314253</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63.60954373</v>
      </c>
      <c r="F80" s="20" t="n">
        <v>1.55014844</v>
      </c>
      <c r="G80" s="18" t="n">
        <v>33.75942925</v>
      </c>
      <c r="H80" s="20" t="n">
        <v>1.4779043</v>
      </c>
      <c r="I80" s="18" t="n">
        <v>0</v>
      </c>
      <c r="J80" s="20" t="n">
        <v>0</v>
      </c>
      <c r="K80" s="18" t="n">
        <v>0</v>
      </c>
      <c r="L80" s="20" t="n">
        <v>0</v>
      </c>
      <c r="M80" s="18" t="n">
        <v>0</v>
      </c>
      <c r="N80" s="20" t="n">
        <v>0</v>
      </c>
      <c r="O80" s="18" t="n">
        <v>0</v>
      </c>
      <c r="P80" s="20" t="n">
        <v>0</v>
      </c>
      <c r="Q80" s="18" t="n">
        <v>2.63102702</v>
      </c>
      <c r="R80" s="20" t="n">
        <v>0.59276648</v>
      </c>
    </row>
    <row r="81" spans="1:18">
      <c r="A81" s="15" t="s">
        <v>641</v>
      </c>
      <c r="B81" s="17" t="n">
        <v>1657</v>
      </c>
      <c r="C81" s="18">
        <f>(1100.0/B81*100)</f>
        <v/>
      </c>
      <c r="D81" s="19" t="n">
        <v>557</v>
      </c>
      <c r="E81" s="18" t="n">
        <v>56.87099398</v>
      </c>
      <c r="F81" s="20" t="n">
        <v>2.09582806</v>
      </c>
      <c r="G81" s="18" t="n">
        <v>18.36789654</v>
      </c>
      <c r="H81" s="20" t="n">
        <v>1.54116888</v>
      </c>
      <c r="I81" s="18" t="n">
        <v>0</v>
      </c>
      <c r="J81" s="20" t="n">
        <v>0</v>
      </c>
      <c r="K81" s="18" t="n">
        <v>4.45661068</v>
      </c>
      <c r="L81" s="20" t="n">
        <v>0.71863348</v>
      </c>
      <c r="M81" s="18" t="n">
        <v>0</v>
      </c>
      <c r="N81" s="20" t="n">
        <v>0</v>
      </c>
      <c r="O81" s="18" t="n">
        <v>0</v>
      </c>
      <c r="P81" s="20" t="n">
        <v>0</v>
      </c>
      <c r="Q81" s="18" t="n">
        <v>20.30449881</v>
      </c>
      <c r="R81" s="20" t="n">
        <v>2.16307307</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84.14064073999999</v>
      </c>
      <c r="F44" s="20" t="n">
        <v>1.17647874</v>
      </c>
      <c r="G44" s="18" t="n">
        <v>4.32594434</v>
      </c>
      <c r="H44" s="20" t="n">
        <v>0.6289768100000001</v>
      </c>
      <c r="I44" s="18" t="n">
        <v>0</v>
      </c>
      <c r="J44" s="20" t="n">
        <v>0</v>
      </c>
      <c r="K44" s="18" t="n">
        <v>3.25342523</v>
      </c>
      <c r="L44" s="20" t="n">
        <v>0.50789052</v>
      </c>
      <c r="M44" s="18" t="n">
        <v>0</v>
      </c>
      <c r="N44" s="20" t="n">
        <v>0</v>
      </c>
      <c r="O44" s="18" t="n">
        <v>0.49118278</v>
      </c>
      <c r="P44" s="20" t="n">
        <v>0.16069507</v>
      </c>
      <c r="Q44" s="18" t="n">
        <v>7.78880691</v>
      </c>
      <c r="R44" s="20" t="n">
        <v>0.82820667</v>
      </c>
    </row>
    <row r="45" spans="1:18">
      <c r="A45" s="15" t="s">
        <v>604</v>
      </c>
      <c r="B45" s="17" t="n">
        <v>5519</v>
      </c>
      <c r="C45" s="18">
        <f>(3697.0/B45*100)</f>
        <v/>
      </c>
      <c r="D45" s="19" t="n">
        <v>1822</v>
      </c>
      <c r="E45" s="18" t="n">
        <v>75.83147163</v>
      </c>
      <c r="F45" s="20" t="n">
        <v>0.99657896</v>
      </c>
      <c r="G45" s="18" t="n">
        <v>2.74480304</v>
      </c>
      <c r="H45" s="20" t="n">
        <v>0.45069859</v>
      </c>
      <c r="I45" s="18" t="n">
        <v>0</v>
      </c>
      <c r="J45" s="20" t="n">
        <v>0</v>
      </c>
      <c r="K45" s="18" t="n">
        <v>7.92462978</v>
      </c>
      <c r="L45" s="20" t="n">
        <v>0.6276140100000001</v>
      </c>
      <c r="M45" s="18" t="n">
        <v>0.54599483</v>
      </c>
      <c r="N45" s="20" t="n">
        <v>0.16310755</v>
      </c>
      <c r="O45" s="18" t="n">
        <v>1.30053935</v>
      </c>
      <c r="P45" s="20" t="n">
        <v>0.29393637</v>
      </c>
      <c r="Q45" s="18" t="n">
        <v>11.65256136</v>
      </c>
      <c r="R45" s="20" t="n">
        <v>0.72824464</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84.71523859</v>
      </c>
      <c r="F54" s="20" t="n">
        <v>1.04152035</v>
      </c>
      <c r="G54" s="18" t="n">
        <v>6.26288877</v>
      </c>
      <c r="H54" s="20" t="n">
        <v>0.72073657</v>
      </c>
      <c r="I54" s="18" t="n">
        <v>0</v>
      </c>
      <c r="J54" s="20" t="n">
        <v>0</v>
      </c>
      <c r="K54" s="18" t="n">
        <v>3.18253148</v>
      </c>
      <c r="L54" s="20" t="n">
        <v>0.42072788</v>
      </c>
      <c r="M54" s="18" t="n">
        <v>0</v>
      </c>
      <c r="N54" s="20" t="n">
        <v>0</v>
      </c>
      <c r="O54" s="18" t="n">
        <v>0.6166743</v>
      </c>
      <c r="P54" s="20" t="n">
        <v>0.17340005</v>
      </c>
      <c r="Q54" s="18" t="n">
        <v>5.22266687</v>
      </c>
      <c r="R54" s="20" t="n">
        <v>0.59797161</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87.06179439</v>
      </c>
      <c r="F56" s="20" t="n">
        <v>0.97820543</v>
      </c>
      <c r="G56" s="18" t="n">
        <v>5.10738964</v>
      </c>
      <c r="H56" s="20" t="n">
        <v>0.56707483</v>
      </c>
      <c r="I56" s="18" t="n">
        <v>0</v>
      </c>
      <c r="J56" s="20" t="n">
        <v>0</v>
      </c>
      <c r="K56" s="18" t="n">
        <v>2.68208266</v>
      </c>
      <c r="L56" s="20" t="n">
        <v>0.438066</v>
      </c>
      <c r="M56" s="18" t="n">
        <v>0</v>
      </c>
      <c r="N56" s="20" t="n">
        <v>0</v>
      </c>
      <c r="O56" s="18" t="n">
        <v>0.35361187</v>
      </c>
      <c r="P56" s="20" t="n">
        <v>0.15566369</v>
      </c>
      <c r="Q56" s="18" t="n">
        <v>4.79512144</v>
      </c>
      <c r="R56" s="20" t="n">
        <v>0.58710115</v>
      </c>
    </row>
    <row r="57" spans="1:18">
      <c r="A57" s="15" t="s">
        <v>616</v>
      </c>
      <c r="B57" s="17" t="n">
        <v>7267</v>
      </c>
      <c r="C57" s="18">
        <f>(4831.0/B57*100)</f>
        <v/>
      </c>
      <c r="D57" s="19" t="n">
        <v>2436</v>
      </c>
      <c r="E57" s="18" t="n">
        <v>82.79460886</v>
      </c>
      <c r="F57" s="20" t="n">
        <v>0.87875468</v>
      </c>
      <c r="G57" s="18" t="n">
        <v>9.568008730000001</v>
      </c>
      <c r="H57" s="20" t="n">
        <v>0.72601518</v>
      </c>
      <c r="I57" s="18" t="n">
        <v>0</v>
      </c>
      <c r="J57" s="20" t="n">
        <v>0</v>
      </c>
      <c r="K57" s="18" t="n">
        <v>3.16239763</v>
      </c>
      <c r="L57" s="20" t="n">
        <v>0.39510098</v>
      </c>
      <c r="M57" s="18" t="n">
        <v>0</v>
      </c>
      <c r="N57" s="20" t="n">
        <v>0</v>
      </c>
      <c r="O57" s="18" t="n">
        <v>0.38162167</v>
      </c>
      <c r="P57" s="20" t="n">
        <v>0.12919486</v>
      </c>
      <c r="Q57" s="18" t="n">
        <v>4.09336311</v>
      </c>
      <c r="R57" s="20" t="n">
        <v>0.5203274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88.97918591</v>
      </c>
      <c r="F59" s="20" t="n">
        <v>0.8446665799999999</v>
      </c>
      <c r="G59" s="18" t="n">
        <v>3.53397354</v>
      </c>
      <c r="H59" s="20" t="n">
        <v>0.57192014</v>
      </c>
      <c r="I59" s="18" t="n">
        <v>0</v>
      </c>
      <c r="J59" s="20" t="n">
        <v>0</v>
      </c>
      <c r="K59" s="18" t="n">
        <v>0.79124163</v>
      </c>
      <c r="L59" s="20" t="n">
        <v>0.18854013</v>
      </c>
      <c r="M59" s="18" t="n">
        <v>0</v>
      </c>
      <c r="N59" s="20" t="n">
        <v>0</v>
      </c>
      <c r="O59" s="18" t="n">
        <v>0.80447652</v>
      </c>
      <c r="P59" s="20" t="n">
        <v>0.24480751</v>
      </c>
      <c r="Q59" s="18" t="n">
        <v>5.8911224</v>
      </c>
      <c r="R59" s="20" t="n">
        <v>0.63457048</v>
      </c>
    </row>
    <row r="60" spans="1:18">
      <c r="A60" s="15" t="s">
        <v>620</v>
      </c>
      <c r="B60" s="17" t="n">
        <v>4546</v>
      </c>
      <c r="C60" s="18">
        <f>(3042.0/B60*100)</f>
        <v/>
      </c>
      <c r="D60" s="19" t="n">
        <v>1504</v>
      </c>
      <c r="E60" s="18" t="n">
        <v>78.11056588</v>
      </c>
      <c r="F60" s="20" t="n">
        <v>1.16332359</v>
      </c>
      <c r="G60" s="18" t="n">
        <v>3.16722054</v>
      </c>
      <c r="H60" s="20" t="n">
        <v>0.5049456</v>
      </c>
      <c r="I60" s="18" t="n">
        <v>0</v>
      </c>
      <c r="J60" s="20" t="n">
        <v>0</v>
      </c>
      <c r="K60" s="18" t="n">
        <v>7.21366795</v>
      </c>
      <c r="L60" s="20" t="n">
        <v>0.7994526</v>
      </c>
      <c r="M60" s="18" t="n">
        <v>0</v>
      </c>
      <c r="N60" s="20" t="n">
        <v>0</v>
      </c>
      <c r="O60" s="18" t="n">
        <v>0.76874431</v>
      </c>
      <c r="P60" s="20" t="n">
        <v>0.26792551</v>
      </c>
      <c r="Q60" s="18" t="n">
        <v>10.73980133</v>
      </c>
      <c r="R60" s="20" t="n">
        <v>0.94776639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79.55889003</v>
      </c>
      <c r="F63" s="20" t="n">
        <v>0.92159711</v>
      </c>
      <c r="G63" s="18" t="n">
        <v>3.68451935</v>
      </c>
      <c r="H63" s="20" t="n">
        <v>0.54831915</v>
      </c>
      <c r="I63" s="18" t="n">
        <v>0</v>
      </c>
      <c r="J63" s="20" t="n">
        <v>0</v>
      </c>
      <c r="K63" s="18" t="n">
        <v>3.16930799</v>
      </c>
      <c r="L63" s="20" t="n">
        <v>0.4995917</v>
      </c>
      <c r="M63" s="18" t="n">
        <v>0</v>
      </c>
      <c r="N63" s="20" t="n">
        <v>0</v>
      </c>
      <c r="O63" s="18" t="n">
        <v>0.16391455</v>
      </c>
      <c r="P63" s="20" t="n">
        <v>0.09912903000000001</v>
      </c>
      <c r="Q63" s="18" t="n">
        <v>13.42336808</v>
      </c>
      <c r="R63" s="20" t="n">
        <v>0.74150064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78.06181945</v>
      </c>
      <c r="F65" s="20" t="n">
        <v>1.21023689</v>
      </c>
      <c r="G65" s="18" t="n">
        <v>13.45039024</v>
      </c>
      <c r="H65" s="20" t="n">
        <v>1.02386885</v>
      </c>
      <c r="I65" s="18" t="n">
        <v>0</v>
      </c>
      <c r="J65" s="20" t="n">
        <v>0</v>
      </c>
      <c r="K65" s="18" t="n">
        <v>4.05226666</v>
      </c>
      <c r="L65" s="20" t="n">
        <v>0.54939149</v>
      </c>
      <c r="M65" s="18" t="n">
        <v>0</v>
      </c>
      <c r="N65" s="20" t="n">
        <v>0</v>
      </c>
      <c r="O65" s="18" t="n">
        <v>0.54215452</v>
      </c>
      <c r="P65" s="20" t="n">
        <v>0.22243916</v>
      </c>
      <c r="Q65" s="18" t="n">
        <v>3.89336914</v>
      </c>
      <c r="R65" s="20" t="n">
        <v>0.63768897</v>
      </c>
    </row>
    <row r="66" spans="1:18">
      <c r="A66" s="15" t="s">
        <v>626</v>
      </c>
      <c r="B66" s="17" t="n">
        <v>5325</v>
      </c>
      <c r="C66" s="18">
        <f>(3532.0/B66*100)</f>
        <v/>
      </c>
      <c r="D66" s="19" t="n">
        <v>1793</v>
      </c>
      <c r="E66" s="18" t="n">
        <v>77.96612269000001</v>
      </c>
      <c r="F66" s="20" t="n">
        <v>1.19206841</v>
      </c>
      <c r="G66" s="18" t="n">
        <v>7.54590548</v>
      </c>
      <c r="H66" s="20" t="n">
        <v>0.78217169</v>
      </c>
      <c r="I66" s="18" t="n">
        <v>0</v>
      </c>
      <c r="J66" s="20" t="n">
        <v>0</v>
      </c>
      <c r="K66" s="18" t="n">
        <v>7.8896764</v>
      </c>
      <c r="L66" s="20" t="n">
        <v>0.66580496</v>
      </c>
      <c r="M66" s="18" t="n">
        <v>0.31086695</v>
      </c>
      <c r="N66" s="20" t="n">
        <v>0.12573812</v>
      </c>
      <c r="O66" s="18" t="n">
        <v>0</v>
      </c>
      <c r="P66" s="20" t="n">
        <v>0</v>
      </c>
      <c r="Q66" s="18" t="n">
        <v>6.28742848</v>
      </c>
      <c r="R66" s="20" t="n">
        <v>0.74148594</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86.58604446</v>
      </c>
      <c r="F69" s="20" t="n">
        <v>1.76640639</v>
      </c>
      <c r="G69" s="18" t="n">
        <v>8.41546771</v>
      </c>
      <c r="H69" s="20" t="n">
        <v>1.66909578</v>
      </c>
      <c r="I69" s="18" t="n">
        <v>0</v>
      </c>
      <c r="J69" s="20" t="n">
        <v>0</v>
      </c>
      <c r="K69" s="18" t="n">
        <v>0.93306982</v>
      </c>
      <c r="L69" s="20" t="n">
        <v>0.46777737</v>
      </c>
      <c r="M69" s="18" t="n">
        <v>0</v>
      </c>
      <c r="N69" s="20" t="n">
        <v>0</v>
      </c>
      <c r="O69" s="18" t="n">
        <v>0.46547519</v>
      </c>
      <c r="P69" s="20" t="n">
        <v>0.28376504</v>
      </c>
      <c r="Q69" s="18" t="n">
        <v>3.59994282</v>
      </c>
      <c r="R69" s="20" t="n">
        <v>1.02510964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92.97157597</v>
      </c>
      <c r="F71" s="20" t="n">
        <v>0.6893663</v>
      </c>
      <c r="G71" s="18" t="n">
        <v>6.79063897</v>
      </c>
      <c r="H71" s="20" t="n">
        <v>0.71129564</v>
      </c>
      <c r="I71" s="18" t="n">
        <v>0</v>
      </c>
      <c r="J71" s="20" t="n">
        <v>0</v>
      </c>
      <c r="K71" s="18" t="n">
        <v>0.06084811</v>
      </c>
      <c r="L71" s="20" t="n">
        <v>0.06063321</v>
      </c>
      <c r="M71" s="18" t="n">
        <v>0</v>
      </c>
      <c r="N71" s="20" t="n">
        <v>0</v>
      </c>
      <c r="O71" s="18" t="n">
        <v>0</v>
      </c>
      <c r="P71" s="20" t="n">
        <v>0</v>
      </c>
      <c r="Q71" s="18" t="n">
        <v>0.17693696</v>
      </c>
      <c r="R71" s="20" t="n">
        <v>0.10328494</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72.37415772999999</v>
      </c>
      <c r="F76" s="20" t="n">
        <v>1.18816475</v>
      </c>
      <c r="G76" s="18" t="n">
        <v>11.49245336</v>
      </c>
      <c r="H76" s="20" t="n">
        <v>0.83215764</v>
      </c>
      <c r="I76" s="18" t="n">
        <v>0</v>
      </c>
      <c r="J76" s="20" t="n">
        <v>0</v>
      </c>
      <c r="K76" s="18" t="n">
        <v>8.671937959999999</v>
      </c>
      <c r="L76" s="20" t="n">
        <v>0.85881139</v>
      </c>
      <c r="M76" s="18" t="n">
        <v>0</v>
      </c>
      <c r="N76" s="20" t="n">
        <v>0</v>
      </c>
      <c r="O76" s="18" t="n">
        <v>0.08923539</v>
      </c>
      <c r="P76" s="20" t="n">
        <v>0.06153775</v>
      </c>
      <c r="Q76" s="18" t="n">
        <v>7.37221555</v>
      </c>
      <c r="R76" s="20" t="n">
        <v>0.90418552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37.23820756</v>
      </c>
      <c r="F80" s="20" t="n">
        <v>1.72873724</v>
      </c>
      <c r="G80" s="18" t="n">
        <v>62.67276757</v>
      </c>
      <c r="H80" s="20" t="n">
        <v>1.7374685</v>
      </c>
      <c r="I80" s="18" t="n">
        <v>0</v>
      </c>
      <c r="J80" s="20" t="n">
        <v>0</v>
      </c>
      <c r="K80" s="18" t="n">
        <v>0.05394047</v>
      </c>
      <c r="L80" s="20" t="n">
        <v>0.05391937</v>
      </c>
      <c r="M80" s="18" t="n">
        <v>0</v>
      </c>
      <c r="N80" s="20" t="n">
        <v>0</v>
      </c>
      <c r="O80" s="18" t="n">
        <v>0</v>
      </c>
      <c r="P80" s="20" t="n">
        <v>0</v>
      </c>
      <c r="Q80" s="18" t="n">
        <v>0.0350844</v>
      </c>
      <c r="R80" s="20" t="n">
        <v>0.0354872</v>
      </c>
    </row>
    <row r="81" spans="1:18">
      <c r="A81" s="15" t="s">
        <v>641</v>
      </c>
      <c r="B81" s="17" t="n">
        <v>1657</v>
      </c>
      <c r="C81" s="18">
        <f>(1100.0/B81*100)</f>
        <v/>
      </c>
      <c r="D81" s="19" t="n">
        <v>557</v>
      </c>
      <c r="E81" s="18" t="n">
        <v>71.94018749</v>
      </c>
      <c r="F81" s="20" t="n">
        <v>2.32976201</v>
      </c>
      <c r="G81" s="18" t="n">
        <v>20.61851273</v>
      </c>
      <c r="H81" s="20" t="n">
        <v>1.97733564</v>
      </c>
      <c r="I81" s="18" t="n">
        <v>0</v>
      </c>
      <c r="J81" s="20" t="n">
        <v>0</v>
      </c>
      <c r="K81" s="18" t="n">
        <v>4.62148593</v>
      </c>
      <c r="L81" s="20" t="n">
        <v>0.69955345</v>
      </c>
      <c r="M81" s="18" t="n">
        <v>0</v>
      </c>
      <c r="N81" s="20" t="n">
        <v>0</v>
      </c>
      <c r="O81" s="18" t="n">
        <v>0.16653871</v>
      </c>
      <c r="P81" s="20" t="n">
        <v>0.18245563</v>
      </c>
      <c r="Q81" s="18" t="n">
        <v>2.65327514</v>
      </c>
      <c r="R81" s="20" t="n">
        <v>0.83902003</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19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47.36829789</v>
      </c>
      <c r="F44" s="20" t="n">
        <v>1.55264319</v>
      </c>
      <c r="G44" s="18" t="n">
        <v>44.90927247</v>
      </c>
      <c r="H44" s="20" t="n">
        <v>1.61052966</v>
      </c>
      <c r="I44" s="18" t="n">
        <v>0</v>
      </c>
      <c r="J44" s="20" t="n">
        <v>0</v>
      </c>
      <c r="K44" s="18" t="n">
        <v>3.25342523</v>
      </c>
      <c r="L44" s="20" t="n">
        <v>0.50789052</v>
      </c>
      <c r="M44" s="18" t="n">
        <v>0</v>
      </c>
      <c r="N44" s="20" t="n">
        <v>0</v>
      </c>
      <c r="O44" s="18" t="n">
        <v>0</v>
      </c>
      <c r="P44" s="20" t="n">
        <v>0</v>
      </c>
      <c r="Q44" s="18" t="n">
        <v>4.4690044</v>
      </c>
      <c r="R44" s="20" t="n">
        <v>0.71347719</v>
      </c>
    </row>
    <row r="45" spans="1:18">
      <c r="A45" s="15" t="s">
        <v>604</v>
      </c>
      <c r="B45" s="17" t="n">
        <v>5519</v>
      </c>
      <c r="C45" s="18">
        <f>(3697.0/B45*100)</f>
        <v/>
      </c>
      <c r="D45" s="19" t="n">
        <v>1822</v>
      </c>
      <c r="E45" s="18" t="n">
        <v>48.84014473</v>
      </c>
      <c r="F45" s="20" t="n">
        <v>1.32532761</v>
      </c>
      <c r="G45" s="18" t="n">
        <v>39.68329759</v>
      </c>
      <c r="H45" s="20" t="n">
        <v>1.26035369</v>
      </c>
      <c r="I45" s="18" t="n">
        <v>0</v>
      </c>
      <c r="J45" s="20" t="n">
        <v>0</v>
      </c>
      <c r="K45" s="18" t="n">
        <v>8.17858964</v>
      </c>
      <c r="L45" s="20" t="n">
        <v>0.6295893299999999</v>
      </c>
      <c r="M45" s="18" t="n">
        <v>0.34710005</v>
      </c>
      <c r="N45" s="20" t="n">
        <v>0.13596679</v>
      </c>
      <c r="O45" s="18" t="n">
        <v>0</v>
      </c>
      <c r="P45" s="20" t="n">
        <v>0</v>
      </c>
      <c r="Q45" s="18" t="n">
        <v>2.95086799</v>
      </c>
      <c r="R45" s="20" t="n">
        <v>0.39545841</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53.40796302</v>
      </c>
      <c r="F54" s="20" t="n">
        <v>1.44382177</v>
      </c>
      <c r="G54" s="18" t="n">
        <v>39.72777478</v>
      </c>
      <c r="H54" s="20" t="n">
        <v>1.44632221</v>
      </c>
      <c r="I54" s="18" t="n">
        <v>0</v>
      </c>
      <c r="J54" s="20" t="n">
        <v>0</v>
      </c>
      <c r="K54" s="18" t="n">
        <v>3.45502343</v>
      </c>
      <c r="L54" s="20" t="n">
        <v>0.42313892</v>
      </c>
      <c r="M54" s="18" t="n">
        <v>0</v>
      </c>
      <c r="N54" s="20" t="n">
        <v>0</v>
      </c>
      <c r="O54" s="18" t="n">
        <v>0</v>
      </c>
      <c r="P54" s="20" t="n">
        <v>0</v>
      </c>
      <c r="Q54" s="18" t="n">
        <v>3.40923877</v>
      </c>
      <c r="R54" s="20" t="n">
        <v>0.45991517</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62.48958846</v>
      </c>
      <c r="F56" s="20" t="n">
        <v>1.11961741</v>
      </c>
      <c r="G56" s="18" t="n">
        <v>32.93214454</v>
      </c>
      <c r="H56" s="20" t="n">
        <v>1.048484</v>
      </c>
      <c r="I56" s="18" t="n">
        <v>0</v>
      </c>
      <c r="J56" s="20" t="n">
        <v>0</v>
      </c>
      <c r="K56" s="18" t="n">
        <v>3.03251785</v>
      </c>
      <c r="L56" s="20" t="n">
        <v>0.48866174</v>
      </c>
      <c r="M56" s="18" t="n">
        <v>0.0414544</v>
      </c>
      <c r="N56" s="20" t="n">
        <v>0.04134999</v>
      </c>
      <c r="O56" s="18" t="n">
        <v>0</v>
      </c>
      <c r="P56" s="20" t="n">
        <v>0</v>
      </c>
      <c r="Q56" s="18" t="n">
        <v>1.50429475</v>
      </c>
      <c r="R56" s="20" t="n">
        <v>0.28374012</v>
      </c>
    </row>
    <row r="57" spans="1:18">
      <c r="A57" s="15" t="s">
        <v>616</v>
      </c>
      <c r="B57" s="17" t="n">
        <v>7267</v>
      </c>
      <c r="C57" s="18">
        <f>(4831.0/B57*100)</f>
        <v/>
      </c>
      <c r="D57" s="19" t="n">
        <v>2436</v>
      </c>
      <c r="E57" s="18" t="n">
        <v>47.23847152</v>
      </c>
      <c r="F57" s="20" t="n">
        <v>1.38499373</v>
      </c>
      <c r="G57" s="18" t="n">
        <v>47.42687029</v>
      </c>
      <c r="H57" s="20" t="n">
        <v>1.38136906</v>
      </c>
      <c r="I57" s="18" t="n">
        <v>0</v>
      </c>
      <c r="J57" s="20" t="n">
        <v>0</v>
      </c>
      <c r="K57" s="18" t="n">
        <v>3.65757116</v>
      </c>
      <c r="L57" s="20" t="n">
        <v>0.4272262</v>
      </c>
      <c r="M57" s="18" t="n">
        <v>0</v>
      </c>
      <c r="N57" s="20" t="n">
        <v>0</v>
      </c>
      <c r="O57" s="18" t="n">
        <v>0.06532162</v>
      </c>
      <c r="P57" s="20" t="n">
        <v>0.05571635</v>
      </c>
      <c r="Q57" s="18" t="n">
        <v>1.61176541</v>
      </c>
      <c r="R57" s="20" t="n">
        <v>0.28671931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59.67523457</v>
      </c>
      <c r="F59" s="20" t="n">
        <v>1.48895353</v>
      </c>
      <c r="G59" s="18" t="n">
        <v>36.02884917</v>
      </c>
      <c r="H59" s="20" t="n">
        <v>1.41729828</v>
      </c>
      <c r="I59" s="18" t="n">
        <v>0</v>
      </c>
      <c r="J59" s="20" t="n">
        <v>0</v>
      </c>
      <c r="K59" s="18" t="n">
        <v>0.94066992</v>
      </c>
      <c r="L59" s="20" t="n">
        <v>0.20016438</v>
      </c>
      <c r="M59" s="18" t="n">
        <v>0</v>
      </c>
      <c r="N59" s="20" t="n">
        <v>0</v>
      </c>
      <c r="O59" s="18" t="n">
        <v>0.162672</v>
      </c>
      <c r="P59" s="20" t="n">
        <v>0.16183981</v>
      </c>
      <c r="Q59" s="18" t="n">
        <v>3.19257434</v>
      </c>
      <c r="R59" s="20" t="n">
        <v>0.51275386</v>
      </c>
    </row>
    <row r="60" spans="1:18">
      <c r="A60" s="15" t="s">
        <v>620</v>
      </c>
      <c r="B60" s="17" t="n">
        <v>4546</v>
      </c>
      <c r="C60" s="18">
        <f>(3042.0/B60*100)</f>
        <v/>
      </c>
      <c r="D60" s="19" t="n">
        <v>1504</v>
      </c>
      <c r="E60" s="18" t="n">
        <v>57.34036814</v>
      </c>
      <c r="F60" s="20" t="n">
        <v>1.49408622</v>
      </c>
      <c r="G60" s="18" t="n">
        <v>30.97513317</v>
      </c>
      <c r="H60" s="20" t="n">
        <v>1.44234174</v>
      </c>
      <c r="I60" s="18" t="n">
        <v>0</v>
      </c>
      <c r="J60" s="20" t="n">
        <v>0</v>
      </c>
      <c r="K60" s="18" t="n">
        <v>7.32757807</v>
      </c>
      <c r="L60" s="20" t="n">
        <v>0.79568851</v>
      </c>
      <c r="M60" s="18" t="n">
        <v>0</v>
      </c>
      <c r="N60" s="20" t="n">
        <v>0</v>
      </c>
      <c r="O60" s="18" t="n">
        <v>0.0854423</v>
      </c>
      <c r="P60" s="20" t="n">
        <v>0.08545667999999999</v>
      </c>
      <c r="Q60" s="18" t="n">
        <v>4.27147831</v>
      </c>
      <c r="R60" s="20" t="n">
        <v>0.50380199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61.15284213</v>
      </c>
      <c r="F63" s="20" t="n">
        <v>1.12388735</v>
      </c>
      <c r="G63" s="18" t="n">
        <v>29.16075517</v>
      </c>
      <c r="H63" s="20" t="n">
        <v>1.21602606</v>
      </c>
      <c r="I63" s="18" t="n">
        <v>0</v>
      </c>
      <c r="J63" s="20" t="n">
        <v>0</v>
      </c>
      <c r="K63" s="18" t="n">
        <v>3.47382473</v>
      </c>
      <c r="L63" s="20" t="n">
        <v>0.5419528300000001</v>
      </c>
      <c r="M63" s="18" t="n">
        <v>0</v>
      </c>
      <c r="N63" s="20" t="n">
        <v>0</v>
      </c>
      <c r="O63" s="18" t="n">
        <v>0</v>
      </c>
      <c r="P63" s="20" t="n">
        <v>0</v>
      </c>
      <c r="Q63" s="18" t="n">
        <v>6.21257797</v>
      </c>
      <c r="R63" s="20" t="n">
        <v>0.61949933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45.18882073</v>
      </c>
      <c r="F65" s="20" t="n">
        <v>1.33517746</v>
      </c>
      <c r="G65" s="18" t="n">
        <v>49.60578944</v>
      </c>
      <c r="H65" s="20" t="n">
        <v>1.28175109</v>
      </c>
      <c r="I65" s="18" t="n">
        <v>0</v>
      </c>
      <c r="J65" s="20" t="n">
        <v>0</v>
      </c>
      <c r="K65" s="18" t="n">
        <v>4.05226666</v>
      </c>
      <c r="L65" s="20" t="n">
        <v>0.54939149</v>
      </c>
      <c r="M65" s="18" t="n">
        <v>0</v>
      </c>
      <c r="N65" s="20" t="n">
        <v>0</v>
      </c>
      <c r="O65" s="18" t="n">
        <v>0.16520957</v>
      </c>
      <c r="P65" s="20" t="n">
        <v>0.1147787</v>
      </c>
      <c r="Q65" s="18" t="n">
        <v>0.98791359</v>
      </c>
      <c r="R65" s="20" t="n">
        <v>0.2846299</v>
      </c>
    </row>
    <row r="66" spans="1:18">
      <c r="A66" s="15" t="s">
        <v>626</v>
      </c>
      <c r="B66" s="17" t="n">
        <v>5325</v>
      </c>
      <c r="C66" s="18">
        <f>(3532.0/B66*100)</f>
        <v/>
      </c>
      <c r="D66" s="19" t="n">
        <v>1793</v>
      </c>
      <c r="E66" s="18" t="n">
        <v>66.17210082</v>
      </c>
      <c r="F66" s="20" t="n">
        <v>1.15806119</v>
      </c>
      <c r="G66" s="18" t="n">
        <v>21.30140009</v>
      </c>
      <c r="H66" s="20" t="n">
        <v>1.11106654</v>
      </c>
      <c r="I66" s="18" t="n">
        <v>0</v>
      </c>
      <c r="J66" s="20" t="n">
        <v>0</v>
      </c>
      <c r="K66" s="18" t="n">
        <v>8.35315846</v>
      </c>
      <c r="L66" s="20" t="n">
        <v>0.67726587</v>
      </c>
      <c r="M66" s="18" t="n">
        <v>0.04799753</v>
      </c>
      <c r="N66" s="20" t="n">
        <v>0.04789906</v>
      </c>
      <c r="O66" s="18" t="n">
        <v>0</v>
      </c>
      <c r="P66" s="20" t="n">
        <v>0</v>
      </c>
      <c r="Q66" s="18" t="n">
        <v>4.1253431</v>
      </c>
      <c r="R66" s="20" t="n">
        <v>0.57286865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48.6127134</v>
      </c>
      <c r="F69" s="20" t="n">
        <v>2.67045753</v>
      </c>
      <c r="G69" s="18" t="n">
        <v>48.65217694</v>
      </c>
      <c r="H69" s="20" t="n">
        <v>2.5768196</v>
      </c>
      <c r="I69" s="18" t="n">
        <v>0</v>
      </c>
      <c r="J69" s="20" t="n">
        <v>0</v>
      </c>
      <c r="K69" s="18" t="n">
        <v>1.04606226</v>
      </c>
      <c r="L69" s="20" t="n">
        <v>0.42556991</v>
      </c>
      <c r="M69" s="18" t="n">
        <v>0</v>
      </c>
      <c r="N69" s="20" t="n">
        <v>0</v>
      </c>
      <c r="O69" s="18" t="n">
        <v>0</v>
      </c>
      <c r="P69" s="20" t="n">
        <v>0</v>
      </c>
      <c r="Q69" s="18" t="n">
        <v>1.6890474</v>
      </c>
      <c r="R69" s="20" t="n">
        <v>0.69636155</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70.25535614</v>
      </c>
      <c r="F71" s="20" t="n">
        <v>1.33543644</v>
      </c>
      <c r="G71" s="18" t="n">
        <v>29.68379576</v>
      </c>
      <c r="H71" s="20" t="n">
        <v>1.3364958</v>
      </c>
      <c r="I71" s="18" t="n">
        <v>0</v>
      </c>
      <c r="J71" s="20" t="n">
        <v>0</v>
      </c>
      <c r="K71" s="18" t="n">
        <v>0.06084811</v>
      </c>
      <c r="L71" s="20" t="n">
        <v>0.06063321</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55.53738578</v>
      </c>
      <c r="F76" s="20" t="n">
        <v>1.41642546</v>
      </c>
      <c r="G76" s="18" t="n">
        <v>31.22706462</v>
      </c>
      <c r="H76" s="20" t="n">
        <v>1.15172336</v>
      </c>
      <c r="I76" s="18" t="n">
        <v>0</v>
      </c>
      <c r="J76" s="20" t="n">
        <v>0</v>
      </c>
      <c r="K76" s="18" t="n">
        <v>9.04817886</v>
      </c>
      <c r="L76" s="20" t="n">
        <v>0.859267</v>
      </c>
      <c r="M76" s="18" t="n">
        <v>0</v>
      </c>
      <c r="N76" s="20" t="n">
        <v>0</v>
      </c>
      <c r="O76" s="18" t="n">
        <v>0</v>
      </c>
      <c r="P76" s="20" t="n">
        <v>0</v>
      </c>
      <c r="Q76" s="18" t="n">
        <v>4.18737075</v>
      </c>
      <c r="R76" s="20" t="n">
        <v>0.60420034</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51.09274972</v>
      </c>
      <c r="F80" s="20" t="n">
        <v>1.25720857</v>
      </c>
      <c r="G80" s="18" t="n">
        <v>48.85330981</v>
      </c>
      <c r="H80" s="20" t="n">
        <v>1.26381808</v>
      </c>
      <c r="I80" s="18" t="n">
        <v>0</v>
      </c>
      <c r="J80" s="20" t="n">
        <v>0</v>
      </c>
      <c r="K80" s="18" t="n">
        <v>0.05394047</v>
      </c>
      <c r="L80" s="20" t="n">
        <v>0.05391937</v>
      </c>
      <c r="M80" s="18" t="n">
        <v>0</v>
      </c>
      <c r="N80" s="20" t="n">
        <v>0</v>
      </c>
      <c r="O80" s="18" t="n">
        <v>0</v>
      </c>
      <c r="P80" s="20" t="n">
        <v>0</v>
      </c>
      <c r="Q80" s="18" t="n">
        <v>0</v>
      </c>
      <c r="R80" s="20" t="n">
        <v>0</v>
      </c>
    </row>
    <row r="81" spans="1:18">
      <c r="A81" s="15" t="s">
        <v>641</v>
      </c>
      <c r="B81" s="17" t="n">
        <v>1657</v>
      </c>
      <c r="C81" s="18">
        <f>(1100.0/B81*100)</f>
        <v/>
      </c>
      <c r="D81" s="19" t="n">
        <v>557</v>
      </c>
      <c r="E81" s="18" t="n">
        <v>46.35500519</v>
      </c>
      <c r="F81" s="20" t="n">
        <v>2.39429924</v>
      </c>
      <c r="G81" s="18" t="n">
        <v>47.10577371</v>
      </c>
      <c r="H81" s="20" t="n">
        <v>2.26431311</v>
      </c>
      <c r="I81" s="18" t="n">
        <v>0</v>
      </c>
      <c r="J81" s="20" t="n">
        <v>0</v>
      </c>
      <c r="K81" s="18" t="n">
        <v>4.80408246</v>
      </c>
      <c r="L81" s="20" t="n">
        <v>0.755427</v>
      </c>
      <c r="M81" s="18" t="n">
        <v>0</v>
      </c>
      <c r="N81" s="20" t="n">
        <v>0</v>
      </c>
      <c r="O81" s="18" t="n">
        <v>0</v>
      </c>
      <c r="P81" s="20" t="n">
        <v>0</v>
      </c>
      <c r="Q81" s="18" t="n">
        <v>1.73513863</v>
      </c>
      <c r="R81" s="20" t="n">
        <v>0.7665954</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56.90000034</v>
      </c>
      <c r="F44" s="20" t="n">
        <v>1.55637508</v>
      </c>
      <c r="G44" s="18" t="n">
        <v>35.96042756</v>
      </c>
      <c r="H44" s="20" t="n">
        <v>1.74673001</v>
      </c>
      <c r="I44" s="18" t="n">
        <v>0</v>
      </c>
      <c r="J44" s="20" t="n">
        <v>0</v>
      </c>
      <c r="K44" s="18" t="n">
        <v>3.66518731</v>
      </c>
      <c r="L44" s="20" t="n">
        <v>0.54047419</v>
      </c>
      <c r="M44" s="18" t="n">
        <v>0</v>
      </c>
      <c r="N44" s="20" t="n">
        <v>0</v>
      </c>
      <c r="O44" s="18" t="n">
        <v>0</v>
      </c>
      <c r="P44" s="20" t="n">
        <v>0</v>
      </c>
      <c r="Q44" s="18" t="n">
        <v>3.47438478</v>
      </c>
      <c r="R44" s="20" t="n">
        <v>0.58797446</v>
      </c>
    </row>
    <row r="45" spans="1:18">
      <c r="A45" s="15" t="s">
        <v>604</v>
      </c>
      <c r="B45" s="17" t="n">
        <v>5519</v>
      </c>
      <c r="C45" s="18">
        <f>(3697.0/B45*100)</f>
        <v/>
      </c>
      <c r="D45" s="19" t="n">
        <v>1822</v>
      </c>
      <c r="E45" s="18" t="n">
        <v>60.94704123</v>
      </c>
      <c r="F45" s="20" t="n">
        <v>1.38793241</v>
      </c>
      <c r="G45" s="18" t="n">
        <v>27.64773824</v>
      </c>
      <c r="H45" s="20" t="n">
        <v>1.24876549</v>
      </c>
      <c r="I45" s="18" t="n">
        <v>0</v>
      </c>
      <c r="J45" s="20" t="n">
        <v>0</v>
      </c>
      <c r="K45" s="18" t="n">
        <v>8.46827764</v>
      </c>
      <c r="L45" s="20" t="n">
        <v>0.64162401</v>
      </c>
      <c r="M45" s="18" t="n">
        <v>0.36265208</v>
      </c>
      <c r="N45" s="20" t="n">
        <v>0.14205051</v>
      </c>
      <c r="O45" s="18" t="n">
        <v>0</v>
      </c>
      <c r="P45" s="20" t="n">
        <v>0</v>
      </c>
      <c r="Q45" s="18" t="n">
        <v>2.57429081</v>
      </c>
      <c r="R45" s="20" t="n">
        <v>0.42148135</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59.6312982</v>
      </c>
      <c r="F54" s="20" t="n">
        <v>1.32293874</v>
      </c>
      <c r="G54" s="18" t="n">
        <v>34.54184878</v>
      </c>
      <c r="H54" s="20" t="n">
        <v>1.21477271</v>
      </c>
      <c r="I54" s="18" t="n">
        <v>0</v>
      </c>
      <c r="J54" s="20" t="n">
        <v>0</v>
      </c>
      <c r="K54" s="18" t="n">
        <v>3.73702689</v>
      </c>
      <c r="L54" s="20" t="n">
        <v>0.47306228</v>
      </c>
      <c r="M54" s="18" t="n">
        <v>0</v>
      </c>
      <c r="N54" s="20" t="n">
        <v>0</v>
      </c>
      <c r="O54" s="18" t="n">
        <v>0</v>
      </c>
      <c r="P54" s="20" t="n">
        <v>0</v>
      </c>
      <c r="Q54" s="18" t="n">
        <v>2.08982613</v>
      </c>
      <c r="R54" s="20" t="n">
        <v>0.33460377</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66.46508649</v>
      </c>
      <c r="F56" s="20" t="n">
        <v>1.05172619</v>
      </c>
      <c r="G56" s="18" t="n">
        <v>28.84062663</v>
      </c>
      <c r="H56" s="20" t="n">
        <v>0.9574701</v>
      </c>
      <c r="I56" s="18" t="n">
        <v>0</v>
      </c>
      <c r="J56" s="20" t="n">
        <v>0</v>
      </c>
      <c r="K56" s="18" t="n">
        <v>3.34953366</v>
      </c>
      <c r="L56" s="20" t="n">
        <v>0.51565936</v>
      </c>
      <c r="M56" s="18" t="n">
        <v>0.0414544</v>
      </c>
      <c r="N56" s="20" t="n">
        <v>0.04134999</v>
      </c>
      <c r="O56" s="18" t="n">
        <v>0</v>
      </c>
      <c r="P56" s="20" t="n">
        <v>0</v>
      </c>
      <c r="Q56" s="18" t="n">
        <v>1.30329881</v>
      </c>
      <c r="R56" s="20" t="n">
        <v>0.25901694</v>
      </c>
    </row>
    <row r="57" spans="1:18">
      <c r="A57" s="15" t="s">
        <v>616</v>
      </c>
      <c r="B57" s="17" t="n">
        <v>7267</v>
      </c>
      <c r="C57" s="18">
        <f>(4831.0/B57*100)</f>
        <v/>
      </c>
      <c r="D57" s="19" t="n">
        <v>2436</v>
      </c>
      <c r="E57" s="18" t="n">
        <v>61.42589362</v>
      </c>
      <c r="F57" s="20" t="n">
        <v>1.15794055</v>
      </c>
      <c r="G57" s="18" t="n">
        <v>33.34841643</v>
      </c>
      <c r="H57" s="20" t="n">
        <v>1.21732329</v>
      </c>
      <c r="I57" s="18" t="n">
        <v>0</v>
      </c>
      <c r="J57" s="20" t="n">
        <v>0</v>
      </c>
      <c r="K57" s="18" t="n">
        <v>3.78647889</v>
      </c>
      <c r="L57" s="20" t="n">
        <v>0.42610959</v>
      </c>
      <c r="M57" s="18" t="n">
        <v>0</v>
      </c>
      <c r="N57" s="20" t="n">
        <v>0</v>
      </c>
      <c r="O57" s="18" t="n">
        <v>0.02346831</v>
      </c>
      <c r="P57" s="20" t="n">
        <v>0.02343046</v>
      </c>
      <c r="Q57" s="18" t="n">
        <v>1.41574275</v>
      </c>
      <c r="R57" s="20" t="n">
        <v>0.27349568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69.57777929</v>
      </c>
      <c r="F59" s="20" t="n">
        <v>1.32920183</v>
      </c>
      <c r="G59" s="18" t="n">
        <v>27.14884464</v>
      </c>
      <c r="H59" s="20" t="n">
        <v>1.27185578</v>
      </c>
      <c r="I59" s="18" t="n">
        <v>0</v>
      </c>
      <c r="J59" s="20" t="n">
        <v>0</v>
      </c>
      <c r="K59" s="18" t="n">
        <v>1.06775823</v>
      </c>
      <c r="L59" s="20" t="n">
        <v>0.22449555</v>
      </c>
      <c r="M59" s="18" t="n">
        <v>0</v>
      </c>
      <c r="N59" s="20" t="n">
        <v>0</v>
      </c>
      <c r="O59" s="18" t="n">
        <v>0.07972878999999999</v>
      </c>
      <c r="P59" s="20" t="n">
        <v>0.08034054</v>
      </c>
      <c r="Q59" s="18" t="n">
        <v>2.12588906</v>
      </c>
      <c r="R59" s="20" t="n">
        <v>0.4303102</v>
      </c>
    </row>
    <row r="60" spans="1:18">
      <c r="A60" s="15" t="s">
        <v>620</v>
      </c>
      <c r="B60" s="17" t="n">
        <v>4546</v>
      </c>
      <c r="C60" s="18">
        <f>(3042.0/B60*100)</f>
        <v/>
      </c>
      <c r="D60" s="19" t="n">
        <v>1504</v>
      </c>
      <c r="E60" s="18" t="n">
        <v>52.54249272</v>
      </c>
      <c r="F60" s="20" t="n">
        <v>1.85142032</v>
      </c>
      <c r="G60" s="18" t="n">
        <v>34.56067349</v>
      </c>
      <c r="H60" s="20" t="n">
        <v>1.7879631</v>
      </c>
      <c r="I60" s="18" t="n">
        <v>0</v>
      </c>
      <c r="J60" s="20" t="n">
        <v>0</v>
      </c>
      <c r="K60" s="18" t="n">
        <v>7.55373474</v>
      </c>
      <c r="L60" s="20" t="n">
        <v>0.80867196</v>
      </c>
      <c r="M60" s="18" t="n">
        <v>0</v>
      </c>
      <c r="N60" s="20" t="n">
        <v>0</v>
      </c>
      <c r="O60" s="18" t="n">
        <v>0.0854423</v>
      </c>
      <c r="P60" s="20" t="n">
        <v>0.08545667999999999</v>
      </c>
      <c r="Q60" s="18" t="n">
        <v>5.25765675</v>
      </c>
      <c r="R60" s="20" t="n">
        <v>0.59832942</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63.99592145</v>
      </c>
      <c r="F63" s="20" t="n">
        <v>1.06769171</v>
      </c>
      <c r="G63" s="18" t="n">
        <v>28.18557231</v>
      </c>
      <c r="H63" s="20" t="n">
        <v>0.99274167</v>
      </c>
      <c r="I63" s="18" t="n">
        <v>0</v>
      </c>
      <c r="J63" s="20" t="n">
        <v>0</v>
      </c>
      <c r="K63" s="18" t="n">
        <v>3.62213629</v>
      </c>
      <c r="L63" s="20" t="n">
        <v>0.55315791</v>
      </c>
      <c r="M63" s="18" t="n">
        <v>0</v>
      </c>
      <c r="N63" s="20" t="n">
        <v>0</v>
      </c>
      <c r="O63" s="18" t="n">
        <v>0</v>
      </c>
      <c r="P63" s="20" t="n">
        <v>0</v>
      </c>
      <c r="Q63" s="18" t="n">
        <v>4.19636995</v>
      </c>
      <c r="R63" s="20" t="n">
        <v>0.47496607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43.50890789</v>
      </c>
      <c r="F65" s="20" t="n">
        <v>1.27168233</v>
      </c>
      <c r="G65" s="18" t="n">
        <v>50.5711914</v>
      </c>
      <c r="H65" s="20" t="n">
        <v>1.44865057</v>
      </c>
      <c r="I65" s="18" t="n">
        <v>0</v>
      </c>
      <c r="J65" s="20" t="n">
        <v>0</v>
      </c>
      <c r="K65" s="18" t="n">
        <v>4.39353677</v>
      </c>
      <c r="L65" s="20" t="n">
        <v>0.58527273</v>
      </c>
      <c r="M65" s="18" t="n">
        <v>0</v>
      </c>
      <c r="N65" s="20" t="n">
        <v>0</v>
      </c>
      <c r="O65" s="18" t="n">
        <v>0.08695240999999999</v>
      </c>
      <c r="P65" s="20" t="n">
        <v>0.08725906</v>
      </c>
      <c r="Q65" s="18" t="n">
        <v>1.43941153</v>
      </c>
      <c r="R65" s="20" t="n">
        <v>0.30889682</v>
      </c>
    </row>
    <row r="66" spans="1:18">
      <c r="A66" s="15" t="s">
        <v>626</v>
      </c>
      <c r="B66" s="17" t="n">
        <v>5325</v>
      </c>
      <c r="C66" s="18">
        <f>(3532.0/B66*100)</f>
        <v/>
      </c>
      <c r="D66" s="19" t="n">
        <v>1793</v>
      </c>
      <c r="E66" s="18" t="n">
        <v>56.18926475</v>
      </c>
      <c r="F66" s="20" t="n">
        <v>1.30342409</v>
      </c>
      <c r="G66" s="18" t="n">
        <v>30.99025642</v>
      </c>
      <c r="H66" s="20" t="n">
        <v>1.11636889</v>
      </c>
      <c r="I66" s="18" t="n">
        <v>0</v>
      </c>
      <c r="J66" s="20" t="n">
        <v>0</v>
      </c>
      <c r="K66" s="18" t="n">
        <v>8.94920726</v>
      </c>
      <c r="L66" s="20" t="n">
        <v>0.71669944</v>
      </c>
      <c r="M66" s="18" t="n">
        <v>0</v>
      </c>
      <c r="N66" s="20" t="n">
        <v>0</v>
      </c>
      <c r="O66" s="18" t="n">
        <v>0</v>
      </c>
      <c r="P66" s="20" t="n">
        <v>0</v>
      </c>
      <c r="Q66" s="18" t="n">
        <v>3.87127157</v>
      </c>
      <c r="R66" s="20" t="n">
        <v>0.65866188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61.44056964</v>
      </c>
      <c r="F69" s="20" t="n">
        <v>3.39018172</v>
      </c>
      <c r="G69" s="18" t="n">
        <v>36.44914923</v>
      </c>
      <c r="H69" s="20" t="n">
        <v>3.2384523</v>
      </c>
      <c r="I69" s="18" t="n">
        <v>0</v>
      </c>
      <c r="J69" s="20" t="n">
        <v>0</v>
      </c>
      <c r="K69" s="18" t="n">
        <v>1.04606226</v>
      </c>
      <c r="L69" s="20" t="n">
        <v>0.42556991</v>
      </c>
      <c r="M69" s="18" t="n">
        <v>0</v>
      </c>
      <c r="N69" s="20" t="n">
        <v>0</v>
      </c>
      <c r="O69" s="18" t="n">
        <v>0</v>
      </c>
      <c r="P69" s="20" t="n">
        <v>0</v>
      </c>
      <c r="Q69" s="18" t="n">
        <v>1.06421887</v>
      </c>
      <c r="R69" s="20" t="n">
        <v>0.47065167</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60.77779162</v>
      </c>
      <c r="F71" s="20" t="n">
        <v>1.40444844</v>
      </c>
      <c r="G71" s="18" t="n">
        <v>39.16136027</v>
      </c>
      <c r="H71" s="20" t="n">
        <v>1.40399751</v>
      </c>
      <c r="I71" s="18" t="n">
        <v>0</v>
      </c>
      <c r="J71" s="20" t="n">
        <v>0</v>
      </c>
      <c r="K71" s="18" t="n">
        <v>0.06084811</v>
      </c>
      <c r="L71" s="20" t="n">
        <v>0.06063321</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52.30471161</v>
      </c>
      <c r="F76" s="20" t="n">
        <v>1.36906596</v>
      </c>
      <c r="G76" s="18" t="n">
        <v>33.54414413</v>
      </c>
      <c r="H76" s="20" t="n">
        <v>1.30058536</v>
      </c>
      <c r="I76" s="18" t="n">
        <v>0</v>
      </c>
      <c r="J76" s="20" t="n">
        <v>0</v>
      </c>
      <c r="K76" s="18" t="n">
        <v>9.64398609</v>
      </c>
      <c r="L76" s="20" t="n">
        <v>0.8980387399999999</v>
      </c>
      <c r="M76" s="18" t="n">
        <v>0</v>
      </c>
      <c r="N76" s="20" t="n">
        <v>0</v>
      </c>
      <c r="O76" s="18" t="n">
        <v>0</v>
      </c>
      <c r="P76" s="20" t="n">
        <v>0</v>
      </c>
      <c r="Q76" s="18" t="n">
        <v>4.50715817</v>
      </c>
      <c r="R76" s="20" t="n">
        <v>0.67636557</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35.4746024</v>
      </c>
      <c r="F80" s="20" t="n">
        <v>1.204588</v>
      </c>
      <c r="G80" s="18" t="n">
        <v>64.47145713</v>
      </c>
      <c r="H80" s="20" t="n">
        <v>1.20475971</v>
      </c>
      <c r="I80" s="18" t="n">
        <v>0</v>
      </c>
      <c r="J80" s="20" t="n">
        <v>0</v>
      </c>
      <c r="K80" s="18" t="n">
        <v>0.05394047</v>
      </c>
      <c r="L80" s="20" t="n">
        <v>0.05391937</v>
      </c>
      <c r="M80" s="18" t="n">
        <v>0</v>
      </c>
      <c r="N80" s="20" t="n">
        <v>0</v>
      </c>
      <c r="O80" s="18" t="n">
        <v>0</v>
      </c>
      <c r="P80" s="20" t="n">
        <v>0</v>
      </c>
      <c r="Q80" s="18" t="n">
        <v>0</v>
      </c>
      <c r="R80" s="20" t="n">
        <v>0</v>
      </c>
    </row>
    <row r="81" spans="1:18">
      <c r="A81" s="15" t="s">
        <v>641</v>
      </c>
      <c r="B81" s="17" t="n">
        <v>1657</v>
      </c>
      <c r="C81" s="18">
        <f>(1100.0/B81*100)</f>
        <v/>
      </c>
      <c r="D81" s="19" t="n">
        <v>557</v>
      </c>
      <c r="E81" s="18" t="n">
        <v>46.7155081</v>
      </c>
      <c r="F81" s="20" t="n">
        <v>2.49733488</v>
      </c>
      <c r="G81" s="18" t="n">
        <v>45.77378497</v>
      </c>
      <c r="H81" s="20" t="n">
        <v>2.53773928</v>
      </c>
      <c r="I81" s="18" t="n">
        <v>0</v>
      </c>
      <c r="J81" s="20" t="n">
        <v>0</v>
      </c>
      <c r="K81" s="18" t="n">
        <v>4.88411279</v>
      </c>
      <c r="L81" s="20" t="n">
        <v>0.77385265</v>
      </c>
      <c r="M81" s="18" t="n">
        <v>0</v>
      </c>
      <c r="N81" s="20" t="n">
        <v>0</v>
      </c>
      <c r="O81" s="18" t="n">
        <v>0</v>
      </c>
      <c r="P81" s="20" t="n">
        <v>0</v>
      </c>
      <c r="Q81" s="18" t="n">
        <v>2.62659415</v>
      </c>
      <c r="R81" s="20" t="n">
        <v>0.82609225</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39.71174219</v>
      </c>
      <c r="F44" s="20" t="n">
        <v>1.43124058</v>
      </c>
      <c r="G44" s="18" t="n">
        <v>54.34939191</v>
      </c>
      <c r="H44" s="20" t="n">
        <v>1.56799712</v>
      </c>
      <c r="I44" s="18" t="n">
        <v>0</v>
      </c>
      <c r="J44" s="20" t="n">
        <v>0</v>
      </c>
      <c r="K44" s="18" t="n">
        <v>4.56398506</v>
      </c>
      <c r="L44" s="20" t="n">
        <v>0.63959313</v>
      </c>
      <c r="M44" s="18" t="n">
        <v>0</v>
      </c>
      <c r="N44" s="20" t="n">
        <v>0</v>
      </c>
      <c r="O44" s="18" t="n">
        <v>0</v>
      </c>
      <c r="P44" s="20" t="n">
        <v>0</v>
      </c>
      <c r="Q44" s="18" t="n">
        <v>1.37488084</v>
      </c>
      <c r="R44" s="20" t="n">
        <v>0.3039409</v>
      </c>
    </row>
    <row r="45" spans="1:18">
      <c r="A45" s="15" t="s">
        <v>604</v>
      </c>
      <c r="B45" s="17" t="n">
        <v>5519</v>
      </c>
      <c r="C45" s="18">
        <f>(3697.0/B45*100)</f>
        <v/>
      </c>
      <c r="D45" s="19" t="n">
        <v>1822</v>
      </c>
      <c r="E45" s="18" t="n">
        <v>52.34023386</v>
      </c>
      <c r="F45" s="20" t="n">
        <v>1.34237778</v>
      </c>
      <c r="G45" s="18" t="n">
        <v>36.43208926</v>
      </c>
      <c r="H45" s="20" t="n">
        <v>1.3095598</v>
      </c>
      <c r="I45" s="18" t="n">
        <v>0</v>
      </c>
      <c r="J45" s="20" t="n">
        <v>0</v>
      </c>
      <c r="K45" s="18" t="n">
        <v>10.25401119</v>
      </c>
      <c r="L45" s="20" t="n">
        <v>0.80631688</v>
      </c>
      <c r="M45" s="18" t="n">
        <v>0.31690258</v>
      </c>
      <c r="N45" s="20" t="n">
        <v>0.13282805</v>
      </c>
      <c r="O45" s="18" t="n">
        <v>0</v>
      </c>
      <c r="P45" s="20" t="n">
        <v>0</v>
      </c>
      <c r="Q45" s="18" t="n">
        <v>0.65676311</v>
      </c>
      <c r="R45" s="20" t="n">
        <v>0.18896938</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43.15888834</v>
      </c>
      <c r="F54" s="20" t="n">
        <v>1.34181434</v>
      </c>
      <c r="G54" s="18" t="n">
        <v>50.52443479</v>
      </c>
      <c r="H54" s="20" t="n">
        <v>1.32204533</v>
      </c>
      <c r="I54" s="18" t="n">
        <v>0</v>
      </c>
      <c r="J54" s="20" t="n">
        <v>0</v>
      </c>
      <c r="K54" s="18" t="n">
        <v>5.03352128</v>
      </c>
      <c r="L54" s="20" t="n">
        <v>0.5117080899999999</v>
      </c>
      <c r="M54" s="18" t="n">
        <v>0</v>
      </c>
      <c r="N54" s="20" t="n">
        <v>0</v>
      </c>
      <c r="O54" s="18" t="n">
        <v>0</v>
      </c>
      <c r="P54" s="20" t="n">
        <v>0</v>
      </c>
      <c r="Q54" s="18" t="n">
        <v>1.28315559</v>
      </c>
      <c r="R54" s="20" t="n">
        <v>0.32914785</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55.93885514</v>
      </c>
      <c r="F56" s="20" t="n">
        <v>1.14126855</v>
      </c>
      <c r="G56" s="18" t="n">
        <v>39.87470232</v>
      </c>
      <c r="H56" s="20" t="n">
        <v>1.25920802</v>
      </c>
      <c r="I56" s="18" t="n">
        <v>0</v>
      </c>
      <c r="J56" s="20" t="n">
        <v>0</v>
      </c>
      <c r="K56" s="18" t="n">
        <v>3.64965978</v>
      </c>
      <c r="L56" s="20" t="n">
        <v>0.55516276</v>
      </c>
      <c r="M56" s="18" t="n">
        <v>0.0414544</v>
      </c>
      <c r="N56" s="20" t="n">
        <v>0.04134999</v>
      </c>
      <c r="O56" s="18" t="n">
        <v>0</v>
      </c>
      <c r="P56" s="20" t="n">
        <v>0</v>
      </c>
      <c r="Q56" s="18" t="n">
        <v>0.49532836</v>
      </c>
      <c r="R56" s="20" t="n">
        <v>0.1591611</v>
      </c>
    </row>
    <row r="57" spans="1:18">
      <c r="A57" s="15" t="s">
        <v>616</v>
      </c>
      <c r="B57" s="17" t="n">
        <v>7267</v>
      </c>
      <c r="C57" s="18">
        <f>(4831.0/B57*100)</f>
        <v/>
      </c>
      <c r="D57" s="19" t="n">
        <v>2436</v>
      </c>
      <c r="E57" s="18" t="n">
        <v>51.94050602</v>
      </c>
      <c r="F57" s="20" t="n">
        <v>1.28249099</v>
      </c>
      <c r="G57" s="18" t="n">
        <v>42.72148834</v>
      </c>
      <c r="H57" s="20" t="n">
        <v>1.25430995</v>
      </c>
      <c r="I57" s="18" t="n">
        <v>0</v>
      </c>
      <c r="J57" s="20" t="n">
        <v>0</v>
      </c>
      <c r="K57" s="18" t="n">
        <v>4.3524903</v>
      </c>
      <c r="L57" s="20" t="n">
        <v>0.45485882</v>
      </c>
      <c r="M57" s="18" t="n">
        <v>0</v>
      </c>
      <c r="N57" s="20" t="n">
        <v>0</v>
      </c>
      <c r="O57" s="18" t="n">
        <v>0</v>
      </c>
      <c r="P57" s="20" t="n">
        <v>0</v>
      </c>
      <c r="Q57" s="18" t="n">
        <v>0.98551534</v>
      </c>
      <c r="R57" s="20" t="n">
        <v>0.24926433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52.46406928</v>
      </c>
      <c r="F59" s="20" t="n">
        <v>1.52651557</v>
      </c>
      <c r="G59" s="18" t="n">
        <v>45.4154493</v>
      </c>
      <c r="H59" s="20" t="n">
        <v>1.52713182</v>
      </c>
      <c r="I59" s="18" t="n">
        <v>0</v>
      </c>
      <c r="J59" s="20" t="n">
        <v>0</v>
      </c>
      <c r="K59" s="18" t="n">
        <v>1.2603466</v>
      </c>
      <c r="L59" s="20" t="n">
        <v>0.22324043</v>
      </c>
      <c r="M59" s="18" t="n">
        <v>0</v>
      </c>
      <c r="N59" s="20" t="n">
        <v>0</v>
      </c>
      <c r="O59" s="18" t="n">
        <v>0.07972878999999999</v>
      </c>
      <c r="P59" s="20" t="n">
        <v>0.08034054</v>
      </c>
      <c r="Q59" s="18" t="n">
        <v>0.78040603</v>
      </c>
      <c r="R59" s="20" t="n">
        <v>0.22113535</v>
      </c>
    </row>
    <row r="60" spans="1:18">
      <c r="A60" s="15" t="s">
        <v>620</v>
      </c>
      <c r="B60" s="17" t="n">
        <v>4546</v>
      </c>
      <c r="C60" s="18">
        <f>(3042.0/B60*100)</f>
        <v/>
      </c>
      <c r="D60" s="19" t="n">
        <v>1504</v>
      </c>
      <c r="E60" s="18" t="n">
        <v>51.86653394</v>
      </c>
      <c r="F60" s="20" t="n">
        <v>1.58412651</v>
      </c>
      <c r="G60" s="18" t="n">
        <v>37.79914549</v>
      </c>
      <c r="H60" s="20" t="n">
        <v>1.59595923</v>
      </c>
      <c r="I60" s="18" t="n">
        <v>0</v>
      </c>
      <c r="J60" s="20" t="n">
        <v>0</v>
      </c>
      <c r="K60" s="18" t="n">
        <v>9.09087789</v>
      </c>
      <c r="L60" s="20" t="n">
        <v>0.83822107</v>
      </c>
      <c r="M60" s="18" t="n">
        <v>0</v>
      </c>
      <c r="N60" s="20" t="n">
        <v>0</v>
      </c>
      <c r="O60" s="18" t="n">
        <v>0.0854423</v>
      </c>
      <c r="P60" s="20" t="n">
        <v>0.08545667999999999</v>
      </c>
      <c r="Q60" s="18" t="n">
        <v>1.15800039</v>
      </c>
      <c r="R60" s="20" t="n">
        <v>0.30390227</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51.71320483</v>
      </c>
      <c r="F63" s="20" t="n">
        <v>0.99292843</v>
      </c>
      <c r="G63" s="18" t="n">
        <v>41.80729715</v>
      </c>
      <c r="H63" s="20" t="n">
        <v>1.06433874</v>
      </c>
      <c r="I63" s="18" t="n">
        <v>0</v>
      </c>
      <c r="J63" s="20" t="n">
        <v>0</v>
      </c>
      <c r="K63" s="18" t="n">
        <v>4.45642419</v>
      </c>
      <c r="L63" s="20" t="n">
        <v>0.57435219</v>
      </c>
      <c r="M63" s="18" t="n">
        <v>0</v>
      </c>
      <c r="N63" s="20" t="n">
        <v>0</v>
      </c>
      <c r="O63" s="18" t="n">
        <v>0</v>
      </c>
      <c r="P63" s="20" t="n">
        <v>0</v>
      </c>
      <c r="Q63" s="18" t="n">
        <v>2.02307384</v>
      </c>
      <c r="R63" s="20" t="n">
        <v>0.31877379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36.70658633</v>
      </c>
      <c r="F65" s="20" t="n">
        <v>1.20537221</v>
      </c>
      <c r="G65" s="18" t="n">
        <v>58.21123262</v>
      </c>
      <c r="H65" s="20" t="n">
        <v>1.31843079</v>
      </c>
      <c r="I65" s="18" t="n">
        <v>0</v>
      </c>
      <c r="J65" s="20" t="n">
        <v>0</v>
      </c>
      <c r="K65" s="18" t="n">
        <v>4.55754153</v>
      </c>
      <c r="L65" s="20" t="n">
        <v>0.59466623</v>
      </c>
      <c r="M65" s="18" t="n">
        <v>0</v>
      </c>
      <c r="N65" s="20" t="n">
        <v>0</v>
      </c>
      <c r="O65" s="18" t="n">
        <v>0.16383642</v>
      </c>
      <c r="P65" s="20" t="n">
        <v>0.11601767</v>
      </c>
      <c r="Q65" s="18" t="n">
        <v>0.3608031</v>
      </c>
      <c r="R65" s="20" t="n">
        <v>0.1739669</v>
      </c>
    </row>
    <row r="66" spans="1:18">
      <c r="A66" s="15" t="s">
        <v>626</v>
      </c>
      <c r="B66" s="17" t="n">
        <v>5325</v>
      </c>
      <c r="C66" s="18">
        <f>(3532.0/B66*100)</f>
        <v/>
      </c>
      <c r="D66" s="19" t="n">
        <v>1793</v>
      </c>
      <c r="E66" s="18" t="n">
        <v>37.7514368</v>
      </c>
      <c r="F66" s="20" t="n">
        <v>1.22786281</v>
      </c>
      <c r="G66" s="18" t="n">
        <v>50.83851462</v>
      </c>
      <c r="H66" s="20" t="n">
        <v>1.28253287</v>
      </c>
      <c r="I66" s="18" t="n">
        <v>0</v>
      </c>
      <c r="J66" s="20" t="n">
        <v>0</v>
      </c>
      <c r="K66" s="18" t="n">
        <v>10.62111217</v>
      </c>
      <c r="L66" s="20" t="n">
        <v>0.78971309</v>
      </c>
      <c r="M66" s="18" t="n">
        <v>0</v>
      </c>
      <c r="N66" s="20" t="n">
        <v>0</v>
      </c>
      <c r="O66" s="18" t="n">
        <v>0</v>
      </c>
      <c r="P66" s="20" t="n">
        <v>0</v>
      </c>
      <c r="Q66" s="18" t="n">
        <v>0.78893641</v>
      </c>
      <c r="R66" s="20" t="n">
        <v>0.2220638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48.89456654</v>
      </c>
      <c r="F69" s="20" t="n">
        <v>2.10090885</v>
      </c>
      <c r="G69" s="18" t="n">
        <v>49.87074926</v>
      </c>
      <c r="H69" s="20" t="n">
        <v>2.15177997</v>
      </c>
      <c r="I69" s="18" t="n">
        <v>0</v>
      </c>
      <c r="J69" s="20" t="n">
        <v>0</v>
      </c>
      <c r="K69" s="18" t="n">
        <v>1.2346842</v>
      </c>
      <c r="L69" s="20" t="n">
        <v>0.46759626</v>
      </c>
      <c r="M69" s="18" t="n">
        <v>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55.48922517</v>
      </c>
      <c r="F71" s="20" t="n">
        <v>1.53685432</v>
      </c>
      <c r="G71" s="18" t="n">
        <v>44.44992673</v>
      </c>
      <c r="H71" s="20" t="n">
        <v>1.5366309</v>
      </c>
      <c r="I71" s="18" t="n">
        <v>0</v>
      </c>
      <c r="J71" s="20" t="n">
        <v>0</v>
      </c>
      <c r="K71" s="18" t="n">
        <v>0.06084811</v>
      </c>
      <c r="L71" s="20" t="n">
        <v>0.06063321</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36.70165981</v>
      </c>
      <c r="F76" s="20" t="n">
        <v>1.49334949</v>
      </c>
      <c r="G76" s="18" t="n">
        <v>51.8767865</v>
      </c>
      <c r="H76" s="20" t="n">
        <v>1.39388793</v>
      </c>
      <c r="I76" s="18" t="n">
        <v>0</v>
      </c>
      <c r="J76" s="20" t="n">
        <v>0</v>
      </c>
      <c r="K76" s="18" t="n">
        <v>10.70346476</v>
      </c>
      <c r="L76" s="20" t="n">
        <v>0.91641667</v>
      </c>
      <c r="M76" s="18" t="n">
        <v>0</v>
      </c>
      <c r="N76" s="20" t="n">
        <v>0</v>
      </c>
      <c r="O76" s="18" t="n">
        <v>0</v>
      </c>
      <c r="P76" s="20" t="n">
        <v>0</v>
      </c>
      <c r="Q76" s="18" t="n">
        <v>0.71808894</v>
      </c>
      <c r="R76" s="20" t="n">
        <v>0.2321199</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18.57067491</v>
      </c>
      <c r="F80" s="20" t="n">
        <v>1.41864892</v>
      </c>
      <c r="G80" s="18" t="n">
        <v>81.34030022</v>
      </c>
      <c r="H80" s="20" t="n">
        <v>1.43318424</v>
      </c>
      <c r="I80" s="18" t="n">
        <v>0</v>
      </c>
      <c r="J80" s="20" t="n">
        <v>0</v>
      </c>
      <c r="K80" s="18" t="n">
        <v>0.05394047</v>
      </c>
      <c r="L80" s="20" t="n">
        <v>0.05391937</v>
      </c>
      <c r="M80" s="18" t="n">
        <v>0</v>
      </c>
      <c r="N80" s="20" t="n">
        <v>0</v>
      </c>
      <c r="O80" s="18" t="n">
        <v>0</v>
      </c>
      <c r="P80" s="20" t="n">
        <v>0</v>
      </c>
      <c r="Q80" s="18" t="n">
        <v>0.0350844</v>
      </c>
      <c r="R80" s="20" t="n">
        <v>0.0354872</v>
      </c>
    </row>
    <row r="81" spans="1:18">
      <c r="A81" s="15" t="s">
        <v>641</v>
      </c>
      <c r="B81" s="17" t="n">
        <v>1657</v>
      </c>
      <c r="C81" s="18">
        <f>(1100.0/B81*100)</f>
        <v/>
      </c>
      <c r="D81" s="19" t="n">
        <v>557</v>
      </c>
      <c r="E81" s="18" t="n">
        <v>21.88049343</v>
      </c>
      <c r="F81" s="20" t="n">
        <v>1.80943718</v>
      </c>
      <c r="G81" s="18" t="n">
        <v>72.08465701</v>
      </c>
      <c r="H81" s="20" t="n">
        <v>1.76869978</v>
      </c>
      <c r="I81" s="18" t="n">
        <v>0</v>
      </c>
      <c r="J81" s="20" t="n">
        <v>0</v>
      </c>
      <c r="K81" s="18" t="n">
        <v>5.63234017</v>
      </c>
      <c r="L81" s="20" t="n">
        <v>0.8001595500000001</v>
      </c>
      <c r="M81" s="18" t="n">
        <v>0</v>
      </c>
      <c r="N81" s="20" t="n">
        <v>0</v>
      </c>
      <c r="O81" s="18" t="n">
        <v>0</v>
      </c>
      <c r="P81" s="20" t="n">
        <v>0</v>
      </c>
      <c r="Q81" s="18" t="n">
        <v>0.40250939</v>
      </c>
      <c r="R81" s="20" t="n">
        <v>0.24727682</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47.38782295</v>
      </c>
      <c r="F44" s="20" t="n">
        <v>1.4574086</v>
      </c>
      <c r="G44" s="18" t="n">
        <v>46.8257112</v>
      </c>
      <c r="H44" s="20" t="n">
        <v>1.57082198</v>
      </c>
      <c r="I44" s="18" t="n">
        <v>0</v>
      </c>
      <c r="J44" s="20" t="n">
        <v>0</v>
      </c>
      <c r="K44" s="18" t="n">
        <v>4.95805744</v>
      </c>
      <c r="L44" s="20" t="n">
        <v>0.65155574</v>
      </c>
      <c r="M44" s="18" t="n">
        <v>0</v>
      </c>
      <c r="N44" s="20" t="n">
        <v>0</v>
      </c>
      <c r="O44" s="18" t="n">
        <v>0</v>
      </c>
      <c r="P44" s="20" t="n">
        <v>0</v>
      </c>
      <c r="Q44" s="18" t="n">
        <v>0.82840842</v>
      </c>
      <c r="R44" s="20" t="n">
        <v>0.22010245</v>
      </c>
    </row>
    <row r="45" spans="1:18">
      <c r="A45" s="15" t="s">
        <v>604</v>
      </c>
      <c r="B45" s="17" t="n">
        <v>5519</v>
      </c>
      <c r="C45" s="18">
        <f>(3697.0/B45*100)</f>
        <v/>
      </c>
      <c r="D45" s="19" t="n">
        <v>1822</v>
      </c>
      <c r="E45" s="18" t="n">
        <v>55.66397604</v>
      </c>
      <c r="F45" s="20" t="n">
        <v>1.09674198</v>
      </c>
      <c r="G45" s="18" t="n">
        <v>30.63548732</v>
      </c>
      <c r="H45" s="20" t="n">
        <v>1.13142055</v>
      </c>
      <c r="I45" s="18" t="n">
        <v>0</v>
      </c>
      <c r="J45" s="20" t="n">
        <v>0</v>
      </c>
      <c r="K45" s="18" t="n">
        <v>12.05984062</v>
      </c>
      <c r="L45" s="20" t="n">
        <v>0.93773792</v>
      </c>
      <c r="M45" s="18" t="n">
        <v>0.3959725</v>
      </c>
      <c r="N45" s="20" t="n">
        <v>0.14597171</v>
      </c>
      <c r="O45" s="18" t="n">
        <v>0</v>
      </c>
      <c r="P45" s="20" t="n">
        <v>0</v>
      </c>
      <c r="Q45" s="18" t="n">
        <v>1.24472351</v>
      </c>
      <c r="R45" s="20" t="n">
        <v>0.21295164</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55.35477346</v>
      </c>
      <c r="F54" s="20" t="n">
        <v>1.26298664</v>
      </c>
      <c r="G54" s="18" t="n">
        <v>37.95321808</v>
      </c>
      <c r="H54" s="20" t="n">
        <v>1.27589807</v>
      </c>
      <c r="I54" s="18" t="n">
        <v>0</v>
      </c>
      <c r="J54" s="20" t="n">
        <v>0</v>
      </c>
      <c r="K54" s="18" t="n">
        <v>5.61556969</v>
      </c>
      <c r="L54" s="20" t="n">
        <v>0.51978779</v>
      </c>
      <c r="M54" s="18" t="n">
        <v>0</v>
      </c>
      <c r="N54" s="20" t="n">
        <v>0</v>
      </c>
      <c r="O54" s="18" t="n">
        <v>0</v>
      </c>
      <c r="P54" s="20" t="n">
        <v>0</v>
      </c>
      <c r="Q54" s="18" t="n">
        <v>1.07643877</v>
      </c>
      <c r="R54" s="20" t="n">
        <v>0.1914215</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43.23288943</v>
      </c>
      <c r="F56" s="20" t="n">
        <v>1.47147589</v>
      </c>
      <c r="G56" s="18" t="n">
        <v>51.567202</v>
      </c>
      <c r="H56" s="20" t="n">
        <v>1.57404524</v>
      </c>
      <c r="I56" s="18" t="n">
        <v>0</v>
      </c>
      <c r="J56" s="20" t="n">
        <v>0</v>
      </c>
      <c r="K56" s="18" t="n">
        <v>4.47078314</v>
      </c>
      <c r="L56" s="20" t="n">
        <v>0.60515484</v>
      </c>
      <c r="M56" s="18" t="n">
        <v>0</v>
      </c>
      <c r="N56" s="20" t="n">
        <v>0</v>
      </c>
      <c r="O56" s="18" t="n">
        <v>0</v>
      </c>
      <c r="P56" s="20" t="n">
        <v>0</v>
      </c>
      <c r="Q56" s="18" t="n">
        <v>0.72912543</v>
      </c>
      <c r="R56" s="20" t="n">
        <v>0.2211956</v>
      </c>
    </row>
    <row r="57" spans="1:18">
      <c r="A57" s="15" t="s">
        <v>616</v>
      </c>
      <c r="B57" s="17" t="n">
        <v>7267</v>
      </c>
      <c r="C57" s="18">
        <f>(4831.0/B57*100)</f>
        <v/>
      </c>
      <c r="D57" s="19" t="n">
        <v>2436</v>
      </c>
      <c r="E57" s="18" t="n">
        <v>57.36725447</v>
      </c>
      <c r="F57" s="20" t="n">
        <v>1.22750791</v>
      </c>
      <c r="G57" s="18" t="n">
        <v>37.24093723</v>
      </c>
      <c r="H57" s="20" t="n">
        <v>1.26185836</v>
      </c>
      <c r="I57" s="18" t="n">
        <v>0</v>
      </c>
      <c r="J57" s="20" t="n">
        <v>0</v>
      </c>
      <c r="K57" s="18" t="n">
        <v>4.88180879</v>
      </c>
      <c r="L57" s="20" t="n">
        <v>0.51664363</v>
      </c>
      <c r="M57" s="18" t="n">
        <v>0</v>
      </c>
      <c r="N57" s="20" t="n">
        <v>0</v>
      </c>
      <c r="O57" s="18" t="n">
        <v>0.02346831</v>
      </c>
      <c r="P57" s="20" t="n">
        <v>0.02343046</v>
      </c>
      <c r="Q57" s="18" t="n">
        <v>0.4865312</v>
      </c>
      <c r="R57" s="20" t="n">
        <v>0.26031406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62.99859787</v>
      </c>
      <c r="F59" s="20" t="n">
        <v>1.48537101</v>
      </c>
      <c r="G59" s="18" t="n">
        <v>34.77301248</v>
      </c>
      <c r="H59" s="20" t="n">
        <v>1.47746233</v>
      </c>
      <c r="I59" s="18" t="n">
        <v>0</v>
      </c>
      <c r="J59" s="20" t="n">
        <v>0</v>
      </c>
      <c r="K59" s="18" t="n">
        <v>1.56309776</v>
      </c>
      <c r="L59" s="20" t="n">
        <v>0.24884802</v>
      </c>
      <c r="M59" s="18" t="n">
        <v>0</v>
      </c>
      <c r="N59" s="20" t="n">
        <v>0</v>
      </c>
      <c r="O59" s="18" t="n">
        <v>0.07972878999999999</v>
      </c>
      <c r="P59" s="20" t="n">
        <v>0.08034054</v>
      </c>
      <c r="Q59" s="18" t="n">
        <v>0.5855631100000001</v>
      </c>
      <c r="R59" s="20" t="n">
        <v>0.17329459</v>
      </c>
    </row>
    <row r="60" spans="1:18">
      <c r="A60" s="15" t="s">
        <v>620</v>
      </c>
      <c r="B60" s="17" t="n">
        <v>4546</v>
      </c>
      <c r="C60" s="18">
        <f>(3042.0/B60*100)</f>
        <v/>
      </c>
      <c r="D60" s="19" t="n">
        <v>1504</v>
      </c>
      <c r="E60" s="18" t="n">
        <v>51.52315142</v>
      </c>
      <c r="F60" s="20" t="n">
        <v>1.43306265</v>
      </c>
      <c r="G60" s="18" t="n">
        <v>36.60630149</v>
      </c>
      <c r="H60" s="20" t="n">
        <v>1.36548901</v>
      </c>
      <c r="I60" s="18" t="n">
        <v>0</v>
      </c>
      <c r="J60" s="20" t="n">
        <v>0</v>
      </c>
      <c r="K60" s="18" t="n">
        <v>9.91684965</v>
      </c>
      <c r="L60" s="20" t="n">
        <v>0.8102855</v>
      </c>
      <c r="M60" s="18" t="n">
        <v>0</v>
      </c>
      <c r="N60" s="20" t="n">
        <v>0</v>
      </c>
      <c r="O60" s="18" t="n">
        <v>0.13122856</v>
      </c>
      <c r="P60" s="20" t="n">
        <v>0.09641107</v>
      </c>
      <c r="Q60" s="18" t="n">
        <v>1.82246889</v>
      </c>
      <c r="R60" s="20" t="n">
        <v>0.31589603</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52.64077091</v>
      </c>
      <c r="F63" s="20" t="n">
        <v>1.41162584</v>
      </c>
      <c r="G63" s="18" t="n">
        <v>39.99921465</v>
      </c>
      <c r="H63" s="20" t="n">
        <v>1.34917264</v>
      </c>
      <c r="I63" s="18" t="n">
        <v>0</v>
      </c>
      <c r="J63" s="20" t="n">
        <v>0</v>
      </c>
      <c r="K63" s="18" t="n">
        <v>5.33325398</v>
      </c>
      <c r="L63" s="20" t="n">
        <v>0.57765628</v>
      </c>
      <c r="M63" s="18" t="n">
        <v>0</v>
      </c>
      <c r="N63" s="20" t="n">
        <v>0</v>
      </c>
      <c r="O63" s="18" t="n">
        <v>0</v>
      </c>
      <c r="P63" s="20" t="n">
        <v>0</v>
      </c>
      <c r="Q63" s="18" t="n">
        <v>2.02676046</v>
      </c>
      <c r="R63" s="20" t="n">
        <v>0.31672622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38.92057964</v>
      </c>
      <c r="F65" s="20" t="n">
        <v>1.1966059</v>
      </c>
      <c r="G65" s="18" t="n">
        <v>55.7468289</v>
      </c>
      <c r="H65" s="20" t="n">
        <v>1.3163971</v>
      </c>
      <c r="I65" s="18" t="n">
        <v>0</v>
      </c>
      <c r="J65" s="20" t="n">
        <v>0</v>
      </c>
      <c r="K65" s="18" t="n">
        <v>4.96552779</v>
      </c>
      <c r="L65" s="20" t="n">
        <v>0.63657286</v>
      </c>
      <c r="M65" s="18" t="n">
        <v>0</v>
      </c>
      <c r="N65" s="20" t="n">
        <v>0</v>
      </c>
      <c r="O65" s="18" t="n">
        <v>0.17715336</v>
      </c>
      <c r="P65" s="20" t="n">
        <v>0.12619431</v>
      </c>
      <c r="Q65" s="18" t="n">
        <v>0.18991032</v>
      </c>
      <c r="R65" s="20" t="n">
        <v>0.13705093</v>
      </c>
    </row>
    <row r="66" spans="1:18">
      <c r="A66" s="15" t="s">
        <v>626</v>
      </c>
      <c r="B66" s="17" t="n">
        <v>5325</v>
      </c>
      <c r="C66" s="18">
        <f>(3532.0/B66*100)</f>
        <v/>
      </c>
      <c r="D66" s="19" t="n">
        <v>1793</v>
      </c>
      <c r="E66" s="18" t="n">
        <v>38.56452147</v>
      </c>
      <c r="F66" s="20" t="n">
        <v>1.26545909</v>
      </c>
      <c r="G66" s="18" t="n">
        <v>48.97103592</v>
      </c>
      <c r="H66" s="20" t="n">
        <v>1.27642818</v>
      </c>
      <c r="I66" s="18" t="n">
        <v>0</v>
      </c>
      <c r="J66" s="20" t="n">
        <v>0</v>
      </c>
      <c r="K66" s="18" t="n">
        <v>11.72766196</v>
      </c>
      <c r="L66" s="20" t="n">
        <v>0.83348394</v>
      </c>
      <c r="M66" s="18" t="n">
        <v>0</v>
      </c>
      <c r="N66" s="20" t="n">
        <v>0</v>
      </c>
      <c r="O66" s="18" t="n">
        <v>0</v>
      </c>
      <c r="P66" s="20" t="n">
        <v>0</v>
      </c>
      <c r="Q66" s="18" t="n">
        <v>0.73678065</v>
      </c>
      <c r="R66" s="20" t="n">
        <v>0.21819503</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46.63266486</v>
      </c>
      <c r="F69" s="20" t="n">
        <v>2.07361765</v>
      </c>
      <c r="G69" s="18" t="n">
        <v>52.13265093</v>
      </c>
      <c r="H69" s="20" t="n">
        <v>2.08862895</v>
      </c>
      <c r="I69" s="18" t="n">
        <v>0</v>
      </c>
      <c r="J69" s="20" t="n">
        <v>0</v>
      </c>
      <c r="K69" s="18" t="n">
        <v>1.2346842</v>
      </c>
      <c r="L69" s="20" t="n">
        <v>0.46759626</v>
      </c>
      <c r="M69" s="18" t="n">
        <v>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56.30849529</v>
      </c>
      <c r="F71" s="20" t="n">
        <v>1.23232999</v>
      </c>
      <c r="G71" s="18" t="n">
        <v>43.6306566</v>
      </c>
      <c r="H71" s="20" t="n">
        <v>1.23793038</v>
      </c>
      <c r="I71" s="18" t="n">
        <v>0</v>
      </c>
      <c r="J71" s="20" t="n">
        <v>0</v>
      </c>
      <c r="K71" s="18" t="n">
        <v>0.06084811</v>
      </c>
      <c r="L71" s="20" t="n">
        <v>0.06063321</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37.58680841</v>
      </c>
      <c r="F76" s="20" t="n">
        <v>1.30998784</v>
      </c>
      <c r="G76" s="18" t="n">
        <v>50.73178056</v>
      </c>
      <c r="H76" s="20" t="n">
        <v>1.25907402</v>
      </c>
      <c r="I76" s="18" t="n">
        <v>0</v>
      </c>
      <c r="J76" s="20" t="n">
        <v>0</v>
      </c>
      <c r="K76" s="18" t="n">
        <v>11.3487861</v>
      </c>
      <c r="L76" s="20" t="n">
        <v>0.9379223</v>
      </c>
      <c r="M76" s="18" t="n">
        <v>0</v>
      </c>
      <c r="N76" s="20" t="n">
        <v>0</v>
      </c>
      <c r="O76" s="18" t="n">
        <v>0</v>
      </c>
      <c r="P76" s="20" t="n">
        <v>0</v>
      </c>
      <c r="Q76" s="18" t="n">
        <v>0.33262493</v>
      </c>
      <c r="R76" s="20" t="n">
        <v>0.12398606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17.31316164</v>
      </c>
      <c r="F80" s="20" t="n">
        <v>1.024766</v>
      </c>
      <c r="G80" s="18" t="n">
        <v>82.63289789</v>
      </c>
      <c r="H80" s="20" t="n">
        <v>1.02007462</v>
      </c>
      <c r="I80" s="18" t="n">
        <v>0</v>
      </c>
      <c r="J80" s="20" t="n">
        <v>0</v>
      </c>
      <c r="K80" s="18" t="n">
        <v>0.05394047</v>
      </c>
      <c r="L80" s="20" t="n">
        <v>0.05391937</v>
      </c>
      <c r="M80" s="18" t="n">
        <v>0</v>
      </c>
      <c r="N80" s="20" t="n">
        <v>0</v>
      </c>
      <c r="O80" s="18" t="n">
        <v>0</v>
      </c>
      <c r="P80" s="20" t="n">
        <v>0</v>
      </c>
      <c r="Q80" s="18" t="n">
        <v>0</v>
      </c>
      <c r="R80" s="20" t="n">
        <v>0</v>
      </c>
    </row>
    <row r="81" spans="1:18">
      <c r="A81" s="15" t="s">
        <v>641</v>
      </c>
      <c r="B81" s="17" t="n">
        <v>1657</v>
      </c>
      <c r="C81" s="18">
        <f>(1100.0/B81*100)</f>
        <v/>
      </c>
      <c r="D81" s="19" t="n">
        <v>557</v>
      </c>
      <c r="E81" s="18" t="n">
        <v>23.02788591</v>
      </c>
      <c r="F81" s="20" t="n">
        <v>1.15526502</v>
      </c>
      <c r="G81" s="18" t="n">
        <v>70.24846422</v>
      </c>
      <c r="H81" s="20" t="n">
        <v>1.2547625</v>
      </c>
      <c r="I81" s="18" t="n">
        <v>0</v>
      </c>
      <c r="J81" s="20" t="n">
        <v>0</v>
      </c>
      <c r="K81" s="18" t="n">
        <v>5.81590092</v>
      </c>
      <c r="L81" s="20" t="n">
        <v>0.79482494</v>
      </c>
      <c r="M81" s="18" t="n">
        <v>0</v>
      </c>
      <c r="N81" s="20" t="n">
        <v>0</v>
      </c>
      <c r="O81" s="18" t="n">
        <v>0</v>
      </c>
      <c r="P81" s="20" t="n">
        <v>0</v>
      </c>
      <c r="Q81" s="18" t="n">
        <v>0.90774895</v>
      </c>
      <c r="R81" s="20" t="n">
        <v>0.47022718</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869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(3448.0/B44*100)</f>
        <v/>
      </c>
      <c r="D44" s="19" t="n">
        <v>1767</v>
      </c>
      <c r="E44" s="18" t="n">
        <v>59.95558999</v>
      </c>
      <c r="F44" s="20" t="n">
        <v>1.57626263</v>
      </c>
      <c r="G44" s="18" t="n">
        <v>30.9706381</v>
      </c>
      <c r="H44" s="20" t="n">
        <v>1.29619955</v>
      </c>
      <c r="I44" s="18" t="n">
        <v>0</v>
      </c>
      <c r="J44" s="20" t="n">
        <v>0</v>
      </c>
      <c r="K44" s="18" t="n">
        <v>8.498243179999999</v>
      </c>
      <c r="L44" s="20" t="n">
        <v>0.90766206</v>
      </c>
      <c r="M44" s="18" t="n">
        <v>0</v>
      </c>
      <c r="N44" s="20" t="n">
        <v>0</v>
      </c>
      <c r="O44" s="18" t="n">
        <v>0.57552873</v>
      </c>
      <c r="P44" s="20" t="n">
        <v>0.15368949</v>
      </c>
      <c r="Q44" s="18" t="n">
        <v>0</v>
      </c>
      <c r="R44" s="20" t="n">
        <v>0</v>
      </c>
    </row>
    <row r="45" spans="1:18">
      <c r="A45" s="15" t="s">
        <v>604</v>
      </c>
      <c r="B45" s="17" t="n">
        <v>5519</v>
      </c>
      <c r="C45" s="18">
        <f>(3697.0/B45*100)</f>
        <v/>
      </c>
      <c r="D45" s="19" t="n">
        <v>1822</v>
      </c>
      <c r="E45" s="18" t="n">
        <v>59.89788972</v>
      </c>
      <c r="F45" s="20" t="n">
        <v>1.34930791</v>
      </c>
      <c r="G45" s="18" t="n">
        <v>19.91949286</v>
      </c>
      <c r="H45" s="20" t="n">
        <v>0.98879769</v>
      </c>
      <c r="I45" s="18" t="n">
        <v>0</v>
      </c>
      <c r="J45" s="20" t="n">
        <v>0</v>
      </c>
      <c r="K45" s="18" t="n">
        <v>14.83711388</v>
      </c>
      <c r="L45" s="20" t="n">
        <v>0.95909922</v>
      </c>
      <c r="M45" s="18" t="n">
        <v>0.72693315</v>
      </c>
      <c r="N45" s="20" t="n">
        <v>0.21185701</v>
      </c>
      <c r="O45" s="18" t="n">
        <v>4.61857038</v>
      </c>
      <c r="P45" s="20" t="n">
        <v>0.57694188</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(3562.0/B54*100)</f>
        <v/>
      </c>
      <c r="D54" s="19" t="n">
        <v>1754</v>
      </c>
      <c r="E54" s="18" t="n">
        <v>52.6246069</v>
      </c>
      <c r="F54" s="20" t="n">
        <v>1.10501543</v>
      </c>
      <c r="G54" s="18" t="n">
        <v>39.08497956</v>
      </c>
      <c r="H54" s="20" t="n">
        <v>1.09240675</v>
      </c>
      <c r="I54" s="18" t="n">
        <v>0</v>
      </c>
      <c r="J54" s="20" t="n">
        <v>0</v>
      </c>
      <c r="K54" s="18" t="n">
        <v>7.58567113</v>
      </c>
      <c r="L54" s="20" t="n">
        <v>0.62598167</v>
      </c>
      <c r="M54" s="18" t="n">
        <v>0</v>
      </c>
      <c r="N54" s="20" t="n">
        <v>0</v>
      </c>
      <c r="O54" s="18" t="n">
        <v>0.70474241</v>
      </c>
      <c r="P54" s="20" t="n">
        <v>0.18106073</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(4319.0/B56*100)</f>
        <v/>
      </c>
      <c r="D56" s="19" t="n">
        <v>2194</v>
      </c>
      <c r="E56" s="18" t="n">
        <v>68.22481415</v>
      </c>
      <c r="F56" s="20" t="n">
        <v>1.29620882</v>
      </c>
      <c r="G56" s="18" t="n">
        <v>26.10768939</v>
      </c>
      <c r="H56" s="20" t="n">
        <v>1.15495379</v>
      </c>
      <c r="I56" s="18" t="n">
        <v>0</v>
      </c>
      <c r="J56" s="20" t="n">
        <v>0</v>
      </c>
      <c r="K56" s="18" t="n">
        <v>5.66749647</v>
      </c>
      <c r="L56" s="20" t="n">
        <v>0.67019618</v>
      </c>
      <c r="M56" s="18" t="n">
        <v>0</v>
      </c>
      <c r="N56" s="20" t="n">
        <v>0</v>
      </c>
      <c r="O56" s="18" t="n">
        <v>0</v>
      </c>
      <c r="P56" s="20" t="n">
        <v>0</v>
      </c>
      <c r="Q56" s="18" t="n">
        <v>0</v>
      </c>
      <c r="R56" s="20" t="n">
        <v>0</v>
      </c>
    </row>
    <row r="57" spans="1:18">
      <c r="A57" s="15" t="s">
        <v>616</v>
      </c>
      <c r="B57" s="17" t="n">
        <v>7267</v>
      </c>
      <c r="C57" s="18">
        <f>(4831.0/B57*100)</f>
        <v/>
      </c>
      <c r="D57" s="19" t="n">
        <v>2436</v>
      </c>
      <c r="E57" s="18" t="n">
        <v>59.62306092</v>
      </c>
      <c r="F57" s="20" t="n">
        <v>1.37614522</v>
      </c>
      <c r="G57" s="18" t="n">
        <v>32.10472079</v>
      </c>
      <c r="H57" s="20" t="n">
        <v>1.47130831</v>
      </c>
      <c r="I57" s="18" t="n">
        <v>0</v>
      </c>
      <c r="J57" s="20" t="n">
        <v>0</v>
      </c>
      <c r="K57" s="18" t="n">
        <v>7.62534736</v>
      </c>
      <c r="L57" s="20" t="n">
        <v>0.69084127</v>
      </c>
      <c r="M57" s="18" t="n">
        <v>0</v>
      </c>
      <c r="N57" s="20" t="n">
        <v>0</v>
      </c>
      <c r="O57" s="18" t="n">
        <v>0.64687093</v>
      </c>
      <c r="P57" s="20" t="n">
        <v>0.18087355</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(3215.0/B59*100)</f>
        <v/>
      </c>
      <c r="D59" s="19" t="n">
        <v>1611</v>
      </c>
      <c r="E59" s="18" t="n">
        <v>64.20297303</v>
      </c>
      <c r="F59" s="20" t="n">
        <v>1.36304273</v>
      </c>
      <c r="G59" s="18" t="n">
        <v>30.43178155</v>
      </c>
      <c r="H59" s="20" t="n">
        <v>1.25163822</v>
      </c>
      <c r="I59" s="18" t="n">
        <v>0</v>
      </c>
      <c r="J59" s="20" t="n">
        <v>0</v>
      </c>
      <c r="K59" s="18" t="n">
        <v>3.32316136</v>
      </c>
      <c r="L59" s="20" t="n">
        <v>0.42126499</v>
      </c>
      <c r="M59" s="18" t="n">
        <v>0</v>
      </c>
      <c r="N59" s="20" t="n">
        <v>0</v>
      </c>
      <c r="O59" s="18" t="n">
        <v>2.04208406</v>
      </c>
      <c r="P59" s="20" t="n">
        <v>0.50810604</v>
      </c>
      <c r="Q59" s="18" t="n">
        <v>0</v>
      </c>
      <c r="R59" s="20" t="n">
        <v>0</v>
      </c>
    </row>
    <row r="60" spans="1:18">
      <c r="A60" s="15" t="s">
        <v>620</v>
      </c>
      <c r="B60" s="17" t="n">
        <v>4546</v>
      </c>
      <c r="C60" s="18">
        <f>(3042.0/B60*100)</f>
        <v/>
      </c>
      <c r="D60" s="19" t="n">
        <v>1504</v>
      </c>
      <c r="E60" s="18" t="n">
        <v>55.47397787</v>
      </c>
      <c r="F60" s="20" t="n">
        <v>1.44362341</v>
      </c>
      <c r="G60" s="18" t="n">
        <v>27.69484289</v>
      </c>
      <c r="H60" s="20" t="n">
        <v>1.31235081</v>
      </c>
      <c r="I60" s="18" t="n">
        <v>0</v>
      </c>
      <c r="J60" s="20" t="n">
        <v>0</v>
      </c>
      <c r="K60" s="18" t="n">
        <v>14.566385</v>
      </c>
      <c r="L60" s="20" t="n">
        <v>1.18142223</v>
      </c>
      <c r="M60" s="18" t="n">
        <v>0</v>
      </c>
      <c r="N60" s="20" t="n">
        <v>0</v>
      </c>
      <c r="O60" s="18" t="n">
        <v>2.26479425</v>
      </c>
      <c r="P60" s="20" t="n">
        <v>0.44012095</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54.06855982</v>
      </c>
      <c r="F63" s="20" t="n">
        <v>1.22816712</v>
      </c>
      <c r="G63" s="18" t="n">
        <v>34.95737165</v>
      </c>
      <c r="H63" s="20" t="n">
        <v>1.26220069</v>
      </c>
      <c r="I63" s="18" t="n">
        <v>0</v>
      </c>
      <c r="J63" s="20" t="n">
        <v>0</v>
      </c>
      <c r="K63" s="18" t="n">
        <v>10.068195</v>
      </c>
      <c r="L63" s="20" t="n">
        <v>0.79795323</v>
      </c>
      <c r="M63" s="18" t="n">
        <v>0</v>
      </c>
      <c r="N63" s="20" t="n">
        <v>0</v>
      </c>
      <c r="O63" s="18" t="n">
        <v>0.90587353</v>
      </c>
      <c r="P63" s="20" t="n">
        <v>0.25359568</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(2415.0/B65*100)</f>
        <v/>
      </c>
      <c r="D65" s="19" t="n">
        <v>1219</v>
      </c>
      <c r="E65" s="18" t="n">
        <v>51.31788511</v>
      </c>
      <c r="F65" s="20" t="n">
        <v>1.55011977</v>
      </c>
      <c r="G65" s="18" t="n">
        <v>40.7823211</v>
      </c>
      <c r="H65" s="20" t="n">
        <v>1.44378146</v>
      </c>
      <c r="I65" s="18" t="n">
        <v>0</v>
      </c>
      <c r="J65" s="20" t="n">
        <v>0</v>
      </c>
      <c r="K65" s="18" t="n">
        <v>6.44520037</v>
      </c>
      <c r="L65" s="20" t="n">
        <v>0.71853902</v>
      </c>
      <c r="M65" s="18" t="n">
        <v>0</v>
      </c>
      <c r="N65" s="20" t="n">
        <v>0</v>
      </c>
      <c r="O65" s="18" t="n">
        <v>1.45459342</v>
      </c>
      <c r="P65" s="20" t="n">
        <v>0.30238558</v>
      </c>
      <c r="Q65" s="18" t="n">
        <v>0</v>
      </c>
      <c r="R65" s="20" t="n">
        <v>0</v>
      </c>
    </row>
    <row r="66" spans="1:18">
      <c r="A66" s="15" t="s">
        <v>626</v>
      </c>
      <c r="B66" s="17" t="n">
        <v>5325</v>
      </c>
      <c r="C66" s="18">
        <f>(3532.0/B66*100)</f>
        <v/>
      </c>
      <c r="D66" s="19" t="n">
        <v>1793</v>
      </c>
      <c r="E66" s="18" t="n">
        <v>45.34335161</v>
      </c>
      <c r="F66" s="20" t="n">
        <v>1.33957233</v>
      </c>
      <c r="G66" s="18" t="n">
        <v>37.27870206</v>
      </c>
      <c r="H66" s="20" t="n">
        <v>1.35663387</v>
      </c>
      <c r="I66" s="18" t="n">
        <v>0</v>
      </c>
      <c r="J66" s="20" t="n">
        <v>0</v>
      </c>
      <c r="K66" s="18" t="n">
        <v>15.07023394</v>
      </c>
      <c r="L66" s="20" t="n">
        <v>0.94952001</v>
      </c>
      <c r="M66" s="18" t="n">
        <v>2.0585447</v>
      </c>
      <c r="N66" s="20" t="n">
        <v>0.33393474</v>
      </c>
      <c r="O66" s="18" t="n">
        <v>0.24916769</v>
      </c>
      <c r="P66" s="20" t="n">
        <v>0.12991656</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(932.0/B69*100)</f>
        <v/>
      </c>
      <c r="D69" s="19" t="n">
        <v>466</v>
      </c>
      <c r="E69" s="18" t="n">
        <v>61.89944287</v>
      </c>
      <c r="F69" s="20" t="n">
        <v>2.12707003</v>
      </c>
      <c r="G69" s="18" t="n">
        <v>35.72761864</v>
      </c>
      <c r="H69" s="20" t="n">
        <v>2.15825796</v>
      </c>
      <c r="I69" s="18" t="n">
        <v>0</v>
      </c>
      <c r="J69" s="20" t="n">
        <v>0</v>
      </c>
      <c r="K69" s="18" t="n">
        <v>1.80638566</v>
      </c>
      <c r="L69" s="20" t="n">
        <v>0.4759556</v>
      </c>
      <c r="M69" s="18" t="n">
        <v>0</v>
      </c>
      <c r="N69" s="20" t="n">
        <v>0</v>
      </c>
      <c r="O69" s="18" t="n">
        <v>0.56655283</v>
      </c>
      <c r="P69" s="20" t="n">
        <v>0.32954796</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(3274.0/B71*100)</f>
        <v/>
      </c>
      <c r="D71" s="19" t="n">
        <v>1602</v>
      </c>
      <c r="E71" s="18" t="n">
        <v>57.08946078</v>
      </c>
      <c r="F71" s="20" t="n">
        <v>1.63053462</v>
      </c>
      <c r="G71" s="18" t="n">
        <v>42.73676948</v>
      </c>
      <c r="H71" s="20" t="n">
        <v>1.63844123</v>
      </c>
      <c r="I71" s="18" t="n">
        <v>0</v>
      </c>
      <c r="J71" s="20" t="n">
        <v>0</v>
      </c>
      <c r="K71" s="18" t="n">
        <v>0.17376975</v>
      </c>
      <c r="L71" s="20" t="n">
        <v>0.10025606</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(3109.0/B76*100)</f>
        <v/>
      </c>
      <c r="D76" s="19" t="n">
        <v>1583</v>
      </c>
      <c r="E76" s="18" t="n">
        <v>55.30761661</v>
      </c>
      <c r="F76" s="20" t="n">
        <v>1.30246955</v>
      </c>
      <c r="G76" s="18" t="n">
        <v>31.76625152</v>
      </c>
      <c r="H76" s="20" t="n">
        <v>1.20111607</v>
      </c>
      <c r="I76" s="18" t="n">
        <v>0</v>
      </c>
      <c r="J76" s="20" t="n">
        <v>0</v>
      </c>
      <c r="K76" s="18" t="n">
        <v>12.92613186</v>
      </c>
      <c r="L76" s="20" t="n">
        <v>1.00723313</v>
      </c>
      <c r="M76" s="18" t="n">
        <v>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(3908.0/B80*100)</f>
        <v/>
      </c>
      <c r="D80" s="19" t="n">
        <v>1918</v>
      </c>
      <c r="E80" s="18" t="n">
        <v>40.13891091</v>
      </c>
      <c r="F80" s="20" t="n">
        <v>1.42188134</v>
      </c>
      <c r="G80" s="18" t="n">
        <v>59.7918636</v>
      </c>
      <c r="H80" s="20" t="n">
        <v>1.41519677</v>
      </c>
      <c r="I80" s="18" t="n">
        <v>0</v>
      </c>
      <c r="J80" s="20" t="n">
        <v>0</v>
      </c>
      <c r="K80" s="18" t="n">
        <v>0.06922549</v>
      </c>
      <c r="L80" s="20" t="n">
        <v>0.05598564</v>
      </c>
      <c r="M80" s="18" t="n">
        <v>0</v>
      </c>
      <c r="N80" s="20" t="n">
        <v>0</v>
      </c>
      <c r="O80" s="18" t="n">
        <v>0</v>
      </c>
      <c r="P80" s="20" t="n">
        <v>0</v>
      </c>
      <c r="Q80" s="18" t="n">
        <v>0</v>
      </c>
      <c r="R80" s="20" t="n">
        <v>0</v>
      </c>
    </row>
    <row r="81" spans="1:18">
      <c r="A81" s="15" t="s">
        <v>641</v>
      </c>
      <c r="B81" s="17" t="n">
        <v>1657</v>
      </c>
      <c r="C81" s="18">
        <f>(1100.0/B81*100)</f>
        <v/>
      </c>
      <c r="D81" s="19" t="n">
        <v>557</v>
      </c>
      <c r="E81" s="18" t="n">
        <v>48.91473379</v>
      </c>
      <c r="F81" s="20" t="n">
        <v>2.62248077</v>
      </c>
      <c r="G81" s="18" t="n">
        <v>43.04478746</v>
      </c>
      <c r="H81" s="20" t="n">
        <v>2.85087565</v>
      </c>
      <c r="I81" s="18" t="n">
        <v>0</v>
      </c>
      <c r="J81" s="20" t="n">
        <v>0</v>
      </c>
      <c r="K81" s="18" t="n">
        <v>7.18165398</v>
      </c>
      <c r="L81" s="20" t="n">
        <v>0.86186241</v>
      </c>
      <c r="M81" s="18" t="n">
        <v>0</v>
      </c>
      <c r="N81" s="20" t="n">
        <v>0</v>
      </c>
      <c r="O81" s="18" t="n">
        <v>0.85882477</v>
      </c>
      <c r="P81" s="20" t="n">
        <v>0.40708</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24.92523021</v>
      </c>
      <c r="F44" s="20" t="n">
        <v>1.32816315</v>
      </c>
      <c r="G44" s="18" t="n">
        <v>46.13088891</v>
      </c>
      <c r="H44" s="20" t="n">
        <v>1.59844751</v>
      </c>
      <c r="I44" s="18" t="n">
        <v>0</v>
      </c>
      <c r="J44" s="20" t="n">
        <v>0</v>
      </c>
      <c r="K44" s="18" t="n">
        <v>0.99414894</v>
      </c>
      <c r="L44" s="20" t="n">
        <v>0.27984015</v>
      </c>
      <c r="M44" s="18" t="n">
        <v>0</v>
      </c>
      <c r="N44" s="20" t="n">
        <v>0</v>
      </c>
      <c r="O44" s="18" t="n">
        <v>0</v>
      </c>
      <c r="P44" s="20" t="n">
        <v>0</v>
      </c>
      <c r="Q44" s="18" t="n">
        <v>27.94973193</v>
      </c>
      <c r="R44" s="20" t="n">
        <v>1.60575536</v>
      </c>
    </row>
    <row r="45" spans="1:18">
      <c r="A45" s="15" t="s">
        <v>604</v>
      </c>
      <c r="B45" s="17" t="n">
        <v>5519</v>
      </c>
      <c r="C45" s="18">
        <f>(3668.0/B45*100)</f>
        <v/>
      </c>
      <c r="D45" s="19" t="n">
        <v>1851</v>
      </c>
      <c r="E45" s="18" t="n">
        <v>41.70484902</v>
      </c>
      <c r="F45" s="20" t="n">
        <v>1.17376737</v>
      </c>
      <c r="G45" s="18" t="n">
        <v>34.53309696</v>
      </c>
      <c r="H45" s="20" t="n">
        <v>1.23844017</v>
      </c>
      <c r="I45" s="18" t="n">
        <v>0</v>
      </c>
      <c r="J45" s="20" t="n">
        <v>0</v>
      </c>
      <c r="K45" s="18" t="n">
        <v>3.51204798</v>
      </c>
      <c r="L45" s="20" t="n">
        <v>0.49939619</v>
      </c>
      <c r="M45" s="18" t="n">
        <v>1.00099369</v>
      </c>
      <c r="N45" s="20" t="n">
        <v>0.26599944</v>
      </c>
      <c r="O45" s="18" t="n">
        <v>0.08097282</v>
      </c>
      <c r="P45" s="20" t="n">
        <v>0.08273762</v>
      </c>
      <c r="Q45" s="18" t="n">
        <v>19.16803952</v>
      </c>
      <c r="R45" s="20" t="n">
        <v>1.06480801</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23.3910119</v>
      </c>
      <c r="F54" s="20" t="n">
        <v>0.90820247</v>
      </c>
      <c r="G54" s="18" t="n">
        <v>38.15042299</v>
      </c>
      <c r="H54" s="20" t="n">
        <v>1.21970377</v>
      </c>
      <c r="I54" s="18" t="n">
        <v>0</v>
      </c>
      <c r="J54" s="20" t="n">
        <v>0</v>
      </c>
      <c r="K54" s="18" t="n">
        <v>0.55610193</v>
      </c>
      <c r="L54" s="20" t="n">
        <v>0.19393249</v>
      </c>
      <c r="M54" s="18" t="n">
        <v>0</v>
      </c>
      <c r="N54" s="20" t="n">
        <v>0</v>
      </c>
      <c r="O54" s="18" t="n">
        <v>0</v>
      </c>
      <c r="P54" s="20" t="n">
        <v>0</v>
      </c>
      <c r="Q54" s="18" t="n">
        <v>37.90246318</v>
      </c>
      <c r="R54" s="20" t="n">
        <v>1.18930165</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46.9539404</v>
      </c>
      <c r="F56" s="20" t="n">
        <v>1.01070182</v>
      </c>
      <c r="G56" s="18" t="n">
        <v>46.05950187</v>
      </c>
      <c r="H56" s="20" t="n">
        <v>1.10253042</v>
      </c>
      <c r="I56" s="18" t="n">
        <v>0</v>
      </c>
      <c r="J56" s="20" t="n">
        <v>0</v>
      </c>
      <c r="K56" s="18" t="n">
        <v>0.89945932</v>
      </c>
      <c r="L56" s="20" t="n">
        <v>0.28645754</v>
      </c>
      <c r="M56" s="18" t="n">
        <v>0.04517765</v>
      </c>
      <c r="N56" s="20" t="n">
        <v>0.04508634</v>
      </c>
      <c r="O56" s="18" t="n">
        <v>0</v>
      </c>
      <c r="P56" s="20" t="n">
        <v>0</v>
      </c>
      <c r="Q56" s="18" t="n">
        <v>6.04192075</v>
      </c>
      <c r="R56" s="20" t="n">
        <v>0.7167746699999999</v>
      </c>
    </row>
    <row r="57" spans="1:18">
      <c r="A57" s="15" t="s">
        <v>616</v>
      </c>
      <c r="B57" s="17" t="n">
        <v>7267</v>
      </c>
      <c r="C57" s="18">
        <f>(4834.0/B57*100)</f>
        <v/>
      </c>
      <c r="D57" s="19" t="n">
        <v>2433</v>
      </c>
      <c r="E57" s="18" t="n">
        <v>48.69715485</v>
      </c>
      <c r="F57" s="20" t="n">
        <v>1.13319601</v>
      </c>
      <c r="G57" s="18" t="n">
        <v>36.64400111</v>
      </c>
      <c r="H57" s="20" t="n">
        <v>1.15363782</v>
      </c>
      <c r="I57" s="18" t="n">
        <v>0</v>
      </c>
      <c r="J57" s="20" t="n">
        <v>0</v>
      </c>
      <c r="K57" s="18" t="n">
        <v>1.19110781</v>
      </c>
      <c r="L57" s="20" t="n">
        <v>0.27253046</v>
      </c>
      <c r="M57" s="18" t="n">
        <v>0</v>
      </c>
      <c r="N57" s="20" t="n">
        <v>0</v>
      </c>
      <c r="O57" s="18" t="n">
        <v>0</v>
      </c>
      <c r="P57" s="20" t="n">
        <v>0</v>
      </c>
      <c r="Q57" s="18" t="n">
        <v>13.46773623</v>
      </c>
      <c r="R57" s="20" t="n">
        <v>0.94304562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56.52723267</v>
      </c>
      <c r="F59" s="20" t="n">
        <v>1.47066225</v>
      </c>
      <c r="G59" s="18" t="n">
        <v>21.97471014</v>
      </c>
      <c r="H59" s="20" t="n">
        <v>1.38736538</v>
      </c>
      <c r="I59" s="18" t="n">
        <v>0</v>
      </c>
      <c r="J59" s="20" t="n">
        <v>0</v>
      </c>
      <c r="K59" s="18" t="n">
        <v>0.41258959</v>
      </c>
      <c r="L59" s="20" t="n">
        <v>0.15264743</v>
      </c>
      <c r="M59" s="18" t="n">
        <v>0.18901363</v>
      </c>
      <c r="N59" s="20" t="n">
        <v>0.10306186</v>
      </c>
      <c r="O59" s="18" t="n">
        <v>0</v>
      </c>
      <c r="P59" s="20" t="n">
        <v>0</v>
      </c>
      <c r="Q59" s="18" t="n">
        <v>20.89645397</v>
      </c>
      <c r="R59" s="20" t="n">
        <v>1.09203639</v>
      </c>
    </row>
    <row r="60" spans="1:18">
      <c r="A60" s="15" t="s">
        <v>620</v>
      </c>
      <c r="B60" s="17" t="n">
        <v>4546</v>
      </c>
      <c r="C60" s="18">
        <f>(3041.0/B60*100)</f>
        <v/>
      </c>
      <c r="D60" s="19" t="n">
        <v>1505</v>
      </c>
      <c r="E60" s="18" t="n">
        <v>49.82758675</v>
      </c>
      <c r="F60" s="20" t="n">
        <v>1.70789659</v>
      </c>
      <c r="G60" s="18" t="n">
        <v>22.21397176</v>
      </c>
      <c r="H60" s="20" t="n">
        <v>1.4029245</v>
      </c>
      <c r="I60" s="18" t="n">
        <v>0</v>
      </c>
      <c r="J60" s="20" t="n">
        <v>0</v>
      </c>
      <c r="K60" s="18" t="n">
        <v>2.8234549</v>
      </c>
      <c r="L60" s="20" t="n">
        <v>0.48518024</v>
      </c>
      <c r="M60" s="18" t="n">
        <v>0</v>
      </c>
      <c r="N60" s="20" t="n">
        <v>0</v>
      </c>
      <c r="O60" s="18" t="n">
        <v>0.16022489</v>
      </c>
      <c r="P60" s="20" t="n">
        <v>0.16608052</v>
      </c>
      <c r="Q60" s="18" t="n">
        <v>24.9747617</v>
      </c>
      <c r="R60" s="20" t="n">
        <v>1.53109642</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25.84023518</v>
      </c>
      <c r="F63" s="20" t="n">
        <v>1.212132</v>
      </c>
      <c r="G63" s="18" t="n">
        <v>24.1332104</v>
      </c>
      <c r="H63" s="20" t="n">
        <v>1.19541508</v>
      </c>
      <c r="I63" s="18" t="n">
        <v>0</v>
      </c>
      <c r="J63" s="20" t="n">
        <v>0</v>
      </c>
      <c r="K63" s="18" t="n">
        <v>1.72619513</v>
      </c>
      <c r="L63" s="20" t="n">
        <v>0.32479435</v>
      </c>
      <c r="M63" s="18" t="n">
        <v>0</v>
      </c>
      <c r="N63" s="20" t="n">
        <v>0</v>
      </c>
      <c r="O63" s="18" t="n">
        <v>0</v>
      </c>
      <c r="P63" s="20" t="n">
        <v>0</v>
      </c>
      <c r="Q63" s="18" t="n">
        <v>48.30035929</v>
      </c>
      <c r="R63" s="20" t="n">
        <v>1.22015394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23.02019463</v>
      </c>
      <c r="F65" s="20" t="n">
        <v>1.144033</v>
      </c>
      <c r="G65" s="18" t="n">
        <v>55.24143702</v>
      </c>
      <c r="H65" s="20" t="n">
        <v>1.46799986</v>
      </c>
      <c r="I65" s="18" t="n">
        <v>0</v>
      </c>
      <c r="J65" s="20" t="n">
        <v>0</v>
      </c>
      <c r="K65" s="18" t="n">
        <v>1.50308706</v>
      </c>
      <c r="L65" s="20" t="n">
        <v>0.36361628</v>
      </c>
      <c r="M65" s="18" t="n">
        <v>0</v>
      </c>
      <c r="N65" s="20" t="n">
        <v>0</v>
      </c>
      <c r="O65" s="18" t="n">
        <v>0.08760805000000001</v>
      </c>
      <c r="P65" s="20" t="n">
        <v>0.08658181</v>
      </c>
      <c r="Q65" s="18" t="n">
        <v>20.14767325</v>
      </c>
      <c r="R65" s="20" t="n">
        <v>1.10700311</v>
      </c>
    </row>
    <row r="66" spans="1:18">
      <c r="A66" s="15" t="s">
        <v>626</v>
      </c>
      <c r="B66" s="17" t="n">
        <v>5325</v>
      </c>
      <c r="C66" s="18">
        <f>(3550.0/B66*100)</f>
        <v/>
      </c>
      <c r="D66" s="19" t="n">
        <v>1775</v>
      </c>
      <c r="E66" s="18" t="n">
        <v>14.71672562</v>
      </c>
      <c r="F66" s="20" t="n">
        <v>1.00660524</v>
      </c>
      <c r="G66" s="18" t="n">
        <v>52.77497331</v>
      </c>
      <c r="H66" s="20" t="n">
        <v>1.3552049</v>
      </c>
      <c r="I66" s="18" t="n">
        <v>0</v>
      </c>
      <c r="J66" s="20" t="n">
        <v>0</v>
      </c>
      <c r="K66" s="18" t="n">
        <v>2.87277918</v>
      </c>
      <c r="L66" s="20" t="n">
        <v>0.46803519</v>
      </c>
      <c r="M66" s="18" t="n">
        <v>0</v>
      </c>
      <c r="N66" s="20" t="n">
        <v>0</v>
      </c>
      <c r="O66" s="18" t="n">
        <v>0</v>
      </c>
      <c r="P66" s="20" t="n">
        <v>0</v>
      </c>
      <c r="Q66" s="18" t="n">
        <v>29.63552189</v>
      </c>
      <c r="R66" s="20" t="n">
        <v>1.18874786</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47.34099415</v>
      </c>
      <c r="F69" s="20" t="n">
        <v>3.97608959</v>
      </c>
      <c r="G69" s="18" t="n">
        <v>37.82112023</v>
      </c>
      <c r="H69" s="20" t="n">
        <v>3.16218791</v>
      </c>
      <c r="I69" s="18" t="n">
        <v>0</v>
      </c>
      <c r="J69" s="20" t="n">
        <v>0</v>
      </c>
      <c r="K69" s="18" t="n">
        <v>0.2286356</v>
      </c>
      <c r="L69" s="20" t="n">
        <v>0.22707946</v>
      </c>
      <c r="M69" s="18" t="n">
        <v>0</v>
      </c>
      <c r="N69" s="20" t="n">
        <v>0</v>
      </c>
      <c r="O69" s="18" t="n">
        <v>0</v>
      </c>
      <c r="P69" s="20" t="n">
        <v>0</v>
      </c>
      <c r="Q69" s="18" t="n">
        <v>14.60925002</v>
      </c>
      <c r="R69" s="20" t="n">
        <v>1.79591824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41.45712427</v>
      </c>
      <c r="F71" s="20" t="n">
        <v>1.53573539</v>
      </c>
      <c r="G71" s="18" t="n">
        <v>58.36970845</v>
      </c>
      <c r="H71" s="20" t="n">
        <v>1.53438344</v>
      </c>
      <c r="I71" s="18" t="n">
        <v>0</v>
      </c>
      <c r="J71" s="20" t="n">
        <v>0</v>
      </c>
      <c r="K71" s="18" t="n">
        <v>0</v>
      </c>
      <c r="L71" s="20" t="n">
        <v>0</v>
      </c>
      <c r="M71" s="18" t="n">
        <v>0</v>
      </c>
      <c r="N71" s="20" t="n">
        <v>0</v>
      </c>
      <c r="O71" s="18" t="n">
        <v>0</v>
      </c>
      <c r="P71" s="20" t="n">
        <v>0</v>
      </c>
      <c r="Q71" s="18" t="n">
        <v>0.17316728</v>
      </c>
      <c r="R71" s="20" t="n">
        <v>0.09912606</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25.76004795</v>
      </c>
      <c r="F76" s="20" t="n">
        <v>1.258284</v>
      </c>
      <c r="G76" s="18" t="n">
        <v>44.51733708</v>
      </c>
      <c r="H76" s="20" t="n">
        <v>1.42267783</v>
      </c>
      <c r="I76" s="18" t="n">
        <v>0</v>
      </c>
      <c r="J76" s="20" t="n">
        <v>0</v>
      </c>
      <c r="K76" s="18" t="n">
        <v>2.44016082</v>
      </c>
      <c r="L76" s="20" t="n">
        <v>0.49008071</v>
      </c>
      <c r="M76" s="18" t="n">
        <v>0</v>
      </c>
      <c r="N76" s="20" t="n">
        <v>0</v>
      </c>
      <c r="O76" s="18" t="n">
        <v>0</v>
      </c>
      <c r="P76" s="20" t="n">
        <v>0</v>
      </c>
      <c r="Q76" s="18" t="n">
        <v>27.28245415</v>
      </c>
      <c r="R76" s="20" t="n">
        <v>1.19127891</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37.07361243</v>
      </c>
      <c r="F80" s="20" t="n">
        <v>1.43738296</v>
      </c>
      <c r="G80" s="18" t="n">
        <v>61.31233586</v>
      </c>
      <c r="H80" s="20" t="n">
        <v>1.42224023</v>
      </c>
      <c r="I80" s="18" t="n">
        <v>0</v>
      </c>
      <c r="J80" s="20" t="n">
        <v>0</v>
      </c>
      <c r="K80" s="18" t="n">
        <v>0</v>
      </c>
      <c r="L80" s="20" t="n">
        <v>0</v>
      </c>
      <c r="M80" s="18" t="n">
        <v>0</v>
      </c>
      <c r="N80" s="20" t="n">
        <v>0</v>
      </c>
      <c r="O80" s="18" t="n">
        <v>0</v>
      </c>
      <c r="P80" s="20" t="n">
        <v>0</v>
      </c>
      <c r="Q80" s="18" t="n">
        <v>1.61405172</v>
      </c>
      <c r="R80" s="20" t="n">
        <v>0.37991334</v>
      </c>
    </row>
    <row r="81" spans="1:18">
      <c r="A81" s="15" t="s">
        <v>641</v>
      </c>
      <c r="B81" s="17" t="n">
        <v>1657</v>
      </c>
      <c r="C81" s="18">
        <f>(1109.0/B81*100)</f>
        <v/>
      </c>
      <c r="D81" s="19" t="n">
        <v>548</v>
      </c>
      <c r="E81" s="18" t="n">
        <v>20.97923382</v>
      </c>
      <c r="F81" s="20" t="n">
        <v>1.62804181</v>
      </c>
      <c r="G81" s="18" t="n">
        <v>59.90512783</v>
      </c>
      <c r="H81" s="20" t="n">
        <v>2.51595988</v>
      </c>
      <c r="I81" s="18" t="n">
        <v>0</v>
      </c>
      <c r="J81" s="20" t="n">
        <v>0</v>
      </c>
      <c r="K81" s="18" t="n">
        <v>2.01958814</v>
      </c>
      <c r="L81" s="20" t="n">
        <v>0.67469471</v>
      </c>
      <c r="M81" s="18" t="n">
        <v>0</v>
      </c>
      <c r="N81" s="20" t="n">
        <v>0</v>
      </c>
      <c r="O81" s="18" t="n">
        <v>0</v>
      </c>
      <c r="P81" s="20" t="n">
        <v>0</v>
      </c>
      <c r="Q81" s="18" t="n">
        <v>17.09605022</v>
      </c>
      <c r="R81" s="20" t="n">
        <v>2.06621403</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27.14060519</v>
      </c>
      <c r="F44" s="20" t="n">
        <v>1.23396524</v>
      </c>
      <c r="G44" s="18" t="n">
        <v>38.82661938</v>
      </c>
      <c r="H44" s="20" t="n">
        <v>1.81302535</v>
      </c>
      <c r="I44" s="18" t="n">
        <v>0</v>
      </c>
      <c r="J44" s="20" t="n">
        <v>0</v>
      </c>
      <c r="K44" s="18" t="n">
        <v>0.99414894</v>
      </c>
      <c r="L44" s="20" t="n">
        <v>0.27984015</v>
      </c>
      <c r="M44" s="18" t="n">
        <v>0</v>
      </c>
      <c r="N44" s="20" t="n">
        <v>0</v>
      </c>
      <c r="O44" s="18" t="n">
        <v>0</v>
      </c>
      <c r="P44" s="20" t="n">
        <v>0</v>
      </c>
      <c r="Q44" s="18" t="n">
        <v>33.03862649</v>
      </c>
      <c r="R44" s="20" t="n">
        <v>1.76461179</v>
      </c>
    </row>
    <row r="45" spans="1:18">
      <c r="A45" s="15" t="s">
        <v>604</v>
      </c>
      <c r="B45" s="17" t="n">
        <v>5519</v>
      </c>
      <c r="C45" s="18">
        <f>(3668.0/B45*100)</f>
        <v/>
      </c>
      <c r="D45" s="19" t="n">
        <v>1851</v>
      </c>
      <c r="E45" s="18" t="n">
        <v>38.81903755</v>
      </c>
      <c r="F45" s="20" t="n">
        <v>1.22273658</v>
      </c>
      <c r="G45" s="18" t="n">
        <v>30.22770088</v>
      </c>
      <c r="H45" s="20" t="n">
        <v>1.24137167</v>
      </c>
      <c r="I45" s="18" t="n">
        <v>0</v>
      </c>
      <c r="J45" s="20" t="n">
        <v>0</v>
      </c>
      <c r="K45" s="18" t="n">
        <v>3.56250417</v>
      </c>
      <c r="L45" s="20" t="n">
        <v>0.50220338</v>
      </c>
      <c r="M45" s="18" t="n">
        <v>1.16558611</v>
      </c>
      <c r="N45" s="20" t="n">
        <v>0.29521297</v>
      </c>
      <c r="O45" s="18" t="n">
        <v>0.13925062</v>
      </c>
      <c r="P45" s="20" t="n">
        <v>0.09578952</v>
      </c>
      <c r="Q45" s="18" t="n">
        <v>26.08592067</v>
      </c>
      <c r="R45" s="20" t="n">
        <v>1.19384229</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20.56713199</v>
      </c>
      <c r="F54" s="20" t="n">
        <v>0.78575725</v>
      </c>
      <c r="G54" s="18" t="n">
        <v>36.29357467</v>
      </c>
      <c r="H54" s="20" t="n">
        <v>1.30835071</v>
      </c>
      <c r="I54" s="18" t="n">
        <v>0</v>
      </c>
      <c r="J54" s="20" t="n">
        <v>0</v>
      </c>
      <c r="K54" s="18" t="n">
        <v>0.66663998</v>
      </c>
      <c r="L54" s="20" t="n">
        <v>0.17904204</v>
      </c>
      <c r="M54" s="18" t="n">
        <v>0</v>
      </c>
      <c r="N54" s="20" t="n">
        <v>0</v>
      </c>
      <c r="O54" s="18" t="n">
        <v>0.05791582</v>
      </c>
      <c r="P54" s="20" t="n">
        <v>0.05943615</v>
      </c>
      <c r="Q54" s="18" t="n">
        <v>42.41473754</v>
      </c>
      <c r="R54" s="20" t="n">
        <v>1.35146316</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64.6152946</v>
      </c>
      <c r="F56" s="20" t="n">
        <v>1.1486165</v>
      </c>
      <c r="G56" s="18" t="n">
        <v>25.9724693</v>
      </c>
      <c r="H56" s="20" t="n">
        <v>1.07770005</v>
      </c>
      <c r="I56" s="18" t="n">
        <v>0</v>
      </c>
      <c r="J56" s="20" t="n">
        <v>0</v>
      </c>
      <c r="K56" s="18" t="n">
        <v>0.89945932</v>
      </c>
      <c r="L56" s="20" t="n">
        <v>0.28645754</v>
      </c>
      <c r="M56" s="18" t="n">
        <v>0.04517765</v>
      </c>
      <c r="N56" s="20" t="n">
        <v>0.04508634</v>
      </c>
      <c r="O56" s="18" t="n">
        <v>0</v>
      </c>
      <c r="P56" s="20" t="n">
        <v>0</v>
      </c>
      <c r="Q56" s="18" t="n">
        <v>8.467599119999999</v>
      </c>
      <c r="R56" s="20" t="n">
        <v>0.86073548</v>
      </c>
    </row>
    <row r="57" spans="1:18">
      <c r="A57" s="15" t="s">
        <v>616</v>
      </c>
      <c r="B57" s="17" t="n">
        <v>7267</v>
      </c>
      <c r="C57" s="18">
        <f>(4834.0/B57*100)</f>
        <v/>
      </c>
      <c r="D57" s="19" t="n">
        <v>2433</v>
      </c>
      <c r="E57" s="18" t="n">
        <v>38.52622517</v>
      </c>
      <c r="F57" s="20" t="n">
        <v>1.22949426</v>
      </c>
      <c r="G57" s="18" t="n">
        <v>43.72125968</v>
      </c>
      <c r="H57" s="20" t="n">
        <v>1.26769348</v>
      </c>
      <c r="I57" s="18" t="n">
        <v>0</v>
      </c>
      <c r="J57" s="20" t="n">
        <v>0</v>
      </c>
      <c r="K57" s="18" t="n">
        <v>1.36448035</v>
      </c>
      <c r="L57" s="20" t="n">
        <v>0.2898424</v>
      </c>
      <c r="M57" s="18" t="n">
        <v>0</v>
      </c>
      <c r="N57" s="20" t="n">
        <v>0</v>
      </c>
      <c r="O57" s="18" t="n">
        <v>0</v>
      </c>
      <c r="P57" s="20" t="n">
        <v>0</v>
      </c>
      <c r="Q57" s="18" t="n">
        <v>16.3880348</v>
      </c>
      <c r="R57" s="20" t="n">
        <v>0.94380942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57.04021216</v>
      </c>
      <c r="F59" s="20" t="n">
        <v>1.39022402</v>
      </c>
      <c r="G59" s="18" t="n">
        <v>17.33269158</v>
      </c>
      <c r="H59" s="20" t="n">
        <v>1.07952152</v>
      </c>
      <c r="I59" s="18" t="n">
        <v>0</v>
      </c>
      <c r="J59" s="20" t="n">
        <v>0</v>
      </c>
      <c r="K59" s="18" t="n">
        <v>0.41258959</v>
      </c>
      <c r="L59" s="20" t="n">
        <v>0.15264743</v>
      </c>
      <c r="M59" s="18" t="n">
        <v>0.18901363</v>
      </c>
      <c r="N59" s="20" t="n">
        <v>0.10306186</v>
      </c>
      <c r="O59" s="18" t="n">
        <v>0</v>
      </c>
      <c r="P59" s="20" t="n">
        <v>0</v>
      </c>
      <c r="Q59" s="18" t="n">
        <v>25.02549304</v>
      </c>
      <c r="R59" s="20" t="n">
        <v>1.23533758</v>
      </c>
    </row>
    <row r="60" spans="1:18">
      <c r="A60" s="15" t="s">
        <v>620</v>
      </c>
      <c r="B60" s="17" t="n">
        <v>4546</v>
      </c>
      <c r="C60" s="18">
        <f>(3041.0/B60*100)</f>
        <v/>
      </c>
      <c r="D60" s="19" t="n">
        <v>1505</v>
      </c>
      <c r="E60" s="18" t="n">
        <v>43.58305631</v>
      </c>
      <c r="F60" s="20" t="n">
        <v>1.60965093</v>
      </c>
      <c r="G60" s="18" t="n">
        <v>22.66176881</v>
      </c>
      <c r="H60" s="20" t="n">
        <v>1.32837994</v>
      </c>
      <c r="I60" s="18" t="n">
        <v>0</v>
      </c>
      <c r="J60" s="20" t="n">
        <v>0</v>
      </c>
      <c r="K60" s="18" t="n">
        <v>2.8234549</v>
      </c>
      <c r="L60" s="20" t="n">
        <v>0.48518024</v>
      </c>
      <c r="M60" s="18" t="n">
        <v>0</v>
      </c>
      <c r="N60" s="20" t="n">
        <v>0</v>
      </c>
      <c r="O60" s="18" t="n">
        <v>0</v>
      </c>
      <c r="P60" s="20" t="n">
        <v>0</v>
      </c>
      <c r="Q60" s="18" t="n">
        <v>30.93171998</v>
      </c>
      <c r="R60" s="20" t="n">
        <v>1.73157958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27.67366886</v>
      </c>
      <c r="F63" s="20" t="n">
        <v>1.09897398</v>
      </c>
      <c r="G63" s="18" t="n">
        <v>16.51950992</v>
      </c>
      <c r="H63" s="20" t="n">
        <v>0.93176857</v>
      </c>
      <c r="I63" s="18" t="n">
        <v>0</v>
      </c>
      <c r="J63" s="20" t="n">
        <v>0</v>
      </c>
      <c r="K63" s="18" t="n">
        <v>1.72619513</v>
      </c>
      <c r="L63" s="20" t="n">
        <v>0.32479435</v>
      </c>
      <c r="M63" s="18" t="n">
        <v>0</v>
      </c>
      <c r="N63" s="20" t="n">
        <v>0</v>
      </c>
      <c r="O63" s="18" t="n">
        <v>0</v>
      </c>
      <c r="P63" s="20" t="n">
        <v>0</v>
      </c>
      <c r="Q63" s="18" t="n">
        <v>54.0806261</v>
      </c>
      <c r="R63" s="20" t="n">
        <v>1.31797981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20.63445579</v>
      </c>
      <c r="F65" s="20" t="n">
        <v>1.13404247</v>
      </c>
      <c r="G65" s="18" t="n">
        <v>57.91104625</v>
      </c>
      <c r="H65" s="20" t="n">
        <v>1.62435595</v>
      </c>
      <c r="I65" s="18" t="n">
        <v>0</v>
      </c>
      <c r="J65" s="20" t="n">
        <v>0</v>
      </c>
      <c r="K65" s="18" t="n">
        <v>1.60088217</v>
      </c>
      <c r="L65" s="20" t="n">
        <v>0.37587445</v>
      </c>
      <c r="M65" s="18" t="n">
        <v>0</v>
      </c>
      <c r="N65" s="20" t="n">
        <v>0</v>
      </c>
      <c r="O65" s="18" t="n">
        <v>0.08760805000000001</v>
      </c>
      <c r="P65" s="20" t="n">
        <v>0.08658181</v>
      </c>
      <c r="Q65" s="18" t="n">
        <v>19.76600774</v>
      </c>
      <c r="R65" s="20" t="n">
        <v>1.14268739</v>
      </c>
    </row>
    <row r="66" spans="1:18">
      <c r="A66" s="15" t="s">
        <v>626</v>
      </c>
      <c r="B66" s="17" t="n">
        <v>5325</v>
      </c>
      <c r="C66" s="18">
        <f>(3550.0/B66*100)</f>
        <v/>
      </c>
      <c r="D66" s="19" t="n">
        <v>1775</v>
      </c>
      <c r="E66" s="18" t="n">
        <v>26.92218797</v>
      </c>
      <c r="F66" s="20" t="n">
        <v>1.03123814</v>
      </c>
      <c r="G66" s="18" t="n">
        <v>36.70384808</v>
      </c>
      <c r="H66" s="20" t="n">
        <v>1.0973339</v>
      </c>
      <c r="I66" s="18" t="n">
        <v>0</v>
      </c>
      <c r="J66" s="20" t="n">
        <v>0</v>
      </c>
      <c r="K66" s="18" t="n">
        <v>3.03558145</v>
      </c>
      <c r="L66" s="20" t="n">
        <v>0.46699826</v>
      </c>
      <c r="M66" s="18" t="n">
        <v>0</v>
      </c>
      <c r="N66" s="20" t="n">
        <v>0</v>
      </c>
      <c r="O66" s="18" t="n">
        <v>0.04627561</v>
      </c>
      <c r="P66" s="20" t="n">
        <v>0.04628512</v>
      </c>
      <c r="Q66" s="18" t="n">
        <v>33.29210689</v>
      </c>
      <c r="R66" s="20" t="n">
        <v>1.12725645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50.13064223</v>
      </c>
      <c r="F69" s="20" t="n">
        <v>3.23511355</v>
      </c>
      <c r="G69" s="18" t="n">
        <v>34.59808009</v>
      </c>
      <c r="H69" s="20" t="n">
        <v>2.85748094</v>
      </c>
      <c r="I69" s="18" t="n">
        <v>0</v>
      </c>
      <c r="J69" s="20" t="n">
        <v>0</v>
      </c>
      <c r="K69" s="18" t="n">
        <v>0.2286356</v>
      </c>
      <c r="L69" s="20" t="n">
        <v>0.22707946</v>
      </c>
      <c r="M69" s="18" t="n">
        <v>0</v>
      </c>
      <c r="N69" s="20" t="n">
        <v>0</v>
      </c>
      <c r="O69" s="18" t="n">
        <v>0</v>
      </c>
      <c r="P69" s="20" t="n">
        <v>0</v>
      </c>
      <c r="Q69" s="18" t="n">
        <v>15.04264208</v>
      </c>
      <c r="R69" s="20" t="n">
        <v>1.77209062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59.98944527</v>
      </c>
      <c r="F71" s="20" t="n">
        <v>1.67433722</v>
      </c>
      <c r="G71" s="18" t="n">
        <v>39.78354392</v>
      </c>
      <c r="H71" s="20" t="n">
        <v>1.67639612</v>
      </c>
      <c r="I71" s="18" t="n">
        <v>0</v>
      </c>
      <c r="J71" s="20" t="n">
        <v>0</v>
      </c>
      <c r="K71" s="18" t="n">
        <v>0</v>
      </c>
      <c r="L71" s="20" t="n">
        <v>0</v>
      </c>
      <c r="M71" s="18" t="n">
        <v>0</v>
      </c>
      <c r="N71" s="20" t="n">
        <v>0</v>
      </c>
      <c r="O71" s="18" t="n">
        <v>0</v>
      </c>
      <c r="P71" s="20" t="n">
        <v>0</v>
      </c>
      <c r="Q71" s="18" t="n">
        <v>0.22701081</v>
      </c>
      <c r="R71" s="20" t="n">
        <v>0.11326953</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34.73661804</v>
      </c>
      <c r="F76" s="20" t="n">
        <v>1.35519049</v>
      </c>
      <c r="G76" s="18" t="n">
        <v>31.75861511</v>
      </c>
      <c r="H76" s="20" t="n">
        <v>1.15852517</v>
      </c>
      <c r="I76" s="18" t="n">
        <v>0</v>
      </c>
      <c r="J76" s="20" t="n">
        <v>0</v>
      </c>
      <c r="K76" s="18" t="n">
        <v>2.6832863</v>
      </c>
      <c r="L76" s="20" t="n">
        <v>0.52369634</v>
      </c>
      <c r="M76" s="18" t="n">
        <v>0</v>
      </c>
      <c r="N76" s="20" t="n">
        <v>0</v>
      </c>
      <c r="O76" s="18" t="n">
        <v>0</v>
      </c>
      <c r="P76" s="20" t="n">
        <v>0</v>
      </c>
      <c r="Q76" s="18" t="n">
        <v>30.82148056</v>
      </c>
      <c r="R76" s="20" t="n">
        <v>1.1917638</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47.26749475</v>
      </c>
      <c r="F80" s="20" t="n">
        <v>1.60826745</v>
      </c>
      <c r="G80" s="18" t="n">
        <v>49.81647635</v>
      </c>
      <c r="H80" s="20" t="n">
        <v>1.65044531</v>
      </c>
      <c r="I80" s="18" t="n">
        <v>0</v>
      </c>
      <c r="J80" s="20" t="n">
        <v>0</v>
      </c>
      <c r="K80" s="18" t="n">
        <v>0</v>
      </c>
      <c r="L80" s="20" t="n">
        <v>0</v>
      </c>
      <c r="M80" s="18" t="n">
        <v>0</v>
      </c>
      <c r="N80" s="20" t="n">
        <v>0</v>
      </c>
      <c r="O80" s="18" t="n">
        <v>0</v>
      </c>
      <c r="P80" s="20" t="n">
        <v>0</v>
      </c>
      <c r="Q80" s="18" t="n">
        <v>2.91602891</v>
      </c>
      <c r="R80" s="20" t="n">
        <v>0.50563734</v>
      </c>
    </row>
    <row r="81" spans="1:18">
      <c r="A81" s="15" t="s">
        <v>641</v>
      </c>
      <c r="B81" s="17" t="n">
        <v>1657</v>
      </c>
      <c r="C81" s="18">
        <f>(1109.0/B81*100)</f>
        <v/>
      </c>
      <c r="D81" s="19" t="n">
        <v>548</v>
      </c>
      <c r="E81" s="18" t="n">
        <v>25.61591287</v>
      </c>
      <c r="F81" s="20" t="n">
        <v>2.26619809</v>
      </c>
      <c r="G81" s="18" t="n">
        <v>56.6284349</v>
      </c>
      <c r="H81" s="20" t="n">
        <v>3.01881837</v>
      </c>
      <c r="I81" s="18" t="n">
        <v>0</v>
      </c>
      <c r="J81" s="20" t="n">
        <v>0</v>
      </c>
      <c r="K81" s="18" t="n">
        <v>2.1134705</v>
      </c>
      <c r="L81" s="20" t="n">
        <v>0.68358461</v>
      </c>
      <c r="M81" s="18" t="n">
        <v>0</v>
      </c>
      <c r="N81" s="20" t="n">
        <v>0</v>
      </c>
      <c r="O81" s="18" t="n">
        <v>0</v>
      </c>
      <c r="P81" s="20" t="n">
        <v>0</v>
      </c>
      <c r="Q81" s="18" t="n">
        <v>15.64218173</v>
      </c>
      <c r="R81" s="20" t="n">
        <v>2.00007401</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51.57121343</v>
      </c>
      <c r="F44" s="20" t="n">
        <v>1.79505653</v>
      </c>
      <c r="G44" s="18" t="n">
        <v>32.23790617</v>
      </c>
      <c r="H44" s="20" t="n">
        <v>1.82151241</v>
      </c>
      <c r="I44" s="18" t="n">
        <v>0</v>
      </c>
      <c r="J44" s="20" t="n">
        <v>0</v>
      </c>
      <c r="K44" s="18" t="n">
        <v>0.99414894</v>
      </c>
      <c r="L44" s="20" t="n">
        <v>0.27984015</v>
      </c>
      <c r="M44" s="18" t="n">
        <v>0</v>
      </c>
      <c r="N44" s="20" t="n">
        <v>0</v>
      </c>
      <c r="O44" s="18" t="n">
        <v>0.29794347</v>
      </c>
      <c r="P44" s="20" t="n">
        <v>0.13228631</v>
      </c>
      <c r="Q44" s="18" t="n">
        <v>14.89878799</v>
      </c>
      <c r="R44" s="20" t="n">
        <v>1.07192098</v>
      </c>
    </row>
    <row r="45" spans="1:18">
      <c r="A45" s="15" t="s">
        <v>604</v>
      </c>
      <c r="B45" s="17" t="n">
        <v>5519</v>
      </c>
      <c r="C45" s="18">
        <f>(3668.0/B45*100)</f>
        <v/>
      </c>
      <c r="D45" s="19" t="n">
        <v>1851</v>
      </c>
      <c r="E45" s="18" t="n">
        <v>66.19307383</v>
      </c>
      <c r="F45" s="20" t="n">
        <v>1.17739912</v>
      </c>
      <c r="G45" s="18" t="n">
        <v>19.34067111</v>
      </c>
      <c r="H45" s="20" t="n">
        <v>1.21871828</v>
      </c>
      <c r="I45" s="18" t="n">
        <v>0</v>
      </c>
      <c r="J45" s="20" t="n">
        <v>0</v>
      </c>
      <c r="K45" s="18" t="n">
        <v>3.89913922</v>
      </c>
      <c r="L45" s="20" t="n">
        <v>0.53861914</v>
      </c>
      <c r="M45" s="18" t="n">
        <v>0.74542591</v>
      </c>
      <c r="N45" s="20" t="n">
        <v>0.21006357</v>
      </c>
      <c r="O45" s="18" t="n">
        <v>1.50066452</v>
      </c>
      <c r="P45" s="20" t="n">
        <v>0.31114458</v>
      </c>
      <c r="Q45" s="18" t="n">
        <v>8.321025410000001</v>
      </c>
      <c r="R45" s="20" t="n">
        <v>0.68676297</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52.30821519</v>
      </c>
      <c r="F54" s="20" t="n">
        <v>1.37742764</v>
      </c>
      <c r="G54" s="18" t="n">
        <v>36.14945735</v>
      </c>
      <c r="H54" s="20" t="n">
        <v>1.44689814</v>
      </c>
      <c r="I54" s="18" t="n">
        <v>0</v>
      </c>
      <c r="J54" s="20" t="n">
        <v>0</v>
      </c>
      <c r="K54" s="18" t="n">
        <v>0.66663998</v>
      </c>
      <c r="L54" s="20" t="n">
        <v>0.17904204</v>
      </c>
      <c r="M54" s="18" t="n">
        <v>0</v>
      </c>
      <c r="N54" s="20" t="n">
        <v>0</v>
      </c>
      <c r="O54" s="18" t="n">
        <v>0.25907156</v>
      </c>
      <c r="P54" s="20" t="n">
        <v>0.11859375</v>
      </c>
      <c r="Q54" s="18" t="n">
        <v>10.61661593</v>
      </c>
      <c r="R54" s="20" t="n">
        <v>0.81041263</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77.50340749999999</v>
      </c>
      <c r="F56" s="20" t="n">
        <v>1.08624561</v>
      </c>
      <c r="G56" s="18" t="n">
        <v>18.53123734</v>
      </c>
      <c r="H56" s="20" t="n">
        <v>1.08862165</v>
      </c>
      <c r="I56" s="18" t="n">
        <v>0</v>
      </c>
      <c r="J56" s="20" t="n">
        <v>0</v>
      </c>
      <c r="K56" s="18" t="n">
        <v>0.9886654</v>
      </c>
      <c r="L56" s="20" t="n">
        <v>0.30604561</v>
      </c>
      <c r="M56" s="18" t="n">
        <v>0.04602408</v>
      </c>
      <c r="N56" s="20" t="n">
        <v>0.04589218</v>
      </c>
      <c r="O56" s="18" t="n">
        <v>0</v>
      </c>
      <c r="P56" s="20" t="n">
        <v>0</v>
      </c>
      <c r="Q56" s="18" t="n">
        <v>2.93066568</v>
      </c>
      <c r="R56" s="20" t="n">
        <v>0.46872783</v>
      </c>
    </row>
    <row r="57" spans="1:18">
      <c r="A57" s="15" t="s">
        <v>616</v>
      </c>
      <c r="B57" s="17" t="n">
        <v>7267</v>
      </c>
      <c r="C57" s="18">
        <f>(4834.0/B57*100)</f>
        <v/>
      </c>
      <c r="D57" s="19" t="n">
        <v>2433</v>
      </c>
      <c r="E57" s="18" t="n">
        <v>54.54965155</v>
      </c>
      <c r="F57" s="20" t="n">
        <v>1.36461091</v>
      </c>
      <c r="G57" s="18" t="n">
        <v>36.59160332</v>
      </c>
      <c r="H57" s="20" t="n">
        <v>1.31921431</v>
      </c>
      <c r="I57" s="18" t="n">
        <v>0</v>
      </c>
      <c r="J57" s="20" t="n">
        <v>0</v>
      </c>
      <c r="K57" s="18" t="n">
        <v>1.49620993</v>
      </c>
      <c r="L57" s="20" t="n">
        <v>0.32108702</v>
      </c>
      <c r="M57" s="18" t="n">
        <v>0</v>
      </c>
      <c r="N57" s="20" t="n">
        <v>0</v>
      </c>
      <c r="O57" s="18" t="n">
        <v>0.62485097</v>
      </c>
      <c r="P57" s="20" t="n">
        <v>0.18930913</v>
      </c>
      <c r="Q57" s="18" t="n">
        <v>6.73768423</v>
      </c>
      <c r="R57" s="20" t="n">
        <v>0.61546525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64.59843531999999</v>
      </c>
      <c r="F59" s="20" t="n">
        <v>1.46868586</v>
      </c>
      <c r="G59" s="18" t="n">
        <v>29.5795021</v>
      </c>
      <c r="H59" s="20" t="n">
        <v>1.31676042</v>
      </c>
      <c r="I59" s="18" t="n">
        <v>0</v>
      </c>
      <c r="J59" s="20" t="n">
        <v>0</v>
      </c>
      <c r="K59" s="18" t="n">
        <v>0.48602289</v>
      </c>
      <c r="L59" s="20" t="n">
        <v>0.16916281</v>
      </c>
      <c r="M59" s="18" t="n">
        <v>0.14145749</v>
      </c>
      <c r="N59" s="20" t="n">
        <v>0.07637314000000001</v>
      </c>
      <c r="O59" s="18" t="n">
        <v>0.82414856</v>
      </c>
      <c r="P59" s="20" t="n">
        <v>0.23649318</v>
      </c>
      <c r="Q59" s="18" t="n">
        <v>4.37043364</v>
      </c>
      <c r="R59" s="20" t="n">
        <v>0.61759517</v>
      </c>
    </row>
    <row r="60" spans="1:18">
      <c r="A60" s="15" t="s">
        <v>620</v>
      </c>
      <c r="B60" s="17" t="n">
        <v>4546</v>
      </c>
      <c r="C60" s="18">
        <f>(3041.0/B60*100)</f>
        <v/>
      </c>
      <c r="D60" s="19" t="n">
        <v>1505</v>
      </c>
      <c r="E60" s="18" t="n">
        <v>48.86267231</v>
      </c>
      <c r="F60" s="20" t="n">
        <v>1.33085954</v>
      </c>
      <c r="G60" s="18" t="n">
        <v>35.50443557</v>
      </c>
      <c r="H60" s="20" t="n">
        <v>1.31314867</v>
      </c>
      <c r="I60" s="18" t="n">
        <v>0</v>
      </c>
      <c r="J60" s="20" t="n">
        <v>0</v>
      </c>
      <c r="K60" s="18" t="n">
        <v>2.87855872</v>
      </c>
      <c r="L60" s="20" t="n">
        <v>0.48669062</v>
      </c>
      <c r="M60" s="18" t="n">
        <v>0</v>
      </c>
      <c r="N60" s="20" t="n">
        <v>0</v>
      </c>
      <c r="O60" s="18" t="n">
        <v>1.597242</v>
      </c>
      <c r="P60" s="20" t="n">
        <v>0.39472754</v>
      </c>
      <c r="Q60" s="18" t="n">
        <v>11.1570914</v>
      </c>
      <c r="R60" s="20" t="n">
        <v>1.11934547</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50.99488462</v>
      </c>
      <c r="F63" s="20" t="n">
        <v>1.29936291</v>
      </c>
      <c r="G63" s="18" t="n">
        <v>31.18011563</v>
      </c>
      <c r="H63" s="20" t="n">
        <v>1.37294782</v>
      </c>
      <c r="I63" s="18" t="n">
        <v>0</v>
      </c>
      <c r="J63" s="20" t="n">
        <v>0</v>
      </c>
      <c r="K63" s="18" t="n">
        <v>1.72619513</v>
      </c>
      <c r="L63" s="20" t="n">
        <v>0.32479435</v>
      </c>
      <c r="M63" s="18" t="n">
        <v>0</v>
      </c>
      <c r="N63" s="20" t="n">
        <v>0</v>
      </c>
      <c r="O63" s="18" t="n">
        <v>0.3366308</v>
      </c>
      <c r="P63" s="20" t="n">
        <v>0.15861318</v>
      </c>
      <c r="Q63" s="18" t="n">
        <v>15.76217383</v>
      </c>
      <c r="R63" s="20" t="n">
        <v>1.02734902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47.38120168</v>
      </c>
      <c r="F65" s="20" t="n">
        <v>1.48414869</v>
      </c>
      <c r="G65" s="18" t="n">
        <v>43.14051664</v>
      </c>
      <c r="H65" s="20" t="n">
        <v>1.4880213</v>
      </c>
      <c r="I65" s="18" t="n">
        <v>0</v>
      </c>
      <c r="J65" s="20" t="n">
        <v>0</v>
      </c>
      <c r="K65" s="18" t="n">
        <v>1.60088217</v>
      </c>
      <c r="L65" s="20" t="n">
        <v>0.37587445</v>
      </c>
      <c r="M65" s="18" t="n">
        <v>0</v>
      </c>
      <c r="N65" s="20" t="n">
        <v>0</v>
      </c>
      <c r="O65" s="18" t="n">
        <v>0.08760805000000001</v>
      </c>
      <c r="P65" s="20" t="n">
        <v>0.08658181</v>
      </c>
      <c r="Q65" s="18" t="n">
        <v>7.78979146</v>
      </c>
      <c r="R65" s="20" t="n">
        <v>0.84371759</v>
      </c>
    </row>
    <row r="66" spans="1:18">
      <c r="A66" s="15" t="s">
        <v>626</v>
      </c>
      <c r="B66" s="17" t="n">
        <v>5325</v>
      </c>
      <c r="C66" s="18">
        <f>(3550.0/B66*100)</f>
        <v/>
      </c>
      <c r="D66" s="19" t="n">
        <v>1775</v>
      </c>
      <c r="E66" s="18" t="n">
        <v>50.54433074</v>
      </c>
      <c r="F66" s="20" t="n">
        <v>1.4561769</v>
      </c>
      <c r="G66" s="18" t="n">
        <v>36.45288651</v>
      </c>
      <c r="H66" s="20" t="n">
        <v>1.35983537</v>
      </c>
      <c r="I66" s="18" t="n">
        <v>0</v>
      </c>
      <c r="J66" s="20" t="n">
        <v>0</v>
      </c>
      <c r="K66" s="18" t="n">
        <v>3.03558145</v>
      </c>
      <c r="L66" s="20" t="n">
        <v>0.46699826</v>
      </c>
      <c r="M66" s="18" t="n">
        <v>0.65776875</v>
      </c>
      <c r="N66" s="20" t="n">
        <v>0.20173485</v>
      </c>
      <c r="O66" s="18" t="n">
        <v>0</v>
      </c>
      <c r="P66" s="20" t="n">
        <v>0</v>
      </c>
      <c r="Q66" s="18" t="n">
        <v>9.30943255</v>
      </c>
      <c r="R66" s="20" t="n">
        <v>0.86268213</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63.46520074</v>
      </c>
      <c r="F69" s="20" t="n">
        <v>2.40122051</v>
      </c>
      <c r="G69" s="18" t="n">
        <v>33.27422966</v>
      </c>
      <c r="H69" s="20" t="n">
        <v>2.21169923</v>
      </c>
      <c r="I69" s="18" t="n">
        <v>0</v>
      </c>
      <c r="J69" s="20" t="n">
        <v>0</v>
      </c>
      <c r="K69" s="18" t="n">
        <v>0.2286356</v>
      </c>
      <c r="L69" s="20" t="n">
        <v>0.22707946</v>
      </c>
      <c r="M69" s="18" t="n">
        <v>0</v>
      </c>
      <c r="N69" s="20" t="n">
        <v>0</v>
      </c>
      <c r="O69" s="18" t="n">
        <v>0.24665305</v>
      </c>
      <c r="P69" s="20" t="n">
        <v>0.23537855</v>
      </c>
      <c r="Q69" s="18" t="n">
        <v>2.78528095</v>
      </c>
      <c r="R69" s="20" t="n">
        <v>0.6596168</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60.35011206</v>
      </c>
      <c r="F71" s="20" t="n">
        <v>1.57151934</v>
      </c>
      <c r="G71" s="18" t="n">
        <v>39.00768448</v>
      </c>
      <c r="H71" s="20" t="n">
        <v>1.58151005</v>
      </c>
      <c r="I71" s="18" t="n">
        <v>0</v>
      </c>
      <c r="J71" s="20" t="n">
        <v>0</v>
      </c>
      <c r="K71" s="18" t="n">
        <v>0</v>
      </c>
      <c r="L71" s="20" t="n">
        <v>0</v>
      </c>
      <c r="M71" s="18" t="n">
        <v>0</v>
      </c>
      <c r="N71" s="20" t="n">
        <v>0</v>
      </c>
      <c r="O71" s="18" t="n">
        <v>0</v>
      </c>
      <c r="P71" s="20" t="n">
        <v>0</v>
      </c>
      <c r="Q71" s="18" t="n">
        <v>0.64220345</v>
      </c>
      <c r="R71" s="20" t="n">
        <v>0.21153656</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44.59258925</v>
      </c>
      <c r="F76" s="20" t="n">
        <v>1.6130979</v>
      </c>
      <c r="G76" s="18" t="n">
        <v>42.0356834</v>
      </c>
      <c r="H76" s="20" t="n">
        <v>1.27530208</v>
      </c>
      <c r="I76" s="18" t="n">
        <v>0</v>
      </c>
      <c r="J76" s="20" t="n">
        <v>0</v>
      </c>
      <c r="K76" s="18" t="n">
        <v>2.72629371</v>
      </c>
      <c r="L76" s="20" t="n">
        <v>0.52708335</v>
      </c>
      <c r="M76" s="18" t="n">
        <v>0</v>
      </c>
      <c r="N76" s="20" t="n">
        <v>0</v>
      </c>
      <c r="O76" s="18" t="n">
        <v>0</v>
      </c>
      <c r="P76" s="20" t="n">
        <v>0</v>
      </c>
      <c r="Q76" s="18" t="n">
        <v>10.64543365</v>
      </c>
      <c r="R76" s="20" t="n">
        <v>1.0689295</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54.31505679</v>
      </c>
      <c r="F80" s="20" t="n">
        <v>1.73484123</v>
      </c>
      <c r="G80" s="18" t="n">
        <v>45.68494321</v>
      </c>
      <c r="H80" s="20" t="n">
        <v>1.73484123</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38.02524741</v>
      </c>
      <c r="F81" s="20" t="n">
        <v>2.21562812</v>
      </c>
      <c r="G81" s="18" t="n">
        <v>52.75855482</v>
      </c>
      <c r="H81" s="20" t="n">
        <v>2.7044971</v>
      </c>
      <c r="I81" s="18" t="n">
        <v>0</v>
      </c>
      <c r="J81" s="20" t="n">
        <v>0</v>
      </c>
      <c r="K81" s="18" t="n">
        <v>2.1134705</v>
      </c>
      <c r="L81" s="20" t="n">
        <v>0.68358461</v>
      </c>
      <c r="M81" s="18" t="n">
        <v>0</v>
      </c>
      <c r="N81" s="20" t="n">
        <v>0</v>
      </c>
      <c r="O81" s="18" t="n">
        <v>0.37614279</v>
      </c>
      <c r="P81" s="20" t="n">
        <v>0.3650813</v>
      </c>
      <c r="Q81" s="18" t="n">
        <v>6.72658448</v>
      </c>
      <c r="R81" s="20" t="n">
        <v>1.11715453</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75.12260010999999</v>
      </c>
      <c r="F44" s="20" t="n">
        <v>1.45390102</v>
      </c>
      <c r="G44" s="18" t="n">
        <v>15.38402053</v>
      </c>
      <c r="H44" s="20" t="n">
        <v>1.39546488</v>
      </c>
      <c r="I44" s="18" t="n">
        <v>0</v>
      </c>
      <c r="J44" s="20" t="n">
        <v>0</v>
      </c>
      <c r="K44" s="18" t="n">
        <v>0.99414894</v>
      </c>
      <c r="L44" s="20" t="n">
        <v>0.27984015</v>
      </c>
      <c r="M44" s="18" t="n">
        <v>0</v>
      </c>
      <c r="N44" s="20" t="n">
        <v>0</v>
      </c>
      <c r="O44" s="18" t="n">
        <v>0</v>
      </c>
      <c r="P44" s="20" t="n">
        <v>0</v>
      </c>
      <c r="Q44" s="18" t="n">
        <v>8.49923042</v>
      </c>
      <c r="R44" s="20" t="n">
        <v>0.91356889</v>
      </c>
    </row>
    <row r="45" spans="1:18">
      <c r="A45" s="15" t="s">
        <v>604</v>
      </c>
      <c r="B45" s="17" t="n">
        <v>5519</v>
      </c>
      <c r="C45" s="18">
        <f>(3668.0/B45*100)</f>
        <v/>
      </c>
      <c r="D45" s="19" t="n">
        <v>1851</v>
      </c>
      <c r="E45" s="18" t="n">
        <v>78.88638834</v>
      </c>
      <c r="F45" s="20" t="n">
        <v>1.14839145</v>
      </c>
      <c r="G45" s="18" t="n">
        <v>13.53322791</v>
      </c>
      <c r="H45" s="20" t="n">
        <v>0.99782058</v>
      </c>
      <c r="I45" s="18" t="n">
        <v>0</v>
      </c>
      <c r="J45" s="20" t="n">
        <v>0</v>
      </c>
      <c r="K45" s="18" t="n">
        <v>4.06370777</v>
      </c>
      <c r="L45" s="20" t="n">
        <v>0.54654853</v>
      </c>
      <c r="M45" s="18" t="n">
        <v>0.34980642</v>
      </c>
      <c r="N45" s="20" t="n">
        <v>0.13881946</v>
      </c>
      <c r="O45" s="18" t="n">
        <v>0.06795909999999999</v>
      </c>
      <c r="P45" s="20" t="n">
        <v>0.05817838</v>
      </c>
      <c r="Q45" s="18" t="n">
        <v>3.09891046</v>
      </c>
      <c r="R45" s="20" t="n">
        <v>0.43063015</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86.00947183</v>
      </c>
      <c r="F54" s="20" t="n">
        <v>0.9005094300000001</v>
      </c>
      <c r="G54" s="18" t="n">
        <v>7.00337669</v>
      </c>
      <c r="H54" s="20" t="n">
        <v>0.61685496</v>
      </c>
      <c r="I54" s="18" t="n">
        <v>0</v>
      </c>
      <c r="J54" s="20" t="n">
        <v>0</v>
      </c>
      <c r="K54" s="18" t="n">
        <v>0.70350926</v>
      </c>
      <c r="L54" s="20" t="n">
        <v>0.18144931</v>
      </c>
      <c r="M54" s="18" t="n">
        <v>0</v>
      </c>
      <c r="N54" s="20" t="n">
        <v>0</v>
      </c>
      <c r="O54" s="18" t="n">
        <v>0.06664340000000001</v>
      </c>
      <c r="P54" s="20" t="n">
        <v>0.07071378</v>
      </c>
      <c r="Q54" s="18" t="n">
        <v>6.21699882</v>
      </c>
      <c r="R54" s="20" t="n">
        <v>0.62588686</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88.87206608</v>
      </c>
      <c r="F56" s="20" t="n">
        <v>0.76466376</v>
      </c>
      <c r="G56" s="18" t="n">
        <v>8.857356619999999</v>
      </c>
      <c r="H56" s="20" t="n">
        <v>0.64381176</v>
      </c>
      <c r="I56" s="18" t="n">
        <v>0</v>
      </c>
      <c r="J56" s="20" t="n">
        <v>0</v>
      </c>
      <c r="K56" s="18" t="n">
        <v>1.08603275</v>
      </c>
      <c r="L56" s="20" t="n">
        <v>0.34217243</v>
      </c>
      <c r="M56" s="18" t="n">
        <v>0.04602408</v>
      </c>
      <c r="N56" s="20" t="n">
        <v>0.04589218</v>
      </c>
      <c r="O56" s="18" t="n">
        <v>0</v>
      </c>
      <c r="P56" s="20" t="n">
        <v>0</v>
      </c>
      <c r="Q56" s="18" t="n">
        <v>1.13852048</v>
      </c>
      <c r="R56" s="20" t="n">
        <v>0.26670029</v>
      </c>
    </row>
    <row r="57" spans="1:18">
      <c r="A57" s="15" t="s">
        <v>616</v>
      </c>
      <c r="B57" s="17" t="n">
        <v>7267</v>
      </c>
      <c r="C57" s="18">
        <f>(4834.0/B57*100)</f>
        <v/>
      </c>
      <c r="D57" s="19" t="n">
        <v>2433</v>
      </c>
      <c r="E57" s="18" t="n">
        <v>85.48628352999999</v>
      </c>
      <c r="F57" s="20" t="n">
        <v>0.92027938</v>
      </c>
      <c r="G57" s="18" t="n">
        <v>9.368132749999999</v>
      </c>
      <c r="H57" s="20" t="n">
        <v>0.78656889</v>
      </c>
      <c r="I57" s="18" t="n">
        <v>0</v>
      </c>
      <c r="J57" s="20" t="n">
        <v>0</v>
      </c>
      <c r="K57" s="18" t="n">
        <v>1.49620993</v>
      </c>
      <c r="L57" s="20" t="n">
        <v>0.32108702</v>
      </c>
      <c r="M57" s="18" t="n">
        <v>0</v>
      </c>
      <c r="N57" s="20" t="n">
        <v>0</v>
      </c>
      <c r="O57" s="18" t="n">
        <v>0.1294486</v>
      </c>
      <c r="P57" s="20" t="n">
        <v>0.09162339999999999</v>
      </c>
      <c r="Q57" s="18" t="n">
        <v>3.51992518</v>
      </c>
      <c r="R57" s="20" t="n">
        <v>0.46911288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90.44711938</v>
      </c>
      <c r="F59" s="20" t="n">
        <v>0.815721</v>
      </c>
      <c r="G59" s="18" t="n">
        <v>5.91193095</v>
      </c>
      <c r="H59" s="20" t="n">
        <v>0.66869206</v>
      </c>
      <c r="I59" s="18" t="n">
        <v>0</v>
      </c>
      <c r="J59" s="20" t="n">
        <v>0</v>
      </c>
      <c r="K59" s="18" t="n">
        <v>0.48602289</v>
      </c>
      <c r="L59" s="20" t="n">
        <v>0.16916281</v>
      </c>
      <c r="M59" s="18" t="n">
        <v>0.11597719</v>
      </c>
      <c r="N59" s="20" t="n">
        <v>0.07189327</v>
      </c>
      <c r="O59" s="18" t="n">
        <v>0.04238033</v>
      </c>
      <c r="P59" s="20" t="n">
        <v>0.04255431</v>
      </c>
      <c r="Q59" s="18" t="n">
        <v>2.99656927</v>
      </c>
      <c r="R59" s="20" t="n">
        <v>0.48154554</v>
      </c>
    </row>
    <row r="60" spans="1:18">
      <c r="A60" s="15" t="s">
        <v>620</v>
      </c>
      <c r="B60" s="17" t="n">
        <v>4546</v>
      </c>
      <c r="C60" s="18">
        <f>(3041.0/B60*100)</f>
        <v/>
      </c>
      <c r="D60" s="19" t="n">
        <v>1505</v>
      </c>
      <c r="E60" s="18" t="n">
        <v>71.16048572</v>
      </c>
      <c r="F60" s="20" t="n">
        <v>1.34582653</v>
      </c>
      <c r="G60" s="18" t="n">
        <v>19.58911467</v>
      </c>
      <c r="H60" s="20" t="n">
        <v>1.37129546</v>
      </c>
      <c r="I60" s="18" t="n">
        <v>0</v>
      </c>
      <c r="J60" s="20" t="n">
        <v>0</v>
      </c>
      <c r="K60" s="18" t="n">
        <v>2.87855872</v>
      </c>
      <c r="L60" s="20" t="n">
        <v>0.48669062</v>
      </c>
      <c r="M60" s="18" t="n">
        <v>0</v>
      </c>
      <c r="N60" s="20" t="n">
        <v>0</v>
      </c>
      <c r="O60" s="18" t="n">
        <v>0</v>
      </c>
      <c r="P60" s="20" t="n">
        <v>0</v>
      </c>
      <c r="Q60" s="18" t="n">
        <v>6.37184089</v>
      </c>
      <c r="R60" s="20" t="n">
        <v>0.77594085</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79.18834802000001</v>
      </c>
      <c r="F63" s="20" t="n">
        <v>0.9476664299999999</v>
      </c>
      <c r="G63" s="18" t="n">
        <v>10.06556381</v>
      </c>
      <c r="H63" s="20" t="n">
        <v>0.81101842</v>
      </c>
      <c r="I63" s="18" t="n">
        <v>0</v>
      </c>
      <c r="J63" s="20" t="n">
        <v>0</v>
      </c>
      <c r="K63" s="18" t="n">
        <v>1.78642674</v>
      </c>
      <c r="L63" s="20" t="n">
        <v>0.33081017</v>
      </c>
      <c r="M63" s="18" t="n">
        <v>0</v>
      </c>
      <c r="N63" s="20" t="n">
        <v>0</v>
      </c>
      <c r="O63" s="18" t="n">
        <v>0</v>
      </c>
      <c r="P63" s="20" t="n">
        <v>0</v>
      </c>
      <c r="Q63" s="18" t="n">
        <v>8.959661430000001</v>
      </c>
      <c r="R63" s="20" t="n">
        <v>0.77174376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64.86383253</v>
      </c>
      <c r="F65" s="20" t="n">
        <v>1.28593543</v>
      </c>
      <c r="G65" s="18" t="n">
        <v>30.41435025</v>
      </c>
      <c r="H65" s="20" t="n">
        <v>1.18067799</v>
      </c>
      <c r="I65" s="18" t="n">
        <v>0</v>
      </c>
      <c r="J65" s="20" t="n">
        <v>0</v>
      </c>
      <c r="K65" s="18" t="n">
        <v>1.60088217</v>
      </c>
      <c r="L65" s="20" t="n">
        <v>0.37587445</v>
      </c>
      <c r="M65" s="18" t="n">
        <v>0</v>
      </c>
      <c r="N65" s="20" t="n">
        <v>0</v>
      </c>
      <c r="O65" s="18" t="n">
        <v>0</v>
      </c>
      <c r="P65" s="20" t="n">
        <v>0</v>
      </c>
      <c r="Q65" s="18" t="n">
        <v>3.12093505</v>
      </c>
      <c r="R65" s="20" t="n">
        <v>0.5138386</v>
      </c>
    </row>
    <row r="66" spans="1:18">
      <c r="A66" s="15" t="s">
        <v>626</v>
      </c>
      <c r="B66" s="17" t="n">
        <v>5325</v>
      </c>
      <c r="C66" s="18">
        <f>(3550.0/B66*100)</f>
        <v/>
      </c>
      <c r="D66" s="19" t="n">
        <v>1775</v>
      </c>
      <c r="E66" s="18" t="n">
        <v>82.62422637</v>
      </c>
      <c r="F66" s="20" t="n">
        <v>1.06434348</v>
      </c>
      <c r="G66" s="18" t="n">
        <v>8.844748559999999</v>
      </c>
      <c r="H66" s="20" t="n">
        <v>0.7168637</v>
      </c>
      <c r="I66" s="18" t="n">
        <v>0</v>
      </c>
      <c r="J66" s="20" t="n">
        <v>0</v>
      </c>
      <c r="K66" s="18" t="n">
        <v>3.1537854</v>
      </c>
      <c r="L66" s="20" t="n">
        <v>0.48185343</v>
      </c>
      <c r="M66" s="18" t="n">
        <v>0</v>
      </c>
      <c r="N66" s="20" t="n">
        <v>0</v>
      </c>
      <c r="O66" s="18" t="n">
        <v>0</v>
      </c>
      <c r="P66" s="20" t="n">
        <v>0</v>
      </c>
      <c r="Q66" s="18" t="n">
        <v>5.37723967</v>
      </c>
      <c r="R66" s="20" t="n">
        <v>0.63617329</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89.33078417</v>
      </c>
      <c r="F69" s="20" t="n">
        <v>1.86377567</v>
      </c>
      <c r="G69" s="18" t="n">
        <v>7.75748131</v>
      </c>
      <c r="H69" s="20" t="n">
        <v>1.40323206</v>
      </c>
      <c r="I69" s="18" t="n">
        <v>0</v>
      </c>
      <c r="J69" s="20" t="n">
        <v>0</v>
      </c>
      <c r="K69" s="18" t="n">
        <v>0.2286356</v>
      </c>
      <c r="L69" s="20" t="n">
        <v>0.22707946</v>
      </c>
      <c r="M69" s="18" t="n">
        <v>0</v>
      </c>
      <c r="N69" s="20" t="n">
        <v>0</v>
      </c>
      <c r="O69" s="18" t="n">
        <v>0</v>
      </c>
      <c r="P69" s="20" t="n">
        <v>0</v>
      </c>
      <c r="Q69" s="18" t="n">
        <v>2.68309891</v>
      </c>
      <c r="R69" s="20" t="n">
        <v>1.20490485</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92.09580764</v>
      </c>
      <c r="F71" s="20" t="n">
        <v>0.65960949</v>
      </c>
      <c r="G71" s="18" t="n">
        <v>7.48393534</v>
      </c>
      <c r="H71" s="20" t="n">
        <v>0.63741794</v>
      </c>
      <c r="I71" s="18" t="n">
        <v>0</v>
      </c>
      <c r="J71" s="20" t="n">
        <v>0</v>
      </c>
      <c r="K71" s="18" t="n">
        <v>0</v>
      </c>
      <c r="L71" s="20" t="n">
        <v>0</v>
      </c>
      <c r="M71" s="18" t="n">
        <v>0</v>
      </c>
      <c r="N71" s="20" t="n">
        <v>0</v>
      </c>
      <c r="O71" s="18" t="n">
        <v>0</v>
      </c>
      <c r="P71" s="20" t="n">
        <v>0</v>
      </c>
      <c r="Q71" s="18" t="n">
        <v>0.42025702</v>
      </c>
      <c r="R71" s="20" t="n">
        <v>0.18221018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75.64613147</v>
      </c>
      <c r="F76" s="20" t="n">
        <v>1.42162949</v>
      </c>
      <c r="G76" s="18" t="n">
        <v>13.89485952</v>
      </c>
      <c r="H76" s="20" t="n">
        <v>1.09296774</v>
      </c>
      <c r="I76" s="18" t="n">
        <v>0</v>
      </c>
      <c r="J76" s="20" t="n">
        <v>0</v>
      </c>
      <c r="K76" s="18" t="n">
        <v>2.88710815</v>
      </c>
      <c r="L76" s="20" t="n">
        <v>0.53791838</v>
      </c>
      <c r="M76" s="18" t="n">
        <v>0</v>
      </c>
      <c r="N76" s="20" t="n">
        <v>0</v>
      </c>
      <c r="O76" s="18" t="n">
        <v>0</v>
      </c>
      <c r="P76" s="20" t="n">
        <v>0</v>
      </c>
      <c r="Q76" s="18" t="n">
        <v>7.57190086</v>
      </c>
      <c r="R76" s="20" t="n">
        <v>0.87076742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46.41605054</v>
      </c>
      <c r="F80" s="20" t="n">
        <v>1.43639651</v>
      </c>
      <c r="G80" s="18" t="n">
        <v>53.58394946</v>
      </c>
      <c r="H80" s="20" t="n">
        <v>1.43639651</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72.95127364</v>
      </c>
      <c r="F81" s="20" t="n">
        <v>2.3742303</v>
      </c>
      <c r="G81" s="18" t="n">
        <v>19.88650695</v>
      </c>
      <c r="H81" s="20" t="n">
        <v>2.3403372</v>
      </c>
      <c r="I81" s="18" t="n">
        <v>0</v>
      </c>
      <c r="J81" s="20" t="n">
        <v>0</v>
      </c>
      <c r="K81" s="18" t="n">
        <v>2.1134705</v>
      </c>
      <c r="L81" s="20" t="n">
        <v>0.68358461</v>
      </c>
      <c r="M81" s="18" t="n">
        <v>0</v>
      </c>
      <c r="N81" s="20" t="n">
        <v>0</v>
      </c>
      <c r="O81" s="18" t="n">
        <v>0.16643305</v>
      </c>
      <c r="P81" s="20" t="n">
        <v>0.1666581</v>
      </c>
      <c r="Q81" s="18" t="n">
        <v>4.88231586</v>
      </c>
      <c r="R81" s="20" t="n">
        <v>0.93051788</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9.84751129</v>
      </c>
      <c r="F44" s="20" t="n">
        <v>0.9817076</v>
      </c>
      <c r="G44" s="18" t="n">
        <v>86.79714666</v>
      </c>
      <c r="H44" s="20" t="n">
        <v>1.12779296</v>
      </c>
      <c r="I44" s="18" t="n">
        <v>0</v>
      </c>
      <c r="J44" s="20" t="n">
        <v>0</v>
      </c>
      <c r="K44" s="18" t="n">
        <v>1.03238534</v>
      </c>
      <c r="L44" s="20" t="n">
        <v>0.28713767</v>
      </c>
      <c r="M44" s="18" t="n">
        <v>0</v>
      </c>
      <c r="N44" s="20" t="n">
        <v>0</v>
      </c>
      <c r="O44" s="18" t="n">
        <v>0.1555904</v>
      </c>
      <c r="P44" s="20" t="n">
        <v>0.1281181</v>
      </c>
      <c r="Q44" s="18" t="n">
        <v>2.16736632</v>
      </c>
      <c r="R44" s="20" t="n">
        <v>0.51013397</v>
      </c>
    </row>
    <row r="45" spans="1:18">
      <c r="A45" s="15" t="s">
        <v>604</v>
      </c>
      <c r="B45" s="17" t="n">
        <v>5519</v>
      </c>
      <c r="C45" s="18">
        <f>(3668.0/B45*100)</f>
        <v/>
      </c>
      <c r="D45" s="19" t="n">
        <v>1851</v>
      </c>
      <c r="E45" s="18" t="n">
        <v>31.36269577</v>
      </c>
      <c r="F45" s="20" t="n">
        <v>1.00641902</v>
      </c>
      <c r="G45" s="18" t="n">
        <v>59.38668615</v>
      </c>
      <c r="H45" s="20" t="n">
        <v>1.09675706</v>
      </c>
      <c r="I45" s="18" t="n">
        <v>0</v>
      </c>
      <c r="J45" s="20" t="n">
        <v>0</v>
      </c>
      <c r="K45" s="18" t="n">
        <v>4.17007796</v>
      </c>
      <c r="L45" s="20" t="n">
        <v>0.54912625</v>
      </c>
      <c r="M45" s="18" t="n">
        <v>0.49585935</v>
      </c>
      <c r="N45" s="20" t="n">
        <v>0.16375659</v>
      </c>
      <c r="O45" s="18" t="n">
        <v>2.26935975</v>
      </c>
      <c r="P45" s="20" t="n">
        <v>0.34207598</v>
      </c>
      <c r="Q45" s="18" t="n">
        <v>2.31532101</v>
      </c>
      <c r="R45" s="20" t="n">
        <v>0.38515338</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16.52497634</v>
      </c>
      <c r="F54" s="20" t="n">
        <v>0.88035528</v>
      </c>
      <c r="G54" s="18" t="n">
        <v>81.0322305</v>
      </c>
      <c r="H54" s="20" t="n">
        <v>0.93352606</v>
      </c>
      <c r="I54" s="18" t="n">
        <v>0</v>
      </c>
      <c r="J54" s="20" t="n">
        <v>0</v>
      </c>
      <c r="K54" s="18" t="n">
        <v>0.751381</v>
      </c>
      <c r="L54" s="20" t="n">
        <v>0.18749679</v>
      </c>
      <c r="M54" s="18" t="n">
        <v>0.04782648</v>
      </c>
      <c r="N54" s="20" t="n">
        <v>0.04970085</v>
      </c>
      <c r="O54" s="18" t="n">
        <v>0.32276493</v>
      </c>
      <c r="P54" s="20" t="n">
        <v>0.16184508</v>
      </c>
      <c r="Q54" s="18" t="n">
        <v>1.32082074</v>
      </c>
      <c r="R54" s="20" t="n">
        <v>0.2693362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10.53868502</v>
      </c>
      <c r="F56" s="20" t="n">
        <v>0.805389</v>
      </c>
      <c r="G56" s="18" t="n">
        <v>87.54535409</v>
      </c>
      <c r="H56" s="20" t="n">
        <v>0.88027195</v>
      </c>
      <c r="I56" s="18" t="n">
        <v>0</v>
      </c>
      <c r="J56" s="20" t="n">
        <v>0</v>
      </c>
      <c r="K56" s="18" t="n">
        <v>1.08603275</v>
      </c>
      <c r="L56" s="20" t="n">
        <v>0.34217243</v>
      </c>
      <c r="M56" s="18" t="n">
        <v>0.04602408</v>
      </c>
      <c r="N56" s="20" t="n">
        <v>0.04589218</v>
      </c>
      <c r="O56" s="18" t="n">
        <v>0.0429558</v>
      </c>
      <c r="P56" s="20" t="n">
        <v>0.04295256</v>
      </c>
      <c r="Q56" s="18" t="n">
        <v>0.74094827</v>
      </c>
      <c r="R56" s="20" t="n">
        <v>0.18123849</v>
      </c>
    </row>
    <row r="57" spans="1:18">
      <c r="A57" s="15" t="s">
        <v>616</v>
      </c>
      <c r="B57" s="17" t="n">
        <v>7267</v>
      </c>
      <c r="C57" s="18">
        <f>(4834.0/B57*100)</f>
        <v/>
      </c>
      <c r="D57" s="19" t="n">
        <v>2433</v>
      </c>
      <c r="E57" s="18" t="n">
        <v>13.85107937</v>
      </c>
      <c r="F57" s="20" t="n">
        <v>0.89614046</v>
      </c>
      <c r="G57" s="18" t="n">
        <v>82.13386299</v>
      </c>
      <c r="H57" s="20" t="n">
        <v>0.95706289</v>
      </c>
      <c r="I57" s="18" t="n">
        <v>0</v>
      </c>
      <c r="J57" s="20" t="n">
        <v>0</v>
      </c>
      <c r="K57" s="18" t="n">
        <v>1.49620993</v>
      </c>
      <c r="L57" s="20" t="n">
        <v>0.32108702</v>
      </c>
      <c r="M57" s="18" t="n">
        <v>0</v>
      </c>
      <c r="N57" s="20" t="n">
        <v>0</v>
      </c>
      <c r="O57" s="18" t="n">
        <v>0.50999186</v>
      </c>
      <c r="P57" s="20" t="n">
        <v>0.16738087</v>
      </c>
      <c r="Q57" s="18" t="n">
        <v>2.00885584</v>
      </c>
      <c r="R57" s="20" t="n">
        <v>0.34184527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24.28316293</v>
      </c>
      <c r="F59" s="20" t="n">
        <v>1.08967543</v>
      </c>
      <c r="G59" s="18" t="n">
        <v>74.14354919</v>
      </c>
      <c r="H59" s="20" t="n">
        <v>1.11131587</v>
      </c>
      <c r="I59" s="18" t="n">
        <v>0</v>
      </c>
      <c r="J59" s="20" t="n">
        <v>0</v>
      </c>
      <c r="K59" s="18" t="n">
        <v>0.51354166</v>
      </c>
      <c r="L59" s="20" t="n">
        <v>0.17140878</v>
      </c>
      <c r="M59" s="18" t="n">
        <v>0.21370063</v>
      </c>
      <c r="N59" s="20" t="n">
        <v>0.09928772</v>
      </c>
      <c r="O59" s="18" t="n">
        <v>0.64149712</v>
      </c>
      <c r="P59" s="20" t="n">
        <v>0.23213307</v>
      </c>
      <c r="Q59" s="18" t="n">
        <v>0.20454847</v>
      </c>
      <c r="R59" s="20" t="n">
        <v>0.1373604</v>
      </c>
    </row>
    <row r="60" spans="1:18">
      <c r="A60" s="15" t="s">
        <v>620</v>
      </c>
      <c r="B60" s="17" t="n">
        <v>4546</v>
      </c>
      <c r="C60" s="18">
        <f>(3041.0/B60*100)</f>
        <v/>
      </c>
      <c r="D60" s="19" t="n">
        <v>1505</v>
      </c>
      <c r="E60" s="18" t="n">
        <v>29.64142191</v>
      </c>
      <c r="F60" s="20" t="n">
        <v>1.58796948</v>
      </c>
      <c r="G60" s="18" t="n">
        <v>60.97948913</v>
      </c>
      <c r="H60" s="20" t="n">
        <v>1.69938538</v>
      </c>
      <c r="I60" s="18" t="n">
        <v>0</v>
      </c>
      <c r="J60" s="20" t="n">
        <v>0</v>
      </c>
      <c r="K60" s="18" t="n">
        <v>3.19244369</v>
      </c>
      <c r="L60" s="20" t="n">
        <v>0.50630819</v>
      </c>
      <c r="M60" s="18" t="n">
        <v>0</v>
      </c>
      <c r="N60" s="20" t="n">
        <v>0</v>
      </c>
      <c r="O60" s="18" t="n">
        <v>2.38117789</v>
      </c>
      <c r="P60" s="20" t="n">
        <v>0.51957926</v>
      </c>
      <c r="Q60" s="18" t="n">
        <v>3.80546738</v>
      </c>
      <c r="R60" s="20" t="n">
        <v>0.59007526</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22.15495215</v>
      </c>
      <c r="F63" s="20" t="n">
        <v>1.12856105</v>
      </c>
      <c r="G63" s="18" t="n">
        <v>73.27985432</v>
      </c>
      <c r="H63" s="20" t="n">
        <v>1.08685602</v>
      </c>
      <c r="I63" s="18" t="n">
        <v>0</v>
      </c>
      <c r="J63" s="20" t="n">
        <v>0</v>
      </c>
      <c r="K63" s="18" t="n">
        <v>1.83096421</v>
      </c>
      <c r="L63" s="20" t="n">
        <v>0.33342542</v>
      </c>
      <c r="M63" s="18" t="n">
        <v>0</v>
      </c>
      <c r="N63" s="20" t="n">
        <v>0</v>
      </c>
      <c r="O63" s="18" t="n">
        <v>0.44721273</v>
      </c>
      <c r="P63" s="20" t="n">
        <v>0.17468278</v>
      </c>
      <c r="Q63" s="18" t="n">
        <v>2.28701659</v>
      </c>
      <c r="R63" s="20" t="n">
        <v>0.40020498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10.97454932</v>
      </c>
      <c r="F65" s="20" t="n">
        <v>0.86227893</v>
      </c>
      <c r="G65" s="18" t="n">
        <v>86.02301567000001</v>
      </c>
      <c r="H65" s="20" t="n">
        <v>0.9442104100000001</v>
      </c>
      <c r="I65" s="18" t="n">
        <v>0</v>
      </c>
      <c r="J65" s="20" t="n">
        <v>0</v>
      </c>
      <c r="K65" s="18" t="n">
        <v>1.71196287</v>
      </c>
      <c r="L65" s="20" t="n">
        <v>0.38813981</v>
      </c>
      <c r="M65" s="18" t="n">
        <v>0</v>
      </c>
      <c r="N65" s="20" t="n">
        <v>0</v>
      </c>
      <c r="O65" s="18" t="n">
        <v>0.18217988</v>
      </c>
      <c r="P65" s="20" t="n">
        <v>0.12728744</v>
      </c>
      <c r="Q65" s="18" t="n">
        <v>1.10829226</v>
      </c>
      <c r="R65" s="20" t="n">
        <v>0.30922975</v>
      </c>
    </row>
    <row r="66" spans="1:18">
      <c r="A66" s="15" t="s">
        <v>626</v>
      </c>
      <c r="B66" s="17" t="n">
        <v>5325</v>
      </c>
      <c r="C66" s="18">
        <f>(3550.0/B66*100)</f>
        <v/>
      </c>
      <c r="D66" s="19" t="n">
        <v>1775</v>
      </c>
      <c r="E66" s="18" t="n">
        <v>13.04349983</v>
      </c>
      <c r="F66" s="20" t="n">
        <v>0.82396187</v>
      </c>
      <c r="G66" s="18" t="n">
        <v>81.76356293000001</v>
      </c>
      <c r="H66" s="20" t="n">
        <v>0.99379335</v>
      </c>
      <c r="I66" s="18" t="n">
        <v>0</v>
      </c>
      <c r="J66" s="20" t="n">
        <v>0</v>
      </c>
      <c r="K66" s="18" t="n">
        <v>3.31912035</v>
      </c>
      <c r="L66" s="20" t="n">
        <v>0.48301196</v>
      </c>
      <c r="M66" s="18" t="n">
        <v>0.64852499</v>
      </c>
      <c r="N66" s="20" t="n">
        <v>0.19948022</v>
      </c>
      <c r="O66" s="18" t="n">
        <v>0.05496116</v>
      </c>
      <c r="P66" s="20" t="n">
        <v>0.05500469</v>
      </c>
      <c r="Q66" s="18" t="n">
        <v>1.17033074</v>
      </c>
      <c r="R66" s="20" t="n">
        <v>0.29713007</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13.26784198</v>
      </c>
      <c r="F69" s="20" t="n">
        <v>1.82626933</v>
      </c>
      <c r="G69" s="18" t="n">
        <v>85.66122088</v>
      </c>
      <c r="H69" s="20" t="n">
        <v>1.98083573</v>
      </c>
      <c r="I69" s="18" t="n">
        <v>0</v>
      </c>
      <c r="J69" s="20" t="n">
        <v>0</v>
      </c>
      <c r="K69" s="18" t="n">
        <v>0.2286356</v>
      </c>
      <c r="L69" s="20" t="n">
        <v>0.22707946</v>
      </c>
      <c r="M69" s="18" t="n">
        <v>0</v>
      </c>
      <c r="N69" s="20" t="n">
        <v>0</v>
      </c>
      <c r="O69" s="18" t="n">
        <v>0.24067312</v>
      </c>
      <c r="P69" s="20" t="n">
        <v>0.24958145</v>
      </c>
      <c r="Q69" s="18" t="n">
        <v>0.6016284200000001</v>
      </c>
      <c r="R69" s="20" t="n">
        <v>0.34765559</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18.84178329</v>
      </c>
      <c r="F71" s="20" t="n">
        <v>0.99748892</v>
      </c>
      <c r="G71" s="18" t="n">
        <v>81.15821671</v>
      </c>
      <c r="H71" s="20" t="n">
        <v>0.99748892</v>
      </c>
      <c r="I71" s="18" t="n">
        <v>0</v>
      </c>
      <c r="J71" s="20" t="n">
        <v>0</v>
      </c>
      <c r="K71" s="18" t="n">
        <v>0</v>
      </c>
      <c r="L71" s="20" t="n">
        <v>0</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7.51173445</v>
      </c>
      <c r="F76" s="20" t="n">
        <v>0.66234877</v>
      </c>
      <c r="G76" s="18" t="n">
        <v>86.79834852</v>
      </c>
      <c r="H76" s="20" t="n">
        <v>0.8922686399999999</v>
      </c>
      <c r="I76" s="18" t="n">
        <v>0</v>
      </c>
      <c r="J76" s="20" t="n">
        <v>0</v>
      </c>
      <c r="K76" s="18" t="n">
        <v>3.02771773</v>
      </c>
      <c r="L76" s="20" t="n">
        <v>0.55176316</v>
      </c>
      <c r="M76" s="18" t="n">
        <v>0</v>
      </c>
      <c r="N76" s="20" t="n">
        <v>0</v>
      </c>
      <c r="O76" s="18" t="n">
        <v>0</v>
      </c>
      <c r="P76" s="20" t="n">
        <v>0</v>
      </c>
      <c r="Q76" s="18" t="n">
        <v>2.6621993</v>
      </c>
      <c r="R76" s="20" t="n">
        <v>0.45491436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1.17253644</v>
      </c>
      <c r="F80" s="20" t="n">
        <v>0.31985082</v>
      </c>
      <c r="G80" s="18" t="n">
        <v>98.82746356</v>
      </c>
      <c r="H80" s="20" t="n">
        <v>0.31985082</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12.09331992</v>
      </c>
      <c r="F81" s="20" t="n">
        <v>1.56563471</v>
      </c>
      <c r="G81" s="18" t="n">
        <v>83.9283945</v>
      </c>
      <c r="H81" s="20" t="n">
        <v>1.93121843</v>
      </c>
      <c r="I81" s="18" t="n">
        <v>0</v>
      </c>
      <c r="J81" s="20" t="n">
        <v>0</v>
      </c>
      <c r="K81" s="18" t="n">
        <v>2.19670279</v>
      </c>
      <c r="L81" s="20" t="n">
        <v>0.6415456</v>
      </c>
      <c r="M81" s="18" t="n">
        <v>0</v>
      </c>
      <c r="N81" s="20" t="n">
        <v>0</v>
      </c>
      <c r="O81" s="18" t="n">
        <v>0</v>
      </c>
      <c r="P81" s="20" t="n">
        <v>0</v>
      </c>
      <c r="Q81" s="18" t="n">
        <v>1.7815828</v>
      </c>
      <c r="R81" s="20" t="n">
        <v>0.65792476</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0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61.49968641</v>
      </c>
      <c r="F44" s="20" t="n">
        <v>1.63396968</v>
      </c>
      <c r="G44" s="18" t="n">
        <v>33.00152807</v>
      </c>
      <c r="H44" s="20" t="n">
        <v>1.54295729</v>
      </c>
      <c r="I44" s="18" t="n">
        <v>0</v>
      </c>
      <c r="J44" s="20" t="n">
        <v>0</v>
      </c>
      <c r="K44" s="18" t="n">
        <v>1.24177185</v>
      </c>
      <c r="L44" s="20" t="n">
        <v>0.31258323</v>
      </c>
      <c r="M44" s="18" t="n">
        <v>0</v>
      </c>
      <c r="N44" s="20" t="n">
        <v>0</v>
      </c>
      <c r="O44" s="18" t="n">
        <v>1.74808425</v>
      </c>
      <c r="P44" s="20" t="n">
        <v>0.35949254</v>
      </c>
      <c r="Q44" s="18" t="n">
        <v>2.50892942</v>
      </c>
      <c r="R44" s="20" t="n">
        <v>0.43661578</v>
      </c>
    </row>
    <row r="45" spans="1:18">
      <c r="A45" s="15" t="s">
        <v>604</v>
      </c>
      <c r="B45" s="17" t="n">
        <v>5519</v>
      </c>
      <c r="C45" s="18">
        <f>(3668.0/B45*100)</f>
        <v/>
      </c>
      <c r="D45" s="19" t="n">
        <v>1851</v>
      </c>
      <c r="E45" s="18" t="n">
        <v>69.49831834</v>
      </c>
      <c r="F45" s="20" t="n">
        <v>1.11694572</v>
      </c>
      <c r="G45" s="18" t="n">
        <v>19.22182556</v>
      </c>
      <c r="H45" s="20" t="n">
        <v>0.89190936</v>
      </c>
      <c r="I45" s="18" t="n">
        <v>0</v>
      </c>
      <c r="J45" s="20" t="n">
        <v>0</v>
      </c>
      <c r="K45" s="18" t="n">
        <v>4.59438508</v>
      </c>
      <c r="L45" s="20" t="n">
        <v>0.56849337</v>
      </c>
      <c r="M45" s="18" t="n">
        <v>0.71148654</v>
      </c>
      <c r="N45" s="20" t="n">
        <v>0.18163177</v>
      </c>
      <c r="O45" s="18" t="n">
        <v>4.16994292</v>
      </c>
      <c r="P45" s="20" t="n">
        <v>0.50884927</v>
      </c>
      <c r="Q45" s="18" t="n">
        <v>1.80404156</v>
      </c>
      <c r="R45" s="20" t="n">
        <v>0.26757779</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75.34581095</v>
      </c>
      <c r="F54" s="20" t="n">
        <v>1.22608898</v>
      </c>
      <c r="G54" s="18" t="n">
        <v>21.69341271</v>
      </c>
      <c r="H54" s="20" t="n">
        <v>1.17692733</v>
      </c>
      <c r="I54" s="18" t="n">
        <v>0</v>
      </c>
      <c r="J54" s="20" t="n">
        <v>0</v>
      </c>
      <c r="K54" s="18" t="n">
        <v>0.84593858</v>
      </c>
      <c r="L54" s="20" t="n">
        <v>0.18685519</v>
      </c>
      <c r="M54" s="18" t="n">
        <v>0</v>
      </c>
      <c r="N54" s="20" t="n">
        <v>0</v>
      </c>
      <c r="O54" s="18" t="n">
        <v>1.09794482</v>
      </c>
      <c r="P54" s="20" t="n">
        <v>0.2386113</v>
      </c>
      <c r="Q54" s="18" t="n">
        <v>1.01689294</v>
      </c>
      <c r="R54" s="20" t="n">
        <v>0.31166028</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66.57184719</v>
      </c>
      <c r="F56" s="20" t="n">
        <v>1.11922587</v>
      </c>
      <c r="G56" s="18" t="n">
        <v>31.06454053</v>
      </c>
      <c r="H56" s="20" t="n">
        <v>1.11187194</v>
      </c>
      <c r="I56" s="18" t="n">
        <v>0</v>
      </c>
      <c r="J56" s="20" t="n">
        <v>0</v>
      </c>
      <c r="K56" s="18" t="n">
        <v>1.22320362</v>
      </c>
      <c r="L56" s="20" t="n">
        <v>0.3494118</v>
      </c>
      <c r="M56" s="18" t="n">
        <v>0.04050809</v>
      </c>
      <c r="N56" s="20" t="n">
        <v>0.04198096</v>
      </c>
      <c r="O56" s="18" t="n">
        <v>0</v>
      </c>
      <c r="P56" s="20" t="n">
        <v>0</v>
      </c>
      <c r="Q56" s="18" t="n">
        <v>1.09990057</v>
      </c>
      <c r="R56" s="20" t="n">
        <v>0.23675183</v>
      </c>
    </row>
    <row r="57" spans="1:18">
      <c r="A57" s="15" t="s">
        <v>616</v>
      </c>
      <c r="B57" s="17" t="n">
        <v>7267</v>
      </c>
      <c r="C57" s="18">
        <f>(4834.0/B57*100)</f>
        <v/>
      </c>
      <c r="D57" s="19" t="n">
        <v>2433</v>
      </c>
      <c r="E57" s="18" t="n">
        <v>70.21287581999999</v>
      </c>
      <c r="F57" s="20" t="n">
        <v>1.41518077</v>
      </c>
      <c r="G57" s="18" t="n">
        <v>25.75592654</v>
      </c>
      <c r="H57" s="20" t="n">
        <v>1.26839668</v>
      </c>
      <c r="I57" s="18" t="n">
        <v>0</v>
      </c>
      <c r="J57" s="20" t="n">
        <v>0</v>
      </c>
      <c r="K57" s="18" t="n">
        <v>1.91871417</v>
      </c>
      <c r="L57" s="20" t="n">
        <v>0.35842682</v>
      </c>
      <c r="M57" s="18" t="n">
        <v>0</v>
      </c>
      <c r="N57" s="20" t="n">
        <v>0</v>
      </c>
      <c r="O57" s="18" t="n">
        <v>0.7888344900000001</v>
      </c>
      <c r="P57" s="20" t="n">
        <v>0.17484223</v>
      </c>
      <c r="Q57" s="18" t="n">
        <v>1.32364899</v>
      </c>
      <c r="R57" s="20" t="n">
        <v>0.31717476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70.48126197000001</v>
      </c>
      <c r="F59" s="20" t="n">
        <v>1.3621465</v>
      </c>
      <c r="G59" s="18" t="n">
        <v>25.78745881</v>
      </c>
      <c r="H59" s="20" t="n">
        <v>1.27479409</v>
      </c>
      <c r="I59" s="18" t="n">
        <v>0</v>
      </c>
      <c r="J59" s="20" t="n">
        <v>0</v>
      </c>
      <c r="K59" s="18" t="n">
        <v>0.51354166</v>
      </c>
      <c r="L59" s="20" t="n">
        <v>0.17140878</v>
      </c>
      <c r="M59" s="18" t="n">
        <v>0.81807076</v>
      </c>
      <c r="N59" s="20" t="n">
        <v>0.31237221</v>
      </c>
      <c r="O59" s="18" t="n">
        <v>2.13321871</v>
      </c>
      <c r="P59" s="20" t="n">
        <v>0.38129932</v>
      </c>
      <c r="Q59" s="18" t="n">
        <v>0.26644808</v>
      </c>
      <c r="R59" s="20" t="n">
        <v>0.11853077</v>
      </c>
    </row>
    <row r="60" spans="1:18">
      <c r="A60" s="15" t="s">
        <v>620</v>
      </c>
      <c r="B60" s="17" t="n">
        <v>4546</v>
      </c>
      <c r="C60" s="18">
        <f>(3041.0/B60*100)</f>
        <v/>
      </c>
      <c r="D60" s="19" t="n">
        <v>1505</v>
      </c>
      <c r="E60" s="18" t="n">
        <v>60.45868341</v>
      </c>
      <c r="F60" s="20" t="n">
        <v>1.42263079</v>
      </c>
      <c r="G60" s="18" t="n">
        <v>28.57145856</v>
      </c>
      <c r="H60" s="20" t="n">
        <v>1.48954728</v>
      </c>
      <c r="I60" s="18" t="n">
        <v>0</v>
      </c>
      <c r="J60" s="20" t="n">
        <v>0</v>
      </c>
      <c r="K60" s="18" t="n">
        <v>3.59595007</v>
      </c>
      <c r="L60" s="20" t="n">
        <v>0.55386907</v>
      </c>
      <c r="M60" s="18" t="n">
        <v>0</v>
      </c>
      <c r="N60" s="20" t="n">
        <v>0</v>
      </c>
      <c r="O60" s="18" t="n">
        <v>4.00301609</v>
      </c>
      <c r="P60" s="20" t="n">
        <v>0.6989795600000001</v>
      </c>
      <c r="Q60" s="18" t="n">
        <v>3.37089186</v>
      </c>
      <c r="R60" s="20" t="n">
        <v>0.49026281</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72.00328781</v>
      </c>
      <c r="F63" s="20" t="n">
        <v>1.21732011</v>
      </c>
      <c r="G63" s="18" t="n">
        <v>23.12313501</v>
      </c>
      <c r="H63" s="20" t="n">
        <v>1.11676888</v>
      </c>
      <c r="I63" s="18" t="n">
        <v>0</v>
      </c>
      <c r="J63" s="20" t="n">
        <v>0</v>
      </c>
      <c r="K63" s="18" t="n">
        <v>1.9363359</v>
      </c>
      <c r="L63" s="20" t="n">
        <v>0.34159548</v>
      </c>
      <c r="M63" s="18" t="n">
        <v>0</v>
      </c>
      <c r="N63" s="20" t="n">
        <v>0</v>
      </c>
      <c r="O63" s="18" t="n">
        <v>1.14870034</v>
      </c>
      <c r="P63" s="20" t="n">
        <v>0.24785161</v>
      </c>
      <c r="Q63" s="18" t="n">
        <v>1.78854095</v>
      </c>
      <c r="R63" s="20" t="n">
        <v>0.30834951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50.6873808</v>
      </c>
      <c r="F65" s="20" t="n">
        <v>1.33985532</v>
      </c>
      <c r="G65" s="18" t="n">
        <v>45.52599966</v>
      </c>
      <c r="H65" s="20" t="n">
        <v>1.28493159</v>
      </c>
      <c r="I65" s="18" t="n">
        <v>0</v>
      </c>
      <c r="J65" s="20" t="n">
        <v>0</v>
      </c>
      <c r="K65" s="18" t="n">
        <v>1.79127128</v>
      </c>
      <c r="L65" s="20" t="n">
        <v>0.37783913</v>
      </c>
      <c r="M65" s="18" t="n">
        <v>0</v>
      </c>
      <c r="N65" s="20" t="n">
        <v>0</v>
      </c>
      <c r="O65" s="18" t="n">
        <v>0.5952322</v>
      </c>
      <c r="P65" s="20" t="n">
        <v>0.22614976</v>
      </c>
      <c r="Q65" s="18" t="n">
        <v>1.40011606</v>
      </c>
      <c r="R65" s="20" t="n">
        <v>0.3384143</v>
      </c>
    </row>
    <row r="66" spans="1:18">
      <c r="A66" s="15" t="s">
        <v>626</v>
      </c>
      <c r="B66" s="17" t="n">
        <v>5325</v>
      </c>
      <c r="C66" s="18">
        <f>(3550.0/B66*100)</f>
        <v/>
      </c>
      <c r="D66" s="19" t="n">
        <v>1775</v>
      </c>
      <c r="E66" s="18" t="n">
        <v>63.73706849</v>
      </c>
      <c r="F66" s="20" t="n">
        <v>1.43888256</v>
      </c>
      <c r="G66" s="18" t="n">
        <v>27.75554999</v>
      </c>
      <c r="H66" s="20" t="n">
        <v>1.34114714</v>
      </c>
      <c r="I66" s="18" t="n">
        <v>0</v>
      </c>
      <c r="J66" s="20" t="n">
        <v>0</v>
      </c>
      <c r="K66" s="18" t="n">
        <v>3.48693088</v>
      </c>
      <c r="L66" s="20" t="n">
        <v>0.50799159</v>
      </c>
      <c r="M66" s="18" t="n">
        <v>3.83364061</v>
      </c>
      <c r="N66" s="20" t="n">
        <v>0.53941223</v>
      </c>
      <c r="O66" s="18" t="n">
        <v>0.0655939</v>
      </c>
      <c r="P66" s="20" t="n">
        <v>0.04630147</v>
      </c>
      <c r="Q66" s="18" t="n">
        <v>1.12121612</v>
      </c>
      <c r="R66" s="20" t="n">
        <v>0.28187753</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70.58400422</v>
      </c>
      <c r="F69" s="20" t="n">
        <v>2.07889438</v>
      </c>
      <c r="G69" s="18" t="n">
        <v>28.80568347</v>
      </c>
      <c r="H69" s="20" t="n">
        <v>2.08076454</v>
      </c>
      <c r="I69" s="18" t="n">
        <v>0</v>
      </c>
      <c r="J69" s="20" t="n">
        <v>0</v>
      </c>
      <c r="K69" s="18" t="n">
        <v>0.2286356</v>
      </c>
      <c r="L69" s="20" t="n">
        <v>0.22707946</v>
      </c>
      <c r="M69" s="18" t="n">
        <v>0</v>
      </c>
      <c r="N69" s="20" t="n">
        <v>0</v>
      </c>
      <c r="O69" s="18" t="n">
        <v>0.22758645</v>
      </c>
      <c r="P69" s="20" t="n">
        <v>0.21877706</v>
      </c>
      <c r="Q69" s="18" t="n">
        <v>0.15409025</v>
      </c>
      <c r="R69" s="20" t="n">
        <v>0.15877279</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72.37128065</v>
      </c>
      <c r="F71" s="20" t="n">
        <v>1.37320704</v>
      </c>
      <c r="G71" s="18" t="n">
        <v>27.62871935</v>
      </c>
      <c r="H71" s="20" t="n">
        <v>1.37320704</v>
      </c>
      <c r="I71" s="18" t="n">
        <v>0</v>
      </c>
      <c r="J71" s="20" t="n">
        <v>0</v>
      </c>
      <c r="K71" s="18" t="n">
        <v>0</v>
      </c>
      <c r="L71" s="20" t="n">
        <v>0</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55.30999052</v>
      </c>
      <c r="F76" s="20" t="n">
        <v>1.32565846</v>
      </c>
      <c r="G76" s="18" t="n">
        <v>40.1893596</v>
      </c>
      <c r="H76" s="20" t="n">
        <v>1.37908098</v>
      </c>
      <c r="I76" s="18" t="n">
        <v>0</v>
      </c>
      <c r="J76" s="20" t="n">
        <v>0</v>
      </c>
      <c r="K76" s="18" t="n">
        <v>3.32359469</v>
      </c>
      <c r="L76" s="20" t="n">
        <v>0.59586301</v>
      </c>
      <c r="M76" s="18" t="n">
        <v>0</v>
      </c>
      <c r="N76" s="20" t="n">
        <v>0</v>
      </c>
      <c r="O76" s="18" t="n">
        <v>0.1138795</v>
      </c>
      <c r="P76" s="20" t="n">
        <v>0.08114549</v>
      </c>
      <c r="Q76" s="18" t="n">
        <v>1.0631757</v>
      </c>
      <c r="R76" s="20" t="n">
        <v>0.29250209</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28.80623566</v>
      </c>
      <c r="F80" s="20" t="n">
        <v>1.47496482</v>
      </c>
      <c r="G80" s="18" t="n">
        <v>71.14312845000001</v>
      </c>
      <c r="H80" s="20" t="n">
        <v>1.47859943</v>
      </c>
      <c r="I80" s="18" t="n">
        <v>0</v>
      </c>
      <c r="J80" s="20" t="n">
        <v>0</v>
      </c>
      <c r="K80" s="18" t="n">
        <v>0</v>
      </c>
      <c r="L80" s="20" t="n">
        <v>0</v>
      </c>
      <c r="M80" s="18" t="n">
        <v>0</v>
      </c>
      <c r="N80" s="20" t="n">
        <v>0</v>
      </c>
      <c r="O80" s="18" t="n">
        <v>0</v>
      </c>
      <c r="P80" s="20" t="n">
        <v>0</v>
      </c>
      <c r="Q80" s="18" t="n">
        <v>0.05063589</v>
      </c>
      <c r="R80" s="20" t="n">
        <v>0.05073022</v>
      </c>
    </row>
    <row r="81" spans="1:18">
      <c r="A81" s="15" t="s">
        <v>641</v>
      </c>
      <c r="B81" s="17" t="n">
        <v>1657</v>
      </c>
      <c r="C81" s="18">
        <f>(1109.0/B81*100)</f>
        <v/>
      </c>
      <c r="D81" s="19" t="n">
        <v>548</v>
      </c>
      <c r="E81" s="18" t="n">
        <v>47.01341289</v>
      </c>
      <c r="F81" s="20" t="n">
        <v>2.43650131</v>
      </c>
      <c r="G81" s="18" t="n">
        <v>47.08048246</v>
      </c>
      <c r="H81" s="20" t="n">
        <v>2.82988661</v>
      </c>
      <c r="I81" s="18" t="n">
        <v>0</v>
      </c>
      <c r="J81" s="20" t="n">
        <v>0</v>
      </c>
      <c r="K81" s="18" t="n">
        <v>2.19670279</v>
      </c>
      <c r="L81" s="20" t="n">
        <v>0.6415456</v>
      </c>
      <c r="M81" s="18" t="n">
        <v>0.96145612</v>
      </c>
      <c r="N81" s="20" t="n">
        <v>0.36702916</v>
      </c>
      <c r="O81" s="18" t="n">
        <v>1.65517665</v>
      </c>
      <c r="P81" s="20" t="n">
        <v>0.75647047</v>
      </c>
      <c r="Q81" s="18" t="n">
        <v>1.09276909</v>
      </c>
      <c r="R81" s="20" t="n">
        <v>0.48481401</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55.66139788</v>
      </c>
      <c r="F44" s="20" t="n">
        <v>1.35378139</v>
      </c>
      <c r="G44" s="18" t="n">
        <v>37.8421529</v>
      </c>
      <c r="H44" s="20" t="n">
        <v>1.47761279</v>
      </c>
      <c r="I44" s="18" t="n">
        <v>0</v>
      </c>
      <c r="J44" s="20" t="n">
        <v>0</v>
      </c>
      <c r="K44" s="18" t="n">
        <v>2.10135798</v>
      </c>
      <c r="L44" s="20" t="n">
        <v>0.36412192</v>
      </c>
      <c r="M44" s="18" t="n">
        <v>0</v>
      </c>
      <c r="N44" s="20" t="n">
        <v>0</v>
      </c>
      <c r="O44" s="18" t="n">
        <v>0</v>
      </c>
      <c r="P44" s="20" t="n">
        <v>0</v>
      </c>
      <c r="Q44" s="18" t="n">
        <v>4.39509124</v>
      </c>
      <c r="R44" s="20" t="n">
        <v>0.58428966</v>
      </c>
    </row>
    <row r="45" spans="1:18">
      <c r="A45" s="15" t="s">
        <v>604</v>
      </c>
      <c r="B45" s="17" t="n">
        <v>5519</v>
      </c>
      <c r="C45" s="18">
        <f>(3668.0/B45*100)</f>
        <v/>
      </c>
      <c r="D45" s="19" t="n">
        <v>1851</v>
      </c>
      <c r="E45" s="18" t="n">
        <v>66.20726657</v>
      </c>
      <c r="F45" s="20" t="n">
        <v>1.31401679</v>
      </c>
      <c r="G45" s="18" t="n">
        <v>24.91269491</v>
      </c>
      <c r="H45" s="20" t="n">
        <v>1.27742576</v>
      </c>
      <c r="I45" s="18" t="n">
        <v>0</v>
      </c>
      <c r="J45" s="20" t="n">
        <v>0</v>
      </c>
      <c r="K45" s="18" t="n">
        <v>4.81902013</v>
      </c>
      <c r="L45" s="20" t="n">
        <v>0.6037297700000001</v>
      </c>
      <c r="M45" s="18" t="n">
        <v>0.47362857</v>
      </c>
      <c r="N45" s="20" t="n">
        <v>0.15456337</v>
      </c>
      <c r="O45" s="18" t="n">
        <v>0</v>
      </c>
      <c r="P45" s="20" t="n">
        <v>0</v>
      </c>
      <c r="Q45" s="18" t="n">
        <v>3.58738982</v>
      </c>
      <c r="R45" s="20" t="n">
        <v>0.42872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67.20658204</v>
      </c>
      <c r="F54" s="20" t="n">
        <v>1.28942718</v>
      </c>
      <c r="G54" s="18" t="n">
        <v>29.3299598</v>
      </c>
      <c r="H54" s="20" t="n">
        <v>1.34178989</v>
      </c>
      <c r="I54" s="18" t="n">
        <v>0</v>
      </c>
      <c r="J54" s="20" t="n">
        <v>0</v>
      </c>
      <c r="K54" s="18" t="n">
        <v>0.99466052</v>
      </c>
      <c r="L54" s="20" t="n">
        <v>0.20575613</v>
      </c>
      <c r="M54" s="18" t="n">
        <v>0</v>
      </c>
      <c r="N54" s="20" t="n">
        <v>0</v>
      </c>
      <c r="O54" s="18" t="n">
        <v>0</v>
      </c>
      <c r="P54" s="20" t="n">
        <v>0</v>
      </c>
      <c r="Q54" s="18" t="n">
        <v>2.46879764</v>
      </c>
      <c r="R54" s="20" t="n">
        <v>0.41266663</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77.35502044</v>
      </c>
      <c r="F56" s="20" t="n">
        <v>1.12601958</v>
      </c>
      <c r="G56" s="18" t="n">
        <v>19.95900815</v>
      </c>
      <c r="H56" s="20" t="n">
        <v>1.09304941</v>
      </c>
      <c r="I56" s="18" t="n">
        <v>0</v>
      </c>
      <c r="J56" s="20" t="n">
        <v>0</v>
      </c>
      <c r="K56" s="18" t="n">
        <v>1.44217631</v>
      </c>
      <c r="L56" s="20" t="n">
        <v>0.34765505</v>
      </c>
      <c r="M56" s="18" t="n">
        <v>0.04050809</v>
      </c>
      <c r="N56" s="20" t="n">
        <v>0.04198096</v>
      </c>
      <c r="O56" s="18" t="n">
        <v>0</v>
      </c>
      <c r="P56" s="20" t="n">
        <v>0</v>
      </c>
      <c r="Q56" s="18" t="n">
        <v>1.20328701</v>
      </c>
      <c r="R56" s="20" t="n">
        <v>0.24698255</v>
      </c>
    </row>
    <row r="57" spans="1:18">
      <c r="A57" s="15" t="s">
        <v>616</v>
      </c>
      <c r="B57" s="17" t="n">
        <v>7267</v>
      </c>
      <c r="C57" s="18">
        <f>(4834.0/B57*100)</f>
        <v/>
      </c>
      <c r="D57" s="19" t="n">
        <v>2433</v>
      </c>
      <c r="E57" s="18" t="n">
        <v>66.18793546000001</v>
      </c>
      <c r="F57" s="20" t="n">
        <v>1.27313628</v>
      </c>
      <c r="G57" s="18" t="n">
        <v>30.09532247</v>
      </c>
      <c r="H57" s="20" t="n">
        <v>1.2842079</v>
      </c>
      <c r="I57" s="18" t="n">
        <v>0</v>
      </c>
      <c r="J57" s="20" t="n">
        <v>0</v>
      </c>
      <c r="K57" s="18" t="n">
        <v>2.12259704</v>
      </c>
      <c r="L57" s="20" t="n">
        <v>0.37336376</v>
      </c>
      <c r="M57" s="18" t="n">
        <v>0</v>
      </c>
      <c r="N57" s="20" t="n">
        <v>0</v>
      </c>
      <c r="O57" s="18" t="n">
        <v>0.10538774</v>
      </c>
      <c r="P57" s="20" t="n">
        <v>0.07898745</v>
      </c>
      <c r="Q57" s="18" t="n">
        <v>1.48875729</v>
      </c>
      <c r="R57" s="20" t="n">
        <v>0.31087017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72.94032279</v>
      </c>
      <c r="F59" s="20" t="n">
        <v>1.34204926</v>
      </c>
      <c r="G59" s="18" t="n">
        <v>26.04592965</v>
      </c>
      <c r="H59" s="20" t="n">
        <v>1.37609458</v>
      </c>
      <c r="I59" s="18" t="n">
        <v>0</v>
      </c>
      <c r="J59" s="20" t="n">
        <v>0</v>
      </c>
      <c r="K59" s="18" t="n">
        <v>0.51354166</v>
      </c>
      <c r="L59" s="20" t="n">
        <v>0.17140878</v>
      </c>
      <c r="M59" s="18" t="n">
        <v>0.02494294</v>
      </c>
      <c r="N59" s="20" t="n">
        <v>0.02504793</v>
      </c>
      <c r="O59" s="18" t="n">
        <v>0</v>
      </c>
      <c r="P59" s="20" t="n">
        <v>0</v>
      </c>
      <c r="Q59" s="18" t="n">
        <v>0.47526295</v>
      </c>
      <c r="R59" s="20" t="n">
        <v>0.19210746</v>
      </c>
    </row>
    <row r="60" spans="1:18">
      <c r="A60" s="15" t="s">
        <v>620</v>
      </c>
      <c r="B60" s="17" t="n">
        <v>4546</v>
      </c>
      <c r="C60" s="18">
        <f>(3041.0/B60*100)</f>
        <v/>
      </c>
      <c r="D60" s="19" t="n">
        <v>1505</v>
      </c>
      <c r="E60" s="18" t="n">
        <v>56.82468562</v>
      </c>
      <c r="F60" s="20" t="n">
        <v>1.47159846</v>
      </c>
      <c r="G60" s="18" t="n">
        <v>36.54915703</v>
      </c>
      <c r="H60" s="20" t="n">
        <v>1.44318002</v>
      </c>
      <c r="I60" s="18" t="n">
        <v>0</v>
      </c>
      <c r="J60" s="20" t="n">
        <v>0</v>
      </c>
      <c r="K60" s="18" t="n">
        <v>4.15578847</v>
      </c>
      <c r="L60" s="20" t="n">
        <v>0.6511107900000001</v>
      </c>
      <c r="M60" s="18" t="n">
        <v>0</v>
      </c>
      <c r="N60" s="20" t="n">
        <v>0</v>
      </c>
      <c r="O60" s="18" t="n">
        <v>0</v>
      </c>
      <c r="P60" s="20" t="n">
        <v>0</v>
      </c>
      <c r="Q60" s="18" t="n">
        <v>2.47036888</v>
      </c>
      <c r="R60" s="20" t="n">
        <v>0.44107177</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65.90085009000001</v>
      </c>
      <c r="F63" s="20" t="n">
        <v>1.32314413</v>
      </c>
      <c r="G63" s="18" t="n">
        <v>28.04541525</v>
      </c>
      <c r="H63" s="20" t="n">
        <v>1.19697869</v>
      </c>
      <c r="I63" s="18" t="n">
        <v>0</v>
      </c>
      <c r="J63" s="20" t="n">
        <v>0</v>
      </c>
      <c r="K63" s="18" t="n">
        <v>2.63761276</v>
      </c>
      <c r="L63" s="20" t="n">
        <v>0.48387864</v>
      </c>
      <c r="M63" s="18" t="n">
        <v>0</v>
      </c>
      <c r="N63" s="20" t="n">
        <v>0</v>
      </c>
      <c r="O63" s="18" t="n">
        <v>0</v>
      </c>
      <c r="P63" s="20" t="n">
        <v>0</v>
      </c>
      <c r="Q63" s="18" t="n">
        <v>3.4161219</v>
      </c>
      <c r="R63" s="20" t="n">
        <v>0.47235634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49.59643213</v>
      </c>
      <c r="F65" s="20" t="n">
        <v>1.34943008</v>
      </c>
      <c r="G65" s="18" t="n">
        <v>46.68121969</v>
      </c>
      <c r="H65" s="20" t="n">
        <v>1.44626466</v>
      </c>
      <c r="I65" s="18" t="n">
        <v>0</v>
      </c>
      <c r="J65" s="20" t="n">
        <v>0</v>
      </c>
      <c r="K65" s="18" t="n">
        <v>1.86873501</v>
      </c>
      <c r="L65" s="20" t="n">
        <v>0.38442992</v>
      </c>
      <c r="M65" s="18" t="n">
        <v>0</v>
      </c>
      <c r="N65" s="20" t="n">
        <v>0</v>
      </c>
      <c r="O65" s="18" t="n">
        <v>0.09088108</v>
      </c>
      <c r="P65" s="20" t="n">
        <v>0.0911252</v>
      </c>
      <c r="Q65" s="18" t="n">
        <v>1.76273208</v>
      </c>
      <c r="R65" s="20" t="n">
        <v>0.38107199</v>
      </c>
    </row>
    <row r="66" spans="1:18">
      <c r="A66" s="15" t="s">
        <v>626</v>
      </c>
      <c r="B66" s="17" t="n">
        <v>5325</v>
      </c>
      <c r="C66" s="18">
        <f>(3550.0/B66*100)</f>
        <v/>
      </c>
      <c r="D66" s="19" t="n">
        <v>1775</v>
      </c>
      <c r="E66" s="18" t="n">
        <v>53.50209386</v>
      </c>
      <c r="F66" s="20" t="n">
        <v>1.24800526</v>
      </c>
      <c r="G66" s="18" t="n">
        <v>40.01217856</v>
      </c>
      <c r="H66" s="20" t="n">
        <v>1.2268196</v>
      </c>
      <c r="I66" s="18" t="n">
        <v>0</v>
      </c>
      <c r="J66" s="20" t="n">
        <v>0</v>
      </c>
      <c r="K66" s="18" t="n">
        <v>4.60056292</v>
      </c>
      <c r="L66" s="20" t="n">
        <v>0.57062824</v>
      </c>
      <c r="M66" s="18" t="n">
        <v>0</v>
      </c>
      <c r="N66" s="20" t="n">
        <v>0</v>
      </c>
      <c r="O66" s="18" t="n">
        <v>0</v>
      </c>
      <c r="P66" s="20" t="n">
        <v>0</v>
      </c>
      <c r="Q66" s="18" t="n">
        <v>1.88516467</v>
      </c>
      <c r="R66" s="20" t="n">
        <v>0.30212035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68.35905812999999</v>
      </c>
      <c r="F69" s="20" t="n">
        <v>2.42593662</v>
      </c>
      <c r="G69" s="18" t="n">
        <v>30.64530266</v>
      </c>
      <c r="H69" s="20" t="n">
        <v>2.42329128</v>
      </c>
      <c r="I69" s="18" t="n">
        <v>0</v>
      </c>
      <c r="J69" s="20" t="n">
        <v>0</v>
      </c>
      <c r="K69" s="18" t="n">
        <v>0.2286356</v>
      </c>
      <c r="L69" s="20" t="n">
        <v>0.22707946</v>
      </c>
      <c r="M69" s="18" t="n">
        <v>0</v>
      </c>
      <c r="N69" s="20" t="n">
        <v>0</v>
      </c>
      <c r="O69" s="18" t="n">
        <v>0</v>
      </c>
      <c r="P69" s="20" t="n">
        <v>0</v>
      </c>
      <c r="Q69" s="18" t="n">
        <v>0.7670036099999999</v>
      </c>
      <c r="R69" s="20" t="n">
        <v>0.38470008</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60.94985188</v>
      </c>
      <c r="F71" s="20" t="n">
        <v>1.5869967</v>
      </c>
      <c r="G71" s="18" t="n">
        <v>38.62757597</v>
      </c>
      <c r="H71" s="20" t="n">
        <v>1.58884415</v>
      </c>
      <c r="I71" s="18" t="n">
        <v>0</v>
      </c>
      <c r="J71" s="20" t="n">
        <v>0</v>
      </c>
      <c r="K71" s="18" t="n">
        <v>0</v>
      </c>
      <c r="L71" s="20" t="n">
        <v>0</v>
      </c>
      <c r="M71" s="18" t="n">
        <v>0</v>
      </c>
      <c r="N71" s="20" t="n">
        <v>0</v>
      </c>
      <c r="O71" s="18" t="n">
        <v>0</v>
      </c>
      <c r="P71" s="20" t="n">
        <v>0</v>
      </c>
      <c r="Q71" s="18" t="n">
        <v>0.42257215</v>
      </c>
      <c r="R71" s="20" t="n">
        <v>0.18443247</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58.5342661</v>
      </c>
      <c r="F76" s="20" t="n">
        <v>1.34943952</v>
      </c>
      <c r="G76" s="18" t="n">
        <v>33.94800994</v>
      </c>
      <c r="H76" s="20" t="n">
        <v>1.25812218</v>
      </c>
      <c r="I76" s="18" t="n">
        <v>0</v>
      </c>
      <c r="J76" s="20" t="n">
        <v>0</v>
      </c>
      <c r="K76" s="18" t="n">
        <v>4.97639341</v>
      </c>
      <c r="L76" s="20" t="n">
        <v>0.64572003</v>
      </c>
      <c r="M76" s="18" t="n">
        <v>0</v>
      </c>
      <c r="N76" s="20" t="n">
        <v>0</v>
      </c>
      <c r="O76" s="18" t="n">
        <v>0</v>
      </c>
      <c r="P76" s="20" t="n">
        <v>0</v>
      </c>
      <c r="Q76" s="18" t="n">
        <v>2.54133055</v>
      </c>
      <c r="R76" s="20" t="n">
        <v>0.50531698</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48.14313481</v>
      </c>
      <c r="F80" s="20" t="n">
        <v>1.39827992</v>
      </c>
      <c r="G80" s="18" t="n">
        <v>51.85686519</v>
      </c>
      <c r="H80" s="20" t="n">
        <v>1.39827992</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40.16967717</v>
      </c>
      <c r="F81" s="20" t="n">
        <v>2.91224041</v>
      </c>
      <c r="G81" s="18" t="n">
        <v>53.19523092</v>
      </c>
      <c r="H81" s="20" t="n">
        <v>3.10628299</v>
      </c>
      <c r="I81" s="18" t="n">
        <v>0</v>
      </c>
      <c r="J81" s="20" t="n">
        <v>0</v>
      </c>
      <c r="K81" s="18" t="n">
        <v>3.2121736</v>
      </c>
      <c r="L81" s="20" t="n">
        <v>0.73374412</v>
      </c>
      <c r="M81" s="18" t="n">
        <v>0.96145612</v>
      </c>
      <c r="N81" s="20" t="n">
        <v>0.36702916</v>
      </c>
      <c r="O81" s="18" t="n">
        <v>0</v>
      </c>
      <c r="P81" s="20" t="n">
        <v>0</v>
      </c>
      <c r="Q81" s="18" t="n">
        <v>2.46146219</v>
      </c>
      <c r="R81" s="20" t="n">
        <v>0.62048241</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41.43832646</v>
      </c>
      <c r="F44" s="20" t="n">
        <v>1.7288834</v>
      </c>
      <c r="G44" s="18" t="n">
        <v>51.57028763</v>
      </c>
      <c r="H44" s="20" t="n">
        <v>1.86543236</v>
      </c>
      <c r="I44" s="18" t="n">
        <v>0</v>
      </c>
      <c r="J44" s="20" t="n">
        <v>0</v>
      </c>
      <c r="K44" s="18" t="n">
        <v>2.38009486</v>
      </c>
      <c r="L44" s="20" t="n">
        <v>0.39347477</v>
      </c>
      <c r="M44" s="18" t="n">
        <v>0</v>
      </c>
      <c r="N44" s="20" t="n">
        <v>0</v>
      </c>
      <c r="O44" s="18" t="n">
        <v>0</v>
      </c>
      <c r="P44" s="20" t="n">
        <v>0</v>
      </c>
      <c r="Q44" s="18" t="n">
        <v>4.61129105</v>
      </c>
      <c r="R44" s="20" t="n">
        <v>0.65559443</v>
      </c>
    </row>
    <row r="45" spans="1:18">
      <c r="A45" s="15" t="s">
        <v>604</v>
      </c>
      <c r="B45" s="17" t="n">
        <v>5519</v>
      </c>
      <c r="C45" s="18">
        <f>(3668.0/B45*100)</f>
        <v/>
      </c>
      <c r="D45" s="19" t="n">
        <v>1851</v>
      </c>
      <c r="E45" s="18" t="n">
        <v>61.58908181</v>
      </c>
      <c r="F45" s="20" t="n">
        <v>1.39474731</v>
      </c>
      <c r="G45" s="18" t="n">
        <v>30.18697809</v>
      </c>
      <c r="H45" s="20" t="n">
        <v>1.16498653</v>
      </c>
      <c r="I45" s="18" t="n">
        <v>0</v>
      </c>
      <c r="J45" s="20" t="n">
        <v>0</v>
      </c>
      <c r="K45" s="18" t="n">
        <v>5.03417131</v>
      </c>
      <c r="L45" s="20" t="n">
        <v>0.61595913</v>
      </c>
      <c r="M45" s="18" t="n">
        <v>0.43134233</v>
      </c>
      <c r="N45" s="20" t="n">
        <v>0.14822774</v>
      </c>
      <c r="O45" s="18" t="n">
        <v>0.04782566</v>
      </c>
      <c r="P45" s="20" t="n">
        <v>0.04887804</v>
      </c>
      <c r="Q45" s="18" t="n">
        <v>2.71060081</v>
      </c>
      <c r="R45" s="20" t="n">
        <v>0.42373322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49.25232979</v>
      </c>
      <c r="F54" s="20" t="n">
        <v>1.2492149</v>
      </c>
      <c r="G54" s="18" t="n">
        <v>47.7825689</v>
      </c>
      <c r="H54" s="20" t="n">
        <v>1.21396828</v>
      </c>
      <c r="I54" s="18" t="n">
        <v>0</v>
      </c>
      <c r="J54" s="20" t="n">
        <v>0</v>
      </c>
      <c r="K54" s="18" t="n">
        <v>1.15162641</v>
      </c>
      <c r="L54" s="20" t="n">
        <v>0.22163992</v>
      </c>
      <c r="M54" s="18" t="n">
        <v>0.05830288</v>
      </c>
      <c r="N54" s="20" t="n">
        <v>0.05842501</v>
      </c>
      <c r="O54" s="18" t="n">
        <v>0</v>
      </c>
      <c r="P54" s="20" t="n">
        <v>0</v>
      </c>
      <c r="Q54" s="18" t="n">
        <v>1.75517203</v>
      </c>
      <c r="R54" s="20" t="n">
        <v>0.3570957</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53.91105162</v>
      </c>
      <c r="F56" s="20" t="n">
        <v>1.20008656</v>
      </c>
      <c r="G56" s="18" t="n">
        <v>43.488508</v>
      </c>
      <c r="H56" s="20" t="n">
        <v>1.14943259</v>
      </c>
      <c r="I56" s="18" t="n">
        <v>0</v>
      </c>
      <c r="J56" s="20" t="n">
        <v>0</v>
      </c>
      <c r="K56" s="18" t="n">
        <v>1.56356515</v>
      </c>
      <c r="L56" s="20" t="n">
        <v>0.35196155</v>
      </c>
      <c r="M56" s="18" t="n">
        <v>0</v>
      </c>
      <c r="N56" s="20" t="n">
        <v>0</v>
      </c>
      <c r="O56" s="18" t="n">
        <v>0</v>
      </c>
      <c r="P56" s="20" t="n">
        <v>0</v>
      </c>
      <c r="Q56" s="18" t="n">
        <v>1.03687523</v>
      </c>
      <c r="R56" s="20" t="n">
        <v>0.22304342</v>
      </c>
    </row>
    <row r="57" spans="1:18">
      <c r="A57" s="15" t="s">
        <v>616</v>
      </c>
      <c r="B57" s="17" t="n">
        <v>7267</v>
      </c>
      <c r="C57" s="18">
        <f>(4834.0/B57*100)</f>
        <v/>
      </c>
      <c r="D57" s="19" t="n">
        <v>2433</v>
      </c>
      <c r="E57" s="18" t="n">
        <v>45.33833405</v>
      </c>
      <c r="F57" s="20" t="n">
        <v>1.40789092</v>
      </c>
      <c r="G57" s="18" t="n">
        <v>50.55697649</v>
      </c>
      <c r="H57" s="20" t="n">
        <v>1.31708217</v>
      </c>
      <c r="I57" s="18" t="n">
        <v>0</v>
      </c>
      <c r="J57" s="20" t="n">
        <v>0</v>
      </c>
      <c r="K57" s="18" t="n">
        <v>2.32552684</v>
      </c>
      <c r="L57" s="20" t="n">
        <v>0.39494981</v>
      </c>
      <c r="M57" s="18" t="n">
        <v>0</v>
      </c>
      <c r="N57" s="20" t="n">
        <v>0</v>
      </c>
      <c r="O57" s="18" t="n">
        <v>0.11977547</v>
      </c>
      <c r="P57" s="20" t="n">
        <v>0.08018195</v>
      </c>
      <c r="Q57" s="18" t="n">
        <v>1.65938714</v>
      </c>
      <c r="R57" s="20" t="n">
        <v>0.39899274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60.06980989</v>
      </c>
      <c r="F59" s="20" t="n">
        <v>1.48577875</v>
      </c>
      <c r="G59" s="18" t="n">
        <v>38.69279728</v>
      </c>
      <c r="H59" s="20" t="n">
        <v>1.46942071</v>
      </c>
      <c r="I59" s="18" t="n">
        <v>0</v>
      </c>
      <c r="J59" s="20" t="n">
        <v>0</v>
      </c>
      <c r="K59" s="18" t="n">
        <v>0.58907694</v>
      </c>
      <c r="L59" s="20" t="n">
        <v>0.16632552</v>
      </c>
      <c r="M59" s="18" t="n">
        <v>0.02494294</v>
      </c>
      <c r="N59" s="20" t="n">
        <v>0.02504793</v>
      </c>
      <c r="O59" s="18" t="n">
        <v>0</v>
      </c>
      <c r="P59" s="20" t="n">
        <v>0</v>
      </c>
      <c r="Q59" s="18" t="n">
        <v>0.62337296</v>
      </c>
      <c r="R59" s="20" t="n">
        <v>0.20987745</v>
      </c>
    </row>
    <row r="60" spans="1:18">
      <c r="A60" s="15" t="s">
        <v>620</v>
      </c>
      <c r="B60" s="17" t="n">
        <v>4546</v>
      </c>
      <c r="C60" s="18">
        <f>(3041.0/B60*100)</f>
        <v/>
      </c>
      <c r="D60" s="19" t="n">
        <v>1505</v>
      </c>
      <c r="E60" s="18" t="n">
        <v>43.75827878</v>
      </c>
      <c r="F60" s="20" t="n">
        <v>1.62184262</v>
      </c>
      <c r="G60" s="18" t="n">
        <v>48.03012347</v>
      </c>
      <c r="H60" s="20" t="n">
        <v>1.65356982</v>
      </c>
      <c r="I60" s="18" t="n">
        <v>0</v>
      </c>
      <c r="J60" s="20" t="n">
        <v>0</v>
      </c>
      <c r="K60" s="18" t="n">
        <v>4.34972998</v>
      </c>
      <c r="L60" s="20" t="n">
        <v>0.65477779</v>
      </c>
      <c r="M60" s="18" t="n">
        <v>0</v>
      </c>
      <c r="N60" s="20" t="n">
        <v>0</v>
      </c>
      <c r="O60" s="18" t="n">
        <v>0</v>
      </c>
      <c r="P60" s="20" t="n">
        <v>0</v>
      </c>
      <c r="Q60" s="18" t="n">
        <v>3.86186778</v>
      </c>
      <c r="R60" s="20" t="n">
        <v>0.6269719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53.06644208</v>
      </c>
      <c r="F63" s="20" t="n">
        <v>1.38939071</v>
      </c>
      <c r="G63" s="18" t="n">
        <v>41.37896603</v>
      </c>
      <c r="H63" s="20" t="n">
        <v>1.42092308</v>
      </c>
      <c r="I63" s="18" t="n">
        <v>0</v>
      </c>
      <c r="J63" s="20" t="n">
        <v>0</v>
      </c>
      <c r="K63" s="18" t="n">
        <v>2.77168043</v>
      </c>
      <c r="L63" s="20" t="n">
        <v>0.49999171</v>
      </c>
      <c r="M63" s="18" t="n">
        <v>0</v>
      </c>
      <c r="N63" s="20" t="n">
        <v>0</v>
      </c>
      <c r="O63" s="18" t="n">
        <v>0.06010935</v>
      </c>
      <c r="P63" s="20" t="n">
        <v>0.06060292</v>
      </c>
      <c r="Q63" s="18" t="n">
        <v>2.72280209</v>
      </c>
      <c r="R63" s="20" t="n">
        <v>0.39972612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35.08416824</v>
      </c>
      <c r="F65" s="20" t="n">
        <v>1.35830804</v>
      </c>
      <c r="G65" s="18" t="n">
        <v>61.58240795</v>
      </c>
      <c r="H65" s="20" t="n">
        <v>1.38911589</v>
      </c>
      <c r="I65" s="18" t="n">
        <v>0</v>
      </c>
      <c r="J65" s="20" t="n">
        <v>0</v>
      </c>
      <c r="K65" s="18" t="n">
        <v>1.86873501</v>
      </c>
      <c r="L65" s="20" t="n">
        <v>0.38442992</v>
      </c>
      <c r="M65" s="18" t="n">
        <v>0</v>
      </c>
      <c r="N65" s="20" t="n">
        <v>0</v>
      </c>
      <c r="O65" s="18" t="n">
        <v>0</v>
      </c>
      <c r="P65" s="20" t="n">
        <v>0</v>
      </c>
      <c r="Q65" s="18" t="n">
        <v>1.4646888</v>
      </c>
      <c r="R65" s="20" t="n">
        <v>0.34398214</v>
      </c>
    </row>
    <row r="66" spans="1:18">
      <c r="A66" s="15" t="s">
        <v>626</v>
      </c>
      <c r="B66" s="17" t="n">
        <v>5325</v>
      </c>
      <c r="C66" s="18">
        <f>(3550.0/B66*100)</f>
        <v/>
      </c>
      <c r="D66" s="19" t="n">
        <v>1775</v>
      </c>
      <c r="E66" s="18" t="n">
        <v>45.60317983</v>
      </c>
      <c r="F66" s="20" t="n">
        <v>1.23135312</v>
      </c>
      <c r="G66" s="18" t="n">
        <v>48.04819003</v>
      </c>
      <c r="H66" s="20" t="n">
        <v>1.29992797</v>
      </c>
      <c r="I66" s="18" t="n">
        <v>0</v>
      </c>
      <c r="J66" s="20" t="n">
        <v>0</v>
      </c>
      <c r="K66" s="18" t="n">
        <v>4.72761179</v>
      </c>
      <c r="L66" s="20" t="n">
        <v>0.56955726</v>
      </c>
      <c r="M66" s="18" t="n">
        <v>0</v>
      </c>
      <c r="N66" s="20" t="n">
        <v>0</v>
      </c>
      <c r="O66" s="18" t="n">
        <v>0</v>
      </c>
      <c r="P66" s="20" t="n">
        <v>0</v>
      </c>
      <c r="Q66" s="18" t="n">
        <v>1.62101835</v>
      </c>
      <c r="R66" s="20" t="n">
        <v>0.25997334</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50.91594279</v>
      </c>
      <c r="F69" s="20" t="n">
        <v>2.5625796</v>
      </c>
      <c r="G69" s="18" t="n">
        <v>48.34451831</v>
      </c>
      <c r="H69" s="20" t="n">
        <v>2.65733017</v>
      </c>
      <c r="I69" s="18" t="n">
        <v>0</v>
      </c>
      <c r="J69" s="20" t="n">
        <v>0</v>
      </c>
      <c r="K69" s="18" t="n">
        <v>0.2286356</v>
      </c>
      <c r="L69" s="20" t="n">
        <v>0.22707946</v>
      </c>
      <c r="M69" s="18" t="n">
        <v>0</v>
      </c>
      <c r="N69" s="20" t="n">
        <v>0</v>
      </c>
      <c r="O69" s="18" t="n">
        <v>0</v>
      </c>
      <c r="P69" s="20" t="n">
        <v>0</v>
      </c>
      <c r="Q69" s="18" t="n">
        <v>0.51090329</v>
      </c>
      <c r="R69" s="20" t="n">
        <v>0.30770493</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48.97484198</v>
      </c>
      <c r="F71" s="20" t="n">
        <v>1.52757628</v>
      </c>
      <c r="G71" s="18" t="n">
        <v>50.67054146</v>
      </c>
      <c r="H71" s="20" t="n">
        <v>1.53406117</v>
      </c>
      <c r="I71" s="18" t="n">
        <v>0</v>
      </c>
      <c r="J71" s="20" t="n">
        <v>0</v>
      </c>
      <c r="K71" s="18" t="n">
        <v>0</v>
      </c>
      <c r="L71" s="20" t="n">
        <v>0</v>
      </c>
      <c r="M71" s="18" t="n">
        <v>0</v>
      </c>
      <c r="N71" s="20" t="n">
        <v>0</v>
      </c>
      <c r="O71" s="18" t="n">
        <v>0</v>
      </c>
      <c r="P71" s="20" t="n">
        <v>0</v>
      </c>
      <c r="Q71" s="18" t="n">
        <v>0.35461656</v>
      </c>
      <c r="R71" s="20" t="n">
        <v>0.17162539</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41.31560698</v>
      </c>
      <c r="F76" s="20" t="n">
        <v>1.38632007</v>
      </c>
      <c r="G76" s="18" t="n">
        <v>50.28546118</v>
      </c>
      <c r="H76" s="20" t="n">
        <v>1.32960311</v>
      </c>
      <c r="I76" s="18" t="n">
        <v>0</v>
      </c>
      <c r="J76" s="20" t="n">
        <v>0</v>
      </c>
      <c r="K76" s="18" t="n">
        <v>5.39318988</v>
      </c>
      <c r="L76" s="20" t="n">
        <v>0.67809864</v>
      </c>
      <c r="M76" s="18" t="n">
        <v>0</v>
      </c>
      <c r="N76" s="20" t="n">
        <v>0</v>
      </c>
      <c r="O76" s="18" t="n">
        <v>0</v>
      </c>
      <c r="P76" s="20" t="n">
        <v>0</v>
      </c>
      <c r="Q76" s="18" t="n">
        <v>3.00574195</v>
      </c>
      <c r="R76" s="20" t="n">
        <v>0.53022198</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13.33515984</v>
      </c>
      <c r="F80" s="20" t="n">
        <v>1.1718141</v>
      </c>
      <c r="G80" s="18" t="n">
        <v>86.66484016</v>
      </c>
      <c r="H80" s="20" t="n">
        <v>1.1718141</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42.34866842</v>
      </c>
      <c r="F44" s="20" t="n">
        <v>1.62151239</v>
      </c>
      <c r="G44" s="18" t="n">
        <v>28.7276257</v>
      </c>
      <c r="H44" s="20" t="n">
        <v>1.51978008</v>
      </c>
      <c r="I44" s="18" t="n">
        <v>0</v>
      </c>
      <c r="J44" s="20" t="n">
        <v>0</v>
      </c>
      <c r="K44" s="18" t="n">
        <v>2.91254886</v>
      </c>
      <c r="L44" s="20" t="n">
        <v>0.49380084</v>
      </c>
      <c r="M44" s="18" t="n">
        <v>0</v>
      </c>
      <c r="N44" s="20" t="n">
        <v>0</v>
      </c>
      <c r="O44" s="18" t="n">
        <v>0</v>
      </c>
      <c r="P44" s="20" t="n">
        <v>0</v>
      </c>
      <c r="Q44" s="18" t="n">
        <v>26.01115702</v>
      </c>
      <c r="R44" s="20" t="n">
        <v>1.73602682</v>
      </c>
    </row>
    <row r="45" spans="1:18">
      <c r="A45" s="15" t="s">
        <v>604</v>
      </c>
      <c r="B45" s="17" t="n">
        <v>5519</v>
      </c>
      <c r="C45" s="18">
        <f>(3668.0/B45*100)</f>
        <v/>
      </c>
      <c r="D45" s="19" t="n">
        <v>1851</v>
      </c>
      <c r="E45" s="18" t="n">
        <v>65.63695190999999</v>
      </c>
      <c r="F45" s="20" t="n">
        <v>1.48250935</v>
      </c>
      <c r="G45" s="18" t="n">
        <v>11.35242357</v>
      </c>
      <c r="H45" s="20" t="n">
        <v>0.91080257</v>
      </c>
      <c r="I45" s="18" t="n">
        <v>0</v>
      </c>
      <c r="J45" s="20" t="n">
        <v>0</v>
      </c>
      <c r="K45" s="18" t="n">
        <v>5.72475552</v>
      </c>
      <c r="L45" s="20" t="n">
        <v>0.67642707</v>
      </c>
      <c r="M45" s="18" t="n">
        <v>0.92872686</v>
      </c>
      <c r="N45" s="20" t="n">
        <v>0.25728317</v>
      </c>
      <c r="O45" s="18" t="n">
        <v>0.11150359</v>
      </c>
      <c r="P45" s="20" t="n">
        <v>0.08830017</v>
      </c>
      <c r="Q45" s="18" t="n">
        <v>16.24563855</v>
      </c>
      <c r="R45" s="20" t="n">
        <v>1.05479091</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50.95540683</v>
      </c>
      <c r="F54" s="20" t="n">
        <v>1.10948779</v>
      </c>
      <c r="G54" s="18" t="n">
        <v>22.02330906</v>
      </c>
      <c r="H54" s="20" t="n">
        <v>0.95842702</v>
      </c>
      <c r="I54" s="18" t="n">
        <v>0</v>
      </c>
      <c r="J54" s="20" t="n">
        <v>0</v>
      </c>
      <c r="K54" s="18" t="n">
        <v>1.78171371</v>
      </c>
      <c r="L54" s="20" t="n">
        <v>0.28946208</v>
      </c>
      <c r="M54" s="18" t="n">
        <v>0.05830288</v>
      </c>
      <c r="N54" s="20" t="n">
        <v>0.05842501</v>
      </c>
      <c r="O54" s="18" t="n">
        <v>0.13758248</v>
      </c>
      <c r="P54" s="20" t="n">
        <v>0.10404687</v>
      </c>
      <c r="Q54" s="18" t="n">
        <v>25.04368504</v>
      </c>
      <c r="R54" s="20" t="n">
        <v>1.17893182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63.2888674</v>
      </c>
      <c r="F56" s="20" t="n">
        <v>1.27624226</v>
      </c>
      <c r="G56" s="18" t="n">
        <v>20.45631251</v>
      </c>
      <c r="H56" s="20" t="n">
        <v>1.16474903</v>
      </c>
      <c r="I56" s="18" t="n">
        <v>0</v>
      </c>
      <c r="J56" s="20" t="n">
        <v>0</v>
      </c>
      <c r="K56" s="18" t="n">
        <v>1.71633272</v>
      </c>
      <c r="L56" s="20" t="n">
        <v>0.37085921</v>
      </c>
      <c r="M56" s="18" t="n">
        <v>0</v>
      </c>
      <c r="N56" s="20" t="n">
        <v>0</v>
      </c>
      <c r="O56" s="18" t="n">
        <v>0</v>
      </c>
      <c r="P56" s="20" t="n">
        <v>0</v>
      </c>
      <c r="Q56" s="18" t="n">
        <v>14.53848737</v>
      </c>
      <c r="R56" s="20" t="n">
        <v>0.88800399</v>
      </c>
    </row>
    <row r="57" spans="1:18">
      <c r="A57" s="15" t="s">
        <v>616</v>
      </c>
      <c r="B57" s="17" t="n">
        <v>7267</v>
      </c>
      <c r="C57" s="18">
        <f>(4834.0/B57*100)</f>
        <v/>
      </c>
      <c r="D57" s="19" t="n">
        <v>2433</v>
      </c>
      <c r="E57" s="18" t="n">
        <v>60.78045271</v>
      </c>
      <c r="F57" s="20" t="n">
        <v>1.29282639</v>
      </c>
      <c r="G57" s="18" t="n">
        <v>25.07357205</v>
      </c>
      <c r="H57" s="20" t="n">
        <v>1.2356639</v>
      </c>
      <c r="I57" s="18" t="n">
        <v>0</v>
      </c>
      <c r="J57" s="20" t="n">
        <v>0</v>
      </c>
      <c r="K57" s="18" t="n">
        <v>2.68314309</v>
      </c>
      <c r="L57" s="20" t="n">
        <v>0.3850781</v>
      </c>
      <c r="M57" s="18" t="n">
        <v>0</v>
      </c>
      <c r="N57" s="20" t="n">
        <v>0</v>
      </c>
      <c r="O57" s="18" t="n">
        <v>0</v>
      </c>
      <c r="P57" s="20" t="n">
        <v>0</v>
      </c>
      <c r="Q57" s="18" t="n">
        <v>11.46283216</v>
      </c>
      <c r="R57" s="20" t="n">
        <v>0.7822236299999999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65.09318304</v>
      </c>
      <c r="F59" s="20" t="n">
        <v>1.28984031</v>
      </c>
      <c r="G59" s="18" t="n">
        <v>10.95325539</v>
      </c>
      <c r="H59" s="20" t="n">
        <v>0.94756489</v>
      </c>
      <c r="I59" s="18" t="n">
        <v>0</v>
      </c>
      <c r="J59" s="20" t="n">
        <v>0</v>
      </c>
      <c r="K59" s="18" t="n">
        <v>0.68812484</v>
      </c>
      <c r="L59" s="20" t="n">
        <v>0.18509977</v>
      </c>
      <c r="M59" s="18" t="n">
        <v>0.02494294</v>
      </c>
      <c r="N59" s="20" t="n">
        <v>0.02504793</v>
      </c>
      <c r="O59" s="18" t="n">
        <v>0</v>
      </c>
      <c r="P59" s="20" t="n">
        <v>0</v>
      </c>
      <c r="Q59" s="18" t="n">
        <v>23.2404938</v>
      </c>
      <c r="R59" s="20" t="n">
        <v>0.99345418</v>
      </c>
    </row>
    <row r="60" spans="1:18">
      <c r="A60" s="15" t="s">
        <v>620</v>
      </c>
      <c r="B60" s="17" t="n">
        <v>4546</v>
      </c>
      <c r="C60" s="18">
        <f>(3041.0/B60*100)</f>
        <v/>
      </c>
      <c r="D60" s="19" t="n">
        <v>1505</v>
      </c>
      <c r="E60" s="18" t="n">
        <v>47.67211781</v>
      </c>
      <c r="F60" s="20" t="n">
        <v>1.5446748</v>
      </c>
      <c r="G60" s="18" t="n">
        <v>23.77110611</v>
      </c>
      <c r="H60" s="20" t="n">
        <v>1.45076861</v>
      </c>
      <c r="I60" s="18" t="n">
        <v>0</v>
      </c>
      <c r="J60" s="20" t="n">
        <v>0</v>
      </c>
      <c r="K60" s="18" t="n">
        <v>4.69002943</v>
      </c>
      <c r="L60" s="20" t="n">
        <v>0.68991327</v>
      </c>
      <c r="M60" s="18" t="n">
        <v>0</v>
      </c>
      <c r="N60" s="20" t="n">
        <v>0</v>
      </c>
      <c r="O60" s="18" t="n">
        <v>0</v>
      </c>
      <c r="P60" s="20" t="n">
        <v>0</v>
      </c>
      <c r="Q60" s="18" t="n">
        <v>23.86674665</v>
      </c>
      <c r="R60" s="20" t="n">
        <v>1.50659004</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45.66282709</v>
      </c>
      <c r="F63" s="20" t="n">
        <v>1.22365542</v>
      </c>
      <c r="G63" s="18" t="n">
        <v>13.2021686</v>
      </c>
      <c r="H63" s="20" t="n">
        <v>0.88990304</v>
      </c>
      <c r="I63" s="18" t="n">
        <v>0</v>
      </c>
      <c r="J63" s="20" t="n">
        <v>0</v>
      </c>
      <c r="K63" s="18" t="n">
        <v>3.49004626</v>
      </c>
      <c r="L63" s="20" t="n">
        <v>0.52992545</v>
      </c>
      <c r="M63" s="18" t="n">
        <v>0</v>
      </c>
      <c r="N63" s="20" t="n">
        <v>0</v>
      </c>
      <c r="O63" s="18" t="n">
        <v>0</v>
      </c>
      <c r="P63" s="20" t="n">
        <v>0</v>
      </c>
      <c r="Q63" s="18" t="n">
        <v>37.64495805</v>
      </c>
      <c r="R63" s="20" t="n">
        <v>1.17461911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43.54198718</v>
      </c>
      <c r="F65" s="20" t="n">
        <v>1.2503173</v>
      </c>
      <c r="G65" s="18" t="n">
        <v>41.9069666</v>
      </c>
      <c r="H65" s="20" t="n">
        <v>1.19845605</v>
      </c>
      <c r="I65" s="18" t="n">
        <v>0</v>
      </c>
      <c r="J65" s="20" t="n">
        <v>0</v>
      </c>
      <c r="K65" s="18" t="n">
        <v>2.13356503</v>
      </c>
      <c r="L65" s="20" t="n">
        <v>0.41203387</v>
      </c>
      <c r="M65" s="18" t="n">
        <v>0</v>
      </c>
      <c r="N65" s="20" t="n">
        <v>0</v>
      </c>
      <c r="O65" s="18" t="n">
        <v>0</v>
      </c>
      <c r="P65" s="20" t="n">
        <v>0</v>
      </c>
      <c r="Q65" s="18" t="n">
        <v>12.41748119</v>
      </c>
      <c r="R65" s="20" t="n">
        <v>1.03110265</v>
      </c>
    </row>
    <row r="66" spans="1:18">
      <c r="A66" s="15" t="s">
        <v>626</v>
      </c>
      <c r="B66" s="17" t="n">
        <v>5325</v>
      </c>
      <c r="C66" s="18">
        <f>(3550.0/B66*100)</f>
        <v/>
      </c>
      <c r="D66" s="19" t="n">
        <v>1775</v>
      </c>
      <c r="E66" s="18" t="n">
        <v>46.25363205</v>
      </c>
      <c r="F66" s="20" t="n">
        <v>1.20878549</v>
      </c>
      <c r="G66" s="18" t="n">
        <v>26.65741311</v>
      </c>
      <c r="H66" s="20" t="n">
        <v>1.40344051</v>
      </c>
      <c r="I66" s="18" t="n">
        <v>0</v>
      </c>
      <c r="J66" s="20" t="n">
        <v>0</v>
      </c>
      <c r="K66" s="18" t="n">
        <v>5.64648279</v>
      </c>
      <c r="L66" s="20" t="n">
        <v>0.61411894</v>
      </c>
      <c r="M66" s="18" t="n">
        <v>0</v>
      </c>
      <c r="N66" s="20" t="n">
        <v>0</v>
      </c>
      <c r="O66" s="18" t="n">
        <v>0</v>
      </c>
      <c r="P66" s="20" t="n">
        <v>0</v>
      </c>
      <c r="Q66" s="18" t="n">
        <v>21.44247205</v>
      </c>
      <c r="R66" s="20" t="n">
        <v>1.0052533</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68.52143684000001</v>
      </c>
      <c r="F69" s="20" t="n">
        <v>3.16265053</v>
      </c>
      <c r="G69" s="18" t="n">
        <v>15.06032813</v>
      </c>
      <c r="H69" s="20" t="n">
        <v>1.83751071</v>
      </c>
      <c r="I69" s="18" t="n">
        <v>0</v>
      </c>
      <c r="J69" s="20" t="n">
        <v>0</v>
      </c>
      <c r="K69" s="18" t="n">
        <v>0.2286356</v>
      </c>
      <c r="L69" s="20" t="n">
        <v>0.22707946</v>
      </c>
      <c r="M69" s="18" t="n">
        <v>0</v>
      </c>
      <c r="N69" s="20" t="n">
        <v>0</v>
      </c>
      <c r="O69" s="18" t="n">
        <v>0</v>
      </c>
      <c r="P69" s="20" t="n">
        <v>0</v>
      </c>
      <c r="Q69" s="18" t="n">
        <v>16.18959943</v>
      </c>
      <c r="R69" s="20" t="n">
        <v>2.22342003</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72.15162732</v>
      </c>
      <c r="F71" s="20" t="n">
        <v>1.52800329</v>
      </c>
      <c r="G71" s="18" t="n">
        <v>27.62359799</v>
      </c>
      <c r="H71" s="20" t="n">
        <v>1.52733219</v>
      </c>
      <c r="I71" s="18" t="n">
        <v>0</v>
      </c>
      <c r="J71" s="20" t="n">
        <v>0</v>
      </c>
      <c r="K71" s="18" t="n">
        <v>0</v>
      </c>
      <c r="L71" s="20" t="n">
        <v>0</v>
      </c>
      <c r="M71" s="18" t="n">
        <v>0</v>
      </c>
      <c r="N71" s="20" t="n">
        <v>0</v>
      </c>
      <c r="O71" s="18" t="n">
        <v>0</v>
      </c>
      <c r="P71" s="20" t="n">
        <v>0</v>
      </c>
      <c r="Q71" s="18" t="n">
        <v>0.22477469</v>
      </c>
      <c r="R71" s="20" t="n">
        <v>0.1129703</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48.81285294</v>
      </c>
      <c r="F76" s="20" t="n">
        <v>1.64604581</v>
      </c>
      <c r="G76" s="18" t="n">
        <v>21.46640087</v>
      </c>
      <c r="H76" s="20" t="n">
        <v>1.24193489</v>
      </c>
      <c r="I76" s="18" t="n">
        <v>0</v>
      </c>
      <c r="J76" s="20" t="n">
        <v>0</v>
      </c>
      <c r="K76" s="18" t="n">
        <v>6.43557447</v>
      </c>
      <c r="L76" s="20" t="n">
        <v>0.75630598</v>
      </c>
      <c r="M76" s="18" t="n">
        <v>0</v>
      </c>
      <c r="N76" s="20" t="n">
        <v>0</v>
      </c>
      <c r="O76" s="18" t="n">
        <v>0</v>
      </c>
      <c r="P76" s="20" t="n">
        <v>0</v>
      </c>
      <c r="Q76" s="18" t="n">
        <v>23.28517172</v>
      </c>
      <c r="R76" s="20" t="n">
        <v>1.23088452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48.82817538</v>
      </c>
      <c r="F80" s="20" t="n">
        <v>1.66866523</v>
      </c>
      <c r="G80" s="18" t="n">
        <v>47.95434956</v>
      </c>
      <c r="H80" s="20" t="n">
        <v>1.6401802</v>
      </c>
      <c r="I80" s="18" t="n">
        <v>0</v>
      </c>
      <c r="J80" s="20" t="n">
        <v>0</v>
      </c>
      <c r="K80" s="18" t="n">
        <v>0</v>
      </c>
      <c r="L80" s="20" t="n">
        <v>0</v>
      </c>
      <c r="M80" s="18" t="n">
        <v>0</v>
      </c>
      <c r="N80" s="20" t="n">
        <v>0</v>
      </c>
      <c r="O80" s="18" t="n">
        <v>0</v>
      </c>
      <c r="P80" s="20" t="n">
        <v>0</v>
      </c>
      <c r="Q80" s="18" t="n">
        <v>3.21747506</v>
      </c>
      <c r="R80" s="20" t="n">
        <v>0.543018</v>
      </c>
    </row>
    <row r="81" spans="1:18">
      <c r="A81" s="15" t="s">
        <v>641</v>
      </c>
      <c r="B81" s="17" t="n">
        <v>1657</v>
      </c>
      <c r="C81" s="18">
        <f>(1109.0/B81*100)</f>
        <v/>
      </c>
      <c r="D81" s="19" t="n">
        <v>548</v>
      </c>
      <c r="E81" s="18" t="n">
        <v>50.36589926</v>
      </c>
      <c r="F81" s="20" t="n">
        <v>2.18513643</v>
      </c>
      <c r="G81" s="18" t="n">
        <v>27.12566249</v>
      </c>
      <c r="H81" s="20" t="n">
        <v>2.60339324</v>
      </c>
      <c r="I81" s="18" t="n">
        <v>0</v>
      </c>
      <c r="J81" s="20" t="n">
        <v>0</v>
      </c>
      <c r="K81" s="18" t="n">
        <v>4.03094958</v>
      </c>
      <c r="L81" s="20" t="n">
        <v>0.86183842</v>
      </c>
      <c r="M81" s="18" t="n">
        <v>0.96145612</v>
      </c>
      <c r="N81" s="20" t="n">
        <v>0.36702916</v>
      </c>
      <c r="O81" s="18" t="n">
        <v>0</v>
      </c>
      <c r="P81" s="20" t="n">
        <v>0</v>
      </c>
      <c r="Q81" s="18" t="n">
        <v>17.51603256</v>
      </c>
      <c r="R81" s="20" t="n">
        <v>1.53218826</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879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63.94909958</v>
      </c>
      <c r="F44" s="20" t="n">
        <v>1.23743388</v>
      </c>
      <c r="G44" s="18" t="n">
        <v>27.62724471</v>
      </c>
      <c r="H44" s="20" t="n">
        <v>1.3354108</v>
      </c>
      <c r="I44" s="18" t="n">
        <v>0</v>
      </c>
      <c r="J44" s="20" t="n">
        <v>0</v>
      </c>
      <c r="K44" s="18" t="n">
        <v>3.36303898</v>
      </c>
      <c r="L44" s="20" t="n">
        <v>0.53874861</v>
      </c>
      <c r="M44" s="18" t="n">
        <v>0</v>
      </c>
      <c r="N44" s="20" t="n">
        <v>0</v>
      </c>
      <c r="O44" s="18" t="n">
        <v>0</v>
      </c>
      <c r="P44" s="20" t="n">
        <v>0</v>
      </c>
      <c r="Q44" s="18" t="n">
        <v>5.06061673</v>
      </c>
      <c r="R44" s="20" t="n">
        <v>0.75410371</v>
      </c>
    </row>
    <row r="45" spans="1:18">
      <c r="A45" s="15" t="s">
        <v>604</v>
      </c>
      <c r="B45" s="17" t="n">
        <v>5519</v>
      </c>
      <c r="C45" s="18">
        <f>(3668.0/B45*100)</f>
        <v/>
      </c>
      <c r="D45" s="19" t="n">
        <v>1851</v>
      </c>
      <c r="E45" s="18" t="n">
        <v>73.99370523</v>
      </c>
      <c r="F45" s="20" t="n">
        <v>1.05502611</v>
      </c>
      <c r="G45" s="18" t="n">
        <v>16.0500827</v>
      </c>
      <c r="H45" s="20" t="n">
        <v>0.90132911</v>
      </c>
      <c r="I45" s="18" t="n">
        <v>0</v>
      </c>
      <c r="J45" s="20" t="n">
        <v>0</v>
      </c>
      <c r="K45" s="18" t="n">
        <v>6.08082208</v>
      </c>
      <c r="L45" s="20" t="n">
        <v>0.69607306</v>
      </c>
      <c r="M45" s="18" t="n">
        <v>0.43367993</v>
      </c>
      <c r="N45" s="20" t="n">
        <v>0.1522119</v>
      </c>
      <c r="O45" s="18" t="n">
        <v>0</v>
      </c>
      <c r="P45" s="20" t="n">
        <v>0</v>
      </c>
      <c r="Q45" s="18" t="n">
        <v>3.44171005</v>
      </c>
      <c r="R45" s="20" t="n">
        <v>0.50804675</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66.48265558999999</v>
      </c>
      <c r="F54" s="20" t="n">
        <v>1.08924975</v>
      </c>
      <c r="G54" s="18" t="n">
        <v>29.48135385</v>
      </c>
      <c r="H54" s="20" t="n">
        <v>1.05904905</v>
      </c>
      <c r="I54" s="18" t="n">
        <v>0</v>
      </c>
      <c r="J54" s="20" t="n">
        <v>0</v>
      </c>
      <c r="K54" s="18" t="n">
        <v>1.95208461</v>
      </c>
      <c r="L54" s="20" t="n">
        <v>0.30599636</v>
      </c>
      <c r="M54" s="18" t="n">
        <v>0</v>
      </c>
      <c r="N54" s="20" t="n">
        <v>0</v>
      </c>
      <c r="O54" s="18" t="n">
        <v>0.06664340000000001</v>
      </c>
      <c r="P54" s="20" t="n">
        <v>0.07071378</v>
      </c>
      <c r="Q54" s="18" t="n">
        <v>2.01726255</v>
      </c>
      <c r="R54" s="20" t="n">
        <v>0.36589976</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72.68520579</v>
      </c>
      <c r="F56" s="20" t="n">
        <v>1.07096467</v>
      </c>
      <c r="G56" s="18" t="n">
        <v>24.06540922</v>
      </c>
      <c r="H56" s="20" t="n">
        <v>1.06055543</v>
      </c>
      <c r="I56" s="18" t="n">
        <v>0</v>
      </c>
      <c r="J56" s="20" t="n">
        <v>0</v>
      </c>
      <c r="K56" s="18" t="n">
        <v>1.81085038</v>
      </c>
      <c r="L56" s="20" t="n">
        <v>0.36637545</v>
      </c>
      <c r="M56" s="18" t="n">
        <v>0.15892729</v>
      </c>
      <c r="N56" s="20" t="n">
        <v>0.0801944</v>
      </c>
      <c r="O56" s="18" t="n">
        <v>0</v>
      </c>
      <c r="P56" s="20" t="n">
        <v>0</v>
      </c>
      <c r="Q56" s="18" t="n">
        <v>1.27960732</v>
      </c>
      <c r="R56" s="20" t="n">
        <v>0.25748269</v>
      </c>
    </row>
    <row r="57" spans="1:18">
      <c r="A57" s="15" t="s">
        <v>616</v>
      </c>
      <c r="B57" s="17" t="n">
        <v>7267</v>
      </c>
      <c r="C57" s="18">
        <f>(4834.0/B57*100)</f>
        <v/>
      </c>
      <c r="D57" s="19" t="n">
        <v>2433</v>
      </c>
      <c r="E57" s="18" t="n">
        <v>72.30052168</v>
      </c>
      <c r="F57" s="20" t="n">
        <v>1.28797767</v>
      </c>
      <c r="G57" s="18" t="n">
        <v>22.16824262</v>
      </c>
      <c r="H57" s="20" t="n">
        <v>1.14033624</v>
      </c>
      <c r="I57" s="18" t="n">
        <v>0</v>
      </c>
      <c r="J57" s="20" t="n">
        <v>0</v>
      </c>
      <c r="K57" s="18" t="n">
        <v>2.95942407</v>
      </c>
      <c r="L57" s="20" t="n">
        <v>0.40591509</v>
      </c>
      <c r="M57" s="18" t="n">
        <v>0</v>
      </c>
      <c r="N57" s="20" t="n">
        <v>0</v>
      </c>
      <c r="O57" s="18" t="n">
        <v>0.07193947000000001</v>
      </c>
      <c r="P57" s="20" t="n">
        <v>0.07153001</v>
      </c>
      <c r="Q57" s="18" t="n">
        <v>2.49987215</v>
      </c>
      <c r="R57" s="20" t="n">
        <v>0.42501363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81.59684394999999</v>
      </c>
      <c r="F59" s="20" t="n">
        <v>1.15715474</v>
      </c>
      <c r="G59" s="18" t="n">
        <v>16.38811037</v>
      </c>
      <c r="H59" s="20" t="n">
        <v>1.10573363</v>
      </c>
      <c r="I59" s="18" t="n">
        <v>0</v>
      </c>
      <c r="J59" s="20" t="n">
        <v>0</v>
      </c>
      <c r="K59" s="18" t="n">
        <v>0.68812484</v>
      </c>
      <c r="L59" s="20" t="n">
        <v>0.18509977</v>
      </c>
      <c r="M59" s="18" t="n">
        <v>0.18512479</v>
      </c>
      <c r="N59" s="20" t="n">
        <v>0.17583463</v>
      </c>
      <c r="O59" s="18" t="n">
        <v>0.03891275</v>
      </c>
      <c r="P59" s="20" t="n">
        <v>0.0389018</v>
      </c>
      <c r="Q59" s="18" t="n">
        <v>1.1028833</v>
      </c>
      <c r="R59" s="20" t="n">
        <v>0.26550561</v>
      </c>
    </row>
    <row r="60" spans="1:18">
      <c r="A60" s="15" t="s">
        <v>620</v>
      </c>
      <c r="B60" s="17" t="n">
        <v>4546</v>
      </c>
      <c r="C60" s="18">
        <f>(3041.0/B60*100)</f>
        <v/>
      </c>
      <c r="D60" s="19" t="n">
        <v>1505</v>
      </c>
      <c r="E60" s="18" t="n">
        <v>73.90554614</v>
      </c>
      <c r="F60" s="20" t="n">
        <v>1.43912702</v>
      </c>
      <c r="G60" s="18" t="n">
        <v>17.32943583</v>
      </c>
      <c r="H60" s="20" t="n">
        <v>1.30287454</v>
      </c>
      <c r="I60" s="18" t="n">
        <v>0</v>
      </c>
      <c r="J60" s="20" t="n">
        <v>0</v>
      </c>
      <c r="K60" s="18" t="n">
        <v>4.76089611</v>
      </c>
      <c r="L60" s="20" t="n">
        <v>0.70501201</v>
      </c>
      <c r="M60" s="18" t="n">
        <v>0</v>
      </c>
      <c r="N60" s="20" t="n">
        <v>0</v>
      </c>
      <c r="O60" s="18" t="n">
        <v>0</v>
      </c>
      <c r="P60" s="20" t="n">
        <v>0</v>
      </c>
      <c r="Q60" s="18" t="n">
        <v>4.00412192</v>
      </c>
      <c r="R60" s="20" t="n">
        <v>0.58980601</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83.39933635</v>
      </c>
      <c r="F63" s="20" t="n">
        <v>1.03941141</v>
      </c>
      <c r="G63" s="18" t="n">
        <v>9.430481220000001</v>
      </c>
      <c r="H63" s="20" t="n">
        <v>0.83158401</v>
      </c>
      <c r="I63" s="18" t="n">
        <v>0</v>
      </c>
      <c r="J63" s="20" t="n">
        <v>0</v>
      </c>
      <c r="K63" s="18" t="n">
        <v>3.49004626</v>
      </c>
      <c r="L63" s="20" t="n">
        <v>0.52992545</v>
      </c>
      <c r="M63" s="18" t="n">
        <v>0</v>
      </c>
      <c r="N63" s="20" t="n">
        <v>0</v>
      </c>
      <c r="O63" s="18" t="n">
        <v>0.06010935</v>
      </c>
      <c r="P63" s="20" t="n">
        <v>0.06060292</v>
      </c>
      <c r="Q63" s="18" t="n">
        <v>3.62002682</v>
      </c>
      <c r="R63" s="20" t="n">
        <v>0.50880657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56.56918884</v>
      </c>
      <c r="F65" s="20" t="n">
        <v>1.56251926</v>
      </c>
      <c r="G65" s="18" t="n">
        <v>39.37067439</v>
      </c>
      <c r="H65" s="20" t="n">
        <v>1.48930797</v>
      </c>
      <c r="I65" s="18" t="n">
        <v>0</v>
      </c>
      <c r="J65" s="20" t="n">
        <v>0</v>
      </c>
      <c r="K65" s="18" t="n">
        <v>2.2217639</v>
      </c>
      <c r="L65" s="20" t="n">
        <v>0.43812051</v>
      </c>
      <c r="M65" s="18" t="n">
        <v>0</v>
      </c>
      <c r="N65" s="20" t="n">
        <v>0</v>
      </c>
      <c r="O65" s="18" t="n">
        <v>0</v>
      </c>
      <c r="P65" s="20" t="n">
        <v>0</v>
      </c>
      <c r="Q65" s="18" t="n">
        <v>1.83837287</v>
      </c>
      <c r="R65" s="20" t="n">
        <v>0.37856102</v>
      </c>
    </row>
    <row r="66" spans="1:18">
      <c r="A66" s="15" t="s">
        <v>626</v>
      </c>
      <c r="B66" s="17" t="n">
        <v>5325</v>
      </c>
      <c r="C66" s="18">
        <f>(3550.0/B66*100)</f>
        <v/>
      </c>
      <c r="D66" s="19" t="n">
        <v>1775</v>
      </c>
      <c r="E66" s="18" t="n">
        <v>62.76911728</v>
      </c>
      <c r="F66" s="20" t="n">
        <v>1.1444274</v>
      </c>
      <c r="G66" s="18" t="n">
        <v>29.73428706</v>
      </c>
      <c r="H66" s="20" t="n">
        <v>1.10583966</v>
      </c>
      <c r="I66" s="18" t="n">
        <v>0</v>
      </c>
      <c r="J66" s="20" t="n">
        <v>0</v>
      </c>
      <c r="K66" s="18" t="n">
        <v>5.8610902</v>
      </c>
      <c r="L66" s="20" t="n">
        <v>0.63238218</v>
      </c>
      <c r="M66" s="18" t="n">
        <v>0</v>
      </c>
      <c r="N66" s="20" t="n">
        <v>0</v>
      </c>
      <c r="O66" s="18" t="n">
        <v>0</v>
      </c>
      <c r="P66" s="20" t="n">
        <v>0</v>
      </c>
      <c r="Q66" s="18" t="n">
        <v>1.63550546</v>
      </c>
      <c r="R66" s="20" t="n">
        <v>0.32673805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73.25938094999999</v>
      </c>
      <c r="F69" s="20" t="n">
        <v>2.86021254</v>
      </c>
      <c r="G69" s="18" t="n">
        <v>25.3591947</v>
      </c>
      <c r="H69" s="20" t="n">
        <v>2.87088513</v>
      </c>
      <c r="I69" s="18" t="n">
        <v>0</v>
      </c>
      <c r="J69" s="20" t="n">
        <v>0</v>
      </c>
      <c r="K69" s="18" t="n">
        <v>0.2286356</v>
      </c>
      <c r="L69" s="20" t="n">
        <v>0.22707946</v>
      </c>
      <c r="M69" s="18" t="n">
        <v>0</v>
      </c>
      <c r="N69" s="20" t="n">
        <v>0</v>
      </c>
      <c r="O69" s="18" t="n">
        <v>0</v>
      </c>
      <c r="P69" s="20" t="n">
        <v>0</v>
      </c>
      <c r="Q69" s="18" t="n">
        <v>1.15278875</v>
      </c>
      <c r="R69" s="20" t="n">
        <v>0.49831642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73.63898421</v>
      </c>
      <c r="F71" s="20" t="n">
        <v>1.11080562</v>
      </c>
      <c r="G71" s="18" t="n">
        <v>25.88211483</v>
      </c>
      <c r="H71" s="20" t="n">
        <v>1.10599743</v>
      </c>
      <c r="I71" s="18" t="n">
        <v>0</v>
      </c>
      <c r="J71" s="20" t="n">
        <v>0</v>
      </c>
      <c r="K71" s="18" t="n">
        <v>0</v>
      </c>
      <c r="L71" s="20" t="n">
        <v>0</v>
      </c>
      <c r="M71" s="18" t="n">
        <v>0</v>
      </c>
      <c r="N71" s="20" t="n">
        <v>0</v>
      </c>
      <c r="O71" s="18" t="n">
        <v>0</v>
      </c>
      <c r="P71" s="20" t="n">
        <v>0</v>
      </c>
      <c r="Q71" s="18" t="n">
        <v>0.47890096</v>
      </c>
      <c r="R71" s="20" t="n">
        <v>0.17317425</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56.62541207</v>
      </c>
      <c r="F76" s="20" t="n">
        <v>1.30242993</v>
      </c>
      <c r="G76" s="18" t="n">
        <v>33.24789212</v>
      </c>
      <c r="H76" s="20" t="n">
        <v>1.34416801</v>
      </c>
      <c r="I76" s="18" t="n">
        <v>0</v>
      </c>
      <c r="J76" s="20" t="n">
        <v>0</v>
      </c>
      <c r="K76" s="18" t="n">
        <v>6.43557447</v>
      </c>
      <c r="L76" s="20" t="n">
        <v>0.75630598</v>
      </c>
      <c r="M76" s="18" t="n">
        <v>0</v>
      </c>
      <c r="N76" s="20" t="n">
        <v>0</v>
      </c>
      <c r="O76" s="18" t="n">
        <v>0</v>
      </c>
      <c r="P76" s="20" t="n">
        <v>0</v>
      </c>
      <c r="Q76" s="18" t="n">
        <v>3.69112133</v>
      </c>
      <c r="R76" s="20" t="n">
        <v>0.52916704</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36.59809972</v>
      </c>
      <c r="F80" s="20" t="n">
        <v>1.24099027</v>
      </c>
      <c r="G80" s="18" t="n">
        <v>63.26521009</v>
      </c>
      <c r="H80" s="20" t="n">
        <v>1.24354694</v>
      </c>
      <c r="I80" s="18" t="n">
        <v>0</v>
      </c>
      <c r="J80" s="20" t="n">
        <v>0</v>
      </c>
      <c r="K80" s="18" t="n">
        <v>0</v>
      </c>
      <c r="L80" s="20" t="n">
        <v>0</v>
      </c>
      <c r="M80" s="18" t="n">
        <v>0</v>
      </c>
      <c r="N80" s="20" t="n">
        <v>0</v>
      </c>
      <c r="O80" s="18" t="n">
        <v>0</v>
      </c>
      <c r="P80" s="20" t="n">
        <v>0</v>
      </c>
      <c r="Q80" s="18" t="n">
        <v>0.1366902</v>
      </c>
      <c r="R80" s="20" t="n">
        <v>0.13486145</v>
      </c>
    </row>
    <row r="81" spans="1:18">
      <c r="A81" s="15" t="s">
        <v>641</v>
      </c>
      <c r="B81" s="17" t="n">
        <v>1657</v>
      </c>
      <c r="C81" s="18">
        <f>(1109.0/B81*100)</f>
        <v/>
      </c>
      <c r="D81" s="19" t="n">
        <v>548</v>
      </c>
      <c r="E81" s="18" t="n">
        <v>50.75343221</v>
      </c>
      <c r="F81" s="20" t="n">
        <v>2.55942367</v>
      </c>
      <c r="G81" s="18" t="n">
        <v>40.55285922</v>
      </c>
      <c r="H81" s="20" t="n">
        <v>2.55971384</v>
      </c>
      <c r="I81" s="18" t="n">
        <v>0</v>
      </c>
      <c r="J81" s="20" t="n">
        <v>0</v>
      </c>
      <c r="K81" s="18" t="n">
        <v>4.44237383</v>
      </c>
      <c r="L81" s="20" t="n">
        <v>0.89519826</v>
      </c>
      <c r="M81" s="18" t="n">
        <v>0.96145612</v>
      </c>
      <c r="N81" s="20" t="n">
        <v>0.36702916</v>
      </c>
      <c r="O81" s="18" t="n">
        <v>0</v>
      </c>
      <c r="P81" s="20" t="n">
        <v>0</v>
      </c>
      <c r="Q81" s="18" t="n">
        <v>3.28987861</v>
      </c>
      <c r="R81" s="20" t="n">
        <v>0.97981138</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27.4932267</v>
      </c>
      <c r="F44" s="20" t="n">
        <v>1.85752924</v>
      </c>
      <c r="G44" s="18" t="n">
        <v>42.88836941</v>
      </c>
      <c r="H44" s="20" t="n">
        <v>1.91297329</v>
      </c>
      <c r="I44" s="18" t="n">
        <v>0</v>
      </c>
      <c r="J44" s="20" t="n">
        <v>0</v>
      </c>
      <c r="K44" s="18" t="n">
        <v>4.42938219</v>
      </c>
      <c r="L44" s="20" t="n">
        <v>0.62093885</v>
      </c>
      <c r="M44" s="18" t="n">
        <v>0</v>
      </c>
      <c r="N44" s="20" t="n">
        <v>0</v>
      </c>
      <c r="O44" s="18" t="n">
        <v>0.66310661</v>
      </c>
      <c r="P44" s="20" t="n">
        <v>0.2057128</v>
      </c>
      <c r="Q44" s="18" t="n">
        <v>24.52591509</v>
      </c>
      <c r="R44" s="20" t="n">
        <v>1.51553396</v>
      </c>
    </row>
    <row r="45" spans="1:18">
      <c r="A45" s="15" t="s">
        <v>604</v>
      </c>
      <c r="B45" s="17" t="n">
        <v>5519</v>
      </c>
      <c r="C45" s="18">
        <f>(3668.0/B45*100)</f>
        <v/>
      </c>
      <c r="D45" s="19" t="n">
        <v>1851</v>
      </c>
      <c r="E45" s="18" t="n">
        <v>28.63992462</v>
      </c>
      <c r="F45" s="20" t="n">
        <v>1.22079978</v>
      </c>
      <c r="G45" s="18" t="n">
        <v>36.18809011</v>
      </c>
      <c r="H45" s="20" t="n">
        <v>1.47492162</v>
      </c>
      <c r="I45" s="18" t="n">
        <v>0</v>
      </c>
      <c r="J45" s="20" t="n">
        <v>0</v>
      </c>
      <c r="K45" s="18" t="n">
        <v>6.75415044</v>
      </c>
      <c r="L45" s="20" t="n">
        <v>0.75645854</v>
      </c>
      <c r="M45" s="18" t="n">
        <v>1.93260731</v>
      </c>
      <c r="N45" s="20" t="n">
        <v>0.32277778</v>
      </c>
      <c r="O45" s="18" t="n">
        <v>2.25797724</v>
      </c>
      <c r="P45" s="20" t="n">
        <v>0.33847096</v>
      </c>
      <c r="Q45" s="18" t="n">
        <v>24.22725027</v>
      </c>
      <c r="R45" s="20" t="n">
        <v>1.18379184</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41.26469395</v>
      </c>
      <c r="F54" s="20" t="n">
        <v>1.4521963</v>
      </c>
      <c r="G54" s="18" t="n">
        <v>37.30998018</v>
      </c>
      <c r="H54" s="20" t="n">
        <v>1.43062058</v>
      </c>
      <c r="I54" s="18" t="n">
        <v>0</v>
      </c>
      <c r="J54" s="20" t="n">
        <v>0</v>
      </c>
      <c r="K54" s="18" t="n">
        <v>2.30175995</v>
      </c>
      <c r="L54" s="20" t="n">
        <v>0.32365928</v>
      </c>
      <c r="M54" s="18" t="n">
        <v>0</v>
      </c>
      <c r="N54" s="20" t="n">
        <v>0</v>
      </c>
      <c r="O54" s="18" t="n">
        <v>1.00292341</v>
      </c>
      <c r="P54" s="20" t="n">
        <v>0.24447958</v>
      </c>
      <c r="Q54" s="18" t="n">
        <v>18.1206425</v>
      </c>
      <c r="R54" s="20" t="n">
        <v>1.2214531</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42.19404587</v>
      </c>
      <c r="F56" s="20" t="n">
        <v>1.33594448</v>
      </c>
      <c r="G56" s="18" t="n">
        <v>47.73062786</v>
      </c>
      <c r="H56" s="20" t="n">
        <v>1.2417669</v>
      </c>
      <c r="I56" s="18" t="n">
        <v>0</v>
      </c>
      <c r="J56" s="20" t="n">
        <v>0</v>
      </c>
      <c r="K56" s="18" t="n">
        <v>1.97428867</v>
      </c>
      <c r="L56" s="20" t="n">
        <v>0.38797353</v>
      </c>
      <c r="M56" s="18" t="n">
        <v>0.15892729</v>
      </c>
      <c r="N56" s="20" t="n">
        <v>0.0801944</v>
      </c>
      <c r="O56" s="18" t="n">
        <v>0</v>
      </c>
      <c r="P56" s="20" t="n">
        <v>0</v>
      </c>
      <c r="Q56" s="18" t="n">
        <v>7.94211031</v>
      </c>
      <c r="R56" s="20" t="n">
        <v>0.70724305</v>
      </c>
    </row>
    <row r="57" spans="1:18">
      <c r="A57" s="15" t="s">
        <v>616</v>
      </c>
      <c r="B57" s="17" t="n">
        <v>7267</v>
      </c>
      <c r="C57" s="18">
        <f>(4834.0/B57*100)</f>
        <v/>
      </c>
      <c r="D57" s="19" t="n">
        <v>2433</v>
      </c>
      <c r="E57" s="18" t="n">
        <v>26.5372797</v>
      </c>
      <c r="F57" s="20" t="n">
        <v>1.14106629</v>
      </c>
      <c r="G57" s="18" t="n">
        <v>58.88029296</v>
      </c>
      <c r="H57" s="20" t="n">
        <v>1.25080911</v>
      </c>
      <c r="I57" s="18" t="n">
        <v>0</v>
      </c>
      <c r="J57" s="20" t="n">
        <v>0</v>
      </c>
      <c r="K57" s="18" t="n">
        <v>3.46952224</v>
      </c>
      <c r="L57" s="20" t="n">
        <v>0.45314848</v>
      </c>
      <c r="M57" s="18" t="n">
        <v>0</v>
      </c>
      <c r="N57" s="20" t="n">
        <v>0</v>
      </c>
      <c r="O57" s="18" t="n">
        <v>1.41775199</v>
      </c>
      <c r="P57" s="20" t="n">
        <v>0.29776787</v>
      </c>
      <c r="Q57" s="18" t="n">
        <v>9.69515311</v>
      </c>
      <c r="R57" s="20" t="n">
        <v>0.74859315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32.97603354</v>
      </c>
      <c r="F59" s="20" t="n">
        <v>1.42411406</v>
      </c>
      <c r="G59" s="18" t="n">
        <v>42.18886099</v>
      </c>
      <c r="H59" s="20" t="n">
        <v>1.47030223</v>
      </c>
      <c r="I59" s="18" t="n">
        <v>0</v>
      </c>
      <c r="J59" s="20" t="n">
        <v>0</v>
      </c>
      <c r="K59" s="18" t="n">
        <v>0.89369922</v>
      </c>
      <c r="L59" s="20" t="n">
        <v>0.21817899</v>
      </c>
      <c r="M59" s="18" t="n">
        <v>0.32243292</v>
      </c>
      <c r="N59" s="20" t="n">
        <v>0.19877568</v>
      </c>
      <c r="O59" s="18" t="n">
        <v>1.14566952</v>
      </c>
      <c r="P59" s="20" t="n">
        <v>0.30352969</v>
      </c>
      <c r="Q59" s="18" t="n">
        <v>22.47330381</v>
      </c>
      <c r="R59" s="20" t="n">
        <v>1.34243579</v>
      </c>
    </row>
    <row r="60" spans="1:18">
      <c r="A60" s="15" t="s">
        <v>620</v>
      </c>
      <c r="B60" s="17" t="n">
        <v>4546</v>
      </c>
      <c r="C60" s="18">
        <f>(3041.0/B60*100)</f>
        <v/>
      </c>
      <c r="D60" s="19" t="n">
        <v>1505</v>
      </c>
      <c r="E60" s="18" t="n">
        <v>35.35029303</v>
      </c>
      <c r="F60" s="20" t="n">
        <v>1.4184721</v>
      </c>
      <c r="G60" s="18" t="n">
        <v>31.25185352</v>
      </c>
      <c r="H60" s="20" t="n">
        <v>1.5516166</v>
      </c>
      <c r="I60" s="18" t="n">
        <v>0</v>
      </c>
      <c r="J60" s="20" t="n">
        <v>0</v>
      </c>
      <c r="K60" s="18" t="n">
        <v>5.27186503</v>
      </c>
      <c r="L60" s="20" t="n">
        <v>0.73060358</v>
      </c>
      <c r="M60" s="18" t="n">
        <v>0</v>
      </c>
      <c r="N60" s="20" t="n">
        <v>0</v>
      </c>
      <c r="O60" s="18" t="n">
        <v>2.18055847</v>
      </c>
      <c r="P60" s="20" t="n">
        <v>0.4164142</v>
      </c>
      <c r="Q60" s="18" t="n">
        <v>25.94542995</v>
      </c>
      <c r="R60" s="20" t="n">
        <v>1.32418952</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31.19902938</v>
      </c>
      <c r="F63" s="20" t="n">
        <v>1.18897492</v>
      </c>
      <c r="G63" s="18" t="n">
        <v>39.86166025</v>
      </c>
      <c r="H63" s="20" t="n">
        <v>1.18703106</v>
      </c>
      <c r="I63" s="18" t="n">
        <v>0</v>
      </c>
      <c r="J63" s="20" t="n">
        <v>0</v>
      </c>
      <c r="K63" s="18" t="n">
        <v>4.14205367</v>
      </c>
      <c r="L63" s="20" t="n">
        <v>0.55013866</v>
      </c>
      <c r="M63" s="18" t="n">
        <v>0</v>
      </c>
      <c r="N63" s="20" t="n">
        <v>0</v>
      </c>
      <c r="O63" s="18" t="n">
        <v>0.57591979</v>
      </c>
      <c r="P63" s="20" t="n">
        <v>0.16889715</v>
      </c>
      <c r="Q63" s="18" t="n">
        <v>24.22133691</v>
      </c>
      <c r="R63" s="20" t="n">
        <v>1.08623799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31.27722643</v>
      </c>
      <c r="F65" s="20" t="n">
        <v>1.46422941</v>
      </c>
      <c r="G65" s="18" t="n">
        <v>56.69838688</v>
      </c>
      <c r="H65" s="20" t="n">
        <v>1.6197203</v>
      </c>
      <c r="I65" s="18" t="n">
        <v>0</v>
      </c>
      <c r="J65" s="20" t="n">
        <v>0</v>
      </c>
      <c r="K65" s="18" t="n">
        <v>2.50106957</v>
      </c>
      <c r="L65" s="20" t="n">
        <v>0.44732977</v>
      </c>
      <c r="M65" s="18" t="n">
        <v>0</v>
      </c>
      <c r="N65" s="20" t="n">
        <v>0</v>
      </c>
      <c r="O65" s="18" t="n">
        <v>0.89977599</v>
      </c>
      <c r="P65" s="20" t="n">
        <v>0.25991946</v>
      </c>
      <c r="Q65" s="18" t="n">
        <v>8.623541120000001</v>
      </c>
      <c r="R65" s="20" t="n">
        <v>0.89460608</v>
      </c>
    </row>
    <row r="66" spans="1:18">
      <c r="A66" s="15" t="s">
        <v>626</v>
      </c>
      <c r="B66" s="17" t="n">
        <v>5325</v>
      </c>
      <c r="C66" s="18">
        <f>(3550.0/B66*100)</f>
        <v/>
      </c>
      <c r="D66" s="19" t="n">
        <v>1775</v>
      </c>
      <c r="E66" s="18" t="n">
        <v>27.93765569</v>
      </c>
      <c r="F66" s="20" t="n">
        <v>1.18539108</v>
      </c>
      <c r="G66" s="18" t="n">
        <v>49.75262963</v>
      </c>
      <c r="H66" s="20" t="n">
        <v>1.45726801</v>
      </c>
      <c r="I66" s="18" t="n">
        <v>0</v>
      </c>
      <c r="J66" s="20" t="n">
        <v>0</v>
      </c>
      <c r="K66" s="18" t="n">
        <v>6.95724703</v>
      </c>
      <c r="L66" s="20" t="n">
        <v>0.68802896</v>
      </c>
      <c r="M66" s="18" t="n">
        <v>1.08444989</v>
      </c>
      <c r="N66" s="20" t="n">
        <v>0.26659315</v>
      </c>
      <c r="O66" s="18" t="n">
        <v>0</v>
      </c>
      <c r="P66" s="20" t="n">
        <v>0</v>
      </c>
      <c r="Q66" s="18" t="n">
        <v>14.26801776</v>
      </c>
      <c r="R66" s="20" t="n">
        <v>0.86841884</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37.52110692</v>
      </c>
      <c r="F69" s="20" t="n">
        <v>2.34545668</v>
      </c>
      <c r="G69" s="18" t="n">
        <v>57.45862867</v>
      </c>
      <c r="H69" s="20" t="n">
        <v>2.34789311</v>
      </c>
      <c r="I69" s="18" t="n">
        <v>0</v>
      </c>
      <c r="J69" s="20" t="n">
        <v>0</v>
      </c>
      <c r="K69" s="18" t="n">
        <v>0.2286356</v>
      </c>
      <c r="L69" s="20" t="n">
        <v>0.22707946</v>
      </c>
      <c r="M69" s="18" t="n">
        <v>0</v>
      </c>
      <c r="N69" s="20" t="n">
        <v>0</v>
      </c>
      <c r="O69" s="18" t="n">
        <v>0</v>
      </c>
      <c r="P69" s="20" t="n">
        <v>0</v>
      </c>
      <c r="Q69" s="18" t="n">
        <v>4.79162881</v>
      </c>
      <c r="R69" s="20" t="n">
        <v>1.25773759</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37.48776276</v>
      </c>
      <c r="F71" s="20" t="n">
        <v>1.19462163</v>
      </c>
      <c r="G71" s="18" t="n">
        <v>60.59427547</v>
      </c>
      <c r="H71" s="20" t="n">
        <v>1.19876641</v>
      </c>
      <c r="I71" s="18" t="n">
        <v>0</v>
      </c>
      <c r="J71" s="20" t="n">
        <v>0</v>
      </c>
      <c r="K71" s="18" t="n">
        <v>0</v>
      </c>
      <c r="L71" s="20" t="n">
        <v>0</v>
      </c>
      <c r="M71" s="18" t="n">
        <v>0</v>
      </c>
      <c r="N71" s="20" t="n">
        <v>0</v>
      </c>
      <c r="O71" s="18" t="n">
        <v>0.12248929</v>
      </c>
      <c r="P71" s="20" t="n">
        <v>0.08749192</v>
      </c>
      <c r="Q71" s="18" t="n">
        <v>1.79547248</v>
      </c>
      <c r="R71" s="20" t="n">
        <v>0.40712224</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35.8461151</v>
      </c>
      <c r="F76" s="20" t="n">
        <v>1.34942484</v>
      </c>
      <c r="G76" s="18" t="n">
        <v>47.04172342</v>
      </c>
      <c r="H76" s="20" t="n">
        <v>1.31892531</v>
      </c>
      <c r="I76" s="18" t="n">
        <v>0</v>
      </c>
      <c r="J76" s="20" t="n">
        <v>0</v>
      </c>
      <c r="K76" s="18" t="n">
        <v>7.44281775</v>
      </c>
      <c r="L76" s="20" t="n">
        <v>0.79732794</v>
      </c>
      <c r="M76" s="18" t="n">
        <v>0</v>
      </c>
      <c r="N76" s="20" t="n">
        <v>0</v>
      </c>
      <c r="O76" s="18" t="n">
        <v>0.08176315000000001</v>
      </c>
      <c r="P76" s="20" t="n">
        <v>0.05786808</v>
      </c>
      <c r="Q76" s="18" t="n">
        <v>9.587580579999999</v>
      </c>
      <c r="R76" s="20" t="n">
        <v>0.84526519</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14.09255225</v>
      </c>
      <c r="F80" s="20" t="n">
        <v>1.08628671</v>
      </c>
      <c r="G80" s="18" t="n">
        <v>85.36637100999999</v>
      </c>
      <c r="H80" s="20" t="n">
        <v>1.10418081</v>
      </c>
      <c r="I80" s="18" t="n">
        <v>0</v>
      </c>
      <c r="J80" s="20" t="n">
        <v>0</v>
      </c>
      <c r="K80" s="18" t="n">
        <v>0</v>
      </c>
      <c r="L80" s="20" t="n">
        <v>0</v>
      </c>
      <c r="M80" s="18" t="n">
        <v>0</v>
      </c>
      <c r="N80" s="20" t="n">
        <v>0</v>
      </c>
      <c r="O80" s="18" t="n">
        <v>0</v>
      </c>
      <c r="P80" s="20" t="n">
        <v>0</v>
      </c>
      <c r="Q80" s="18" t="n">
        <v>0.5410767399999999</v>
      </c>
      <c r="R80" s="20" t="n">
        <v>0.21107929</v>
      </c>
    </row>
    <row r="81" spans="1:18">
      <c r="A81" s="15" t="s">
        <v>641</v>
      </c>
      <c r="B81" s="17" t="n">
        <v>1657</v>
      </c>
      <c r="C81" s="18">
        <f>(1109.0/B81*100)</f>
        <v/>
      </c>
      <c r="D81" s="19" t="n">
        <v>548</v>
      </c>
      <c r="E81" s="18" t="n">
        <v>21.64052617</v>
      </c>
      <c r="F81" s="20" t="n">
        <v>1.7036533</v>
      </c>
      <c r="G81" s="18" t="n">
        <v>63.52815335</v>
      </c>
      <c r="H81" s="20" t="n">
        <v>2.5587891</v>
      </c>
      <c r="I81" s="18" t="n">
        <v>0</v>
      </c>
      <c r="J81" s="20" t="n">
        <v>0</v>
      </c>
      <c r="K81" s="18" t="n">
        <v>4.60993906</v>
      </c>
      <c r="L81" s="20" t="n">
        <v>0.9072989299999999</v>
      </c>
      <c r="M81" s="18" t="n">
        <v>0.96145612</v>
      </c>
      <c r="N81" s="20" t="n">
        <v>0.36702916</v>
      </c>
      <c r="O81" s="18" t="n">
        <v>0.40029999</v>
      </c>
      <c r="P81" s="20" t="n">
        <v>0.2785824</v>
      </c>
      <c r="Q81" s="18" t="n">
        <v>8.859625299999999</v>
      </c>
      <c r="R81" s="20" t="n">
        <v>1.61532992</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60.67399785</v>
      </c>
      <c r="F44" s="20" t="n">
        <v>1.88462128</v>
      </c>
      <c r="G44" s="18" t="n">
        <v>28.48155524</v>
      </c>
      <c r="H44" s="20" t="n">
        <v>1.817685</v>
      </c>
      <c r="I44" s="18" t="n">
        <v>0</v>
      </c>
      <c r="J44" s="20" t="n">
        <v>0</v>
      </c>
      <c r="K44" s="18" t="n">
        <v>4.89402645</v>
      </c>
      <c r="L44" s="20" t="n">
        <v>0.73254762</v>
      </c>
      <c r="M44" s="18" t="n">
        <v>0</v>
      </c>
      <c r="N44" s="20" t="n">
        <v>0</v>
      </c>
      <c r="O44" s="18" t="n">
        <v>0</v>
      </c>
      <c r="P44" s="20" t="n">
        <v>0</v>
      </c>
      <c r="Q44" s="18" t="n">
        <v>5.95042046</v>
      </c>
      <c r="R44" s="20" t="n">
        <v>0.7752857399999999</v>
      </c>
    </row>
    <row r="45" spans="1:18">
      <c r="A45" s="15" t="s">
        <v>604</v>
      </c>
      <c r="B45" s="17" t="n">
        <v>5519</v>
      </c>
      <c r="C45" s="18">
        <f>(3668.0/B45*100)</f>
        <v/>
      </c>
      <c r="D45" s="19" t="n">
        <v>1851</v>
      </c>
      <c r="E45" s="18" t="n">
        <v>60.5387824</v>
      </c>
      <c r="F45" s="20" t="n">
        <v>1.13468632</v>
      </c>
      <c r="G45" s="18" t="n">
        <v>28.07633709</v>
      </c>
      <c r="H45" s="20" t="n">
        <v>1.24690918</v>
      </c>
      <c r="I45" s="18" t="n">
        <v>0</v>
      </c>
      <c r="J45" s="20" t="n">
        <v>0</v>
      </c>
      <c r="K45" s="18" t="n">
        <v>7.11097612</v>
      </c>
      <c r="L45" s="20" t="n">
        <v>0.7851718</v>
      </c>
      <c r="M45" s="18" t="n">
        <v>0.45007306</v>
      </c>
      <c r="N45" s="20" t="n">
        <v>0.15452641</v>
      </c>
      <c r="O45" s="18" t="n">
        <v>0.0857528</v>
      </c>
      <c r="P45" s="20" t="n">
        <v>0.0869332</v>
      </c>
      <c r="Q45" s="18" t="n">
        <v>3.73807853</v>
      </c>
      <c r="R45" s="20" t="n">
        <v>0.45053822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61.16873801</v>
      </c>
      <c r="F54" s="20" t="n">
        <v>1.24628343</v>
      </c>
      <c r="G54" s="18" t="n">
        <v>33.56638868</v>
      </c>
      <c r="H54" s="20" t="n">
        <v>1.20926413</v>
      </c>
      <c r="I54" s="18" t="n">
        <v>0</v>
      </c>
      <c r="J54" s="20" t="n">
        <v>0</v>
      </c>
      <c r="K54" s="18" t="n">
        <v>2.54662892</v>
      </c>
      <c r="L54" s="20" t="n">
        <v>0.34682842</v>
      </c>
      <c r="M54" s="18" t="n">
        <v>0</v>
      </c>
      <c r="N54" s="20" t="n">
        <v>0</v>
      </c>
      <c r="O54" s="18" t="n">
        <v>0.18664317</v>
      </c>
      <c r="P54" s="20" t="n">
        <v>0.11852631</v>
      </c>
      <c r="Q54" s="18" t="n">
        <v>2.53160121</v>
      </c>
      <c r="R54" s="20" t="n">
        <v>0.43834404</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70.10536505</v>
      </c>
      <c r="F56" s="20" t="n">
        <v>0.94735207</v>
      </c>
      <c r="G56" s="18" t="n">
        <v>26.02568399</v>
      </c>
      <c r="H56" s="20" t="n">
        <v>1.00136128</v>
      </c>
      <c r="I56" s="18" t="n">
        <v>0</v>
      </c>
      <c r="J56" s="20" t="n">
        <v>0</v>
      </c>
      <c r="K56" s="18" t="n">
        <v>2.14405733</v>
      </c>
      <c r="L56" s="20" t="n">
        <v>0.39615964</v>
      </c>
      <c r="M56" s="18" t="n">
        <v>0</v>
      </c>
      <c r="N56" s="20" t="n">
        <v>0</v>
      </c>
      <c r="O56" s="18" t="n">
        <v>0</v>
      </c>
      <c r="P56" s="20" t="n">
        <v>0</v>
      </c>
      <c r="Q56" s="18" t="n">
        <v>1.72489363</v>
      </c>
      <c r="R56" s="20" t="n">
        <v>0.29683977</v>
      </c>
    </row>
    <row r="57" spans="1:18">
      <c r="A57" s="15" t="s">
        <v>616</v>
      </c>
      <c r="B57" s="17" t="n">
        <v>7267</v>
      </c>
      <c r="C57" s="18">
        <f>(4834.0/B57*100)</f>
        <v/>
      </c>
      <c r="D57" s="19" t="n">
        <v>2433</v>
      </c>
      <c r="E57" s="18" t="n">
        <v>60.95897768</v>
      </c>
      <c r="F57" s="20" t="n">
        <v>1.05126855</v>
      </c>
      <c r="G57" s="18" t="n">
        <v>33.52386832</v>
      </c>
      <c r="H57" s="20" t="n">
        <v>1.12393103</v>
      </c>
      <c r="I57" s="18" t="n">
        <v>0</v>
      </c>
      <c r="J57" s="20" t="n">
        <v>0</v>
      </c>
      <c r="K57" s="18" t="n">
        <v>3.58702077</v>
      </c>
      <c r="L57" s="20" t="n">
        <v>0.46913208</v>
      </c>
      <c r="M57" s="18" t="n">
        <v>0</v>
      </c>
      <c r="N57" s="20" t="n">
        <v>0</v>
      </c>
      <c r="O57" s="18" t="n">
        <v>0.10823894</v>
      </c>
      <c r="P57" s="20" t="n">
        <v>0.08023666</v>
      </c>
      <c r="Q57" s="18" t="n">
        <v>1.82189429</v>
      </c>
      <c r="R57" s="20" t="n">
        <v>0.35676183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67.97424694999999</v>
      </c>
      <c r="F59" s="20" t="n">
        <v>1.30818183</v>
      </c>
      <c r="G59" s="18" t="n">
        <v>29.63359505</v>
      </c>
      <c r="H59" s="20" t="n">
        <v>1.25092512</v>
      </c>
      <c r="I59" s="18" t="n">
        <v>0</v>
      </c>
      <c r="J59" s="20" t="n">
        <v>0</v>
      </c>
      <c r="K59" s="18" t="n">
        <v>1.06587377</v>
      </c>
      <c r="L59" s="20" t="n">
        <v>0.25336484</v>
      </c>
      <c r="M59" s="18" t="n">
        <v>0.18512479</v>
      </c>
      <c r="N59" s="20" t="n">
        <v>0.17583463</v>
      </c>
      <c r="O59" s="18" t="n">
        <v>0.05740599</v>
      </c>
      <c r="P59" s="20" t="n">
        <v>0.04083398</v>
      </c>
      <c r="Q59" s="18" t="n">
        <v>1.08375345</v>
      </c>
      <c r="R59" s="20" t="n">
        <v>0.26141657</v>
      </c>
    </row>
    <row r="60" spans="1:18">
      <c r="A60" s="15" t="s">
        <v>620</v>
      </c>
      <c r="B60" s="17" t="n">
        <v>4546</v>
      </c>
      <c r="C60" s="18">
        <f>(3041.0/B60*100)</f>
        <v/>
      </c>
      <c r="D60" s="19" t="n">
        <v>1505</v>
      </c>
      <c r="E60" s="18" t="n">
        <v>57.32833065</v>
      </c>
      <c r="F60" s="20" t="n">
        <v>1.44271541</v>
      </c>
      <c r="G60" s="18" t="n">
        <v>32.60674795</v>
      </c>
      <c r="H60" s="20" t="n">
        <v>1.38260604</v>
      </c>
      <c r="I60" s="18" t="n">
        <v>0</v>
      </c>
      <c r="J60" s="20" t="n">
        <v>0</v>
      </c>
      <c r="K60" s="18" t="n">
        <v>5.87089168</v>
      </c>
      <c r="L60" s="20" t="n">
        <v>0.84053272</v>
      </c>
      <c r="M60" s="18" t="n">
        <v>0</v>
      </c>
      <c r="N60" s="20" t="n">
        <v>0</v>
      </c>
      <c r="O60" s="18" t="n">
        <v>0</v>
      </c>
      <c r="P60" s="20" t="n">
        <v>0</v>
      </c>
      <c r="Q60" s="18" t="n">
        <v>4.19402972</v>
      </c>
      <c r="R60" s="20" t="n">
        <v>0.71747604</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59.4758843</v>
      </c>
      <c r="F63" s="20" t="n">
        <v>1.43128767</v>
      </c>
      <c r="G63" s="18" t="n">
        <v>33.12017319</v>
      </c>
      <c r="H63" s="20" t="n">
        <v>1.3332468</v>
      </c>
      <c r="I63" s="18" t="n">
        <v>0</v>
      </c>
      <c r="J63" s="20" t="n">
        <v>0</v>
      </c>
      <c r="K63" s="18" t="n">
        <v>4.58344336</v>
      </c>
      <c r="L63" s="20" t="n">
        <v>0.57732946</v>
      </c>
      <c r="M63" s="18" t="n">
        <v>0</v>
      </c>
      <c r="N63" s="20" t="n">
        <v>0</v>
      </c>
      <c r="O63" s="18" t="n">
        <v>0.06010935</v>
      </c>
      <c r="P63" s="20" t="n">
        <v>0.06060292</v>
      </c>
      <c r="Q63" s="18" t="n">
        <v>2.7603898</v>
      </c>
      <c r="R63" s="20" t="n">
        <v>0.47428724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59.01428388</v>
      </c>
      <c r="F65" s="20" t="n">
        <v>1.48737935</v>
      </c>
      <c r="G65" s="18" t="n">
        <v>36.40934929</v>
      </c>
      <c r="H65" s="20" t="n">
        <v>1.54241123</v>
      </c>
      <c r="I65" s="18" t="n">
        <v>0</v>
      </c>
      <c r="J65" s="20" t="n">
        <v>0</v>
      </c>
      <c r="K65" s="18" t="n">
        <v>2.83828556</v>
      </c>
      <c r="L65" s="20" t="n">
        <v>0.47411896</v>
      </c>
      <c r="M65" s="18" t="n">
        <v>0</v>
      </c>
      <c r="N65" s="20" t="n">
        <v>0</v>
      </c>
      <c r="O65" s="18" t="n">
        <v>0.11117181</v>
      </c>
      <c r="P65" s="20" t="n">
        <v>0.11002796</v>
      </c>
      <c r="Q65" s="18" t="n">
        <v>1.62690947</v>
      </c>
      <c r="R65" s="20" t="n">
        <v>0.339743</v>
      </c>
    </row>
    <row r="66" spans="1:18">
      <c r="A66" s="15" t="s">
        <v>626</v>
      </c>
      <c r="B66" s="17" t="n">
        <v>5325</v>
      </c>
      <c r="C66" s="18">
        <f>(3550.0/B66*100)</f>
        <v/>
      </c>
      <c r="D66" s="19" t="n">
        <v>1775</v>
      </c>
      <c r="E66" s="18" t="n">
        <v>57.11896646</v>
      </c>
      <c r="F66" s="20" t="n">
        <v>1.28054888</v>
      </c>
      <c r="G66" s="18" t="n">
        <v>33.38940909</v>
      </c>
      <c r="H66" s="20" t="n">
        <v>1.14169294</v>
      </c>
      <c r="I66" s="18" t="n">
        <v>0</v>
      </c>
      <c r="J66" s="20" t="n">
        <v>0</v>
      </c>
      <c r="K66" s="18" t="n">
        <v>7.67617185</v>
      </c>
      <c r="L66" s="20" t="n">
        <v>0.69124964</v>
      </c>
      <c r="M66" s="18" t="n">
        <v>0</v>
      </c>
      <c r="N66" s="20" t="n">
        <v>0</v>
      </c>
      <c r="O66" s="18" t="n">
        <v>0</v>
      </c>
      <c r="P66" s="20" t="n">
        <v>0</v>
      </c>
      <c r="Q66" s="18" t="n">
        <v>1.8154526</v>
      </c>
      <c r="R66" s="20" t="n">
        <v>0.32254959</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68.61292566</v>
      </c>
      <c r="F69" s="20" t="n">
        <v>2.44053986</v>
      </c>
      <c r="G69" s="18" t="n">
        <v>30.69013918</v>
      </c>
      <c r="H69" s="20" t="n">
        <v>2.41925655</v>
      </c>
      <c r="I69" s="18" t="n">
        <v>0</v>
      </c>
      <c r="J69" s="20" t="n">
        <v>0</v>
      </c>
      <c r="K69" s="18" t="n">
        <v>0.44546744</v>
      </c>
      <c r="L69" s="20" t="n">
        <v>0.35681291</v>
      </c>
      <c r="M69" s="18" t="n">
        <v>0</v>
      </c>
      <c r="N69" s="20" t="n">
        <v>0</v>
      </c>
      <c r="O69" s="18" t="n">
        <v>0</v>
      </c>
      <c r="P69" s="20" t="n">
        <v>0</v>
      </c>
      <c r="Q69" s="18" t="n">
        <v>0.25146772</v>
      </c>
      <c r="R69" s="20" t="n">
        <v>0.24877091</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57.30283245</v>
      </c>
      <c r="F71" s="20" t="n">
        <v>1.53798904</v>
      </c>
      <c r="G71" s="18" t="n">
        <v>42.39396639</v>
      </c>
      <c r="H71" s="20" t="n">
        <v>1.55847998</v>
      </c>
      <c r="I71" s="18" t="n">
        <v>0</v>
      </c>
      <c r="J71" s="20" t="n">
        <v>0</v>
      </c>
      <c r="K71" s="18" t="n">
        <v>0</v>
      </c>
      <c r="L71" s="20" t="n">
        <v>0</v>
      </c>
      <c r="M71" s="18" t="n">
        <v>0</v>
      </c>
      <c r="N71" s="20" t="n">
        <v>0</v>
      </c>
      <c r="O71" s="18" t="n">
        <v>0</v>
      </c>
      <c r="P71" s="20" t="n">
        <v>0</v>
      </c>
      <c r="Q71" s="18" t="n">
        <v>0.30320116</v>
      </c>
      <c r="R71" s="20" t="n">
        <v>0.13942033</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54.85403032</v>
      </c>
      <c r="F76" s="20" t="n">
        <v>1.37089757</v>
      </c>
      <c r="G76" s="18" t="n">
        <v>34.09760298</v>
      </c>
      <c r="H76" s="20" t="n">
        <v>1.39435801</v>
      </c>
      <c r="I76" s="18" t="n">
        <v>0</v>
      </c>
      <c r="J76" s="20" t="n">
        <v>0</v>
      </c>
      <c r="K76" s="18" t="n">
        <v>8.04035212</v>
      </c>
      <c r="L76" s="20" t="n">
        <v>0.81905367</v>
      </c>
      <c r="M76" s="18" t="n">
        <v>0</v>
      </c>
      <c r="N76" s="20" t="n">
        <v>0</v>
      </c>
      <c r="O76" s="18" t="n">
        <v>0</v>
      </c>
      <c r="P76" s="20" t="n">
        <v>0</v>
      </c>
      <c r="Q76" s="18" t="n">
        <v>3.00801458</v>
      </c>
      <c r="R76" s="20" t="n">
        <v>0.41738066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40.76700228</v>
      </c>
      <c r="F80" s="20" t="n">
        <v>1.58720384</v>
      </c>
      <c r="G80" s="18" t="n">
        <v>59.23299772</v>
      </c>
      <c r="H80" s="20" t="n">
        <v>1.58720384</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50.39060739</v>
      </c>
      <c r="F81" s="20" t="n">
        <v>2.30935786</v>
      </c>
      <c r="G81" s="18" t="n">
        <v>41.41278424</v>
      </c>
      <c r="H81" s="20" t="n">
        <v>1.93378008</v>
      </c>
      <c r="I81" s="18" t="n">
        <v>0</v>
      </c>
      <c r="J81" s="20" t="n">
        <v>0</v>
      </c>
      <c r="K81" s="18" t="n">
        <v>4.77001881</v>
      </c>
      <c r="L81" s="20" t="n">
        <v>0.95107522</v>
      </c>
      <c r="M81" s="18" t="n">
        <v>0.96145612</v>
      </c>
      <c r="N81" s="20" t="n">
        <v>0.36702916</v>
      </c>
      <c r="O81" s="18" t="n">
        <v>0</v>
      </c>
      <c r="P81" s="20" t="n">
        <v>0</v>
      </c>
      <c r="Q81" s="18" t="n">
        <v>2.46513344</v>
      </c>
      <c r="R81" s="20" t="n">
        <v>0.63198425</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47.46057457</v>
      </c>
      <c r="F44" s="20" t="n">
        <v>1.39543987</v>
      </c>
      <c r="G44" s="18" t="n">
        <v>34.81430355</v>
      </c>
      <c r="H44" s="20" t="n">
        <v>1.36480018</v>
      </c>
      <c r="I44" s="18" t="n">
        <v>0</v>
      </c>
      <c r="J44" s="20" t="n">
        <v>0</v>
      </c>
      <c r="K44" s="18" t="n">
        <v>6.40085662</v>
      </c>
      <c r="L44" s="20" t="n">
        <v>0.74635758</v>
      </c>
      <c r="M44" s="18" t="n">
        <v>0</v>
      </c>
      <c r="N44" s="20" t="n">
        <v>0</v>
      </c>
      <c r="O44" s="18" t="n">
        <v>0.8783315900000001</v>
      </c>
      <c r="P44" s="20" t="n">
        <v>0.22473819</v>
      </c>
      <c r="Q44" s="18" t="n">
        <v>10.44593367</v>
      </c>
      <c r="R44" s="20" t="n">
        <v>0.97907961</v>
      </c>
    </row>
    <row r="45" spans="1:18">
      <c r="A45" s="15" t="s">
        <v>604</v>
      </c>
      <c r="B45" s="17" t="n">
        <v>5519</v>
      </c>
      <c r="C45" s="18">
        <f>(3668.0/B45*100)</f>
        <v/>
      </c>
      <c r="D45" s="19" t="n">
        <v>1851</v>
      </c>
      <c r="E45" s="18" t="n">
        <v>52.91370899</v>
      </c>
      <c r="F45" s="20" t="n">
        <v>1.1505572</v>
      </c>
      <c r="G45" s="18" t="n">
        <v>26.41704157</v>
      </c>
      <c r="H45" s="20" t="n">
        <v>1.31215998</v>
      </c>
      <c r="I45" s="18" t="n">
        <v>0</v>
      </c>
      <c r="J45" s="20" t="n">
        <v>0</v>
      </c>
      <c r="K45" s="18" t="n">
        <v>8.06570009</v>
      </c>
      <c r="L45" s="20" t="n">
        <v>0.81413906</v>
      </c>
      <c r="M45" s="18" t="n">
        <v>0.81552079</v>
      </c>
      <c r="N45" s="20" t="n">
        <v>0.24727918</v>
      </c>
      <c r="O45" s="18" t="n">
        <v>1.78501717</v>
      </c>
      <c r="P45" s="20" t="n">
        <v>0.30287865</v>
      </c>
      <c r="Q45" s="18" t="n">
        <v>10.00301139</v>
      </c>
      <c r="R45" s="20" t="n">
        <v>0.82306705</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59.49459708</v>
      </c>
      <c r="F54" s="20" t="n">
        <v>1.17571474</v>
      </c>
      <c r="G54" s="18" t="n">
        <v>30.24498683</v>
      </c>
      <c r="H54" s="20" t="n">
        <v>1.16748013</v>
      </c>
      <c r="I54" s="18" t="n">
        <v>0</v>
      </c>
      <c r="J54" s="20" t="n">
        <v>0</v>
      </c>
      <c r="K54" s="18" t="n">
        <v>3.27451177</v>
      </c>
      <c r="L54" s="20" t="n">
        <v>0.41370923</v>
      </c>
      <c r="M54" s="18" t="n">
        <v>0</v>
      </c>
      <c r="N54" s="20" t="n">
        <v>0</v>
      </c>
      <c r="O54" s="18" t="n">
        <v>0.56863049</v>
      </c>
      <c r="P54" s="20" t="n">
        <v>0.2107774</v>
      </c>
      <c r="Q54" s="18" t="n">
        <v>6.41727383</v>
      </c>
      <c r="R54" s="20" t="n">
        <v>0.71067087</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60.37188367</v>
      </c>
      <c r="F56" s="20" t="n">
        <v>1.20300246</v>
      </c>
      <c r="G56" s="18" t="n">
        <v>32.65447017</v>
      </c>
      <c r="H56" s="20" t="n">
        <v>1.23056065</v>
      </c>
      <c r="I56" s="18" t="n">
        <v>0</v>
      </c>
      <c r="J56" s="20" t="n">
        <v>0</v>
      </c>
      <c r="K56" s="18" t="n">
        <v>2.3670862</v>
      </c>
      <c r="L56" s="20" t="n">
        <v>0.41296553</v>
      </c>
      <c r="M56" s="18" t="n">
        <v>0.06382005</v>
      </c>
      <c r="N56" s="20" t="n">
        <v>0.06406083999999999</v>
      </c>
      <c r="O56" s="18" t="n">
        <v>0</v>
      </c>
      <c r="P56" s="20" t="n">
        <v>0</v>
      </c>
      <c r="Q56" s="18" t="n">
        <v>4.54273991</v>
      </c>
      <c r="R56" s="20" t="n">
        <v>0.57236753</v>
      </c>
    </row>
    <row r="57" spans="1:18">
      <c r="A57" s="15" t="s">
        <v>616</v>
      </c>
      <c r="B57" s="17" t="n">
        <v>7267</v>
      </c>
      <c r="C57" s="18">
        <f>(4834.0/B57*100)</f>
        <v/>
      </c>
      <c r="D57" s="19" t="n">
        <v>2433</v>
      </c>
      <c r="E57" s="18" t="n">
        <v>58.13950332</v>
      </c>
      <c r="F57" s="20" t="n">
        <v>1.25631057</v>
      </c>
      <c r="G57" s="18" t="n">
        <v>31.41027455</v>
      </c>
      <c r="H57" s="20" t="n">
        <v>1.1714962</v>
      </c>
      <c r="I57" s="18" t="n">
        <v>0</v>
      </c>
      <c r="J57" s="20" t="n">
        <v>0</v>
      </c>
      <c r="K57" s="18" t="n">
        <v>4.2576198</v>
      </c>
      <c r="L57" s="20" t="n">
        <v>0.50014919</v>
      </c>
      <c r="M57" s="18" t="n">
        <v>0</v>
      </c>
      <c r="N57" s="20" t="n">
        <v>0</v>
      </c>
      <c r="O57" s="18" t="n">
        <v>0.70140583</v>
      </c>
      <c r="P57" s="20" t="n">
        <v>0.19373322</v>
      </c>
      <c r="Q57" s="18" t="n">
        <v>5.4911965</v>
      </c>
      <c r="R57" s="20" t="n">
        <v>0.62454464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52.7466214</v>
      </c>
      <c r="F59" s="20" t="n">
        <v>1.66280283</v>
      </c>
      <c r="G59" s="18" t="n">
        <v>39.80167275</v>
      </c>
      <c r="H59" s="20" t="n">
        <v>1.58364854</v>
      </c>
      <c r="I59" s="18" t="n">
        <v>0</v>
      </c>
      <c r="J59" s="20" t="n">
        <v>0</v>
      </c>
      <c r="K59" s="18" t="n">
        <v>1.71165185</v>
      </c>
      <c r="L59" s="20" t="n">
        <v>0.35083828</v>
      </c>
      <c r="M59" s="18" t="n">
        <v>0.72969609</v>
      </c>
      <c r="N59" s="20" t="n">
        <v>0.31104266</v>
      </c>
      <c r="O59" s="18" t="n">
        <v>0.94201575</v>
      </c>
      <c r="P59" s="20" t="n">
        <v>0.24727879</v>
      </c>
      <c r="Q59" s="18" t="n">
        <v>4.06834216</v>
      </c>
      <c r="R59" s="20" t="n">
        <v>0.62648868</v>
      </c>
    </row>
    <row r="60" spans="1:18">
      <c r="A60" s="15" t="s">
        <v>620</v>
      </c>
      <c r="B60" s="17" t="n">
        <v>4546</v>
      </c>
      <c r="C60" s="18">
        <f>(3041.0/B60*100)</f>
        <v/>
      </c>
      <c r="D60" s="19" t="n">
        <v>1505</v>
      </c>
      <c r="E60" s="18" t="n">
        <v>51.33559859</v>
      </c>
      <c r="F60" s="20" t="n">
        <v>1.69827056</v>
      </c>
      <c r="G60" s="18" t="n">
        <v>29.24545157</v>
      </c>
      <c r="H60" s="20" t="n">
        <v>1.46033941</v>
      </c>
      <c r="I60" s="18" t="n">
        <v>0</v>
      </c>
      <c r="J60" s="20" t="n">
        <v>0</v>
      </c>
      <c r="K60" s="18" t="n">
        <v>6.70933183</v>
      </c>
      <c r="L60" s="20" t="n">
        <v>0.9610703900000001</v>
      </c>
      <c r="M60" s="18" t="n">
        <v>0.05835064</v>
      </c>
      <c r="N60" s="20" t="n">
        <v>0.05818602</v>
      </c>
      <c r="O60" s="18" t="n">
        <v>3.02519408</v>
      </c>
      <c r="P60" s="20" t="n">
        <v>0.56646014</v>
      </c>
      <c r="Q60" s="18" t="n">
        <v>9.62607328</v>
      </c>
      <c r="R60" s="20" t="n">
        <v>1.14751171</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57.77664564</v>
      </c>
      <c r="F63" s="20" t="n">
        <v>1.12828312</v>
      </c>
      <c r="G63" s="18" t="n">
        <v>25.48417482</v>
      </c>
      <c r="H63" s="20" t="n">
        <v>1.03934512</v>
      </c>
      <c r="I63" s="18" t="n">
        <v>0</v>
      </c>
      <c r="J63" s="20" t="n">
        <v>0</v>
      </c>
      <c r="K63" s="18" t="n">
        <v>6.69528422</v>
      </c>
      <c r="L63" s="20" t="n">
        <v>0.72750915</v>
      </c>
      <c r="M63" s="18" t="n">
        <v>0.08414581</v>
      </c>
      <c r="N63" s="20" t="n">
        <v>0.08409764</v>
      </c>
      <c r="O63" s="18" t="n">
        <v>1.12968848</v>
      </c>
      <c r="P63" s="20" t="n">
        <v>0.29167235</v>
      </c>
      <c r="Q63" s="18" t="n">
        <v>8.83006103</v>
      </c>
      <c r="R63" s="20" t="n">
        <v>0.81187994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49.56922878</v>
      </c>
      <c r="F65" s="20" t="n">
        <v>1.45336278</v>
      </c>
      <c r="G65" s="18" t="n">
        <v>40.5175233</v>
      </c>
      <c r="H65" s="20" t="n">
        <v>1.40410699</v>
      </c>
      <c r="I65" s="18" t="n">
        <v>0</v>
      </c>
      <c r="J65" s="20" t="n">
        <v>0</v>
      </c>
      <c r="K65" s="18" t="n">
        <v>3.93624568</v>
      </c>
      <c r="L65" s="20" t="n">
        <v>0.5384052</v>
      </c>
      <c r="M65" s="18" t="n">
        <v>0</v>
      </c>
      <c r="N65" s="20" t="n">
        <v>0</v>
      </c>
      <c r="O65" s="18" t="n">
        <v>0.46492609</v>
      </c>
      <c r="P65" s="20" t="n">
        <v>0.21204812</v>
      </c>
      <c r="Q65" s="18" t="n">
        <v>5.51207615</v>
      </c>
      <c r="R65" s="20" t="n">
        <v>0.82485717</v>
      </c>
    </row>
    <row r="66" spans="1:18">
      <c r="A66" s="15" t="s">
        <v>626</v>
      </c>
      <c r="B66" s="17" t="n">
        <v>5325</v>
      </c>
      <c r="C66" s="18">
        <f>(3550.0/B66*100)</f>
        <v/>
      </c>
      <c r="D66" s="19" t="n">
        <v>1775</v>
      </c>
      <c r="E66" s="18" t="n">
        <v>49.80308956</v>
      </c>
      <c r="F66" s="20" t="n">
        <v>1.38052598</v>
      </c>
      <c r="G66" s="18" t="n">
        <v>32.49743986</v>
      </c>
      <c r="H66" s="20" t="n">
        <v>1.29312615</v>
      </c>
      <c r="I66" s="18" t="n">
        <v>0</v>
      </c>
      <c r="J66" s="20" t="n">
        <v>0</v>
      </c>
      <c r="K66" s="18" t="n">
        <v>8.39318317</v>
      </c>
      <c r="L66" s="20" t="n">
        <v>0.72026972</v>
      </c>
      <c r="M66" s="18" t="n">
        <v>1.35880914</v>
      </c>
      <c r="N66" s="20" t="n">
        <v>0.29396905</v>
      </c>
      <c r="O66" s="18" t="n">
        <v>0.0655939</v>
      </c>
      <c r="P66" s="20" t="n">
        <v>0.04630147</v>
      </c>
      <c r="Q66" s="18" t="n">
        <v>7.88188437</v>
      </c>
      <c r="R66" s="20" t="n">
        <v>0.61855846</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63.76156971</v>
      </c>
      <c r="F69" s="20" t="n">
        <v>2.09034674</v>
      </c>
      <c r="G69" s="18" t="n">
        <v>31.12281814</v>
      </c>
      <c r="H69" s="20" t="n">
        <v>2.25552752</v>
      </c>
      <c r="I69" s="18" t="n">
        <v>0</v>
      </c>
      <c r="J69" s="20" t="n">
        <v>0</v>
      </c>
      <c r="K69" s="18" t="n">
        <v>0.44546744</v>
      </c>
      <c r="L69" s="20" t="n">
        <v>0.35681291</v>
      </c>
      <c r="M69" s="18" t="n">
        <v>0</v>
      </c>
      <c r="N69" s="20" t="n">
        <v>0</v>
      </c>
      <c r="O69" s="18" t="n">
        <v>0</v>
      </c>
      <c r="P69" s="20" t="n">
        <v>0</v>
      </c>
      <c r="Q69" s="18" t="n">
        <v>4.6701447</v>
      </c>
      <c r="R69" s="20" t="n">
        <v>1.04926124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62.79954572</v>
      </c>
      <c r="F71" s="20" t="n">
        <v>1.33355629</v>
      </c>
      <c r="G71" s="18" t="n">
        <v>36.21504476</v>
      </c>
      <c r="H71" s="20" t="n">
        <v>1.34950279</v>
      </c>
      <c r="I71" s="18" t="n">
        <v>0</v>
      </c>
      <c r="J71" s="20" t="n">
        <v>0</v>
      </c>
      <c r="K71" s="18" t="n">
        <v>0</v>
      </c>
      <c r="L71" s="20" t="n">
        <v>0</v>
      </c>
      <c r="M71" s="18" t="n">
        <v>0</v>
      </c>
      <c r="N71" s="20" t="n">
        <v>0</v>
      </c>
      <c r="O71" s="18" t="n">
        <v>0</v>
      </c>
      <c r="P71" s="20" t="n">
        <v>0</v>
      </c>
      <c r="Q71" s="18" t="n">
        <v>0.98540952</v>
      </c>
      <c r="R71" s="20" t="n">
        <v>0.26635939</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48.08642314</v>
      </c>
      <c r="F76" s="20" t="n">
        <v>1.48009364</v>
      </c>
      <c r="G76" s="18" t="n">
        <v>35.32612115</v>
      </c>
      <c r="H76" s="20" t="n">
        <v>1.49244863</v>
      </c>
      <c r="I76" s="18" t="n">
        <v>0</v>
      </c>
      <c r="J76" s="20" t="n">
        <v>0</v>
      </c>
      <c r="K76" s="18" t="n">
        <v>9.05797074</v>
      </c>
      <c r="L76" s="20" t="n">
        <v>0.85214924</v>
      </c>
      <c r="M76" s="18" t="n">
        <v>0</v>
      </c>
      <c r="N76" s="20" t="n">
        <v>0</v>
      </c>
      <c r="O76" s="18" t="n">
        <v>0</v>
      </c>
      <c r="P76" s="20" t="n">
        <v>0</v>
      </c>
      <c r="Q76" s="18" t="n">
        <v>7.52948498</v>
      </c>
      <c r="R76" s="20" t="n">
        <v>0.68506856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38.80679084</v>
      </c>
      <c r="F80" s="20" t="n">
        <v>1.87940511</v>
      </c>
      <c r="G80" s="18" t="n">
        <v>61.11176645</v>
      </c>
      <c r="H80" s="20" t="n">
        <v>1.88770219</v>
      </c>
      <c r="I80" s="18" t="n">
        <v>0</v>
      </c>
      <c r="J80" s="20" t="n">
        <v>0</v>
      </c>
      <c r="K80" s="18" t="n">
        <v>0</v>
      </c>
      <c r="L80" s="20" t="n">
        <v>0</v>
      </c>
      <c r="M80" s="18" t="n">
        <v>0</v>
      </c>
      <c r="N80" s="20" t="n">
        <v>0</v>
      </c>
      <c r="O80" s="18" t="n">
        <v>0</v>
      </c>
      <c r="P80" s="20" t="n">
        <v>0</v>
      </c>
      <c r="Q80" s="18" t="n">
        <v>0.08144271</v>
      </c>
      <c r="R80" s="20" t="n">
        <v>0.06068828</v>
      </c>
    </row>
    <row r="81" spans="1:18">
      <c r="A81" s="15" t="s">
        <v>641</v>
      </c>
      <c r="B81" s="17" t="n">
        <v>1657</v>
      </c>
      <c r="C81" s="18">
        <f>(1109.0/B81*100)</f>
        <v/>
      </c>
      <c r="D81" s="19" t="n">
        <v>548</v>
      </c>
      <c r="E81" s="18" t="n">
        <v>47.78298155</v>
      </c>
      <c r="F81" s="20" t="n">
        <v>2.9134076</v>
      </c>
      <c r="G81" s="18" t="n">
        <v>39.19318197</v>
      </c>
      <c r="H81" s="20" t="n">
        <v>2.64598387</v>
      </c>
      <c r="I81" s="18" t="n">
        <v>0</v>
      </c>
      <c r="J81" s="20" t="n">
        <v>0</v>
      </c>
      <c r="K81" s="18" t="n">
        <v>5.25333004</v>
      </c>
      <c r="L81" s="20" t="n">
        <v>0.98234253</v>
      </c>
      <c r="M81" s="18" t="n">
        <v>0.96145612</v>
      </c>
      <c r="N81" s="20" t="n">
        <v>0.36702916</v>
      </c>
      <c r="O81" s="18" t="n">
        <v>1.30840083</v>
      </c>
      <c r="P81" s="20" t="n">
        <v>0.5219248399999999</v>
      </c>
      <c r="Q81" s="18" t="n">
        <v>5.50064949</v>
      </c>
      <c r="R81" s="20" t="n">
        <v>1.07993646</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7.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883</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row>
    <row r="8" spans="1:20">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row>
    <row r="9" spans="1:20">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row>
    <row r="10" spans="1:20">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row>
    <row r="11" spans="1:20">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row>
    <row r="12" spans="1:20">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row>
    <row r="13" spans="1:20">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row>
    <row r="14" spans="1:20">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row>
    <row r="15" spans="1:20">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row>
    <row r="16" spans="1:20">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row>
    <row r="17" spans="1:20">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row>
    <row r="18" spans="1:20">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row>
    <row r="19" spans="1:20">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row>
    <row r="20" spans="1:20">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row>
    <row r="21" spans="1:20">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row>
    <row r="22" spans="1:20">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row>
    <row r="23" spans="1:20">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row>
    <row r="24" spans="1:20">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row>
    <row r="25" spans="1:20">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row>
    <row r="26" spans="1:20">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row>
    <row r="27" spans="1:20">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row>
    <row r="28" spans="1:20">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row>
    <row r="29" spans="1:20">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row>
    <row r="30" spans="1:20">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row>
    <row r="31" spans="1:20">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row>
    <row r="32" spans="1:20">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row>
    <row r="33" spans="1:20">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row>
    <row r="34" spans="1:20">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row>
    <row r="35" spans="1:20">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row>
    <row r="36" spans="1:20">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row>
    <row r="37" spans="1:20">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row>
    <row r="38" spans="1:20">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row>
    <row r="39" spans="1:20">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row>
    <row r="40" spans="1:20">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row>
    <row r="41" spans="1:20">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(3477.0/B44*100)</f>
        <v/>
      </c>
      <c r="D44" s="19" t="n">
        <v>1738</v>
      </c>
      <c r="E44" s="18" t="n">
        <v>38.55432076</v>
      </c>
      <c r="F44" s="20" t="n">
        <v>1.59900129</v>
      </c>
      <c r="G44" s="18" t="n">
        <v>18.83993944</v>
      </c>
      <c r="H44" s="20" t="n">
        <v>0.98759991</v>
      </c>
      <c r="I44" s="18" t="n">
        <v>24.57027548</v>
      </c>
      <c r="J44" s="20" t="n">
        <v>1.56871808</v>
      </c>
      <c r="K44" s="18" t="n">
        <v>0</v>
      </c>
      <c r="L44" s="20" t="n">
        <v>0</v>
      </c>
      <c r="M44" s="18" t="n">
        <v>6.88294537</v>
      </c>
      <c r="N44" s="20" t="n">
        <v>0.77726568</v>
      </c>
      <c r="O44" s="18" t="n">
        <v>0</v>
      </c>
      <c r="P44" s="20" t="n">
        <v>0</v>
      </c>
      <c r="Q44" s="18" t="n">
        <v>0</v>
      </c>
      <c r="R44" s="20" t="n">
        <v>0</v>
      </c>
      <c r="S44" s="18" t="n">
        <v>11.15251895</v>
      </c>
      <c r="T44" s="20" t="n">
        <v>0.91223418</v>
      </c>
    </row>
    <row r="45" spans="1:20">
      <c r="A45" s="15" t="s">
        <v>604</v>
      </c>
      <c r="B45" s="17" t="n">
        <v>5519</v>
      </c>
      <c r="C45" s="18">
        <f>(3668.0/B45*100)</f>
        <v/>
      </c>
      <c r="D45" s="19" t="n">
        <v>1851</v>
      </c>
      <c r="E45" s="18" t="n">
        <v>40.44756315</v>
      </c>
      <c r="F45" s="20" t="n">
        <v>1.16635335</v>
      </c>
      <c r="G45" s="18" t="n">
        <v>28.13854198</v>
      </c>
      <c r="H45" s="20" t="n">
        <v>1.24297759</v>
      </c>
      <c r="I45" s="18" t="n">
        <v>14.81161323</v>
      </c>
      <c r="J45" s="20" t="n">
        <v>1.02677572</v>
      </c>
      <c r="K45" s="18" t="n">
        <v>0</v>
      </c>
      <c r="L45" s="20" t="n">
        <v>0</v>
      </c>
      <c r="M45" s="18" t="n">
        <v>8.653697080000001</v>
      </c>
      <c r="N45" s="20" t="n">
        <v>0.84523881</v>
      </c>
      <c r="O45" s="18" t="n">
        <v>0.94808648</v>
      </c>
      <c r="P45" s="20" t="n">
        <v>0.25965856</v>
      </c>
      <c r="Q45" s="18" t="n">
        <v>0.14429478</v>
      </c>
      <c r="R45" s="20" t="n">
        <v>0.08278897</v>
      </c>
      <c r="S45" s="18" t="n">
        <v>6.85620331</v>
      </c>
      <c r="T45" s="20" t="n">
        <v>0.72320396</v>
      </c>
    </row>
    <row r="46" spans="1:20">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row>
    <row r="47" spans="1:20">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row>
    <row r="48" spans="1:20">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row>
    <row r="49" spans="1:20">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row>
    <row r="50" spans="1:20">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row>
    <row r="51" spans="1:20">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row>
    <row r="52" spans="1:20">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row>
    <row r="53" spans="1:20">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row>
    <row r="54" spans="1:20">
      <c r="A54" s="15" t="s">
        <v>613</v>
      </c>
      <c r="B54" s="17" t="n">
        <v>5316</v>
      </c>
      <c r="C54" s="18">
        <f>(3551.0/B54*100)</f>
        <v/>
      </c>
      <c r="D54" s="19" t="n">
        <v>1765</v>
      </c>
      <c r="E54" s="18" t="n">
        <v>50.8727374</v>
      </c>
      <c r="F54" s="20" t="n">
        <v>1.10851502</v>
      </c>
      <c r="G54" s="18" t="n">
        <v>18.35036546</v>
      </c>
      <c r="H54" s="20" t="n">
        <v>1.01645343</v>
      </c>
      <c r="I54" s="18" t="n">
        <v>21.49998008</v>
      </c>
      <c r="J54" s="20" t="n">
        <v>1.08615436</v>
      </c>
      <c r="K54" s="18" t="n">
        <v>0</v>
      </c>
      <c r="L54" s="20" t="n">
        <v>0</v>
      </c>
      <c r="M54" s="18" t="n">
        <v>4.02129549</v>
      </c>
      <c r="N54" s="20" t="n">
        <v>0.44711888</v>
      </c>
      <c r="O54" s="18" t="n">
        <v>0</v>
      </c>
      <c r="P54" s="20" t="n">
        <v>0</v>
      </c>
      <c r="Q54" s="18" t="n">
        <v>0</v>
      </c>
      <c r="R54" s="20" t="n">
        <v>0</v>
      </c>
      <c r="S54" s="18" t="n">
        <v>5.25562157</v>
      </c>
      <c r="T54" s="20" t="n">
        <v>0.53213775</v>
      </c>
    </row>
    <row r="55" spans="1:20">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row>
    <row r="56" spans="1:20">
      <c r="A56" s="15" t="s">
        <v>615</v>
      </c>
      <c r="B56" s="17" t="n">
        <v>6513</v>
      </c>
      <c r="C56" s="18">
        <f>(4337.0/B56*100)</f>
        <v/>
      </c>
      <c r="D56" s="19" t="n">
        <v>2176</v>
      </c>
      <c r="E56" s="18" t="n">
        <v>38.49104241</v>
      </c>
      <c r="F56" s="20" t="n">
        <v>1.32415236</v>
      </c>
      <c r="G56" s="18" t="n">
        <v>38.73814224</v>
      </c>
      <c r="H56" s="20" t="n">
        <v>1.26596305</v>
      </c>
      <c r="I56" s="18" t="n">
        <v>12.87193126</v>
      </c>
      <c r="J56" s="20" t="n">
        <v>1.02246356</v>
      </c>
      <c r="K56" s="18" t="n">
        <v>0</v>
      </c>
      <c r="L56" s="20" t="n">
        <v>0</v>
      </c>
      <c r="M56" s="18" t="n">
        <v>2.67703163</v>
      </c>
      <c r="N56" s="20" t="n">
        <v>0.42731772</v>
      </c>
      <c r="O56" s="18" t="n">
        <v>0</v>
      </c>
      <c r="P56" s="20" t="n">
        <v>0</v>
      </c>
      <c r="Q56" s="18" t="n">
        <v>0</v>
      </c>
      <c r="R56" s="20" t="n">
        <v>0</v>
      </c>
      <c r="S56" s="18" t="n">
        <v>7.22185246</v>
      </c>
      <c r="T56" s="20" t="n">
        <v>0.83552906</v>
      </c>
    </row>
    <row r="57" spans="1:20">
      <c r="A57" s="15" t="s">
        <v>616</v>
      </c>
      <c r="B57" s="17" t="n">
        <v>7267</v>
      </c>
      <c r="C57" s="18">
        <f>(4834.0/B57*100)</f>
        <v/>
      </c>
      <c r="D57" s="19" t="n">
        <v>2433</v>
      </c>
      <c r="E57" s="18" t="n">
        <v>48.11039449</v>
      </c>
      <c r="F57" s="20" t="n">
        <v>1.19581498</v>
      </c>
      <c r="G57" s="18" t="n">
        <v>19.80053271</v>
      </c>
      <c r="H57" s="20" t="n">
        <v>0.81299372</v>
      </c>
      <c r="I57" s="18" t="n">
        <v>23.29926344</v>
      </c>
      <c r="J57" s="20" t="n">
        <v>1.07029682</v>
      </c>
      <c r="K57" s="18" t="n">
        <v>0</v>
      </c>
      <c r="L57" s="20" t="n">
        <v>0</v>
      </c>
      <c r="M57" s="18" t="n">
        <v>4.52097592</v>
      </c>
      <c r="N57" s="20" t="n">
        <v>0.51950072</v>
      </c>
      <c r="O57" s="18" t="n">
        <v>0</v>
      </c>
      <c r="P57" s="20" t="n">
        <v>0</v>
      </c>
      <c r="Q57" s="18" t="n">
        <v>0</v>
      </c>
      <c r="R57" s="20" t="n">
        <v>0</v>
      </c>
      <c r="S57" s="18" t="n">
        <v>4.26883344</v>
      </c>
      <c r="T57" s="20" t="n">
        <v>0.5457405400000001</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(3228.0/B59*100)</f>
        <v/>
      </c>
      <c r="D59" s="19" t="n">
        <v>1598</v>
      </c>
      <c r="E59" s="18" t="n">
        <v>53.18749367</v>
      </c>
      <c r="F59" s="20" t="n">
        <v>1.27998152</v>
      </c>
      <c r="G59" s="18" t="n">
        <v>15.37883149</v>
      </c>
      <c r="H59" s="20" t="n">
        <v>1.18829787</v>
      </c>
      <c r="I59" s="18" t="n">
        <v>7.66083681</v>
      </c>
      <c r="J59" s="20" t="n">
        <v>0.87732792</v>
      </c>
      <c r="K59" s="18" t="n">
        <v>0</v>
      </c>
      <c r="L59" s="20" t="n">
        <v>0</v>
      </c>
      <c r="M59" s="18" t="n">
        <v>2.47676184</v>
      </c>
      <c r="N59" s="20" t="n">
        <v>0.42140706</v>
      </c>
      <c r="O59" s="18" t="n">
        <v>0.18512479</v>
      </c>
      <c r="P59" s="20" t="n">
        <v>0.17583463</v>
      </c>
      <c r="Q59" s="18" t="n">
        <v>0</v>
      </c>
      <c r="R59" s="20" t="n">
        <v>0</v>
      </c>
      <c r="S59" s="18" t="n">
        <v>21.1109514</v>
      </c>
      <c r="T59" s="20" t="n">
        <v>1.10609352</v>
      </c>
    </row>
    <row r="60" spans="1:20">
      <c r="A60" s="15" t="s">
        <v>620</v>
      </c>
      <c r="B60" s="17" t="n">
        <v>4546</v>
      </c>
      <c r="C60" s="18">
        <f>(3041.0/B60*100)</f>
        <v/>
      </c>
      <c r="D60" s="19" t="n">
        <v>1505</v>
      </c>
      <c r="E60" s="18" t="n">
        <v>8.52253295</v>
      </c>
      <c r="F60" s="20" t="n">
        <v>1.03904954</v>
      </c>
      <c r="G60" s="18" t="n">
        <v>6.84507044</v>
      </c>
      <c r="H60" s="20" t="n">
        <v>0.57131309</v>
      </c>
      <c r="I60" s="18" t="n">
        <v>17.25390894</v>
      </c>
      <c r="J60" s="20" t="n">
        <v>1.31713896</v>
      </c>
      <c r="K60" s="18" t="n">
        <v>0</v>
      </c>
      <c r="L60" s="20" t="n">
        <v>0</v>
      </c>
      <c r="M60" s="18" t="n">
        <v>2.68155944</v>
      </c>
      <c r="N60" s="20" t="n">
        <v>0.5364000799999999</v>
      </c>
      <c r="O60" s="18" t="n">
        <v>62.67573559</v>
      </c>
      <c r="P60" s="20" t="n">
        <v>1.66654057</v>
      </c>
      <c r="Q60" s="18" t="n">
        <v>0.11532663</v>
      </c>
      <c r="R60" s="20" t="n">
        <v>0.08213908</v>
      </c>
      <c r="S60" s="18" t="n">
        <v>1.90586601</v>
      </c>
      <c r="T60" s="20" t="n">
        <v>0.44462259</v>
      </c>
    </row>
    <row r="61" spans="1:20">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row>
    <row r="62" spans="1:20">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row>
    <row r="63" spans="1:20">
      <c r="A63" s="15" t="s">
        <v>623</v>
      </c>
      <c r="B63" s="17" t="n">
        <v>5324</v>
      </c>
      <c r="C63" s="18">
        <f>(3548.0/B63*100)</f>
        <v/>
      </c>
      <c r="D63" s="19" t="n">
        <v>1776</v>
      </c>
      <c r="E63" s="18" t="n">
        <v>49.47495352</v>
      </c>
      <c r="F63" s="20" t="n">
        <v>1.2772164</v>
      </c>
      <c r="G63" s="18" t="n">
        <v>7.94246779</v>
      </c>
      <c r="H63" s="20" t="n">
        <v>0.63684452</v>
      </c>
      <c r="I63" s="18" t="n">
        <v>20.48646257</v>
      </c>
      <c r="J63" s="20" t="n">
        <v>1.24329353</v>
      </c>
      <c r="K63" s="18" t="n">
        <v>0</v>
      </c>
      <c r="L63" s="20" t="n">
        <v>0</v>
      </c>
      <c r="M63" s="18" t="n">
        <v>8.44177301</v>
      </c>
      <c r="N63" s="20" t="n">
        <v>0.73074536</v>
      </c>
      <c r="O63" s="18" t="n">
        <v>0</v>
      </c>
      <c r="P63" s="20" t="n">
        <v>0</v>
      </c>
      <c r="Q63" s="18" t="n">
        <v>0</v>
      </c>
      <c r="R63" s="20" t="n">
        <v>0</v>
      </c>
      <c r="S63" s="18" t="n">
        <v>13.65434311</v>
      </c>
      <c r="T63" s="20" t="n">
        <v>0.7846948500000001</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(2425.0/B65*100)</f>
        <v/>
      </c>
      <c r="D65" s="19" t="n">
        <v>1209</v>
      </c>
      <c r="E65" s="18" t="n">
        <v>28.11674441</v>
      </c>
      <c r="F65" s="20" t="n">
        <v>1.27602709</v>
      </c>
      <c r="G65" s="18" t="n">
        <v>14.83066447</v>
      </c>
      <c r="H65" s="20" t="n">
        <v>0.9288463300000001</v>
      </c>
      <c r="I65" s="18" t="n">
        <v>48.86769368</v>
      </c>
      <c r="J65" s="20" t="n">
        <v>1.40713417</v>
      </c>
      <c r="K65" s="18" t="n">
        <v>0</v>
      </c>
      <c r="L65" s="20" t="n">
        <v>0</v>
      </c>
      <c r="M65" s="18" t="n">
        <v>4.34541591</v>
      </c>
      <c r="N65" s="20" t="n">
        <v>0.56668465</v>
      </c>
      <c r="O65" s="18" t="n">
        <v>0</v>
      </c>
      <c r="P65" s="20" t="n">
        <v>0</v>
      </c>
      <c r="Q65" s="18" t="n">
        <v>0</v>
      </c>
      <c r="R65" s="20" t="n">
        <v>0</v>
      </c>
      <c r="S65" s="18" t="n">
        <v>3.83948154</v>
      </c>
      <c r="T65" s="20" t="n">
        <v>0.573141</v>
      </c>
    </row>
    <row r="66" spans="1:20">
      <c r="A66" s="15" t="s">
        <v>626</v>
      </c>
      <c r="B66" s="17" t="n">
        <v>5325</v>
      </c>
      <c r="C66" s="18">
        <f>(3550.0/B66*100)</f>
        <v/>
      </c>
      <c r="D66" s="19" t="n">
        <v>1775</v>
      </c>
      <c r="E66" s="18" t="n">
        <v>33.66099172</v>
      </c>
      <c r="F66" s="20" t="n">
        <v>1.04774979</v>
      </c>
      <c r="G66" s="18" t="n">
        <v>13.03414514</v>
      </c>
      <c r="H66" s="20" t="n">
        <v>0.89470549</v>
      </c>
      <c r="I66" s="18" t="n">
        <v>39.20421005</v>
      </c>
      <c r="J66" s="20" t="n">
        <v>1.02279047</v>
      </c>
      <c r="K66" s="18" t="n">
        <v>0</v>
      </c>
      <c r="L66" s="20" t="n">
        <v>0</v>
      </c>
      <c r="M66" s="18" t="n">
        <v>9.43751715</v>
      </c>
      <c r="N66" s="20" t="n">
        <v>0.7773078</v>
      </c>
      <c r="O66" s="18" t="n">
        <v>0</v>
      </c>
      <c r="P66" s="20" t="n">
        <v>0</v>
      </c>
      <c r="Q66" s="18" t="n">
        <v>0</v>
      </c>
      <c r="R66" s="20" t="n">
        <v>0</v>
      </c>
      <c r="S66" s="18" t="n">
        <v>4.66313595</v>
      </c>
      <c r="T66" s="20" t="n">
        <v>0.61968055</v>
      </c>
    </row>
    <row r="67" spans="1:20">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row>
    <row r="68" spans="1:20">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row>
    <row r="69" spans="1:20">
      <c r="A69" s="15" t="s">
        <v>629</v>
      </c>
      <c r="B69" s="17" t="n">
        <v>1398</v>
      </c>
      <c r="C69" s="18">
        <f>(945.0/B69*100)</f>
        <v/>
      </c>
      <c r="D69" s="19" t="n">
        <v>453</v>
      </c>
      <c r="E69" s="18" t="n">
        <v>45.30503258</v>
      </c>
      <c r="F69" s="20" t="n">
        <v>2.64325486</v>
      </c>
      <c r="G69" s="18" t="n">
        <v>7.03714988</v>
      </c>
      <c r="H69" s="20" t="n">
        <v>1.5563602</v>
      </c>
      <c r="I69" s="18" t="n">
        <v>44.14211457</v>
      </c>
      <c r="J69" s="20" t="n">
        <v>2.84963589</v>
      </c>
      <c r="K69" s="18" t="n">
        <v>0</v>
      </c>
      <c r="L69" s="20" t="n">
        <v>0</v>
      </c>
      <c r="M69" s="18" t="n">
        <v>0.44546744</v>
      </c>
      <c r="N69" s="20" t="n">
        <v>0.35681291</v>
      </c>
      <c r="O69" s="18" t="n">
        <v>0</v>
      </c>
      <c r="P69" s="20" t="n">
        <v>0</v>
      </c>
      <c r="Q69" s="18" t="n">
        <v>0</v>
      </c>
      <c r="R69" s="20" t="n">
        <v>0</v>
      </c>
      <c r="S69" s="18" t="n">
        <v>3.07023552</v>
      </c>
      <c r="T69" s="20" t="n">
        <v>0.85619953</v>
      </c>
    </row>
    <row r="70" spans="1:20">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row>
    <row r="71" spans="1:20">
      <c r="A71" s="15" t="s">
        <v>631</v>
      </c>
      <c r="B71" s="17" t="n">
        <v>4876</v>
      </c>
      <c r="C71" s="18">
        <f>(3256.0/B71*100)</f>
        <v/>
      </c>
      <c r="D71" s="19" t="n">
        <v>1620</v>
      </c>
      <c r="E71" s="18" t="n">
        <v>37.11884504</v>
      </c>
      <c r="F71" s="20" t="n">
        <v>1.83617792</v>
      </c>
      <c r="G71" s="18" t="n">
        <v>26.68773183</v>
      </c>
      <c r="H71" s="20" t="n">
        <v>1.18333072</v>
      </c>
      <c r="I71" s="18" t="n">
        <v>36.01494046</v>
      </c>
      <c r="J71" s="20" t="n">
        <v>1.5851038</v>
      </c>
      <c r="K71" s="18" t="n">
        <v>0</v>
      </c>
      <c r="L71" s="20" t="n">
        <v>0</v>
      </c>
      <c r="M71" s="18" t="n">
        <v>0</v>
      </c>
      <c r="N71" s="20" t="n">
        <v>0</v>
      </c>
      <c r="O71" s="18" t="n">
        <v>0</v>
      </c>
      <c r="P71" s="20" t="n">
        <v>0</v>
      </c>
      <c r="Q71" s="18" t="n">
        <v>0</v>
      </c>
      <c r="R71" s="20" t="n">
        <v>0</v>
      </c>
      <c r="S71" s="18" t="n">
        <v>0.17848267</v>
      </c>
      <c r="T71" s="20" t="n">
        <v>0.10310984</v>
      </c>
    </row>
    <row r="72" spans="1:20">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row>
    <row r="73" spans="1:20">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row>
    <row r="74" spans="1:20">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row>
    <row r="75" spans="1:20">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row>
    <row r="76" spans="1:20">
      <c r="A76" s="15" t="s">
        <v>636</v>
      </c>
      <c r="B76" s="17" t="n">
        <v>4692</v>
      </c>
      <c r="C76" s="18">
        <f>(3139.0/B76*100)</f>
        <v/>
      </c>
      <c r="D76" s="19" t="n">
        <v>1553</v>
      </c>
      <c r="E76" s="18" t="n">
        <v>36.96488416</v>
      </c>
      <c r="F76" s="20" t="n">
        <v>1.23951457</v>
      </c>
      <c r="G76" s="18" t="n">
        <v>22.57497445</v>
      </c>
      <c r="H76" s="20" t="n">
        <v>1.14750986</v>
      </c>
      <c r="I76" s="18" t="n">
        <v>25.33549105</v>
      </c>
      <c r="J76" s="20" t="n">
        <v>1.08108189</v>
      </c>
      <c r="K76" s="18" t="n">
        <v>0</v>
      </c>
      <c r="L76" s="20" t="n">
        <v>0</v>
      </c>
      <c r="M76" s="18" t="n">
        <v>10.1643714</v>
      </c>
      <c r="N76" s="20" t="n">
        <v>0.90695761</v>
      </c>
      <c r="O76" s="18" t="n">
        <v>0</v>
      </c>
      <c r="P76" s="20" t="n">
        <v>0</v>
      </c>
      <c r="Q76" s="18" t="n">
        <v>0</v>
      </c>
      <c r="R76" s="20" t="n">
        <v>0</v>
      </c>
      <c r="S76" s="18" t="n">
        <v>4.96027895</v>
      </c>
      <c r="T76" s="20" t="n">
        <v>0.54558008</v>
      </c>
    </row>
    <row r="77" spans="1:20">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row>
    <row r="78" spans="1:20">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row>
    <row r="79" spans="1:20">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row>
    <row r="80" spans="1:20">
      <c r="A80" s="15" t="s">
        <v>640</v>
      </c>
      <c r="B80" s="17" t="n">
        <v>5826</v>
      </c>
      <c r="C80" s="18">
        <f>(3876.0/B80*100)</f>
        <v/>
      </c>
      <c r="D80" s="19" t="n">
        <v>1950</v>
      </c>
      <c r="E80" s="18" t="n">
        <v>19.20746833</v>
      </c>
      <c r="F80" s="20" t="n">
        <v>1.34001102</v>
      </c>
      <c r="G80" s="18" t="n">
        <v>24.28112487</v>
      </c>
      <c r="H80" s="20" t="n">
        <v>1.187229</v>
      </c>
      <c r="I80" s="18" t="n">
        <v>55.82121756</v>
      </c>
      <c r="J80" s="20" t="n">
        <v>1.79625058</v>
      </c>
      <c r="K80" s="18" t="n">
        <v>0</v>
      </c>
      <c r="L80" s="20" t="n">
        <v>0</v>
      </c>
      <c r="M80" s="18" t="n">
        <v>0</v>
      </c>
      <c r="N80" s="20" t="n">
        <v>0</v>
      </c>
      <c r="O80" s="18" t="n">
        <v>0</v>
      </c>
      <c r="P80" s="20" t="n">
        <v>0</v>
      </c>
      <c r="Q80" s="18" t="n">
        <v>0</v>
      </c>
      <c r="R80" s="20" t="n">
        <v>0</v>
      </c>
      <c r="S80" s="18" t="n">
        <v>0.69018923</v>
      </c>
      <c r="T80" s="20" t="n">
        <v>0.27326245</v>
      </c>
    </row>
    <row r="81" spans="1:20">
      <c r="A81" s="15" t="s">
        <v>641</v>
      </c>
      <c r="B81" s="17" t="n">
        <v>1657</v>
      </c>
      <c r="C81" s="18">
        <f>(1109.0/B81*100)</f>
        <v/>
      </c>
      <c r="D81" s="19" t="n">
        <v>548</v>
      </c>
      <c r="E81" s="18" t="n">
        <v>29.30144492</v>
      </c>
      <c r="F81" s="20" t="n">
        <v>2.43951056</v>
      </c>
      <c r="G81" s="18" t="n">
        <v>17.25863122</v>
      </c>
      <c r="H81" s="20" t="n">
        <v>1.79158094</v>
      </c>
      <c r="I81" s="18" t="n">
        <v>41.1718302</v>
      </c>
      <c r="J81" s="20" t="n">
        <v>2.48268546</v>
      </c>
      <c r="K81" s="18" t="n">
        <v>0</v>
      </c>
      <c r="L81" s="20" t="n">
        <v>0</v>
      </c>
      <c r="M81" s="18" t="n">
        <v>6.35134671</v>
      </c>
      <c r="N81" s="20" t="n">
        <v>1.40030318</v>
      </c>
      <c r="O81" s="18" t="n">
        <v>0.96145612</v>
      </c>
      <c r="P81" s="20" t="n">
        <v>0.36702916</v>
      </c>
      <c r="Q81" s="18" t="n">
        <v>0</v>
      </c>
      <c r="R81" s="20" t="n">
        <v>0</v>
      </c>
      <c r="S81" s="18" t="n">
        <v>4.95529082</v>
      </c>
      <c r="T81" s="20" t="n">
        <v>1.37871464</v>
      </c>
    </row>
    <row r="82" spans="1:20">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row>
    <row r="83" spans="1:20">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row>
    <row r="84" spans="1:20">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1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38.59323296</v>
      </c>
      <c r="F44" s="20" t="n">
        <v>1.66913739</v>
      </c>
      <c r="G44" s="18" t="n">
        <v>35.86771839</v>
      </c>
      <c r="H44" s="20" t="n">
        <v>1.61777401</v>
      </c>
      <c r="I44" s="18" t="n">
        <v>0</v>
      </c>
      <c r="J44" s="20" t="n">
        <v>0</v>
      </c>
      <c r="K44" s="18" t="n">
        <v>8.33373608</v>
      </c>
      <c r="L44" s="20" t="n">
        <v>0.8479133599999999</v>
      </c>
      <c r="M44" s="18" t="n">
        <v>0</v>
      </c>
      <c r="N44" s="20" t="n">
        <v>0</v>
      </c>
      <c r="O44" s="18" t="n">
        <v>0</v>
      </c>
      <c r="P44" s="20" t="n">
        <v>0</v>
      </c>
      <c r="Q44" s="18" t="n">
        <v>17.20531257</v>
      </c>
      <c r="R44" s="20" t="n">
        <v>1.17457089</v>
      </c>
    </row>
    <row r="45" spans="1:18">
      <c r="A45" s="15" t="s">
        <v>604</v>
      </c>
      <c r="B45" s="17" t="n">
        <v>5519</v>
      </c>
      <c r="C45" s="18">
        <f>(3668.0/B45*100)</f>
        <v/>
      </c>
      <c r="D45" s="19" t="n">
        <v>1851</v>
      </c>
      <c r="E45" s="18" t="n">
        <v>49.25404276</v>
      </c>
      <c r="F45" s="20" t="n">
        <v>1.39272648</v>
      </c>
      <c r="G45" s="18" t="n">
        <v>21.46205655</v>
      </c>
      <c r="H45" s="20" t="n">
        <v>1.22836175</v>
      </c>
      <c r="I45" s="18" t="n">
        <v>0</v>
      </c>
      <c r="J45" s="20" t="n">
        <v>0</v>
      </c>
      <c r="K45" s="18" t="n">
        <v>10.99210008</v>
      </c>
      <c r="L45" s="20" t="n">
        <v>0.95756425</v>
      </c>
      <c r="M45" s="18" t="n">
        <v>0.82669188</v>
      </c>
      <c r="N45" s="20" t="n">
        <v>0.24069625</v>
      </c>
      <c r="O45" s="18" t="n">
        <v>0.08485602</v>
      </c>
      <c r="P45" s="20" t="n">
        <v>0.05029532</v>
      </c>
      <c r="Q45" s="18" t="n">
        <v>17.3802527</v>
      </c>
      <c r="R45" s="20" t="n">
        <v>1.0735722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40.4787224</v>
      </c>
      <c r="F54" s="20" t="n">
        <v>1.3891957</v>
      </c>
      <c r="G54" s="18" t="n">
        <v>28.02994353</v>
      </c>
      <c r="H54" s="20" t="n">
        <v>1.10289864</v>
      </c>
      <c r="I54" s="18" t="n">
        <v>0</v>
      </c>
      <c r="J54" s="20" t="n">
        <v>0</v>
      </c>
      <c r="K54" s="18" t="n">
        <v>6.404107</v>
      </c>
      <c r="L54" s="20" t="n">
        <v>0.64401029</v>
      </c>
      <c r="M54" s="18" t="n">
        <v>0</v>
      </c>
      <c r="N54" s="20" t="n">
        <v>0</v>
      </c>
      <c r="O54" s="18" t="n">
        <v>0</v>
      </c>
      <c r="P54" s="20" t="n">
        <v>0</v>
      </c>
      <c r="Q54" s="18" t="n">
        <v>25.08722707</v>
      </c>
      <c r="R54" s="20" t="n">
        <v>1.10685982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52.84306355</v>
      </c>
      <c r="F56" s="20" t="n">
        <v>1.10619661</v>
      </c>
      <c r="G56" s="18" t="n">
        <v>39.23320448</v>
      </c>
      <c r="H56" s="20" t="n">
        <v>1.09795974</v>
      </c>
      <c r="I56" s="18" t="n">
        <v>0</v>
      </c>
      <c r="J56" s="20" t="n">
        <v>0</v>
      </c>
      <c r="K56" s="18" t="n">
        <v>3.02014939</v>
      </c>
      <c r="L56" s="20" t="n">
        <v>0.48093011</v>
      </c>
      <c r="M56" s="18" t="n">
        <v>0.09135483</v>
      </c>
      <c r="N56" s="20" t="n">
        <v>0.06917557000000001</v>
      </c>
      <c r="O56" s="18" t="n">
        <v>0</v>
      </c>
      <c r="P56" s="20" t="n">
        <v>0</v>
      </c>
      <c r="Q56" s="18" t="n">
        <v>4.81222774</v>
      </c>
      <c r="R56" s="20" t="n">
        <v>0.69090202</v>
      </c>
    </row>
    <row r="57" spans="1:18">
      <c r="A57" s="15" t="s">
        <v>616</v>
      </c>
      <c r="B57" s="17" t="n">
        <v>7267</v>
      </c>
      <c r="C57" s="18">
        <f>(4834.0/B57*100)</f>
        <v/>
      </c>
      <c r="D57" s="19" t="n">
        <v>2433</v>
      </c>
      <c r="E57" s="18" t="n">
        <v>40.05858183</v>
      </c>
      <c r="F57" s="20" t="n">
        <v>1.18612105</v>
      </c>
      <c r="G57" s="18" t="n">
        <v>43.76214802</v>
      </c>
      <c r="H57" s="20" t="n">
        <v>1.35933845</v>
      </c>
      <c r="I57" s="18" t="n">
        <v>0</v>
      </c>
      <c r="J57" s="20" t="n">
        <v>0</v>
      </c>
      <c r="K57" s="18" t="n">
        <v>5.76492336</v>
      </c>
      <c r="L57" s="20" t="n">
        <v>0.60370303</v>
      </c>
      <c r="M57" s="18" t="n">
        <v>0</v>
      </c>
      <c r="N57" s="20" t="n">
        <v>0</v>
      </c>
      <c r="O57" s="18" t="n">
        <v>0</v>
      </c>
      <c r="P57" s="20" t="n">
        <v>0</v>
      </c>
      <c r="Q57" s="18" t="n">
        <v>10.41434679</v>
      </c>
      <c r="R57" s="20" t="n">
        <v>0.84717963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58.65318788</v>
      </c>
      <c r="F59" s="20" t="n">
        <v>1.23045192</v>
      </c>
      <c r="G59" s="18" t="n">
        <v>20.11826078</v>
      </c>
      <c r="H59" s="20" t="n">
        <v>1.22287018</v>
      </c>
      <c r="I59" s="18" t="n">
        <v>0</v>
      </c>
      <c r="J59" s="20" t="n">
        <v>0</v>
      </c>
      <c r="K59" s="18" t="n">
        <v>2.97362651</v>
      </c>
      <c r="L59" s="20" t="n">
        <v>0.47399753</v>
      </c>
      <c r="M59" s="18" t="n">
        <v>0</v>
      </c>
      <c r="N59" s="20" t="n">
        <v>0</v>
      </c>
      <c r="O59" s="18" t="n">
        <v>0</v>
      </c>
      <c r="P59" s="20" t="n">
        <v>0</v>
      </c>
      <c r="Q59" s="18" t="n">
        <v>18.25492483</v>
      </c>
      <c r="R59" s="20" t="n">
        <v>1.05698007</v>
      </c>
    </row>
    <row r="60" spans="1:18">
      <c r="A60" s="15" t="s">
        <v>620</v>
      </c>
      <c r="B60" s="17" t="n">
        <v>4546</v>
      </c>
      <c r="C60" s="18">
        <f>(3041.0/B60*100)</f>
        <v/>
      </c>
      <c r="D60" s="19" t="n">
        <v>1505</v>
      </c>
      <c r="E60" s="18" t="n">
        <v>44.29505339</v>
      </c>
      <c r="F60" s="20" t="n">
        <v>1.51387295</v>
      </c>
      <c r="G60" s="18" t="n">
        <v>21.90590444</v>
      </c>
      <c r="H60" s="20" t="n">
        <v>1.40050736</v>
      </c>
      <c r="I60" s="18" t="n">
        <v>0</v>
      </c>
      <c r="J60" s="20" t="n">
        <v>0</v>
      </c>
      <c r="K60" s="18" t="n">
        <v>13.18112155</v>
      </c>
      <c r="L60" s="20" t="n">
        <v>1.16932124</v>
      </c>
      <c r="M60" s="18" t="n">
        <v>0</v>
      </c>
      <c r="N60" s="20" t="n">
        <v>0</v>
      </c>
      <c r="O60" s="18" t="n">
        <v>0</v>
      </c>
      <c r="P60" s="20" t="n">
        <v>0</v>
      </c>
      <c r="Q60" s="18" t="n">
        <v>20.61792062</v>
      </c>
      <c r="R60" s="20" t="n">
        <v>1.64739464</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30.12699324</v>
      </c>
      <c r="F63" s="20" t="n">
        <v>1.13520211</v>
      </c>
      <c r="G63" s="18" t="n">
        <v>23.17150187</v>
      </c>
      <c r="H63" s="20" t="n">
        <v>1.22578244</v>
      </c>
      <c r="I63" s="18" t="n">
        <v>0</v>
      </c>
      <c r="J63" s="20" t="n">
        <v>0</v>
      </c>
      <c r="K63" s="18" t="n">
        <v>12.01012694</v>
      </c>
      <c r="L63" s="20" t="n">
        <v>0.88641113</v>
      </c>
      <c r="M63" s="18" t="n">
        <v>0</v>
      </c>
      <c r="N63" s="20" t="n">
        <v>0</v>
      </c>
      <c r="O63" s="18" t="n">
        <v>0</v>
      </c>
      <c r="P63" s="20" t="n">
        <v>0</v>
      </c>
      <c r="Q63" s="18" t="n">
        <v>34.69137795</v>
      </c>
      <c r="R63" s="20" t="n">
        <v>1.16678667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56.22147951</v>
      </c>
      <c r="F65" s="20" t="n">
        <v>1.42495752</v>
      </c>
      <c r="G65" s="18" t="n">
        <v>27.65298105</v>
      </c>
      <c r="H65" s="20" t="n">
        <v>1.17152648</v>
      </c>
      <c r="I65" s="18" t="n">
        <v>0</v>
      </c>
      <c r="J65" s="20" t="n">
        <v>0</v>
      </c>
      <c r="K65" s="18" t="n">
        <v>5.84884429</v>
      </c>
      <c r="L65" s="20" t="n">
        <v>0.69087192</v>
      </c>
      <c r="M65" s="18" t="n">
        <v>0</v>
      </c>
      <c r="N65" s="20" t="n">
        <v>0</v>
      </c>
      <c r="O65" s="18" t="n">
        <v>0.11117181</v>
      </c>
      <c r="P65" s="20" t="n">
        <v>0.11002796</v>
      </c>
      <c r="Q65" s="18" t="n">
        <v>10.16552335</v>
      </c>
      <c r="R65" s="20" t="n">
        <v>0.73251982</v>
      </c>
    </row>
    <row r="66" spans="1:18">
      <c r="A66" s="15" t="s">
        <v>626</v>
      </c>
      <c r="B66" s="17" t="n">
        <v>5325</v>
      </c>
      <c r="C66" s="18">
        <f>(3550.0/B66*100)</f>
        <v/>
      </c>
      <c r="D66" s="19" t="n">
        <v>1775</v>
      </c>
      <c r="E66" s="18" t="n">
        <v>33.22642404</v>
      </c>
      <c r="F66" s="20" t="n">
        <v>1.3474708</v>
      </c>
      <c r="G66" s="18" t="n">
        <v>33.08332149</v>
      </c>
      <c r="H66" s="20" t="n">
        <v>1.3840342</v>
      </c>
      <c r="I66" s="18" t="n">
        <v>0</v>
      </c>
      <c r="J66" s="20" t="n">
        <v>0</v>
      </c>
      <c r="K66" s="18" t="n">
        <v>12.5884901</v>
      </c>
      <c r="L66" s="20" t="n">
        <v>0.85214736</v>
      </c>
      <c r="M66" s="18" t="n">
        <v>0</v>
      </c>
      <c r="N66" s="20" t="n">
        <v>0</v>
      </c>
      <c r="O66" s="18" t="n">
        <v>0</v>
      </c>
      <c r="P66" s="20" t="n">
        <v>0</v>
      </c>
      <c r="Q66" s="18" t="n">
        <v>21.10176437</v>
      </c>
      <c r="R66" s="20" t="n">
        <v>1.02739164</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68.65652916000001</v>
      </c>
      <c r="F69" s="20" t="n">
        <v>2.60716209</v>
      </c>
      <c r="G69" s="18" t="n">
        <v>19.16155506</v>
      </c>
      <c r="H69" s="20" t="n">
        <v>1.93874095</v>
      </c>
      <c r="I69" s="18" t="n">
        <v>0</v>
      </c>
      <c r="J69" s="20" t="n">
        <v>0</v>
      </c>
      <c r="K69" s="18" t="n">
        <v>0.96382493</v>
      </c>
      <c r="L69" s="20" t="n">
        <v>0.32994711</v>
      </c>
      <c r="M69" s="18" t="n">
        <v>0</v>
      </c>
      <c r="N69" s="20" t="n">
        <v>0</v>
      </c>
      <c r="O69" s="18" t="n">
        <v>0</v>
      </c>
      <c r="P69" s="20" t="n">
        <v>0</v>
      </c>
      <c r="Q69" s="18" t="n">
        <v>11.21809085</v>
      </c>
      <c r="R69" s="20" t="n">
        <v>1.61047892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55.62391973</v>
      </c>
      <c r="F71" s="20" t="n">
        <v>1.64602815</v>
      </c>
      <c r="G71" s="18" t="n">
        <v>44.32490536</v>
      </c>
      <c r="H71" s="20" t="n">
        <v>1.65623555</v>
      </c>
      <c r="I71" s="18" t="n">
        <v>0</v>
      </c>
      <c r="J71" s="20" t="n">
        <v>0</v>
      </c>
      <c r="K71" s="18" t="n">
        <v>0</v>
      </c>
      <c r="L71" s="20" t="n">
        <v>0</v>
      </c>
      <c r="M71" s="18" t="n">
        <v>0</v>
      </c>
      <c r="N71" s="20" t="n">
        <v>0</v>
      </c>
      <c r="O71" s="18" t="n">
        <v>0</v>
      </c>
      <c r="P71" s="20" t="n">
        <v>0</v>
      </c>
      <c r="Q71" s="18" t="n">
        <v>0.05117492</v>
      </c>
      <c r="R71" s="20" t="n">
        <v>0.05111511</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43.84846819</v>
      </c>
      <c r="F76" s="20" t="n">
        <v>1.24135279</v>
      </c>
      <c r="G76" s="18" t="n">
        <v>29.57578708</v>
      </c>
      <c r="H76" s="20" t="n">
        <v>1.18158968</v>
      </c>
      <c r="I76" s="18" t="n">
        <v>0</v>
      </c>
      <c r="J76" s="20" t="n">
        <v>0</v>
      </c>
      <c r="K76" s="18" t="n">
        <v>12.47685959</v>
      </c>
      <c r="L76" s="20" t="n">
        <v>0.98990648</v>
      </c>
      <c r="M76" s="18" t="n">
        <v>0</v>
      </c>
      <c r="N76" s="20" t="n">
        <v>0</v>
      </c>
      <c r="O76" s="18" t="n">
        <v>0</v>
      </c>
      <c r="P76" s="20" t="n">
        <v>0</v>
      </c>
      <c r="Q76" s="18" t="n">
        <v>14.09888514</v>
      </c>
      <c r="R76" s="20" t="n">
        <v>0.83842693</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38.05221327</v>
      </c>
      <c r="F80" s="20" t="n">
        <v>1.2570948</v>
      </c>
      <c r="G80" s="18" t="n">
        <v>59.49337798</v>
      </c>
      <c r="H80" s="20" t="n">
        <v>1.30879073</v>
      </c>
      <c r="I80" s="18" t="n">
        <v>0</v>
      </c>
      <c r="J80" s="20" t="n">
        <v>0</v>
      </c>
      <c r="K80" s="18" t="n">
        <v>0.00741136</v>
      </c>
      <c r="L80" s="20" t="n">
        <v>0.00745275</v>
      </c>
      <c r="M80" s="18" t="n">
        <v>0</v>
      </c>
      <c r="N80" s="20" t="n">
        <v>0</v>
      </c>
      <c r="O80" s="18" t="n">
        <v>0</v>
      </c>
      <c r="P80" s="20" t="n">
        <v>0</v>
      </c>
      <c r="Q80" s="18" t="n">
        <v>2.44699739</v>
      </c>
      <c r="R80" s="20" t="n">
        <v>0.44282162</v>
      </c>
    </row>
    <row r="81" spans="1:18">
      <c r="A81" s="15" t="s">
        <v>641</v>
      </c>
      <c r="B81" s="17" t="n">
        <v>1657</v>
      </c>
      <c r="C81" s="18">
        <f>(1109.0/B81*100)</f>
        <v/>
      </c>
      <c r="D81" s="19" t="n">
        <v>548</v>
      </c>
      <c r="E81" s="18" t="n">
        <v>43.43091135</v>
      </c>
      <c r="F81" s="20" t="n">
        <v>2.2646488</v>
      </c>
      <c r="G81" s="18" t="n">
        <v>36.26666073</v>
      </c>
      <c r="H81" s="20" t="n">
        <v>2.04769687</v>
      </c>
      <c r="I81" s="18" t="n">
        <v>0</v>
      </c>
      <c r="J81" s="20" t="n">
        <v>0</v>
      </c>
      <c r="K81" s="18" t="n">
        <v>8.817213860000001</v>
      </c>
      <c r="L81" s="20" t="n">
        <v>1.49268448</v>
      </c>
      <c r="M81" s="18" t="n">
        <v>0.96145612</v>
      </c>
      <c r="N81" s="20" t="n">
        <v>0.36702916</v>
      </c>
      <c r="O81" s="18" t="n">
        <v>0</v>
      </c>
      <c r="P81" s="20" t="n">
        <v>0</v>
      </c>
      <c r="Q81" s="18" t="n">
        <v>10.52375794</v>
      </c>
      <c r="R81" s="20" t="n">
        <v>1.64624298</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1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45.63812908</v>
      </c>
      <c r="F44" s="20" t="n">
        <v>1.61789396</v>
      </c>
      <c r="G44" s="18" t="n">
        <v>41.46596004</v>
      </c>
      <c r="H44" s="20" t="n">
        <v>1.69616747</v>
      </c>
      <c r="I44" s="18" t="n">
        <v>0</v>
      </c>
      <c r="J44" s="20" t="n">
        <v>0</v>
      </c>
      <c r="K44" s="18" t="n">
        <v>10.20575902</v>
      </c>
      <c r="L44" s="20" t="n">
        <v>0.93229506</v>
      </c>
      <c r="M44" s="18" t="n">
        <v>0</v>
      </c>
      <c r="N44" s="20" t="n">
        <v>0</v>
      </c>
      <c r="O44" s="18" t="n">
        <v>0.44695472</v>
      </c>
      <c r="P44" s="20" t="n">
        <v>0.18679218</v>
      </c>
      <c r="Q44" s="18" t="n">
        <v>2.24319713</v>
      </c>
      <c r="R44" s="20" t="n">
        <v>0.44627317</v>
      </c>
    </row>
    <row r="45" spans="1:18">
      <c r="A45" s="15" t="s">
        <v>604</v>
      </c>
      <c r="B45" s="17" t="n">
        <v>5519</v>
      </c>
      <c r="C45" s="18">
        <f>(3668.0/B45*100)</f>
        <v/>
      </c>
      <c r="D45" s="19" t="n">
        <v>1851</v>
      </c>
      <c r="E45" s="18" t="n">
        <v>46.86431297</v>
      </c>
      <c r="F45" s="20" t="n">
        <v>1.25493492</v>
      </c>
      <c r="G45" s="18" t="n">
        <v>34.44010691</v>
      </c>
      <c r="H45" s="20" t="n">
        <v>1.19647548</v>
      </c>
      <c r="I45" s="18" t="n">
        <v>0</v>
      </c>
      <c r="J45" s="20" t="n">
        <v>0</v>
      </c>
      <c r="K45" s="18" t="n">
        <v>12.87198299</v>
      </c>
      <c r="L45" s="20" t="n">
        <v>0.99839789</v>
      </c>
      <c r="M45" s="18" t="n">
        <v>0.897155</v>
      </c>
      <c r="N45" s="20" t="n">
        <v>0.22019029</v>
      </c>
      <c r="O45" s="18" t="n">
        <v>2.1105534</v>
      </c>
      <c r="P45" s="20" t="n">
        <v>0.35954268</v>
      </c>
      <c r="Q45" s="18" t="n">
        <v>2.81588873</v>
      </c>
      <c r="R45" s="20" t="n">
        <v>0.40211706</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43.62904898</v>
      </c>
      <c r="F54" s="20" t="n">
        <v>1.15191549</v>
      </c>
      <c r="G54" s="18" t="n">
        <v>45.76756005</v>
      </c>
      <c r="H54" s="20" t="n">
        <v>1.17833125</v>
      </c>
      <c r="I54" s="18" t="n">
        <v>0</v>
      </c>
      <c r="J54" s="20" t="n">
        <v>0</v>
      </c>
      <c r="K54" s="18" t="n">
        <v>7.51187288</v>
      </c>
      <c r="L54" s="20" t="n">
        <v>0.6623506300000001</v>
      </c>
      <c r="M54" s="18" t="n">
        <v>0</v>
      </c>
      <c r="N54" s="20" t="n">
        <v>0</v>
      </c>
      <c r="O54" s="18" t="n">
        <v>0.61006088</v>
      </c>
      <c r="P54" s="20" t="n">
        <v>0.22907352</v>
      </c>
      <c r="Q54" s="18" t="n">
        <v>2.48145722</v>
      </c>
      <c r="R54" s="20" t="n">
        <v>0.43296126</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56.64756265</v>
      </c>
      <c r="F56" s="20" t="n">
        <v>1.39328065</v>
      </c>
      <c r="G56" s="18" t="n">
        <v>39.05188932</v>
      </c>
      <c r="H56" s="20" t="n">
        <v>1.3787314</v>
      </c>
      <c r="I56" s="18" t="n">
        <v>0</v>
      </c>
      <c r="J56" s="20" t="n">
        <v>0</v>
      </c>
      <c r="K56" s="18" t="n">
        <v>3.11741871</v>
      </c>
      <c r="L56" s="20" t="n">
        <v>0.49723622</v>
      </c>
      <c r="M56" s="18" t="n">
        <v>0.09135483</v>
      </c>
      <c r="N56" s="20" t="n">
        <v>0.06917557000000001</v>
      </c>
      <c r="O56" s="18" t="n">
        <v>0</v>
      </c>
      <c r="P56" s="20" t="n">
        <v>0</v>
      </c>
      <c r="Q56" s="18" t="n">
        <v>1.0917745</v>
      </c>
      <c r="R56" s="20" t="n">
        <v>0.22913056</v>
      </c>
    </row>
    <row r="57" spans="1:18">
      <c r="A57" s="15" t="s">
        <v>616</v>
      </c>
      <c r="B57" s="17" t="n">
        <v>7267</v>
      </c>
      <c r="C57" s="18">
        <f>(4834.0/B57*100)</f>
        <v/>
      </c>
      <c r="D57" s="19" t="n">
        <v>2433</v>
      </c>
      <c r="E57" s="18" t="n">
        <v>44.76404641</v>
      </c>
      <c r="F57" s="20" t="n">
        <v>1.31090753</v>
      </c>
      <c r="G57" s="18" t="n">
        <v>46.47016403</v>
      </c>
      <c r="H57" s="20" t="n">
        <v>1.39767859</v>
      </c>
      <c r="I57" s="18" t="n">
        <v>0</v>
      </c>
      <c r="J57" s="20" t="n">
        <v>0</v>
      </c>
      <c r="K57" s="18" t="n">
        <v>7.01417544</v>
      </c>
      <c r="L57" s="20" t="n">
        <v>0.62398546</v>
      </c>
      <c r="M57" s="18" t="n">
        <v>0.03074377</v>
      </c>
      <c r="N57" s="20" t="n">
        <v>0.03081243</v>
      </c>
      <c r="O57" s="18" t="n">
        <v>0.40549331</v>
      </c>
      <c r="P57" s="20" t="n">
        <v>0.14046087</v>
      </c>
      <c r="Q57" s="18" t="n">
        <v>1.31537704</v>
      </c>
      <c r="R57" s="20" t="n">
        <v>0.25604639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57.29921132</v>
      </c>
      <c r="F59" s="20" t="n">
        <v>1.46411144</v>
      </c>
      <c r="G59" s="18" t="n">
        <v>36.55302517</v>
      </c>
      <c r="H59" s="20" t="n">
        <v>1.49705474</v>
      </c>
      <c r="I59" s="18" t="n">
        <v>0</v>
      </c>
      <c r="J59" s="20" t="n">
        <v>0</v>
      </c>
      <c r="K59" s="18" t="n">
        <v>3.5717159</v>
      </c>
      <c r="L59" s="20" t="n">
        <v>0.4596683</v>
      </c>
      <c r="M59" s="18" t="n">
        <v>0.33689682</v>
      </c>
      <c r="N59" s="20" t="n">
        <v>0.11389069</v>
      </c>
      <c r="O59" s="18" t="n">
        <v>1.14085321</v>
      </c>
      <c r="P59" s="20" t="n">
        <v>0.2863991</v>
      </c>
      <c r="Q59" s="18" t="n">
        <v>1.09829758</v>
      </c>
      <c r="R59" s="20" t="n">
        <v>0.27326333</v>
      </c>
    </row>
    <row r="60" spans="1:18">
      <c r="A60" s="15" t="s">
        <v>620</v>
      </c>
      <c r="B60" s="17" t="n">
        <v>4546</v>
      </c>
      <c r="C60" s="18">
        <f>(3041.0/B60*100)</f>
        <v/>
      </c>
      <c r="D60" s="19" t="n">
        <v>1505</v>
      </c>
      <c r="E60" s="18" t="n">
        <v>39.10208043</v>
      </c>
      <c r="F60" s="20" t="n">
        <v>1.57363589</v>
      </c>
      <c r="G60" s="18" t="n">
        <v>39.86303536</v>
      </c>
      <c r="H60" s="20" t="n">
        <v>1.62317755</v>
      </c>
      <c r="I60" s="18" t="n">
        <v>0</v>
      </c>
      <c r="J60" s="20" t="n">
        <v>0</v>
      </c>
      <c r="K60" s="18" t="n">
        <v>15.75004549</v>
      </c>
      <c r="L60" s="20" t="n">
        <v>1.31575438</v>
      </c>
      <c r="M60" s="18" t="n">
        <v>0</v>
      </c>
      <c r="N60" s="20" t="n">
        <v>0</v>
      </c>
      <c r="O60" s="18" t="n">
        <v>1.56909505</v>
      </c>
      <c r="P60" s="20" t="n">
        <v>0.33261353</v>
      </c>
      <c r="Q60" s="18" t="n">
        <v>3.71574367</v>
      </c>
      <c r="R60" s="20" t="n">
        <v>0.56337476</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41.73526167</v>
      </c>
      <c r="F63" s="20" t="n">
        <v>1.21386011</v>
      </c>
      <c r="G63" s="18" t="n">
        <v>41.56631291</v>
      </c>
      <c r="H63" s="20" t="n">
        <v>1.38900509</v>
      </c>
      <c r="I63" s="18" t="n">
        <v>0</v>
      </c>
      <c r="J63" s="20" t="n">
        <v>0</v>
      </c>
      <c r="K63" s="18" t="n">
        <v>13.35205984</v>
      </c>
      <c r="L63" s="20" t="n">
        <v>0.95172924</v>
      </c>
      <c r="M63" s="18" t="n">
        <v>0</v>
      </c>
      <c r="N63" s="20" t="n">
        <v>0</v>
      </c>
      <c r="O63" s="18" t="n">
        <v>0.75084724</v>
      </c>
      <c r="P63" s="20" t="n">
        <v>0.2042087</v>
      </c>
      <c r="Q63" s="18" t="n">
        <v>2.59551835</v>
      </c>
      <c r="R63" s="20" t="n">
        <v>0.41166697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33.24916933</v>
      </c>
      <c r="F65" s="20" t="n">
        <v>1.21538497</v>
      </c>
      <c r="G65" s="18" t="n">
        <v>59.17034605</v>
      </c>
      <c r="H65" s="20" t="n">
        <v>1.29204821</v>
      </c>
      <c r="I65" s="18" t="n">
        <v>0</v>
      </c>
      <c r="J65" s="20" t="n">
        <v>0</v>
      </c>
      <c r="K65" s="18" t="n">
        <v>6.00626754</v>
      </c>
      <c r="L65" s="20" t="n">
        <v>0.70317608</v>
      </c>
      <c r="M65" s="18" t="n">
        <v>0</v>
      </c>
      <c r="N65" s="20" t="n">
        <v>0</v>
      </c>
      <c r="O65" s="18" t="n">
        <v>0.35235676</v>
      </c>
      <c r="P65" s="20" t="n">
        <v>0.17479142</v>
      </c>
      <c r="Q65" s="18" t="n">
        <v>1.22186032</v>
      </c>
      <c r="R65" s="20" t="n">
        <v>0.30776581</v>
      </c>
    </row>
    <row r="66" spans="1:18">
      <c r="A66" s="15" t="s">
        <v>626</v>
      </c>
      <c r="B66" s="17" t="n">
        <v>5325</v>
      </c>
      <c r="C66" s="18">
        <f>(3550.0/B66*100)</f>
        <v/>
      </c>
      <c r="D66" s="19" t="n">
        <v>1775</v>
      </c>
      <c r="E66" s="18" t="n">
        <v>31.95118177</v>
      </c>
      <c r="F66" s="20" t="n">
        <v>1.09326132</v>
      </c>
      <c r="G66" s="18" t="n">
        <v>50.56098863</v>
      </c>
      <c r="H66" s="20" t="n">
        <v>1.25006267</v>
      </c>
      <c r="I66" s="18" t="n">
        <v>0</v>
      </c>
      <c r="J66" s="20" t="n">
        <v>0</v>
      </c>
      <c r="K66" s="18" t="n">
        <v>13.97523927</v>
      </c>
      <c r="L66" s="20" t="n">
        <v>0.92951187</v>
      </c>
      <c r="M66" s="18" t="n">
        <v>1.10811696</v>
      </c>
      <c r="N66" s="20" t="n">
        <v>0.26024874</v>
      </c>
      <c r="O66" s="18" t="n">
        <v>0.06537581000000001</v>
      </c>
      <c r="P66" s="20" t="n">
        <v>0.05575706</v>
      </c>
      <c r="Q66" s="18" t="n">
        <v>2.33909756</v>
      </c>
      <c r="R66" s="20" t="n">
        <v>0.37131689</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44.81215331</v>
      </c>
      <c r="F69" s="20" t="n">
        <v>2.5820638</v>
      </c>
      <c r="G69" s="18" t="n">
        <v>53.30832914</v>
      </c>
      <c r="H69" s="20" t="n">
        <v>2.59059784</v>
      </c>
      <c r="I69" s="18" t="n">
        <v>0</v>
      </c>
      <c r="J69" s="20" t="n">
        <v>0</v>
      </c>
      <c r="K69" s="18" t="n">
        <v>1.24753083</v>
      </c>
      <c r="L69" s="20" t="n">
        <v>0.44097449</v>
      </c>
      <c r="M69" s="18" t="n">
        <v>0</v>
      </c>
      <c r="N69" s="20" t="n">
        <v>0</v>
      </c>
      <c r="O69" s="18" t="n">
        <v>0</v>
      </c>
      <c r="P69" s="20" t="n">
        <v>0</v>
      </c>
      <c r="Q69" s="18" t="n">
        <v>0.63198672</v>
      </c>
      <c r="R69" s="20" t="n">
        <v>0.37274534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45.14198817</v>
      </c>
      <c r="F71" s="20" t="n">
        <v>1.45113688</v>
      </c>
      <c r="G71" s="18" t="n">
        <v>54.20451753</v>
      </c>
      <c r="H71" s="20" t="n">
        <v>1.47726999</v>
      </c>
      <c r="I71" s="18" t="n">
        <v>0</v>
      </c>
      <c r="J71" s="20" t="n">
        <v>0</v>
      </c>
      <c r="K71" s="18" t="n">
        <v>0</v>
      </c>
      <c r="L71" s="20" t="n">
        <v>0</v>
      </c>
      <c r="M71" s="18" t="n">
        <v>0</v>
      </c>
      <c r="N71" s="20" t="n">
        <v>0</v>
      </c>
      <c r="O71" s="18" t="n">
        <v>0</v>
      </c>
      <c r="P71" s="20" t="n">
        <v>0</v>
      </c>
      <c r="Q71" s="18" t="n">
        <v>0.65349431</v>
      </c>
      <c r="R71" s="20" t="n">
        <v>0.2325304</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32.89526724</v>
      </c>
      <c r="F76" s="20" t="n">
        <v>1.37743157</v>
      </c>
      <c r="G76" s="18" t="n">
        <v>52.5315727</v>
      </c>
      <c r="H76" s="20" t="n">
        <v>1.57463503</v>
      </c>
      <c r="I76" s="18" t="n">
        <v>0</v>
      </c>
      <c r="J76" s="20" t="n">
        <v>0</v>
      </c>
      <c r="K76" s="18" t="n">
        <v>14.0213716</v>
      </c>
      <c r="L76" s="20" t="n">
        <v>0.94603361</v>
      </c>
      <c r="M76" s="18" t="n">
        <v>0</v>
      </c>
      <c r="N76" s="20" t="n">
        <v>0</v>
      </c>
      <c r="O76" s="18" t="n">
        <v>0</v>
      </c>
      <c r="P76" s="20" t="n">
        <v>0</v>
      </c>
      <c r="Q76" s="18" t="n">
        <v>0.55178846</v>
      </c>
      <c r="R76" s="20" t="n">
        <v>0.23707132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32.70376925</v>
      </c>
      <c r="F80" s="20" t="n">
        <v>1.54682579</v>
      </c>
      <c r="G80" s="18" t="n">
        <v>67.12295201000001</v>
      </c>
      <c r="H80" s="20" t="n">
        <v>1.54209915</v>
      </c>
      <c r="I80" s="18" t="n">
        <v>0</v>
      </c>
      <c r="J80" s="20" t="n">
        <v>0</v>
      </c>
      <c r="K80" s="18" t="n">
        <v>0.06057515</v>
      </c>
      <c r="L80" s="20" t="n">
        <v>0.05376785</v>
      </c>
      <c r="M80" s="18" t="n">
        <v>0</v>
      </c>
      <c r="N80" s="20" t="n">
        <v>0</v>
      </c>
      <c r="O80" s="18" t="n">
        <v>0.1127036</v>
      </c>
      <c r="P80" s="20" t="n">
        <v>0.08067955</v>
      </c>
      <c r="Q80" s="18" t="n">
        <v>0</v>
      </c>
      <c r="R80" s="20" t="n">
        <v>0</v>
      </c>
    </row>
    <row r="81" spans="1:18">
      <c r="A81" s="15" t="s">
        <v>641</v>
      </c>
      <c r="B81" s="17" t="n">
        <v>1657</v>
      </c>
      <c r="C81" s="18">
        <f>(1109.0/B81*100)</f>
        <v/>
      </c>
      <c r="D81" s="19" t="n">
        <v>548</v>
      </c>
      <c r="E81" s="18" t="n">
        <v>28.15080197</v>
      </c>
      <c r="F81" s="20" t="n">
        <v>1.40327835</v>
      </c>
      <c r="G81" s="18" t="n">
        <v>58.16728878</v>
      </c>
      <c r="H81" s="20" t="n">
        <v>1.8448543</v>
      </c>
      <c r="I81" s="18" t="n">
        <v>0</v>
      </c>
      <c r="J81" s="20" t="n">
        <v>0</v>
      </c>
      <c r="K81" s="18" t="n">
        <v>10.93864665</v>
      </c>
      <c r="L81" s="20" t="n">
        <v>1.76848034</v>
      </c>
      <c r="M81" s="18" t="n">
        <v>1.14586645</v>
      </c>
      <c r="N81" s="20" t="n">
        <v>0.41142328</v>
      </c>
      <c r="O81" s="18" t="n">
        <v>0.51977056</v>
      </c>
      <c r="P81" s="20" t="n">
        <v>0.34336596</v>
      </c>
      <c r="Q81" s="18" t="n">
        <v>1.07762558</v>
      </c>
      <c r="R81" s="20" t="n">
        <v>0.45261771</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54.48411925</v>
      </c>
      <c r="F44" s="20" t="n">
        <v>1.66154941</v>
      </c>
      <c r="G44" s="18" t="n">
        <v>27.58297559</v>
      </c>
      <c r="H44" s="20" t="n">
        <v>1.5843991</v>
      </c>
      <c r="I44" s="18" t="n">
        <v>0</v>
      </c>
      <c r="J44" s="20" t="n">
        <v>0</v>
      </c>
      <c r="K44" s="18" t="n">
        <v>12.77725531</v>
      </c>
      <c r="L44" s="20" t="n">
        <v>1.09833938</v>
      </c>
      <c r="M44" s="18" t="n">
        <v>0</v>
      </c>
      <c r="N44" s="20" t="n">
        <v>0</v>
      </c>
      <c r="O44" s="18" t="n">
        <v>2.23488611</v>
      </c>
      <c r="P44" s="20" t="n">
        <v>0.51121602</v>
      </c>
      <c r="Q44" s="18" t="n">
        <v>2.92076375</v>
      </c>
      <c r="R44" s="20" t="n">
        <v>0.47390174</v>
      </c>
    </row>
    <row r="45" spans="1:18">
      <c r="A45" s="15" t="s">
        <v>604</v>
      </c>
      <c r="B45" s="17" t="n">
        <v>5519</v>
      </c>
      <c r="C45" s="18">
        <f>(3668.0/B45*100)</f>
        <v/>
      </c>
      <c r="D45" s="19" t="n">
        <v>1851</v>
      </c>
      <c r="E45" s="18" t="n">
        <v>57.02269461</v>
      </c>
      <c r="F45" s="20" t="n">
        <v>1.30684872</v>
      </c>
      <c r="G45" s="18" t="n">
        <v>24.28384135</v>
      </c>
      <c r="H45" s="20" t="n">
        <v>0.9505647699999999</v>
      </c>
      <c r="I45" s="18" t="n">
        <v>0</v>
      </c>
      <c r="J45" s="20" t="n">
        <v>0</v>
      </c>
      <c r="K45" s="18" t="n">
        <v>14.00970414</v>
      </c>
      <c r="L45" s="20" t="n">
        <v>1.07356621</v>
      </c>
      <c r="M45" s="18" t="n">
        <v>0.80674186</v>
      </c>
      <c r="N45" s="20" t="n">
        <v>0.22189595</v>
      </c>
      <c r="O45" s="18" t="n">
        <v>2.30303915</v>
      </c>
      <c r="P45" s="20" t="n">
        <v>0.33967352</v>
      </c>
      <c r="Q45" s="18" t="n">
        <v>1.5739789</v>
      </c>
      <c r="R45" s="20" t="n">
        <v>0.32133144</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64.73213928</v>
      </c>
      <c r="F54" s="20" t="n">
        <v>1.17143284</v>
      </c>
      <c r="G54" s="18" t="n">
        <v>24.70708981</v>
      </c>
      <c r="H54" s="20" t="n">
        <v>1.18384647</v>
      </c>
      <c r="I54" s="18" t="n">
        <v>0</v>
      </c>
      <c r="J54" s="20" t="n">
        <v>0</v>
      </c>
      <c r="K54" s="18" t="n">
        <v>8.137609299999999</v>
      </c>
      <c r="L54" s="20" t="n">
        <v>0.68379974</v>
      </c>
      <c r="M54" s="18" t="n">
        <v>0</v>
      </c>
      <c r="N54" s="20" t="n">
        <v>0</v>
      </c>
      <c r="O54" s="18" t="n">
        <v>1.342431</v>
      </c>
      <c r="P54" s="20" t="n">
        <v>0.31977851</v>
      </c>
      <c r="Q54" s="18" t="n">
        <v>1.08073061</v>
      </c>
      <c r="R54" s="20" t="n">
        <v>0.23667529</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58.6456052</v>
      </c>
      <c r="F56" s="20" t="n">
        <v>1.14607366</v>
      </c>
      <c r="G56" s="18" t="n">
        <v>36.58085304</v>
      </c>
      <c r="H56" s="20" t="n">
        <v>1.19386583</v>
      </c>
      <c r="I56" s="18" t="n">
        <v>0</v>
      </c>
      <c r="J56" s="20" t="n">
        <v>0</v>
      </c>
      <c r="K56" s="18" t="n">
        <v>3.54098731</v>
      </c>
      <c r="L56" s="20" t="n">
        <v>0.53985441</v>
      </c>
      <c r="M56" s="18" t="n">
        <v>0.09135483</v>
      </c>
      <c r="N56" s="20" t="n">
        <v>0.06917557000000001</v>
      </c>
      <c r="O56" s="18" t="n">
        <v>0</v>
      </c>
      <c r="P56" s="20" t="n">
        <v>0</v>
      </c>
      <c r="Q56" s="18" t="n">
        <v>1.14119963</v>
      </c>
      <c r="R56" s="20" t="n">
        <v>0.27348859</v>
      </c>
    </row>
    <row r="57" spans="1:18">
      <c r="A57" s="15" t="s">
        <v>616</v>
      </c>
      <c r="B57" s="17" t="n">
        <v>7267</v>
      </c>
      <c r="C57" s="18">
        <f>(4834.0/B57*100)</f>
        <v/>
      </c>
      <c r="D57" s="19" t="n">
        <v>2433</v>
      </c>
      <c r="E57" s="18" t="n">
        <v>60.65810957</v>
      </c>
      <c r="F57" s="20" t="n">
        <v>1.34789828</v>
      </c>
      <c r="G57" s="18" t="n">
        <v>30.029446</v>
      </c>
      <c r="H57" s="20" t="n">
        <v>1.34755024</v>
      </c>
      <c r="I57" s="18" t="n">
        <v>0</v>
      </c>
      <c r="J57" s="20" t="n">
        <v>0</v>
      </c>
      <c r="K57" s="18" t="n">
        <v>7.50910794</v>
      </c>
      <c r="L57" s="20" t="n">
        <v>0.65561636</v>
      </c>
      <c r="M57" s="18" t="n">
        <v>0.08258973999999999</v>
      </c>
      <c r="N57" s="20" t="n">
        <v>0.0640458</v>
      </c>
      <c r="O57" s="18" t="n">
        <v>0.44977713</v>
      </c>
      <c r="P57" s="20" t="n">
        <v>0.14936892</v>
      </c>
      <c r="Q57" s="18" t="n">
        <v>1.27096962</v>
      </c>
      <c r="R57" s="20" t="n">
        <v>0.21846873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65.93600324000001</v>
      </c>
      <c r="F59" s="20" t="n">
        <v>1.37799397</v>
      </c>
      <c r="G59" s="18" t="n">
        <v>27.66915492</v>
      </c>
      <c r="H59" s="20" t="n">
        <v>1.28538276</v>
      </c>
      <c r="I59" s="18" t="n">
        <v>0</v>
      </c>
      <c r="J59" s="20" t="n">
        <v>0</v>
      </c>
      <c r="K59" s="18" t="n">
        <v>4.03412381</v>
      </c>
      <c r="L59" s="20" t="n">
        <v>0.48286294</v>
      </c>
      <c r="M59" s="18" t="n">
        <v>0.46646989</v>
      </c>
      <c r="N59" s="20" t="n">
        <v>0.23379441</v>
      </c>
      <c r="O59" s="18" t="n">
        <v>1.28307878</v>
      </c>
      <c r="P59" s="20" t="n">
        <v>0.32819112</v>
      </c>
      <c r="Q59" s="18" t="n">
        <v>0.61116936</v>
      </c>
      <c r="R59" s="20" t="n">
        <v>0.17542512</v>
      </c>
    </row>
    <row r="60" spans="1:18">
      <c r="A60" s="15" t="s">
        <v>620</v>
      </c>
      <c r="B60" s="17" t="n">
        <v>4546</v>
      </c>
      <c r="C60" s="18">
        <f>(3041.0/B60*100)</f>
        <v/>
      </c>
      <c r="D60" s="19" t="n">
        <v>1505</v>
      </c>
      <c r="E60" s="18" t="n">
        <v>47.99476346</v>
      </c>
      <c r="F60" s="20" t="n">
        <v>1.50771223</v>
      </c>
      <c r="G60" s="18" t="n">
        <v>29.44924942</v>
      </c>
      <c r="H60" s="20" t="n">
        <v>1.59381375</v>
      </c>
      <c r="I60" s="18" t="n">
        <v>0</v>
      </c>
      <c r="J60" s="20" t="n">
        <v>0</v>
      </c>
      <c r="K60" s="18" t="n">
        <v>16.96691778</v>
      </c>
      <c r="L60" s="20" t="n">
        <v>1.34613298</v>
      </c>
      <c r="M60" s="18" t="n">
        <v>0</v>
      </c>
      <c r="N60" s="20" t="n">
        <v>0</v>
      </c>
      <c r="O60" s="18" t="n">
        <v>2.78679213</v>
      </c>
      <c r="P60" s="20" t="n">
        <v>0.52007184</v>
      </c>
      <c r="Q60" s="18" t="n">
        <v>2.80227722</v>
      </c>
      <c r="R60" s="20" t="n">
        <v>0.43436009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54.34295916</v>
      </c>
      <c r="F63" s="20" t="n">
        <v>1.18676871</v>
      </c>
      <c r="G63" s="18" t="n">
        <v>27.4647433</v>
      </c>
      <c r="H63" s="20" t="n">
        <v>1.03469195</v>
      </c>
      <c r="I63" s="18" t="n">
        <v>0</v>
      </c>
      <c r="J63" s="20" t="n">
        <v>0</v>
      </c>
      <c r="K63" s="18" t="n">
        <v>15.02056546</v>
      </c>
      <c r="L63" s="20" t="n">
        <v>1.00397409</v>
      </c>
      <c r="M63" s="18" t="n">
        <v>0</v>
      </c>
      <c r="N63" s="20" t="n">
        <v>0</v>
      </c>
      <c r="O63" s="18" t="n">
        <v>1.05904146</v>
      </c>
      <c r="P63" s="20" t="n">
        <v>0.25218184</v>
      </c>
      <c r="Q63" s="18" t="n">
        <v>2.11269062</v>
      </c>
      <c r="R63" s="20" t="n">
        <v>0.380096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45.97200031</v>
      </c>
      <c r="F65" s="20" t="n">
        <v>1.34153201</v>
      </c>
      <c r="G65" s="18" t="n">
        <v>45.14937267</v>
      </c>
      <c r="H65" s="20" t="n">
        <v>1.42299176</v>
      </c>
      <c r="I65" s="18" t="n">
        <v>0</v>
      </c>
      <c r="J65" s="20" t="n">
        <v>0</v>
      </c>
      <c r="K65" s="18" t="n">
        <v>6.7644444</v>
      </c>
      <c r="L65" s="20" t="n">
        <v>0.75094808</v>
      </c>
      <c r="M65" s="18" t="n">
        <v>0</v>
      </c>
      <c r="N65" s="20" t="n">
        <v>0</v>
      </c>
      <c r="O65" s="18" t="n">
        <v>0.90185336</v>
      </c>
      <c r="P65" s="20" t="n">
        <v>0.28723858</v>
      </c>
      <c r="Q65" s="18" t="n">
        <v>1.21232927</v>
      </c>
      <c r="R65" s="20" t="n">
        <v>0.30600222</v>
      </c>
    </row>
    <row r="66" spans="1:18">
      <c r="A66" s="15" t="s">
        <v>626</v>
      </c>
      <c r="B66" s="17" t="n">
        <v>5325</v>
      </c>
      <c r="C66" s="18">
        <f>(3550.0/B66*100)</f>
        <v/>
      </c>
      <c r="D66" s="19" t="n">
        <v>1775</v>
      </c>
      <c r="E66" s="18" t="n">
        <v>52.34173933</v>
      </c>
      <c r="F66" s="20" t="n">
        <v>1.38795506</v>
      </c>
      <c r="G66" s="18" t="n">
        <v>28.03686784</v>
      </c>
      <c r="H66" s="20" t="n">
        <v>1.12657512</v>
      </c>
      <c r="I66" s="18" t="n">
        <v>0</v>
      </c>
      <c r="J66" s="20" t="n">
        <v>0</v>
      </c>
      <c r="K66" s="18" t="n">
        <v>15.13191599</v>
      </c>
      <c r="L66" s="20" t="n">
        <v>0.93286996</v>
      </c>
      <c r="M66" s="18" t="n">
        <v>2.07861052</v>
      </c>
      <c r="N66" s="20" t="n">
        <v>0.34062715</v>
      </c>
      <c r="O66" s="18" t="n">
        <v>0.12751295</v>
      </c>
      <c r="P66" s="20" t="n">
        <v>0.08355982000000001</v>
      </c>
      <c r="Q66" s="18" t="n">
        <v>2.28335337</v>
      </c>
      <c r="R66" s="20" t="n">
        <v>0.42396968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66.96711415</v>
      </c>
      <c r="F69" s="20" t="n">
        <v>1.77611587</v>
      </c>
      <c r="G69" s="18" t="n">
        <v>30.96986731</v>
      </c>
      <c r="H69" s="20" t="n">
        <v>1.74922297</v>
      </c>
      <c r="I69" s="18" t="n">
        <v>0</v>
      </c>
      <c r="J69" s="20" t="n">
        <v>0</v>
      </c>
      <c r="K69" s="18" t="n">
        <v>1.24753083</v>
      </c>
      <c r="L69" s="20" t="n">
        <v>0.44097449</v>
      </c>
      <c r="M69" s="18" t="n">
        <v>0</v>
      </c>
      <c r="N69" s="20" t="n">
        <v>0</v>
      </c>
      <c r="O69" s="18" t="n">
        <v>0</v>
      </c>
      <c r="P69" s="20" t="n">
        <v>0</v>
      </c>
      <c r="Q69" s="18" t="n">
        <v>0.81548771</v>
      </c>
      <c r="R69" s="20" t="n">
        <v>0.40143222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67.59738335</v>
      </c>
      <c r="F71" s="20" t="n">
        <v>1.33214986</v>
      </c>
      <c r="G71" s="18" t="n">
        <v>31.64316927</v>
      </c>
      <c r="H71" s="20" t="n">
        <v>1.34512966</v>
      </c>
      <c r="I71" s="18" t="n">
        <v>0</v>
      </c>
      <c r="J71" s="20" t="n">
        <v>0</v>
      </c>
      <c r="K71" s="18" t="n">
        <v>0</v>
      </c>
      <c r="L71" s="20" t="n">
        <v>0</v>
      </c>
      <c r="M71" s="18" t="n">
        <v>0</v>
      </c>
      <c r="N71" s="20" t="n">
        <v>0</v>
      </c>
      <c r="O71" s="18" t="n">
        <v>0.04796064</v>
      </c>
      <c r="P71" s="20" t="n">
        <v>0.04798903</v>
      </c>
      <c r="Q71" s="18" t="n">
        <v>0.71148674</v>
      </c>
      <c r="R71" s="20" t="n">
        <v>0.22470549</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49.57958979</v>
      </c>
      <c r="F76" s="20" t="n">
        <v>1.39038646</v>
      </c>
      <c r="G76" s="18" t="n">
        <v>33.54415455</v>
      </c>
      <c r="H76" s="20" t="n">
        <v>1.12709545</v>
      </c>
      <c r="I76" s="18" t="n">
        <v>0</v>
      </c>
      <c r="J76" s="20" t="n">
        <v>0</v>
      </c>
      <c r="K76" s="18" t="n">
        <v>15.39254685</v>
      </c>
      <c r="L76" s="20" t="n">
        <v>0.97087976</v>
      </c>
      <c r="M76" s="18" t="n">
        <v>0</v>
      </c>
      <c r="N76" s="20" t="n">
        <v>0</v>
      </c>
      <c r="O76" s="18" t="n">
        <v>0.10449885</v>
      </c>
      <c r="P76" s="20" t="n">
        <v>0.10500894</v>
      </c>
      <c r="Q76" s="18" t="n">
        <v>1.37920997</v>
      </c>
      <c r="R76" s="20" t="n">
        <v>0.34697167</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23.11729718</v>
      </c>
      <c r="F80" s="20" t="n">
        <v>1.36619746</v>
      </c>
      <c r="G80" s="18" t="n">
        <v>76.70435565</v>
      </c>
      <c r="H80" s="20" t="n">
        <v>1.37188668</v>
      </c>
      <c r="I80" s="18" t="n">
        <v>0</v>
      </c>
      <c r="J80" s="20" t="n">
        <v>0</v>
      </c>
      <c r="K80" s="18" t="n">
        <v>0.06057515</v>
      </c>
      <c r="L80" s="20" t="n">
        <v>0.05376785</v>
      </c>
      <c r="M80" s="18" t="n">
        <v>0</v>
      </c>
      <c r="N80" s="20" t="n">
        <v>0</v>
      </c>
      <c r="O80" s="18" t="n">
        <v>0</v>
      </c>
      <c r="P80" s="20" t="n">
        <v>0</v>
      </c>
      <c r="Q80" s="18" t="n">
        <v>0.11777202</v>
      </c>
      <c r="R80" s="20" t="n">
        <v>0.07132119000000001</v>
      </c>
    </row>
    <row r="81" spans="1:18">
      <c r="A81" s="15" t="s">
        <v>641</v>
      </c>
      <c r="B81" s="17" t="n">
        <v>1657</v>
      </c>
      <c r="C81" s="18">
        <f>(1109.0/B81*100)</f>
        <v/>
      </c>
      <c r="D81" s="19" t="n">
        <v>548</v>
      </c>
      <c r="E81" s="18" t="n">
        <v>42.47501881</v>
      </c>
      <c r="F81" s="20" t="n">
        <v>2.23361276</v>
      </c>
      <c r="G81" s="18" t="n">
        <v>41.6720584</v>
      </c>
      <c r="H81" s="20" t="n">
        <v>2.04309832</v>
      </c>
      <c r="I81" s="18" t="n">
        <v>0</v>
      </c>
      <c r="J81" s="20" t="n">
        <v>0</v>
      </c>
      <c r="K81" s="18" t="n">
        <v>12.98988732</v>
      </c>
      <c r="L81" s="20" t="n">
        <v>1.70873049</v>
      </c>
      <c r="M81" s="18" t="n">
        <v>0.96145612</v>
      </c>
      <c r="N81" s="20" t="n">
        <v>0.36702916</v>
      </c>
      <c r="O81" s="18" t="n">
        <v>0.34835704</v>
      </c>
      <c r="P81" s="20" t="n">
        <v>0.26447616</v>
      </c>
      <c r="Q81" s="18" t="n">
        <v>1.55322231</v>
      </c>
      <c r="R81" s="20" t="n">
        <v>0.52789572</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(3477.0/B44*100)</f>
        <v/>
      </c>
      <c r="D44" s="19" t="n">
        <v>1738</v>
      </c>
      <c r="E44" s="18" t="n">
        <v>55.63430247</v>
      </c>
      <c r="F44" s="20" t="n">
        <v>1.50848447</v>
      </c>
      <c r="G44" s="18" t="n">
        <v>12.27024793</v>
      </c>
      <c r="H44" s="20" t="n">
        <v>1.04650716</v>
      </c>
      <c r="I44" s="18" t="n">
        <v>0</v>
      </c>
      <c r="J44" s="20" t="n">
        <v>0</v>
      </c>
      <c r="K44" s="18" t="n">
        <v>32.03048678</v>
      </c>
      <c r="L44" s="20" t="n">
        <v>1.68280654</v>
      </c>
      <c r="M44" s="18" t="n">
        <v>0.06496282</v>
      </c>
      <c r="N44" s="20" t="n">
        <v>0.06782562</v>
      </c>
      <c r="O44" s="18" t="n">
        <v>0</v>
      </c>
      <c r="P44" s="20" t="n">
        <v>0</v>
      </c>
      <c r="Q44" s="18" t="n">
        <v>0</v>
      </c>
      <c r="R44" s="20" t="n">
        <v>0</v>
      </c>
    </row>
    <row r="45" spans="1:18">
      <c r="A45" s="15" t="s">
        <v>604</v>
      </c>
      <c r="B45" s="17" t="n">
        <v>5519</v>
      </c>
      <c r="C45" s="18">
        <f>(3668.0/B45*100)</f>
        <v/>
      </c>
      <c r="D45" s="19" t="n">
        <v>1851</v>
      </c>
      <c r="E45" s="18" t="n">
        <v>52.00501177</v>
      </c>
      <c r="F45" s="20" t="n">
        <v>1.54591076</v>
      </c>
      <c r="G45" s="18" t="n">
        <v>7.84091362</v>
      </c>
      <c r="H45" s="20" t="n">
        <v>0.83137991</v>
      </c>
      <c r="I45" s="18" t="n">
        <v>0</v>
      </c>
      <c r="J45" s="20" t="n">
        <v>0</v>
      </c>
      <c r="K45" s="18" t="n">
        <v>38.43250573</v>
      </c>
      <c r="L45" s="20" t="n">
        <v>1.55206163</v>
      </c>
      <c r="M45" s="18" t="n">
        <v>1.23106493</v>
      </c>
      <c r="N45" s="20" t="n">
        <v>0.25544087</v>
      </c>
      <c r="O45" s="18" t="n">
        <v>0.49050395</v>
      </c>
      <c r="P45" s="20" t="n">
        <v>0.20663724</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(3551.0/B54*100)</f>
        <v/>
      </c>
      <c r="D54" s="19" t="n">
        <v>1765</v>
      </c>
      <c r="E54" s="18" t="n">
        <v>51.95419252</v>
      </c>
      <c r="F54" s="20" t="n">
        <v>1.19183912</v>
      </c>
      <c r="G54" s="18" t="n">
        <v>11.15123152</v>
      </c>
      <c r="H54" s="20" t="n">
        <v>0.82319246</v>
      </c>
      <c r="I54" s="18" t="n">
        <v>0</v>
      </c>
      <c r="J54" s="20" t="n">
        <v>0</v>
      </c>
      <c r="K54" s="18" t="n">
        <v>36.89457596</v>
      </c>
      <c r="L54" s="20" t="n">
        <v>1.33471076</v>
      </c>
      <c r="M54" s="18" t="n">
        <v>0</v>
      </c>
      <c r="N54" s="20" t="n">
        <v>0</v>
      </c>
      <c r="O54" s="18" t="n">
        <v>0</v>
      </c>
      <c r="P54" s="20" t="n">
        <v>0</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(4337.0/B56*100)</f>
        <v/>
      </c>
      <c r="D56" s="19" t="n">
        <v>2176</v>
      </c>
      <c r="E56" s="18" t="n">
        <v>76.95161109</v>
      </c>
      <c r="F56" s="20" t="n">
        <v>1.15355594</v>
      </c>
      <c r="G56" s="18" t="n">
        <v>12.44941909</v>
      </c>
      <c r="H56" s="20" t="n">
        <v>0.8077509</v>
      </c>
      <c r="I56" s="18" t="n">
        <v>0</v>
      </c>
      <c r="J56" s="20" t="n">
        <v>0</v>
      </c>
      <c r="K56" s="18" t="n">
        <v>10.59896982</v>
      </c>
      <c r="L56" s="20" t="n">
        <v>1.03874667</v>
      </c>
      <c r="M56" s="18" t="n">
        <v>0</v>
      </c>
      <c r="N56" s="20" t="n">
        <v>0</v>
      </c>
      <c r="O56" s="18" t="n">
        <v>0</v>
      </c>
      <c r="P56" s="20" t="n">
        <v>0</v>
      </c>
      <c r="Q56" s="18" t="n">
        <v>0</v>
      </c>
      <c r="R56" s="20" t="n">
        <v>0</v>
      </c>
    </row>
    <row r="57" spans="1:18">
      <c r="A57" s="15" t="s">
        <v>616</v>
      </c>
      <c r="B57" s="17" t="n">
        <v>7267</v>
      </c>
      <c r="C57" s="18">
        <f>(4834.0/B57*100)</f>
        <v/>
      </c>
      <c r="D57" s="19" t="n">
        <v>2433</v>
      </c>
      <c r="E57" s="18" t="n">
        <v>68.06456801</v>
      </c>
      <c r="F57" s="20" t="n">
        <v>1.20446682</v>
      </c>
      <c r="G57" s="18" t="n">
        <v>9.70850802</v>
      </c>
      <c r="H57" s="20" t="n">
        <v>0.666804</v>
      </c>
      <c r="I57" s="18" t="n">
        <v>0</v>
      </c>
      <c r="J57" s="20" t="n">
        <v>0</v>
      </c>
      <c r="K57" s="18" t="n">
        <v>22.22692398</v>
      </c>
      <c r="L57" s="20" t="n">
        <v>1.13739134</v>
      </c>
      <c r="M57" s="18" t="n">
        <v>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(3228.0/B59*100)</f>
        <v/>
      </c>
      <c r="D59" s="19" t="n">
        <v>1598</v>
      </c>
      <c r="E59" s="18" t="n">
        <v>67.641046</v>
      </c>
      <c r="F59" s="20" t="n">
        <v>1.4815819</v>
      </c>
      <c r="G59" s="18" t="n">
        <v>7.10245954</v>
      </c>
      <c r="H59" s="20" t="n">
        <v>0.86295356</v>
      </c>
      <c r="I59" s="18" t="n">
        <v>0</v>
      </c>
      <c r="J59" s="20" t="n">
        <v>0</v>
      </c>
      <c r="K59" s="18" t="n">
        <v>25.25649446</v>
      </c>
      <c r="L59" s="20" t="n">
        <v>1.14792571</v>
      </c>
      <c r="M59" s="18" t="n">
        <v>0</v>
      </c>
      <c r="N59" s="20" t="n">
        <v>0</v>
      </c>
      <c r="O59" s="18" t="n">
        <v>0</v>
      </c>
      <c r="P59" s="20" t="n">
        <v>0</v>
      </c>
      <c r="Q59" s="18" t="n">
        <v>0</v>
      </c>
      <c r="R59" s="20" t="n">
        <v>0</v>
      </c>
    </row>
    <row r="60" spans="1:18">
      <c r="A60" s="15" t="s">
        <v>620</v>
      </c>
      <c r="B60" s="17" t="n">
        <v>4546</v>
      </c>
      <c r="C60" s="18">
        <f>(3041.0/B60*100)</f>
        <v/>
      </c>
      <c r="D60" s="19" t="n">
        <v>1505</v>
      </c>
      <c r="E60" s="18" t="n">
        <v>51.56750435</v>
      </c>
      <c r="F60" s="20" t="n">
        <v>1.86796842</v>
      </c>
      <c r="G60" s="18" t="n">
        <v>7.14858093</v>
      </c>
      <c r="H60" s="20" t="n">
        <v>0.78344023</v>
      </c>
      <c r="I60" s="18" t="n">
        <v>0</v>
      </c>
      <c r="J60" s="20" t="n">
        <v>0</v>
      </c>
      <c r="K60" s="18" t="n">
        <v>41.06969391</v>
      </c>
      <c r="L60" s="20" t="n">
        <v>1.75839759</v>
      </c>
      <c r="M60" s="18" t="n">
        <v>0.06813595</v>
      </c>
      <c r="N60" s="20" t="n">
        <v>0.06882948999999999</v>
      </c>
      <c r="O60" s="18" t="n">
        <v>0.14608487</v>
      </c>
      <c r="P60" s="20" t="n">
        <v>0.08945328</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(3548.0/B63*100)</f>
        <v/>
      </c>
      <c r="D63" s="19" t="n">
        <v>1776</v>
      </c>
      <c r="E63" s="18" t="n">
        <v>38.75740361</v>
      </c>
      <c r="F63" s="20" t="n">
        <v>1.29715094</v>
      </c>
      <c r="G63" s="18" t="n">
        <v>11.50176719</v>
      </c>
      <c r="H63" s="20" t="n">
        <v>0.85226735</v>
      </c>
      <c r="I63" s="18" t="n">
        <v>0</v>
      </c>
      <c r="J63" s="20" t="n">
        <v>0</v>
      </c>
      <c r="K63" s="18" t="n">
        <v>49.7408292</v>
      </c>
      <c r="L63" s="20" t="n">
        <v>1.19847457</v>
      </c>
      <c r="M63" s="18" t="n">
        <v>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(2425.0/B65*100)</f>
        <v/>
      </c>
      <c r="D65" s="19" t="n">
        <v>1209</v>
      </c>
      <c r="E65" s="18" t="n">
        <v>59.26154182</v>
      </c>
      <c r="F65" s="20" t="n">
        <v>1.43889237</v>
      </c>
      <c r="G65" s="18" t="n">
        <v>17.60572576</v>
      </c>
      <c r="H65" s="20" t="n">
        <v>1.13897519</v>
      </c>
      <c r="I65" s="18" t="n">
        <v>0</v>
      </c>
      <c r="J65" s="20" t="n">
        <v>0</v>
      </c>
      <c r="K65" s="18" t="n">
        <v>23.05986285</v>
      </c>
      <c r="L65" s="20" t="n">
        <v>1.23080915</v>
      </c>
      <c r="M65" s="18" t="n">
        <v>0.07286956999999999</v>
      </c>
      <c r="N65" s="20" t="n">
        <v>0.07274794</v>
      </c>
      <c r="O65" s="18" t="n">
        <v>0</v>
      </c>
      <c r="P65" s="20" t="n">
        <v>0</v>
      </c>
      <c r="Q65" s="18" t="n">
        <v>0</v>
      </c>
      <c r="R65" s="20" t="n">
        <v>0</v>
      </c>
    </row>
    <row r="66" spans="1:18">
      <c r="A66" s="15" t="s">
        <v>626</v>
      </c>
      <c r="B66" s="17" t="n">
        <v>5325</v>
      </c>
      <c r="C66" s="18">
        <f>(3550.0/B66*100)</f>
        <v/>
      </c>
      <c r="D66" s="19" t="n">
        <v>1775</v>
      </c>
      <c r="E66" s="18" t="n">
        <v>49.19126658</v>
      </c>
      <c r="F66" s="20" t="n">
        <v>1.19263541</v>
      </c>
      <c r="G66" s="18" t="n">
        <v>12.01387778</v>
      </c>
      <c r="H66" s="20" t="n">
        <v>0.8551721799999999</v>
      </c>
      <c r="I66" s="18" t="n">
        <v>0</v>
      </c>
      <c r="J66" s="20" t="n">
        <v>0</v>
      </c>
      <c r="K66" s="18" t="n">
        <v>38.78425445</v>
      </c>
      <c r="L66" s="20" t="n">
        <v>1.22841055</v>
      </c>
      <c r="M66" s="18" t="n">
        <v>0</v>
      </c>
      <c r="N66" s="20" t="n">
        <v>0</v>
      </c>
      <c r="O66" s="18" t="n">
        <v>0.01060119</v>
      </c>
      <c r="P66" s="20" t="n">
        <v>0.01058214</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(945.0/B69*100)</f>
        <v/>
      </c>
      <c r="D69" s="19" t="n">
        <v>453</v>
      </c>
      <c r="E69" s="18" t="n">
        <v>75.02547606</v>
      </c>
      <c r="F69" s="20" t="n">
        <v>2.99633256</v>
      </c>
      <c r="G69" s="18" t="n">
        <v>10.40957537</v>
      </c>
      <c r="H69" s="20" t="n">
        <v>1.97199325</v>
      </c>
      <c r="I69" s="18" t="n">
        <v>0</v>
      </c>
      <c r="J69" s="20" t="n">
        <v>0</v>
      </c>
      <c r="K69" s="18" t="n">
        <v>14.56494857</v>
      </c>
      <c r="L69" s="20" t="n">
        <v>2.35872635</v>
      </c>
      <c r="M69" s="18" t="n">
        <v>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(3256.0/B71*100)</f>
        <v/>
      </c>
      <c r="D71" s="19" t="n">
        <v>1620</v>
      </c>
      <c r="E71" s="18" t="n">
        <v>79.95385129</v>
      </c>
      <c r="F71" s="20" t="n">
        <v>0.9659995300000001</v>
      </c>
      <c r="G71" s="18" t="n">
        <v>19.76231615</v>
      </c>
      <c r="H71" s="20" t="n">
        <v>0.96203281</v>
      </c>
      <c r="I71" s="18" t="n">
        <v>0</v>
      </c>
      <c r="J71" s="20" t="n">
        <v>0</v>
      </c>
      <c r="K71" s="18" t="n">
        <v>0.28383257</v>
      </c>
      <c r="L71" s="20" t="n">
        <v>0.12729414</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(3139.0/B76*100)</f>
        <v/>
      </c>
      <c r="D76" s="19" t="n">
        <v>1553</v>
      </c>
      <c r="E76" s="18" t="n">
        <v>54.42048375</v>
      </c>
      <c r="F76" s="20" t="n">
        <v>1.35987274</v>
      </c>
      <c r="G76" s="18" t="n">
        <v>7.96302925</v>
      </c>
      <c r="H76" s="20" t="n">
        <v>0.71522022</v>
      </c>
      <c r="I76" s="18" t="n">
        <v>0</v>
      </c>
      <c r="J76" s="20" t="n">
        <v>0</v>
      </c>
      <c r="K76" s="18" t="n">
        <v>37.616487</v>
      </c>
      <c r="L76" s="20" t="n">
        <v>1.28252856</v>
      </c>
      <c r="M76" s="18" t="n">
        <v>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63.71940799</v>
      </c>
      <c r="F80" s="20" t="n">
        <v>1.56973661</v>
      </c>
      <c r="G80" s="18" t="n">
        <v>34.58556605</v>
      </c>
      <c r="H80" s="20" t="n">
        <v>1.5367128</v>
      </c>
      <c r="I80" s="18" t="n">
        <v>0</v>
      </c>
      <c r="J80" s="20" t="n">
        <v>0</v>
      </c>
      <c r="K80" s="18" t="n">
        <v>1.69502596</v>
      </c>
      <c r="L80" s="20" t="n">
        <v>0.38227033</v>
      </c>
      <c r="M80" s="18" t="n">
        <v>0</v>
      </c>
      <c r="N80" s="20" t="n">
        <v>0</v>
      </c>
      <c r="O80" s="18" t="n">
        <v>0</v>
      </c>
      <c r="P80" s="20" t="n">
        <v>0</v>
      </c>
      <c r="Q80" s="18" t="n">
        <v>0</v>
      </c>
      <c r="R80" s="20" t="n">
        <v>0</v>
      </c>
    </row>
    <row r="81" spans="1:18">
      <c r="A81" s="15" t="s">
        <v>641</v>
      </c>
      <c r="B81" s="17" t="n">
        <v>1657</v>
      </c>
      <c r="C81" s="18">
        <f>(1109.0/B81*100)</f>
        <v/>
      </c>
      <c r="D81" s="19" t="n">
        <v>548</v>
      </c>
      <c r="E81" s="18" t="n">
        <v>49.8403692</v>
      </c>
      <c r="F81" s="20" t="n">
        <v>2.97491902</v>
      </c>
      <c r="G81" s="18" t="n">
        <v>23.34501503</v>
      </c>
      <c r="H81" s="20" t="n">
        <v>2.02247867</v>
      </c>
      <c r="I81" s="18" t="n">
        <v>0</v>
      </c>
      <c r="J81" s="20" t="n">
        <v>0</v>
      </c>
      <c r="K81" s="18" t="n">
        <v>25.85315964</v>
      </c>
      <c r="L81" s="20" t="n">
        <v>2.14293244</v>
      </c>
      <c r="M81" s="18" t="n">
        <v>0.96145612</v>
      </c>
      <c r="N81" s="20" t="n">
        <v>0.36702916</v>
      </c>
      <c r="O81" s="18" t="n">
        <v>0</v>
      </c>
      <c r="P81" s="20" t="n">
        <v>0</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2.xml><?xml version="1.0" encoding="utf-8"?>
<worksheet xmlns="http://schemas.openxmlformats.org/spreadsheetml/2006/main">
  <sheetPr>
    <outlinePr summaryBelow="1" summaryRight="1"/>
    <pageSetUpPr/>
  </sheetPr>
  <dimension ref="A1:T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0">
      <c r="A1" s="4" t="s">
        <v>549</v>
      </c>
    </row>
    <row r="2" spans="1:20">
      <c r="A2" s="5" t="s">
        <v>888</v>
      </c>
    </row>
    <row customHeight="1" ht="30" r="4" spans="1:20">
      <c r="A4" s="6" t="n"/>
      <c r="B4" s="7" t="s">
        <v>551</v>
      </c>
      <c r="C4" s="7" t="s">
        <v>552</v>
      </c>
      <c r="D4" s="8" t="s">
        <v>551</v>
      </c>
      <c r="E4" s="9" t="s">
        <v>553</v>
      </c>
      <c r="F4" s="10" t="n"/>
      <c r="G4" s="9" t="s">
        <v>669</v>
      </c>
      <c r="H4" s="10" t="n"/>
      <c r="I4" s="9" t="s">
        <v>670</v>
      </c>
      <c r="J4" s="10" t="n"/>
      <c r="K4" s="9" t="s">
        <v>555</v>
      </c>
      <c r="L4" s="10" t="n"/>
      <c r="M4" s="9" t="s">
        <v>556</v>
      </c>
      <c r="N4" s="10" t="n"/>
      <c r="O4" s="9" t="s">
        <v>557</v>
      </c>
      <c r="P4" s="10" t="n"/>
      <c r="Q4" s="9" t="s">
        <v>558</v>
      </c>
      <c r="R4" s="10" t="n"/>
      <c r="S4" s="9" t="s">
        <v>559</v>
      </c>
      <c r="T4" s="10" t="n"/>
    </row>
    <row r="5" spans="1:20">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row>
    <row r="6" spans="1:20">
      <c r="A6" s="13" t="s">
        <v>564</v>
      </c>
      <c r="B6" s="14" t="n"/>
      <c r="C6" s="14" t="n"/>
      <c r="D6" s="15" t="n"/>
      <c r="E6" s="14" t="n"/>
      <c r="F6" s="15" t="n"/>
      <c r="G6" s="14" t="n"/>
      <c r="H6" s="15" t="n"/>
      <c r="I6" s="14" t="n"/>
      <c r="J6" s="15" t="n"/>
      <c r="K6" s="14" t="n"/>
      <c r="L6" s="15" t="n"/>
      <c r="M6" s="14" t="n"/>
      <c r="N6" s="15" t="n"/>
      <c r="O6" s="14" t="n"/>
      <c r="P6" s="15" t="n"/>
      <c r="Q6" s="14" t="n"/>
      <c r="R6" s="15" t="n"/>
      <c r="S6" s="14" t="n"/>
      <c r="T6" s="16" t="n"/>
    </row>
    <row r="7" spans="1:20">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row>
    <row r="8" spans="1:20">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row>
    <row r="9" spans="1:20">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row>
    <row r="10" spans="1:20">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row>
    <row r="11" spans="1:20">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row>
    <row r="12" spans="1:20">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row>
    <row r="13" spans="1:20">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row>
    <row r="14" spans="1:20">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row>
    <row r="15" spans="1:20">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row>
    <row r="16" spans="1:20">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row>
    <row r="17" spans="1:20">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row>
    <row r="18" spans="1:20">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row>
    <row r="19" spans="1:20">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row>
    <row r="20" spans="1:20">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row>
    <row r="21" spans="1:20">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row>
    <row r="22" spans="1:20">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row>
    <row r="23" spans="1:20">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row>
    <row r="24" spans="1:20">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row>
    <row r="25" spans="1:20">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row>
    <row r="26" spans="1:20">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row>
    <row r="27" spans="1:20">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row>
    <row r="28" spans="1:20">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row>
    <row r="29" spans="1:20">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row>
    <row r="30" spans="1:20">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row>
    <row r="31" spans="1:20">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row>
    <row r="32" spans="1:20">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row>
    <row r="33" spans="1:20">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row>
    <row r="34" spans="1:20">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row>
    <row r="35" spans="1:20">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row>
    <row r="36" spans="1:20">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row>
    <row r="37" spans="1:20">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row>
    <row r="38" spans="1:20">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row>
    <row r="39" spans="1:20">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row>
    <row r="40" spans="1:20">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row>
    <row r="41" spans="1:20">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row>
    <row r="42" spans="1:20">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row>
    <row r="43" spans="1:20">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6" t="n"/>
    </row>
    <row r="44" spans="1:20">
      <c r="A44" s="15" t="s">
        <v>602</v>
      </c>
      <c r="B44" s="17" t="n">
        <v>5215</v>
      </c>
      <c r="C44" s="18">
        <f>(3491.0/B44*100)</f>
        <v/>
      </c>
      <c r="D44" s="19" t="n">
        <v>1724</v>
      </c>
      <c r="E44" s="18" t="n">
        <v>38.51842571</v>
      </c>
      <c r="F44" s="20" t="n">
        <v>1.49434487</v>
      </c>
      <c r="G44" s="18" t="n">
        <v>21.98375711</v>
      </c>
      <c r="H44" s="20" t="n">
        <v>1.19859786</v>
      </c>
      <c r="I44" s="18" t="n">
        <v>12.82861328</v>
      </c>
      <c r="J44" s="20" t="n">
        <v>0.96773917</v>
      </c>
      <c r="K44" s="18" t="n">
        <v>0</v>
      </c>
      <c r="L44" s="20" t="n">
        <v>0</v>
      </c>
      <c r="M44" s="18" t="n">
        <v>2.27785012</v>
      </c>
      <c r="N44" s="20" t="n">
        <v>0.40063906</v>
      </c>
      <c r="O44" s="18" t="n">
        <v>0</v>
      </c>
      <c r="P44" s="20" t="n">
        <v>0</v>
      </c>
      <c r="Q44" s="18" t="n">
        <v>0</v>
      </c>
      <c r="R44" s="20" t="n">
        <v>0</v>
      </c>
      <c r="S44" s="18" t="n">
        <v>24.39135379</v>
      </c>
      <c r="T44" s="20" t="n">
        <v>1.73592209</v>
      </c>
    </row>
    <row r="45" spans="1:20">
      <c r="A45" s="15" t="s">
        <v>604</v>
      </c>
      <c r="B45" s="17" t="n">
        <v>5519</v>
      </c>
      <c r="C45" s="18">
        <f>(3684.0/B45*100)</f>
        <v/>
      </c>
      <c r="D45" s="19" t="n">
        <v>1835</v>
      </c>
      <c r="E45" s="18" t="n">
        <v>46.21385574</v>
      </c>
      <c r="F45" s="20" t="n">
        <v>1.31959019</v>
      </c>
      <c r="G45" s="18" t="n">
        <v>20.02548908</v>
      </c>
      <c r="H45" s="20" t="n">
        <v>1.05018103</v>
      </c>
      <c r="I45" s="18" t="n">
        <v>4.61850456</v>
      </c>
      <c r="J45" s="20" t="n">
        <v>0.64759643</v>
      </c>
      <c r="K45" s="18" t="n">
        <v>0</v>
      </c>
      <c r="L45" s="20" t="n">
        <v>0</v>
      </c>
      <c r="M45" s="18" t="n">
        <v>4.9535573</v>
      </c>
      <c r="N45" s="20" t="n">
        <v>0.59215309</v>
      </c>
      <c r="O45" s="18" t="n">
        <v>0.21670928</v>
      </c>
      <c r="P45" s="20" t="n">
        <v>0.1264683</v>
      </c>
      <c r="Q45" s="18" t="n">
        <v>0.11587027</v>
      </c>
      <c r="R45" s="20" t="n">
        <v>0.08587723</v>
      </c>
      <c r="S45" s="18" t="n">
        <v>23.85601377</v>
      </c>
      <c r="T45" s="20" t="n">
        <v>1.22795882</v>
      </c>
    </row>
    <row r="46" spans="1:20">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row>
    <row r="47" spans="1:20">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row>
    <row r="48" spans="1:20">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row>
    <row r="49" spans="1:20">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row>
    <row r="50" spans="1:20">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row>
    <row r="51" spans="1:20">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row>
    <row r="52" spans="1:20">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row>
    <row r="53" spans="1:20">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row>
    <row r="54" spans="1:20">
      <c r="A54" s="15" t="s">
        <v>613</v>
      </c>
      <c r="B54" s="17" t="n">
        <v>5316</v>
      </c>
      <c r="C54" s="18">
        <f>(3517.0/B54*100)</f>
        <v/>
      </c>
      <c r="D54" s="19" t="n">
        <v>1799</v>
      </c>
      <c r="E54" s="18" t="n">
        <v>35.55036822</v>
      </c>
      <c r="F54" s="20" t="n">
        <v>1.14608058</v>
      </c>
      <c r="G54" s="18" t="n">
        <v>14.85352566</v>
      </c>
      <c r="H54" s="20" t="n">
        <v>1.0343166</v>
      </c>
      <c r="I54" s="18" t="n">
        <v>9.36523611</v>
      </c>
      <c r="J54" s="20" t="n">
        <v>0.8372157099999999</v>
      </c>
      <c r="K54" s="18" t="n">
        <v>0</v>
      </c>
      <c r="L54" s="20" t="n">
        <v>0</v>
      </c>
      <c r="M54" s="18" t="n">
        <v>1.91322959</v>
      </c>
      <c r="N54" s="20" t="n">
        <v>0.36484968</v>
      </c>
      <c r="O54" s="18" t="n">
        <v>0</v>
      </c>
      <c r="P54" s="20" t="n">
        <v>0</v>
      </c>
      <c r="Q54" s="18" t="n">
        <v>0.1403429</v>
      </c>
      <c r="R54" s="20" t="n">
        <v>0.0809658</v>
      </c>
      <c r="S54" s="18" t="n">
        <v>38.17729753</v>
      </c>
      <c r="T54" s="20" t="n">
        <v>1.34035743</v>
      </c>
    </row>
    <row r="55" spans="1:20">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row>
    <row r="56" spans="1:20">
      <c r="A56" s="15" t="s">
        <v>615</v>
      </c>
      <c r="B56" s="17" t="n">
        <v>6513</v>
      </c>
      <c r="C56" s="18">
        <f>(4392.0/B56*100)</f>
        <v/>
      </c>
      <c r="D56" s="19" t="n">
        <v>2121</v>
      </c>
      <c r="E56" s="18" t="n">
        <v>68.21668495</v>
      </c>
      <c r="F56" s="20" t="n">
        <v>1.12664352</v>
      </c>
      <c r="G56" s="18" t="n">
        <v>16.6911803</v>
      </c>
      <c r="H56" s="20" t="n">
        <v>0.87197203</v>
      </c>
      <c r="I56" s="18" t="n">
        <v>2.78256369</v>
      </c>
      <c r="J56" s="20" t="n">
        <v>0.35219328</v>
      </c>
      <c r="K56" s="18" t="n">
        <v>0</v>
      </c>
      <c r="L56" s="20" t="n">
        <v>0</v>
      </c>
      <c r="M56" s="18" t="n">
        <v>1.21455505</v>
      </c>
      <c r="N56" s="20" t="n">
        <v>0.32332586</v>
      </c>
      <c r="O56" s="18" t="n">
        <v>0.09217952</v>
      </c>
      <c r="P56" s="20" t="n">
        <v>0.06359359000000001</v>
      </c>
      <c r="Q56" s="18" t="n">
        <v>0</v>
      </c>
      <c r="R56" s="20" t="n">
        <v>0</v>
      </c>
      <c r="S56" s="18" t="n">
        <v>11.00283649</v>
      </c>
      <c r="T56" s="20" t="n">
        <v>1.06055737</v>
      </c>
    </row>
    <row r="57" spans="1:20">
      <c r="A57" s="15" t="s">
        <v>616</v>
      </c>
      <c r="B57" s="17" t="n">
        <v>7267</v>
      </c>
      <c r="C57" s="18">
        <f>(4851.0/B57*100)</f>
        <v/>
      </c>
      <c r="D57" s="19" t="n">
        <v>2416</v>
      </c>
      <c r="E57" s="18" t="n">
        <v>53.70904278</v>
      </c>
      <c r="F57" s="20" t="n">
        <v>1.21455443</v>
      </c>
      <c r="G57" s="18" t="n">
        <v>19.3255043</v>
      </c>
      <c r="H57" s="20" t="n">
        <v>0.81199531</v>
      </c>
      <c r="I57" s="18" t="n">
        <v>9.69856109</v>
      </c>
      <c r="J57" s="20" t="n">
        <v>0.787341</v>
      </c>
      <c r="K57" s="18" t="n">
        <v>0</v>
      </c>
      <c r="L57" s="20" t="n">
        <v>0</v>
      </c>
      <c r="M57" s="18" t="n">
        <v>1.72365315</v>
      </c>
      <c r="N57" s="20" t="n">
        <v>0.38719915</v>
      </c>
      <c r="O57" s="18" t="n">
        <v>0</v>
      </c>
      <c r="P57" s="20" t="n">
        <v>0</v>
      </c>
      <c r="Q57" s="18" t="n">
        <v>0</v>
      </c>
      <c r="R57" s="20" t="n">
        <v>0</v>
      </c>
      <c r="S57" s="18" t="n">
        <v>15.54323867</v>
      </c>
      <c r="T57" s="20" t="n">
        <v>1.1289666</v>
      </c>
    </row>
    <row r="58" spans="1:20">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row>
    <row r="59" spans="1:20">
      <c r="A59" s="15" t="s">
        <v>619</v>
      </c>
      <c r="B59" s="17" t="n">
        <v>4826</v>
      </c>
      <c r="C59" s="18">
        <f>(3238.0/B59*100)</f>
        <v/>
      </c>
      <c r="D59" s="19" t="n">
        <v>1588</v>
      </c>
      <c r="E59" s="18" t="n">
        <v>60.90421063</v>
      </c>
      <c r="F59" s="20" t="n">
        <v>1.26619611</v>
      </c>
      <c r="G59" s="18" t="n">
        <v>11.22130207</v>
      </c>
      <c r="H59" s="20" t="n">
        <v>1.00424022</v>
      </c>
      <c r="I59" s="18" t="n">
        <v>3.52772976</v>
      </c>
      <c r="J59" s="20" t="n">
        <v>0.5628327</v>
      </c>
      <c r="K59" s="18" t="n">
        <v>0</v>
      </c>
      <c r="L59" s="20" t="n">
        <v>0</v>
      </c>
      <c r="M59" s="18" t="n">
        <v>0.35281391</v>
      </c>
      <c r="N59" s="20" t="n">
        <v>0.13168305</v>
      </c>
      <c r="O59" s="18" t="n">
        <v>0.02723961</v>
      </c>
      <c r="P59" s="20" t="n">
        <v>0.02729704</v>
      </c>
      <c r="Q59" s="18" t="n">
        <v>0</v>
      </c>
      <c r="R59" s="20" t="n">
        <v>0</v>
      </c>
      <c r="S59" s="18" t="n">
        <v>23.96670402</v>
      </c>
      <c r="T59" s="20" t="n">
        <v>1.23870988</v>
      </c>
    </row>
    <row r="60" spans="1:20">
      <c r="A60" s="15" t="s">
        <v>620</v>
      </c>
      <c r="B60" s="17" t="n">
        <v>4546</v>
      </c>
      <c r="C60" s="18">
        <f>(3033.0/B60*100)</f>
        <v/>
      </c>
      <c r="D60" s="19" t="n">
        <v>1513</v>
      </c>
      <c r="E60" s="18" t="n">
        <v>34.44452771</v>
      </c>
      <c r="F60" s="20" t="n">
        <v>1.61089109</v>
      </c>
      <c r="G60" s="18" t="n">
        <v>19.80049781</v>
      </c>
      <c r="H60" s="20" t="n">
        <v>1.19545276</v>
      </c>
      <c r="I60" s="18" t="n">
        <v>11.56486557</v>
      </c>
      <c r="J60" s="20" t="n">
        <v>0.92068158</v>
      </c>
      <c r="K60" s="18" t="n">
        <v>0</v>
      </c>
      <c r="L60" s="20" t="n">
        <v>0</v>
      </c>
      <c r="M60" s="18" t="n">
        <v>3.42531498</v>
      </c>
      <c r="N60" s="20" t="n">
        <v>0.54663996</v>
      </c>
      <c r="O60" s="18" t="n">
        <v>0.07158245000000001</v>
      </c>
      <c r="P60" s="20" t="n">
        <v>0.07186363</v>
      </c>
      <c r="Q60" s="18" t="n">
        <v>0.32259022</v>
      </c>
      <c r="R60" s="20" t="n">
        <v>0.1479957</v>
      </c>
      <c r="S60" s="18" t="n">
        <v>30.37062125</v>
      </c>
      <c r="T60" s="20" t="n">
        <v>1.76437064</v>
      </c>
    </row>
    <row r="61" spans="1:20">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row>
    <row r="62" spans="1:20">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row>
    <row r="63" spans="1:20">
      <c r="A63" s="15" t="s">
        <v>623</v>
      </c>
      <c r="B63" s="17" t="n">
        <v>5324</v>
      </c>
      <c r="C63" s="18">
        <f>(3546.0/B63*100)</f>
        <v/>
      </c>
      <c r="D63" s="19" t="n">
        <v>1778</v>
      </c>
      <c r="E63" s="18" t="n">
        <v>34.3797566</v>
      </c>
      <c r="F63" s="20" t="n">
        <v>1.15690111</v>
      </c>
      <c r="G63" s="18" t="n">
        <v>9.67838364</v>
      </c>
      <c r="H63" s="20" t="n">
        <v>0.80722677</v>
      </c>
      <c r="I63" s="18" t="n">
        <v>10.04564054</v>
      </c>
      <c r="J63" s="20" t="n">
        <v>0.76433473</v>
      </c>
      <c r="K63" s="18" t="n">
        <v>0</v>
      </c>
      <c r="L63" s="20" t="n">
        <v>0</v>
      </c>
      <c r="M63" s="18" t="n">
        <v>2.23837301</v>
      </c>
      <c r="N63" s="20" t="n">
        <v>0.37472597</v>
      </c>
      <c r="O63" s="18" t="n">
        <v>0</v>
      </c>
      <c r="P63" s="20" t="n">
        <v>0</v>
      </c>
      <c r="Q63" s="18" t="n">
        <v>0</v>
      </c>
      <c r="R63" s="20" t="n">
        <v>0</v>
      </c>
      <c r="S63" s="18" t="n">
        <v>43.6578462</v>
      </c>
      <c r="T63" s="20" t="n">
        <v>1.26944707</v>
      </c>
    </row>
    <row r="64" spans="1:20">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row>
    <row r="65" spans="1:20">
      <c r="A65" s="15" t="s">
        <v>625</v>
      </c>
      <c r="B65" s="17" t="n">
        <v>3634</v>
      </c>
      <c r="C65" s="18">
        <f>(2433.0/B65*100)</f>
        <v/>
      </c>
      <c r="D65" s="19" t="n">
        <v>1201</v>
      </c>
      <c r="E65" s="18" t="n">
        <v>27.91802325</v>
      </c>
      <c r="F65" s="20" t="n">
        <v>1.18333851</v>
      </c>
      <c r="G65" s="18" t="n">
        <v>22.94448396</v>
      </c>
      <c r="H65" s="20" t="n">
        <v>1.37578448</v>
      </c>
      <c r="I65" s="18" t="n">
        <v>29.1850291</v>
      </c>
      <c r="J65" s="20" t="n">
        <v>1.33345822</v>
      </c>
      <c r="K65" s="18" t="n">
        <v>0</v>
      </c>
      <c r="L65" s="20" t="n">
        <v>0</v>
      </c>
      <c r="M65" s="18" t="n">
        <v>2.94586636</v>
      </c>
      <c r="N65" s="20" t="n">
        <v>0.47633308</v>
      </c>
      <c r="O65" s="18" t="n">
        <v>0</v>
      </c>
      <c r="P65" s="20" t="n">
        <v>0</v>
      </c>
      <c r="Q65" s="18" t="n">
        <v>0.07546037999999999</v>
      </c>
      <c r="R65" s="20" t="n">
        <v>0.07500624</v>
      </c>
      <c r="S65" s="18" t="n">
        <v>16.93113695</v>
      </c>
      <c r="T65" s="20" t="n">
        <v>0.97169806</v>
      </c>
    </row>
    <row r="66" spans="1:20">
      <c r="A66" s="15" t="s">
        <v>626</v>
      </c>
      <c r="B66" s="17" t="n">
        <v>5325</v>
      </c>
      <c r="C66" s="18">
        <f>(3548.0/B66*100)</f>
        <v/>
      </c>
      <c r="D66" s="19" t="n">
        <v>1777</v>
      </c>
      <c r="E66" s="18" t="n">
        <v>34.65036139</v>
      </c>
      <c r="F66" s="20" t="n">
        <v>1.1632877</v>
      </c>
      <c r="G66" s="18" t="n">
        <v>16.6092973</v>
      </c>
      <c r="H66" s="20" t="n">
        <v>1.01908497</v>
      </c>
      <c r="I66" s="18" t="n">
        <v>14.81266351</v>
      </c>
      <c r="J66" s="20" t="n">
        <v>0.88979325</v>
      </c>
      <c r="K66" s="18" t="n">
        <v>0</v>
      </c>
      <c r="L66" s="20" t="n">
        <v>0</v>
      </c>
      <c r="M66" s="18" t="n">
        <v>3.96521758</v>
      </c>
      <c r="N66" s="20" t="n">
        <v>0.55113185</v>
      </c>
      <c r="O66" s="18" t="n">
        <v>0</v>
      </c>
      <c r="P66" s="20" t="n">
        <v>0</v>
      </c>
      <c r="Q66" s="18" t="n">
        <v>0</v>
      </c>
      <c r="R66" s="20" t="n">
        <v>0</v>
      </c>
      <c r="S66" s="18" t="n">
        <v>29.96246022</v>
      </c>
      <c r="T66" s="20" t="n">
        <v>1.12997593</v>
      </c>
    </row>
    <row r="67" spans="1:20">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row>
    <row r="68" spans="1:20">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row>
    <row r="69" spans="1:20">
      <c r="A69" s="15" t="s">
        <v>629</v>
      </c>
      <c r="B69" s="17" t="n">
        <v>1398</v>
      </c>
      <c r="C69" s="18">
        <f>(930.0/B69*100)</f>
        <v/>
      </c>
      <c r="D69" s="19" t="n">
        <v>468</v>
      </c>
      <c r="E69" s="18" t="n">
        <v>40.52619892</v>
      </c>
      <c r="F69" s="20" t="n">
        <v>2.58067157</v>
      </c>
      <c r="G69" s="18" t="n">
        <v>26.6845428</v>
      </c>
      <c r="H69" s="20" t="n">
        <v>2.36286359</v>
      </c>
      <c r="I69" s="18" t="n">
        <v>13.21412917</v>
      </c>
      <c r="J69" s="20" t="n">
        <v>2.1231561</v>
      </c>
      <c r="K69" s="18" t="n">
        <v>0</v>
      </c>
      <c r="L69" s="20" t="n">
        <v>0</v>
      </c>
      <c r="M69" s="18" t="n">
        <v>0.7059924</v>
      </c>
      <c r="N69" s="20" t="n">
        <v>0.30945501</v>
      </c>
      <c r="O69" s="18" t="n">
        <v>0</v>
      </c>
      <c r="P69" s="20" t="n">
        <v>0</v>
      </c>
      <c r="Q69" s="18" t="n">
        <v>0</v>
      </c>
      <c r="R69" s="20" t="n">
        <v>0</v>
      </c>
      <c r="S69" s="18" t="n">
        <v>18.86913671</v>
      </c>
      <c r="T69" s="20" t="n">
        <v>2.80835659</v>
      </c>
    </row>
    <row r="70" spans="1:20">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row>
    <row r="71" spans="1:20">
      <c r="A71" s="15" t="s">
        <v>631</v>
      </c>
      <c r="B71" s="17" t="n">
        <v>4876</v>
      </c>
      <c r="C71" s="18">
        <f>(3249.0/B71*100)</f>
        <v/>
      </c>
      <c r="D71" s="19" t="n">
        <v>1627</v>
      </c>
      <c r="E71" s="18" t="n">
        <v>54.75906727</v>
      </c>
      <c r="F71" s="20" t="n">
        <v>1.48875714</v>
      </c>
      <c r="G71" s="18" t="n">
        <v>28.09165575</v>
      </c>
      <c r="H71" s="20" t="n">
        <v>1.27073923</v>
      </c>
      <c r="I71" s="18" t="n">
        <v>16.5643736</v>
      </c>
      <c r="J71" s="20" t="n">
        <v>1.04141209</v>
      </c>
      <c r="K71" s="18" t="n">
        <v>0</v>
      </c>
      <c r="L71" s="20" t="n">
        <v>0</v>
      </c>
      <c r="M71" s="18" t="n">
        <v>0.06684168</v>
      </c>
      <c r="N71" s="20" t="n">
        <v>0.06673567</v>
      </c>
      <c r="O71" s="18" t="n">
        <v>0</v>
      </c>
      <c r="P71" s="20" t="n">
        <v>0</v>
      </c>
      <c r="Q71" s="18" t="n">
        <v>0</v>
      </c>
      <c r="R71" s="20" t="n">
        <v>0</v>
      </c>
      <c r="S71" s="18" t="n">
        <v>0.5180617</v>
      </c>
      <c r="T71" s="20" t="n">
        <v>0.19638884</v>
      </c>
    </row>
    <row r="72" spans="1:20">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row>
    <row r="73" spans="1:20">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row>
    <row r="74" spans="1:20">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row>
    <row r="75" spans="1:20">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row>
    <row r="76" spans="1:20">
      <c r="A76" s="15" t="s">
        <v>636</v>
      </c>
      <c r="B76" s="17" t="n">
        <v>4692</v>
      </c>
      <c r="C76" s="18">
        <f>(3151.0/B76*100)</f>
        <v/>
      </c>
      <c r="D76" s="19" t="n">
        <v>1541</v>
      </c>
      <c r="E76" s="18" t="n">
        <v>27.48045926</v>
      </c>
      <c r="F76" s="20" t="n">
        <v>1.16874449</v>
      </c>
      <c r="G76" s="18" t="n">
        <v>19.19206551</v>
      </c>
      <c r="H76" s="20" t="n">
        <v>1.14139679</v>
      </c>
      <c r="I76" s="18" t="n">
        <v>17.30349606</v>
      </c>
      <c r="J76" s="20" t="n">
        <v>0.96888748</v>
      </c>
      <c r="K76" s="18" t="n">
        <v>0</v>
      </c>
      <c r="L76" s="20" t="n">
        <v>0</v>
      </c>
      <c r="M76" s="18" t="n">
        <v>5.68706519</v>
      </c>
      <c r="N76" s="20" t="n">
        <v>0.66689565</v>
      </c>
      <c r="O76" s="18" t="n">
        <v>0</v>
      </c>
      <c r="P76" s="20" t="n">
        <v>0</v>
      </c>
      <c r="Q76" s="18" t="n">
        <v>0</v>
      </c>
      <c r="R76" s="20" t="n">
        <v>0</v>
      </c>
      <c r="S76" s="18" t="n">
        <v>30.33691399</v>
      </c>
      <c r="T76" s="20" t="n">
        <v>1.14186525</v>
      </c>
    </row>
    <row r="77" spans="1:20">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row>
    <row r="78" spans="1:20">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row>
    <row r="79" spans="1:20">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row>
    <row r="80" spans="1:20">
      <c r="A80" s="15" t="s">
        <v>640</v>
      </c>
      <c r="B80" s="17" t="n">
        <v>5826</v>
      </c>
      <c r="C80" s="18">
        <f>(3876.0/B80*100)</f>
        <v/>
      </c>
      <c r="D80" s="19" t="n">
        <v>1950</v>
      </c>
      <c r="E80" s="18" t="n">
        <v>49.57834514</v>
      </c>
      <c r="F80" s="20" t="n">
        <v>1.79583133</v>
      </c>
      <c r="G80" s="18" t="n">
        <v>21.5854251</v>
      </c>
      <c r="H80" s="20" t="n">
        <v>1.02685716</v>
      </c>
      <c r="I80" s="18" t="n">
        <v>27.0949264</v>
      </c>
      <c r="J80" s="20" t="n">
        <v>1.44303883</v>
      </c>
      <c r="K80" s="18" t="n">
        <v>0</v>
      </c>
      <c r="L80" s="20" t="n">
        <v>0</v>
      </c>
      <c r="M80" s="18" t="n">
        <v>0</v>
      </c>
      <c r="N80" s="20" t="n">
        <v>0</v>
      </c>
      <c r="O80" s="18" t="n">
        <v>0</v>
      </c>
      <c r="P80" s="20" t="n">
        <v>0</v>
      </c>
      <c r="Q80" s="18" t="n">
        <v>0</v>
      </c>
      <c r="R80" s="20" t="n">
        <v>0</v>
      </c>
      <c r="S80" s="18" t="n">
        <v>1.74130336</v>
      </c>
      <c r="T80" s="20" t="n">
        <v>0.40401898</v>
      </c>
    </row>
    <row r="81" spans="1:20">
      <c r="A81" s="15" t="s">
        <v>641</v>
      </c>
      <c r="B81" s="17" t="n">
        <v>1657</v>
      </c>
      <c r="C81" s="18">
        <f>(1104.0/B81*100)</f>
        <v/>
      </c>
      <c r="D81" s="19" t="n">
        <v>553</v>
      </c>
      <c r="E81" s="18" t="n">
        <v>25.45818724</v>
      </c>
      <c r="F81" s="20" t="n">
        <v>2.26168895</v>
      </c>
      <c r="G81" s="18" t="n">
        <v>30.48168982</v>
      </c>
      <c r="H81" s="20" t="n">
        <v>1.42892401</v>
      </c>
      <c r="I81" s="18" t="n">
        <v>24.98271031</v>
      </c>
      <c r="J81" s="20" t="n">
        <v>2.40314009</v>
      </c>
      <c r="K81" s="18" t="n">
        <v>0</v>
      </c>
      <c r="L81" s="20" t="n">
        <v>0</v>
      </c>
      <c r="M81" s="18" t="n">
        <v>2.16115659</v>
      </c>
      <c r="N81" s="20" t="n">
        <v>0.61959098</v>
      </c>
      <c r="O81" s="18" t="n">
        <v>0</v>
      </c>
      <c r="P81" s="20" t="n">
        <v>0</v>
      </c>
      <c r="Q81" s="18" t="n">
        <v>0</v>
      </c>
      <c r="R81" s="20" t="n">
        <v>0</v>
      </c>
      <c r="S81" s="18" t="n">
        <v>16.91625604</v>
      </c>
      <c r="T81" s="20" t="n">
        <v>1.76718056</v>
      </c>
    </row>
    <row r="82" spans="1:20">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row>
    <row r="83" spans="1:20">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row>
    <row r="84" spans="1:20">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row>
    <row r="86" spans="1:20">
      <c r="A86" s="3" t="s">
        <v>645</v>
      </c>
    </row>
    <row r="87" spans="1:20">
      <c r="A87" s="26" t="s">
        <v>646</v>
      </c>
    </row>
    <row r="88" spans="1:20">
      <c r="A88" s="26" t="s">
        <v>647</v>
      </c>
    </row>
    <row customHeight="1" ht="30" r="89" spans="1:20">
      <c r="A89" s="26" t="s">
        <v>648</v>
      </c>
    </row>
    <row customHeight="1" ht="30" r="90" spans="1:20">
      <c r="A90" s="26" t="s">
        <v>649</v>
      </c>
    </row>
    <row customHeight="1" ht="30" r="91" spans="1:20">
      <c r="A91" s="26" t="s">
        <v>650</v>
      </c>
    </row>
    <row customHeight="1" ht="30" r="92" spans="1:20">
      <c r="A92" s="26" t="s">
        <v>651</v>
      </c>
    </row>
    <row customHeight="1" ht="30" r="93" spans="1:20">
      <c r="A93" s="26" t="s">
        <v>652</v>
      </c>
    </row>
    <row customHeight="1" ht="30" r="94" spans="1:20">
      <c r="A94" s="26" t="s">
        <v>653</v>
      </c>
    </row>
  </sheetData>
  <mergeCells count="18">
    <mergeCell ref="E4:F4"/>
    <mergeCell ref="G4:H4"/>
    <mergeCell ref="I4:J4"/>
    <mergeCell ref="K4:L4"/>
    <mergeCell ref="M4:N4"/>
    <mergeCell ref="O4:P4"/>
    <mergeCell ref="Q4:R4"/>
    <mergeCell ref="S4:T4"/>
    <mergeCell ref="A1:T1"/>
    <mergeCell ref="A2:T2"/>
    <mergeCell ref="A87:T87"/>
    <mergeCell ref="A88:T88"/>
    <mergeCell ref="A89:T89"/>
    <mergeCell ref="A90:T90"/>
    <mergeCell ref="A91:T91"/>
    <mergeCell ref="A92:T92"/>
    <mergeCell ref="A93:T93"/>
    <mergeCell ref="A94:T94"/>
  </mergeCells>
  <pageMargins bottom="1" footer="0.5" header="0.5" left="0.75" right="0.75" top="1"/>
</worksheet>
</file>

<file path=xl/worksheets/sheet22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889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42.09436497</v>
      </c>
      <c r="F44" s="20" t="n">
        <v>1.4928619</v>
      </c>
      <c r="G44" s="18" t="n">
        <v>38.52783254</v>
      </c>
      <c r="H44" s="20" t="n">
        <v>1.73075753</v>
      </c>
      <c r="I44" s="18" t="n">
        <v>0</v>
      </c>
      <c r="J44" s="20" t="n">
        <v>0</v>
      </c>
      <c r="K44" s="18" t="n">
        <v>2.32351</v>
      </c>
      <c r="L44" s="20" t="n">
        <v>0.40330585</v>
      </c>
      <c r="M44" s="18" t="n">
        <v>0</v>
      </c>
      <c r="N44" s="20" t="n">
        <v>0</v>
      </c>
      <c r="O44" s="18" t="n">
        <v>4.92661647</v>
      </c>
      <c r="P44" s="20" t="n">
        <v>0.65738417</v>
      </c>
      <c r="Q44" s="18" t="n">
        <v>12.12767601</v>
      </c>
      <c r="R44" s="20" t="n">
        <v>1.06405463</v>
      </c>
    </row>
    <row r="45" spans="1:18">
      <c r="A45" s="15" t="s">
        <v>604</v>
      </c>
      <c r="B45" s="17" t="n">
        <v>5519</v>
      </c>
      <c r="C45" s="18">
        <f>(3684.0/B45*100)</f>
        <v/>
      </c>
      <c r="D45" s="19" t="n">
        <v>1835</v>
      </c>
      <c r="E45" s="18" t="n">
        <v>46.25324625</v>
      </c>
      <c r="F45" s="20" t="n">
        <v>1.38945454</v>
      </c>
      <c r="G45" s="18" t="n">
        <v>31.88093328</v>
      </c>
      <c r="H45" s="20" t="n">
        <v>1.27194813</v>
      </c>
      <c r="I45" s="18" t="n">
        <v>0</v>
      </c>
      <c r="J45" s="20" t="n">
        <v>0</v>
      </c>
      <c r="K45" s="18" t="n">
        <v>5.0624025</v>
      </c>
      <c r="L45" s="20" t="n">
        <v>0.58096839</v>
      </c>
      <c r="M45" s="18" t="n">
        <v>0.23410104</v>
      </c>
      <c r="N45" s="20" t="n">
        <v>0.1114185</v>
      </c>
      <c r="O45" s="18" t="n">
        <v>6.03099164</v>
      </c>
      <c r="P45" s="20" t="n">
        <v>0.74186696</v>
      </c>
      <c r="Q45" s="18" t="n">
        <v>10.53832529</v>
      </c>
      <c r="R45" s="20" t="n">
        <v>0.6879131000000001</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50.48839357</v>
      </c>
      <c r="F54" s="20" t="n">
        <v>1.21622494</v>
      </c>
      <c r="G54" s="18" t="n">
        <v>39.62527512</v>
      </c>
      <c r="H54" s="20" t="n">
        <v>1.04371587</v>
      </c>
      <c r="I54" s="18" t="n">
        <v>0</v>
      </c>
      <c r="J54" s="20" t="n">
        <v>0</v>
      </c>
      <c r="K54" s="18" t="n">
        <v>1.91322959</v>
      </c>
      <c r="L54" s="20" t="n">
        <v>0.36484968</v>
      </c>
      <c r="M54" s="18" t="n">
        <v>0</v>
      </c>
      <c r="N54" s="20" t="n">
        <v>0</v>
      </c>
      <c r="O54" s="18" t="n">
        <v>1.12166113</v>
      </c>
      <c r="P54" s="20" t="n">
        <v>0.25735294</v>
      </c>
      <c r="Q54" s="18" t="n">
        <v>6.85144058</v>
      </c>
      <c r="R54" s="20" t="n">
        <v>0.61379372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46.74270558</v>
      </c>
      <c r="F56" s="20" t="n">
        <v>1.16335246</v>
      </c>
      <c r="G56" s="18" t="n">
        <v>48.31522125</v>
      </c>
      <c r="H56" s="20" t="n">
        <v>1.20586921</v>
      </c>
      <c r="I56" s="18" t="n">
        <v>0</v>
      </c>
      <c r="J56" s="20" t="n">
        <v>0</v>
      </c>
      <c r="K56" s="18" t="n">
        <v>1.25267398</v>
      </c>
      <c r="L56" s="20" t="n">
        <v>0.33126303</v>
      </c>
      <c r="M56" s="18" t="n">
        <v>0.09217952</v>
      </c>
      <c r="N56" s="20" t="n">
        <v>0.06359359000000001</v>
      </c>
      <c r="O56" s="18" t="n">
        <v>0</v>
      </c>
      <c r="P56" s="20" t="n">
        <v>0</v>
      </c>
      <c r="Q56" s="18" t="n">
        <v>3.59721967</v>
      </c>
      <c r="R56" s="20" t="n">
        <v>0.51225531</v>
      </c>
    </row>
    <row r="57" spans="1:18">
      <c r="A57" s="15" t="s">
        <v>616</v>
      </c>
      <c r="B57" s="17" t="n">
        <v>7267</v>
      </c>
      <c r="C57" s="18">
        <f>(4851.0/B57*100)</f>
        <v/>
      </c>
      <c r="D57" s="19" t="n">
        <v>2416</v>
      </c>
      <c r="E57" s="18" t="n">
        <v>52.10087725</v>
      </c>
      <c r="F57" s="20" t="n">
        <v>1.38249915</v>
      </c>
      <c r="G57" s="18" t="n">
        <v>38.88364192</v>
      </c>
      <c r="H57" s="20" t="n">
        <v>1.34744843</v>
      </c>
      <c r="I57" s="18" t="n">
        <v>0</v>
      </c>
      <c r="J57" s="20" t="n">
        <v>0</v>
      </c>
      <c r="K57" s="18" t="n">
        <v>1.81728265</v>
      </c>
      <c r="L57" s="20" t="n">
        <v>0.38815577</v>
      </c>
      <c r="M57" s="18" t="n">
        <v>0</v>
      </c>
      <c r="N57" s="20" t="n">
        <v>0</v>
      </c>
      <c r="O57" s="18" t="n">
        <v>0.96683327</v>
      </c>
      <c r="P57" s="20" t="n">
        <v>0.21421241</v>
      </c>
      <c r="Q57" s="18" t="n">
        <v>6.23136491</v>
      </c>
      <c r="R57" s="20" t="n">
        <v>0.55262998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57.89712397</v>
      </c>
      <c r="F59" s="20" t="n">
        <v>1.52103487</v>
      </c>
      <c r="G59" s="18" t="n">
        <v>33.25227734</v>
      </c>
      <c r="H59" s="20" t="n">
        <v>1.56011805</v>
      </c>
      <c r="I59" s="18" t="n">
        <v>0</v>
      </c>
      <c r="J59" s="20" t="n">
        <v>0</v>
      </c>
      <c r="K59" s="18" t="n">
        <v>0.35281391</v>
      </c>
      <c r="L59" s="20" t="n">
        <v>0.13168305</v>
      </c>
      <c r="M59" s="18" t="n">
        <v>0.42766796</v>
      </c>
      <c r="N59" s="20" t="n">
        <v>0.21758307</v>
      </c>
      <c r="O59" s="18" t="n">
        <v>4.41264331</v>
      </c>
      <c r="P59" s="20" t="n">
        <v>0.66473075</v>
      </c>
      <c r="Q59" s="18" t="n">
        <v>3.65747351</v>
      </c>
      <c r="R59" s="20" t="n">
        <v>0.53280709</v>
      </c>
    </row>
    <row r="60" spans="1:18">
      <c r="A60" s="15" t="s">
        <v>620</v>
      </c>
      <c r="B60" s="17" t="n">
        <v>4546</v>
      </c>
      <c r="C60" s="18">
        <f>(3033.0/B60*100)</f>
        <v/>
      </c>
      <c r="D60" s="19" t="n">
        <v>1513</v>
      </c>
      <c r="E60" s="18" t="n">
        <v>42.5971289</v>
      </c>
      <c r="F60" s="20" t="n">
        <v>1.6876554</v>
      </c>
      <c r="G60" s="18" t="n">
        <v>36.61923286</v>
      </c>
      <c r="H60" s="20" t="n">
        <v>1.55592241</v>
      </c>
      <c r="I60" s="18" t="n">
        <v>0</v>
      </c>
      <c r="J60" s="20" t="n">
        <v>0</v>
      </c>
      <c r="K60" s="18" t="n">
        <v>3.4976161</v>
      </c>
      <c r="L60" s="20" t="n">
        <v>0.55155784</v>
      </c>
      <c r="M60" s="18" t="n">
        <v>0</v>
      </c>
      <c r="N60" s="20" t="n">
        <v>0</v>
      </c>
      <c r="O60" s="18" t="n">
        <v>5.06896925</v>
      </c>
      <c r="P60" s="20" t="n">
        <v>0.72457834</v>
      </c>
      <c r="Q60" s="18" t="n">
        <v>12.21705289</v>
      </c>
      <c r="R60" s="20" t="n">
        <v>0.98991474</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57.76399997</v>
      </c>
      <c r="F63" s="20" t="n">
        <v>1.09729501</v>
      </c>
      <c r="G63" s="18" t="n">
        <v>24.1407404</v>
      </c>
      <c r="H63" s="20" t="n">
        <v>0.92988403</v>
      </c>
      <c r="I63" s="18" t="n">
        <v>0</v>
      </c>
      <c r="J63" s="20" t="n">
        <v>0</v>
      </c>
      <c r="K63" s="18" t="n">
        <v>2.36565237</v>
      </c>
      <c r="L63" s="20" t="n">
        <v>0.37979179</v>
      </c>
      <c r="M63" s="18" t="n">
        <v>0</v>
      </c>
      <c r="N63" s="20" t="n">
        <v>0</v>
      </c>
      <c r="O63" s="18" t="n">
        <v>2.51418866</v>
      </c>
      <c r="P63" s="20" t="n">
        <v>0.32563047</v>
      </c>
      <c r="Q63" s="18" t="n">
        <v>13.21541861</v>
      </c>
      <c r="R63" s="20" t="n">
        <v>0.82208421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34.23469151</v>
      </c>
      <c r="F65" s="20" t="n">
        <v>1.44268769</v>
      </c>
      <c r="G65" s="18" t="n">
        <v>48.27607477</v>
      </c>
      <c r="H65" s="20" t="n">
        <v>1.4582645</v>
      </c>
      <c r="I65" s="18" t="n">
        <v>0</v>
      </c>
      <c r="J65" s="20" t="n">
        <v>0</v>
      </c>
      <c r="K65" s="18" t="n">
        <v>2.94586636</v>
      </c>
      <c r="L65" s="20" t="n">
        <v>0.47633308</v>
      </c>
      <c r="M65" s="18" t="n">
        <v>0</v>
      </c>
      <c r="N65" s="20" t="n">
        <v>0</v>
      </c>
      <c r="O65" s="18" t="n">
        <v>8.400933480000001</v>
      </c>
      <c r="P65" s="20" t="n">
        <v>0.72219076</v>
      </c>
      <c r="Q65" s="18" t="n">
        <v>6.14243389</v>
      </c>
      <c r="R65" s="20" t="n">
        <v>0.7759576</v>
      </c>
    </row>
    <row r="66" spans="1:18">
      <c r="A66" s="15" t="s">
        <v>626</v>
      </c>
      <c r="B66" s="17" t="n">
        <v>5325</v>
      </c>
      <c r="C66" s="18">
        <f>(3548.0/B66*100)</f>
        <v/>
      </c>
      <c r="D66" s="19" t="n">
        <v>1777</v>
      </c>
      <c r="E66" s="18" t="n">
        <v>47.4294487</v>
      </c>
      <c r="F66" s="20" t="n">
        <v>1.24906881</v>
      </c>
      <c r="G66" s="18" t="n">
        <v>31.00082164</v>
      </c>
      <c r="H66" s="20" t="n">
        <v>1.24471724</v>
      </c>
      <c r="I66" s="18" t="n">
        <v>0</v>
      </c>
      <c r="J66" s="20" t="n">
        <v>0</v>
      </c>
      <c r="K66" s="18" t="n">
        <v>3.97540338</v>
      </c>
      <c r="L66" s="20" t="n">
        <v>0.55432147</v>
      </c>
      <c r="M66" s="18" t="n">
        <v>6.52057721</v>
      </c>
      <c r="N66" s="20" t="n">
        <v>0.7054896899999999</v>
      </c>
      <c r="O66" s="18" t="n">
        <v>0</v>
      </c>
      <c r="P66" s="20" t="n">
        <v>0</v>
      </c>
      <c r="Q66" s="18" t="n">
        <v>11.07374906</v>
      </c>
      <c r="R66" s="20" t="n">
        <v>0.71219354</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46.9053422</v>
      </c>
      <c r="F69" s="20" t="n">
        <v>2.01406485</v>
      </c>
      <c r="G69" s="18" t="n">
        <v>49.512952</v>
      </c>
      <c r="H69" s="20" t="n">
        <v>2.5648477</v>
      </c>
      <c r="I69" s="18" t="n">
        <v>0</v>
      </c>
      <c r="J69" s="20" t="n">
        <v>0</v>
      </c>
      <c r="K69" s="18" t="n">
        <v>0.7059924</v>
      </c>
      <c r="L69" s="20" t="n">
        <v>0.30945501</v>
      </c>
      <c r="M69" s="18" t="n">
        <v>0</v>
      </c>
      <c r="N69" s="20" t="n">
        <v>0</v>
      </c>
      <c r="O69" s="18" t="n">
        <v>0.13860564</v>
      </c>
      <c r="P69" s="20" t="n">
        <v>0.13912487</v>
      </c>
      <c r="Q69" s="18" t="n">
        <v>2.73710776</v>
      </c>
      <c r="R69" s="20" t="n">
        <v>1.02868305</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58.20956167</v>
      </c>
      <c r="F71" s="20" t="n">
        <v>1.54441851</v>
      </c>
      <c r="G71" s="18" t="n">
        <v>41.67456199</v>
      </c>
      <c r="H71" s="20" t="n">
        <v>1.54608275</v>
      </c>
      <c r="I71" s="18" t="n">
        <v>0</v>
      </c>
      <c r="J71" s="20" t="n">
        <v>0</v>
      </c>
      <c r="K71" s="18" t="n">
        <v>0.06684168</v>
      </c>
      <c r="L71" s="20" t="n">
        <v>0.06673567</v>
      </c>
      <c r="M71" s="18" t="n">
        <v>0</v>
      </c>
      <c r="N71" s="20" t="n">
        <v>0</v>
      </c>
      <c r="O71" s="18" t="n">
        <v>0</v>
      </c>
      <c r="P71" s="20" t="n">
        <v>0</v>
      </c>
      <c r="Q71" s="18" t="n">
        <v>0.04903466</v>
      </c>
      <c r="R71" s="20" t="n">
        <v>0.04912758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41.94477837</v>
      </c>
      <c r="F76" s="20" t="n">
        <v>1.53905245</v>
      </c>
      <c r="G76" s="18" t="n">
        <v>39.46511755</v>
      </c>
      <c r="H76" s="20" t="n">
        <v>1.377772</v>
      </c>
      <c r="I76" s="18" t="n">
        <v>0</v>
      </c>
      <c r="J76" s="20" t="n">
        <v>0</v>
      </c>
      <c r="K76" s="18" t="n">
        <v>5.98178751</v>
      </c>
      <c r="L76" s="20" t="n">
        <v>0.70842366</v>
      </c>
      <c r="M76" s="18" t="n">
        <v>0</v>
      </c>
      <c r="N76" s="20" t="n">
        <v>0</v>
      </c>
      <c r="O76" s="18" t="n">
        <v>0.62518672</v>
      </c>
      <c r="P76" s="20" t="n">
        <v>0.19893681</v>
      </c>
      <c r="Q76" s="18" t="n">
        <v>11.98312986</v>
      </c>
      <c r="R76" s="20" t="n">
        <v>0.90794222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22.49629544</v>
      </c>
      <c r="F80" s="20" t="n">
        <v>1.24562</v>
      </c>
      <c r="G80" s="18" t="n">
        <v>77.46587046</v>
      </c>
      <c r="H80" s="20" t="n">
        <v>1.24642194</v>
      </c>
      <c r="I80" s="18" t="n">
        <v>0</v>
      </c>
      <c r="J80" s="20" t="n">
        <v>0</v>
      </c>
      <c r="K80" s="18" t="n">
        <v>0</v>
      </c>
      <c r="L80" s="20" t="n">
        <v>0</v>
      </c>
      <c r="M80" s="18" t="n">
        <v>0</v>
      </c>
      <c r="N80" s="20" t="n">
        <v>0</v>
      </c>
      <c r="O80" s="18" t="n">
        <v>0</v>
      </c>
      <c r="P80" s="20" t="n">
        <v>0</v>
      </c>
      <c r="Q80" s="18" t="n">
        <v>0.03783409</v>
      </c>
      <c r="R80" s="20" t="n">
        <v>0.03791505</v>
      </c>
    </row>
    <row r="81" spans="1:18">
      <c r="A81" s="15" t="s">
        <v>641</v>
      </c>
      <c r="B81" s="17" t="n">
        <v>1657</v>
      </c>
      <c r="C81" s="18">
        <f>(1104.0/B81*100)</f>
        <v/>
      </c>
      <c r="D81" s="19" t="n">
        <v>553</v>
      </c>
      <c r="E81" s="18" t="n">
        <v>23.17649177</v>
      </c>
      <c r="F81" s="20" t="n">
        <v>2.02588405</v>
      </c>
      <c r="G81" s="18" t="n">
        <v>62.79149353</v>
      </c>
      <c r="H81" s="20" t="n">
        <v>2.68190903</v>
      </c>
      <c r="I81" s="18" t="n">
        <v>0</v>
      </c>
      <c r="J81" s="20" t="n">
        <v>0</v>
      </c>
      <c r="K81" s="18" t="n">
        <v>2.24115212</v>
      </c>
      <c r="L81" s="20" t="n">
        <v>0.63814643</v>
      </c>
      <c r="M81" s="18" t="n">
        <v>0</v>
      </c>
      <c r="N81" s="20" t="n">
        <v>0</v>
      </c>
      <c r="O81" s="18" t="n">
        <v>4.35963921</v>
      </c>
      <c r="P81" s="20" t="n">
        <v>1.16033908</v>
      </c>
      <c r="Q81" s="18" t="n">
        <v>7.43122338</v>
      </c>
      <c r="R81" s="20" t="n">
        <v>1.70245167</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54.13370548</v>
      </c>
      <c r="F44" s="20" t="n">
        <v>1.48733695</v>
      </c>
      <c r="G44" s="18" t="n">
        <v>26.4550283</v>
      </c>
      <c r="H44" s="20" t="n">
        <v>1.1158668</v>
      </c>
      <c r="I44" s="18" t="n">
        <v>0</v>
      </c>
      <c r="J44" s="20" t="n">
        <v>0</v>
      </c>
      <c r="K44" s="18" t="n">
        <v>2.41872622</v>
      </c>
      <c r="L44" s="20" t="n">
        <v>0.41666518</v>
      </c>
      <c r="M44" s="18" t="n">
        <v>0</v>
      </c>
      <c r="N44" s="20" t="n">
        <v>0</v>
      </c>
      <c r="O44" s="18" t="n">
        <v>2.08589763</v>
      </c>
      <c r="P44" s="20" t="n">
        <v>0.47289087</v>
      </c>
      <c r="Q44" s="18" t="n">
        <v>14.90664237</v>
      </c>
      <c r="R44" s="20" t="n">
        <v>1.24880529</v>
      </c>
    </row>
    <row r="45" spans="1:18">
      <c r="A45" s="15" t="s">
        <v>604</v>
      </c>
      <c r="B45" s="17" t="n">
        <v>5519</v>
      </c>
      <c r="C45" s="18">
        <f>(3684.0/B45*100)</f>
        <v/>
      </c>
      <c r="D45" s="19" t="n">
        <v>1835</v>
      </c>
      <c r="E45" s="18" t="n">
        <v>61.53877466</v>
      </c>
      <c r="F45" s="20" t="n">
        <v>1.32004095</v>
      </c>
      <c r="G45" s="18" t="n">
        <v>16.70090501</v>
      </c>
      <c r="H45" s="20" t="n">
        <v>0.94703571</v>
      </c>
      <c r="I45" s="18" t="n">
        <v>0</v>
      </c>
      <c r="J45" s="20" t="n">
        <v>0</v>
      </c>
      <c r="K45" s="18" t="n">
        <v>5.31113741</v>
      </c>
      <c r="L45" s="20" t="n">
        <v>0.58924291</v>
      </c>
      <c r="M45" s="18" t="n">
        <v>0.17819196</v>
      </c>
      <c r="N45" s="20" t="n">
        <v>0.09972391</v>
      </c>
      <c r="O45" s="18" t="n">
        <v>3.75096301</v>
      </c>
      <c r="P45" s="20" t="n">
        <v>0.59797356</v>
      </c>
      <c r="Q45" s="18" t="n">
        <v>12.52002795</v>
      </c>
      <c r="R45" s="20" t="n">
        <v>0.83806612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63.32817078</v>
      </c>
      <c r="F54" s="20" t="n">
        <v>1.2999401</v>
      </c>
      <c r="G54" s="18" t="n">
        <v>25.49466151</v>
      </c>
      <c r="H54" s="20" t="n">
        <v>1.14952539</v>
      </c>
      <c r="I54" s="18" t="n">
        <v>0</v>
      </c>
      <c r="J54" s="20" t="n">
        <v>0</v>
      </c>
      <c r="K54" s="18" t="n">
        <v>2.08671116</v>
      </c>
      <c r="L54" s="20" t="n">
        <v>0.37442848</v>
      </c>
      <c r="M54" s="18" t="n">
        <v>0</v>
      </c>
      <c r="N54" s="20" t="n">
        <v>0</v>
      </c>
      <c r="O54" s="18" t="n">
        <v>0.5013903</v>
      </c>
      <c r="P54" s="20" t="n">
        <v>0.19115824</v>
      </c>
      <c r="Q54" s="18" t="n">
        <v>8.589066239999999</v>
      </c>
      <c r="R54" s="20" t="n">
        <v>0.66597882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65.62435545</v>
      </c>
      <c r="F56" s="20" t="n">
        <v>1.11965064</v>
      </c>
      <c r="G56" s="18" t="n">
        <v>29.85963391</v>
      </c>
      <c r="H56" s="20" t="n">
        <v>1.03381331</v>
      </c>
      <c r="I56" s="18" t="n">
        <v>0</v>
      </c>
      <c r="J56" s="20" t="n">
        <v>0</v>
      </c>
      <c r="K56" s="18" t="n">
        <v>1.30589501</v>
      </c>
      <c r="L56" s="20" t="n">
        <v>0.34028336</v>
      </c>
      <c r="M56" s="18" t="n">
        <v>0.09217952</v>
      </c>
      <c r="N56" s="20" t="n">
        <v>0.06359359000000001</v>
      </c>
      <c r="O56" s="18" t="n">
        <v>0</v>
      </c>
      <c r="P56" s="20" t="n">
        <v>0</v>
      </c>
      <c r="Q56" s="18" t="n">
        <v>3.11793611</v>
      </c>
      <c r="R56" s="20" t="n">
        <v>0.48678113</v>
      </c>
    </row>
    <row r="57" spans="1:18">
      <c r="A57" s="15" t="s">
        <v>616</v>
      </c>
      <c r="B57" s="17" t="n">
        <v>7267</v>
      </c>
      <c r="C57" s="18">
        <f>(4851.0/B57*100)</f>
        <v/>
      </c>
      <c r="D57" s="19" t="n">
        <v>2416</v>
      </c>
      <c r="E57" s="18" t="n">
        <v>67.83682975000001</v>
      </c>
      <c r="F57" s="20" t="n">
        <v>1.17416201</v>
      </c>
      <c r="G57" s="18" t="n">
        <v>21.53465371</v>
      </c>
      <c r="H57" s="20" t="n">
        <v>1.05188867</v>
      </c>
      <c r="I57" s="18" t="n">
        <v>0</v>
      </c>
      <c r="J57" s="20" t="n">
        <v>0</v>
      </c>
      <c r="K57" s="18" t="n">
        <v>2.22331804</v>
      </c>
      <c r="L57" s="20" t="n">
        <v>0.45070523</v>
      </c>
      <c r="M57" s="18" t="n">
        <v>0</v>
      </c>
      <c r="N57" s="20" t="n">
        <v>0</v>
      </c>
      <c r="O57" s="18" t="n">
        <v>0.97690029</v>
      </c>
      <c r="P57" s="20" t="n">
        <v>0.2297965</v>
      </c>
      <c r="Q57" s="18" t="n">
        <v>7.42829822</v>
      </c>
      <c r="R57" s="20" t="n">
        <v>0.63811481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66.48833727</v>
      </c>
      <c r="F59" s="20" t="n">
        <v>1.55460828</v>
      </c>
      <c r="G59" s="18" t="n">
        <v>24.53330429</v>
      </c>
      <c r="H59" s="20" t="n">
        <v>1.50280606</v>
      </c>
      <c r="I59" s="18" t="n">
        <v>0</v>
      </c>
      <c r="J59" s="20" t="n">
        <v>0</v>
      </c>
      <c r="K59" s="18" t="n">
        <v>0.35281391</v>
      </c>
      <c r="L59" s="20" t="n">
        <v>0.13168305</v>
      </c>
      <c r="M59" s="18" t="n">
        <v>0.17801797</v>
      </c>
      <c r="N59" s="20" t="n">
        <v>0.103974</v>
      </c>
      <c r="O59" s="18" t="n">
        <v>2.11539946</v>
      </c>
      <c r="P59" s="20" t="n">
        <v>0.41867555</v>
      </c>
      <c r="Q59" s="18" t="n">
        <v>6.33212711</v>
      </c>
      <c r="R59" s="20" t="n">
        <v>0.75168821</v>
      </c>
    </row>
    <row r="60" spans="1:18">
      <c r="A60" s="15" t="s">
        <v>620</v>
      </c>
      <c r="B60" s="17" t="n">
        <v>4546</v>
      </c>
      <c r="C60" s="18">
        <f>(3033.0/B60*100)</f>
        <v/>
      </c>
      <c r="D60" s="19" t="n">
        <v>1513</v>
      </c>
      <c r="E60" s="18" t="n">
        <v>52.9704016</v>
      </c>
      <c r="F60" s="20" t="n">
        <v>1.72400318</v>
      </c>
      <c r="G60" s="18" t="n">
        <v>25.84303861</v>
      </c>
      <c r="H60" s="20" t="n">
        <v>1.58876294</v>
      </c>
      <c r="I60" s="18" t="n">
        <v>0</v>
      </c>
      <c r="J60" s="20" t="n">
        <v>0</v>
      </c>
      <c r="K60" s="18" t="n">
        <v>3.73269524</v>
      </c>
      <c r="L60" s="20" t="n">
        <v>0.55471824</v>
      </c>
      <c r="M60" s="18" t="n">
        <v>0</v>
      </c>
      <c r="N60" s="20" t="n">
        <v>0</v>
      </c>
      <c r="O60" s="18" t="n">
        <v>3.67105301</v>
      </c>
      <c r="P60" s="20" t="n">
        <v>0.59845177</v>
      </c>
      <c r="Q60" s="18" t="n">
        <v>13.78281155</v>
      </c>
      <c r="R60" s="20" t="n">
        <v>1.03180371</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53.44452017</v>
      </c>
      <c r="F63" s="20" t="n">
        <v>1.23067742</v>
      </c>
      <c r="G63" s="18" t="n">
        <v>29.52699159</v>
      </c>
      <c r="H63" s="20" t="n">
        <v>1.17264069</v>
      </c>
      <c r="I63" s="18" t="n">
        <v>0</v>
      </c>
      <c r="J63" s="20" t="n">
        <v>0</v>
      </c>
      <c r="K63" s="18" t="n">
        <v>2.53068682</v>
      </c>
      <c r="L63" s="20" t="n">
        <v>0.42073201</v>
      </c>
      <c r="M63" s="18" t="n">
        <v>0</v>
      </c>
      <c r="N63" s="20" t="n">
        <v>0</v>
      </c>
      <c r="O63" s="18" t="n">
        <v>0.88217702</v>
      </c>
      <c r="P63" s="20" t="n">
        <v>0.25298901</v>
      </c>
      <c r="Q63" s="18" t="n">
        <v>13.6156244</v>
      </c>
      <c r="R63" s="20" t="n">
        <v>0.79116081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52.48219066</v>
      </c>
      <c r="F65" s="20" t="n">
        <v>1.36941866</v>
      </c>
      <c r="G65" s="18" t="n">
        <v>34.85095397</v>
      </c>
      <c r="H65" s="20" t="n">
        <v>1.41274768</v>
      </c>
      <c r="I65" s="18" t="n">
        <v>0</v>
      </c>
      <c r="J65" s="20" t="n">
        <v>0</v>
      </c>
      <c r="K65" s="18" t="n">
        <v>3.2053163</v>
      </c>
      <c r="L65" s="20" t="n">
        <v>0.49671187</v>
      </c>
      <c r="M65" s="18" t="n">
        <v>0</v>
      </c>
      <c r="N65" s="20" t="n">
        <v>0</v>
      </c>
      <c r="O65" s="18" t="n">
        <v>2.38826752</v>
      </c>
      <c r="P65" s="20" t="n">
        <v>0.44569892</v>
      </c>
      <c r="Q65" s="18" t="n">
        <v>7.07327155</v>
      </c>
      <c r="R65" s="20" t="n">
        <v>0.79164388</v>
      </c>
    </row>
    <row r="66" spans="1:18">
      <c r="A66" s="15" t="s">
        <v>626</v>
      </c>
      <c r="B66" s="17" t="n">
        <v>5325</v>
      </c>
      <c r="C66" s="18">
        <f>(3548.0/B66*100)</f>
        <v/>
      </c>
      <c r="D66" s="19" t="n">
        <v>1777</v>
      </c>
      <c r="E66" s="18" t="n">
        <v>56.80933524</v>
      </c>
      <c r="F66" s="20" t="n">
        <v>1.37291984</v>
      </c>
      <c r="G66" s="18" t="n">
        <v>24.58108987</v>
      </c>
      <c r="H66" s="20" t="n">
        <v>1.2095219</v>
      </c>
      <c r="I66" s="18" t="n">
        <v>0</v>
      </c>
      <c r="J66" s="20" t="n">
        <v>0</v>
      </c>
      <c r="K66" s="18" t="n">
        <v>4.16971067</v>
      </c>
      <c r="L66" s="20" t="n">
        <v>0.5449910100000001</v>
      </c>
      <c r="M66" s="18" t="n">
        <v>3.22709833</v>
      </c>
      <c r="N66" s="20" t="n">
        <v>0.49506322</v>
      </c>
      <c r="O66" s="18" t="n">
        <v>0.15038887</v>
      </c>
      <c r="P66" s="20" t="n">
        <v>0.15474662</v>
      </c>
      <c r="Q66" s="18" t="n">
        <v>11.06237702</v>
      </c>
      <c r="R66" s="20" t="n">
        <v>0.75323172</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78.68422571000001</v>
      </c>
      <c r="F69" s="20" t="n">
        <v>1.96214701</v>
      </c>
      <c r="G69" s="18" t="n">
        <v>18.27325327</v>
      </c>
      <c r="H69" s="20" t="n">
        <v>2.23369382</v>
      </c>
      <c r="I69" s="18" t="n">
        <v>0</v>
      </c>
      <c r="J69" s="20" t="n">
        <v>0</v>
      </c>
      <c r="K69" s="18" t="n">
        <v>0.7059924</v>
      </c>
      <c r="L69" s="20" t="n">
        <v>0.30945501</v>
      </c>
      <c r="M69" s="18" t="n">
        <v>0</v>
      </c>
      <c r="N69" s="20" t="n">
        <v>0</v>
      </c>
      <c r="O69" s="18" t="n">
        <v>0</v>
      </c>
      <c r="P69" s="20" t="n">
        <v>0</v>
      </c>
      <c r="Q69" s="18" t="n">
        <v>2.33652861</v>
      </c>
      <c r="R69" s="20" t="n">
        <v>0.9526682400000001</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70.09426285000001</v>
      </c>
      <c r="F71" s="20" t="n">
        <v>1.27481131</v>
      </c>
      <c r="G71" s="18" t="n">
        <v>29.78986081</v>
      </c>
      <c r="H71" s="20" t="n">
        <v>1.27922092</v>
      </c>
      <c r="I71" s="18" t="n">
        <v>0</v>
      </c>
      <c r="J71" s="20" t="n">
        <v>0</v>
      </c>
      <c r="K71" s="18" t="n">
        <v>0.06684168</v>
      </c>
      <c r="L71" s="20" t="n">
        <v>0.06673567</v>
      </c>
      <c r="M71" s="18" t="n">
        <v>0</v>
      </c>
      <c r="N71" s="20" t="n">
        <v>0</v>
      </c>
      <c r="O71" s="18" t="n">
        <v>0</v>
      </c>
      <c r="P71" s="20" t="n">
        <v>0</v>
      </c>
      <c r="Q71" s="18" t="n">
        <v>0.04903466</v>
      </c>
      <c r="R71" s="20" t="n">
        <v>0.04912758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55.15572134</v>
      </c>
      <c r="F76" s="20" t="n">
        <v>1.32771635</v>
      </c>
      <c r="G76" s="18" t="n">
        <v>25.64286804</v>
      </c>
      <c r="H76" s="20" t="n">
        <v>1.21096315</v>
      </c>
      <c r="I76" s="18" t="n">
        <v>0</v>
      </c>
      <c r="J76" s="20" t="n">
        <v>0</v>
      </c>
      <c r="K76" s="18" t="n">
        <v>6.3611704</v>
      </c>
      <c r="L76" s="20" t="n">
        <v>0.7531228599999999</v>
      </c>
      <c r="M76" s="18" t="n">
        <v>0</v>
      </c>
      <c r="N76" s="20" t="n">
        <v>0</v>
      </c>
      <c r="O76" s="18" t="n">
        <v>0.08590217999999999</v>
      </c>
      <c r="P76" s="20" t="n">
        <v>0.06109056</v>
      </c>
      <c r="Q76" s="18" t="n">
        <v>12.75433804</v>
      </c>
      <c r="R76" s="20" t="n">
        <v>0.83746565</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45.80318341</v>
      </c>
      <c r="F80" s="20" t="n">
        <v>1.30827177</v>
      </c>
      <c r="G80" s="18" t="n">
        <v>54.16716684</v>
      </c>
      <c r="H80" s="20" t="n">
        <v>1.31023311</v>
      </c>
      <c r="I80" s="18" t="n">
        <v>0</v>
      </c>
      <c r="J80" s="20" t="n">
        <v>0</v>
      </c>
      <c r="K80" s="18" t="n">
        <v>0</v>
      </c>
      <c r="L80" s="20" t="n">
        <v>0</v>
      </c>
      <c r="M80" s="18" t="n">
        <v>0</v>
      </c>
      <c r="N80" s="20" t="n">
        <v>0</v>
      </c>
      <c r="O80" s="18" t="n">
        <v>0</v>
      </c>
      <c r="P80" s="20" t="n">
        <v>0</v>
      </c>
      <c r="Q80" s="18" t="n">
        <v>0.02964974</v>
      </c>
      <c r="R80" s="20" t="n">
        <v>0.02971845</v>
      </c>
    </row>
    <row r="81" spans="1:18">
      <c r="A81" s="15" t="s">
        <v>641</v>
      </c>
      <c r="B81" s="17" t="n">
        <v>1657</v>
      </c>
      <c r="C81" s="18">
        <f>(1104.0/B81*100)</f>
        <v/>
      </c>
      <c r="D81" s="19" t="n">
        <v>553</v>
      </c>
      <c r="E81" s="18" t="n">
        <v>64.49516743</v>
      </c>
      <c r="F81" s="20" t="n">
        <v>2.13815646</v>
      </c>
      <c r="G81" s="18" t="n">
        <v>23.15753689</v>
      </c>
      <c r="H81" s="20" t="n">
        <v>1.66146695</v>
      </c>
      <c r="I81" s="18" t="n">
        <v>0</v>
      </c>
      <c r="J81" s="20" t="n">
        <v>0</v>
      </c>
      <c r="K81" s="18" t="n">
        <v>2.42375696</v>
      </c>
      <c r="L81" s="20" t="n">
        <v>0.66025005</v>
      </c>
      <c r="M81" s="18" t="n">
        <v>0</v>
      </c>
      <c r="N81" s="20" t="n">
        <v>0</v>
      </c>
      <c r="O81" s="18" t="n">
        <v>0.37625096</v>
      </c>
      <c r="P81" s="20" t="n">
        <v>0.25446262</v>
      </c>
      <c r="Q81" s="18" t="n">
        <v>9.547287770000001</v>
      </c>
      <c r="R81" s="20" t="n">
        <v>1.80961098</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5.xml><?xml version="1.0" encoding="utf-8"?>
<worksheet xmlns="http://schemas.openxmlformats.org/spreadsheetml/2006/main">
  <sheetPr>
    <outlinePr summaryBelow="1" summaryRight="1"/>
    <pageSetUpPr/>
  </sheetPr>
  <dimension ref="A1:Z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6">
      <c r="A1" s="4" t="s">
        <v>549</v>
      </c>
    </row>
    <row r="2" spans="1:26">
      <c r="A2" s="5" t="s">
        <v>891</v>
      </c>
    </row>
    <row customHeight="1" ht="30" r="4" spans="1:26">
      <c r="A4" s="6" t="n"/>
      <c r="B4" s="7" t="s">
        <v>551</v>
      </c>
      <c r="C4" s="7" t="s">
        <v>552</v>
      </c>
      <c r="D4" s="8" t="s">
        <v>551</v>
      </c>
      <c r="E4" s="9" t="s">
        <v>655</v>
      </c>
      <c r="F4" s="10" t="n"/>
      <c r="G4" s="9" t="s">
        <v>656</v>
      </c>
      <c r="H4" s="10" t="n"/>
      <c r="I4" s="9" t="s">
        <v>701</v>
      </c>
      <c r="J4" s="10" t="n"/>
      <c r="K4" s="9" t="s">
        <v>853</v>
      </c>
      <c r="L4" s="10" t="n"/>
      <c r="M4" s="9" t="s">
        <v>657</v>
      </c>
      <c r="N4" s="10" t="n"/>
      <c r="O4" s="9" t="s">
        <v>658</v>
      </c>
      <c r="P4" s="10" t="n"/>
      <c r="Q4" s="9" t="s">
        <v>555</v>
      </c>
      <c r="R4" s="10" t="n"/>
      <c r="S4" s="9" t="s">
        <v>556</v>
      </c>
      <c r="T4" s="10" t="n"/>
      <c r="U4" s="9" t="s">
        <v>557</v>
      </c>
      <c r="V4" s="10" t="n"/>
      <c r="W4" s="9" t="s">
        <v>558</v>
      </c>
      <c r="X4" s="10" t="n"/>
      <c r="Y4" s="9" t="s">
        <v>559</v>
      </c>
      <c r="Z4" s="10" t="n"/>
    </row>
    <row r="5" spans="1:26">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c r="Y5" s="12" t="s">
        <v>561</v>
      </c>
      <c r="Z5" s="11" t="s">
        <v>563</v>
      </c>
    </row>
    <row r="6" spans="1:26">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6" t="n"/>
    </row>
    <row r="7" spans="1:26">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c r="W7" s="18" t="s">
        <v>603</v>
      </c>
      <c r="X7" s="20" t="s">
        <v>603</v>
      </c>
      <c r="Y7" s="18" t="s">
        <v>603</v>
      </c>
      <c r="Z7" s="20" t="s">
        <v>603</v>
      </c>
    </row>
    <row r="8" spans="1:26">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c r="W8" s="18" t="s">
        <v>603</v>
      </c>
      <c r="X8" s="20" t="s">
        <v>603</v>
      </c>
      <c r="Y8" s="18" t="s">
        <v>603</v>
      </c>
      <c r="Z8" s="20" t="s">
        <v>603</v>
      </c>
    </row>
    <row r="9" spans="1:26">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c r="W9" s="18" t="s">
        <v>603</v>
      </c>
      <c r="X9" s="20" t="s">
        <v>603</v>
      </c>
      <c r="Y9" s="18" t="s">
        <v>603</v>
      </c>
      <c r="Z9" s="20" t="s">
        <v>603</v>
      </c>
    </row>
    <row r="10" spans="1:26">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c r="W10" s="18" t="s">
        <v>603</v>
      </c>
      <c r="X10" s="20" t="s">
        <v>603</v>
      </c>
      <c r="Y10" s="18" t="s">
        <v>603</v>
      </c>
      <c r="Z10" s="20" t="s">
        <v>603</v>
      </c>
    </row>
    <row r="11" spans="1:26">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c r="W11" s="18" t="s">
        <v>603</v>
      </c>
      <c r="X11" s="20" t="s">
        <v>603</v>
      </c>
      <c r="Y11" s="18" t="s">
        <v>603</v>
      </c>
      <c r="Z11" s="20" t="s">
        <v>603</v>
      </c>
    </row>
    <row r="12" spans="1:26">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c r="W12" s="18" t="s">
        <v>603</v>
      </c>
      <c r="X12" s="20" t="s">
        <v>603</v>
      </c>
      <c r="Y12" s="18" t="s">
        <v>603</v>
      </c>
      <c r="Z12" s="20" t="s">
        <v>603</v>
      </c>
    </row>
    <row r="13" spans="1:26">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c r="W13" s="18" t="s">
        <v>603</v>
      </c>
      <c r="X13" s="20" t="s">
        <v>603</v>
      </c>
      <c r="Y13" s="18" t="s">
        <v>603</v>
      </c>
      <c r="Z13" s="20" t="s">
        <v>603</v>
      </c>
    </row>
    <row r="14" spans="1:26">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c r="W14" s="18" t="s">
        <v>603</v>
      </c>
      <c r="X14" s="20" t="s">
        <v>603</v>
      </c>
      <c r="Y14" s="18" t="s">
        <v>603</v>
      </c>
      <c r="Z14" s="20" t="s">
        <v>603</v>
      </c>
    </row>
    <row r="15" spans="1:26">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c r="W15" s="18" t="s">
        <v>603</v>
      </c>
      <c r="X15" s="20" t="s">
        <v>603</v>
      </c>
      <c r="Y15" s="18" t="s">
        <v>603</v>
      </c>
      <c r="Z15" s="20" t="s">
        <v>603</v>
      </c>
    </row>
    <row r="16" spans="1:26">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c r="W16" s="18" t="s">
        <v>603</v>
      </c>
      <c r="X16" s="20" t="s">
        <v>603</v>
      </c>
      <c r="Y16" s="18" t="s">
        <v>603</v>
      </c>
      <c r="Z16" s="20" t="s">
        <v>603</v>
      </c>
    </row>
    <row r="17" spans="1:26">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c r="W17" s="18" t="s">
        <v>603</v>
      </c>
      <c r="X17" s="20" t="s">
        <v>603</v>
      </c>
      <c r="Y17" s="18" t="s">
        <v>603</v>
      </c>
      <c r="Z17" s="20" t="s">
        <v>603</v>
      </c>
    </row>
    <row r="18" spans="1:26">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c r="W18" s="18" t="s">
        <v>603</v>
      </c>
      <c r="X18" s="20" t="s">
        <v>603</v>
      </c>
      <c r="Y18" s="18" t="s">
        <v>603</v>
      </c>
      <c r="Z18" s="20" t="s">
        <v>603</v>
      </c>
    </row>
    <row r="19" spans="1:26">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c r="W19" s="18" t="s">
        <v>603</v>
      </c>
      <c r="X19" s="20" t="s">
        <v>603</v>
      </c>
      <c r="Y19" s="18" t="s">
        <v>603</v>
      </c>
      <c r="Z19" s="20" t="s">
        <v>603</v>
      </c>
    </row>
    <row r="20" spans="1:26">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c r="W20" s="18" t="s">
        <v>603</v>
      </c>
      <c r="X20" s="20" t="s">
        <v>603</v>
      </c>
      <c r="Y20" s="18" t="s">
        <v>603</v>
      </c>
      <c r="Z20" s="20" t="s">
        <v>603</v>
      </c>
    </row>
    <row r="21" spans="1:26">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c r="W21" s="18" t="s">
        <v>603</v>
      </c>
      <c r="X21" s="20" t="s">
        <v>603</v>
      </c>
      <c r="Y21" s="18" t="s">
        <v>603</v>
      </c>
      <c r="Z21" s="20" t="s">
        <v>603</v>
      </c>
    </row>
    <row r="22" spans="1:26">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c r="W22" s="18" t="s">
        <v>603</v>
      </c>
      <c r="X22" s="20" t="s">
        <v>603</v>
      </c>
      <c r="Y22" s="18" t="s">
        <v>603</v>
      </c>
      <c r="Z22" s="20" t="s">
        <v>603</v>
      </c>
    </row>
    <row r="23" spans="1:26">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c r="W23" s="18" t="s">
        <v>603</v>
      </c>
      <c r="X23" s="20" t="s">
        <v>603</v>
      </c>
      <c r="Y23" s="18" t="s">
        <v>603</v>
      </c>
      <c r="Z23" s="20" t="s">
        <v>603</v>
      </c>
    </row>
    <row r="24" spans="1:26">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c r="W24" s="18" t="s">
        <v>603</v>
      </c>
      <c r="X24" s="20" t="s">
        <v>603</v>
      </c>
      <c r="Y24" s="18" t="s">
        <v>603</v>
      </c>
      <c r="Z24" s="20" t="s">
        <v>603</v>
      </c>
    </row>
    <row r="25" spans="1:26">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c r="W25" s="18" t="s">
        <v>603</v>
      </c>
      <c r="X25" s="20" t="s">
        <v>603</v>
      </c>
      <c r="Y25" s="18" t="s">
        <v>603</v>
      </c>
      <c r="Z25" s="20" t="s">
        <v>603</v>
      </c>
    </row>
    <row r="26" spans="1:26">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c r="W26" s="18" t="s">
        <v>603</v>
      </c>
      <c r="X26" s="20" t="s">
        <v>603</v>
      </c>
      <c r="Y26" s="18" t="s">
        <v>603</v>
      </c>
      <c r="Z26" s="20" t="s">
        <v>603</v>
      </c>
    </row>
    <row r="27" spans="1:26">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c r="W27" s="18" t="s">
        <v>603</v>
      </c>
      <c r="X27" s="20" t="s">
        <v>603</v>
      </c>
      <c r="Y27" s="18" t="s">
        <v>603</v>
      </c>
      <c r="Z27" s="20" t="s">
        <v>603</v>
      </c>
    </row>
    <row r="28" spans="1:26">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c r="W28" s="18" t="s">
        <v>603</v>
      </c>
      <c r="X28" s="20" t="s">
        <v>603</v>
      </c>
      <c r="Y28" s="18" t="s">
        <v>603</v>
      </c>
      <c r="Z28" s="20" t="s">
        <v>603</v>
      </c>
    </row>
    <row r="29" spans="1:26">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c r="W29" s="18" t="s">
        <v>603</v>
      </c>
      <c r="X29" s="20" t="s">
        <v>603</v>
      </c>
      <c r="Y29" s="18" t="s">
        <v>603</v>
      </c>
      <c r="Z29" s="20" t="s">
        <v>603</v>
      </c>
    </row>
    <row r="30" spans="1:26">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c r="W30" s="18" t="s">
        <v>603</v>
      </c>
      <c r="X30" s="20" t="s">
        <v>603</v>
      </c>
      <c r="Y30" s="18" t="s">
        <v>603</v>
      </c>
      <c r="Z30" s="20" t="s">
        <v>603</v>
      </c>
    </row>
    <row r="31" spans="1:26">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c r="W31" s="18" t="s">
        <v>603</v>
      </c>
      <c r="X31" s="20" t="s">
        <v>603</v>
      </c>
      <c r="Y31" s="18" t="s">
        <v>603</v>
      </c>
      <c r="Z31" s="20" t="s">
        <v>603</v>
      </c>
    </row>
    <row r="32" spans="1:26">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c r="W32" s="18" t="s">
        <v>603</v>
      </c>
      <c r="X32" s="20" t="s">
        <v>603</v>
      </c>
      <c r="Y32" s="18" t="s">
        <v>603</v>
      </c>
      <c r="Z32" s="20" t="s">
        <v>603</v>
      </c>
    </row>
    <row r="33" spans="1:26">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c r="W33" s="18" t="s">
        <v>603</v>
      </c>
      <c r="X33" s="20" t="s">
        <v>603</v>
      </c>
      <c r="Y33" s="18" t="s">
        <v>603</v>
      </c>
      <c r="Z33" s="20" t="s">
        <v>603</v>
      </c>
    </row>
    <row r="34" spans="1:26">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c r="W34" s="18" t="s">
        <v>603</v>
      </c>
      <c r="X34" s="20" t="s">
        <v>603</v>
      </c>
      <c r="Y34" s="18" t="s">
        <v>603</v>
      </c>
      <c r="Z34" s="20" t="s">
        <v>603</v>
      </c>
    </row>
    <row r="35" spans="1:26">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c r="W35" s="18" t="s">
        <v>603</v>
      </c>
      <c r="X35" s="20" t="s">
        <v>603</v>
      </c>
      <c r="Y35" s="18" t="s">
        <v>603</v>
      </c>
      <c r="Z35" s="20" t="s">
        <v>603</v>
      </c>
    </row>
    <row r="36" spans="1:26">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c r="W36" s="18" t="s">
        <v>603</v>
      </c>
      <c r="X36" s="20" t="s">
        <v>603</v>
      </c>
      <c r="Y36" s="18" t="s">
        <v>603</v>
      </c>
      <c r="Z36" s="20" t="s">
        <v>603</v>
      </c>
    </row>
    <row r="37" spans="1:26">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c r="W37" s="18" t="s">
        <v>603</v>
      </c>
      <c r="X37" s="20" t="s">
        <v>603</v>
      </c>
      <c r="Y37" s="18" t="s">
        <v>603</v>
      </c>
      <c r="Z37" s="20" t="s">
        <v>603</v>
      </c>
    </row>
    <row r="38" spans="1:26">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c r="W38" s="18" t="s">
        <v>603</v>
      </c>
      <c r="X38" s="20" t="s">
        <v>603</v>
      </c>
      <c r="Y38" s="18" t="s">
        <v>603</v>
      </c>
      <c r="Z38" s="20" t="s">
        <v>603</v>
      </c>
    </row>
    <row r="39" spans="1:26">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c r="W39" s="18" t="s">
        <v>603</v>
      </c>
      <c r="X39" s="20" t="s">
        <v>603</v>
      </c>
      <c r="Y39" s="18" t="s">
        <v>603</v>
      </c>
      <c r="Z39" s="20" t="s">
        <v>603</v>
      </c>
    </row>
    <row r="40" spans="1:26">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c r="W40" s="18" t="s">
        <v>603</v>
      </c>
      <c r="X40" s="20" t="s">
        <v>603</v>
      </c>
      <c r="Y40" s="18" t="s">
        <v>603</v>
      </c>
      <c r="Z40" s="20" t="s">
        <v>603</v>
      </c>
    </row>
    <row r="41" spans="1:26">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c r="W41" s="18" t="s">
        <v>603</v>
      </c>
      <c r="X41" s="20" t="s">
        <v>603</v>
      </c>
      <c r="Y41" s="18" t="s">
        <v>603</v>
      </c>
      <c r="Z41" s="20" t="s">
        <v>603</v>
      </c>
    </row>
    <row r="42" spans="1:26">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row>
    <row r="43" spans="1:26">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6" t="n"/>
    </row>
    <row r="44" spans="1:26">
      <c r="A44" s="15" t="s">
        <v>602</v>
      </c>
      <c r="B44" s="17" t="n">
        <v>5215</v>
      </c>
      <c r="C44" s="18">
        <f>(3491.0/B44*100)</f>
        <v/>
      </c>
      <c r="D44" s="19" t="n">
        <v>1724</v>
      </c>
      <c r="E44" s="18" t="n">
        <v>16.08582363</v>
      </c>
      <c r="F44" s="20" t="n">
        <v>1.24147194</v>
      </c>
      <c r="G44" s="18" t="n">
        <v>5.09062085</v>
      </c>
      <c r="H44" s="20" t="n">
        <v>0.70132782</v>
      </c>
      <c r="I44" s="18" t="n">
        <v>14.00023173</v>
      </c>
      <c r="J44" s="20" t="n">
        <v>1.06811329</v>
      </c>
      <c r="K44" s="18" t="n">
        <v>0</v>
      </c>
      <c r="L44" s="20" t="n">
        <v>0</v>
      </c>
      <c r="M44" s="18" t="n">
        <v>12.11646799</v>
      </c>
      <c r="N44" s="20" t="n">
        <v>0.85010886</v>
      </c>
      <c r="O44" s="18" t="n">
        <v>19.08182921</v>
      </c>
      <c r="P44" s="20" t="n">
        <v>1.58425077</v>
      </c>
      <c r="Q44" s="18" t="n">
        <v>0</v>
      </c>
      <c r="R44" s="20" t="n">
        <v>0</v>
      </c>
      <c r="S44" s="18" t="n">
        <v>2.69715613</v>
      </c>
      <c r="T44" s="20" t="n">
        <v>0.43325722</v>
      </c>
      <c r="U44" s="18" t="n">
        <v>0</v>
      </c>
      <c r="V44" s="20" t="n">
        <v>0</v>
      </c>
      <c r="W44" s="18" t="n">
        <v>0</v>
      </c>
      <c r="X44" s="20" t="n">
        <v>0</v>
      </c>
      <c r="Y44" s="18" t="n">
        <v>30.92787046</v>
      </c>
      <c r="Z44" s="20" t="n">
        <v>1.68531399</v>
      </c>
    </row>
    <row r="45" spans="1:26">
      <c r="A45" s="15" t="s">
        <v>604</v>
      </c>
      <c r="B45" s="17" t="n">
        <v>5519</v>
      </c>
      <c r="C45" s="18">
        <f>(3684.0/B45*100)</f>
        <v/>
      </c>
      <c r="D45" s="19" t="n">
        <v>1835</v>
      </c>
      <c r="E45" s="18" t="n">
        <v>11.12418781</v>
      </c>
      <c r="F45" s="20" t="n">
        <v>0.68355265</v>
      </c>
      <c r="G45" s="18" t="n">
        <v>9.261794180000001</v>
      </c>
      <c r="H45" s="20" t="n">
        <v>0.80775275</v>
      </c>
      <c r="I45" s="18" t="n">
        <v>21.34105187</v>
      </c>
      <c r="J45" s="20" t="n">
        <v>1.07954063</v>
      </c>
      <c r="K45" s="18" t="n">
        <v>0</v>
      </c>
      <c r="L45" s="20" t="n">
        <v>0</v>
      </c>
      <c r="M45" s="18" t="n">
        <v>5.02207087</v>
      </c>
      <c r="N45" s="20" t="n">
        <v>0.54950299</v>
      </c>
      <c r="O45" s="18" t="n">
        <v>23.13364727</v>
      </c>
      <c r="P45" s="20" t="n">
        <v>1.20355208</v>
      </c>
      <c r="Q45" s="18" t="n">
        <v>0</v>
      </c>
      <c r="R45" s="20" t="n">
        <v>0</v>
      </c>
      <c r="S45" s="18" t="n">
        <v>5.50347422</v>
      </c>
      <c r="T45" s="20" t="n">
        <v>0.61387442</v>
      </c>
      <c r="U45" s="18" t="n">
        <v>0.19943609</v>
      </c>
      <c r="V45" s="20" t="n">
        <v>0.12256331</v>
      </c>
      <c r="W45" s="18" t="n">
        <v>0.03474575</v>
      </c>
      <c r="X45" s="20" t="n">
        <v>0.03613705</v>
      </c>
      <c r="Y45" s="18" t="n">
        <v>24.37959195</v>
      </c>
      <c r="Z45" s="20" t="n">
        <v>1.26364489</v>
      </c>
    </row>
    <row r="46" spans="1:26">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c r="W46" s="18" t="s">
        <v>603</v>
      </c>
      <c r="X46" s="20" t="s">
        <v>603</v>
      </c>
      <c r="Y46" s="18" t="s">
        <v>603</v>
      </c>
      <c r="Z46" s="20" t="s">
        <v>603</v>
      </c>
    </row>
    <row r="47" spans="1:26">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c r="W47" s="18" t="s">
        <v>603</v>
      </c>
      <c r="X47" s="20" t="s">
        <v>603</v>
      </c>
      <c r="Y47" s="18" t="s">
        <v>603</v>
      </c>
      <c r="Z47" s="20" t="s">
        <v>603</v>
      </c>
    </row>
    <row r="48" spans="1:26">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c r="W48" s="18" t="s">
        <v>603</v>
      </c>
      <c r="X48" s="20" t="s">
        <v>603</v>
      </c>
      <c r="Y48" s="18" t="s">
        <v>603</v>
      </c>
      <c r="Z48" s="20" t="s">
        <v>603</v>
      </c>
    </row>
    <row r="49" spans="1:26">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c r="W49" s="18" t="s">
        <v>603</v>
      </c>
      <c r="X49" s="20" t="s">
        <v>603</v>
      </c>
      <c r="Y49" s="18" t="s">
        <v>603</v>
      </c>
      <c r="Z49" s="20" t="s">
        <v>603</v>
      </c>
    </row>
    <row r="50" spans="1:26">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c r="W50" s="18" t="s">
        <v>603</v>
      </c>
      <c r="X50" s="20" t="s">
        <v>603</v>
      </c>
      <c r="Y50" s="18" t="s">
        <v>603</v>
      </c>
      <c r="Z50" s="20" t="s">
        <v>603</v>
      </c>
    </row>
    <row r="51" spans="1:26">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c r="W51" s="18" t="s">
        <v>603</v>
      </c>
      <c r="X51" s="20" t="s">
        <v>603</v>
      </c>
      <c r="Y51" s="18" t="s">
        <v>603</v>
      </c>
      <c r="Z51" s="20" t="s">
        <v>603</v>
      </c>
    </row>
    <row r="52" spans="1:26">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c r="W52" s="18" t="s">
        <v>603</v>
      </c>
      <c r="X52" s="20" t="s">
        <v>603</v>
      </c>
      <c r="Y52" s="18" t="s">
        <v>603</v>
      </c>
      <c r="Z52" s="20" t="s">
        <v>603</v>
      </c>
    </row>
    <row r="53" spans="1:26">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c r="W53" s="18" t="s">
        <v>603</v>
      </c>
      <c r="X53" s="20" t="s">
        <v>603</v>
      </c>
      <c r="Y53" s="18" t="s">
        <v>603</v>
      </c>
      <c r="Z53" s="20" t="s">
        <v>603</v>
      </c>
    </row>
    <row r="54" spans="1:26">
      <c r="A54" s="15" t="s">
        <v>613</v>
      </c>
      <c r="B54" s="17" t="n">
        <v>5316</v>
      </c>
      <c r="C54" s="18">
        <f>(3517.0/B54*100)</f>
        <v/>
      </c>
      <c r="D54" s="19" t="n">
        <v>1799</v>
      </c>
      <c r="E54" s="18" t="n">
        <v>13.32807628</v>
      </c>
      <c r="F54" s="20" t="n">
        <v>0.9074426</v>
      </c>
      <c r="G54" s="18" t="n">
        <v>6.00341639</v>
      </c>
      <c r="H54" s="20" t="n">
        <v>0.58830524</v>
      </c>
      <c r="I54" s="18" t="n">
        <v>11.22256678</v>
      </c>
      <c r="J54" s="20" t="n">
        <v>0.76632325</v>
      </c>
      <c r="K54" s="18" t="n">
        <v>0</v>
      </c>
      <c r="L54" s="20" t="n">
        <v>0</v>
      </c>
      <c r="M54" s="18" t="n">
        <v>12.05037671</v>
      </c>
      <c r="N54" s="20" t="n">
        <v>0.83365489</v>
      </c>
      <c r="O54" s="18" t="n">
        <v>11.57398437</v>
      </c>
      <c r="P54" s="20" t="n">
        <v>0.7928837</v>
      </c>
      <c r="Q54" s="18" t="n">
        <v>0</v>
      </c>
      <c r="R54" s="20" t="n">
        <v>0</v>
      </c>
      <c r="S54" s="18" t="n">
        <v>2.68302627</v>
      </c>
      <c r="T54" s="20" t="n">
        <v>0.4272417</v>
      </c>
      <c r="U54" s="18" t="n">
        <v>0</v>
      </c>
      <c r="V54" s="20" t="n">
        <v>0</v>
      </c>
      <c r="W54" s="18" t="n">
        <v>0</v>
      </c>
      <c r="X54" s="20" t="n">
        <v>0</v>
      </c>
      <c r="Y54" s="18" t="n">
        <v>43.1385532</v>
      </c>
      <c r="Z54" s="20" t="n">
        <v>1.31418474</v>
      </c>
    </row>
    <row r="55" spans="1:26">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c r="W55" s="18" t="s">
        <v>603</v>
      </c>
      <c r="X55" s="20" t="s">
        <v>603</v>
      </c>
      <c r="Y55" s="18" t="s">
        <v>603</v>
      </c>
      <c r="Z55" s="20" t="s">
        <v>603</v>
      </c>
    </row>
    <row r="56" spans="1:26">
      <c r="A56" s="15" t="s">
        <v>615</v>
      </c>
      <c r="B56" s="17" t="n">
        <v>6513</v>
      </c>
      <c r="C56" s="18">
        <f>(4392.0/B56*100)</f>
        <v/>
      </c>
      <c r="D56" s="19" t="n">
        <v>2121</v>
      </c>
      <c r="E56" s="18" t="n">
        <v>34.81966756</v>
      </c>
      <c r="F56" s="20" t="n">
        <v>1.44002696</v>
      </c>
      <c r="G56" s="18" t="n">
        <v>5.86512968</v>
      </c>
      <c r="H56" s="20" t="n">
        <v>0.57193989</v>
      </c>
      <c r="I56" s="18" t="n">
        <v>20.42094287</v>
      </c>
      <c r="J56" s="20" t="n">
        <v>1.07972492</v>
      </c>
      <c r="K56" s="18" t="n">
        <v>0</v>
      </c>
      <c r="L56" s="20" t="n">
        <v>0</v>
      </c>
      <c r="M56" s="18" t="n">
        <v>14.39014477</v>
      </c>
      <c r="N56" s="20" t="n">
        <v>0.8781556700000001</v>
      </c>
      <c r="O56" s="18" t="n">
        <v>16.2322877</v>
      </c>
      <c r="P56" s="20" t="n">
        <v>1.00026445</v>
      </c>
      <c r="Q56" s="18" t="n">
        <v>0</v>
      </c>
      <c r="R56" s="20" t="n">
        <v>0</v>
      </c>
      <c r="S56" s="18" t="n">
        <v>1.35859399</v>
      </c>
      <c r="T56" s="20" t="n">
        <v>0.34383165</v>
      </c>
      <c r="U56" s="18" t="n">
        <v>0</v>
      </c>
      <c r="V56" s="20" t="n">
        <v>0</v>
      </c>
      <c r="W56" s="18" t="n">
        <v>0</v>
      </c>
      <c r="X56" s="20" t="n">
        <v>0</v>
      </c>
      <c r="Y56" s="18" t="n">
        <v>6.91323342</v>
      </c>
      <c r="Z56" s="20" t="n">
        <v>0.8537746899999999</v>
      </c>
    </row>
    <row r="57" spans="1:26">
      <c r="A57" s="15" t="s">
        <v>616</v>
      </c>
      <c r="B57" s="17" t="n">
        <v>7267</v>
      </c>
      <c r="C57" s="18">
        <f>(4851.0/B57*100)</f>
        <v/>
      </c>
      <c r="D57" s="19" t="n">
        <v>2416</v>
      </c>
      <c r="E57" s="18" t="n">
        <v>12.42581035</v>
      </c>
      <c r="F57" s="20" t="n">
        <v>0.71098814</v>
      </c>
      <c r="G57" s="18" t="n">
        <v>7.7833067</v>
      </c>
      <c r="H57" s="20" t="n">
        <v>0.66099995</v>
      </c>
      <c r="I57" s="18" t="n">
        <v>29.40715383</v>
      </c>
      <c r="J57" s="20" t="n">
        <v>1.13469444</v>
      </c>
      <c r="K57" s="18" t="n">
        <v>0</v>
      </c>
      <c r="L57" s="20" t="n">
        <v>0</v>
      </c>
      <c r="M57" s="18" t="n">
        <v>7.54305724</v>
      </c>
      <c r="N57" s="20" t="n">
        <v>0.56807569</v>
      </c>
      <c r="O57" s="18" t="n">
        <v>26.16724258</v>
      </c>
      <c r="P57" s="20" t="n">
        <v>1.31394057</v>
      </c>
      <c r="Q57" s="18" t="n">
        <v>0</v>
      </c>
      <c r="R57" s="20" t="n">
        <v>0</v>
      </c>
      <c r="S57" s="18" t="n">
        <v>2.64851295</v>
      </c>
      <c r="T57" s="20" t="n">
        <v>0.48950185</v>
      </c>
      <c r="U57" s="18" t="n">
        <v>0</v>
      </c>
      <c r="V57" s="20" t="n">
        <v>0</v>
      </c>
      <c r="W57" s="18" t="n">
        <v>0</v>
      </c>
      <c r="X57" s="20" t="n">
        <v>0</v>
      </c>
      <c r="Y57" s="18" t="n">
        <v>14.02491634</v>
      </c>
      <c r="Z57" s="20" t="n">
        <v>0.90791288</v>
      </c>
    </row>
    <row r="58" spans="1:26">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c r="Y58" s="21" t="s">
        <v>618</v>
      </c>
      <c r="Z58" s="22" t="s">
        <v>618</v>
      </c>
    </row>
    <row r="59" spans="1:26">
      <c r="A59" s="15" t="s">
        <v>619</v>
      </c>
      <c r="B59" s="17" t="n">
        <v>4826</v>
      </c>
      <c r="C59" s="18">
        <f>(3238.0/B59*100)</f>
        <v/>
      </c>
      <c r="D59" s="19" t="n">
        <v>1588</v>
      </c>
      <c r="E59" s="18" t="n">
        <v>26.85282089</v>
      </c>
      <c r="F59" s="20" t="n">
        <v>1.34930679</v>
      </c>
      <c r="G59" s="18" t="n">
        <v>8.33212284</v>
      </c>
      <c r="H59" s="20" t="n">
        <v>0.77979795</v>
      </c>
      <c r="I59" s="18" t="n">
        <v>16.97430568</v>
      </c>
      <c r="J59" s="20" t="n">
        <v>1.16179729</v>
      </c>
      <c r="K59" s="18" t="n">
        <v>0</v>
      </c>
      <c r="L59" s="20" t="n">
        <v>0</v>
      </c>
      <c r="M59" s="18" t="n">
        <v>7.89648858</v>
      </c>
      <c r="N59" s="20" t="n">
        <v>0.84637222</v>
      </c>
      <c r="O59" s="18" t="n">
        <v>20.38327977</v>
      </c>
      <c r="P59" s="20" t="n">
        <v>1.33603988</v>
      </c>
      <c r="Q59" s="18" t="n">
        <v>0</v>
      </c>
      <c r="R59" s="20" t="n">
        <v>0</v>
      </c>
      <c r="S59" s="18" t="n">
        <v>0.53573693</v>
      </c>
      <c r="T59" s="20" t="n">
        <v>0.20463693</v>
      </c>
      <c r="U59" s="18" t="n">
        <v>0.08846248</v>
      </c>
      <c r="V59" s="20" t="n">
        <v>0.08838791999999999</v>
      </c>
      <c r="W59" s="18" t="n">
        <v>0</v>
      </c>
      <c r="X59" s="20" t="n">
        <v>0</v>
      </c>
      <c r="Y59" s="18" t="n">
        <v>18.93678283</v>
      </c>
      <c r="Z59" s="20" t="n">
        <v>1.06930018</v>
      </c>
    </row>
    <row r="60" spans="1:26">
      <c r="A60" s="15" t="s">
        <v>620</v>
      </c>
      <c r="B60" s="17" t="n">
        <v>4546</v>
      </c>
      <c r="C60" s="18">
        <f>(3033.0/B60*100)</f>
        <v/>
      </c>
      <c r="D60" s="19" t="n">
        <v>1513</v>
      </c>
      <c r="E60" s="18" t="n">
        <v>6.0531819</v>
      </c>
      <c r="F60" s="20" t="n">
        <v>0.52470812</v>
      </c>
      <c r="G60" s="18" t="n">
        <v>3.69933702</v>
      </c>
      <c r="H60" s="20" t="n">
        <v>0.52164672</v>
      </c>
      <c r="I60" s="18" t="n">
        <v>30.34390294</v>
      </c>
      <c r="J60" s="20" t="n">
        <v>1.18271773</v>
      </c>
      <c r="K60" s="18" t="n">
        <v>0</v>
      </c>
      <c r="L60" s="20" t="n">
        <v>0</v>
      </c>
      <c r="M60" s="18" t="n">
        <v>12.2827978</v>
      </c>
      <c r="N60" s="20" t="n">
        <v>0.91932649</v>
      </c>
      <c r="O60" s="18" t="n">
        <v>16.08405753</v>
      </c>
      <c r="P60" s="20" t="n">
        <v>0.84673733</v>
      </c>
      <c r="Q60" s="18" t="n">
        <v>0</v>
      </c>
      <c r="R60" s="20" t="n">
        <v>0</v>
      </c>
      <c r="S60" s="18" t="n">
        <v>4.10572435</v>
      </c>
      <c r="T60" s="20" t="n">
        <v>0.59804701</v>
      </c>
      <c r="U60" s="18" t="n">
        <v>0</v>
      </c>
      <c r="V60" s="20" t="n">
        <v>0</v>
      </c>
      <c r="W60" s="18" t="n">
        <v>0.38475401</v>
      </c>
      <c r="X60" s="20" t="n">
        <v>0.1702752</v>
      </c>
      <c r="Y60" s="18" t="n">
        <v>27.04624445</v>
      </c>
      <c r="Z60" s="20" t="n">
        <v>1.52322737</v>
      </c>
    </row>
    <row r="61" spans="1:26">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c r="W61" s="18" t="s">
        <v>603</v>
      </c>
      <c r="X61" s="20" t="s">
        <v>603</v>
      </c>
      <c r="Y61" s="18" t="s">
        <v>603</v>
      </c>
      <c r="Z61" s="20" t="s">
        <v>603</v>
      </c>
    </row>
    <row r="62" spans="1:26">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c r="W62" s="18" t="s">
        <v>603</v>
      </c>
      <c r="X62" s="20" t="s">
        <v>603</v>
      </c>
      <c r="Y62" s="18" t="s">
        <v>603</v>
      </c>
      <c r="Z62" s="20" t="s">
        <v>603</v>
      </c>
    </row>
    <row r="63" spans="1:26">
      <c r="A63" s="15" t="s">
        <v>623</v>
      </c>
      <c r="B63" s="17" t="n">
        <v>5324</v>
      </c>
      <c r="C63" s="18">
        <f>(3546.0/B63*100)</f>
        <v/>
      </c>
      <c r="D63" s="19" t="n">
        <v>1778</v>
      </c>
      <c r="E63" s="18" t="n">
        <v>9.47285239</v>
      </c>
      <c r="F63" s="20" t="n">
        <v>0.75450494</v>
      </c>
      <c r="G63" s="18" t="n">
        <v>6.82591377</v>
      </c>
      <c r="H63" s="20" t="n">
        <v>0.61226798</v>
      </c>
      <c r="I63" s="18" t="n">
        <v>9.9863344</v>
      </c>
      <c r="J63" s="20" t="n">
        <v>0.91920353</v>
      </c>
      <c r="K63" s="18" t="n">
        <v>0</v>
      </c>
      <c r="L63" s="20" t="n">
        <v>0</v>
      </c>
      <c r="M63" s="18" t="n">
        <v>12.08615062</v>
      </c>
      <c r="N63" s="20" t="n">
        <v>0.94998169</v>
      </c>
      <c r="O63" s="18" t="n">
        <v>7.4792285</v>
      </c>
      <c r="P63" s="20" t="n">
        <v>0.7633303299999999</v>
      </c>
      <c r="Q63" s="18" t="n">
        <v>0</v>
      </c>
      <c r="R63" s="20" t="n">
        <v>0</v>
      </c>
      <c r="S63" s="18" t="n">
        <v>2.59326903</v>
      </c>
      <c r="T63" s="20" t="n">
        <v>0.42513191</v>
      </c>
      <c r="U63" s="18" t="n">
        <v>0</v>
      </c>
      <c r="V63" s="20" t="n">
        <v>0</v>
      </c>
      <c r="W63" s="18" t="n">
        <v>0</v>
      </c>
      <c r="X63" s="20" t="n">
        <v>0</v>
      </c>
      <c r="Y63" s="18" t="n">
        <v>51.55625128</v>
      </c>
      <c r="Z63" s="20" t="n">
        <v>1.26675973</v>
      </c>
    </row>
    <row r="64" spans="1:26">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c r="Y64" s="21" t="s">
        <v>618</v>
      </c>
      <c r="Z64" s="22" t="s">
        <v>618</v>
      </c>
    </row>
    <row r="65" spans="1:26">
      <c r="A65" s="15" t="s">
        <v>625</v>
      </c>
      <c r="B65" s="17" t="n">
        <v>3634</v>
      </c>
      <c r="C65" s="18">
        <f>(2433.0/B65*100)</f>
        <v/>
      </c>
      <c r="D65" s="19" t="n">
        <v>1201</v>
      </c>
      <c r="E65" s="18" t="n">
        <v>10.40922418</v>
      </c>
      <c r="F65" s="20" t="n">
        <v>0.83794845</v>
      </c>
      <c r="G65" s="18" t="n">
        <v>13.29252018</v>
      </c>
      <c r="H65" s="20" t="n">
        <v>0.97076706</v>
      </c>
      <c r="I65" s="18" t="n">
        <v>16.82520521</v>
      </c>
      <c r="J65" s="20" t="n">
        <v>0.9991096699999999</v>
      </c>
      <c r="K65" s="18" t="n">
        <v>0</v>
      </c>
      <c r="L65" s="20" t="n">
        <v>0</v>
      </c>
      <c r="M65" s="18" t="n">
        <v>17.86783012</v>
      </c>
      <c r="N65" s="20" t="n">
        <v>1.16892633</v>
      </c>
      <c r="O65" s="18" t="n">
        <v>20.09905936</v>
      </c>
      <c r="P65" s="20" t="n">
        <v>1.14650812</v>
      </c>
      <c r="Q65" s="18" t="n">
        <v>0</v>
      </c>
      <c r="R65" s="20" t="n">
        <v>0</v>
      </c>
      <c r="S65" s="18" t="n">
        <v>3.57097196</v>
      </c>
      <c r="T65" s="20" t="n">
        <v>0.5410202200000001</v>
      </c>
      <c r="U65" s="18" t="n">
        <v>0</v>
      </c>
      <c r="V65" s="20" t="n">
        <v>0</v>
      </c>
      <c r="W65" s="18" t="n">
        <v>0</v>
      </c>
      <c r="X65" s="20" t="n">
        <v>0</v>
      </c>
      <c r="Y65" s="18" t="n">
        <v>17.93518898</v>
      </c>
      <c r="Z65" s="20" t="n">
        <v>1.2118341</v>
      </c>
    </row>
    <row r="66" spans="1:26">
      <c r="A66" s="15" t="s">
        <v>626</v>
      </c>
      <c r="B66" s="17" t="n">
        <v>5325</v>
      </c>
      <c r="C66" s="18">
        <f>(3548.0/B66*100)</f>
        <v/>
      </c>
      <c r="D66" s="19" t="n">
        <v>1777</v>
      </c>
      <c r="E66" s="18" t="n">
        <v>12.87782755</v>
      </c>
      <c r="F66" s="20" t="n">
        <v>0.81197707</v>
      </c>
      <c r="G66" s="18" t="n">
        <v>12.44384826</v>
      </c>
      <c r="H66" s="20" t="n">
        <v>0.68700245</v>
      </c>
      <c r="I66" s="18" t="n">
        <v>15.67638571</v>
      </c>
      <c r="J66" s="20" t="n">
        <v>0.89410156</v>
      </c>
      <c r="K66" s="18" t="n">
        <v>0</v>
      </c>
      <c r="L66" s="20" t="n">
        <v>0</v>
      </c>
      <c r="M66" s="18" t="n">
        <v>14.61790142</v>
      </c>
      <c r="N66" s="20" t="n">
        <v>0.96082853</v>
      </c>
      <c r="O66" s="18" t="n">
        <v>11.91853657</v>
      </c>
      <c r="P66" s="20" t="n">
        <v>0.84436375</v>
      </c>
      <c r="Q66" s="18" t="n">
        <v>0</v>
      </c>
      <c r="R66" s="20" t="n">
        <v>0</v>
      </c>
      <c r="S66" s="18" t="n">
        <v>4.83356912</v>
      </c>
      <c r="T66" s="20" t="n">
        <v>0.61283371</v>
      </c>
      <c r="U66" s="18" t="n">
        <v>0</v>
      </c>
      <c r="V66" s="20" t="n">
        <v>0</v>
      </c>
      <c r="W66" s="18" t="n">
        <v>0</v>
      </c>
      <c r="X66" s="20" t="n">
        <v>0</v>
      </c>
      <c r="Y66" s="18" t="n">
        <v>27.63193136</v>
      </c>
      <c r="Z66" s="20" t="n">
        <v>1.12684484</v>
      </c>
    </row>
    <row r="67" spans="1:26">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c r="W67" s="18" t="s">
        <v>603</v>
      </c>
      <c r="X67" s="20" t="s">
        <v>603</v>
      </c>
      <c r="Y67" s="18" t="s">
        <v>603</v>
      </c>
      <c r="Z67" s="20" t="s">
        <v>603</v>
      </c>
    </row>
    <row r="68" spans="1:26">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c r="W68" s="18" t="s">
        <v>603</v>
      </c>
      <c r="X68" s="20" t="s">
        <v>603</v>
      </c>
      <c r="Y68" s="18" t="s">
        <v>603</v>
      </c>
      <c r="Z68" s="20" t="s">
        <v>603</v>
      </c>
    </row>
    <row r="69" spans="1:26">
      <c r="A69" s="15" t="s">
        <v>629</v>
      </c>
      <c r="B69" s="17" t="n">
        <v>1398</v>
      </c>
      <c r="C69" s="18">
        <f>(930.0/B69*100)</f>
        <v/>
      </c>
      <c r="D69" s="19" t="n">
        <v>468</v>
      </c>
      <c r="E69" s="18" t="n">
        <v>12.44480851</v>
      </c>
      <c r="F69" s="20" t="n">
        <v>1.98876089</v>
      </c>
      <c r="G69" s="18" t="n">
        <v>33.99137469</v>
      </c>
      <c r="H69" s="20" t="n">
        <v>2.13617435</v>
      </c>
      <c r="I69" s="18" t="n">
        <v>20.59932828</v>
      </c>
      <c r="J69" s="20" t="n">
        <v>2.00930858</v>
      </c>
      <c r="K69" s="18" t="n">
        <v>0</v>
      </c>
      <c r="L69" s="20" t="n">
        <v>0</v>
      </c>
      <c r="M69" s="18" t="n">
        <v>9.364865569999999</v>
      </c>
      <c r="N69" s="20" t="n">
        <v>1.54129047</v>
      </c>
      <c r="O69" s="18" t="n">
        <v>4.5851409</v>
      </c>
      <c r="P69" s="20" t="n">
        <v>0.84037837</v>
      </c>
      <c r="Q69" s="18" t="n">
        <v>0</v>
      </c>
      <c r="R69" s="20" t="n">
        <v>0</v>
      </c>
      <c r="S69" s="18" t="n">
        <v>1.07607099</v>
      </c>
      <c r="T69" s="20" t="n">
        <v>0.44479311</v>
      </c>
      <c r="U69" s="18" t="n">
        <v>0</v>
      </c>
      <c r="V69" s="20" t="n">
        <v>0</v>
      </c>
      <c r="W69" s="18" t="n">
        <v>0</v>
      </c>
      <c r="X69" s="20" t="n">
        <v>0</v>
      </c>
      <c r="Y69" s="18" t="n">
        <v>17.93841107</v>
      </c>
      <c r="Z69" s="20" t="n">
        <v>2.3175312</v>
      </c>
    </row>
    <row r="70" spans="1:26">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c r="W70" s="18" t="s">
        <v>603</v>
      </c>
      <c r="X70" s="20" t="s">
        <v>603</v>
      </c>
      <c r="Y70" s="18" t="s">
        <v>603</v>
      </c>
      <c r="Z70" s="20" t="s">
        <v>603</v>
      </c>
    </row>
    <row r="71" spans="1:26">
      <c r="A71" s="15" t="s">
        <v>631</v>
      </c>
      <c r="B71" s="17" t="n">
        <v>4876</v>
      </c>
      <c r="C71" s="18">
        <f>(3249.0/B71*100)</f>
        <v/>
      </c>
      <c r="D71" s="19" t="n">
        <v>1627</v>
      </c>
      <c r="E71" s="18" t="n">
        <v>13.99784499</v>
      </c>
      <c r="F71" s="20" t="n">
        <v>0.96592136</v>
      </c>
      <c r="G71" s="18" t="n">
        <v>9.96675862</v>
      </c>
      <c r="H71" s="20" t="n">
        <v>1.13431874</v>
      </c>
      <c r="I71" s="18" t="n">
        <v>39.58025098</v>
      </c>
      <c r="J71" s="20" t="n">
        <v>1.70848783</v>
      </c>
      <c r="K71" s="18" t="n">
        <v>0</v>
      </c>
      <c r="L71" s="20" t="n">
        <v>0</v>
      </c>
      <c r="M71" s="18" t="n">
        <v>21.08024942</v>
      </c>
      <c r="N71" s="20" t="n">
        <v>1.23175574</v>
      </c>
      <c r="O71" s="18" t="n">
        <v>14.90533308</v>
      </c>
      <c r="P71" s="20" t="n">
        <v>0.94410402</v>
      </c>
      <c r="Q71" s="18" t="n">
        <v>0</v>
      </c>
      <c r="R71" s="20" t="n">
        <v>0</v>
      </c>
      <c r="S71" s="18" t="n">
        <v>0.06684168</v>
      </c>
      <c r="T71" s="20" t="n">
        <v>0.06673567</v>
      </c>
      <c r="U71" s="18" t="n">
        <v>0</v>
      </c>
      <c r="V71" s="20" t="n">
        <v>0</v>
      </c>
      <c r="W71" s="18" t="n">
        <v>0</v>
      </c>
      <c r="X71" s="20" t="n">
        <v>0</v>
      </c>
      <c r="Y71" s="18" t="n">
        <v>0.40272122</v>
      </c>
      <c r="Z71" s="20" t="n">
        <v>0.17883854</v>
      </c>
    </row>
    <row r="72" spans="1:26">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c r="W72" s="18" t="s">
        <v>603</v>
      </c>
      <c r="X72" s="20" t="s">
        <v>603</v>
      </c>
      <c r="Y72" s="18" t="s">
        <v>603</v>
      </c>
      <c r="Z72" s="20" t="s">
        <v>603</v>
      </c>
    </row>
    <row r="73" spans="1:26">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c r="W73" s="18" t="s">
        <v>603</v>
      </c>
      <c r="X73" s="20" t="s">
        <v>603</v>
      </c>
      <c r="Y73" s="18" t="s">
        <v>603</v>
      </c>
      <c r="Z73" s="20" t="s">
        <v>603</v>
      </c>
    </row>
    <row r="74" spans="1:26">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c r="W74" s="18" t="s">
        <v>603</v>
      </c>
      <c r="X74" s="20" t="s">
        <v>603</v>
      </c>
      <c r="Y74" s="18" t="s">
        <v>603</v>
      </c>
      <c r="Z74" s="20" t="s">
        <v>603</v>
      </c>
    </row>
    <row r="75" spans="1:26">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c r="W75" s="18" t="s">
        <v>603</v>
      </c>
      <c r="X75" s="20" t="s">
        <v>603</v>
      </c>
      <c r="Y75" s="18" t="s">
        <v>603</v>
      </c>
      <c r="Z75" s="20" t="s">
        <v>603</v>
      </c>
    </row>
    <row r="76" spans="1:26">
      <c r="A76" s="15" t="s">
        <v>636</v>
      </c>
      <c r="B76" s="17" t="n">
        <v>4692</v>
      </c>
      <c r="C76" s="18">
        <f>(3151.0/B76*100)</f>
        <v/>
      </c>
      <c r="D76" s="19" t="n">
        <v>1541</v>
      </c>
      <c r="E76" s="18" t="n">
        <v>11.15565089</v>
      </c>
      <c r="F76" s="20" t="n">
        <v>0.9025086</v>
      </c>
      <c r="G76" s="18" t="n">
        <v>15.38750604</v>
      </c>
      <c r="H76" s="20" t="n">
        <v>1.04273933</v>
      </c>
      <c r="I76" s="18" t="n">
        <v>11.7321046</v>
      </c>
      <c r="J76" s="20" t="n">
        <v>0.7524666800000001</v>
      </c>
      <c r="K76" s="18" t="n">
        <v>0</v>
      </c>
      <c r="L76" s="20" t="n">
        <v>0</v>
      </c>
      <c r="M76" s="18" t="n">
        <v>13.5395489</v>
      </c>
      <c r="N76" s="20" t="n">
        <v>1.06636972</v>
      </c>
      <c r="O76" s="18" t="n">
        <v>18.37722279</v>
      </c>
      <c r="P76" s="20" t="n">
        <v>1.06248541</v>
      </c>
      <c r="Q76" s="18" t="n">
        <v>0</v>
      </c>
      <c r="R76" s="20" t="n">
        <v>0</v>
      </c>
      <c r="S76" s="18" t="n">
        <v>7.35853553</v>
      </c>
      <c r="T76" s="20" t="n">
        <v>0.7797963</v>
      </c>
      <c r="U76" s="18" t="n">
        <v>0</v>
      </c>
      <c r="V76" s="20" t="n">
        <v>0</v>
      </c>
      <c r="W76" s="18" t="n">
        <v>0</v>
      </c>
      <c r="X76" s="20" t="n">
        <v>0</v>
      </c>
      <c r="Y76" s="18" t="n">
        <v>22.44943126</v>
      </c>
      <c r="Z76" s="20" t="n">
        <v>1.18548819</v>
      </c>
    </row>
    <row r="77" spans="1:26">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c r="W77" s="18" t="s">
        <v>603</v>
      </c>
      <c r="X77" s="20" t="s">
        <v>603</v>
      </c>
      <c r="Y77" s="18" t="s">
        <v>603</v>
      </c>
      <c r="Z77" s="20" t="s">
        <v>603</v>
      </c>
    </row>
    <row r="78" spans="1:26">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c r="W78" s="18" t="s">
        <v>603</v>
      </c>
      <c r="X78" s="20" t="s">
        <v>603</v>
      </c>
      <c r="Y78" s="18" t="s">
        <v>603</v>
      </c>
      <c r="Z78" s="20" t="s">
        <v>603</v>
      </c>
    </row>
    <row r="79" spans="1:26">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c r="W79" s="18" t="s">
        <v>603</v>
      </c>
      <c r="X79" s="20" t="s">
        <v>603</v>
      </c>
      <c r="Y79" s="18" t="s">
        <v>603</v>
      </c>
      <c r="Z79" s="20" t="s">
        <v>603</v>
      </c>
    </row>
    <row r="80" spans="1:26">
      <c r="A80" s="15" t="s">
        <v>640</v>
      </c>
      <c r="B80" s="17" t="n">
        <v>5826</v>
      </c>
      <c r="C80" s="18">
        <f>(3876.0/B80*100)</f>
        <v/>
      </c>
      <c r="D80" s="19" t="n">
        <v>1950</v>
      </c>
      <c r="E80" s="18" t="n">
        <v>10.23161237</v>
      </c>
      <c r="F80" s="20" t="n">
        <v>0.89963905</v>
      </c>
      <c r="G80" s="18" t="n">
        <v>13.74470591</v>
      </c>
      <c r="H80" s="20" t="n">
        <v>0.79285645</v>
      </c>
      <c r="I80" s="18" t="n">
        <v>19.61787017</v>
      </c>
      <c r="J80" s="20" t="n">
        <v>1.26170871</v>
      </c>
      <c r="K80" s="18" t="n">
        <v>0</v>
      </c>
      <c r="L80" s="20" t="n">
        <v>0</v>
      </c>
      <c r="M80" s="18" t="n">
        <v>24.98187663</v>
      </c>
      <c r="N80" s="20" t="n">
        <v>1.20105692</v>
      </c>
      <c r="O80" s="18" t="n">
        <v>29.31291338</v>
      </c>
      <c r="P80" s="20" t="n">
        <v>1.3681772</v>
      </c>
      <c r="Q80" s="18" t="n">
        <v>0</v>
      </c>
      <c r="R80" s="20" t="n">
        <v>0</v>
      </c>
      <c r="S80" s="18" t="n">
        <v>0</v>
      </c>
      <c r="T80" s="20" t="n">
        <v>0</v>
      </c>
      <c r="U80" s="18" t="n">
        <v>0</v>
      </c>
      <c r="V80" s="20" t="n">
        <v>0</v>
      </c>
      <c r="W80" s="18" t="n">
        <v>0</v>
      </c>
      <c r="X80" s="20" t="n">
        <v>0</v>
      </c>
      <c r="Y80" s="18" t="n">
        <v>2.11102154</v>
      </c>
      <c r="Z80" s="20" t="n">
        <v>0.32949952</v>
      </c>
    </row>
    <row r="81" spans="1:26">
      <c r="A81" s="15" t="s">
        <v>641</v>
      </c>
      <c r="B81" s="17" t="n">
        <v>1657</v>
      </c>
      <c r="C81" s="18">
        <f>(1104.0/B81*100)</f>
        <v/>
      </c>
      <c r="D81" s="19" t="n">
        <v>553</v>
      </c>
      <c r="E81" s="18" t="n">
        <v>10.53577028</v>
      </c>
      <c r="F81" s="20" t="n">
        <v>1.69968645</v>
      </c>
      <c r="G81" s="18" t="n">
        <v>24.57684031</v>
      </c>
      <c r="H81" s="20" t="n">
        <v>2.18660946</v>
      </c>
      <c r="I81" s="18" t="n">
        <v>10.82650869</v>
      </c>
      <c r="J81" s="20" t="n">
        <v>1.40225563</v>
      </c>
      <c r="K81" s="18" t="n">
        <v>0</v>
      </c>
      <c r="L81" s="20" t="n">
        <v>0</v>
      </c>
      <c r="M81" s="18" t="n">
        <v>5.58053715</v>
      </c>
      <c r="N81" s="20" t="n">
        <v>0.69633754</v>
      </c>
      <c r="O81" s="18" t="n">
        <v>15.87462484</v>
      </c>
      <c r="P81" s="20" t="n">
        <v>1.72201121</v>
      </c>
      <c r="Q81" s="18" t="n">
        <v>0</v>
      </c>
      <c r="R81" s="20" t="n">
        <v>0</v>
      </c>
      <c r="S81" s="18" t="n">
        <v>3.1234949</v>
      </c>
      <c r="T81" s="20" t="n">
        <v>0.82911754</v>
      </c>
      <c r="U81" s="18" t="n">
        <v>0.09017724000000001</v>
      </c>
      <c r="V81" s="20" t="n">
        <v>0.09625539</v>
      </c>
      <c r="W81" s="18" t="n">
        <v>0</v>
      </c>
      <c r="X81" s="20" t="n">
        <v>0</v>
      </c>
      <c r="Y81" s="18" t="n">
        <v>29.39204659</v>
      </c>
      <c r="Z81" s="20" t="n">
        <v>2.44112392</v>
      </c>
    </row>
    <row r="82" spans="1:26">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c r="W82" s="18" t="s">
        <v>603</v>
      </c>
      <c r="X82" s="20" t="s">
        <v>603</v>
      </c>
      <c r="Y82" s="18" t="s">
        <v>603</v>
      </c>
      <c r="Z82" s="20" t="s">
        <v>603</v>
      </c>
    </row>
    <row r="83" spans="1:26">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c r="W83" s="18" t="s">
        <v>603</v>
      </c>
      <c r="X83" s="20" t="s">
        <v>603</v>
      </c>
      <c r="Y83" s="18" t="s">
        <v>603</v>
      </c>
      <c r="Z83" s="20" t="s">
        <v>603</v>
      </c>
    </row>
    <row r="84" spans="1:26">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c r="W84" s="18" t="s">
        <v>603</v>
      </c>
      <c r="X84" s="20" t="s">
        <v>603</v>
      </c>
      <c r="Y84" s="18" t="s">
        <v>603</v>
      </c>
      <c r="Z84" s="20" t="s">
        <v>603</v>
      </c>
    </row>
    <row r="86" spans="1:26">
      <c r="A86" s="3" t="s">
        <v>645</v>
      </c>
    </row>
    <row r="87" spans="1:26">
      <c r="A87" s="26" t="s">
        <v>646</v>
      </c>
    </row>
    <row r="88" spans="1:26">
      <c r="A88" s="26" t="s">
        <v>647</v>
      </c>
    </row>
    <row customHeight="1" ht="30" r="89" spans="1:26">
      <c r="A89" s="26" t="s">
        <v>648</v>
      </c>
    </row>
    <row customHeight="1" ht="30" r="90" spans="1:26">
      <c r="A90" s="26" t="s">
        <v>649</v>
      </c>
    </row>
    <row customHeight="1" ht="30" r="91" spans="1:26">
      <c r="A91" s="26" t="s">
        <v>650</v>
      </c>
    </row>
    <row customHeight="1" ht="30" r="92" spans="1:26">
      <c r="A92" s="26" t="s">
        <v>651</v>
      </c>
    </row>
    <row customHeight="1" ht="30" r="93" spans="1:26">
      <c r="A93" s="26" t="s">
        <v>652</v>
      </c>
    </row>
    <row customHeight="1" ht="30" r="94" spans="1:26">
      <c r="A94" s="26" t="s">
        <v>653</v>
      </c>
    </row>
  </sheetData>
  <mergeCells count="21">
    <mergeCell ref="E4:F4"/>
    <mergeCell ref="G4:H4"/>
    <mergeCell ref="I4:J4"/>
    <mergeCell ref="K4:L4"/>
    <mergeCell ref="M4:N4"/>
    <mergeCell ref="O4:P4"/>
    <mergeCell ref="Q4:R4"/>
    <mergeCell ref="S4:T4"/>
    <mergeCell ref="U4:V4"/>
    <mergeCell ref="W4:X4"/>
    <mergeCell ref="Y4:Z4"/>
    <mergeCell ref="A1:Z1"/>
    <mergeCell ref="A2:Z2"/>
    <mergeCell ref="A87:Z87"/>
    <mergeCell ref="A88:Z88"/>
    <mergeCell ref="A89:Z89"/>
    <mergeCell ref="A90:Z90"/>
    <mergeCell ref="A91:Z91"/>
    <mergeCell ref="A92:Z92"/>
    <mergeCell ref="A93:Z93"/>
    <mergeCell ref="A94:Z94"/>
  </mergeCells>
  <pageMargins bottom="1" footer="0.5" header="0.5" left="0.75" right="0.75" top="1"/>
</worksheet>
</file>

<file path=xl/worksheets/sheet226.xml><?xml version="1.0" encoding="utf-8"?>
<worksheet xmlns="http://schemas.openxmlformats.org/spreadsheetml/2006/main">
  <sheetPr>
    <outlinePr summaryBelow="1" summaryRight="1"/>
    <pageSetUpPr/>
  </sheetPr>
  <dimension ref="A1:AB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8">
      <c r="A1" s="4" t="s">
        <v>549</v>
      </c>
    </row>
    <row r="2" spans="1:28">
      <c r="A2" s="5" t="s">
        <v>892</v>
      </c>
    </row>
    <row customHeight="1" ht="30" r="4" spans="1:28">
      <c r="A4" s="6" t="n"/>
      <c r="B4" s="7" t="s">
        <v>551</v>
      </c>
      <c r="C4" s="7" t="s">
        <v>552</v>
      </c>
      <c r="D4" s="8" t="s">
        <v>551</v>
      </c>
      <c r="E4" s="9" t="s">
        <v>655</v>
      </c>
      <c r="F4" s="10" t="n"/>
      <c r="G4" s="9" t="s">
        <v>656</v>
      </c>
      <c r="H4" s="10" t="n"/>
      <c r="I4" s="9" t="s">
        <v>701</v>
      </c>
      <c r="J4" s="10" t="n"/>
      <c r="K4" s="9" t="s">
        <v>703</v>
      </c>
      <c r="L4" s="10" t="n"/>
      <c r="M4" s="9" t="s">
        <v>853</v>
      </c>
      <c r="N4" s="10" t="n"/>
      <c r="O4" s="9" t="s">
        <v>657</v>
      </c>
      <c r="P4" s="10" t="n"/>
      <c r="Q4" s="9" t="s">
        <v>658</v>
      </c>
      <c r="R4" s="10" t="n"/>
      <c r="S4" s="9" t="s">
        <v>555</v>
      </c>
      <c r="T4" s="10" t="n"/>
      <c r="U4" s="9" t="s">
        <v>556</v>
      </c>
      <c r="V4" s="10" t="n"/>
      <c r="W4" s="9" t="s">
        <v>557</v>
      </c>
      <c r="X4" s="10" t="n"/>
      <c r="Y4" s="9" t="s">
        <v>558</v>
      </c>
      <c r="Z4" s="10" t="n"/>
      <c r="AA4" s="9" t="s">
        <v>559</v>
      </c>
      <c r="AB4" s="10" t="n"/>
    </row>
    <row r="5" spans="1:2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c r="W5" s="12" t="s">
        <v>561</v>
      </c>
      <c r="X5" s="11" t="s">
        <v>563</v>
      </c>
      <c r="Y5" s="12" t="s">
        <v>561</v>
      </c>
      <c r="Z5" s="11" t="s">
        <v>563</v>
      </c>
      <c r="AA5" s="12" t="s">
        <v>561</v>
      </c>
      <c r="AB5" s="11" t="s">
        <v>563</v>
      </c>
    </row>
    <row r="6" spans="1:28">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5" t="n"/>
      <c r="W6" s="14" t="n"/>
      <c r="X6" s="15" t="n"/>
      <c r="Y6" s="14" t="n"/>
      <c r="Z6" s="15" t="n"/>
      <c r="AA6" s="14" t="n"/>
      <c r="AB6" s="16" t="n"/>
    </row>
    <row r="7" spans="1:2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c r="W7" s="18" t="s">
        <v>603</v>
      </c>
      <c r="X7" s="20" t="s">
        <v>603</v>
      </c>
      <c r="Y7" s="18" t="s">
        <v>603</v>
      </c>
      <c r="Z7" s="20" t="s">
        <v>603</v>
      </c>
      <c r="AA7" s="18" t="s">
        <v>603</v>
      </c>
      <c r="AB7" s="20" t="s">
        <v>603</v>
      </c>
    </row>
    <row r="8" spans="1:2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c r="W8" s="18" t="s">
        <v>603</v>
      </c>
      <c r="X8" s="20" t="s">
        <v>603</v>
      </c>
      <c r="Y8" s="18" t="s">
        <v>603</v>
      </c>
      <c r="Z8" s="20" t="s">
        <v>603</v>
      </c>
      <c r="AA8" s="18" t="s">
        <v>603</v>
      </c>
      <c r="AB8" s="20" t="s">
        <v>603</v>
      </c>
    </row>
    <row r="9" spans="1:2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c r="W9" s="18" t="s">
        <v>603</v>
      </c>
      <c r="X9" s="20" t="s">
        <v>603</v>
      </c>
      <c r="Y9" s="18" t="s">
        <v>603</v>
      </c>
      <c r="Z9" s="20" t="s">
        <v>603</v>
      </c>
      <c r="AA9" s="18" t="s">
        <v>603</v>
      </c>
      <c r="AB9" s="20" t="s">
        <v>603</v>
      </c>
    </row>
    <row r="10" spans="1:2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c r="W10" s="18" t="s">
        <v>603</v>
      </c>
      <c r="X10" s="20" t="s">
        <v>603</v>
      </c>
      <c r="Y10" s="18" t="s">
        <v>603</v>
      </c>
      <c r="Z10" s="20" t="s">
        <v>603</v>
      </c>
      <c r="AA10" s="18" t="s">
        <v>603</v>
      </c>
      <c r="AB10" s="20" t="s">
        <v>603</v>
      </c>
    </row>
    <row r="11" spans="1:2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c r="W11" s="18" t="s">
        <v>603</v>
      </c>
      <c r="X11" s="20" t="s">
        <v>603</v>
      </c>
      <c r="Y11" s="18" t="s">
        <v>603</v>
      </c>
      <c r="Z11" s="20" t="s">
        <v>603</v>
      </c>
      <c r="AA11" s="18" t="s">
        <v>603</v>
      </c>
      <c r="AB11" s="20" t="s">
        <v>603</v>
      </c>
    </row>
    <row r="12" spans="1:2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c r="W12" s="18" t="s">
        <v>603</v>
      </c>
      <c r="X12" s="20" t="s">
        <v>603</v>
      </c>
      <c r="Y12" s="18" t="s">
        <v>603</v>
      </c>
      <c r="Z12" s="20" t="s">
        <v>603</v>
      </c>
      <c r="AA12" s="18" t="s">
        <v>603</v>
      </c>
      <c r="AB12" s="20" t="s">
        <v>603</v>
      </c>
    </row>
    <row r="13" spans="1:2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c r="W13" s="18" t="s">
        <v>603</v>
      </c>
      <c r="X13" s="20" t="s">
        <v>603</v>
      </c>
      <c r="Y13" s="18" t="s">
        <v>603</v>
      </c>
      <c r="Z13" s="20" t="s">
        <v>603</v>
      </c>
      <c r="AA13" s="18" t="s">
        <v>603</v>
      </c>
      <c r="AB13" s="20" t="s">
        <v>603</v>
      </c>
    </row>
    <row r="14" spans="1:2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c r="W14" s="18" t="s">
        <v>603</v>
      </c>
      <c r="X14" s="20" t="s">
        <v>603</v>
      </c>
      <c r="Y14" s="18" t="s">
        <v>603</v>
      </c>
      <c r="Z14" s="20" t="s">
        <v>603</v>
      </c>
      <c r="AA14" s="18" t="s">
        <v>603</v>
      </c>
      <c r="AB14" s="20" t="s">
        <v>603</v>
      </c>
    </row>
    <row r="15" spans="1:2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c r="W15" s="18" t="s">
        <v>603</v>
      </c>
      <c r="X15" s="20" t="s">
        <v>603</v>
      </c>
      <c r="Y15" s="18" t="s">
        <v>603</v>
      </c>
      <c r="Z15" s="20" t="s">
        <v>603</v>
      </c>
      <c r="AA15" s="18" t="s">
        <v>603</v>
      </c>
      <c r="AB15" s="20" t="s">
        <v>603</v>
      </c>
    </row>
    <row r="16" spans="1:2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c r="W16" s="18" t="s">
        <v>603</v>
      </c>
      <c r="X16" s="20" t="s">
        <v>603</v>
      </c>
      <c r="Y16" s="18" t="s">
        <v>603</v>
      </c>
      <c r="Z16" s="20" t="s">
        <v>603</v>
      </c>
      <c r="AA16" s="18" t="s">
        <v>603</v>
      </c>
      <c r="AB16" s="20" t="s">
        <v>603</v>
      </c>
    </row>
    <row r="17" spans="1:2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c r="W17" s="18" t="s">
        <v>603</v>
      </c>
      <c r="X17" s="20" t="s">
        <v>603</v>
      </c>
      <c r="Y17" s="18" t="s">
        <v>603</v>
      </c>
      <c r="Z17" s="20" t="s">
        <v>603</v>
      </c>
      <c r="AA17" s="18" t="s">
        <v>603</v>
      </c>
      <c r="AB17" s="20" t="s">
        <v>603</v>
      </c>
    </row>
    <row r="18" spans="1:2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c r="W18" s="18" t="s">
        <v>603</v>
      </c>
      <c r="X18" s="20" t="s">
        <v>603</v>
      </c>
      <c r="Y18" s="18" t="s">
        <v>603</v>
      </c>
      <c r="Z18" s="20" t="s">
        <v>603</v>
      </c>
      <c r="AA18" s="18" t="s">
        <v>603</v>
      </c>
      <c r="AB18" s="20" t="s">
        <v>603</v>
      </c>
    </row>
    <row r="19" spans="1:2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c r="W19" s="18" t="s">
        <v>603</v>
      </c>
      <c r="X19" s="20" t="s">
        <v>603</v>
      </c>
      <c r="Y19" s="18" t="s">
        <v>603</v>
      </c>
      <c r="Z19" s="20" t="s">
        <v>603</v>
      </c>
      <c r="AA19" s="18" t="s">
        <v>603</v>
      </c>
      <c r="AB19" s="20" t="s">
        <v>603</v>
      </c>
    </row>
    <row r="20" spans="1:2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c r="W20" s="18" t="s">
        <v>603</v>
      </c>
      <c r="X20" s="20" t="s">
        <v>603</v>
      </c>
      <c r="Y20" s="18" t="s">
        <v>603</v>
      </c>
      <c r="Z20" s="20" t="s">
        <v>603</v>
      </c>
      <c r="AA20" s="18" t="s">
        <v>603</v>
      </c>
      <c r="AB20" s="20" t="s">
        <v>603</v>
      </c>
    </row>
    <row r="21" spans="1:2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c r="W21" s="18" t="s">
        <v>603</v>
      </c>
      <c r="X21" s="20" t="s">
        <v>603</v>
      </c>
      <c r="Y21" s="18" t="s">
        <v>603</v>
      </c>
      <c r="Z21" s="20" t="s">
        <v>603</v>
      </c>
      <c r="AA21" s="18" t="s">
        <v>603</v>
      </c>
      <c r="AB21" s="20" t="s">
        <v>603</v>
      </c>
    </row>
    <row r="22" spans="1:2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c r="W22" s="18" t="s">
        <v>603</v>
      </c>
      <c r="X22" s="20" t="s">
        <v>603</v>
      </c>
      <c r="Y22" s="18" t="s">
        <v>603</v>
      </c>
      <c r="Z22" s="20" t="s">
        <v>603</v>
      </c>
      <c r="AA22" s="18" t="s">
        <v>603</v>
      </c>
      <c r="AB22" s="20" t="s">
        <v>603</v>
      </c>
    </row>
    <row r="23" spans="1:2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c r="W23" s="18" t="s">
        <v>603</v>
      </c>
      <c r="X23" s="20" t="s">
        <v>603</v>
      </c>
      <c r="Y23" s="18" t="s">
        <v>603</v>
      </c>
      <c r="Z23" s="20" t="s">
        <v>603</v>
      </c>
      <c r="AA23" s="18" t="s">
        <v>603</v>
      </c>
      <c r="AB23" s="20" t="s">
        <v>603</v>
      </c>
    </row>
    <row r="24" spans="1:2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c r="W24" s="18" t="s">
        <v>603</v>
      </c>
      <c r="X24" s="20" t="s">
        <v>603</v>
      </c>
      <c r="Y24" s="18" t="s">
        <v>603</v>
      </c>
      <c r="Z24" s="20" t="s">
        <v>603</v>
      </c>
      <c r="AA24" s="18" t="s">
        <v>603</v>
      </c>
      <c r="AB24" s="20" t="s">
        <v>603</v>
      </c>
    </row>
    <row r="25" spans="1:2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c r="W25" s="18" t="s">
        <v>603</v>
      </c>
      <c r="X25" s="20" t="s">
        <v>603</v>
      </c>
      <c r="Y25" s="18" t="s">
        <v>603</v>
      </c>
      <c r="Z25" s="20" t="s">
        <v>603</v>
      </c>
      <c r="AA25" s="18" t="s">
        <v>603</v>
      </c>
      <c r="AB25" s="20" t="s">
        <v>603</v>
      </c>
    </row>
    <row r="26" spans="1:2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c r="W26" s="18" t="s">
        <v>603</v>
      </c>
      <c r="X26" s="20" t="s">
        <v>603</v>
      </c>
      <c r="Y26" s="18" t="s">
        <v>603</v>
      </c>
      <c r="Z26" s="20" t="s">
        <v>603</v>
      </c>
      <c r="AA26" s="18" t="s">
        <v>603</v>
      </c>
      <c r="AB26" s="20" t="s">
        <v>603</v>
      </c>
    </row>
    <row r="27" spans="1:2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c r="W27" s="18" t="s">
        <v>603</v>
      </c>
      <c r="X27" s="20" t="s">
        <v>603</v>
      </c>
      <c r="Y27" s="18" t="s">
        <v>603</v>
      </c>
      <c r="Z27" s="20" t="s">
        <v>603</v>
      </c>
      <c r="AA27" s="18" t="s">
        <v>603</v>
      </c>
      <c r="AB27" s="20" t="s">
        <v>603</v>
      </c>
    </row>
    <row r="28" spans="1:2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c r="W28" s="18" t="s">
        <v>603</v>
      </c>
      <c r="X28" s="20" t="s">
        <v>603</v>
      </c>
      <c r="Y28" s="18" t="s">
        <v>603</v>
      </c>
      <c r="Z28" s="20" t="s">
        <v>603</v>
      </c>
      <c r="AA28" s="18" t="s">
        <v>603</v>
      </c>
      <c r="AB28" s="20" t="s">
        <v>603</v>
      </c>
    </row>
    <row r="29" spans="1:2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c r="W29" s="18" t="s">
        <v>603</v>
      </c>
      <c r="X29" s="20" t="s">
        <v>603</v>
      </c>
      <c r="Y29" s="18" t="s">
        <v>603</v>
      </c>
      <c r="Z29" s="20" t="s">
        <v>603</v>
      </c>
      <c r="AA29" s="18" t="s">
        <v>603</v>
      </c>
      <c r="AB29" s="20" t="s">
        <v>603</v>
      </c>
    </row>
    <row r="30" spans="1:2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c r="W30" s="18" t="s">
        <v>603</v>
      </c>
      <c r="X30" s="20" t="s">
        <v>603</v>
      </c>
      <c r="Y30" s="18" t="s">
        <v>603</v>
      </c>
      <c r="Z30" s="20" t="s">
        <v>603</v>
      </c>
      <c r="AA30" s="18" t="s">
        <v>603</v>
      </c>
      <c r="AB30" s="20" t="s">
        <v>603</v>
      </c>
    </row>
    <row r="31" spans="1:2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c r="W31" s="18" t="s">
        <v>603</v>
      </c>
      <c r="X31" s="20" t="s">
        <v>603</v>
      </c>
      <c r="Y31" s="18" t="s">
        <v>603</v>
      </c>
      <c r="Z31" s="20" t="s">
        <v>603</v>
      </c>
      <c r="AA31" s="18" t="s">
        <v>603</v>
      </c>
      <c r="AB31" s="20" t="s">
        <v>603</v>
      </c>
    </row>
    <row r="32" spans="1:2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c r="W32" s="18" t="s">
        <v>603</v>
      </c>
      <c r="X32" s="20" t="s">
        <v>603</v>
      </c>
      <c r="Y32" s="18" t="s">
        <v>603</v>
      </c>
      <c r="Z32" s="20" t="s">
        <v>603</v>
      </c>
      <c r="AA32" s="18" t="s">
        <v>603</v>
      </c>
      <c r="AB32" s="20" t="s">
        <v>603</v>
      </c>
    </row>
    <row r="33" spans="1:2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c r="W33" s="18" t="s">
        <v>603</v>
      </c>
      <c r="X33" s="20" t="s">
        <v>603</v>
      </c>
      <c r="Y33" s="18" t="s">
        <v>603</v>
      </c>
      <c r="Z33" s="20" t="s">
        <v>603</v>
      </c>
      <c r="AA33" s="18" t="s">
        <v>603</v>
      </c>
      <c r="AB33" s="20" t="s">
        <v>603</v>
      </c>
    </row>
    <row r="34" spans="1:2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c r="W34" s="18" t="s">
        <v>603</v>
      </c>
      <c r="X34" s="20" t="s">
        <v>603</v>
      </c>
      <c r="Y34" s="18" t="s">
        <v>603</v>
      </c>
      <c r="Z34" s="20" t="s">
        <v>603</v>
      </c>
      <c r="AA34" s="18" t="s">
        <v>603</v>
      </c>
      <c r="AB34" s="20" t="s">
        <v>603</v>
      </c>
    </row>
    <row r="35" spans="1:2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c r="W35" s="18" t="s">
        <v>603</v>
      </c>
      <c r="X35" s="20" t="s">
        <v>603</v>
      </c>
      <c r="Y35" s="18" t="s">
        <v>603</v>
      </c>
      <c r="Z35" s="20" t="s">
        <v>603</v>
      </c>
      <c r="AA35" s="18" t="s">
        <v>603</v>
      </c>
      <c r="AB35" s="20" t="s">
        <v>603</v>
      </c>
    </row>
    <row r="36" spans="1:2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c r="W36" s="18" t="s">
        <v>603</v>
      </c>
      <c r="X36" s="20" t="s">
        <v>603</v>
      </c>
      <c r="Y36" s="18" t="s">
        <v>603</v>
      </c>
      <c r="Z36" s="20" t="s">
        <v>603</v>
      </c>
      <c r="AA36" s="18" t="s">
        <v>603</v>
      </c>
      <c r="AB36" s="20" t="s">
        <v>603</v>
      </c>
    </row>
    <row r="37" spans="1:2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c r="W37" s="18" t="s">
        <v>603</v>
      </c>
      <c r="X37" s="20" t="s">
        <v>603</v>
      </c>
      <c r="Y37" s="18" t="s">
        <v>603</v>
      </c>
      <c r="Z37" s="20" t="s">
        <v>603</v>
      </c>
      <c r="AA37" s="18" t="s">
        <v>603</v>
      </c>
      <c r="AB37" s="20" t="s">
        <v>603</v>
      </c>
    </row>
    <row r="38" spans="1:2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c r="W38" s="18" t="s">
        <v>603</v>
      </c>
      <c r="X38" s="20" t="s">
        <v>603</v>
      </c>
      <c r="Y38" s="18" t="s">
        <v>603</v>
      </c>
      <c r="Z38" s="20" t="s">
        <v>603</v>
      </c>
      <c r="AA38" s="18" t="s">
        <v>603</v>
      </c>
      <c r="AB38" s="20" t="s">
        <v>603</v>
      </c>
    </row>
    <row r="39" spans="1:2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c r="W39" s="18" t="s">
        <v>603</v>
      </c>
      <c r="X39" s="20" t="s">
        <v>603</v>
      </c>
      <c r="Y39" s="18" t="s">
        <v>603</v>
      </c>
      <c r="Z39" s="20" t="s">
        <v>603</v>
      </c>
      <c r="AA39" s="18" t="s">
        <v>603</v>
      </c>
      <c r="AB39" s="20" t="s">
        <v>603</v>
      </c>
    </row>
    <row r="40" spans="1:2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c r="W40" s="18" t="s">
        <v>603</v>
      </c>
      <c r="X40" s="20" t="s">
        <v>603</v>
      </c>
      <c r="Y40" s="18" t="s">
        <v>603</v>
      </c>
      <c r="Z40" s="20" t="s">
        <v>603</v>
      </c>
      <c r="AA40" s="18" t="s">
        <v>603</v>
      </c>
      <c r="AB40" s="20" t="s">
        <v>603</v>
      </c>
    </row>
    <row r="41" spans="1:2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c r="W41" s="18" t="s">
        <v>603</v>
      </c>
      <c r="X41" s="20" t="s">
        <v>603</v>
      </c>
      <c r="Y41" s="18" t="s">
        <v>603</v>
      </c>
      <c r="Z41" s="20" t="s">
        <v>603</v>
      </c>
      <c r="AA41" s="18" t="s">
        <v>603</v>
      </c>
      <c r="AB41" s="20" t="s">
        <v>603</v>
      </c>
    </row>
    <row r="42" spans="1:2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c r="W42" s="18">
        <f>IF(COUNT(W7:W41) &gt; 0, AVERAGE(W7:W41), "—")</f>
        <v/>
      </c>
      <c r="X42" s="20">
        <f>IF(COUNT(X7:X41) &gt; 0, SQRT(SUMSQ(X7:X41)/(COUNT(X7:X41)*COUNT(X7:X41)) ), "—")</f>
        <v/>
      </c>
      <c r="Y42" s="18">
        <f>IF(COUNT(Y7:Y41) &gt; 0, AVERAGE(Y7:Y41), "—")</f>
        <v/>
      </c>
      <c r="Z42" s="20">
        <f>IF(COUNT(Z7:Z41) &gt; 0, SQRT(SUMSQ(Z7:Z41)/(COUNT(Z7:Z41)*COUNT(Z7:Z41)) ), "—")</f>
        <v/>
      </c>
      <c r="AA42" s="18">
        <f>IF(COUNT(AA7:AA41) &gt; 0, AVERAGE(AA7:AA41), "—")</f>
        <v/>
      </c>
      <c r="AB42" s="20">
        <f>IF(COUNT(AB7:AB41) &gt; 0, SQRT(SUMSQ(AB7:AB41)/(COUNT(AB7:AB41)*COUNT(AB7:AB41)) ), "—")</f>
        <v/>
      </c>
    </row>
    <row r="43" spans="1:28">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5" t="n"/>
      <c r="W43" s="14" t="n"/>
      <c r="X43" s="15" t="n"/>
      <c r="Y43" s="14" t="n"/>
      <c r="Z43" s="15" t="n"/>
      <c r="AA43" s="14" t="n"/>
      <c r="AB43" s="16" t="n"/>
    </row>
    <row r="44" spans="1:28">
      <c r="A44" s="15" t="s">
        <v>602</v>
      </c>
      <c r="B44" s="17" t="n">
        <v>5215</v>
      </c>
      <c r="C44" s="18">
        <f>(3491.0/B44*100)</f>
        <v/>
      </c>
      <c r="D44" s="19" t="n">
        <v>1724</v>
      </c>
      <c r="E44" s="18" t="n">
        <v>18.86427347</v>
      </c>
      <c r="F44" s="20" t="n">
        <v>1.13125892</v>
      </c>
      <c r="G44" s="18" t="n">
        <v>4.51094266</v>
      </c>
      <c r="H44" s="20" t="n">
        <v>0.57657809</v>
      </c>
      <c r="I44" s="18" t="n">
        <v>2.47663451</v>
      </c>
      <c r="J44" s="20" t="n">
        <v>0.4836064</v>
      </c>
      <c r="K44" s="18" t="n">
        <v>15.0174316</v>
      </c>
      <c r="L44" s="20" t="n">
        <v>0.92865613</v>
      </c>
      <c r="M44" s="18" t="n">
        <v>0</v>
      </c>
      <c r="N44" s="20" t="n">
        <v>0</v>
      </c>
      <c r="O44" s="18" t="n">
        <v>13.72499329</v>
      </c>
      <c r="P44" s="20" t="n">
        <v>1.1096454</v>
      </c>
      <c r="Q44" s="18" t="n">
        <v>9.355959929999999</v>
      </c>
      <c r="R44" s="20" t="n">
        <v>0.69484432</v>
      </c>
      <c r="S44" s="18" t="n">
        <v>0</v>
      </c>
      <c r="T44" s="20" t="n">
        <v>0</v>
      </c>
      <c r="U44" s="18" t="n">
        <v>2.69715613</v>
      </c>
      <c r="V44" s="20" t="n">
        <v>0.43325722</v>
      </c>
      <c r="W44" s="18" t="n">
        <v>0</v>
      </c>
      <c r="X44" s="20" t="n">
        <v>0</v>
      </c>
      <c r="Y44" s="18" t="n">
        <v>0</v>
      </c>
      <c r="Z44" s="20" t="n">
        <v>0</v>
      </c>
      <c r="AA44" s="18" t="n">
        <v>33.35260841</v>
      </c>
      <c r="AB44" s="20" t="n">
        <v>1.71502072</v>
      </c>
    </row>
    <row r="45" spans="1:28">
      <c r="A45" s="15" t="s">
        <v>604</v>
      </c>
      <c r="B45" s="17" t="n">
        <v>5519</v>
      </c>
      <c r="C45" s="18">
        <f>(3684.0/B45*100)</f>
        <v/>
      </c>
      <c r="D45" s="19" t="n">
        <v>1835</v>
      </c>
      <c r="E45" s="18" t="n">
        <v>17.83588948</v>
      </c>
      <c r="F45" s="20" t="n">
        <v>1.07480413</v>
      </c>
      <c r="G45" s="18" t="n">
        <v>4.15099631</v>
      </c>
      <c r="H45" s="20" t="n">
        <v>0.41083075</v>
      </c>
      <c r="I45" s="18" t="n">
        <v>5.8802579</v>
      </c>
      <c r="J45" s="20" t="n">
        <v>0.56434345</v>
      </c>
      <c r="K45" s="18" t="n">
        <v>27.35069802</v>
      </c>
      <c r="L45" s="20" t="n">
        <v>1.19363596</v>
      </c>
      <c r="M45" s="18" t="n">
        <v>0</v>
      </c>
      <c r="N45" s="20" t="n">
        <v>0</v>
      </c>
      <c r="O45" s="18" t="n">
        <v>4.05590257</v>
      </c>
      <c r="P45" s="20" t="n">
        <v>0.5259585</v>
      </c>
      <c r="Q45" s="18" t="n">
        <v>4.76773076</v>
      </c>
      <c r="R45" s="20" t="n">
        <v>0.51340512</v>
      </c>
      <c r="S45" s="18" t="n">
        <v>0</v>
      </c>
      <c r="T45" s="20" t="n">
        <v>0</v>
      </c>
      <c r="U45" s="18" t="n">
        <v>5.74602287</v>
      </c>
      <c r="V45" s="20" t="n">
        <v>0.62970624</v>
      </c>
      <c r="W45" s="18" t="n">
        <v>0.30719698</v>
      </c>
      <c r="X45" s="20" t="n">
        <v>0.15217852</v>
      </c>
      <c r="Y45" s="18" t="n">
        <v>0.23354401</v>
      </c>
      <c r="Z45" s="20" t="n">
        <v>0.11675078</v>
      </c>
      <c r="AA45" s="18" t="n">
        <v>29.67176109</v>
      </c>
      <c r="AB45" s="20" t="n">
        <v>1.28780405</v>
      </c>
    </row>
    <row r="46" spans="1:2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c r="W46" s="18" t="s">
        <v>603</v>
      </c>
      <c r="X46" s="20" t="s">
        <v>603</v>
      </c>
      <c r="Y46" s="18" t="s">
        <v>603</v>
      </c>
      <c r="Z46" s="20" t="s">
        <v>603</v>
      </c>
      <c r="AA46" s="18" t="s">
        <v>603</v>
      </c>
      <c r="AB46" s="20" t="s">
        <v>603</v>
      </c>
    </row>
    <row r="47" spans="1:2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c r="W47" s="18" t="s">
        <v>603</v>
      </c>
      <c r="X47" s="20" t="s">
        <v>603</v>
      </c>
      <c r="Y47" s="18" t="s">
        <v>603</v>
      </c>
      <c r="Z47" s="20" t="s">
        <v>603</v>
      </c>
      <c r="AA47" s="18" t="s">
        <v>603</v>
      </c>
      <c r="AB47" s="20" t="s">
        <v>603</v>
      </c>
    </row>
    <row r="48" spans="1:2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c r="W48" s="18" t="s">
        <v>603</v>
      </c>
      <c r="X48" s="20" t="s">
        <v>603</v>
      </c>
      <c r="Y48" s="18" t="s">
        <v>603</v>
      </c>
      <c r="Z48" s="20" t="s">
        <v>603</v>
      </c>
      <c r="AA48" s="18" t="s">
        <v>603</v>
      </c>
      <c r="AB48" s="20" t="s">
        <v>603</v>
      </c>
    </row>
    <row r="49" spans="1:2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c r="W49" s="18" t="s">
        <v>603</v>
      </c>
      <c r="X49" s="20" t="s">
        <v>603</v>
      </c>
      <c r="Y49" s="18" t="s">
        <v>603</v>
      </c>
      <c r="Z49" s="20" t="s">
        <v>603</v>
      </c>
      <c r="AA49" s="18" t="s">
        <v>603</v>
      </c>
      <c r="AB49" s="20" t="s">
        <v>603</v>
      </c>
    </row>
    <row r="50" spans="1:2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c r="W50" s="18" t="s">
        <v>603</v>
      </c>
      <c r="X50" s="20" t="s">
        <v>603</v>
      </c>
      <c r="Y50" s="18" t="s">
        <v>603</v>
      </c>
      <c r="Z50" s="20" t="s">
        <v>603</v>
      </c>
      <c r="AA50" s="18" t="s">
        <v>603</v>
      </c>
      <c r="AB50" s="20" t="s">
        <v>603</v>
      </c>
    </row>
    <row r="51" spans="1:2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c r="W51" s="18" t="s">
        <v>603</v>
      </c>
      <c r="X51" s="20" t="s">
        <v>603</v>
      </c>
      <c r="Y51" s="18" t="s">
        <v>603</v>
      </c>
      <c r="Z51" s="20" t="s">
        <v>603</v>
      </c>
      <c r="AA51" s="18" t="s">
        <v>603</v>
      </c>
      <c r="AB51" s="20" t="s">
        <v>603</v>
      </c>
    </row>
    <row r="52" spans="1:2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c r="W52" s="18" t="s">
        <v>603</v>
      </c>
      <c r="X52" s="20" t="s">
        <v>603</v>
      </c>
      <c r="Y52" s="18" t="s">
        <v>603</v>
      </c>
      <c r="Z52" s="20" t="s">
        <v>603</v>
      </c>
      <c r="AA52" s="18" t="s">
        <v>603</v>
      </c>
      <c r="AB52" s="20" t="s">
        <v>603</v>
      </c>
    </row>
    <row r="53" spans="1:2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c r="W53" s="18" t="s">
        <v>603</v>
      </c>
      <c r="X53" s="20" t="s">
        <v>603</v>
      </c>
      <c r="Y53" s="18" t="s">
        <v>603</v>
      </c>
      <c r="Z53" s="20" t="s">
        <v>603</v>
      </c>
      <c r="AA53" s="18" t="s">
        <v>603</v>
      </c>
      <c r="AB53" s="20" t="s">
        <v>603</v>
      </c>
    </row>
    <row r="54" spans="1:28">
      <c r="A54" s="15" t="s">
        <v>613</v>
      </c>
      <c r="B54" s="17" t="n">
        <v>5316</v>
      </c>
      <c r="C54" s="18">
        <f>(3517.0/B54*100)</f>
        <v/>
      </c>
      <c r="D54" s="19" t="n">
        <v>1799</v>
      </c>
      <c r="E54" s="18" t="n">
        <v>14.2533144</v>
      </c>
      <c r="F54" s="20" t="n">
        <v>1.01708663</v>
      </c>
      <c r="G54" s="18" t="n">
        <v>9.01803087</v>
      </c>
      <c r="H54" s="20" t="n">
        <v>0.77457902</v>
      </c>
      <c r="I54" s="18" t="n">
        <v>0.79350822</v>
      </c>
      <c r="J54" s="20" t="n">
        <v>0.19490163</v>
      </c>
      <c r="K54" s="18" t="n">
        <v>12.50493723</v>
      </c>
      <c r="L54" s="20" t="n">
        <v>0.96054476</v>
      </c>
      <c r="M54" s="18" t="n">
        <v>0</v>
      </c>
      <c r="N54" s="20" t="n">
        <v>0</v>
      </c>
      <c r="O54" s="18" t="n">
        <v>14.22183321</v>
      </c>
      <c r="P54" s="20" t="n">
        <v>0.98077572</v>
      </c>
      <c r="Q54" s="18" t="n">
        <v>4.90156161</v>
      </c>
      <c r="R54" s="20" t="n">
        <v>0.51722853</v>
      </c>
      <c r="S54" s="18" t="n">
        <v>0</v>
      </c>
      <c r="T54" s="20" t="n">
        <v>0</v>
      </c>
      <c r="U54" s="18" t="n">
        <v>2.78000575</v>
      </c>
      <c r="V54" s="20" t="n">
        <v>0.43536471</v>
      </c>
      <c r="W54" s="18" t="n">
        <v>0</v>
      </c>
      <c r="X54" s="20" t="n">
        <v>0</v>
      </c>
      <c r="Y54" s="18" t="n">
        <v>0.04700565</v>
      </c>
      <c r="Z54" s="20" t="n">
        <v>0.04713909</v>
      </c>
      <c r="AA54" s="18" t="n">
        <v>41.47980306</v>
      </c>
      <c r="AB54" s="20" t="n">
        <v>1.42990161</v>
      </c>
    </row>
    <row r="55" spans="1:2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c r="W55" s="18" t="s">
        <v>603</v>
      </c>
      <c r="X55" s="20" t="s">
        <v>603</v>
      </c>
      <c r="Y55" s="18" t="s">
        <v>603</v>
      </c>
      <c r="Z55" s="20" t="s">
        <v>603</v>
      </c>
      <c r="AA55" s="18" t="s">
        <v>603</v>
      </c>
      <c r="AB55" s="20" t="s">
        <v>603</v>
      </c>
    </row>
    <row r="56" spans="1:28">
      <c r="A56" s="15" t="s">
        <v>615</v>
      </c>
      <c r="B56" s="17" t="n">
        <v>6513</v>
      </c>
      <c r="C56" s="18">
        <f>(4392.0/B56*100)</f>
        <v/>
      </c>
      <c r="D56" s="19" t="n">
        <v>2121</v>
      </c>
      <c r="E56" s="18" t="n">
        <v>35.80252169</v>
      </c>
      <c r="F56" s="20" t="n">
        <v>1.35605989</v>
      </c>
      <c r="G56" s="18" t="n">
        <v>9.33626434</v>
      </c>
      <c r="H56" s="20" t="n">
        <v>0.65594313</v>
      </c>
      <c r="I56" s="18" t="n">
        <v>3.14246076</v>
      </c>
      <c r="J56" s="20" t="n">
        <v>0.36397033</v>
      </c>
      <c r="K56" s="18" t="n">
        <v>28.96331737</v>
      </c>
      <c r="L56" s="20" t="n">
        <v>1.11197648</v>
      </c>
      <c r="M56" s="18" t="n">
        <v>0</v>
      </c>
      <c r="N56" s="20" t="n">
        <v>0</v>
      </c>
      <c r="O56" s="18" t="n">
        <v>10.1095836</v>
      </c>
      <c r="P56" s="20" t="n">
        <v>0.65363085</v>
      </c>
      <c r="Q56" s="18" t="n">
        <v>4.02215101</v>
      </c>
      <c r="R56" s="20" t="n">
        <v>0.49207896</v>
      </c>
      <c r="S56" s="18" t="n">
        <v>0</v>
      </c>
      <c r="T56" s="20" t="n">
        <v>0</v>
      </c>
      <c r="U56" s="18" t="n">
        <v>1.50308586</v>
      </c>
      <c r="V56" s="20" t="n">
        <v>0.35056458</v>
      </c>
      <c r="W56" s="18" t="n">
        <v>0</v>
      </c>
      <c r="X56" s="20" t="n">
        <v>0</v>
      </c>
      <c r="Y56" s="18" t="n">
        <v>0</v>
      </c>
      <c r="Z56" s="20" t="n">
        <v>0</v>
      </c>
      <c r="AA56" s="18" t="n">
        <v>7.12061535</v>
      </c>
      <c r="AB56" s="20" t="n">
        <v>0.8183074</v>
      </c>
    </row>
    <row r="57" spans="1:28">
      <c r="A57" s="15" t="s">
        <v>616</v>
      </c>
      <c r="B57" s="17" t="n">
        <v>7267</v>
      </c>
      <c r="C57" s="18">
        <f>(4851.0/B57*100)</f>
        <v/>
      </c>
      <c r="D57" s="19" t="n">
        <v>2416</v>
      </c>
      <c r="E57" s="18" t="n">
        <v>18.3556472</v>
      </c>
      <c r="F57" s="20" t="n">
        <v>0.99891623</v>
      </c>
      <c r="G57" s="18" t="n">
        <v>14.71886515</v>
      </c>
      <c r="H57" s="20" t="n">
        <v>0.89071189</v>
      </c>
      <c r="I57" s="18" t="n">
        <v>4.99860431</v>
      </c>
      <c r="J57" s="20" t="n">
        <v>0.58351043</v>
      </c>
      <c r="K57" s="18" t="n">
        <v>28.28003814</v>
      </c>
      <c r="L57" s="20" t="n">
        <v>1.08520499</v>
      </c>
      <c r="M57" s="18" t="n">
        <v>0</v>
      </c>
      <c r="N57" s="20" t="n">
        <v>0</v>
      </c>
      <c r="O57" s="18" t="n">
        <v>9.73645919</v>
      </c>
      <c r="P57" s="20" t="n">
        <v>0.57005445</v>
      </c>
      <c r="Q57" s="18" t="n">
        <v>4.79489175</v>
      </c>
      <c r="R57" s="20" t="n">
        <v>0.46215779</v>
      </c>
      <c r="S57" s="18" t="n">
        <v>0</v>
      </c>
      <c r="T57" s="20" t="n">
        <v>0</v>
      </c>
      <c r="U57" s="18" t="n">
        <v>2.85168629</v>
      </c>
      <c r="V57" s="20" t="n">
        <v>0.51391733</v>
      </c>
      <c r="W57" s="18" t="n">
        <v>0</v>
      </c>
      <c r="X57" s="20" t="n">
        <v>0</v>
      </c>
      <c r="Y57" s="18" t="n">
        <v>0</v>
      </c>
      <c r="Z57" s="20" t="n">
        <v>0</v>
      </c>
      <c r="AA57" s="18" t="n">
        <v>16.26380797</v>
      </c>
      <c r="AB57" s="20" t="n">
        <v>1.0989619</v>
      </c>
    </row>
    <row r="58" spans="1:2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c r="W58" s="21" t="s">
        <v>618</v>
      </c>
      <c r="X58" s="22" t="s">
        <v>618</v>
      </c>
      <c r="Y58" s="21" t="s">
        <v>618</v>
      </c>
      <c r="Z58" s="22" t="s">
        <v>618</v>
      </c>
      <c r="AA58" s="21" t="s">
        <v>618</v>
      </c>
      <c r="AB58" s="22" t="s">
        <v>618</v>
      </c>
    </row>
    <row r="59" spans="1:28">
      <c r="A59" s="15" t="s">
        <v>619</v>
      </c>
      <c r="B59" s="17" t="n">
        <v>4826</v>
      </c>
      <c r="C59" s="18">
        <f>(3238.0/B59*100)</f>
        <v/>
      </c>
      <c r="D59" s="19" t="n">
        <v>1588</v>
      </c>
      <c r="E59" s="18" t="n">
        <v>19.22229661</v>
      </c>
      <c r="F59" s="20" t="n">
        <v>1.04220835</v>
      </c>
      <c r="G59" s="18" t="n">
        <v>5.80020482</v>
      </c>
      <c r="H59" s="20" t="n">
        <v>0.68684937</v>
      </c>
      <c r="I59" s="18" t="n">
        <v>3.96159451</v>
      </c>
      <c r="J59" s="20" t="n">
        <v>0.52636887</v>
      </c>
      <c r="K59" s="18" t="n">
        <v>29.89642083</v>
      </c>
      <c r="L59" s="20" t="n">
        <v>1.40660727</v>
      </c>
      <c r="M59" s="18" t="n">
        <v>0</v>
      </c>
      <c r="N59" s="20" t="n">
        <v>0</v>
      </c>
      <c r="O59" s="18" t="n">
        <v>11.20222913</v>
      </c>
      <c r="P59" s="20" t="n">
        <v>1.03531919</v>
      </c>
      <c r="Q59" s="18" t="n">
        <v>7.60720759</v>
      </c>
      <c r="R59" s="20" t="n">
        <v>0.73688634</v>
      </c>
      <c r="S59" s="18" t="n">
        <v>0</v>
      </c>
      <c r="T59" s="20" t="n">
        <v>0</v>
      </c>
      <c r="U59" s="18" t="n">
        <v>0.72187758</v>
      </c>
      <c r="V59" s="20" t="n">
        <v>0.26129064</v>
      </c>
      <c r="W59" s="18" t="n">
        <v>0</v>
      </c>
      <c r="X59" s="20" t="n">
        <v>0</v>
      </c>
      <c r="Y59" s="18" t="n">
        <v>0</v>
      </c>
      <c r="Z59" s="20" t="n">
        <v>0</v>
      </c>
      <c r="AA59" s="18" t="n">
        <v>21.58816894</v>
      </c>
      <c r="AB59" s="20" t="n">
        <v>1.12668516</v>
      </c>
    </row>
    <row r="60" spans="1:28">
      <c r="A60" s="15" t="s">
        <v>620</v>
      </c>
      <c r="B60" s="17" t="n">
        <v>4546</v>
      </c>
      <c r="C60" s="18">
        <f>(3033.0/B60*100)</f>
        <v/>
      </c>
      <c r="D60" s="19" t="n">
        <v>1513</v>
      </c>
      <c r="E60" s="18" t="n">
        <v>13.60221118</v>
      </c>
      <c r="F60" s="20" t="n">
        <v>0.84812705</v>
      </c>
      <c r="G60" s="18" t="n">
        <v>6.89391104</v>
      </c>
      <c r="H60" s="20" t="n">
        <v>0.7567240200000001</v>
      </c>
      <c r="I60" s="18" t="n">
        <v>4.29686656</v>
      </c>
      <c r="J60" s="20" t="n">
        <v>0.5340746200000001</v>
      </c>
      <c r="K60" s="18" t="n">
        <v>26.72301703</v>
      </c>
      <c r="L60" s="20" t="n">
        <v>1.16975372</v>
      </c>
      <c r="M60" s="18" t="n">
        <v>0</v>
      </c>
      <c r="N60" s="20" t="n">
        <v>0</v>
      </c>
      <c r="O60" s="18" t="n">
        <v>7.17900205</v>
      </c>
      <c r="P60" s="20" t="n">
        <v>0.72709205</v>
      </c>
      <c r="Q60" s="18" t="n">
        <v>5.85985782</v>
      </c>
      <c r="R60" s="20" t="n">
        <v>0.67429621</v>
      </c>
      <c r="S60" s="18" t="n">
        <v>0</v>
      </c>
      <c r="T60" s="20" t="n">
        <v>0</v>
      </c>
      <c r="U60" s="18" t="n">
        <v>4.20219451</v>
      </c>
      <c r="V60" s="20" t="n">
        <v>0.60029586</v>
      </c>
      <c r="W60" s="18" t="n">
        <v>0</v>
      </c>
      <c r="X60" s="20" t="n">
        <v>0</v>
      </c>
      <c r="Y60" s="18" t="n">
        <v>0.45344199</v>
      </c>
      <c r="Z60" s="20" t="n">
        <v>0.17784515</v>
      </c>
      <c r="AA60" s="18" t="n">
        <v>30.78949782</v>
      </c>
      <c r="AB60" s="20" t="n">
        <v>1.4748165</v>
      </c>
    </row>
    <row r="61" spans="1:2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c r="W61" s="18" t="s">
        <v>603</v>
      </c>
      <c r="X61" s="20" t="s">
        <v>603</v>
      </c>
      <c r="Y61" s="18" t="s">
        <v>603</v>
      </c>
      <c r="Z61" s="20" t="s">
        <v>603</v>
      </c>
      <c r="AA61" s="18" t="s">
        <v>603</v>
      </c>
      <c r="AB61" s="20" t="s">
        <v>603</v>
      </c>
    </row>
    <row r="62" spans="1:2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c r="W62" s="18" t="s">
        <v>603</v>
      </c>
      <c r="X62" s="20" t="s">
        <v>603</v>
      </c>
      <c r="Y62" s="18" t="s">
        <v>603</v>
      </c>
      <c r="Z62" s="20" t="s">
        <v>603</v>
      </c>
      <c r="AA62" s="18" t="s">
        <v>603</v>
      </c>
      <c r="AB62" s="20" t="s">
        <v>603</v>
      </c>
    </row>
    <row r="63" spans="1:28">
      <c r="A63" s="15" t="s">
        <v>623</v>
      </c>
      <c r="B63" s="17" t="n">
        <v>5324</v>
      </c>
      <c r="C63" s="18">
        <f>(3546.0/B63*100)</f>
        <v/>
      </c>
      <c r="D63" s="19" t="n">
        <v>1778</v>
      </c>
      <c r="E63" s="18" t="n">
        <v>8.074328230000001</v>
      </c>
      <c r="F63" s="20" t="n">
        <v>0.71322553</v>
      </c>
      <c r="G63" s="18" t="n">
        <v>3.16032448</v>
      </c>
      <c r="H63" s="20" t="n">
        <v>0.5122982</v>
      </c>
      <c r="I63" s="18" t="n">
        <v>1.59587548</v>
      </c>
      <c r="J63" s="20" t="n">
        <v>0.3537816</v>
      </c>
      <c r="K63" s="18" t="n">
        <v>11.52189934</v>
      </c>
      <c r="L63" s="20" t="n">
        <v>0.84867517</v>
      </c>
      <c r="M63" s="18" t="n">
        <v>0</v>
      </c>
      <c r="N63" s="20" t="n">
        <v>0</v>
      </c>
      <c r="O63" s="18" t="n">
        <v>12.4845416</v>
      </c>
      <c r="P63" s="20" t="n">
        <v>0.91681705</v>
      </c>
      <c r="Q63" s="18" t="n">
        <v>4.09829937</v>
      </c>
      <c r="R63" s="20" t="n">
        <v>0.51319647</v>
      </c>
      <c r="S63" s="18" t="n">
        <v>0</v>
      </c>
      <c r="T63" s="20" t="n">
        <v>0</v>
      </c>
      <c r="U63" s="18" t="n">
        <v>2.59326903</v>
      </c>
      <c r="V63" s="20" t="n">
        <v>0.42513191</v>
      </c>
      <c r="W63" s="18" t="n">
        <v>0</v>
      </c>
      <c r="X63" s="20" t="n">
        <v>0</v>
      </c>
      <c r="Y63" s="18" t="n">
        <v>0</v>
      </c>
      <c r="Z63" s="20" t="n">
        <v>0</v>
      </c>
      <c r="AA63" s="18" t="n">
        <v>56.47146247</v>
      </c>
      <c r="AB63" s="20" t="n">
        <v>1.35478419</v>
      </c>
    </row>
    <row r="64" spans="1:2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c r="W64" s="21" t="s">
        <v>618</v>
      </c>
      <c r="X64" s="22" t="s">
        <v>618</v>
      </c>
      <c r="Y64" s="21" t="s">
        <v>618</v>
      </c>
      <c r="Z64" s="22" t="s">
        <v>618</v>
      </c>
      <c r="AA64" s="21" t="s">
        <v>618</v>
      </c>
      <c r="AB64" s="22" t="s">
        <v>618</v>
      </c>
    </row>
    <row r="65" spans="1:28">
      <c r="A65" s="15" t="s">
        <v>625</v>
      </c>
      <c r="B65" s="17" t="n">
        <v>3634</v>
      </c>
      <c r="C65" s="18">
        <f>(2433.0/B65*100)</f>
        <v/>
      </c>
      <c r="D65" s="19" t="n">
        <v>1201</v>
      </c>
      <c r="E65" s="18" t="n">
        <v>26.84161467</v>
      </c>
      <c r="F65" s="20" t="n">
        <v>1.3972655</v>
      </c>
      <c r="G65" s="18" t="n">
        <v>10.62524301</v>
      </c>
      <c r="H65" s="20" t="n">
        <v>0.92452573</v>
      </c>
      <c r="I65" s="18" t="n">
        <v>2.53931223</v>
      </c>
      <c r="J65" s="20" t="n">
        <v>0.46552385</v>
      </c>
      <c r="K65" s="18" t="n">
        <v>15.1459186</v>
      </c>
      <c r="L65" s="20" t="n">
        <v>1.02369481</v>
      </c>
      <c r="M65" s="18" t="n">
        <v>0</v>
      </c>
      <c r="N65" s="20" t="n">
        <v>0</v>
      </c>
      <c r="O65" s="18" t="n">
        <v>14.47543662</v>
      </c>
      <c r="P65" s="20" t="n">
        <v>0.9557746499999999</v>
      </c>
      <c r="Q65" s="18" t="n">
        <v>4.62964003</v>
      </c>
      <c r="R65" s="20" t="n">
        <v>0.62838602</v>
      </c>
      <c r="S65" s="18" t="n">
        <v>0</v>
      </c>
      <c r="T65" s="20" t="n">
        <v>0</v>
      </c>
      <c r="U65" s="18" t="n">
        <v>3.57097196</v>
      </c>
      <c r="V65" s="20" t="n">
        <v>0.5410202200000001</v>
      </c>
      <c r="W65" s="18" t="n">
        <v>0</v>
      </c>
      <c r="X65" s="20" t="n">
        <v>0</v>
      </c>
      <c r="Y65" s="18" t="n">
        <v>0</v>
      </c>
      <c r="Z65" s="20" t="n">
        <v>0</v>
      </c>
      <c r="AA65" s="18" t="n">
        <v>22.17186287</v>
      </c>
      <c r="AB65" s="20" t="n">
        <v>1.2090464</v>
      </c>
    </row>
    <row r="66" spans="1:28">
      <c r="A66" s="15" t="s">
        <v>626</v>
      </c>
      <c r="B66" s="17" t="n">
        <v>5325</v>
      </c>
      <c r="C66" s="18">
        <f>(3548.0/B66*100)</f>
        <v/>
      </c>
      <c r="D66" s="19" t="n">
        <v>1777</v>
      </c>
      <c r="E66" s="18" t="n">
        <v>19.04645143</v>
      </c>
      <c r="F66" s="20" t="n">
        <v>1.04372871</v>
      </c>
      <c r="G66" s="18" t="n">
        <v>4.79746423</v>
      </c>
      <c r="H66" s="20" t="n">
        <v>0.4898332</v>
      </c>
      <c r="I66" s="18" t="n">
        <v>0.53228225</v>
      </c>
      <c r="J66" s="20" t="n">
        <v>0.16659182</v>
      </c>
      <c r="K66" s="18" t="n">
        <v>28.07085759</v>
      </c>
      <c r="L66" s="20" t="n">
        <v>1.28027726</v>
      </c>
      <c r="M66" s="18" t="n">
        <v>0</v>
      </c>
      <c r="N66" s="20" t="n">
        <v>0</v>
      </c>
      <c r="O66" s="18" t="n">
        <v>7.31374817</v>
      </c>
      <c r="P66" s="20" t="n">
        <v>0.80962341</v>
      </c>
      <c r="Q66" s="18" t="n">
        <v>4.99983939</v>
      </c>
      <c r="R66" s="20" t="n">
        <v>0.57401525</v>
      </c>
      <c r="S66" s="18" t="n">
        <v>0</v>
      </c>
      <c r="T66" s="20" t="n">
        <v>0</v>
      </c>
      <c r="U66" s="18" t="n">
        <v>4.94119128</v>
      </c>
      <c r="V66" s="20" t="n">
        <v>0.60986246</v>
      </c>
      <c r="W66" s="18" t="n">
        <v>0</v>
      </c>
      <c r="X66" s="20" t="n">
        <v>0</v>
      </c>
      <c r="Y66" s="18" t="n">
        <v>0</v>
      </c>
      <c r="Z66" s="20" t="n">
        <v>0</v>
      </c>
      <c r="AA66" s="18" t="n">
        <v>30.29816568</v>
      </c>
      <c r="AB66" s="20" t="n">
        <v>1.30671778</v>
      </c>
    </row>
    <row r="67" spans="1:2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c r="W67" s="18" t="s">
        <v>603</v>
      </c>
      <c r="X67" s="20" t="s">
        <v>603</v>
      </c>
      <c r="Y67" s="18" t="s">
        <v>603</v>
      </c>
      <c r="Z67" s="20" t="s">
        <v>603</v>
      </c>
      <c r="AA67" s="18" t="s">
        <v>603</v>
      </c>
      <c r="AB67" s="20" t="s">
        <v>603</v>
      </c>
    </row>
    <row r="68" spans="1:2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c r="W68" s="18" t="s">
        <v>603</v>
      </c>
      <c r="X68" s="20" t="s">
        <v>603</v>
      </c>
      <c r="Y68" s="18" t="s">
        <v>603</v>
      </c>
      <c r="Z68" s="20" t="s">
        <v>603</v>
      </c>
      <c r="AA68" s="18" t="s">
        <v>603</v>
      </c>
      <c r="AB68" s="20" t="s">
        <v>603</v>
      </c>
    </row>
    <row r="69" spans="1:28">
      <c r="A69" s="15" t="s">
        <v>629</v>
      </c>
      <c r="B69" s="17" t="n">
        <v>1398</v>
      </c>
      <c r="C69" s="18">
        <f>(930.0/B69*100)</f>
        <v/>
      </c>
      <c r="D69" s="19" t="n">
        <v>468</v>
      </c>
      <c r="E69" s="18" t="n">
        <v>24.86029877</v>
      </c>
      <c r="F69" s="20" t="n">
        <v>1.88075705</v>
      </c>
      <c r="G69" s="18" t="n">
        <v>8.163554749999999</v>
      </c>
      <c r="H69" s="20" t="n">
        <v>1.44698948</v>
      </c>
      <c r="I69" s="18" t="n">
        <v>0</v>
      </c>
      <c r="J69" s="20" t="n">
        <v>0</v>
      </c>
      <c r="K69" s="18" t="n">
        <v>29.92976413</v>
      </c>
      <c r="L69" s="20" t="n">
        <v>1.79825458</v>
      </c>
      <c r="M69" s="18" t="n">
        <v>0</v>
      </c>
      <c r="N69" s="20" t="n">
        <v>0</v>
      </c>
      <c r="O69" s="18" t="n">
        <v>12.12317308</v>
      </c>
      <c r="P69" s="20" t="n">
        <v>1.46187071</v>
      </c>
      <c r="Q69" s="18" t="n">
        <v>3.55582159</v>
      </c>
      <c r="R69" s="20" t="n">
        <v>0.90310016</v>
      </c>
      <c r="S69" s="18" t="n">
        <v>0</v>
      </c>
      <c r="T69" s="20" t="n">
        <v>0</v>
      </c>
      <c r="U69" s="18" t="n">
        <v>1.31184962</v>
      </c>
      <c r="V69" s="20" t="n">
        <v>0.49895197</v>
      </c>
      <c r="W69" s="18" t="n">
        <v>0</v>
      </c>
      <c r="X69" s="20" t="n">
        <v>0</v>
      </c>
      <c r="Y69" s="18" t="n">
        <v>0</v>
      </c>
      <c r="Z69" s="20" t="n">
        <v>0</v>
      </c>
      <c r="AA69" s="18" t="n">
        <v>20.05553806</v>
      </c>
      <c r="AB69" s="20" t="n">
        <v>2.36213586</v>
      </c>
    </row>
    <row r="70" spans="1:2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c r="W70" s="18" t="s">
        <v>603</v>
      </c>
      <c r="X70" s="20" t="s">
        <v>603</v>
      </c>
      <c r="Y70" s="18" t="s">
        <v>603</v>
      </c>
      <c r="Z70" s="20" t="s">
        <v>603</v>
      </c>
      <c r="AA70" s="18" t="s">
        <v>603</v>
      </c>
      <c r="AB70" s="20" t="s">
        <v>603</v>
      </c>
    </row>
    <row r="71" spans="1:28">
      <c r="A71" s="15" t="s">
        <v>631</v>
      </c>
      <c r="B71" s="17" t="n">
        <v>4876</v>
      </c>
      <c r="C71" s="18">
        <f>(3249.0/B71*100)</f>
        <v/>
      </c>
      <c r="D71" s="19" t="n">
        <v>1627</v>
      </c>
      <c r="E71" s="18" t="n">
        <v>14.6999156</v>
      </c>
      <c r="F71" s="20" t="n">
        <v>1.13885359</v>
      </c>
      <c r="G71" s="18" t="n">
        <v>4.91903261</v>
      </c>
      <c r="H71" s="20" t="n">
        <v>0.58400091</v>
      </c>
      <c r="I71" s="18" t="n">
        <v>2.49462814</v>
      </c>
      <c r="J71" s="20" t="n">
        <v>0.43365317</v>
      </c>
      <c r="K71" s="18" t="n">
        <v>49.00249821</v>
      </c>
      <c r="L71" s="20" t="n">
        <v>1.72727323</v>
      </c>
      <c r="M71" s="18" t="n">
        <v>0</v>
      </c>
      <c r="N71" s="20" t="n">
        <v>0</v>
      </c>
      <c r="O71" s="18" t="n">
        <v>21.1316134</v>
      </c>
      <c r="P71" s="20" t="n">
        <v>1.04905238</v>
      </c>
      <c r="Q71" s="18" t="n">
        <v>7.27545482</v>
      </c>
      <c r="R71" s="20" t="n">
        <v>0.63447426</v>
      </c>
      <c r="S71" s="18" t="n">
        <v>0</v>
      </c>
      <c r="T71" s="20" t="n">
        <v>0</v>
      </c>
      <c r="U71" s="18" t="n">
        <v>0.06684168</v>
      </c>
      <c r="V71" s="20" t="n">
        <v>0.06673567</v>
      </c>
      <c r="W71" s="18" t="n">
        <v>0</v>
      </c>
      <c r="X71" s="20" t="n">
        <v>0</v>
      </c>
      <c r="Y71" s="18" t="n">
        <v>0</v>
      </c>
      <c r="Z71" s="20" t="n">
        <v>0</v>
      </c>
      <c r="AA71" s="18" t="n">
        <v>0.41001554</v>
      </c>
      <c r="AB71" s="20" t="n">
        <v>0.18182766</v>
      </c>
    </row>
    <row r="72" spans="1:2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c r="W72" s="18" t="s">
        <v>603</v>
      </c>
      <c r="X72" s="20" t="s">
        <v>603</v>
      </c>
      <c r="Y72" s="18" t="s">
        <v>603</v>
      </c>
      <c r="Z72" s="20" t="s">
        <v>603</v>
      </c>
      <c r="AA72" s="18" t="s">
        <v>603</v>
      </c>
      <c r="AB72" s="20" t="s">
        <v>603</v>
      </c>
    </row>
    <row r="73" spans="1:2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c r="W73" s="18" t="s">
        <v>603</v>
      </c>
      <c r="X73" s="20" t="s">
        <v>603</v>
      </c>
      <c r="Y73" s="18" t="s">
        <v>603</v>
      </c>
      <c r="Z73" s="20" t="s">
        <v>603</v>
      </c>
      <c r="AA73" s="18" t="s">
        <v>603</v>
      </c>
      <c r="AB73" s="20" t="s">
        <v>603</v>
      </c>
    </row>
    <row r="74" spans="1:2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c r="W74" s="18" t="s">
        <v>603</v>
      </c>
      <c r="X74" s="20" t="s">
        <v>603</v>
      </c>
      <c r="Y74" s="18" t="s">
        <v>603</v>
      </c>
      <c r="Z74" s="20" t="s">
        <v>603</v>
      </c>
      <c r="AA74" s="18" t="s">
        <v>603</v>
      </c>
      <c r="AB74" s="20" t="s">
        <v>603</v>
      </c>
    </row>
    <row r="75" spans="1:2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c r="W75" s="18" t="s">
        <v>603</v>
      </c>
      <c r="X75" s="20" t="s">
        <v>603</v>
      </c>
      <c r="Y75" s="18" t="s">
        <v>603</v>
      </c>
      <c r="Z75" s="20" t="s">
        <v>603</v>
      </c>
      <c r="AA75" s="18" t="s">
        <v>603</v>
      </c>
      <c r="AB75" s="20" t="s">
        <v>603</v>
      </c>
    </row>
    <row r="76" spans="1:28">
      <c r="A76" s="15" t="s">
        <v>636</v>
      </c>
      <c r="B76" s="17" t="n">
        <v>4692</v>
      </c>
      <c r="C76" s="18">
        <f>(3151.0/B76*100)</f>
        <v/>
      </c>
      <c r="D76" s="19" t="n">
        <v>1541</v>
      </c>
      <c r="E76" s="18" t="n">
        <v>28.21064722</v>
      </c>
      <c r="F76" s="20" t="n">
        <v>1.16769681</v>
      </c>
      <c r="G76" s="18" t="n">
        <v>8.17972136</v>
      </c>
      <c r="H76" s="20" t="n">
        <v>0.7170134</v>
      </c>
      <c r="I76" s="18" t="n">
        <v>2.6077156</v>
      </c>
      <c r="J76" s="20" t="n">
        <v>0.49143594</v>
      </c>
      <c r="K76" s="18" t="n">
        <v>16.95120068</v>
      </c>
      <c r="L76" s="20" t="n">
        <v>0.99897671</v>
      </c>
      <c r="M76" s="18" t="n">
        <v>0</v>
      </c>
      <c r="N76" s="20" t="n">
        <v>0</v>
      </c>
      <c r="O76" s="18" t="n">
        <v>9.377190690000001</v>
      </c>
      <c r="P76" s="20" t="n">
        <v>0.79279165</v>
      </c>
      <c r="Q76" s="18" t="n">
        <v>2.86353648</v>
      </c>
      <c r="R76" s="20" t="n">
        <v>0.46930444</v>
      </c>
      <c r="S76" s="18" t="n">
        <v>0</v>
      </c>
      <c r="T76" s="20" t="n">
        <v>0</v>
      </c>
      <c r="U76" s="18" t="n">
        <v>7.64455353</v>
      </c>
      <c r="V76" s="20" t="n">
        <v>0.77747447</v>
      </c>
      <c r="W76" s="18" t="n">
        <v>0</v>
      </c>
      <c r="X76" s="20" t="n">
        <v>0</v>
      </c>
      <c r="Y76" s="18" t="n">
        <v>0</v>
      </c>
      <c r="Z76" s="20" t="n">
        <v>0</v>
      </c>
      <c r="AA76" s="18" t="n">
        <v>24.16543445</v>
      </c>
      <c r="AB76" s="20" t="n">
        <v>1.31032076</v>
      </c>
    </row>
    <row r="77" spans="1:2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c r="W77" s="18" t="s">
        <v>603</v>
      </c>
      <c r="X77" s="20" t="s">
        <v>603</v>
      </c>
      <c r="Y77" s="18" t="s">
        <v>603</v>
      </c>
      <c r="Z77" s="20" t="s">
        <v>603</v>
      </c>
      <c r="AA77" s="18" t="s">
        <v>603</v>
      </c>
      <c r="AB77" s="20" t="s">
        <v>603</v>
      </c>
    </row>
    <row r="78" spans="1:2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c r="W78" s="18" t="s">
        <v>603</v>
      </c>
      <c r="X78" s="20" t="s">
        <v>603</v>
      </c>
      <c r="Y78" s="18" t="s">
        <v>603</v>
      </c>
      <c r="Z78" s="20" t="s">
        <v>603</v>
      </c>
      <c r="AA78" s="18" t="s">
        <v>603</v>
      </c>
      <c r="AB78" s="20" t="s">
        <v>603</v>
      </c>
    </row>
    <row r="79" spans="1:2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c r="W79" s="18" t="s">
        <v>603</v>
      </c>
      <c r="X79" s="20" t="s">
        <v>603</v>
      </c>
      <c r="Y79" s="18" t="s">
        <v>603</v>
      </c>
      <c r="Z79" s="20" t="s">
        <v>603</v>
      </c>
      <c r="AA79" s="18" t="s">
        <v>603</v>
      </c>
      <c r="AB79" s="20" t="s">
        <v>603</v>
      </c>
    </row>
    <row r="80" spans="1:28">
      <c r="A80" s="15" t="s">
        <v>640</v>
      </c>
      <c r="B80" s="17" t="n">
        <v>5826</v>
      </c>
      <c r="C80" s="18">
        <f>(3876.0/B80*100)</f>
        <v/>
      </c>
      <c r="D80" s="19" t="n">
        <v>1950</v>
      </c>
      <c r="E80" s="18" t="n">
        <v>18.34881127</v>
      </c>
      <c r="F80" s="20" t="n">
        <v>0.84721734</v>
      </c>
      <c r="G80" s="18" t="n">
        <v>10.71435435</v>
      </c>
      <c r="H80" s="20" t="n">
        <v>0.71230741</v>
      </c>
      <c r="I80" s="18" t="n">
        <v>1.95331922</v>
      </c>
      <c r="J80" s="20" t="n">
        <v>0.29026685</v>
      </c>
      <c r="K80" s="18" t="n">
        <v>35.16855308</v>
      </c>
      <c r="L80" s="20" t="n">
        <v>1.22728948</v>
      </c>
      <c r="M80" s="18" t="n">
        <v>0</v>
      </c>
      <c r="N80" s="20" t="n">
        <v>0</v>
      </c>
      <c r="O80" s="18" t="n">
        <v>16.49216006</v>
      </c>
      <c r="P80" s="20" t="n">
        <v>0.98305369</v>
      </c>
      <c r="Q80" s="18" t="n">
        <v>14.58482901</v>
      </c>
      <c r="R80" s="20" t="n">
        <v>1.02107088</v>
      </c>
      <c r="S80" s="18" t="n">
        <v>0</v>
      </c>
      <c r="T80" s="20" t="n">
        <v>0</v>
      </c>
      <c r="U80" s="18" t="n">
        <v>0</v>
      </c>
      <c r="V80" s="20" t="n">
        <v>0</v>
      </c>
      <c r="W80" s="18" t="n">
        <v>0</v>
      </c>
      <c r="X80" s="20" t="n">
        <v>0</v>
      </c>
      <c r="Y80" s="18" t="n">
        <v>0</v>
      </c>
      <c r="Z80" s="20" t="n">
        <v>0</v>
      </c>
      <c r="AA80" s="18" t="n">
        <v>2.73797301</v>
      </c>
      <c r="AB80" s="20" t="n">
        <v>0.55113594</v>
      </c>
    </row>
    <row r="81" spans="1:28">
      <c r="A81" s="15" t="s">
        <v>641</v>
      </c>
      <c r="B81" s="17" t="n">
        <v>1657</v>
      </c>
      <c r="C81" s="18">
        <f>(1104.0/B81*100)</f>
        <v/>
      </c>
      <c r="D81" s="19" t="n">
        <v>553</v>
      </c>
      <c r="E81" s="18" t="n">
        <v>24.82194024</v>
      </c>
      <c r="F81" s="20" t="n">
        <v>2.08831419</v>
      </c>
      <c r="G81" s="18" t="n">
        <v>14.05027744</v>
      </c>
      <c r="H81" s="20" t="n">
        <v>1.67824379</v>
      </c>
      <c r="I81" s="18" t="n">
        <v>0.97349925</v>
      </c>
      <c r="J81" s="20" t="n">
        <v>0.40213334</v>
      </c>
      <c r="K81" s="18" t="n">
        <v>11.86892568</v>
      </c>
      <c r="L81" s="20" t="n">
        <v>1.69600458</v>
      </c>
      <c r="M81" s="18" t="n">
        <v>0</v>
      </c>
      <c r="N81" s="20" t="n">
        <v>0</v>
      </c>
      <c r="O81" s="18" t="n">
        <v>17.01977611</v>
      </c>
      <c r="P81" s="20" t="n">
        <v>2.1392575</v>
      </c>
      <c r="Q81" s="18" t="n">
        <v>3.96961611</v>
      </c>
      <c r="R81" s="20" t="n">
        <v>1.09376328</v>
      </c>
      <c r="S81" s="18" t="n">
        <v>0</v>
      </c>
      <c r="T81" s="20" t="n">
        <v>0</v>
      </c>
      <c r="U81" s="18" t="n">
        <v>3.1234949</v>
      </c>
      <c r="V81" s="20" t="n">
        <v>0.82911754</v>
      </c>
      <c r="W81" s="18" t="n">
        <v>0.09017724000000001</v>
      </c>
      <c r="X81" s="20" t="n">
        <v>0.09625539</v>
      </c>
      <c r="Y81" s="18" t="n">
        <v>0</v>
      </c>
      <c r="Z81" s="20" t="n">
        <v>0</v>
      </c>
      <c r="AA81" s="18" t="n">
        <v>24.08229303</v>
      </c>
      <c r="AB81" s="20" t="n">
        <v>2.38449114</v>
      </c>
    </row>
    <row r="82" spans="1:2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c r="W82" s="18" t="s">
        <v>603</v>
      </c>
      <c r="X82" s="20" t="s">
        <v>603</v>
      </c>
      <c r="Y82" s="18" t="s">
        <v>603</v>
      </c>
      <c r="Z82" s="20" t="s">
        <v>603</v>
      </c>
      <c r="AA82" s="18" t="s">
        <v>603</v>
      </c>
      <c r="AB82" s="20" t="s">
        <v>603</v>
      </c>
    </row>
    <row r="83" spans="1:2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c r="W83" s="18" t="s">
        <v>603</v>
      </c>
      <c r="X83" s="20" t="s">
        <v>603</v>
      </c>
      <c r="Y83" s="18" t="s">
        <v>603</v>
      </c>
      <c r="Z83" s="20" t="s">
        <v>603</v>
      </c>
      <c r="AA83" s="18" t="s">
        <v>603</v>
      </c>
      <c r="AB83" s="20" t="s">
        <v>603</v>
      </c>
    </row>
    <row r="84" spans="1:2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c r="W84" s="18" t="s">
        <v>603</v>
      </c>
      <c r="X84" s="20" t="s">
        <v>603</v>
      </c>
      <c r="Y84" s="18" t="s">
        <v>603</v>
      </c>
      <c r="Z84" s="20" t="s">
        <v>603</v>
      </c>
      <c r="AA84" s="18" t="s">
        <v>603</v>
      </c>
      <c r="AB84" s="20" t="s">
        <v>603</v>
      </c>
    </row>
    <row r="86" spans="1:28">
      <c r="A86" s="3" t="s">
        <v>645</v>
      </c>
    </row>
    <row r="87" spans="1:28">
      <c r="A87" s="26" t="s">
        <v>646</v>
      </c>
    </row>
    <row r="88" spans="1:28">
      <c r="A88" s="26" t="s">
        <v>647</v>
      </c>
    </row>
    <row customHeight="1" ht="30" r="89" spans="1:28">
      <c r="A89" s="26" t="s">
        <v>648</v>
      </c>
    </row>
    <row customHeight="1" ht="30" r="90" spans="1:28">
      <c r="A90" s="26" t="s">
        <v>649</v>
      </c>
    </row>
    <row customHeight="1" ht="30" r="91" spans="1:28">
      <c r="A91" s="26" t="s">
        <v>650</v>
      </c>
    </row>
    <row customHeight="1" ht="30" r="92" spans="1:28">
      <c r="A92" s="26" t="s">
        <v>651</v>
      </c>
    </row>
    <row customHeight="1" ht="30" r="93" spans="1:28">
      <c r="A93" s="26" t="s">
        <v>652</v>
      </c>
    </row>
    <row customHeight="1" ht="30" r="94" spans="1:28">
      <c r="A94" s="26" t="s">
        <v>653</v>
      </c>
    </row>
  </sheetData>
  <mergeCells count="22">
    <mergeCell ref="E4:F4"/>
    <mergeCell ref="G4:H4"/>
    <mergeCell ref="I4:J4"/>
    <mergeCell ref="K4:L4"/>
    <mergeCell ref="M4:N4"/>
    <mergeCell ref="O4:P4"/>
    <mergeCell ref="Q4:R4"/>
    <mergeCell ref="S4:T4"/>
    <mergeCell ref="U4:V4"/>
    <mergeCell ref="W4:X4"/>
    <mergeCell ref="Y4:Z4"/>
    <mergeCell ref="AA4:AB4"/>
    <mergeCell ref="A1:AB1"/>
    <mergeCell ref="A2:AB2"/>
    <mergeCell ref="A87:AB87"/>
    <mergeCell ref="A88:AB88"/>
    <mergeCell ref="A89:AB89"/>
    <mergeCell ref="A90:AB90"/>
    <mergeCell ref="A91:AB91"/>
    <mergeCell ref="A92:AB92"/>
    <mergeCell ref="A93:AB93"/>
    <mergeCell ref="A94:AB94"/>
  </mergeCells>
  <pageMargins bottom="1" footer="0.5" header="0.5" left="0.75" right="0.75" top="1"/>
</worksheet>
</file>

<file path=xl/worksheets/sheet22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39.70447244</v>
      </c>
      <c r="F44" s="20" t="n">
        <v>1.40328443</v>
      </c>
      <c r="G44" s="18" t="n">
        <v>50.15186679</v>
      </c>
      <c r="H44" s="20" t="n">
        <v>1.428439</v>
      </c>
      <c r="I44" s="18" t="n">
        <v>0</v>
      </c>
      <c r="J44" s="20" t="n">
        <v>0</v>
      </c>
      <c r="K44" s="18" t="n">
        <v>2.77000541</v>
      </c>
      <c r="L44" s="20" t="n">
        <v>0.43765622</v>
      </c>
      <c r="M44" s="18" t="n">
        <v>0</v>
      </c>
      <c r="N44" s="20" t="n">
        <v>0</v>
      </c>
      <c r="O44" s="18" t="n">
        <v>0.6146935100000001</v>
      </c>
      <c r="P44" s="20" t="n">
        <v>0.14484914</v>
      </c>
      <c r="Q44" s="18" t="n">
        <v>6.75896185</v>
      </c>
      <c r="R44" s="20" t="n">
        <v>0.66200963</v>
      </c>
    </row>
    <row r="45" spans="1:18">
      <c r="A45" s="15" t="s">
        <v>604</v>
      </c>
      <c r="B45" s="17" t="n">
        <v>5519</v>
      </c>
      <c r="C45" s="18">
        <f>(3684.0/B45*100)</f>
        <v/>
      </c>
      <c r="D45" s="19" t="n">
        <v>1835</v>
      </c>
      <c r="E45" s="18" t="n">
        <v>62.96112769</v>
      </c>
      <c r="F45" s="20" t="n">
        <v>1.30387018</v>
      </c>
      <c r="G45" s="18" t="n">
        <v>20.62194537</v>
      </c>
      <c r="H45" s="20" t="n">
        <v>1.22429905</v>
      </c>
      <c r="I45" s="18" t="n">
        <v>0</v>
      </c>
      <c r="J45" s="20" t="n">
        <v>0</v>
      </c>
      <c r="K45" s="18" t="n">
        <v>5.99156654</v>
      </c>
      <c r="L45" s="20" t="n">
        <v>0.63523845</v>
      </c>
      <c r="M45" s="18" t="n">
        <v>0.10159998</v>
      </c>
      <c r="N45" s="20" t="n">
        <v>0.06967828</v>
      </c>
      <c r="O45" s="18" t="n">
        <v>1.87165268</v>
      </c>
      <c r="P45" s="20" t="n">
        <v>0.51172914</v>
      </c>
      <c r="Q45" s="18" t="n">
        <v>8.45210775</v>
      </c>
      <c r="R45" s="20" t="n">
        <v>0.7395028</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52.61116538</v>
      </c>
      <c r="F54" s="20" t="n">
        <v>1.41112551</v>
      </c>
      <c r="G54" s="18" t="n">
        <v>39.87882846</v>
      </c>
      <c r="H54" s="20" t="n">
        <v>1.32426456</v>
      </c>
      <c r="I54" s="18" t="n">
        <v>0</v>
      </c>
      <c r="J54" s="20" t="n">
        <v>0</v>
      </c>
      <c r="K54" s="18" t="n">
        <v>2.87005313</v>
      </c>
      <c r="L54" s="20" t="n">
        <v>0.45657609</v>
      </c>
      <c r="M54" s="18" t="n">
        <v>0</v>
      </c>
      <c r="N54" s="20" t="n">
        <v>0</v>
      </c>
      <c r="O54" s="18" t="n">
        <v>0.16486123</v>
      </c>
      <c r="P54" s="20" t="n">
        <v>0.09536214</v>
      </c>
      <c r="Q54" s="18" t="n">
        <v>4.47509179</v>
      </c>
      <c r="R54" s="20" t="n">
        <v>0.50650186</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68.08932027</v>
      </c>
      <c r="F56" s="20" t="n">
        <v>1.26940371</v>
      </c>
      <c r="G56" s="18" t="n">
        <v>29.53539577</v>
      </c>
      <c r="H56" s="20" t="n">
        <v>1.2802277</v>
      </c>
      <c r="I56" s="18" t="n">
        <v>0</v>
      </c>
      <c r="J56" s="20" t="n">
        <v>0</v>
      </c>
      <c r="K56" s="18" t="n">
        <v>1.51164803</v>
      </c>
      <c r="L56" s="20" t="n">
        <v>0.34989002</v>
      </c>
      <c r="M56" s="18" t="n">
        <v>0.04274938</v>
      </c>
      <c r="N56" s="20" t="n">
        <v>0.04256512</v>
      </c>
      <c r="O56" s="18" t="n">
        <v>0.05254726</v>
      </c>
      <c r="P56" s="20" t="n">
        <v>0.07392602</v>
      </c>
      <c r="Q56" s="18" t="n">
        <v>0.76833929</v>
      </c>
      <c r="R56" s="20" t="n">
        <v>0.20147961</v>
      </c>
    </row>
    <row r="57" spans="1:18">
      <c r="A57" s="15" t="s">
        <v>616</v>
      </c>
      <c r="B57" s="17" t="n">
        <v>7267</v>
      </c>
      <c r="C57" s="18">
        <f>(4851.0/B57*100)</f>
        <v/>
      </c>
      <c r="D57" s="19" t="n">
        <v>2416</v>
      </c>
      <c r="E57" s="18" t="n">
        <v>65.24546503000001</v>
      </c>
      <c r="F57" s="20" t="n">
        <v>1.18854281</v>
      </c>
      <c r="G57" s="18" t="n">
        <v>28.36622538</v>
      </c>
      <c r="H57" s="20" t="n">
        <v>1.1521153</v>
      </c>
      <c r="I57" s="18" t="n">
        <v>0</v>
      </c>
      <c r="J57" s="20" t="n">
        <v>0</v>
      </c>
      <c r="K57" s="18" t="n">
        <v>2.85168629</v>
      </c>
      <c r="L57" s="20" t="n">
        <v>0.51391733</v>
      </c>
      <c r="M57" s="18" t="n">
        <v>0</v>
      </c>
      <c r="N57" s="20" t="n">
        <v>0</v>
      </c>
      <c r="O57" s="18" t="n">
        <v>0.31401934</v>
      </c>
      <c r="P57" s="20" t="n">
        <v>0.12234178</v>
      </c>
      <c r="Q57" s="18" t="n">
        <v>3.22260397</v>
      </c>
      <c r="R57" s="20" t="n">
        <v>0.43045174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57.73681881</v>
      </c>
      <c r="F59" s="20" t="n">
        <v>1.48857986</v>
      </c>
      <c r="G59" s="18" t="n">
        <v>38.45397159</v>
      </c>
      <c r="H59" s="20" t="n">
        <v>1.53428521</v>
      </c>
      <c r="I59" s="18" t="n">
        <v>0</v>
      </c>
      <c r="J59" s="20" t="n">
        <v>0</v>
      </c>
      <c r="K59" s="18" t="n">
        <v>0.72187758</v>
      </c>
      <c r="L59" s="20" t="n">
        <v>0.26129064</v>
      </c>
      <c r="M59" s="18" t="n">
        <v>0</v>
      </c>
      <c r="N59" s="20" t="n">
        <v>0</v>
      </c>
      <c r="O59" s="18" t="n">
        <v>0.76985205</v>
      </c>
      <c r="P59" s="20" t="n">
        <v>0.22086729</v>
      </c>
      <c r="Q59" s="18" t="n">
        <v>2.31747997</v>
      </c>
      <c r="R59" s="20" t="n">
        <v>0.40607225</v>
      </c>
    </row>
    <row r="60" spans="1:18">
      <c r="A60" s="15" t="s">
        <v>620</v>
      </c>
      <c r="B60" s="17" t="n">
        <v>4546</v>
      </c>
      <c r="C60" s="18">
        <f>(3033.0/B60*100)</f>
        <v/>
      </c>
      <c r="D60" s="19" t="n">
        <v>1513</v>
      </c>
      <c r="E60" s="18" t="n">
        <v>52.14343458</v>
      </c>
      <c r="F60" s="20" t="n">
        <v>1.59843781</v>
      </c>
      <c r="G60" s="18" t="n">
        <v>35.68356624</v>
      </c>
      <c r="H60" s="20" t="n">
        <v>1.66465436</v>
      </c>
      <c r="I60" s="18" t="n">
        <v>0</v>
      </c>
      <c r="J60" s="20" t="n">
        <v>0</v>
      </c>
      <c r="K60" s="18" t="n">
        <v>4.47687261</v>
      </c>
      <c r="L60" s="20" t="n">
        <v>0.5875814499999999</v>
      </c>
      <c r="M60" s="18" t="n">
        <v>0</v>
      </c>
      <c r="N60" s="20" t="n">
        <v>0</v>
      </c>
      <c r="O60" s="18" t="n">
        <v>1.13150669</v>
      </c>
      <c r="P60" s="20" t="n">
        <v>0.3583679</v>
      </c>
      <c r="Q60" s="18" t="n">
        <v>6.56461989</v>
      </c>
      <c r="R60" s="20" t="n">
        <v>0.71659149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58.30711265</v>
      </c>
      <c r="F63" s="20" t="n">
        <v>1.34373237</v>
      </c>
      <c r="G63" s="18" t="n">
        <v>32.3040269</v>
      </c>
      <c r="H63" s="20" t="n">
        <v>1.2953283</v>
      </c>
      <c r="I63" s="18" t="n">
        <v>0</v>
      </c>
      <c r="J63" s="20" t="n">
        <v>0</v>
      </c>
      <c r="K63" s="18" t="n">
        <v>2.59326903</v>
      </c>
      <c r="L63" s="20" t="n">
        <v>0.42513191</v>
      </c>
      <c r="M63" s="18" t="n">
        <v>0</v>
      </c>
      <c r="N63" s="20" t="n">
        <v>0</v>
      </c>
      <c r="O63" s="18" t="n">
        <v>0.13431696</v>
      </c>
      <c r="P63" s="20" t="n">
        <v>0.07027483</v>
      </c>
      <c r="Q63" s="18" t="n">
        <v>6.66127446</v>
      </c>
      <c r="R63" s="20" t="n">
        <v>0.58921044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45.12766487</v>
      </c>
      <c r="F65" s="20" t="n">
        <v>1.41248008</v>
      </c>
      <c r="G65" s="18" t="n">
        <v>47.16581068</v>
      </c>
      <c r="H65" s="20" t="n">
        <v>1.4379198</v>
      </c>
      <c r="I65" s="18" t="n">
        <v>0</v>
      </c>
      <c r="J65" s="20" t="n">
        <v>0</v>
      </c>
      <c r="K65" s="18" t="n">
        <v>3.57097196</v>
      </c>
      <c r="L65" s="20" t="n">
        <v>0.5410202200000001</v>
      </c>
      <c r="M65" s="18" t="n">
        <v>0</v>
      </c>
      <c r="N65" s="20" t="n">
        <v>0</v>
      </c>
      <c r="O65" s="18" t="n">
        <v>0.59944106</v>
      </c>
      <c r="P65" s="20" t="n">
        <v>0.22791984</v>
      </c>
      <c r="Q65" s="18" t="n">
        <v>3.53611143</v>
      </c>
      <c r="R65" s="20" t="n">
        <v>0.58052092</v>
      </c>
    </row>
    <row r="66" spans="1:18">
      <c r="A66" s="15" t="s">
        <v>626</v>
      </c>
      <c r="B66" s="17" t="n">
        <v>5325</v>
      </c>
      <c r="C66" s="18">
        <f>(3548.0/B66*100)</f>
        <v/>
      </c>
      <c r="D66" s="19" t="n">
        <v>1777</v>
      </c>
      <c r="E66" s="18" t="n">
        <v>46.18892287</v>
      </c>
      <c r="F66" s="20" t="n">
        <v>1.32391376</v>
      </c>
      <c r="G66" s="18" t="n">
        <v>43.83240484</v>
      </c>
      <c r="H66" s="20" t="n">
        <v>1.29004022</v>
      </c>
      <c r="I66" s="18" t="n">
        <v>0</v>
      </c>
      <c r="J66" s="20" t="n">
        <v>0</v>
      </c>
      <c r="K66" s="18" t="n">
        <v>5.31426151</v>
      </c>
      <c r="L66" s="20" t="n">
        <v>0.62869984</v>
      </c>
      <c r="M66" s="18" t="n">
        <v>0.52288136</v>
      </c>
      <c r="N66" s="20" t="n">
        <v>0.20514824</v>
      </c>
      <c r="O66" s="18" t="n">
        <v>0</v>
      </c>
      <c r="P66" s="20" t="n">
        <v>0</v>
      </c>
      <c r="Q66" s="18" t="n">
        <v>4.14152941</v>
      </c>
      <c r="R66" s="20" t="n">
        <v>0.44274955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60.49219524</v>
      </c>
      <c r="F69" s="20" t="n">
        <v>3.17811177</v>
      </c>
      <c r="G69" s="18" t="n">
        <v>37.02857073</v>
      </c>
      <c r="H69" s="20" t="n">
        <v>2.91728944</v>
      </c>
      <c r="I69" s="18" t="n">
        <v>0</v>
      </c>
      <c r="J69" s="20" t="n">
        <v>0</v>
      </c>
      <c r="K69" s="18" t="n">
        <v>1.49611874</v>
      </c>
      <c r="L69" s="20" t="n">
        <v>0.5295440300000001</v>
      </c>
      <c r="M69" s="18" t="n">
        <v>0</v>
      </c>
      <c r="N69" s="20" t="n">
        <v>0</v>
      </c>
      <c r="O69" s="18" t="n">
        <v>0</v>
      </c>
      <c r="P69" s="20" t="n">
        <v>0</v>
      </c>
      <c r="Q69" s="18" t="n">
        <v>0.98311529</v>
      </c>
      <c r="R69" s="20" t="n">
        <v>0.62536461</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44.3516129</v>
      </c>
      <c r="F71" s="20" t="n">
        <v>1.70365248</v>
      </c>
      <c r="G71" s="18" t="n">
        <v>55.48031136</v>
      </c>
      <c r="H71" s="20" t="n">
        <v>1.69474501</v>
      </c>
      <c r="I71" s="18" t="n">
        <v>0</v>
      </c>
      <c r="J71" s="20" t="n">
        <v>0</v>
      </c>
      <c r="K71" s="18" t="n">
        <v>0.06684168</v>
      </c>
      <c r="L71" s="20" t="n">
        <v>0.06673567</v>
      </c>
      <c r="M71" s="18" t="n">
        <v>0</v>
      </c>
      <c r="N71" s="20" t="n">
        <v>0</v>
      </c>
      <c r="O71" s="18" t="n">
        <v>0</v>
      </c>
      <c r="P71" s="20" t="n">
        <v>0</v>
      </c>
      <c r="Q71" s="18" t="n">
        <v>0.10123407</v>
      </c>
      <c r="R71" s="20" t="n">
        <v>0.07325738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51.59887995</v>
      </c>
      <c r="F76" s="20" t="n">
        <v>1.36455168</v>
      </c>
      <c r="G76" s="18" t="n">
        <v>35.21846204</v>
      </c>
      <c r="H76" s="20" t="n">
        <v>1.29442571</v>
      </c>
      <c r="I76" s="18" t="n">
        <v>0</v>
      </c>
      <c r="J76" s="20" t="n">
        <v>0</v>
      </c>
      <c r="K76" s="18" t="n">
        <v>7.7595616</v>
      </c>
      <c r="L76" s="20" t="n">
        <v>0.77943982</v>
      </c>
      <c r="M76" s="18" t="n">
        <v>0</v>
      </c>
      <c r="N76" s="20" t="n">
        <v>0</v>
      </c>
      <c r="O76" s="18" t="n">
        <v>0.15440503</v>
      </c>
      <c r="P76" s="20" t="n">
        <v>0.09259658</v>
      </c>
      <c r="Q76" s="18" t="n">
        <v>5.26869138</v>
      </c>
      <c r="R76" s="20" t="n">
        <v>0.62139754</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12.46022198</v>
      </c>
      <c r="F80" s="20" t="n">
        <v>0.80243952</v>
      </c>
      <c r="G80" s="18" t="n">
        <v>87.53977802</v>
      </c>
      <c r="H80" s="20" t="n">
        <v>0.80243952</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(1104.0/B81*100)</f>
        <v/>
      </c>
      <c r="D81" s="19" t="n">
        <v>553</v>
      </c>
      <c r="E81" s="18" t="n">
        <v>29.44158599</v>
      </c>
      <c r="F81" s="20" t="n">
        <v>2.65231619</v>
      </c>
      <c r="G81" s="18" t="n">
        <v>60.65347294</v>
      </c>
      <c r="H81" s="20" t="n">
        <v>2.24584382</v>
      </c>
      <c r="I81" s="18" t="n">
        <v>0</v>
      </c>
      <c r="J81" s="20" t="n">
        <v>0</v>
      </c>
      <c r="K81" s="18" t="n">
        <v>3.50398189</v>
      </c>
      <c r="L81" s="20" t="n">
        <v>0.9460251200000001</v>
      </c>
      <c r="M81" s="18" t="n">
        <v>0</v>
      </c>
      <c r="N81" s="20" t="n">
        <v>0</v>
      </c>
      <c r="O81" s="18" t="n">
        <v>0.37881617</v>
      </c>
      <c r="P81" s="20" t="n">
        <v>0.25120754</v>
      </c>
      <c r="Q81" s="18" t="n">
        <v>6.02214301</v>
      </c>
      <c r="R81" s="20" t="n">
        <v>1.61266862</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42.44557323</v>
      </c>
      <c r="F44" s="20" t="n">
        <v>1.44715137</v>
      </c>
      <c r="G44" s="18" t="n">
        <v>44.78899954</v>
      </c>
      <c r="H44" s="20" t="n">
        <v>1.74579925</v>
      </c>
      <c r="I44" s="18" t="n">
        <v>0</v>
      </c>
      <c r="J44" s="20" t="n">
        <v>0</v>
      </c>
      <c r="K44" s="18" t="n">
        <v>3.2831698</v>
      </c>
      <c r="L44" s="20" t="n">
        <v>0.48962164</v>
      </c>
      <c r="M44" s="18" t="n">
        <v>0</v>
      </c>
      <c r="N44" s="20" t="n">
        <v>0</v>
      </c>
      <c r="O44" s="18" t="n">
        <v>1.51307863</v>
      </c>
      <c r="P44" s="20" t="n">
        <v>0.29670229</v>
      </c>
      <c r="Q44" s="18" t="n">
        <v>7.9691788</v>
      </c>
      <c r="R44" s="20" t="n">
        <v>0.65896272</v>
      </c>
    </row>
    <row r="45" spans="1:18">
      <c r="A45" s="15" t="s">
        <v>604</v>
      </c>
      <c r="B45" s="17" t="n">
        <v>5519</v>
      </c>
      <c r="C45" s="18">
        <f>(3684.0/B45*100)</f>
        <v/>
      </c>
      <c r="D45" s="19" t="n">
        <v>1835</v>
      </c>
      <c r="E45" s="18" t="n">
        <v>52.47929104</v>
      </c>
      <c r="F45" s="20" t="n">
        <v>1.31202823</v>
      </c>
      <c r="G45" s="18" t="n">
        <v>27.32271079</v>
      </c>
      <c r="H45" s="20" t="n">
        <v>1.17719399</v>
      </c>
      <c r="I45" s="18" t="n">
        <v>0</v>
      </c>
      <c r="J45" s="20" t="n">
        <v>0</v>
      </c>
      <c r="K45" s="18" t="n">
        <v>6.37852003</v>
      </c>
      <c r="L45" s="20" t="n">
        <v>0.67908792</v>
      </c>
      <c r="M45" s="18" t="n">
        <v>0.40528675</v>
      </c>
      <c r="N45" s="20" t="n">
        <v>0.14433964</v>
      </c>
      <c r="O45" s="18" t="n">
        <v>3.43640285</v>
      </c>
      <c r="P45" s="20" t="n">
        <v>0.53851793</v>
      </c>
      <c r="Q45" s="18" t="n">
        <v>9.977788540000001</v>
      </c>
      <c r="R45" s="20" t="n">
        <v>0.74487125</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52.37403271</v>
      </c>
      <c r="F54" s="20" t="n">
        <v>1.45672524</v>
      </c>
      <c r="G54" s="18" t="n">
        <v>40.56131977</v>
      </c>
      <c r="H54" s="20" t="n">
        <v>1.45702041</v>
      </c>
      <c r="I54" s="18" t="n">
        <v>0</v>
      </c>
      <c r="J54" s="20" t="n">
        <v>0</v>
      </c>
      <c r="K54" s="18" t="n">
        <v>3.24704011</v>
      </c>
      <c r="L54" s="20" t="n">
        <v>0.468243</v>
      </c>
      <c r="M54" s="18" t="n">
        <v>0.04700565</v>
      </c>
      <c r="N54" s="20" t="n">
        <v>0.04713909</v>
      </c>
      <c r="O54" s="18" t="n">
        <v>0.48200401</v>
      </c>
      <c r="P54" s="20" t="n">
        <v>0.18183626</v>
      </c>
      <c r="Q54" s="18" t="n">
        <v>3.28859775</v>
      </c>
      <c r="R54" s="20" t="n">
        <v>0.45663402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61.29926119</v>
      </c>
      <c r="F56" s="20" t="n">
        <v>1.30226293</v>
      </c>
      <c r="G56" s="18" t="n">
        <v>34.08067326</v>
      </c>
      <c r="H56" s="20" t="n">
        <v>1.35598765</v>
      </c>
      <c r="I56" s="18" t="n">
        <v>0</v>
      </c>
      <c r="J56" s="20" t="n">
        <v>0</v>
      </c>
      <c r="K56" s="18" t="n">
        <v>1.72273196</v>
      </c>
      <c r="L56" s="20" t="n">
        <v>0.3894408</v>
      </c>
      <c r="M56" s="18" t="n">
        <v>0.04274938</v>
      </c>
      <c r="N56" s="20" t="n">
        <v>0.04256512</v>
      </c>
      <c r="O56" s="18" t="n">
        <v>0</v>
      </c>
      <c r="P56" s="20" t="n">
        <v>0</v>
      </c>
      <c r="Q56" s="18" t="n">
        <v>2.85458421</v>
      </c>
      <c r="R56" s="20" t="n">
        <v>0.43945595</v>
      </c>
    </row>
    <row r="57" spans="1:18">
      <c r="A57" s="15" t="s">
        <v>616</v>
      </c>
      <c r="B57" s="17" t="n">
        <v>7267</v>
      </c>
      <c r="C57" s="18">
        <f>(4851.0/B57*100)</f>
        <v/>
      </c>
      <c r="D57" s="19" t="n">
        <v>2416</v>
      </c>
      <c r="E57" s="18" t="n">
        <v>54.44127778</v>
      </c>
      <c r="F57" s="20" t="n">
        <v>1.44508714</v>
      </c>
      <c r="G57" s="18" t="n">
        <v>36.9584463</v>
      </c>
      <c r="H57" s="20" t="n">
        <v>1.39672226</v>
      </c>
      <c r="I57" s="18" t="n">
        <v>0</v>
      </c>
      <c r="J57" s="20" t="n">
        <v>0</v>
      </c>
      <c r="K57" s="18" t="n">
        <v>3.04767831</v>
      </c>
      <c r="L57" s="20" t="n">
        <v>0.52239324</v>
      </c>
      <c r="M57" s="18" t="n">
        <v>0.05172424</v>
      </c>
      <c r="N57" s="20" t="n">
        <v>0.05171823</v>
      </c>
      <c r="O57" s="18" t="n">
        <v>0.53885898</v>
      </c>
      <c r="P57" s="20" t="n">
        <v>0.18994565</v>
      </c>
      <c r="Q57" s="18" t="n">
        <v>4.96201439</v>
      </c>
      <c r="R57" s="20" t="n">
        <v>0.53711955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54.20216614</v>
      </c>
      <c r="F59" s="20" t="n">
        <v>1.32587159</v>
      </c>
      <c r="G59" s="18" t="n">
        <v>38.26383018</v>
      </c>
      <c r="H59" s="20" t="n">
        <v>1.34696453</v>
      </c>
      <c r="I59" s="18" t="n">
        <v>0</v>
      </c>
      <c r="J59" s="20" t="n">
        <v>0</v>
      </c>
      <c r="K59" s="18" t="n">
        <v>0.7520296</v>
      </c>
      <c r="L59" s="20" t="n">
        <v>0.26489563</v>
      </c>
      <c r="M59" s="18" t="n">
        <v>0.58312262</v>
      </c>
      <c r="N59" s="20" t="n">
        <v>0.30106415</v>
      </c>
      <c r="O59" s="18" t="n">
        <v>3.10597735</v>
      </c>
      <c r="P59" s="20" t="n">
        <v>0.51746972</v>
      </c>
      <c r="Q59" s="18" t="n">
        <v>3.09287411</v>
      </c>
      <c r="R59" s="20" t="n">
        <v>0.42820806</v>
      </c>
    </row>
    <row r="60" spans="1:18">
      <c r="A60" s="15" t="s">
        <v>620</v>
      </c>
      <c r="B60" s="17" t="n">
        <v>4546</v>
      </c>
      <c r="C60" s="18">
        <f>(3033.0/B60*100)</f>
        <v/>
      </c>
      <c r="D60" s="19" t="n">
        <v>1513</v>
      </c>
      <c r="E60" s="18" t="n">
        <v>43.42651728</v>
      </c>
      <c r="F60" s="20" t="n">
        <v>1.57566029</v>
      </c>
      <c r="G60" s="18" t="n">
        <v>43.14081415</v>
      </c>
      <c r="H60" s="20" t="n">
        <v>1.59693405</v>
      </c>
      <c r="I60" s="18" t="n">
        <v>0</v>
      </c>
      <c r="J60" s="20" t="n">
        <v>0</v>
      </c>
      <c r="K60" s="18" t="n">
        <v>4.61743484</v>
      </c>
      <c r="L60" s="20" t="n">
        <v>0.60377387</v>
      </c>
      <c r="M60" s="18" t="n">
        <v>0</v>
      </c>
      <c r="N60" s="20" t="n">
        <v>0</v>
      </c>
      <c r="O60" s="18" t="n">
        <v>2.83132505</v>
      </c>
      <c r="P60" s="20" t="n">
        <v>0.46866618</v>
      </c>
      <c r="Q60" s="18" t="n">
        <v>5.98390868</v>
      </c>
      <c r="R60" s="20" t="n">
        <v>0.72210307</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49.17147967</v>
      </c>
      <c r="F63" s="20" t="n">
        <v>1.16932836</v>
      </c>
      <c r="G63" s="18" t="n">
        <v>39.734672</v>
      </c>
      <c r="H63" s="20" t="n">
        <v>1.15756745</v>
      </c>
      <c r="I63" s="18" t="n">
        <v>0</v>
      </c>
      <c r="J63" s="20" t="n">
        <v>0</v>
      </c>
      <c r="K63" s="18" t="n">
        <v>2.71588425</v>
      </c>
      <c r="L63" s="20" t="n">
        <v>0.43718383</v>
      </c>
      <c r="M63" s="18" t="n">
        <v>0</v>
      </c>
      <c r="N63" s="20" t="n">
        <v>0</v>
      </c>
      <c r="O63" s="18" t="n">
        <v>0.97087769</v>
      </c>
      <c r="P63" s="20" t="n">
        <v>0.24908749</v>
      </c>
      <c r="Q63" s="18" t="n">
        <v>7.40708638</v>
      </c>
      <c r="R63" s="20" t="n">
        <v>0.55472732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34.59426768</v>
      </c>
      <c r="F65" s="20" t="n">
        <v>1.37179576</v>
      </c>
      <c r="G65" s="18" t="n">
        <v>57.28767156</v>
      </c>
      <c r="H65" s="20" t="n">
        <v>1.39641444</v>
      </c>
      <c r="I65" s="18" t="n">
        <v>0</v>
      </c>
      <c r="J65" s="20" t="n">
        <v>0</v>
      </c>
      <c r="K65" s="18" t="n">
        <v>3.57097196</v>
      </c>
      <c r="L65" s="20" t="n">
        <v>0.5410202200000001</v>
      </c>
      <c r="M65" s="18" t="n">
        <v>0</v>
      </c>
      <c r="N65" s="20" t="n">
        <v>0</v>
      </c>
      <c r="O65" s="18" t="n">
        <v>0.26841352</v>
      </c>
      <c r="P65" s="20" t="n">
        <v>0.15458922</v>
      </c>
      <c r="Q65" s="18" t="n">
        <v>4.27867528</v>
      </c>
      <c r="R65" s="20" t="n">
        <v>0.63632951</v>
      </c>
    </row>
    <row r="66" spans="1:18">
      <c r="A66" s="15" t="s">
        <v>626</v>
      </c>
      <c r="B66" s="17" t="n">
        <v>5325</v>
      </c>
      <c r="C66" s="18">
        <f>(3548.0/B66*100)</f>
        <v/>
      </c>
      <c r="D66" s="19" t="n">
        <v>1777</v>
      </c>
      <c r="E66" s="18" t="n">
        <v>35.50399017</v>
      </c>
      <c r="F66" s="20" t="n">
        <v>1.38046642</v>
      </c>
      <c r="G66" s="18" t="n">
        <v>50.30467915</v>
      </c>
      <c r="H66" s="20" t="n">
        <v>1.37138732</v>
      </c>
      <c r="I66" s="18" t="n">
        <v>0</v>
      </c>
      <c r="J66" s="20" t="n">
        <v>0</v>
      </c>
      <c r="K66" s="18" t="n">
        <v>5.92569619</v>
      </c>
      <c r="L66" s="20" t="n">
        <v>0.69901746</v>
      </c>
      <c r="M66" s="18" t="n">
        <v>2.13666057</v>
      </c>
      <c r="N66" s="20" t="n">
        <v>0.36885289</v>
      </c>
      <c r="O66" s="18" t="n">
        <v>0</v>
      </c>
      <c r="P66" s="20" t="n">
        <v>0</v>
      </c>
      <c r="Q66" s="18" t="n">
        <v>6.12897391</v>
      </c>
      <c r="R66" s="20" t="n">
        <v>0.57542668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51.9844967</v>
      </c>
      <c r="F69" s="20" t="n">
        <v>2.88786675</v>
      </c>
      <c r="G69" s="18" t="n">
        <v>43.56376993</v>
      </c>
      <c r="H69" s="20" t="n">
        <v>2.83610374</v>
      </c>
      <c r="I69" s="18" t="n">
        <v>0</v>
      </c>
      <c r="J69" s="20" t="n">
        <v>0</v>
      </c>
      <c r="K69" s="18" t="n">
        <v>1.92689315</v>
      </c>
      <c r="L69" s="20" t="n">
        <v>0.65492295</v>
      </c>
      <c r="M69" s="18" t="n">
        <v>0</v>
      </c>
      <c r="N69" s="20" t="n">
        <v>0</v>
      </c>
      <c r="O69" s="18" t="n">
        <v>0</v>
      </c>
      <c r="P69" s="20" t="n">
        <v>0</v>
      </c>
      <c r="Q69" s="18" t="n">
        <v>2.52484022</v>
      </c>
      <c r="R69" s="20" t="n">
        <v>0.95094675</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48.27129952</v>
      </c>
      <c r="F71" s="20" t="n">
        <v>1.67964828</v>
      </c>
      <c r="G71" s="18" t="n">
        <v>51.61282415</v>
      </c>
      <c r="H71" s="20" t="n">
        <v>1.67770701</v>
      </c>
      <c r="I71" s="18" t="n">
        <v>0</v>
      </c>
      <c r="J71" s="20" t="n">
        <v>0</v>
      </c>
      <c r="K71" s="18" t="n">
        <v>0.06684168</v>
      </c>
      <c r="L71" s="20" t="n">
        <v>0.06673567</v>
      </c>
      <c r="M71" s="18" t="n">
        <v>0</v>
      </c>
      <c r="N71" s="20" t="n">
        <v>0</v>
      </c>
      <c r="O71" s="18" t="n">
        <v>0</v>
      </c>
      <c r="P71" s="20" t="n">
        <v>0</v>
      </c>
      <c r="Q71" s="18" t="n">
        <v>0.04903466</v>
      </c>
      <c r="R71" s="20" t="n">
        <v>0.04912758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39.08280378</v>
      </c>
      <c r="F76" s="20" t="n">
        <v>1.32279656</v>
      </c>
      <c r="G76" s="18" t="n">
        <v>46.4232241</v>
      </c>
      <c r="H76" s="20" t="n">
        <v>1.30345557</v>
      </c>
      <c r="I76" s="18" t="n">
        <v>0</v>
      </c>
      <c r="J76" s="20" t="n">
        <v>0</v>
      </c>
      <c r="K76" s="18" t="n">
        <v>7.96120305</v>
      </c>
      <c r="L76" s="20" t="n">
        <v>0.78223412</v>
      </c>
      <c r="M76" s="18" t="n">
        <v>0</v>
      </c>
      <c r="N76" s="20" t="n">
        <v>0</v>
      </c>
      <c r="O76" s="18" t="n">
        <v>0.08913754</v>
      </c>
      <c r="P76" s="20" t="n">
        <v>0.06431922</v>
      </c>
      <c r="Q76" s="18" t="n">
        <v>6.44363153</v>
      </c>
      <c r="R76" s="20" t="n">
        <v>0.68425212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12.48242602</v>
      </c>
      <c r="F80" s="20" t="n">
        <v>0.95891907</v>
      </c>
      <c r="G80" s="18" t="n">
        <v>87.51757397999999</v>
      </c>
      <c r="H80" s="20" t="n">
        <v>0.95891907</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(1104.0/B81*100)</f>
        <v/>
      </c>
      <c r="D81" s="19" t="n">
        <v>553</v>
      </c>
      <c r="E81" s="18" t="n">
        <v>28.54486774</v>
      </c>
      <c r="F81" s="20" t="n">
        <v>2.88862192</v>
      </c>
      <c r="G81" s="18" t="n">
        <v>60.02338382</v>
      </c>
      <c r="H81" s="20" t="n">
        <v>2.53317992</v>
      </c>
      <c r="I81" s="18" t="n">
        <v>0</v>
      </c>
      <c r="J81" s="20" t="n">
        <v>0</v>
      </c>
      <c r="K81" s="18" t="n">
        <v>3.78264852</v>
      </c>
      <c r="L81" s="20" t="n">
        <v>0.9738745599999999</v>
      </c>
      <c r="M81" s="18" t="n">
        <v>0</v>
      </c>
      <c r="N81" s="20" t="n">
        <v>0</v>
      </c>
      <c r="O81" s="18" t="n">
        <v>0.8942207599999999</v>
      </c>
      <c r="P81" s="20" t="n">
        <v>0.44530823</v>
      </c>
      <c r="Q81" s="18" t="n">
        <v>6.75487916</v>
      </c>
      <c r="R81" s="20" t="n">
        <v>1.65591421</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2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38.3062443</v>
      </c>
      <c r="F44" s="20" t="n">
        <v>1.32503955</v>
      </c>
      <c r="G44" s="18" t="n">
        <v>30.82778439</v>
      </c>
      <c r="H44" s="20" t="n">
        <v>1.49886596</v>
      </c>
      <c r="I44" s="18" t="n">
        <v>0</v>
      </c>
      <c r="J44" s="20" t="n">
        <v>0</v>
      </c>
      <c r="K44" s="18" t="n">
        <v>4.13961507</v>
      </c>
      <c r="L44" s="20" t="n">
        <v>0.50911039</v>
      </c>
      <c r="M44" s="18" t="n">
        <v>0</v>
      </c>
      <c r="N44" s="20" t="n">
        <v>0</v>
      </c>
      <c r="O44" s="18" t="n">
        <v>0</v>
      </c>
      <c r="P44" s="20" t="n">
        <v>0</v>
      </c>
      <c r="Q44" s="18" t="n">
        <v>26.72635624</v>
      </c>
      <c r="R44" s="20" t="n">
        <v>1.7356777</v>
      </c>
    </row>
    <row r="45" spans="1:18">
      <c r="A45" s="15" t="s">
        <v>604</v>
      </c>
      <c r="B45" s="17" t="n">
        <v>5519</v>
      </c>
      <c r="C45" s="18">
        <f>(3684.0/B45*100)</f>
        <v/>
      </c>
      <c r="D45" s="19" t="n">
        <v>1835</v>
      </c>
      <c r="E45" s="18" t="n">
        <v>53.35666792</v>
      </c>
      <c r="F45" s="20" t="n">
        <v>1.41902331</v>
      </c>
      <c r="G45" s="18" t="n">
        <v>11.98746371</v>
      </c>
      <c r="H45" s="20" t="n">
        <v>0.96654177</v>
      </c>
      <c r="I45" s="18" t="n">
        <v>0</v>
      </c>
      <c r="J45" s="20" t="n">
        <v>0</v>
      </c>
      <c r="K45" s="18" t="n">
        <v>7.50929523</v>
      </c>
      <c r="L45" s="20" t="n">
        <v>0.75083765</v>
      </c>
      <c r="M45" s="18" t="n">
        <v>0.20761678</v>
      </c>
      <c r="N45" s="20" t="n">
        <v>0.10585168</v>
      </c>
      <c r="O45" s="18" t="n">
        <v>0.4242775</v>
      </c>
      <c r="P45" s="20" t="n">
        <v>0.14746153</v>
      </c>
      <c r="Q45" s="18" t="n">
        <v>26.51467886</v>
      </c>
      <c r="R45" s="20" t="n">
        <v>1.24261823</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30.40979313</v>
      </c>
      <c r="F54" s="20" t="n">
        <v>1.24099517</v>
      </c>
      <c r="G54" s="18" t="n">
        <v>27.81043333</v>
      </c>
      <c r="H54" s="20" t="n">
        <v>1.08616127</v>
      </c>
      <c r="I54" s="18" t="n">
        <v>0</v>
      </c>
      <c r="J54" s="20" t="n">
        <v>0</v>
      </c>
      <c r="K54" s="18" t="n">
        <v>3.93292599</v>
      </c>
      <c r="L54" s="20" t="n">
        <v>0.49353967</v>
      </c>
      <c r="M54" s="18" t="n">
        <v>0.04700565</v>
      </c>
      <c r="N54" s="20" t="n">
        <v>0.04713909</v>
      </c>
      <c r="O54" s="18" t="n">
        <v>0.09891917</v>
      </c>
      <c r="P54" s="20" t="n">
        <v>0.07126564000000001</v>
      </c>
      <c r="Q54" s="18" t="n">
        <v>37.70092273</v>
      </c>
      <c r="R54" s="20" t="n">
        <v>1.2738043</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67.59597565</v>
      </c>
      <c r="F56" s="20" t="n">
        <v>1.36304098</v>
      </c>
      <c r="G56" s="18" t="n">
        <v>22.16021897</v>
      </c>
      <c r="H56" s="20" t="n">
        <v>1.32664724</v>
      </c>
      <c r="I56" s="18" t="n">
        <v>0</v>
      </c>
      <c r="J56" s="20" t="n">
        <v>0</v>
      </c>
      <c r="K56" s="18" t="n">
        <v>2.13960013</v>
      </c>
      <c r="L56" s="20" t="n">
        <v>0.42866324</v>
      </c>
      <c r="M56" s="18" t="n">
        <v>0.04274938</v>
      </c>
      <c r="N56" s="20" t="n">
        <v>0.04256512</v>
      </c>
      <c r="O56" s="18" t="n">
        <v>0</v>
      </c>
      <c r="P56" s="20" t="n">
        <v>0</v>
      </c>
      <c r="Q56" s="18" t="n">
        <v>8.06145587</v>
      </c>
      <c r="R56" s="20" t="n">
        <v>0.88061562</v>
      </c>
    </row>
    <row r="57" spans="1:18">
      <c r="A57" s="15" t="s">
        <v>616</v>
      </c>
      <c r="B57" s="17" t="n">
        <v>7267</v>
      </c>
      <c r="C57" s="18">
        <f>(4851.0/B57*100)</f>
        <v/>
      </c>
      <c r="D57" s="19" t="n">
        <v>2416</v>
      </c>
      <c r="E57" s="18" t="n">
        <v>54.34410051</v>
      </c>
      <c r="F57" s="20" t="n">
        <v>1.48558389</v>
      </c>
      <c r="G57" s="18" t="n">
        <v>26.93348872</v>
      </c>
      <c r="H57" s="20" t="n">
        <v>1.32153606</v>
      </c>
      <c r="I57" s="18" t="n">
        <v>0</v>
      </c>
      <c r="J57" s="20" t="n">
        <v>0</v>
      </c>
      <c r="K57" s="18" t="n">
        <v>3.44680314</v>
      </c>
      <c r="L57" s="20" t="n">
        <v>0.57327329</v>
      </c>
      <c r="M57" s="18" t="n">
        <v>0.05172424</v>
      </c>
      <c r="N57" s="20" t="n">
        <v>0.05171823</v>
      </c>
      <c r="O57" s="18" t="n">
        <v>0</v>
      </c>
      <c r="P57" s="20" t="n">
        <v>0</v>
      </c>
      <c r="Q57" s="18" t="n">
        <v>15.22388339</v>
      </c>
      <c r="R57" s="20" t="n">
        <v>1.09759235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60.29094818</v>
      </c>
      <c r="F59" s="20" t="n">
        <v>1.77322985</v>
      </c>
      <c r="G59" s="18" t="n">
        <v>20.92575485</v>
      </c>
      <c r="H59" s="20" t="n">
        <v>1.5223036</v>
      </c>
      <c r="I59" s="18" t="n">
        <v>0</v>
      </c>
      <c r="J59" s="20" t="n">
        <v>0</v>
      </c>
      <c r="K59" s="18" t="n">
        <v>1.0324215</v>
      </c>
      <c r="L59" s="20" t="n">
        <v>0.29726991</v>
      </c>
      <c r="M59" s="18" t="n">
        <v>0.02072952</v>
      </c>
      <c r="N59" s="20" t="n">
        <v>0.02076699</v>
      </c>
      <c r="O59" s="18" t="n">
        <v>0.02723961</v>
      </c>
      <c r="P59" s="20" t="n">
        <v>0.02730859</v>
      </c>
      <c r="Q59" s="18" t="n">
        <v>17.70290633</v>
      </c>
      <c r="R59" s="20" t="n">
        <v>1.08872935</v>
      </c>
    </row>
    <row r="60" spans="1:18">
      <c r="A60" s="15" t="s">
        <v>620</v>
      </c>
      <c r="B60" s="17" t="n">
        <v>4546</v>
      </c>
      <c r="C60" s="18">
        <f>(3033.0/B60*100)</f>
        <v/>
      </c>
      <c r="D60" s="19" t="n">
        <v>1513</v>
      </c>
      <c r="E60" s="18" t="n">
        <v>48.30306707</v>
      </c>
      <c r="F60" s="20" t="n">
        <v>1.54208398</v>
      </c>
      <c r="G60" s="18" t="n">
        <v>13.87385989</v>
      </c>
      <c r="H60" s="20" t="n">
        <v>1.02305487</v>
      </c>
      <c r="I60" s="18" t="n">
        <v>0</v>
      </c>
      <c r="J60" s="20" t="n">
        <v>0</v>
      </c>
      <c r="K60" s="18" t="n">
        <v>5.74600832</v>
      </c>
      <c r="L60" s="20" t="n">
        <v>0.59060116</v>
      </c>
      <c r="M60" s="18" t="n">
        <v>0</v>
      </c>
      <c r="N60" s="20" t="n">
        <v>0</v>
      </c>
      <c r="O60" s="18" t="n">
        <v>0.24240397</v>
      </c>
      <c r="P60" s="20" t="n">
        <v>0.13025297</v>
      </c>
      <c r="Q60" s="18" t="n">
        <v>31.83466075</v>
      </c>
      <c r="R60" s="20" t="n">
        <v>1.63891018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27.54901762</v>
      </c>
      <c r="F63" s="20" t="n">
        <v>1.19948051</v>
      </c>
      <c r="G63" s="18" t="n">
        <v>20.47908988</v>
      </c>
      <c r="H63" s="20" t="n">
        <v>1.10574806</v>
      </c>
      <c r="I63" s="18" t="n">
        <v>0</v>
      </c>
      <c r="J63" s="20" t="n">
        <v>0</v>
      </c>
      <c r="K63" s="18" t="n">
        <v>3.20856429</v>
      </c>
      <c r="L63" s="20" t="n">
        <v>0.48739911</v>
      </c>
      <c r="M63" s="18" t="n">
        <v>0</v>
      </c>
      <c r="N63" s="20" t="n">
        <v>0</v>
      </c>
      <c r="O63" s="18" t="n">
        <v>0</v>
      </c>
      <c r="P63" s="20" t="n">
        <v>0</v>
      </c>
      <c r="Q63" s="18" t="n">
        <v>48.76332821</v>
      </c>
      <c r="R63" s="20" t="n">
        <v>1.40412003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40.17314651</v>
      </c>
      <c r="F65" s="20" t="n">
        <v>1.31683661</v>
      </c>
      <c r="G65" s="18" t="n">
        <v>30.40396675</v>
      </c>
      <c r="H65" s="20" t="n">
        <v>1.03484688</v>
      </c>
      <c r="I65" s="18" t="n">
        <v>0</v>
      </c>
      <c r="J65" s="20" t="n">
        <v>0</v>
      </c>
      <c r="K65" s="18" t="n">
        <v>4.22648202</v>
      </c>
      <c r="L65" s="20" t="n">
        <v>0.58985146</v>
      </c>
      <c r="M65" s="18" t="n">
        <v>0</v>
      </c>
      <c r="N65" s="20" t="n">
        <v>0</v>
      </c>
      <c r="O65" s="18" t="n">
        <v>0</v>
      </c>
      <c r="P65" s="20" t="n">
        <v>0</v>
      </c>
      <c r="Q65" s="18" t="n">
        <v>25.19640472</v>
      </c>
      <c r="R65" s="20" t="n">
        <v>1.30502717</v>
      </c>
    </row>
    <row r="66" spans="1:18">
      <c r="A66" s="15" t="s">
        <v>626</v>
      </c>
      <c r="B66" s="17" t="n">
        <v>5325</v>
      </c>
      <c r="C66" s="18">
        <f>(3548.0/B66*100)</f>
        <v/>
      </c>
      <c r="D66" s="19" t="n">
        <v>1777</v>
      </c>
      <c r="E66" s="18" t="n">
        <v>39.94349836</v>
      </c>
      <c r="F66" s="20" t="n">
        <v>1.33650556</v>
      </c>
      <c r="G66" s="18" t="n">
        <v>24.34293647</v>
      </c>
      <c r="H66" s="20" t="n">
        <v>1.09765525</v>
      </c>
      <c r="I66" s="18" t="n">
        <v>0</v>
      </c>
      <c r="J66" s="20" t="n">
        <v>0</v>
      </c>
      <c r="K66" s="18" t="n">
        <v>6.39304946</v>
      </c>
      <c r="L66" s="20" t="n">
        <v>0.71673952</v>
      </c>
      <c r="M66" s="18" t="n">
        <v>0</v>
      </c>
      <c r="N66" s="20" t="n">
        <v>0</v>
      </c>
      <c r="O66" s="18" t="n">
        <v>0</v>
      </c>
      <c r="P66" s="20" t="n">
        <v>0</v>
      </c>
      <c r="Q66" s="18" t="n">
        <v>29.32051571</v>
      </c>
      <c r="R66" s="20" t="n">
        <v>1.27586783</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64.937811</v>
      </c>
      <c r="F69" s="20" t="n">
        <v>2.74781302</v>
      </c>
      <c r="G69" s="18" t="n">
        <v>12.90160989</v>
      </c>
      <c r="H69" s="20" t="n">
        <v>2.0421387</v>
      </c>
      <c r="I69" s="18" t="n">
        <v>0</v>
      </c>
      <c r="J69" s="20" t="n">
        <v>0</v>
      </c>
      <c r="K69" s="18" t="n">
        <v>2.16479817</v>
      </c>
      <c r="L69" s="20" t="n">
        <v>0.68286548</v>
      </c>
      <c r="M69" s="18" t="n">
        <v>0</v>
      </c>
      <c r="N69" s="20" t="n">
        <v>0</v>
      </c>
      <c r="O69" s="18" t="n">
        <v>0</v>
      </c>
      <c r="P69" s="20" t="n">
        <v>0</v>
      </c>
      <c r="Q69" s="18" t="n">
        <v>19.99578094</v>
      </c>
      <c r="R69" s="20" t="n">
        <v>2.73394413</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70.97519409</v>
      </c>
      <c r="F71" s="20" t="n">
        <v>1.4735241</v>
      </c>
      <c r="G71" s="18" t="n">
        <v>28.54858339</v>
      </c>
      <c r="H71" s="20" t="n">
        <v>1.44659478</v>
      </c>
      <c r="I71" s="18" t="n">
        <v>0</v>
      </c>
      <c r="J71" s="20" t="n">
        <v>0</v>
      </c>
      <c r="K71" s="18" t="n">
        <v>0.06684168</v>
      </c>
      <c r="L71" s="20" t="n">
        <v>0.06673567</v>
      </c>
      <c r="M71" s="18" t="n">
        <v>0</v>
      </c>
      <c r="N71" s="20" t="n">
        <v>0</v>
      </c>
      <c r="O71" s="18" t="n">
        <v>0</v>
      </c>
      <c r="P71" s="20" t="n">
        <v>0</v>
      </c>
      <c r="Q71" s="18" t="n">
        <v>0.40938084</v>
      </c>
      <c r="R71" s="20" t="n">
        <v>0.17991304</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39.15838699</v>
      </c>
      <c r="F76" s="20" t="n">
        <v>1.29886906</v>
      </c>
      <c r="G76" s="18" t="n">
        <v>21.40333521</v>
      </c>
      <c r="H76" s="20" t="n">
        <v>1.17822108</v>
      </c>
      <c r="I76" s="18" t="n">
        <v>0</v>
      </c>
      <c r="J76" s="20" t="n">
        <v>0</v>
      </c>
      <c r="K76" s="18" t="n">
        <v>9.32365066</v>
      </c>
      <c r="L76" s="20" t="n">
        <v>0.80905448</v>
      </c>
      <c r="M76" s="18" t="n">
        <v>0</v>
      </c>
      <c r="N76" s="20" t="n">
        <v>0</v>
      </c>
      <c r="O76" s="18" t="n">
        <v>0</v>
      </c>
      <c r="P76" s="20" t="n">
        <v>0</v>
      </c>
      <c r="Q76" s="18" t="n">
        <v>30.11462715</v>
      </c>
      <c r="R76" s="20" t="n">
        <v>1.24847989</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45.02753117</v>
      </c>
      <c r="F80" s="20" t="n">
        <v>1.55899294</v>
      </c>
      <c r="G80" s="18" t="n">
        <v>52.63103109</v>
      </c>
      <c r="H80" s="20" t="n">
        <v>1.58906036</v>
      </c>
      <c r="I80" s="18" t="n">
        <v>0</v>
      </c>
      <c r="J80" s="20" t="n">
        <v>0</v>
      </c>
      <c r="K80" s="18" t="n">
        <v>0</v>
      </c>
      <c r="L80" s="20" t="n">
        <v>0</v>
      </c>
      <c r="M80" s="18" t="n">
        <v>0</v>
      </c>
      <c r="N80" s="20" t="n">
        <v>0</v>
      </c>
      <c r="O80" s="18" t="n">
        <v>0</v>
      </c>
      <c r="P80" s="20" t="n">
        <v>0</v>
      </c>
      <c r="Q80" s="18" t="n">
        <v>2.34143774</v>
      </c>
      <c r="R80" s="20" t="n">
        <v>0.42028911</v>
      </c>
    </row>
    <row r="81" spans="1:18">
      <c r="A81" s="15" t="s">
        <v>641</v>
      </c>
      <c r="B81" s="17" t="n">
        <v>1657</v>
      </c>
      <c r="C81" s="18">
        <f>(1104.0/B81*100)</f>
        <v/>
      </c>
      <c r="D81" s="19" t="n">
        <v>553</v>
      </c>
      <c r="E81" s="18" t="n">
        <v>52.33118173</v>
      </c>
      <c r="F81" s="20" t="n">
        <v>1.85724569</v>
      </c>
      <c r="G81" s="18" t="n">
        <v>19.35475879</v>
      </c>
      <c r="H81" s="20" t="n">
        <v>1.59243043</v>
      </c>
      <c r="I81" s="18" t="n">
        <v>0</v>
      </c>
      <c r="J81" s="20" t="n">
        <v>0</v>
      </c>
      <c r="K81" s="18" t="n">
        <v>4.63448045</v>
      </c>
      <c r="L81" s="20" t="n">
        <v>1.07512486</v>
      </c>
      <c r="M81" s="18" t="n">
        <v>0</v>
      </c>
      <c r="N81" s="20" t="n">
        <v>0</v>
      </c>
      <c r="O81" s="18" t="n">
        <v>0</v>
      </c>
      <c r="P81" s="20" t="n">
        <v>0</v>
      </c>
      <c r="Q81" s="18" t="n">
        <v>23.67957903</v>
      </c>
      <c r="R81" s="20" t="n">
        <v>2.00382868</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896</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24.45293038</v>
      </c>
      <c r="F44" s="20" t="n">
        <v>1.41394022</v>
      </c>
      <c r="G44" s="18" t="n">
        <v>46.71937811</v>
      </c>
      <c r="H44" s="20" t="n">
        <v>1.51776124</v>
      </c>
      <c r="I44" s="18" t="n">
        <v>0</v>
      </c>
      <c r="J44" s="20" t="n">
        <v>0</v>
      </c>
      <c r="K44" s="18" t="n">
        <v>4.58412316</v>
      </c>
      <c r="L44" s="20" t="n">
        <v>0.57554407</v>
      </c>
      <c r="M44" s="18" t="n">
        <v>0</v>
      </c>
      <c r="N44" s="20" t="n">
        <v>0</v>
      </c>
      <c r="O44" s="18" t="n">
        <v>0</v>
      </c>
      <c r="P44" s="20" t="n">
        <v>0</v>
      </c>
      <c r="Q44" s="18" t="n">
        <v>24.24356834</v>
      </c>
      <c r="R44" s="20" t="n">
        <v>1.48751219</v>
      </c>
    </row>
    <row r="45" spans="1:18">
      <c r="A45" s="15" t="s">
        <v>604</v>
      </c>
      <c r="B45" s="17" t="n">
        <v>5519</v>
      </c>
      <c r="C45" s="18">
        <f>(3684.0/B45*100)</f>
        <v/>
      </c>
      <c r="D45" s="19" t="n">
        <v>1835</v>
      </c>
      <c r="E45" s="18" t="n">
        <v>34.98935893</v>
      </c>
      <c r="F45" s="20" t="n">
        <v>1.29395754</v>
      </c>
      <c r="G45" s="18" t="n">
        <v>25.34176209</v>
      </c>
      <c r="H45" s="20" t="n">
        <v>1.24342808</v>
      </c>
      <c r="I45" s="18" t="n">
        <v>0</v>
      </c>
      <c r="J45" s="20" t="n">
        <v>0</v>
      </c>
      <c r="K45" s="18" t="n">
        <v>8.20548606</v>
      </c>
      <c r="L45" s="20" t="n">
        <v>0.7360997500000001</v>
      </c>
      <c r="M45" s="18" t="n">
        <v>0.1524587</v>
      </c>
      <c r="N45" s="20" t="n">
        <v>0.09344479999999999</v>
      </c>
      <c r="O45" s="18" t="n">
        <v>0.05079824</v>
      </c>
      <c r="P45" s="20" t="n">
        <v>0.05405669</v>
      </c>
      <c r="Q45" s="18" t="n">
        <v>31.26013598</v>
      </c>
      <c r="R45" s="20" t="n">
        <v>1.37030372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13.07830349</v>
      </c>
      <c r="F54" s="20" t="n">
        <v>0.85452934</v>
      </c>
      <c r="G54" s="18" t="n">
        <v>56.68220458</v>
      </c>
      <c r="H54" s="20" t="n">
        <v>1.39309168</v>
      </c>
      <c r="I54" s="18" t="n">
        <v>0</v>
      </c>
      <c r="J54" s="20" t="n">
        <v>0</v>
      </c>
      <c r="K54" s="18" t="n">
        <v>4.28759511</v>
      </c>
      <c r="L54" s="20" t="n">
        <v>0.51770909</v>
      </c>
      <c r="M54" s="18" t="n">
        <v>0.04700565</v>
      </c>
      <c r="N54" s="20" t="n">
        <v>0.04713909</v>
      </c>
      <c r="O54" s="18" t="n">
        <v>0.05646153</v>
      </c>
      <c r="P54" s="20" t="n">
        <v>0.0521166</v>
      </c>
      <c r="Q54" s="18" t="n">
        <v>25.84842964</v>
      </c>
      <c r="R54" s="20" t="n">
        <v>1.24362023</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54.59722118</v>
      </c>
      <c r="F56" s="20" t="n">
        <v>1.40932993</v>
      </c>
      <c r="G56" s="18" t="n">
        <v>36.83966213</v>
      </c>
      <c r="H56" s="20" t="n">
        <v>1.36919807</v>
      </c>
      <c r="I56" s="18" t="n">
        <v>0</v>
      </c>
      <c r="J56" s="20" t="n">
        <v>0</v>
      </c>
      <c r="K56" s="18" t="n">
        <v>2.28961346</v>
      </c>
      <c r="L56" s="20" t="n">
        <v>0.43012702</v>
      </c>
      <c r="M56" s="18" t="n">
        <v>0.04274938</v>
      </c>
      <c r="N56" s="20" t="n">
        <v>0.04256512</v>
      </c>
      <c r="O56" s="18" t="n">
        <v>0</v>
      </c>
      <c r="P56" s="20" t="n">
        <v>0</v>
      </c>
      <c r="Q56" s="18" t="n">
        <v>6.23075385</v>
      </c>
      <c r="R56" s="20" t="n">
        <v>0.8268869599999999</v>
      </c>
    </row>
    <row r="57" spans="1:18">
      <c r="A57" s="15" t="s">
        <v>616</v>
      </c>
      <c r="B57" s="17" t="n">
        <v>7267</v>
      </c>
      <c r="C57" s="18">
        <f>(4851.0/B57*100)</f>
        <v/>
      </c>
      <c r="D57" s="19" t="n">
        <v>2416</v>
      </c>
      <c r="E57" s="18" t="n">
        <v>31.03577175</v>
      </c>
      <c r="F57" s="20" t="n">
        <v>1.24731299</v>
      </c>
      <c r="G57" s="18" t="n">
        <v>51.7655334</v>
      </c>
      <c r="H57" s="20" t="n">
        <v>1.37045029</v>
      </c>
      <c r="I57" s="18" t="n">
        <v>0</v>
      </c>
      <c r="J57" s="20" t="n">
        <v>0</v>
      </c>
      <c r="K57" s="18" t="n">
        <v>3.87768068</v>
      </c>
      <c r="L57" s="20" t="n">
        <v>0.58484418</v>
      </c>
      <c r="M57" s="18" t="n">
        <v>0.05172424</v>
      </c>
      <c r="N57" s="20" t="n">
        <v>0.05171823</v>
      </c>
      <c r="O57" s="18" t="n">
        <v>0</v>
      </c>
      <c r="P57" s="20" t="n">
        <v>0</v>
      </c>
      <c r="Q57" s="18" t="n">
        <v>13.26928993</v>
      </c>
      <c r="R57" s="20" t="n">
        <v>0.93538029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42.20484867</v>
      </c>
      <c r="F59" s="20" t="n">
        <v>1.67026573</v>
      </c>
      <c r="G59" s="18" t="n">
        <v>38.92851581</v>
      </c>
      <c r="H59" s="20" t="n">
        <v>1.59029103</v>
      </c>
      <c r="I59" s="18" t="n">
        <v>0</v>
      </c>
      <c r="J59" s="20" t="n">
        <v>0</v>
      </c>
      <c r="K59" s="18" t="n">
        <v>1.34432899</v>
      </c>
      <c r="L59" s="20" t="n">
        <v>0.34331225</v>
      </c>
      <c r="M59" s="18" t="n">
        <v>0</v>
      </c>
      <c r="N59" s="20" t="n">
        <v>0</v>
      </c>
      <c r="O59" s="18" t="n">
        <v>0</v>
      </c>
      <c r="P59" s="20" t="n">
        <v>0</v>
      </c>
      <c r="Q59" s="18" t="n">
        <v>17.52230653</v>
      </c>
      <c r="R59" s="20" t="n">
        <v>1.08716227</v>
      </c>
    </row>
    <row r="60" spans="1:18">
      <c r="A60" s="15" t="s">
        <v>620</v>
      </c>
      <c r="B60" s="17" t="n">
        <v>4546</v>
      </c>
      <c r="C60" s="18">
        <f>(3033.0/B60*100)</f>
        <v/>
      </c>
      <c r="D60" s="19" t="n">
        <v>1513</v>
      </c>
      <c r="E60" s="18" t="n">
        <v>29.33509046</v>
      </c>
      <c r="F60" s="20" t="n">
        <v>1.31157109</v>
      </c>
      <c r="G60" s="18" t="n">
        <v>30.16377646</v>
      </c>
      <c r="H60" s="20" t="n">
        <v>1.55406235</v>
      </c>
      <c r="I60" s="18" t="n">
        <v>0</v>
      </c>
      <c r="J60" s="20" t="n">
        <v>0</v>
      </c>
      <c r="K60" s="18" t="n">
        <v>6.2561905</v>
      </c>
      <c r="L60" s="20" t="n">
        <v>0.63980363</v>
      </c>
      <c r="M60" s="18" t="n">
        <v>0</v>
      </c>
      <c r="N60" s="20" t="n">
        <v>0</v>
      </c>
      <c r="O60" s="18" t="n">
        <v>0.33557565</v>
      </c>
      <c r="P60" s="20" t="n">
        <v>0.13409986</v>
      </c>
      <c r="Q60" s="18" t="n">
        <v>33.90936693</v>
      </c>
      <c r="R60" s="20" t="n">
        <v>1.40196879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13.94387173</v>
      </c>
      <c r="F63" s="20" t="n">
        <v>0.90831792</v>
      </c>
      <c r="G63" s="18" t="n">
        <v>41.81936175</v>
      </c>
      <c r="H63" s="20" t="n">
        <v>1.39113162</v>
      </c>
      <c r="I63" s="18" t="n">
        <v>0</v>
      </c>
      <c r="J63" s="20" t="n">
        <v>0</v>
      </c>
      <c r="K63" s="18" t="n">
        <v>3.31443712</v>
      </c>
      <c r="L63" s="20" t="n">
        <v>0.48779008</v>
      </c>
      <c r="M63" s="18" t="n">
        <v>0</v>
      </c>
      <c r="N63" s="20" t="n">
        <v>0</v>
      </c>
      <c r="O63" s="18" t="n">
        <v>0</v>
      </c>
      <c r="P63" s="20" t="n">
        <v>0</v>
      </c>
      <c r="Q63" s="18" t="n">
        <v>40.92232941</v>
      </c>
      <c r="R63" s="20" t="n">
        <v>1.32002531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13.24272223</v>
      </c>
      <c r="F65" s="20" t="n">
        <v>1.01217189</v>
      </c>
      <c r="G65" s="18" t="n">
        <v>65.78222005000001</v>
      </c>
      <c r="H65" s="20" t="n">
        <v>1.43098308</v>
      </c>
      <c r="I65" s="18" t="n">
        <v>0</v>
      </c>
      <c r="J65" s="20" t="n">
        <v>0</v>
      </c>
      <c r="K65" s="18" t="n">
        <v>4.57407812</v>
      </c>
      <c r="L65" s="20" t="n">
        <v>0.6050250700000001</v>
      </c>
      <c r="M65" s="18" t="n">
        <v>0</v>
      </c>
      <c r="N65" s="20" t="n">
        <v>0</v>
      </c>
      <c r="O65" s="18" t="n">
        <v>0</v>
      </c>
      <c r="P65" s="20" t="n">
        <v>0</v>
      </c>
      <c r="Q65" s="18" t="n">
        <v>16.40097959</v>
      </c>
      <c r="R65" s="20" t="n">
        <v>1.14376635</v>
      </c>
    </row>
    <row r="66" spans="1:18">
      <c r="A66" s="15" t="s">
        <v>626</v>
      </c>
      <c r="B66" s="17" t="n">
        <v>5325</v>
      </c>
      <c r="C66" s="18">
        <f>(3548.0/B66*100)</f>
        <v/>
      </c>
      <c r="D66" s="19" t="n">
        <v>1777</v>
      </c>
      <c r="E66" s="18" t="n">
        <v>19.8728997</v>
      </c>
      <c r="F66" s="20" t="n">
        <v>1.17434242</v>
      </c>
      <c r="G66" s="18" t="n">
        <v>44.1790963</v>
      </c>
      <c r="H66" s="20" t="n">
        <v>1.27543505</v>
      </c>
      <c r="I66" s="18" t="n">
        <v>0</v>
      </c>
      <c r="J66" s="20" t="n">
        <v>0</v>
      </c>
      <c r="K66" s="18" t="n">
        <v>6.88777605</v>
      </c>
      <c r="L66" s="20" t="n">
        <v>0.77438201</v>
      </c>
      <c r="M66" s="18" t="n">
        <v>0</v>
      </c>
      <c r="N66" s="20" t="n">
        <v>0</v>
      </c>
      <c r="O66" s="18" t="n">
        <v>0</v>
      </c>
      <c r="P66" s="20" t="n">
        <v>0</v>
      </c>
      <c r="Q66" s="18" t="n">
        <v>29.06022795</v>
      </c>
      <c r="R66" s="20" t="n">
        <v>1.3449736</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25.89861213</v>
      </c>
      <c r="F69" s="20" t="n">
        <v>2.43852286</v>
      </c>
      <c r="G69" s="18" t="n">
        <v>58.98920182</v>
      </c>
      <c r="H69" s="20" t="n">
        <v>3.1770737</v>
      </c>
      <c r="I69" s="18" t="n">
        <v>0</v>
      </c>
      <c r="J69" s="20" t="n">
        <v>0</v>
      </c>
      <c r="K69" s="18" t="n">
        <v>2.16479817</v>
      </c>
      <c r="L69" s="20" t="n">
        <v>0.68286548</v>
      </c>
      <c r="M69" s="18" t="n">
        <v>0</v>
      </c>
      <c r="N69" s="20" t="n">
        <v>0</v>
      </c>
      <c r="O69" s="18" t="n">
        <v>0</v>
      </c>
      <c r="P69" s="20" t="n">
        <v>0</v>
      </c>
      <c r="Q69" s="18" t="n">
        <v>12.94738787</v>
      </c>
      <c r="R69" s="20" t="n">
        <v>2.14682954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37.63971583</v>
      </c>
      <c r="F71" s="20" t="n">
        <v>1.63958688</v>
      </c>
      <c r="G71" s="18" t="n">
        <v>61.88519319</v>
      </c>
      <c r="H71" s="20" t="n">
        <v>1.66921616</v>
      </c>
      <c r="I71" s="18" t="n">
        <v>0</v>
      </c>
      <c r="J71" s="20" t="n">
        <v>0</v>
      </c>
      <c r="K71" s="18" t="n">
        <v>0.06684168</v>
      </c>
      <c r="L71" s="20" t="n">
        <v>0.06673567</v>
      </c>
      <c r="M71" s="18" t="n">
        <v>0</v>
      </c>
      <c r="N71" s="20" t="n">
        <v>0</v>
      </c>
      <c r="O71" s="18" t="n">
        <v>0</v>
      </c>
      <c r="P71" s="20" t="n">
        <v>0</v>
      </c>
      <c r="Q71" s="18" t="n">
        <v>0.40824931</v>
      </c>
      <c r="R71" s="20" t="n">
        <v>0.18017751</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16.48510816</v>
      </c>
      <c r="F76" s="20" t="n">
        <v>1.03636959</v>
      </c>
      <c r="G76" s="18" t="n">
        <v>55.74141487</v>
      </c>
      <c r="H76" s="20" t="n">
        <v>1.34210032</v>
      </c>
      <c r="I76" s="18" t="n">
        <v>0</v>
      </c>
      <c r="J76" s="20" t="n">
        <v>0</v>
      </c>
      <c r="K76" s="18" t="n">
        <v>9.54489879</v>
      </c>
      <c r="L76" s="20" t="n">
        <v>0.82614856</v>
      </c>
      <c r="M76" s="18" t="n">
        <v>0</v>
      </c>
      <c r="N76" s="20" t="n">
        <v>0</v>
      </c>
      <c r="O76" s="18" t="n">
        <v>0</v>
      </c>
      <c r="P76" s="20" t="n">
        <v>0</v>
      </c>
      <c r="Q76" s="18" t="n">
        <v>18.22857818</v>
      </c>
      <c r="R76" s="20" t="n">
        <v>1.10946275</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29.49513799</v>
      </c>
      <c r="F80" s="20" t="n">
        <v>1.32247681</v>
      </c>
      <c r="G80" s="18" t="n">
        <v>69.13117052</v>
      </c>
      <c r="H80" s="20" t="n">
        <v>1.35429572</v>
      </c>
      <c r="I80" s="18" t="n">
        <v>0</v>
      </c>
      <c r="J80" s="20" t="n">
        <v>0</v>
      </c>
      <c r="K80" s="18" t="n">
        <v>0</v>
      </c>
      <c r="L80" s="20" t="n">
        <v>0</v>
      </c>
      <c r="M80" s="18" t="n">
        <v>0</v>
      </c>
      <c r="N80" s="20" t="n">
        <v>0</v>
      </c>
      <c r="O80" s="18" t="n">
        <v>0</v>
      </c>
      <c r="P80" s="20" t="n">
        <v>0</v>
      </c>
      <c r="Q80" s="18" t="n">
        <v>1.37369148</v>
      </c>
      <c r="R80" s="20" t="n">
        <v>0.31800098</v>
      </c>
    </row>
    <row r="81" spans="1:18">
      <c r="A81" s="15" t="s">
        <v>641</v>
      </c>
      <c r="B81" s="17" t="n">
        <v>1657</v>
      </c>
      <c r="C81" s="18">
        <f>(1104.0/B81*100)</f>
        <v/>
      </c>
      <c r="D81" s="19" t="n">
        <v>553</v>
      </c>
      <c r="E81" s="18" t="n">
        <v>6.19427981</v>
      </c>
      <c r="F81" s="20" t="n">
        <v>1.170895</v>
      </c>
      <c r="G81" s="18" t="n">
        <v>77.98859908</v>
      </c>
      <c r="H81" s="20" t="n">
        <v>2.13372455</v>
      </c>
      <c r="I81" s="18" t="n">
        <v>0</v>
      </c>
      <c r="J81" s="20" t="n">
        <v>0</v>
      </c>
      <c r="K81" s="18" t="n">
        <v>5.41287515</v>
      </c>
      <c r="L81" s="20" t="n">
        <v>1.27121122</v>
      </c>
      <c r="M81" s="18" t="n">
        <v>0.09017724000000001</v>
      </c>
      <c r="N81" s="20" t="n">
        <v>0.09625539</v>
      </c>
      <c r="O81" s="18" t="n">
        <v>0</v>
      </c>
      <c r="P81" s="20" t="n">
        <v>0</v>
      </c>
      <c r="Q81" s="18" t="n">
        <v>10.31406872</v>
      </c>
      <c r="R81" s="20" t="n">
        <v>1.51235873</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40.2973059</v>
      </c>
      <c r="F44" s="20" t="n">
        <v>1.22646739</v>
      </c>
      <c r="G44" s="18" t="n">
        <v>34.65856468</v>
      </c>
      <c r="H44" s="20" t="n">
        <v>1.35926535</v>
      </c>
      <c r="I44" s="18" t="n">
        <v>0</v>
      </c>
      <c r="J44" s="20" t="n">
        <v>0</v>
      </c>
      <c r="K44" s="18" t="n">
        <v>4.83943677</v>
      </c>
      <c r="L44" s="20" t="n">
        <v>0.59872644</v>
      </c>
      <c r="M44" s="18" t="n">
        <v>0</v>
      </c>
      <c r="N44" s="20" t="n">
        <v>0</v>
      </c>
      <c r="O44" s="18" t="n">
        <v>0</v>
      </c>
      <c r="P44" s="20" t="n">
        <v>0</v>
      </c>
      <c r="Q44" s="18" t="n">
        <v>20.20469266</v>
      </c>
      <c r="R44" s="20" t="n">
        <v>1.37425105</v>
      </c>
    </row>
    <row r="45" spans="1:18">
      <c r="A45" s="15" t="s">
        <v>604</v>
      </c>
      <c r="B45" s="17" t="n">
        <v>5519</v>
      </c>
      <c r="C45" s="18">
        <f>(3684.0/B45*100)</f>
        <v/>
      </c>
      <c r="D45" s="19" t="n">
        <v>1835</v>
      </c>
      <c r="E45" s="18" t="n">
        <v>55.91397527</v>
      </c>
      <c r="F45" s="20" t="n">
        <v>1.21731387</v>
      </c>
      <c r="G45" s="18" t="n">
        <v>17.73694983</v>
      </c>
      <c r="H45" s="20" t="n">
        <v>1.05031489</v>
      </c>
      <c r="I45" s="18" t="n">
        <v>0</v>
      </c>
      <c r="J45" s="20" t="n">
        <v>0</v>
      </c>
      <c r="K45" s="18" t="n">
        <v>8.75763231</v>
      </c>
      <c r="L45" s="20" t="n">
        <v>0.77750784</v>
      </c>
      <c r="M45" s="18" t="n">
        <v>0.26734063</v>
      </c>
      <c r="N45" s="20" t="n">
        <v>0.12938268</v>
      </c>
      <c r="O45" s="18" t="n">
        <v>0.1518293</v>
      </c>
      <c r="P45" s="20" t="n">
        <v>0.09016195</v>
      </c>
      <c r="Q45" s="18" t="n">
        <v>17.17227266</v>
      </c>
      <c r="R45" s="20" t="n">
        <v>0.9935146500000001</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48.85569075</v>
      </c>
      <c r="F54" s="20" t="n">
        <v>1.21907884</v>
      </c>
      <c r="G54" s="18" t="n">
        <v>29.80367704</v>
      </c>
      <c r="H54" s="20" t="n">
        <v>1.18741147</v>
      </c>
      <c r="I54" s="18" t="n">
        <v>0</v>
      </c>
      <c r="J54" s="20" t="n">
        <v>0</v>
      </c>
      <c r="K54" s="18" t="n">
        <v>4.58613374</v>
      </c>
      <c r="L54" s="20" t="n">
        <v>0.55434021</v>
      </c>
      <c r="M54" s="18" t="n">
        <v>0.04700565</v>
      </c>
      <c r="N54" s="20" t="n">
        <v>0.04713909</v>
      </c>
      <c r="O54" s="18" t="n">
        <v>0</v>
      </c>
      <c r="P54" s="20" t="n">
        <v>0</v>
      </c>
      <c r="Q54" s="18" t="n">
        <v>16.70749283</v>
      </c>
      <c r="R54" s="20" t="n">
        <v>1.00057591</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55.12591912</v>
      </c>
      <c r="F56" s="20" t="n">
        <v>1.12804312</v>
      </c>
      <c r="G56" s="18" t="n">
        <v>37.19362331</v>
      </c>
      <c r="H56" s="20" t="n">
        <v>1.3285747</v>
      </c>
      <c r="I56" s="18" t="n">
        <v>0</v>
      </c>
      <c r="J56" s="20" t="n">
        <v>0</v>
      </c>
      <c r="K56" s="18" t="n">
        <v>2.41978368</v>
      </c>
      <c r="L56" s="20" t="n">
        <v>0.43781639</v>
      </c>
      <c r="M56" s="18" t="n">
        <v>0.04274938</v>
      </c>
      <c r="N56" s="20" t="n">
        <v>0.04256512</v>
      </c>
      <c r="O56" s="18" t="n">
        <v>0</v>
      </c>
      <c r="P56" s="20" t="n">
        <v>0</v>
      </c>
      <c r="Q56" s="18" t="n">
        <v>5.21792451</v>
      </c>
      <c r="R56" s="20" t="n">
        <v>0.73385615</v>
      </c>
    </row>
    <row r="57" spans="1:18">
      <c r="A57" s="15" t="s">
        <v>616</v>
      </c>
      <c r="B57" s="17" t="n">
        <v>7267</v>
      </c>
      <c r="C57" s="18">
        <f>(4851.0/B57*100)</f>
        <v/>
      </c>
      <c r="D57" s="19" t="n">
        <v>2416</v>
      </c>
      <c r="E57" s="18" t="n">
        <v>56.85702386</v>
      </c>
      <c r="F57" s="20" t="n">
        <v>1.42575839</v>
      </c>
      <c r="G57" s="18" t="n">
        <v>29.38943051</v>
      </c>
      <c r="H57" s="20" t="n">
        <v>1.23269708</v>
      </c>
      <c r="I57" s="18" t="n">
        <v>0</v>
      </c>
      <c r="J57" s="20" t="n">
        <v>0</v>
      </c>
      <c r="K57" s="18" t="n">
        <v>4.14012398</v>
      </c>
      <c r="L57" s="20" t="n">
        <v>0.57767617</v>
      </c>
      <c r="M57" s="18" t="n">
        <v>0.05172424</v>
      </c>
      <c r="N57" s="20" t="n">
        <v>0.05171823</v>
      </c>
      <c r="O57" s="18" t="n">
        <v>0</v>
      </c>
      <c r="P57" s="20" t="n">
        <v>0</v>
      </c>
      <c r="Q57" s="18" t="n">
        <v>9.56169742</v>
      </c>
      <c r="R57" s="20" t="n">
        <v>0.8426617199999999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65.6662419</v>
      </c>
      <c r="F59" s="20" t="n">
        <v>1.39311609</v>
      </c>
      <c r="G59" s="18" t="n">
        <v>22.37819242</v>
      </c>
      <c r="H59" s="20" t="n">
        <v>1.31305192</v>
      </c>
      <c r="I59" s="18" t="n">
        <v>0</v>
      </c>
      <c r="J59" s="20" t="n">
        <v>0</v>
      </c>
      <c r="K59" s="18" t="n">
        <v>1.61409175</v>
      </c>
      <c r="L59" s="20" t="n">
        <v>0.38420838</v>
      </c>
      <c r="M59" s="18" t="n">
        <v>0</v>
      </c>
      <c r="N59" s="20" t="n">
        <v>0</v>
      </c>
      <c r="O59" s="18" t="n">
        <v>0</v>
      </c>
      <c r="P59" s="20" t="n">
        <v>0</v>
      </c>
      <c r="Q59" s="18" t="n">
        <v>10.34147393</v>
      </c>
      <c r="R59" s="20" t="n">
        <v>0.77567927</v>
      </c>
    </row>
    <row r="60" spans="1:18">
      <c r="A60" s="15" t="s">
        <v>620</v>
      </c>
      <c r="B60" s="17" t="n">
        <v>4546</v>
      </c>
      <c r="C60" s="18">
        <f>(3033.0/B60*100)</f>
        <v/>
      </c>
      <c r="D60" s="19" t="n">
        <v>1513</v>
      </c>
      <c r="E60" s="18" t="n">
        <v>57.40102526</v>
      </c>
      <c r="F60" s="20" t="n">
        <v>1.19532514</v>
      </c>
      <c r="G60" s="18" t="n">
        <v>12.01831485</v>
      </c>
      <c r="H60" s="20" t="n">
        <v>0.98502621</v>
      </c>
      <c r="I60" s="18" t="n">
        <v>0</v>
      </c>
      <c r="J60" s="20" t="n">
        <v>0</v>
      </c>
      <c r="K60" s="18" t="n">
        <v>6.54191685</v>
      </c>
      <c r="L60" s="20" t="n">
        <v>0.6621385400000001</v>
      </c>
      <c r="M60" s="18" t="n">
        <v>0</v>
      </c>
      <c r="N60" s="20" t="n">
        <v>0</v>
      </c>
      <c r="O60" s="18" t="n">
        <v>0.24790704</v>
      </c>
      <c r="P60" s="20" t="n">
        <v>0.13010197</v>
      </c>
      <c r="Q60" s="18" t="n">
        <v>23.79083599</v>
      </c>
      <c r="R60" s="20" t="n">
        <v>1.27724101</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44.24645381</v>
      </c>
      <c r="F63" s="20" t="n">
        <v>1.2702638</v>
      </c>
      <c r="G63" s="18" t="n">
        <v>21.90469494</v>
      </c>
      <c r="H63" s="20" t="n">
        <v>0.9161869</v>
      </c>
      <c r="I63" s="18" t="n">
        <v>0</v>
      </c>
      <c r="J63" s="20" t="n">
        <v>0</v>
      </c>
      <c r="K63" s="18" t="n">
        <v>3.37765927</v>
      </c>
      <c r="L63" s="20" t="n">
        <v>0.49207771</v>
      </c>
      <c r="M63" s="18" t="n">
        <v>0</v>
      </c>
      <c r="N63" s="20" t="n">
        <v>0</v>
      </c>
      <c r="O63" s="18" t="n">
        <v>0</v>
      </c>
      <c r="P63" s="20" t="n">
        <v>0</v>
      </c>
      <c r="Q63" s="18" t="n">
        <v>30.47119198</v>
      </c>
      <c r="R63" s="20" t="n">
        <v>1.24459808</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61.55418294</v>
      </c>
      <c r="F65" s="20" t="n">
        <v>1.48845936</v>
      </c>
      <c r="G65" s="18" t="n">
        <v>22.24348484</v>
      </c>
      <c r="H65" s="20" t="n">
        <v>1.1197268</v>
      </c>
      <c r="I65" s="18" t="n">
        <v>0</v>
      </c>
      <c r="J65" s="20" t="n">
        <v>0</v>
      </c>
      <c r="K65" s="18" t="n">
        <v>4.73877632</v>
      </c>
      <c r="L65" s="20" t="n">
        <v>0.6263069</v>
      </c>
      <c r="M65" s="18" t="n">
        <v>0</v>
      </c>
      <c r="N65" s="20" t="n">
        <v>0</v>
      </c>
      <c r="O65" s="18" t="n">
        <v>0</v>
      </c>
      <c r="P65" s="20" t="n">
        <v>0</v>
      </c>
      <c r="Q65" s="18" t="n">
        <v>11.4635559</v>
      </c>
      <c r="R65" s="20" t="n">
        <v>0.8417655000000001</v>
      </c>
    </row>
    <row r="66" spans="1:18">
      <c r="A66" s="15" t="s">
        <v>626</v>
      </c>
      <c r="B66" s="17" t="n">
        <v>5325</v>
      </c>
      <c r="C66" s="18">
        <f>(3548.0/B66*100)</f>
        <v/>
      </c>
      <c r="D66" s="19" t="n">
        <v>1777</v>
      </c>
      <c r="E66" s="18" t="n">
        <v>42.01050079</v>
      </c>
      <c r="F66" s="20" t="n">
        <v>1.21870382</v>
      </c>
      <c r="G66" s="18" t="n">
        <v>32.73826126</v>
      </c>
      <c r="H66" s="20" t="n">
        <v>1.05220911</v>
      </c>
      <c r="I66" s="18" t="n">
        <v>0</v>
      </c>
      <c r="J66" s="20" t="n">
        <v>0</v>
      </c>
      <c r="K66" s="18" t="n">
        <v>7.0784356</v>
      </c>
      <c r="L66" s="20" t="n">
        <v>0.80714681</v>
      </c>
      <c r="M66" s="18" t="n">
        <v>0</v>
      </c>
      <c r="N66" s="20" t="n">
        <v>0</v>
      </c>
      <c r="O66" s="18" t="n">
        <v>0</v>
      </c>
      <c r="P66" s="20" t="n">
        <v>0</v>
      </c>
      <c r="Q66" s="18" t="n">
        <v>18.17280235</v>
      </c>
      <c r="R66" s="20" t="n">
        <v>0.88942607</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60.90859498</v>
      </c>
      <c r="F69" s="20" t="n">
        <v>2.29015761</v>
      </c>
      <c r="G69" s="18" t="n">
        <v>24.61628763</v>
      </c>
      <c r="H69" s="20" t="n">
        <v>2.12764534</v>
      </c>
      <c r="I69" s="18" t="n">
        <v>0</v>
      </c>
      <c r="J69" s="20" t="n">
        <v>0</v>
      </c>
      <c r="K69" s="18" t="n">
        <v>2.3425024</v>
      </c>
      <c r="L69" s="20" t="n">
        <v>0.69873807</v>
      </c>
      <c r="M69" s="18" t="n">
        <v>0</v>
      </c>
      <c r="N69" s="20" t="n">
        <v>0</v>
      </c>
      <c r="O69" s="18" t="n">
        <v>0</v>
      </c>
      <c r="P69" s="20" t="n">
        <v>0</v>
      </c>
      <c r="Q69" s="18" t="n">
        <v>12.13261499</v>
      </c>
      <c r="R69" s="20" t="n">
        <v>2.07842275</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57.50268219</v>
      </c>
      <c r="F71" s="20" t="n">
        <v>1.34267629</v>
      </c>
      <c r="G71" s="18" t="n">
        <v>42.07430392</v>
      </c>
      <c r="H71" s="20" t="n">
        <v>1.31903026</v>
      </c>
      <c r="I71" s="18" t="n">
        <v>0</v>
      </c>
      <c r="J71" s="20" t="n">
        <v>0</v>
      </c>
      <c r="K71" s="18" t="n">
        <v>0.06684168</v>
      </c>
      <c r="L71" s="20" t="n">
        <v>0.06673567</v>
      </c>
      <c r="M71" s="18" t="n">
        <v>0</v>
      </c>
      <c r="N71" s="20" t="n">
        <v>0</v>
      </c>
      <c r="O71" s="18" t="n">
        <v>0</v>
      </c>
      <c r="P71" s="20" t="n">
        <v>0</v>
      </c>
      <c r="Q71" s="18" t="n">
        <v>0.35617222</v>
      </c>
      <c r="R71" s="20" t="n">
        <v>0.17240532</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44.3510675</v>
      </c>
      <c r="F76" s="20" t="n">
        <v>1.52734416</v>
      </c>
      <c r="G76" s="18" t="n">
        <v>28.12554295</v>
      </c>
      <c r="H76" s="20" t="n">
        <v>1.09491638</v>
      </c>
      <c r="I76" s="18" t="n">
        <v>0</v>
      </c>
      <c r="J76" s="20" t="n">
        <v>0</v>
      </c>
      <c r="K76" s="18" t="n">
        <v>9.78487062</v>
      </c>
      <c r="L76" s="20" t="n">
        <v>0.85361784</v>
      </c>
      <c r="M76" s="18" t="n">
        <v>0</v>
      </c>
      <c r="N76" s="20" t="n">
        <v>0</v>
      </c>
      <c r="O76" s="18" t="n">
        <v>0</v>
      </c>
      <c r="P76" s="20" t="n">
        <v>0</v>
      </c>
      <c r="Q76" s="18" t="n">
        <v>17.73851893</v>
      </c>
      <c r="R76" s="20" t="n">
        <v>1.18404561</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41.42148203</v>
      </c>
      <c r="F80" s="20" t="n">
        <v>1.50842375</v>
      </c>
      <c r="G80" s="18" t="n">
        <v>57.35342259</v>
      </c>
      <c r="H80" s="20" t="n">
        <v>1.54148882</v>
      </c>
      <c r="I80" s="18" t="n">
        <v>0</v>
      </c>
      <c r="J80" s="20" t="n">
        <v>0</v>
      </c>
      <c r="K80" s="18" t="n">
        <v>0</v>
      </c>
      <c r="L80" s="20" t="n">
        <v>0</v>
      </c>
      <c r="M80" s="18" t="n">
        <v>0</v>
      </c>
      <c r="N80" s="20" t="n">
        <v>0</v>
      </c>
      <c r="O80" s="18" t="n">
        <v>0</v>
      </c>
      <c r="P80" s="20" t="n">
        <v>0</v>
      </c>
      <c r="Q80" s="18" t="n">
        <v>1.22509539</v>
      </c>
      <c r="R80" s="20" t="n">
        <v>0.31175715</v>
      </c>
    </row>
    <row r="81" spans="1:18">
      <c r="A81" s="15" t="s">
        <v>641</v>
      </c>
      <c r="B81" s="17" t="n">
        <v>1657</v>
      </c>
      <c r="C81" s="18">
        <f>(1104.0/B81*100)</f>
        <v/>
      </c>
      <c r="D81" s="19" t="n">
        <v>553</v>
      </c>
      <c r="E81" s="18" t="n">
        <v>49.08350772</v>
      </c>
      <c r="F81" s="20" t="n">
        <v>2.04363752</v>
      </c>
      <c r="G81" s="18" t="n">
        <v>32.71745304</v>
      </c>
      <c r="H81" s="20" t="n">
        <v>2.1250635</v>
      </c>
      <c r="I81" s="18" t="n">
        <v>0</v>
      </c>
      <c r="J81" s="20" t="n">
        <v>0</v>
      </c>
      <c r="K81" s="18" t="n">
        <v>5.57138762</v>
      </c>
      <c r="L81" s="20" t="n">
        <v>1.28302476</v>
      </c>
      <c r="M81" s="18" t="n">
        <v>0.09017724000000001</v>
      </c>
      <c r="N81" s="20" t="n">
        <v>0.09625539</v>
      </c>
      <c r="O81" s="18" t="n">
        <v>0</v>
      </c>
      <c r="P81" s="20" t="n">
        <v>0</v>
      </c>
      <c r="Q81" s="18" t="n">
        <v>12.53747438</v>
      </c>
      <c r="R81" s="20" t="n">
        <v>1.74871696</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42.09037471</v>
      </c>
      <c r="F44" s="20" t="n">
        <v>1.28905747</v>
      </c>
      <c r="G44" s="18" t="n">
        <v>23.49167249</v>
      </c>
      <c r="H44" s="20" t="n">
        <v>1.26390252</v>
      </c>
      <c r="I44" s="18" t="n">
        <v>0</v>
      </c>
      <c r="J44" s="20" t="n">
        <v>0</v>
      </c>
      <c r="K44" s="18" t="n">
        <v>5.29422792</v>
      </c>
      <c r="L44" s="20" t="n">
        <v>0.63305544</v>
      </c>
      <c r="M44" s="18" t="n">
        <v>0</v>
      </c>
      <c r="N44" s="20" t="n">
        <v>0</v>
      </c>
      <c r="O44" s="18" t="n">
        <v>0.62742757</v>
      </c>
      <c r="P44" s="20" t="n">
        <v>0.22395016</v>
      </c>
      <c r="Q44" s="18" t="n">
        <v>28.49629731</v>
      </c>
      <c r="R44" s="20" t="n">
        <v>1.56927376</v>
      </c>
    </row>
    <row r="45" spans="1:18">
      <c r="A45" s="15" t="s">
        <v>604</v>
      </c>
      <c r="B45" s="17" t="n">
        <v>5519</v>
      </c>
      <c r="C45" s="18">
        <f>(3684.0/B45*100)</f>
        <v/>
      </c>
      <c r="D45" s="19" t="n">
        <v>1835</v>
      </c>
      <c r="E45" s="18" t="n">
        <v>51.04666448</v>
      </c>
      <c r="F45" s="20" t="n">
        <v>1.40191056</v>
      </c>
      <c r="G45" s="18" t="n">
        <v>19.78066022</v>
      </c>
      <c r="H45" s="20" t="n">
        <v>1.07224897</v>
      </c>
      <c r="I45" s="18" t="n">
        <v>0</v>
      </c>
      <c r="J45" s="20" t="n">
        <v>0</v>
      </c>
      <c r="K45" s="18" t="n">
        <v>9.63845607</v>
      </c>
      <c r="L45" s="20" t="n">
        <v>0.81851134</v>
      </c>
      <c r="M45" s="18" t="n">
        <v>1.8606903</v>
      </c>
      <c r="N45" s="20" t="n">
        <v>0.34886655</v>
      </c>
      <c r="O45" s="18" t="n">
        <v>0.78620953</v>
      </c>
      <c r="P45" s="20" t="n">
        <v>0.19343229</v>
      </c>
      <c r="Q45" s="18" t="n">
        <v>16.8873194</v>
      </c>
      <c r="R45" s="20" t="n">
        <v>0.85224181</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42.03951646</v>
      </c>
      <c r="F54" s="20" t="n">
        <v>1.37130575</v>
      </c>
      <c r="G54" s="18" t="n">
        <v>23.60341666</v>
      </c>
      <c r="H54" s="20" t="n">
        <v>1.29044228</v>
      </c>
      <c r="I54" s="18" t="n">
        <v>0</v>
      </c>
      <c r="J54" s="20" t="n">
        <v>0</v>
      </c>
      <c r="K54" s="18" t="n">
        <v>4.83526463</v>
      </c>
      <c r="L54" s="20" t="n">
        <v>0.5811319</v>
      </c>
      <c r="M54" s="18" t="n">
        <v>0.04700565</v>
      </c>
      <c r="N54" s="20" t="n">
        <v>0.04713909</v>
      </c>
      <c r="O54" s="18" t="n">
        <v>0.6911534499999999</v>
      </c>
      <c r="P54" s="20" t="n">
        <v>0.23904902</v>
      </c>
      <c r="Q54" s="18" t="n">
        <v>28.78364316</v>
      </c>
      <c r="R54" s="20" t="n">
        <v>1.23099213</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55.99129592</v>
      </c>
      <c r="F56" s="20" t="n">
        <v>1.39466773</v>
      </c>
      <c r="G56" s="18" t="n">
        <v>32.87952114</v>
      </c>
      <c r="H56" s="20" t="n">
        <v>1.4242991</v>
      </c>
      <c r="I56" s="18" t="n">
        <v>0</v>
      </c>
      <c r="J56" s="20" t="n">
        <v>0</v>
      </c>
      <c r="K56" s="18" t="n">
        <v>2.67319741</v>
      </c>
      <c r="L56" s="20" t="n">
        <v>0.45690897</v>
      </c>
      <c r="M56" s="18" t="n">
        <v>0.04274938</v>
      </c>
      <c r="N56" s="20" t="n">
        <v>0.04256512</v>
      </c>
      <c r="O56" s="18" t="n">
        <v>0</v>
      </c>
      <c r="P56" s="20" t="n">
        <v>0</v>
      </c>
      <c r="Q56" s="18" t="n">
        <v>8.41323616</v>
      </c>
      <c r="R56" s="20" t="n">
        <v>0.82904604</v>
      </c>
    </row>
    <row r="57" spans="1:18">
      <c r="A57" s="15" t="s">
        <v>616</v>
      </c>
      <c r="B57" s="17" t="n">
        <v>7267</v>
      </c>
      <c r="C57" s="18">
        <f>(4851.0/B57*100)</f>
        <v/>
      </c>
      <c r="D57" s="19" t="n">
        <v>2416</v>
      </c>
      <c r="E57" s="18" t="n">
        <v>56.49566152</v>
      </c>
      <c r="F57" s="20" t="n">
        <v>1.40766657</v>
      </c>
      <c r="G57" s="18" t="n">
        <v>30.18103847</v>
      </c>
      <c r="H57" s="20" t="n">
        <v>1.48671781</v>
      </c>
      <c r="I57" s="18" t="n">
        <v>0</v>
      </c>
      <c r="J57" s="20" t="n">
        <v>0</v>
      </c>
      <c r="K57" s="18" t="n">
        <v>4.51134541</v>
      </c>
      <c r="L57" s="20" t="n">
        <v>0.62844628</v>
      </c>
      <c r="M57" s="18" t="n">
        <v>0.05172424</v>
      </c>
      <c r="N57" s="20" t="n">
        <v>0.05171823</v>
      </c>
      <c r="O57" s="18" t="n">
        <v>0.13801793</v>
      </c>
      <c r="P57" s="20" t="n">
        <v>0.09437743</v>
      </c>
      <c r="Q57" s="18" t="n">
        <v>8.622212429999999</v>
      </c>
      <c r="R57" s="20" t="n">
        <v>0.81369094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62.29096708</v>
      </c>
      <c r="F59" s="20" t="n">
        <v>1.34173845</v>
      </c>
      <c r="G59" s="18" t="n">
        <v>12.89291415</v>
      </c>
      <c r="H59" s="20" t="n">
        <v>1.00587701</v>
      </c>
      <c r="I59" s="18" t="n">
        <v>0</v>
      </c>
      <c r="J59" s="20" t="n">
        <v>0</v>
      </c>
      <c r="K59" s="18" t="n">
        <v>1.73962258</v>
      </c>
      <c r="L59" s="20" t="n">
        <v>0.44920001</v>
      </c>
      <c r="M59" s="18" t="n">
        <v>0.02723961</v>
      </c>
      <c r="N59" s="20" t="n">
        <v>0.02729704</v>
      </c>
      <c r="O59" s="18" t="n">
        <v>0.13982234</v>
      </c>
      <c r="P59" s="20" t="n">
        <v>0.11912728</v>
      </c>
      <c r="Q59" s="18" t="n">
        <v>22.90943423</v>
      </c>
      <c r="R59" s="20" t="n">
        <v>1.2651109</v>
      </c>
    </row>
    <row r="60" spans="1:18">
      <c r="A60" s="15" t="s">
        <v>620</v>
      </c>
      <c r="B60" s="17" t="n">
        <v>4546</v>
      </c>
      <c r="C60" s="18">
        <f>(3033.0/B60*100)</f>
        <v/>
      </c>
      <c r="D60" s="19" t="n">
        <v>1513</v>
      </c>
      <c r="E60" s="18" t="n">
        <v>51.86724924</v>
      </c>
      <c r="F60" s="20" t="n">
        <v>1.3604093</v>
      </c>
      <c r="G60" s="18" t="n">
        <v>18.84997548</v>
      </c>
      <c r="H60" s="20" t="n">
        <v>1.21622912</v>
      </c>
      <c r="I60" s="18" t="n">
        <v>0</v>
      </c>
      <c r="J60" s="20" t="n">
        <v>0</v>
      </c>
      <c r="K60" s="18" t="n">
        <v>7.10545427</v>
      </c>
      <c r="L60" s="20" t="n">
        <v>0.70268409</v>
      </c>
      <c r="M60" s="18" t="n">
        <v>0.11154362</v>
      </c>
      <c r="N60" s="20" t="n">
        <v>0.08925402</v>
      </c>
      <c r="O60" s="18" t="n">
        <v>0.45522166</v>
      </c>
      <c r="P60" s="20" t="n">
        <v>0.18202524</v>
      </c>
      <c r="Q60" s="18" t="n">
        <v>21.61055573</v>
      </c>
      <c r="R60" s="20" t="n">
        <v>1.23738353</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44.66770581</v>
      </c>
      <c r="F63" s="20" t="n">
        <v>1.19672024</v>
      </c>
      <c r="G63" s="18" t="n">
        <v>19.87932205</v>
      </c>
      <c r="H63" s="20" t="n">
        <v>0.99077544</v>
      </c>
      <c r="I63" s="18" t="n">
        <v>0</v>
      </c>
      <c r="J63" s="20" t="n">
        <v>0</v>
      </c>
      <c r="K63" s="18" t="n">
        <v>3.92489494</v>
      </c>
      <c r="L63" s="20" t="n">
        <v>0.50781222</v>
      </c>
      <c r="M63" s="18" t="n">
        <v>0</v>
      </c>
      <c r="N63" s="20" t="n">
        <v>0</v>
      </c>
      <c r="O63" s="18" t="n">
        <v>0.06710805</v>
      </c>
      <c r="P63" s="20" t="n">
        <v>0.04799076</v>
      </c>
      <c r="Q63" s="18" t="n">
        <v>31.46096915</v>
      </c>
      <c r="R63" s="20" t="n">
        <v>1.09161402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55.93425352</v>
      </c>
      <c r="F65" s="20" t="n">
        <v>1.4846835</v>
      </c>
      <c r="G65" s="18" t="n">
        <v>30.99560281</v>
      </c>
      <c r="H65" s="20" t="n">
        <v>1.04950192</v>
      </c>
      <c r="I65" s="18" t="n">
        <v>0</v>
      </c>
      <c r="J65" s="20" t="n">
        <v>0</v>
      </c>
      <c r="K65" s="18" t="n">
        <v>4.73877632</v>
      </c>
      <c r="L65" s="20" t="n">
        <v>0.6263069</v>
      </c>
      <c r="M65" s="18" t="n">
        <v>0</v>
      </c>
      <c r="N65" s="20" t="n">
        <v>0</v>
      </c>
      <c r="O65" s="18" t="n">
        <v>0.07969672</v>
      </c>
      <c r="P65" s="20" t="n">
        <v>0.07965116999999999</v>
      </c>
      <c r="Q65" s="18" t="n">
        <v>8.25167063</v>
      </c>
      <c r="R65" s="20" t="n">
        <v>0.87402636</v>
      </c>
    </row>
    <row r="66" spans="1:18">
      <c r="A66" s="15" t="s">
        <v>626</v>
      </c>
      <c r="B66" s="17" t="n">
        <v>5325</v>
      </c>
      <c r="C66" s="18">
        <f>(3548.0/B66*100)</f>
        <v/>
      </c>
      <c r="D66" s="19" t="n">
        <v>1777</v>
      </c>
      <c r="E66" s="18" t="n">
        <v>48.66818683</v>
      </c>
      <c r="F66" s="20" t="n">
        <v>1.3153856</v>
      </c>
      <c r="G66" s="18" t="n">
        <v>30.65281591</v>
      </c>
      <c r="H66" s="20" t="n">
        <v>1.18909767</v>
      </c>
      <c r="I66" s="18" t="n">
        <v>0</v>
      </c>
      <c r="J66" s="20" t="n">
        <v>0</v>
      </c>
      <c r="K66" s="18" t="n">
        <v>7.38632211</v>
      </c>
      <c r="L66" s="20" t="n">
        <v>0.81751354</v>
      </c>
      <c r="M66" s="18" t="n">
        <v>0.54057155</v>
      </c>
      <c r="N66" s="20" t="n">
        <v>0.15317431</v>
      </c>
      <c r="O66" s="18" t="n">
        <v>0</v>
      </c>
      <c r="P66" s="20" t="n">
        <v>0</v>
      </c>
      <c r="Q66" s="18" t="n">
        <v>12.7521036</v>
      </c>
      <c r="R66" s="20" t="n">
        <v>0.80966936</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65.93199303</v>
      </c>
      <c r="F69" s="20" t="n">
        <v>2.61973894</v>
      </c>
      <c r="G69" s="18" t="n">
        <v>24.65862828</v>
      </c>
      <c r="H69" s="20" t="n">
        <v>2.68618398</v>
      </c>
      <c r="I69" s="18" t="n">
        <v>0</v>
      </c>
      <c r="J69" s="20" t="n">
        <v>0</v>
      </c>
      <c r="K69" s="18" t="n">
        <v>2.83691416</v>
      </c>
      <c r="L69" s="20" t="n">
        <v>0.75597297</v>
      </c>
      <c r="M69" s="18" t="n">
        <v>0</v>
      </c>
      <c r="N69" s="20" t="n">
        <v>0</v>
      </c>
      <c r="O69" s="18" t="n">
        <v>0</v>
      </c>
      <c r="P69" s="20" t="n">
        <v>0</v>
      </c>
      <c r="Q69" s="18" t="n">
        <v>6.57246453</v>
      </c>
      <c r="R69" s="20" t="n">
        <v>1.32528817</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63.9278107</v>
      </c>
      <c r="F71" s="20" t="n">
        <v>1.51679627</v>
      </c>
      <c r="G71" s="18" t="n">
        <v>35.89251675</v>
      </c>
      <c r="H71" s="20" t="n">
        <v>1.53085139</v>
      </c>
      <c r="I71" s="18" t="n">
        <v>0</v>
      </c>
      <c r="J71" s="20" t="n">
        <v>0</v>
      </c>
      <c r="K71" s="18" t="n">
        <v>0.06684168</v>
      </c>
      <c r="L71" s="20" t="n">
        <v>0.06673567</v>
      </c>
      <c r="M71" s="18" t="n">
        <v>0</v>
      </c>
      <c r="N71" s="20" t="n">
        <v>0</v>
      </c>
      <c r="O71" s="18" t="n">
        <v>0</v>
      </c>
      <c r="P71" s="20" t="n">
        <v>0</v>
      </c>
      <c r="Q71" s="18" t="n">
        <v>0.11283087</v>
      </c>
      <c r="R71" s="20" t="n">
        <v>0.0802361</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40.56218068</v>
      </c>
      <c r="F76" s="20" t="n">
        <v>1.37563634</v>
      </c>
      <c r="G76" s="18" t="n">
        <v>29.86035909</v>
      </c>
      <c r="H76" s="20" t="n">
        <v>1.07519691</v>
      </c>
      <c r="I76" s="18" t="n">
        <v>0</v>
      </c>
      <c r="J76" s="20" t="n">
        <v>0</v>
      </c>
      <c r="K76" s="18" t="n">
        <v>10.55445415</v>
      </c>
      <c r="L76" s="20" t="n">
        <v>0.8740149699999999</v>
      </c>
      <c r="M76" s="18" t="n">
        <v>0</v>
      </c>
      <c r="N76" s="20" t="n">
        <v>0</v>
      </c>
      <c r="O76" s="18" t="n">
        <v>0</v>
      </c>
      <c r="P76" s="20" t="n">
        <v>0</v>
      </c>
      <c r="Q76" s="18" t="n">
        <v>19.02300608</v>
      </c>
      <c r="R76" s="20" t="n">
        <v>1.08779735</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37.05583256</v>
      </c>
      <c r="F80" s="20" t="n">
        <v>1.5824482</v>
      </c>
      <c r="G80" s="18" t="n">
        <v>61.3778506</v>
      </c>
      <c r="H80" s="20" t="n">
        <v>1.63596278</v>
      </c>
      <c r="I80" s="18" t="n">
        <v>0</v>
      </c>
      <c r="J80" s="20" t="n">
        <v>0</v>
      </c>
      <c r="K80" s="18" t="n">
        <v>0</v>
      </c>
      <c r="L80" s="20" t="n">
        <v>0</v>
      </c>
      <c r="M80" s="18" t="n">
        <v>0</v>
      </c>
      <c r="N80" s="20" t="n">
        <v>0</v>
      </c>
      <c r="O80" s="18" t="n">
        <v>0</v>
      </c>
      <c r="P80" s="20" t="n">
        <v>0</v>
      </c>
      <c r="Q80" s="18" t="n">
        <v>1.56631684</v>
      </c>
      <c r="R80" s="20" t="n">
        <v>0.34108542</v>
      </c>
    </row>
    <row r="81" spans="1:18">
      <c r="A81" s="15" t="s">
        <v>641</v>
      </c>
      <c r="B81" s="17" t="n">
        <v>1657</v>
      </c>
      <c r="C81" s="18">
        <f>(1104.0/B81*100)</f>
        <v/>
      </c>
      <c r="D81" s="19" t="n">
        <v>553</v>
      </c>
      <c r="E81" s="18" t="n">
        <v>32.49857014</v>
      </c>
      <c r="F81" s="20" t="n">
        <v>2.44118248</v>
      </c>
      <c r="G81" s="18" t="n">
        <v>51.68088592</v>
      </c>
      <c r="H81" s="20" t="n">
        <v>2.92215966</v>
      </c>
      <c r="I81" s="18" t="n">
        <v>0</v>
      </c>
      <c r="J81" s="20" t="n">
        <v>0</v>
      </c>
      <c r="K81" s="18" t="n">
        <v>5.86935678</v>
      </c>
      <c r="L81" s="20" t="n">
        <v>1.2841892</v>
      </c>
      <c r="M81" s="18" t="n">
        <v>0</v>
      </c>
      <c r="N81" s="20" t="n">
        <v>0</v>
      </c>
      <c r="O81" s="18" t="n">
        <v>0</v>
      </c>
      <c r="P81" s="20" t="n">
        <v>0</v>
      </c>
      <c r="Q81" s="18" t="n">
        <v>9.95118716</v>
      </c>
      <c r="R81" s="20" t="n">
        <v>0.99106724</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899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39.70902766</v>
      </c>
      <c r="F44" s="20" t="n">
        <v>1.70845667</v>
      </c>
      <c r="G44" s="18" t="n">
        <v>52.84868894</v>
      </c>
      <c r="H44" s="20" t="n">
        <v>1.61091043</v>
      </c>
      <c r="I44" s="18" t="n">
        <v>0</v>
      </c>
      <c r="J44" s="20" t="n">
        <v>0</v>
      </c>
      <c r="K44" s="18" t="n">
        <v>5.46581641</v>
      </c>
      <c r="L44" s="20" t="n">
        <v>0.6459062800000001</v>
      </c>
      <c r="M44" s="18" t="n">
        <v>0</v>
      </c>
      <c r="N44" s="20" t="n">
        <v>0</v>
      </c>
      <c r="O44" s="18" t="n">
        <v>0</v>
      </c>
      <c r="P44" s="20" t="n">
        <v>0</v>
      </c>
      <c r="Q44" s="18" t="n">
        <v>1.976467</v>
      </c>
      <c r="R44" s="20" t="n">
        <v>0.41253379</v>
      </c>
    </row>
    <row r="45" spans="1:18">
      <c r="A45" s="15" t="s">
        <v>604</v>
      </c>
      <c r="B45" s="17" t="n">
        <v>5519</v>
      </c>
      <c r="C45" s="18">
        <f>(3684.0/B45*100)</f>
        <v/>
      </c>
      <c r="D45" s="19" t="n">
        <v>1835</v>
      </c>
      <c r="E45" s="18" t="n">
        <v>56.20436044</v>
      </c>
      <c r="F45" s="20" t="n">
        <v>1.28279396</v>
      </c>
      <c r="G45" s="18" t="n">
        <v>30.65805447</v>
      </c>
      <c r="H45" s="20" t="n">
        <v>1.09788816</v>
      </c>
      <c r="I45" s="18" t="n">
        <v>0</v>
      </c>
      <c r="J45" s="20" t="n">
        <v>0</v>
      </c>
      <c r="K45" s="18" t="n">
        <v>11.07521478</v>
      </c>
      <c r="L45" s="20" t="n">
        <v>0.90208691</v>
      </c>
      <c r="M45" s="18" t="n">
        <v>0.35687891</v>
      </c>
      <c r="N45" s="20" t="n">
        <v>0.14883056</v>
      </c>
      <c r="O45" s="18" t="n">
        <v>0.13384712</v>
      </c>
      <c r="P45" s="20" t="n">
        <v>0.08174410999999999</v>
      </c>
      <c r="Q45" s="18" t="n">
        <v>1.57164428</v>
      </c>
      <c r="R45" s="20" t="n">
        <v>0.31101625</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41.87949108</v>
      </c>
      <c r="F54" s="20" t="n">
        <v>1.41701016</v>
      </c>
      <c r="G54" s="18" t="n">
        <v>51.56326542</v>
      </c>
      <c r="H54" s="20" t="n">
        <v>1.4626588</v>
      </c>
      <c r="I54" s="18" t="n">
        <v>0</v>
      </c>
      <c r="J54" s="20" t="n">
        <v>0</v>
      </c>
      <c r="K54" s="18" t="n">
        <v>5.00556892</v>
      </c>
      <c r="L54" s="20" t="n">
        <v>0.58779288</v>
      </c>
      <c r="M54" s="18" t="n">
        <v>0</v>
      </c>
      <c r="N54" s="20" t="n">
        <v>0</v>
      </c>
      <c r="O54" s="18" t="n">
        <v>0.06520674</v>
      </c>
      <c r="P54" s="20" t="n">
        <v>0.06942943</v>
      </c>
      <c r="Q54" s="18" t="n">
        <v>1.48646784</v>
      </c>
      <c r="R54" s="20" t="n">
        <v>0.31232055</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56.14146246</v>
      </c>
      <c r="F56" s="20" t="n">
        <v>1.31951125</v>
      </c>
      <c r="G56" s="18" t="n">
        <v>40.39560611</v>
      </c>
      <c r="H56" s="20" t="n">
        <v>1.35014597</v>
      </c>
      <c r="I56" s="18" t="n">
        <v>0</v>
      </c>
      <c r="J56" s="20" t="n">
        <v>0</v>
      </c>
      <c r="K56" s="18" t="n">
        <v>3.0318906</v>
      </c>
      <c r="L56" s="20" t="n">
        <v>0.45937844</v>
      </c>
      <c r="M56" s="18" t="n">
        <v>0.04274938</v>
      </c>
      <c r="N56" s="20" t="n">
        <v>0.04256512</v>
      </c>
      <c r="O56" s="18" t="n">
        <v>0</v>
      </c>
      <c r="P56" s="20" t="n">
        <v>0</v>
      </c>
      <c r="Q56" s="18" t="n">
        <v>0.38829146</v>
      </c>
      <c r="R56" s="20" t="n">
        <v>0.15001823</v>
      </c>
    </row>
    <row r="57" spans="1:18">
      <c r="A57" s="15" t="s">
        <v>616</v>
      </c>
      <c r="B57" s="17" t="n">
        <v>7267</v>
      </c>
      <c r="C57" s="18">
        <f>(4851.0/B57*100)</f>
        <v/>
      </c>
      <c r="D57" s="19" t="n">
        <v>2416</v>
      </c>
      <c r="E57" s="18" t="n">
        <v>41.44917532</v>
      </c>
      <c r="F57" s="20" t="n">
        <v>1.43721181</v>
      </c>
      <c r="G57" s="18" t="n">
        <v>52.19311208</v>
      </c>
      <c r="H57" s="20" t="n">
        <v>1.46573475</v>
      </c>
      <c r="I57" s="18" t="n">
        <v>0</v>
      </c>
      <c r="J57" s="20" t="n">
        <v>0</v>
      </c>
      <c r="K57" s="18" t="n">
        <v>4.87131927</v>
      </c>
      <c r="L57" s="20" t="n">
        <v>0.62851611</v>
      </c>
      <c r="M57" s="18" t="n">
        <v>0.05172424</v>
      </c>
      <c r="N57" s="20" t="n">
        <v>0.05171823</v>
      </c>
      <c r="O57" s="18" t="n">
        <v>0.08325399</v>
      </c>
      <c r="P57" s="20" t="n">
        <v>0.07290636</v>
      </c>
      <c r="Q57" s="18" t="n">
        <v>1.35141511</v>
      </c>
      <c r="R57" s="20" t="n">
        <v>0.35157974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67.37454681</v>
      </c>
      <c r="F59" s="20" t="n">
        <v>1.68399692</v>
      </c>
      <c r="G59" s="18" t="n">
        <v>29.73695198</v>
      </c>
      <c r="H59" s="20" t="n">
        <v>1.62835574</v>
      </c>
      <c r="I59" s="18" t="n">
        <v>0</v>
      </c>
      <c r="J59" s="20" t="n">
        <v>0</v>
      </c>
      <c r="K59" s="18" t="n">
        <v>1.94305542</v>
      </c>
      <c r="L59" s="20" t="n">
        <v>0.47504659</v>
      </c>
      <c r="M59" s="18" t="n">
        <v>0</v>
      </c>
      <c r="N59" s="20" t="n">
        <v>0</v>
      </c>
      <c r="O59" s="18" t="n">
        <v>0.01926769</v>
      </c>
      <c r="P59" s="20" t="n">
        <v>0.01924621</v>
      </c>
      <c r="Q59" s="18" t="n">
        <v>0.9261781</v>
      </c>
      <c r="R59" s="20" t="n">
        <v>0.20055263</v>
      </c>
    </row>
    <row r="60" spans="1:18">
      <c r="A60" s="15" t="s">
        <v>620</v>
      </c>
      <c r="B60" s="17" t="n">
        <v>4546</v>
      </c>
      <c r="C60" s="18">
        <f>(3033.0/B60*100)</f>
        <v/>
      </c>
      <c r="D60" s="19" t="n">
        <v>1513</v>
      </c>
      <c r="E60" s="18" t="n">
        <v>46.54599211</v>
      </c>
      <c r="F60" s="20" t="n">
        <v>1.89276769</v>
      </c>
      <c r="G60" s="18" t="n">
        <v>43.82408534</v>
      </c>
      <c r="H60" s="20" t="n">
        <v>1.71458744</v>
      </c>
      <c r="I60" s="18" t="n">
        <v>0</v>
      </c>
      <c r="J60" s="20" t="n">
        <v>0</v>
      </c>
      <c r="K60" s="18" t="n">
        <v>7.1487372</v>
      </c>
      <c r="L60" s="20" t="n">
        <v>0.70680457</v>
      </c>
      <c r="M60" s="18" t="n">
        <v>0</v>
      </c>
      <c r="N60" s="20" t="n">
        <v>0</v>
      </c>
      <c r="O60" s="18" t="n">
        <v>0.03820759</v>
      </c>
      <c r="P60" s="20" t="n">
        <v>0.03704406</v>
      </c>
      <c r="Q60" s="18" t="n">
        <v>2.44297776</v>
      </c>
      <c r="R60" s="20" t="n">
        <v>0.49005742</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53.57269254</v>
      </c>
      <c r="F63" s="20" t="n">
        <v>1.1831696</v>
      </c>
      <c r="G63" s="18" t="n">
        <v>40.29249625</v>
      </c>
      <c r="H63" s="20" t="n">
        <v>1.21888329</v>
      </c>
      <c r="I63" s="18" t="n">
        <v>0</v>
      </c>
      <c r="J63" s="20" t="n">
        <v>0</v>
      </c>
      <c r="K63" s="18" t="n">
        <v>3.98092952</v>
      </c>
      <c r="L63" s="20" t="n">
        <v>0.51014815</v>
      </c>
      <c r="M63" s="18" t="n">
        <v>0</v>
      </c>
      <c r="N63" s="20" t="n">
        <v>0</v>
      </c>
      <c r="O63" s="18" t="n">
        <v>0.05994796</v>
      </c>
      <c r="P63" s="20" t="n">
        <v>0.06010502</v>
      </c>
      <c r="Q63" s="18" t="n">
        <v>2.09393373</v>
      </c>
      <c r="R63" s="20" t="n">
        <v>0.41679614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21.54607621</v>
      </c>
      <c r="F65" s="20" t="n">
        <v>1.22570799</v>
      </c>
      <c r="G65" s="18" t="n">
        <v>72.22811041</v>
      </c>
      <c r="H65" s="20" t="n">
        <v>1.26533028</v>
      </c>
      <c r="I65" s="18" t="n">
        <v>0</v>
      </c>
      <c r="J65" s="20" t="n">
        <v>0</v>
      </c>
      <c r="K65" s="18" t="n">
        <v>4.83052213</v>
      </c>
      <c r="L65" s="20" t="n">
        <v>0.6199551800000001</v>
      </c>
      <c r="M65" s="18" t="n">
        <v>0</v>
      </c>
      <c r="N65" s="20" t="n">
        <v>0</v>
      </c>
      <c r="O65" s="18" t="n">
        <v>0.16134152</v>
      </c>
      <c r="P65" s="20" t="n">
        <v>0.11459674</v>
      </c>
      <c r="Q65" s="18" t="n">
        <v>1.23394972</v>
      </c>
      <c r="R65" s="20" t="n">
        <v>0.30111939</v>
      </c>
    </row>
    <row r="66" spans="1:18">
      <c r="A66" s="15" t="s">
        <v>626</v>
      </c>
      <c r="B66" s="17" t="n">
        <v>5325</v>
      </c>
      <c r="C66" s="18">
        <f>(3548.0/B66*100)</f>
        <v/>
      </c>
      <c r="D66" s="19" t="n">
        <v>1777</v>
      </c>
      <c r="E66" s="18" t="n">
        <v>32.21894554</v>
      </c>
      <c r="F66" s="20" t="n">
        <v>1.12111617</v>
      </c>
      <c r="G66" s="18" t="n">
        <v>58.85324055</v>
      </c>
      <c r="H66" s="20" t="n">
        <v>1.08648197</v>
      </c>
      <c r="I66" s="18" t="n">
        <v>0</v>
      </c>
      <c r="J66" s="20" t="n">
        <v>0</v>
      </c>
      <c r="K66" s="18" t="n">
        <v>7.38632211</v>
      </c>
      <c r="L66" s="20" t="n">
        <v>0.81751354</v>
      </c>
      <c r="M66" s="18" t="n">
        <v>0.05430529</v>
      </c>
      <c r="N66" s="20" t="n">
        <v>0.05687508</v>
      </c>
      <c r="O66" s="18" t="n">
        <v>0</v>
      </c>
      <c r="P66" s="20" t="n">
        <v>0</v>
      </c>
      <c r="Q66" s="18" t="n">
        <v>1.48718651</v>
      </c>
      <c r="R66" s="20" t="n">
        <v>0.3074312</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41.38335396</v>
      </c>
      <c r="F69" s="20" t="n">
        <v>2.50008769</v>
      </c>
      <c r="G69" s="18" t="n">
        <v>54.27895537</v>
      </c>
      <c r="H69" s="20" t="n">
        <v>2.46179262</v>
      </c>
      <c r="I69" s="18" t="n">
        <v>0</v>
      </c>
      <c r="J69" s="20" t="n">
        <v>0</v>
      </c>
      <c r="K69" s="18" t="n">
        <v>2.83691416</v>
      </c>
      <c r="L69" s="20" t="n">
        <v>0.75597297</v>
      </c>
      <c r="M69" s="18" t="n">
        <v>0</v>
      </c>
      <c r="N69" s="20" t="n">
        <v>0</v>
      </c>
      <c r="O69" s="18" t="n">
        <v>0</v>
      </c>
      <c r="P69" s="20" t="n">
        <v>0</v>
      </c>
      <c r="Q69" s="18" t="n">
        <v>1.50077651</v>
      </c>
      <c r="R69" s="20" t="n">
        <v>0.72469803</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39.9066691</v>
      </c>
      <c r="F71" s="20" t="n">
        <v>1.40173987</v>
      </c>
      <c r="G71" s="18" t="n">
        <v>59.96783333</v>
      </c>
      <c r="H71" s="20" t="n">
        <v>1.40295736</v>
      </c>
      <c r="I71" s="18" t="n">
        <v>0</v>
      </c>
      <c r="J71" s="20" t="n">
        <v>0</v>
      </c>
      <c r="K71" s="18" t="n">
        <v>0.06684168</v>
      </c>
      <c r="L71" s="20" t="n">
        <v>0.06673567</v>
      </c>
      <c r="M71" s="18" t="n">
        <v>0</v>
      </c>
      <c r="N71" s="20" t="n">
        <v>0</v>
      </c>
      <c r="O71" s="18" t="n">
        <v>0</v>
      </c>
      <c r="P71" s="20" t="n">
        <v>0</v>
      </c>
      <c r="Q71" s="18" t="n">
        <v>0.05865589</v>
      </c>
      <c r="R71" s="20" t="n">
        <v>0.0618493</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19.32942519</v>
      </c>
      <c r="F76" s="20" t="n">
        <v>1.18891749</v>
      </c>
      <c r="G76" s="18" t="n">
        <v>67.30391175</v>
      </c>
      <c r="H76" s="20" t="n">
        <v>1.31196945</v>
      </c>
      <c r="I76" s="18" t="n">
        <v>0</v>
      </c>
      <c r="J76" s="20" t="n">
        <v>0</v>
      </c>
      <c r="K76" s="18" t="n">
        <v>11.08357404</v>
      </c>
      <c r="L76" s="20" t="n">
        <v>0.88328411</v>
      </c>
      <c r="M76" s="18" t="n">
        <v>0</v>
      </c>
      <c r="N76" s="20" t="n">
        <v>0</v>
      </c>
      <c r="O76" s="18" t="n">
        <v>0</v>
      </c>
      <c r="P76" s="20" t="n">
        <v>0</v>
      </c>
      <c r="Q76" s="18" t="n">
        <v>2.28308902</v>
      </c>
      <c r="R76" s="20" t="n">
        <v>0.35910936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23.78649405</v>
      </c>
      <c r="F80" s="20" t="n">
        <v>1.4939225</v>
      </c>
      <c r="G80" s="18" t="n">
        <v>76.21350595</v>
      </c>
      <c r="H80" s="20" t="n">
        <v>1.4939225</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(1104.0/B81*100)</f>
        <v/>
      </c>
      <c r="D81" s="19" t="n">
        <v>553</v>
      </c>
      <c r="E81" s="18" t="n">
        <v>15.77890922</v>
      </c>
      <c r="F81" s="20" t="n">
        <v>1.74944079</v>
      </c>
      <c r="G81" s="18" t="n">
        <v>77.18914993</v>
      </c>
      <c r="H81" s="20" t="n">
        <v>2.1699461</v>
      </c>
      <c r="I81" s="18" t="n">
        <v>0</v>
      </c>
      <c r="J81" s="20" t="n">
        <v>0</v>
      </c>
      <c r="K81" s="18" t="n">
        <v>5.86935678</v>
      </c>
      <c r="L81" s="20" t="n">
        <v>1.2841892</v>
      </c>
      <c r="M81" s="18" t="n">
        <v>0</v>
      </c>
      <c r="N81" s="20" t="n">
        <v>0</v>
      </c>
      <c r="O81" s="18" t="n">
        <v>0</v>
      </c>
      <c r="P81" s="20" t="n">
        <v>0</v>
      </c>
      <c r="Q81" s="18" t="n">
        <v>1.16258407</v>
      </c>
      <c r="R81" s="20" t="n">
        <v>0.60086712</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36.09468552</v>
      </c>
      <c r="F44" s="20" t="n">
        <v>1.45971635</v>
      </c>
      <c r="G44" s="18" t="n">
        <v>39.05988191</v>
      </c>
      <c r="H44" s="20" t="n">
        <v>1.70701281</v>
      </c>
      <c r="I44" s="18" t="n">
        <v>0</v>
      </c>
      <c r="J44" s="20" t="n">
        <v>0</v>
      </c>
      <c r="K44" s="18" t="n">
        <v>7.04076152</v>
      </c>
      <c r="L44" s="20" t="n">
        <v>0.69812863</v>
      </c>
      <c r="M44" s="18" t="n">
        <v>0</v>
      </c>
      <c r="N44" s="20" t="n">
        <v>0</v>
      </c>
      <c r="O44" s="18" t="n">
        <v>1.64532157</v>
      </c>
      <c r="P44" s="20" t="n">
        <v>0.39691591</v>
      </c>
      <c r="Q44" s="18" t="n">
        <v>16.15934948</v>
      </c>
      <c r="R44" s="20" t="n">
        <v>1.38008507</v>
      </c>
    </row>
    <row r="45" spans="1:18">
      <c r="A45" s="15" t="s">
        <v>604</v>
      </c>
      <c r="B45" s="17" t="n">
        <v>5519</v>
      </c>
      <c r="C45" s="18">
        <f>(3684.0/B45*100)</f>
        <v/>
      </c>
      <c r="D45" s="19" t="n">
        <v>1835</v>
      </c>
      <c r="E45" s="18" t="n">
        <v>45.23586998</v>
      </c>
      <c r="F45" s="20" t="n">
        <v>1.34409045</v>
      </c>
      <c r="G45" s="18" t="n">
        <v>25.42422852</v>
      </c>
      <c r="H45" s="20" t="n">
        <v>1.07860748</v>
      </c>
      <c r="I45" s="18" t="n">
        <v>0</v>
      </c>
      <c r="J45" s="20" t="n">
        <v>0</v>
      </c>
      <c r="K45" s="18" t="n">
        <v>12.52455979</v>
      </c>
      <c r="L45" s="20" t="n">
        <v>0.98084835</v>
      </c>
      <c r="M45" s="18" t="n">
        <v>0.69954561</v>
      </c>
      <c r="N45" s="20" t="n">
        <v>0.20223074</v>
      </c>
      <c r="O45" s="18" t="n">
        <v>3.56894946</v>
      </c>
      <c r="P45" s="20" t="n">
        <v>0.48637204</v>
      </c>
      <c r="Q45" s="18" t="n">
        <v>12.54684664</v>
      </c>
      <c r="R45" s="20" t="n">
        <v>0.97631331</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36.60400603</v>
      </c>
      <c r="F54" s="20" t="n">
        <v>1.36182758</v>
      </c>
      <c r="G54" s="18" t="n">
        <v>44.91687824</v>
      </c>
      <c r="H54" s="20" t="n">
        <v>1.55722842</v>
      </c>
      <c r="I54" s="18" t="n">
        <v>0</v>
      </c>
      <c r="J54" s="20" t="n">
        <v>0</v>
      </c>
      <c r="K54" s="18" t="n">
        <v>6.33750513</v>
      </c>
      <c r="L54" s="20" t="n">
        <v>0.6855449</v>
      </c>
      <c r="M54" s="18" t="n">
        <v>0</v>
      </c>
      <c r="N54" s="20" t="n">
        <v>0</v>
      </c>
      <c r="O54" s="18" t="n">
        <v>1.32726062</v>
      </c>
      <c r="P54" s="20" t="n">
        <v>0.33273581</v>
      </c>
      <c r="Q54" s="18" t="n">
        <v>10.81434999</v>
      </c>
      <c r="R54" s="20" t="n">
        <v>0.73441289</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45.107514</v>
      </c>
      <c r="F56" s="20" t="n">
        <v>1.22652482</v>
      </c>
      <c r="G56" s="18" t="n">
        <v>48.32796291</v>
      </c>
      <c r="H56" s="20" t="n">
        <v>1.19304374</v>
      </c>
      <c r="I56" s="18" t="n">
        <v>0</v>
      </c>
      <c r="J56" s="20" t="n">
        <v>0</v>
      </c>
      <c r="K56" s="18" t="n">
        <v>3.80466494</v>
      </c>
      <c r="L56" s="20" t="n">
        <v>0.50985577</v>
      </c>
      <c r="M56" s="18" t="n">
        <v>0.08341095</v>
      </c>
      <c r="N56" s="20" t="n">
        <v>0.05932929</v>
      </c>
      <c r="O56" s="18" t="n">
        <v>0</v>
      </c>
      <c r="P56" s="20" t="n">
        <v>0</v>
      </c>
      <c r="Q56" s="18" t="n">
        <v>2.6764472</v>
      </c>
      <c r="R56" s="20" t="n">
        <v>0.40033288</v>
      </c>
    </row>
    <row r="57" spans="1:18">
      <c r="A57" s="15" t="s">
        <v>616</v>
      </c>
      <c r="B57" s="17" t="n">
        <v>7267</v>
      </c>
      <c r="C57" s="18">
        <f>(4851.0/B57*100)</f>
        <v/>
      </c>
      <c r="D57" s="19" t="n">
        <v>2416</v>
      </c>
      <c r="E57" s="18" t="n">
        <v>37.02285679</v>
      </c>
      <c r="F57" s="20" t="n">
        <v>1.34736589</v>
      </c>
      <c r="G57" s="18" t="n">
        <v>45.24719745</v>
      </c>
      <c r="H57" s="20" t="n">
        <v>1.40714462</v>
      </c>
      <c r="I57" s="18" t="n">
        <v>0</v>
      </c>
      <c r="J57" s="20" t="n">
        <v>0</v>
      </c>
      <c r="K57" s="18" t="n">
        <v>5.98484904</v>
      </c>
      <c r="L57" s="20" t="n">
        <v>0.70796556</v>
      </c>
      <c r="M57" s="18" t="n">
        <v>0</v>
      </c>
      <c r="N57" s="20" t="n">
        <v>0</v>
      </c>
      <c r="O57" s="18" t="n">
        <v>2.32355136</v>
      </c>
      <c r="P57" s="20" t="n">
        <v>0.36988225</v>
      </c>
      <c r="Q57" s="18" t="n">
        <v>9.42154537</v>
      </c>
      <c r="R57" s="20" t="n">
        <v>0.70038906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50.80300242</v>
      </c>
      <c r="F59" s="20" t="n">
        <v>1.42251709</v>
      </c>
      <c r="G59" s="18" t="n">
        <v>34.60329089</v>
      </c>
      <c r="H59" s="20" t="n">
        <v>1.41406047</v>
      </c>
      <c r="I59" s="18" t="n">
        <v>0</v>
      </c>
      <c r="J59" s="20" t="n">
        <v>0</v>
      </c>
      <c r="K59" s="18" t="n">
        <v>2.92461046</v>
      </c>
      <c r="L59" s="20" t="n">
        <v>0.54878793</v>
      </c>
      <c r="M59" s="18" t="n">
        <v>0.41898336</v>
      </c>
      <c r="N59" s="20" t="n">
        <v>0.23349449</v>
      </c>
      <c r="O59" s="18" t="n">
        <v>2.58409788</v>
      </c>
      <c r="P59" s="20" t="n">
        <v>0.49514003</v>
      </c>
      <c r="Q59" s="18" t="n">
        <v>8.666014990000001</v>
      </c>
      <c r="R59" s="20" t="n">
        <v>0.88114176</v>
      </c>
    </row>
    <row r="60" spans="1:18">
      <c r="A60" s="15" t="s">
        <v>620</v>
      </c>
      <c r="B60" s="17" t="n">
        <v>4546</v>
      </c>
      <c r="C60" s="18">
        <f>(3033.0/B60*100)</f>
        <v/>
      </c>
      <c r="D60" s="19" t="n">
        <v>1513</v>
      </c>
      <c r="E60" s="18" t="n">
        <v>38.60940282</v>
      </c>
      <c r="F60" s="20" t="n">
        <v>1.44203928</v>
      </c>
      <c r="G60" s="18" t="n">
        <v>37.09859817</v>
      </c>
      <c r="H60" s="20" t="n">
        <v>1.3921599</v>
      </c>
      <c r="I60" s="18" t="n">
        <v>0</v>
      </c>
      <c r="J60" s="20" t="n">
        <v>0</v>
      </c>
      <c r="K60" s="18" t="n">
        <v>9.57667223</v>
      </c>
      <c r="L60" s="20" t="n">
        <v>0.76501202</v>
      </c>
      <c r="M60" s="18" t="n">
        <v>0</v>
      </c>
      <c r="N60" s="20" t="n">
        <v>0</v>
      </c>
      <c r="O60" s="18" t="n">
        <v>1.88496344</v>
      </c>
      <c r="P60" s="20" t="n">
        <v>0.53332405</v>
      </c>
      <c r="Q60" s="18" t="n">
        <v>12.83036334</v>
      </c>
      <c r="R60" s="20" t="n">
        <v>1.07065177</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42.74316792</v>
      </c>
      <c r="F63" s="20" t="n">
        <v>1.29938754</v>
      </c>
      <c r="G63" s="18" t="n">
        <v>32.08879876</v>
      </c>
      <c r="H63" s="20" t="n">
        <v>1.10495387</v>
      </c>
      <c r="I63" s="18" t="n">
        <v>0</v>
      </c>
      <c r="J63" s="20" t="n">
        <v>0</v>
      </c>
      <c r="K63" s="18" t="n">
        <v>5.83435886</v>
      </c>
      <c r="L63" s="20" t="n">
        <v>0.65138167</v>
      </c>
      <c r="M63" s="18" t="n">
        <v>0</v>
      </c>
      <c r="N63" s="20" t="n">
        <v>0</v>
      </c>
      <c r="O63" s="18" t="n">
        <v>1.51790507</v>
      </c>
      <c r="P63" s="20" t="n">
        <v>0.27641096</v>
      </c>
      <c r="Q63" s="18" t="n">
        <v>17.81576938</v>
      </c>
      <c r="R63" s="20" t="n">
        <v>0.9717864899999999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32.09039351</v>
      </c>
      <c r="F65" s="20" t="n">
        <v>1.22059714</v>
      </c>
      <c r="G65" s="18" t="n">
        <v>55.53808143</v>
      </c>
      <c r="H65" s="20" t="n">
        <v>1.21929553</v>
      </c>
      <c r="I65" s="18" t="n">
        <v>0</v>
      </c>
      <c r="J65" s="20" t="n">
        <v>0</v>
      </c>
      <c r="K65" s="18" t="n">
        <v>5.52273306</v>
      </c>
      <c r="L65" s="20" t="n">
        <v>0.6917631</v>
      </c>
      <c r="M65" s="18" t="n">
        <v>0</v>
      </c>
      <c r="N65" s="20" t="n">
        <v>0</v>
      </c>
      <c r="O65" s="18" t="n">
        <v>0.17978281</v>
      </c>
      <c r="P65" s="20" t="n">
        <v>0.12809229</v>
      </c>
      <c r="Q65" s="18" t="n">
        <v>6.6690092</v>
      </c>
      <c r="R65" s="20" t="n">
        <v>0.75063368</v>
      </c>
    </row>
    <row r="66" spans="1:18">
      <c r="A66" s="15" t="s">
        <v>626</v>
      </c>
      <c r="B66" s="17" t="n">
        <v>5325</v>
      </c>
      <c r="C66" s="18">
        <f>(3548.0/B66*100)</f>
        <v/>
      </c>
      <c r="D66" s="19" t="n">
        <v>1777</v>
      </c>
      <c r="E66" s="18" t="n">
        <v>32.69408921</v>
      </c>
      <c r="F66" s="20" t="n">
        <v>1.39994742</v>
      </c>
      <c r="G66" s="18" t="n">
        <v>45.05375428</v>
      </c>
      <c r="H66" s="20" t="n">
        <v>1.38756682</v>
      </c>
      <c r="I66" s="18" t="n">
        <v>0</v>
      </c>
      <c r="J66" s="20" t="n">
        <v>0</v>
      </c>
      <c r="K66" s="18" t="n">
        <v>9.044841630000001</v>
      </c>
      <c r="L66" s="20" t="n">
        <v>0.89712075</v>
      </c>
      <c r="M66" s="18" t="n">
        <v>3.21649633</v>
      </c>
      <c r="N66" s="20" t="n">
        <v>0.51289869</v>
      </c>
      <c r="O66" s="18" t="n">
        <v>0.01867393</v>
      </c>
      <c r="P66" s="20" t="n">
        <v>0.01316292</v>
      </c>
      <c r="Q66" s="18" t="n">
        <v>9.97214462</v>
      </c>
      <c r="R66" s="20" t="n">
        <v>0.78470048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46.6231743</v>
      </c>
      <c r="F69" s="20" t="n">
        <v>3.19701836</v>
      </c>
      <c r="G69" s="18" t="n">
        <v>45.76414809</v>
      </c>
      <c r="H69" s="20" t="n">
        <v>2.89461755</v>
      </c>
      <c r="I69" s="18" t="n">
        <v>0</v>
      </c>
      <c r="J69" s="20" t="n">
        <v>0</v>
      </c>
      <c r="K69" s="18" t="n">
        <v>3.48411134</v>
      </c>
      <c r="L69" s="20" t="n">
        <v>0.8917018799999999</v>
      </c>
      <c r="M69" s="18" t="n">
        <v>0</v>
      </c>
      <c r="N69" s="20" t="n">
        <v>0</v>
      </c>
      <c r="O69" s="18" t="n">
        <v>0.61612149</v>
      </c>
      <c r="P69" s="20" t="n">
        <v>0.45756698</v>
      </c>
      <c r="Q69" s="18" t="n">
        <v>3.51244479</v>
      </c>
      <c r="R69" s="20" t="n">
        <v>1.0032652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50.94028795</v>
      </c>
      <c r="F71" s="20" t="n">
        <v>1.42500127</v>
      </c>
      <c r="G71" s="18" t="n">
        <v>48.81558689</v>
      </c>
      <c r="H71" s="20" t="n">
        <v>1.41810646</v>
      </c>
      <c r="I71" s="18" t="n">
        <v>0</v>
      </c>
      <c r="J71" s="20" t="n">
        <v>0</v>
      </c>
      <c r="K71" s="18" t="n">
        <v>0.06684168</v>
      </c>
      <c r="L71" s="20" t="n">
        <v>0.06673567</v>
      </c>
      <c r="M71" s="18" t="n">
        <v>0</v>
      </c>
      <c r="N71" s="20" t="n">
        <v>0</v>
      </c>
      <c r="O71" s="18" t="n">
        <v>0</v>
      </c>
      <c r="P71" s="20" t="n">
        <v>0</v>
      </c>
      <c r="Q71" s="18" t="n">
        <v>0.17728349</v>
      </c>
      <c r="R71" s="20" t="n">
        <v>0.10420648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26.45584369</v>
      </c>
      <c r="F76" s="20" t="n">
        <v>1.38672628</v>
      </c>
      <c r="G76" s="18" t="n">
        <v>51.15411638</v>
      </c>
      <c r="H76" s="20" t="n">
        <v>1.49118223</v>
      </c>
      <c r="I76" s="18" t="n">
        <v>0</v>
      </c>
      <c r="J76" s="20" t="n">
        <v>0</v>
      </c>
      <c r="K76" s="18" t="n">
        <v>13.40324931</v>
      </c>
      <c r="L76" s="20" t="n">
        <v>0.97812478</v>
      </c>
      <c r="M76" s="18" t="n">
        <v>0</v>
      </c>
      <c r="N76" s="20" t="n">
        <v>0</v>
      </c>
      <c r="O76" s="18" t="n">
        <v>0.12144508</v>
      </c>
      <c r="P76" s="20" t="n">
        <v>0.09362281</v>
      </c>
      <c r="Q76" s="18" t="n">
        <v>8.86534554</v>
      </c>
      <c r="R76" s="20" t="n">
        <v>0.84564002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25.99468744</v>
      </c>
      <c r="F80" s="20" t="n">
        <v>1.31518013</v>
      </c>
      <c r="G80" s="18" t="n">
        <v>73.86077373000001</v>
      </c>
      <c r="H80" s="20" t="n">
        <v>1.31026336</v>
      </c>
      <c r="I80" s="18" t="n">
        <v>0</v>
      </c>
      <c r="J80" s="20" t="n">
        <v>0</v>
      </c>
      <c r="K80" s="18" t="n">
        <v>0</v>
      </c>
      <c r="L80" s="20" t="n">
        <v>0</v>
      </c>
      <c r="M80" s="18" t="n">
        <v>0</v>
      </c>
      <c r="N80" s="20" t="n">
        <v>0</v>
      </c>
      <c r="O80" s="18" t="n">
        <v>0.0482446</v>
      </c>
      <c r="P80" s="20" t="n">
        <v>0.04811322</v>
      </c>
      <c r="Q80" s="18" t="n">
        <v>0.09629422999999999</v>
      </c>
      <c r="R80" s="20" t="n">
        <v>0.06809576000000001</v>
      </c>
    </row>
    <row r="81" spans="1:18">
      <c r="A81" s="15" t="s">
        <v>641</v>
      </c>
      <c r="B81" s="17" t="n">
        <v>1657</v>
      </c>
      <c r="C81" s="18">
        <f>(1104.0/B81*100)</f>
        <v/>
      </c>
      <c r="D81" s="19" t="n">
        <v>553</v>
      </c>
      <c r="E81" s="18" t="n">
        <v>30.13877544</v>
      </c>
      <c r="F81" s="20" t="n">
        <v>1.956347</v>
      </c>
      <c r="G81" s="18" t="n">
        <v>57.44627428</v>
      </c>
      <c r="H81" s="20" t="n">
        <v>2.13201782</v>
      </c>
      <c r="I81" s="18" t="n">
        <v>0</v>
      </c>
      <c r="J81" s="20" t="n">
        <v>0</v>
      </c>
      <c r="K81" s="18" t="n">
        <v>7.40277067</v>
      </c>
      <c r="L81" s="20" t="n">
        <v>1.4126048</v>
      </c>
      <c r="M81" s="18" t="n">
        <v>0.09017724000000001</v>
      </c>
      <c r="N81" s="20" t="n">
        <v>0.09625539</v>
      </c>
      <c r="O81" s="18" t="n">
        <v>0.46190945</v>
      </c>
      <c r="P81" s="20" t="n">
        <v>0.27642665</v>
      </c>
      <c r="Q81" s="18" t="n">
        <v>4.46009292</v>
      </c>
      <c r="R81" s="20" t="n">
        <v>0.69540701</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5.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901</v>
      </c>
    </row>
    <row customHeight="1" ht="30" r="4" spans="1:22">
      <c r="A4" s="6" t="n"/>
      <c r="B4" s="7" t="s">
        <v>551</v>
      </c>
      <c r="C4" s="7" t="s">
        <v>552</v>
      </c>
      <c r="D4" s="8" t="s">
        <v>551</v>
      </c>
      <c r="E4" s="9" t="s">
        <v>655</v>
      </c>
      <c r="F4" s="10" t="n"/>
      <c r="G4" s="9" t="s">
        <v>853</v>
      </c>
      <c r="H4" s="10" t="n"/>
      <c r="I4" s="9" t="s">
        <v>657</v>
      </c>
      <c r="J4" s="10" t="n"/>
      <c r="K4" s="9" t="s">
        <v>658</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row>
    <row r="8" spans="1:22">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row>
    <row r="9" spans="1:22">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row>
    <row r="10" spans="1:22">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row>
    <row r="11" spans="1:22">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row>
    <row r="12" spans="1:22">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row>
    <row r="13" spans="1:22">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row>
    <row r="14" spans="1:22">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row>
    <row r="15" spans="1:22">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row>
    <row r="16" spans="1:22">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row>
    <row r="17" spans="1:22">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row>
    <row r="18" spans="1:22">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row>
    <row r="19" spans="1:22">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row>
    <row r="20" spans="1:22">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row>
    <row r="21" spans="1:22">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row>
    <row r="22" spans="1:22">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row>
    <row r="23" spans="1:22">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row>
    <row r="24" spans="1:22">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row>
    <row r="25" spans="1:22">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row>
    <row r="26" spans="1:22">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row>
    <row r="27" spans="1:22">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row>
    <row r="28" spans="1:22">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row>
    <row r="29" spans="1:22">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row>
    <row r="30" spans="1:22">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row>
    <row r="31" spans="1:22">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row>
    <row r="32" spans="1:22">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row>
    <row r="33" spans="1:22">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row>
    <row r="34" spans="1:22">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row>
    <row r="35" spans="1:22">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row>
    <row r="36" spans="1:22">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row>
    <row r="37" spans="1:22">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row>
    <row r="38" spans="1:22">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row>
    <row r="39" spans="1:22">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row>
    <row r="40" spans="1:22">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row>
    <row r="41" spans="1:22">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5215</v>
      </c>
      <c r="C44" s="18">
        <f>(3491.0/B44*100)</f>
        <v/>
      </c>
      <c r="D44" s="19" t="n">
        <v>1724</v>
      </c>
      <c r="E44" s="18" t="n">
        <v>32.98461731</v>
      </c>
      <c r="F44" s="20" t="n">
        <v>1.53448387</v>
      </c>
      <c r="G44" s="18" t="n">
        <v>0</v>
      </c>
      <c r="H44" s="20" t="n">
        <v>0</v>
      </c>
      <c r="I44" s="18" t="n">
        <v>11.93915308</v>
      </c>
      <c r="J44" s="20" t="n">
        <v>0.85136175</v>
      </c>
      <c r="K44" s="18" t="n">
        <v>9.344092310000001</v>
      </c>
      <c r="L44" s="20" t="n">
        <v>0.88491117</v>
      </c>
      <c r="M44" s="18" t="n">
        <v>0</v>
      </c>
      <c r="N44" s="20" t="n">
        <v>0</v>
      </c>
      <c r="O44" s="18" t="n">
        <v>7.73304073</v>
      </c>
      <c r="P44" s="20" t="n">
        <v>0.7331750500000001</v>
      </c>
      <c r="Q44" s="18" t="n">
        <v>0</v>
      </c>
      <c r="R44" s="20" t="n">
        <v>0</v>
      </c>
      <c r="S44" s="18" t="n">
        <v>0</v>
      </c>
      <c r="T44" s="20" t="n">
        <v>0</v>
      </c>
      <c r="U44" s="18" t="n">
        <v>37.99909657</v>
      </c>
      <c r="V44" s="20" t="n">
        <v>1.58331681</v>
      </c>
    </row>
    <row r="45" spans="1:22">
      <c r="A45" s="15" t="s">
        <v>604</v>
      </c>
      <c r="B45" s="17" t="n">
        <v>5519</v>
      </c>
      <c r="C45" s="18">
        <f>(3684.0/B45*100)</f>
        <v/>
      </c>
      <c r="D45" s="19" t="n">
        <v>1835</v>
      </c>
      <c r="E45" s="18" t="n">
        <v>39.20663421</v>
      </c>
      <c r="F45" s="20" t="n">
        <v>1.38186887</v>
      </c>
      <c r="G45" s="18" t="n">
        <v>0</v>
      </c>
      <c r="H45" s="20" t="n">
        <v>0</v>
      </c>
      <c r="I45" s="18" t="n">
        <v>3.66495164</v>
      </c>
      <c r="J45" s="20" t="n">
        <v>0.39295902</v>
      </c>
      <c r="K45" s="18" t="n">
        <v>8.37215059</v>
      </c>
      <c r="L45" s="20" t="n">
        <v>0.74851389</v>
      </c>
      <c r="M45" s="18" t="n">
        <v>0</v>
      </c>
      <c r="N45" s="20" t="n">
        <v>0</v>
      </c>
      <c r="O45" s="18" t="n">
        <v>13.02571683</v>
      </c>
      <c r="P45" s="20" t="n">
        <v>0.9737676199999999</v>
      </c>
      <c r="Q45" s="18" t="n">
        <v>0.30929176</v>
      </c>
      <c r="R45" s="20" t="n">
        <v>0.14352724</v>
      </c>
      <c r="S45" s="18" t="n">
        <v>0</v>
      </c>
      <c r="T45" s="20" t="n">
        <v>0</v>
      </c>
      <c r="U45" s="18" t="n">
        <v>35.42125497</v>
      </c>
      <c r="V45" s="20" t="n">
        <v>1.28186738</v>
      </c>
    </row>
    <row r="46" spans="1:22">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row>
    <row r="47" spans="1:22">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row>
    <row r="48" spans="1:22">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row>
    <row r="49" spans="1:22">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row>
    <row r="50" spans="1:22">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row>
    <row r="51" spans="1:22">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row>
    <row r="52" spans="1:22">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row>
    <row r="53" spans="1:22">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row>
    <row r="54" spans="1:22">
      <c r="A54" s="15" t="s">
        <v>613</v>
      </c>
      <c r="B54" s="17" t="n">
        <v>5316</v>
      </c>
      <c r="C54" s="18">
        <f>(3517.0/B54*100)</f>
        <v/>
      </c>
      <c r="D54" s="19" t="n">
        <v>1799</v>
      </c>
      <c r="E54" s="18" t="n">
        <v>27.27639588</v>
      </c>
      <c r="F54" s="20" t="n">
        <v>1.32901599</v>
      </c>
      <c r="G54" s="18" t="n">
        <v>0</v>
      </c>
      <c r="H54" s="20" t="n">
        <v>0</v>
      </c>
      <c r="I54" s="18" t="n">
        <v>8.58357597</v>
      </c>
      <c r="J54" s="20" t="n">
        <v>0.72289192</v>
      </c>
      <c r="K54" s="18" t="n">
        <v>3.72176314</v>
      </c>
      <c r="L54" s="20" t="n">
        <v>0.45616003</v>
      </c>
      <c r="M54" s="18" t="n">
        <v>0</v>
      </c>
      <c r="N54" s="20" t="n">
        <v>0</v>
      </c>
      <c r="O54" s="18" t="n">
        <v>7.08589051</v>
      </c>
      <c r="P54" s="20" t="n">
        <v>0.71436433</v>
      </c>
      <c r="Q54" s="18" t="n">
        <v>0</v>
      </c>
      <c r="R54" s="20" t="n">
        <v>0</v>
      </c>
      <c r="S54" s="18" t="n">
        <v>0.1780843</v>
      </c>
      <c r="T54" s="20" t="n">
        <v>0.12585021</v>
      </c>
      <c r="U54" s="18" t="n">
        <v>53.15429021</v>
      </c>
      <c r="V54" s="20" t="n">
        <v>1.31512447</v>
      </c>
    </row>
    <row r="55" spans="1:22">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row>
    <row r="56" spans="1:22">
      <c r="A56" s="15" t="s">
        <v>615</v>
      </c>
      <c r="B56" s="17" t="n">
        <v>6513</v>
      </c>
      <c r="C56" s="18">
        <f>(4392.0/B56*100)</f>
        <v/>
      </c>
      <c r="D56" s="19" t="n">
        <v>2121</v>
      </c>
      <c r="E56" s="18" t="n">
        <v>70.27475466999999</v>
      </c>
      <c r="F56" s="20" t="n">
        <v>1.20143692</v>
      </c>
      <c r="G56" s="18" t="n">
        <v>0</v>
      </c>
      <c r="H56" s="20" t="n">
        <v>0</v>
      </c>
      <c r="I56" s="18" t="n">
        <v>5.2986741</v>
      </c>
      <c r="J56" s="20" t="n">
        <v>0.63723133</v>
      </c>
      <c r="K56" s="18" t="n">
        <v>11.43091764</v>
      </c>
      <c r="L56" s="20" t="n">
        <v>0.87748635</v>
      </c>
      <c r="M56" s="18" t="n">
        <v>0</v>
      </c>
      <c r="N56" s="20" t="n">
        <v>0</v>
      </c>
      <c r="O56" s="18" t="n">
        <v>4.11307839</v>
      </c>
      <c r="P56" s="20" t="n">
        <v>0.53604062</v>
      </c>
      <c r="Q56" s="18" t="n">
        <v>0.04274938</v>
      </c>
      <c r="R56" s="20" t="n">
        <v>0.04256512</v>
      </c>
      <c r="S56" s="18" t="n">
        <v>0</v>
      </c>
      <c r="T56" s="20" t="n">
        <v>0</v>
      </c>
      <c r="U56" s="18" t="n">
        <v>8.839825810000001</v>
      </c>
      <c r="V56" s="20" t="n">
        <v>0.91316546</v>
      </c>
    </row>
    <row r="57" spans="1:22">
      <c r="A57" s="15" t="s">
        <v>616</v>
      </c>
      <c r="B57" s="17" t="n">
        <v>7267</v>
      </c>
      <c r="C57" s="18">
        <f>(4851.0/B57*100)</f>
        <v/>
      </c>
      <c r="D57" s="19" t="n">
        <v>2416</v>
      </c>
      <c r="E57" s="18" t="n">
        <v>54.540865</v>
      </c>
      <c r="F57" s="20" t="n">
        <v>1.37876034</v>
      </c>
      <c r="G57" s="18" t="n">
        <v>0</v>
      </c>
      <c r="H57" s="20" t="n">
        <v>0</v>
      </c>
      <c r="I57" s="18" t="n">
        <v>10.98916386</v>
      </c>
      <c r="J57" s="20" t="n">
        <v>0.72497305</v>
      </c>
      <c r="K57" s="18" t="n">
        <v>7.29223836</v>
      </c>
      <c r="L57" s="20" t="n">
        <v>0.65333308</v>
      </c>
      <c r="M57" s="18" t="n">
        <v>0</v>
      </c>
      <c r="N57" s="20" t="n">
        <v>0</v>
      </c>
      <c r="O57" s="18" t="n">
        <v>6.22706064</v>
      </c>
      <c r="P57" s="20" t="n">
        <v>0.71429231</v>
      </c>
      <c r="Q57" s="18" t="n">
        <v>0</v>
      </c>
      <c r="R57" s="20" t="n">
        <v>0</v>
      </c>
      <c r="S57" s="18" t="n">
        <v>0</v>
      </c>
      <c r="T57" s="20" t="n">
        <v>0</v>
      </c>
      <c r="U57" s="18" t="n">
        <v>20.95067215</v>
      </c>
      <c r="V57" s="20" t="n">
        <v>1.24849753</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4826</v>
      </c>
      <c r="C59" s="18">
        <f>(3238.0/B59*100)</f>
        <v/>
      </c>
      <c r="D59" s="19" t="n">
        <v>1588</v>
      </c>
      <c r="E59" s="18" t="n">
        <v>45.52464336</v>
      </c>
      <c r="F59" s="20" t="n">
        <v>1.41372647</v>
      </c>
      <c r="G59" s="18" t="n">
        <v>0</v>
      </c>
      <c r="H59" s="20" t="n">
        <v>0</v>
      </c>
      <c r="I59" s="18" t="n">
        <v>10.1941695</v>
      </c>
      <c r="J59" s="20" t="n">
        <v>1.01324953</v>
      </c>
      <c r="K59" s="18" t="n">
        <v>13.06675209</v>
      </c>
      <c r="L59" s="20" t="n">
        <v>1.03608924</v>
      </c>
      <c r="M59" s="18" t="n">
        <v>0</v>
      </c>
      <c r="N59" s="20" t="n">
        <v>0</v>
      </c>
      <c r="O59" s="18" t="n">
        <v>3.41650703</v>
      </c>
      <c r="P59" s="20" t="n">
        <v>0.5806571699999999</v>
      </c>
      <c r="Q59" s="18" t="n">
        <v>0</v>
      </c>
      <c r="R59" s="20" t="n">
        <v>0</v>
      </c>
      <c r="S59" s="18" t="n">
        <v>0</v>
      </c>
      <c r="T59" s="20" t="n">
        <v>0</v>
      </c>
      <c r="U59" s="18" t="n">
        <v>27.79792803</v>
      </c>
      <c r="V59" s="20" t="n">
        <v>1.25853614</v>
      </c>
    </row>
    <row r="60" spans="1:22">
      <c r="A60" s="15" t="s">
        <v>620</v>
      </c>
      <c r="B60" s="17" t="n">
        <v>4546</v>
      </c>
      <c r="C60" s="18">
        <f>(3033.0/B60*100)</f>
        <v/>
      </c>
      <c r="D60" s="19" t="n">
        <v>1513</v>
      </c>
      <c r="E60" s="18" t="n">
        <v>38.22422873</v>
      </c>
      <c r="F60" s="20" t="n">
        <v>1.5110332</v>
      </c>
      <c r="G60" s="18" t="n">
        <v>0</v>
      </c>
      <c r="H60" s="20" t="n">
        <v>0</v>
      </c>
      <c r="I60" s="18" t="n">
        <v>4.87954017</v>
      </c>
      <c r="J60" s="20" t="n">
        <v>0.61565269</v>
      </c>
      <c r="K60" s="18" t="n">
        <v>5.46701092</v>
      </c>
      <c r="L60" s="20" t="n">
        <v>0.62099793</v>
      </c>
      <c r="M60" s="18" t="n">
        <v>0</v>
      </c>
      <c r="N60" s="20" t="n">
        <v>0</v>
      </c>
      <c r="O60" s="18" t="n">
        <v>10.51304901</v>
      </c>
      <c r="P60" s="20" t="n">
        <v>0.81530169</v>
      </c>
      <c r="Q60" s="18" t="n">
        <v>0.05859632</v>
      </c>
      <c r="R60" s="20" t="n">
        <v>0.05751189</v>
      </c>
      <c r="S60" s="18" t="n">
        <v>0.33121225</v>
      </c>
      <c r="T60" s="20" t="n">
        <v>0.14665696</v>
      </c>
      <c r="U60" s="18" t="n">
        <v>40.5263626</v>
      </c>
      <c r="V60" s="20" t="n">
        <v>1.63832794</v>
      </c>
    </row>
    <row r="61" spans="1:22">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row>
    <row r="62" spans="1:22">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row>
    <row r="63" spans="1:22">
      <c r="A63" s="15" t="s">
        <v>623</v>
      </c>
      <c r="B63" s="17" t="n">
        <v>5324</v>
      </c>
      <c r="C63" s="18">
        <f>(3546.0/B63*100)</f>
        <v/>
      </c>
      <c r="D63" s="19" t="n">
        <v>1778</v>
      </c>
      <c r="E63" s="18" t="n">
        <v>20.90796786</v>
      </c>
      <c r="F63" s="20" t="n">
        <v>1.08187253</v>
      </c>
      <c r="G63" s="18" t="n">
        <v>0</v>
      </c>
      <c r="H63" s="20" t="n">
        <v>0</v>
      </c>
      <c r="I63" s="18" t="n">
        <v>9.587227090000001</v>
      </c>
      <c r="J63" s="20" t="n">
        <v>0.83374774</v>
      </c>
      <c r="K63" s="18" t="n">
        <v>4.25266189</v>
      </c>
      <c r="L63" s="20" t="n">
        <v>0.57552978</v>
      </c>
      <c r="M63" s="18" t="n">
        <v>0</v>
      </c>
      <c r="N63" s="20" t="n">
        <v>0</v>
      </c>
      <c r="O63" s="18" t="n">
        <v>6.56283644</v>
      </c>
      <c r="P63" s="20" t="n">
        <v>0.6853039</v>
      </c>
      <c r="Q63" s="18" t="n">
        <v>0</v>
      </c>
      <c r="R63" s="20" t="n">
        <v>0</v>
      </c>
      <c r="S63" s="18" t="n">
        <v>0</v>
      </c>
      <c r="T63" s="20" t="n">
        <v>0</v>
      </c>
      <c r="U63" s="18" t="n">
        <v>58.68930672</v>
      </c>
      <c r="V63" s="20" t="n">
        <v>1.31943756</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3634</v>
      </c>
      <c r="C65" s="18">
        <f>(2433.0/B65*100)</f>
        <v/>
      </c>
      <c r="D65" s="19" t="n">
        <v>1201</v>
      </c>
      <c r="E65" s="18" t="n">
        <v>38.64097394</v>
      </c>
      <c r="F65" s="20" t="n">
        <v>1.38317287</v>
      </c>
      <c r="G65" s="18" t="n">
        <v>0</v>
      </c>
      <c r="H65" s="20" t="n">
        <v>0</v>
      </c>
      <c r="I65" s="18" t="n">
        <v>19.91478738</v>
      </c>
      <c r="J65" s="20" t="n">
        <v>1.06635636</v>
      </c>
      <c r="K65" s="18" t="n">
        <v>12.74192627</v>
      </c>
      <c r="L65" s="20" t="n">
        <v>0.96342407</v>
      </c>
      <c r="M65" s="18" t="n">
        <v>0</v>
      </c>
      <c r="N65" s="20" t="n">
        <v>0</v>
      </c>
      <c r="O65" s="18" t="n">
        <v>5.52273306</v>
      </c>
      <c r="P65" s="20" t="n">
        <v>0.6917631</v>
      </c>
      <c r="Q65" s="18" t="n">
        <v>0</v>
      </c>
      <c r="R65" s="20" t="n">
        <v>0</v>
      </c>
      <c r="S65" s="18" t="n">
        <v>0</v>
      </c>
      <c r="T65" s="20" t="n">
        <v>0</v>
      </c>
      <c r="U65" s="18" t="n">
        <v>23.17957936</v>
      </c>
      <c r="V65" s="20" t="n">
        <v>1.16182354</v>
      </c>
    </row>
    <row r="66" spans="1:22">
      <c r="A66" s="15" t="s">
        <v>626</v>
      </c>
      <c r="B66" s="17" t="n">
        <v>5325</v>
      </c>
      <c r="C66" s="18">
        <f>(3548.0/B66*100)</f>
        <v/>
      </c>
      <c r="D66" s="19" t="n">
        <v>1777</v>
      </c>
      <c r="E66" s="18" t="n">
        <v>36.19473863</v>
      </c>
      <c r="F66" s="20" t="n">
        <v>1.38863279</v>
      </c>
      <c r="G66" s="18" t="n">
        <v>0</v>
      </c>
      <c r="H66" s="20" t="n">
        <v>0</v>
      </c>
      <c r="I66" s="18" t="n">
        <v>12.55719107</v>
      </c>
      <c r="J66" s="20" t="n">
        <v>0.81860601</v>
      </c>
      <c r="K66" s="18" t="n">
        <v>5.05402194</v>
      </c>
      <c r="L66" s="20" t="n">
        <v>0.57819259</v>
      </c>
      <c r="M66" s="18" t="n">
        <v>0</v>
      </c>
      <c r="N66" s="20" t="n">
        <v>0</v>
      </c>
      <c r="O66" s="18" t="n">
        <v>10.5295699</v>
      </c>
      <c r="P66" s="20" t="n">
        <v>0.91195428</v>
      </c>
      <c r="Q66" s="18" t="n">
        <v>0</v>
      </c>
      <c r="R66" s="20" t="n">
        <v>0</v>
      </c>
      <c r="S66" s="18" t="n">
        <v>0</v>
      </c>
      <c r="T66" s="20" t="n">
        <v>0</v>
      </c>
      <c r="U66" s="18" t="n">
        <v>35.66447846</v>
      </c>
      <c r="V66" s="20" t="n">
        <v>1.46373629</v>
      </c>
    </row>
    <row r="67" spans="1:22">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row>
    <row r="68" spans="1:22">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row>
    <row r="69" spans="1:22">
      <c r="A69" s="15" t="s">
        <v>629</v>
      </c>
      <c r="B69" s="17" t="n">
        <v>1398</v>
      </c>
      <c r="C69" s="18">
        <f>(930.0/B69*100)</f>
        <v/>
      </c>
      <c r="D69" s="19" t="n">
        <v>468</v>
      </c>
      <c r="E69" s="18" t="n">
        <v>63.77576131</v>
      </c>
      <c r="F69" s="20" t="n">
        <v>2.99545705</v>
      </c>
      <c r="G69" s="18" t="n">
        <v>0</v>
      </c>
      <c r="H69" s="20" t="n">
        <v>0</v>
      </c>
      <c r="I69" s="18" t="n">
        <v>5.42034809</v>
      </c>
      <c r="J69" s="20" t="n">
        <v>0.99096674</v>
      </c>
      <c r="K69" s="18" t="n">
        <v>7.83182949</v>
      </c>
      <c r="L69" s="20" t="n">
        <v>1.20914592</v>
      </c>
      <c r="M69" s="18" t="n">
        <v>0</v>
      </c>
      <c r="N69" s="20" t="n">
        <v>0</v>
      </c>
      <c r="O69" s="18" t="n">
        <v>4.06289774</v>
      </c>
      <c r="P69" s="20" t="n">
        <v>1.06180414</v>
      </c>
      <c r="Q69" s="18" t="n">
        <v>0</v>
      </c>
      <c r="R69" s="20" t="n">
        <v>0</v>
      </c>
      <c r="S69" s="18" t="n">
        <v>0</v>
      </c>
      <c r="T69" s="20" t="n">
        <v>0</v>
      </c>
      <c r="U69" s="18" t="n">
        <v>18.90916338</v>
      </c>
      <c r="V69" s="20" t="n">
        <v>2.61108899</v>
      </c>
    </row>
    <row r="70" spans="1:22">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row>
    <row r="71" spans="1:22">
      <c r="A71" s="15" t="s">
        <v>631</v>
      </c>
      <c r="B71" s="17" t="n">
        <v>4876</v>
      </c>
      <c r="C71" s="18">
        <f>(3249.0/B71*100)</f>
        <v/>
      </c>
      <c r="D71" s="19" t="n">
        <v>1627</v>
      </c>
      <c r="E71" s="18" t="n">
        <v>58.77143673</v>
      </c>
      <c r="F71" s="20" t="n">
        <v>1.45440855</v>
      </c>
      <c r="G71" s="18" t="n">
        <v>0</v>
      </c>
      <c r="H71" s="20" t="n">
        <v>0</v>
      </c>
      <c r="I71" s="18" t="n">
        <v>26.85475719</v>
      </c>
      <c r="J71" s="20" t="n">
        <v>1.29619548</v>
      </c>
      <c r="K71" s="18" t="n">
        <v>13.83933584</v>
      </c>
      <c r="L71" s="20" t="n">
        <v>1.11880459</v>
      </c>
      <c r="M71" s="18" t="n">
        <v>0</v>
      </c>
      <c r="N71" s="20" t="n">
        <v>0</v>
      </c>
      <c r="O71" s="18" t="n">
        <v>0.06684168</v>
      </c>
      <c r="P71" s="20" t="n">
        <v>0.06673567</v>
      </c>
      <c r="Q71" s="18" t="n">
        <v>0</v>
      </c>
      <c r="R71" s="20" t="n">
        <v>0</v>
      </c>
      <c r="S71" s="18" t="n">
        <v>0</v>
      </c>
      <c r="T71" s="20" t="n">
        <v>0</v>
      </c>
      <c r="U71" s="18" t="n">
        <v>0.46762856</v>
      </c>
      <c r="V71" s="20" t="n">
        <v>0.19098532</v>
      </c>
    </row>
    <row r="72" spans="1:22">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row>
    <row r="73" spans="1:22">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row>
    <row r="74" spans="1:22">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row>
    <row r="75" spans="1:22">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row>
    <row r="76" spans="1:22">
      <c r="A76" s="15" t="s">
        <v>636</v>
      </c>
      <c r="B76" s="17" t="n">
        <v>4692</v>
      </c>
      <c r="C76" s="18">
        <f>(3151.0/B76*100)</f>
        <v/>
      </c>
      <c r="D76" s="19" t="n">
        <v>1541</v>
      </c>
      <c r="E76" s="18" t="n">
        <v>40.03043601</v>
      </c>
      <c r="F76" s="20" t="n">
        <v>1.42095377</v>
      </c>
      <c r="G76" s="18" t="n">
        <v>0</v>
      </c>
      <c r="H76" s="20" t="n">
        <v>0</v>
      </c>
      <c r="I76" s="18" t="n">
        <v>10.79369314</v>
      </c>
      <c r="J76" s="20" t="n">
        <v>0.93371025</v>
      </c>
      <c r="K76" s="18" t="n">
        <v>8.600293199999999</v>
      </c>
      <c r="L76" s="20" t="n">
        <v>0.70738095</v>
      </c>
      <c r="M76" s="18" t="n">
        <v>0</v>
      </c>
      <c r="N76" s="20" t="n">
        <v>0</v>
      </c>
      <c r="O76" s="18" t="n">
        <v>13.98373838</v>
      </c>
      <c r="P76" s="20" t="n">
        <v>0.9850075700000001</v>
      </c>
      <c r="Q76" s="18" t="n">
        <v>0</v>
      </c>
      <c r="R76" s="20" t="n">
        <v>0</v>
      </c>
      <c r="S76" s="18" t="n">
        <v>0</v>
      </c>
      <c r="T76" s="20" t="n">
        <v>0</v>
      </c>
      <c r="U76" s="18" t="n">
        <v>26.59183927</v>
      </c>
      <c r="V76" s="20" t="n">
        <v>1.25448043</v>
      </c>
    </row>
    <row r="77" spans="1:22">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row>
    <row r="78" spans="1:22">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row>
    <row r="79" spans="1:22">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row>
    <row r="80" spans="1:22">
      <c r="A80" s="15" t="s">
        <v>640</v>
      </c>
      <c r="B80" s="17" t="n">
        <v>5826</v>
      </c>
      <c r="C80" s="18">
        <f>(3876.0/B80*100)</f>
        <v/>
      </c>
      <c r="D80" s="19" t="n">
        <v>1950</v>
      </c>
      <c r="E80" s="18" t="n">
        <v>72.77649263000001</v>
      </c>
      <c r="F80" s="20" t="n">
        <v>1.31508212</v>
      </c>
      <c r="G80" s="18" t="n">
        <v>0</v>
      </c>
      <c r="H80" s="20" t="n">
        <v>0</v>
      </c>
      <c r="I80" s="18" t="n">
        <v>18.62704811</v>
      </c>
      <c r="J80" s="20" t="n">
        <v>0.90073359</v>
      </c>
      <c r="K80" s="18" t="n">
        <v>6.03755177</v>
      </c>
      <c r="L80" s="20" t="n">
        <v>0.63327371</v>
      </c>
      <c r="M80" s="18" t="n">
        <v>0</v>
      </c>
      <c r="N80" s="20" t="n">
        <v>0</v>
      </c>
      <c r="O80" s="18" t="n">
        <v>0</v>
      </c>
      <c r="P80" s="20" t="n">
        <v>0</v>
      </c>
      <c r="Q80" s="18" t="n">
        <v>0</v>
      </c>
      <c r="R80" s="20" t="n">
        <v>0</v>
      </c>
      <c r="S80" s="18" t="n">
        <v>0</v>
      </c>
      <c r="T80" s="20" t="n">
        <v>0</v>
      </c>
      <c r="U80" s="18" t="n">
        <v>2.55890749</v>
      </c>
      <c r="V80" s="20" t="n">
        <v>0.47904169</v>
      </c>
    </row>
    <row r="81" spans="1:22">
      <c r="A81" s="15" t="s">
        <v>641</v>
      </c>
      <c r="B81" s="17" t="n">
        <v>1657</v>
      </c>
      <c r="C81" s="18">
        <f>(1104.0/B81*100)</f>
        <v/>
      </c>
      <c r="D81" s="19" t="n">
        <v>553</v>
      </c>
      <c r="E81" s="18" t="n">
        <v>36.98240295</v>
      </c>
      <c r="F81" s="20" t="n">
        <v>2.36386381</v>
      </c>
      <c r="G81" s="18" t="n">
        <v>0</v>
      </c>
      <c r="H81" s="20" t="n">
        <v>0</v>
      </c>
      <c r="I81" s="18" t="n">
        <v>14.32388778</v>
      </c>
      <c r="J81" s="20" t="n">
        <v>1.52630651</v>
      </c>
      <c r="K81" s="18" t="n">
        <v>15.58509058</v>
      </c>
      <c r="L81" s="20" t="n">
        <v>1.38116569</v>
      </c>
      <c r="M81" s="18" t="n">
        <v>0</v>
      </c>
      <c r="N81" s="20" t="n">
        <v>0</v>
      </c>
      <c r="O81" s="18" t="n">
        <v>8.12529631</v>
      </c>
      <c r="P81" s="20" t="n">
        <v>1.48867522</v>
      </c>
      <c r="Q81" s="18" t="n">
        <v>0.09017724000000001</v>
      </c>
      <c r="R81" s="20" t="n">
        <v>0.09625539</v>
      </c>
      <c r="S81" s="18" t="n">
        <v>0</v>
      </c>
      <c r="T81" s="20" t="n">
        <v>0</v>
      </c>
      <c r="U81" s="18" t="n">
        <v>24.89314514</v>
      </c>
      <c r="V81" s="20" t="n">
        <v>1.77485761</v>
      </c>
    </row>
    <row r="82" spans="1:22">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row>
    <row r="83" spans="1:22">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row>
    <row r="84" spans="1:22">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23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37.28752633</v>
      </c>
      <c r="F44" s="20" t="n">
        <v>1.65084793</v>
      </c>
      <c r="G44" s="18" t="n">
        <v>52.67119119</v>
      </c>
      <c r="H44" s="20" t="n">
        <v>1.70281892</v>
      </c>
      <c r="I44" s="18" t="n">
        <v>0</v>
      </c>
      <c r="J44" s="20" t="n">
        <v>0</v>
      </c>
      <c r="K44" s="18" t="n">
        <v>8.02088436</v>
      </c>
      <c r="L44" s="20" t="n">
        <v>0.75128803</v>
      </c>
      <c r="M44" s="18" t="n">
        <v>0</v>
      </c>
      <c r="N44" s="20" t="n">
        <v>0</v>
      </c>
      <c r="O44" s="18" t="n">
        <v>0</v>
      </c>
      <c r="P44" s="20" t="n">
        <v>0</v>
      </c>
      <c r="Q44" s="18" t="n">
        <v>2.02039813</v>
      </c>
      <c r="R44" s="20" t="n">
        <v>0.37254068</v>
      </c>
    </row>
    <row r="45" spans="1:18">
      <c r="A45" s="15" t="s">
        <v>604</v>
      </c>
      <c r="B45" s="17" t="n">
        <v>5519</v>
      </c>
      <c r="C45" s="18">
        <f>(3684.0/B45*100)</f>
        <v/>
      </c>
      <c r="D45" s="19" t="n">
        <v>1835</v>
      </c>
      <c r="E45" s="18" t="n">
        <v>43.23764274</v>
      </c>
      <c r="F45" s="20" t="n">
        <v>1.32136493</v>
      </c>
      <c r="G45" s="18" t="n">
        <v>40.64378098</v>
      </c>
      <c r="H45" s="20" t="n">
        <v>1.43014334</v>
      </c>
      <c r="I45" s="18" t="n">
        <v>0</v>
      </c>
      <c r="J45" s="20" t="n">
        <v>0</v>
      </c>
      <c r="K45" s="18" t="n">
        <v>13.54839935</v>
      </c>
      <c r="L45" s="20" t="n">
        <v>0.98922404</v>
      </c>
      <c r="M45" s="18" t="n">
        <v>0.41284304</v>
      </c>
      <c r="N45" s="20" t="n">
        <v>0.14906484</v>
      </c>
      <c r="O45" s="18" t="n">
        <v>0.09858876</v>
      </c>
      <c r="P45" s="20" t="n">
        <v>0.07354904</v>
      </c>
      <c r="Q45" s="18" t="n">
        <v>2.05874513</v>
      </c>
      <c r="R45" s="20" t="n">
        <v>0.3571751</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44.7063178</v>
      </c>
      <c r="F54" s="20" t="n">
        <v>1.36091598</v>
      </c>
      <c r="G54" s="18" t="n">
        <v>45.90082334</v>
      </c>
      <c r="H54" s="20" t="n">
        <v>1.39457726</v>
      </c>
      <c r="I54" s="18" t="n">
        <v>0</v>
      </c>
      <c r="J54" s="20" t="n">
        <v>0</v>
      </c>
      <c r="K54" s="18" t="n">
        <v>7.29860105</v>
      </c>
      <c r="L54" s="20" t="n">
        <v>0.72342772</v>
      </c>
      <c r="M54" s="18" t="n">
        <v>0</v>
      </c>
      <c r="N54" s="20" t="n">
        <v>0</v>
      </c>
      <c r="O54" s="18" t="n">
        <v>0.06520674</v>
      </c>
      <c r="P54" s="20" t="n">
        <v>0.06942943</v>
      </c>
      <c r="Q54" s="18" t="n">
        <v>2.02905106</v>
      </c>
      <c r="R54" s="20" t="n">
        <v>0.32235727</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49.06690851</v>
      </c>
      <c r="F56" s="20" t="n">
        <v>1.18548556</v>
      </c>
      <c r="G56" s="18" t="n">
        <v>44.83439772</v>
      </c>
      <c r="H56" s="20" t="n">
        <v>1.30501907</v>
      </c>
      <c r="I56" s="18" t="n">
        <v>0</v>
      </c>
      <c r="J56" s="20" t="n">
        <v>0</v>
      </c>
      <c r="K56" s="18" t="n">
        <v>4.39242323</v>
      </c>
      <c r="L56" s="20" t="n">
        <v>0.60137155</v>
      </c>
      <c r="M56" s="18" t="n">
        <v>0.11969096</v>
      </c>
      <c r="N56" s="20" t="n">
        <v>0.11852065</v>
      </c>
      <c r="O56" s="18" t="n">
        <v>0</v>
      </c>
      <c r="P56" s="20" t="n">
        <v>0</v>
      </c>
      <c r="Q56" s="18" t="n">
        <v>1.58657958</v>
      </c>
      <c r="R56" s="20" t="n">
        <v>0.34229056</v>
      </c>
    </row>
    <row r="57" spans="1:18">
      <c r="A57" s="15" t="s">
        <v>616</v>
      </c>
      <c r="B57" s="17" t="n">
        <v>7267</v>
      </c>
      <c r="C57" s="18">
        <f>(4851.0/B57*100)</f>
        <v/>
      </c>
      <c r="D57" s="19" t="n">
        <v>2416</v>
      </c>
      <c r="E57" s="18" t="n">
        <v>47.07153909</v>
      </c>
      <c r="F57" s="20" t="n">
        <v>1.19708643</v>
      </c>
      <c r="G57" s="18" t="n">
        <v>45.35893342</v>
      </c>
      <c r="H57" s="20" t="n">
        <v>1.3243501</v>
      </c>
      <c r="I57" s="18" t="n">
        <v>0</v>
      </c>
      <c r="J57" s="20" t="n">
        <v>0</v>
      </c>
      <c r="K57" s="18" t="n">
        <v>6.46145493</v>
      </c>
      <c r="L57" s="20" t="n">
        <v>0.7251169200000001</v>
      </c>
      <c r="M57" s="18" t="n">
        <v>0</v>
      </c>
      <c r="N57" s="20" t="n">
        <v>0</v>
      </c>
      <c r="O57" s="18" t="n">
        <v>0.18452267</v>
      </c>
      <c r="P57" s="20" t="n">
        <v>0.10671621</v>
      </c>
      <c r="Q57" s="18" t="n">
        <v>0.92354989</v>
      </c>
      <c r="R57" s="20" t="n">
        <v>0.21387238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55.50910539</v>
      </c>
      <c r="F59" s="20" t="n">
        <v>1.43828003</v>
      </c>
      <c r="G59" s="18" t="n">
        <v>39.80440582</v>
      </c>
      <c r="H59" s="20" t="n">
        <v>1.41771462</v>
      </c>
      <c r="I59" s="18" t="n">
        <v>0</v>
      </c>
      <c r="J59" s="20" t="n">
        <v>0</v>
      </c>
      <c r="K59" s="18" t="n">
        <v>3.79617557</v>
      </c>
      <c r="L59" s="20" t="n">
        <v>0.58161189</v>
      </c>
      <c r="M59" s="18" t="n">
        <v>0</v>
      </c>
      <c r="N59" s="20" t="n">
        <v>0</v>
      </c>
      <c r="O59" s="18" t="n">
        <v>0.10659111</v>
      </c>
      <c r="P59" s="20" t="n">
        <v>0.08880122</v>
      </c>
      <c r="Q59" s="18" t="n">
        <v>0.78372212</v>
      </c>
      <c r="R59" s="20" t="n">
        <v>0.25249648</v>
      </c>
    </row>
    <row r="60" spans="1:18">
      <c r="A60" s="15" t="s">
        <v>620</v>
      </c>
      <c r="B60" s="17" t="n">
        <v>4546</v>
      </c>
      <c r="C60" s="18">
        <f>(3033.0/B60*100)</f>
        <v/>
      </c>
      <c r="D60" s="19" t="n">
        <v>1513</v>
      </c>
      <c r="E60" s="18" t="n">
        <v>41.57861139</v>
      </c>
      <c r="F60" s="20" t="n">
        <v>1.66546322</v>
      </c>
      <c r="G60" s="18" t="n">
        <v>44.82984347</v>
      </c>
      <c r="H60" s="20" t="n">
        <v>1.47817751</v>
      </c>
      <c r="I60" s="18" t="n">
        <v>0</v>
      </c>
      <c r="J60" s="20" t="n">
        <v>0</v>
      </c>
      <c r="K60" s="18" t="n">
        <v>11.32576086</v>
      </c>
      <c r="L60" s="20" t="n">
        <v>0.8418295099999999</v>
      </c>
      <c r="M60" s="18" t="n">
        <v>0</v>
      </c>
      <c r="N60" s="20" t="n">
        <v>0</v>
      </c>
      <c r="O60" s="18" t="n">
        <v>0</v>
      </c>
      <c r="P60" s="20" t="n">
        <v>0</v>
      </c>
      <c r="Q60" s="18" t="n">
        <v>2.26578428</v>
      </c>
      <c r="R60" s="20" t="n">
        <v>0.37297237</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37.91768834</v>
      </c>
      <c r="F63" s="20" t="n">
        <v>1.29482535</v>
      </c>
      <c r="G63" s="18" t="n">
        <v>53.36848726</v>
      </c>
      <c r="H63" s="20" t="n">
        <v>1.36065169</v>
      </c>
      <c r="I63" s="18" t="n">
        <v>0</v>
      </c>
      <c r="J63" s="20" t="n">
        <v>0</v>
      </c>
      <c r="K63" s="18" t="n">
        <v>6.56283644</v>
      </c>
      <c r="L63" s="20" t="n">
        <v>0.6853039</v>
      </c>
      <c r="M63" s="18" t="n">
        <v>0</v>
      </c>
      <c r="N63" s="20" t="n">
        <v>0</v>
      </c>
      <c r="O63" s="18" t="n">
        <v>0.05994796</v>
      </c>
      <c r="P63" s="20" t="n">
        <v>0.06010502</v>
      </c>
      <c r="Q63" s="18" t="n">
        <v>2.09104</v>
      </c>
      <c r="R63" s="20" t="n">
        <v>0.32737469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24.68282719</v>
      </c>
      <c r="F65" s="20" t="n">
        <v>1.29063654</v>
      </c>
      <c r="G65" s="18" t="n">
        <v>69.42381106000001</v>
      </c>
      <c r="H65" s="20" t="n">
        <v>1.31960892</v>
      </c>
      <c r="I65" s="18" t="n">
        <v>0</v>
      </c>
      <c r="J65" s="20" t="n">
        <v>0</v>
      </c>
      <c r="K65" s="18" t="n">
        <v>5.6043525</v>
      </c>
      <c r="L65" s="20" t="n">
        <v>0.6945222</v>
      </c>
      <c r="M65" s="18" t="n">
        <v>0</v>
      </c>
      <c r="N65" s="20" t="n">
        <v>0</v>
      </c>
      <c r="O65" s="18" t="n">
        <v>0.08803699</v>
      </c>
      <c r="P65" s="20" t="n">
        <v>0.08808682</v>
      </c>
      <c r="Q65" s="18" t="n">
        <v>0.20097225</v>
      </c>
      <c r="R65" s="20" t="n">
        <v>0.14137026</v>
      </c>
    </row>
    <row r="66" spans="1:18">
      <c r="A66" s="15" t="s">
        <v>626</v>
      </c>
      <c r="B66" s="17" t="n">
        <v>5325</v>
      </c>
      <c r="C66" s="18">
        <f>(3548.0/B66*100)</f>
        <v/>
      </c>
      <c r="D66" s="19" t="n">
        <v>1777</v>
      </c>
      <c r="E66" s="18" t="n">
        <v>32.80553226</v>
      </c>
      <c r="F66" s="20" t="n">
        <v>1.24070014</v>
      </c>
      <c r="G66" s="18" t="n">
        <v>54.97877214</v>
      </c>
      <c r="H66" s="20" t="n">
        <v>1.24207438</v>
      </c>
      <c r="I66" s="18" t="n">
        <v>0</v>
      </c>
      <c r="J66" s="20" t="n">
        <v>0</v>
      </c>
      <c r="K66" s="18" t="n">
        <v>11.0589165</v>
      </c>
      <c r="L66" s="20" t="n">
        <v>0.9276994</v>
      </c>
      <c r="M66" s="18" t="n">
        <v>0</v>
      </c>
      <c r="N66" s="20" t="n">
        <v>0</v>
      </c>
      <c r="O66" s="18" t="n">
        <v>0</v>
      </c>
      <c r="P66" s="20" t="n">
        <v>0</v>
      </c>
      <c r="Q66" s="18" t="n">
        <v>1.1567791</v>
      </c>
      <c r="R66" s="20" t="n">
        <v>0.27792893</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31.92290767</v>
      </c>
      <c r="F69" s="20" t="n">
        <v>2.54603636</v>
      </c>
      <c r="G69" s="18" t="n">
        <v>62.6241323</v>
      </c>
      <c r="H69" s="20" t="n">
        <v>2.62141996</v>
      </c>
      <c r="I69" s="18" t="n">
        <v>0</v>
      </c>
      <c r="J69" s="20" t="n">
        <v>0</v>
      </c>
      <c r="K69" s="18" t="n">
        <v>4.4592701</v>
      </c>
      <c r="L69" s="20" t="n">
        <v>0.97005665</v>
      </c>
      <c r="M69" s="18" t="n">
        <v>0</v>
      </c>
      <c r="N69" s="20" t="n">
        <v>0</v>
      </c>
      <c r="O69" s="18" t="n">
        <v>0</v>
      </c>
      <c r="P69" s="20" t="n">
        <v>0</v>
      </c>
      <c r="Q69" s="18" t="n">
        <v>0.9936899300000001</v>
      </c>
      <c r="R69" s="20" t="n">
        <v>0.54391872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29.96281916</v>
      </c>
      <c r="F71" s="20" t="n">
        <v>1.25403485</v>
      </c>
      <c r="G71" s="18" t="n">
        <v>69.97033915999999</v>
      </c>
      <c r="H71" s="20" t="n">
        <v>1.25144415</v>
      </c>
      <c r="I71" s="18" t="n">
        <v>0</v>
      </c>
      <c r="J71" s="20" t="n">
        <v>0</v>
      </c>
      <c r="K71" s="18" t="n">
        <v>0.06684168</v>
      </c>
      <c r="L71" s="20" t="n">
        <v>0.06673567</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31.50161697</v>
      </c>
      <c r="F76" s="20" t="n">
        <v>1.30792079</v>
      </c>
      <c r="G76" s="18" t="n">
        <v>52.84293375</v>
      </c>
      <c r="H76" s="20" t="n">
        <v>1.4255547</v>
      </c>
      <c r="I76" s="18" t="n">
        <v>0</v>
      </c>
      <c r="J76" s="20" t="n">
        <v>0</v>
      </c>
      <c r="K76" s="18" t="n">
        <v>14.30500875</v>
      </c>
      <c r="L76" s="20" t="n">
        <v>0.94477318</v>
      </c>
      <c r="M76" s="18" t="n">
        <v>0</v>
      </c>
      <c r="N76" s="20" t="n">
        <v>0</v>
      </c>
      <c r="O76" s="18" t="n">
        <v>0</v>
      </c>
      <c r="P76" s="20" t="n">
        <v>0</v>
      </c>
      <c r="Q76" s="18" t="n">
        <v>1.35044053</v>
      </c>
      <c r="R76" s="20" t="n">
        <v>0.34917792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36.51544487</v>
      </c>
      <c r="F80" s="20" t="n">
        <v>1.33092628</v>
      </c>
      <c r="G80" s="18" t="n">
        <v>63.48455513</v>
      </c>
      <c r="H80" s="20" t="n">
        <v>1.33092628</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(1104.0/B81*100)</f>
        <v/>
      </c>
      <c r="D81" s="19" t="n">
        <v>553</v>
      </c>
      <c r="E81" s="18" t="n">
        <v>22.93152534</v>
      </c>
      <c r="F81" s="20" t="n">
        <v>1.91111295</v>
      </c>
      <c r="G81" s="18" t="n">
        <v>68.34020966999999</v>
      </c>
      <c r="H81" s="20" t="n">
        <v>2.40329436</v>
      </c>
      <c r="I81" s="18" t="n">
        <v>0</v>
      </c>
      <c r="J81" s="20" t="n">
        <v>0</v>
      </c>
      <c r="K81" s="18" t="n">
        <v>8.52341994</v>
      </c>
      <c r="L81" s="20" t="n">
        <v>1.5590192</v>
      </c>
      <c r="M81" s="18" t="n">
        <v>0</v>
      </c>
      <c r="N81" s="20" t="n">
        <v>0</v>
      </c>
      <c r="O81" s="18" t="n">
        <v>0</v>
      </c>
      <c r="P81" s="20" t="n">
        <v>0</v>
      </c>
      <c r="Q81" s="18" t="n">
        <v>0.20484505</v>
      </c>
      <c r="R81" s="20" t="n">
        <v>0.19201424</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18.48051052</v>
      </c>
      <c r="F44" s="20" t="n">
        <v>1.09758152</v>
      </c>
      <c r="G44" s="18" t="n">
        <v>63.19839455</v>
      </c>
      <c r="H44" s="20" t="n">
        <v>1.33396307</v>
      </c>
      <c r="I44" s="18" t="n">
        <v>0</v>
      </c>
      <c r="J44" s="20" t="n">
        <v>0</v>
      </c>
      <c r="K44" s="18" t="n">
        <v>10.19521459</v>
      </c>
      <c r="L44" s="20" t="n">
        <v>0.85724344</v>
      </c>
      <c r="M44" s="18" t="n">
        <v>0</v>
      </c>
      <c r="N44" s="20" t="n">
        <v>0</v>
      </c>
      <c r="O44" s="18" t="n">
        <v>1.12036842</v>
      </c>
      <c r="P44" s="20" t="n">
        <v>0.32240512</v>
      </c>
      <c r="Q44" s="18" t="n">
        <v>7.00551192</v>
      </c>
      <c r="R44" s="20" t="n">
        <v>0.8594434399999999</v>
      </c>
    </row>
    <row r="45" spans="1:18">
      <c r="A45" s="15" t="s">
        <v>604</v>
      </c>
      <c r="B45" s="17" t="n">
        <v>5519</v>
      </c>
      <c r="C45" s="18">
        <f>(3684.0/B45*100)</f>
        <v/>
      </c>
      <c r="D45" s="19" t="n">
        <v>1835</v>
      </c>
      <c r="E45" s="18" t="n">
        <v>39.86215582</v>
      </c>
      <c r="F45" s="20" t="n">
        <v>1.48601194</v>
      </c>
      <c r="G45" s="18" t="n">
        <v>31.31607053</v>
      </c>
      <c r="H45" s="20" t="n">
        <v>1.36174495</v>
      </c>
      <c r="I45" s="18" t="n">
        <v>0</v>
      </c>
      <c r="J45" s="20" t="n">
        <v>0</v>
      </c>
      <c r="K45" s="18" t="n">
        <v>15.78352875</v>
      </c>
      <c r="L45" s="20" t="n">
        <v>1.09103061</v>
      </c>
      <c r="M45" s="18" t="n">
        <v>0.62797952</v>
      </c>
      <c r="N45" s="20" t="n">
        <v>0.19193956</v>
      </c>
      <c r="O45" s="18" t="n">
        <v>3.10528721</v>
      </c>
      <c r="P45" s="20" t="n">
        <v>0.48605036</v>
      </c>
      <c r="Q45" s="18" t="n">
        <v>9.30497817</v>
      </c>
      <c r="R45" s="20" t="n">
        <v>0.78938736</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35.06657459</v>
      </c>
      <c r="F54" s="20" t="n">
        <v>1.12808874</v>
      </c>
      <c r="G54" s="18" t="n">
        <v>48.92998634</v>
      </c>
      <c r="H54" s="20" t="n">
        <v>1.37940106</v>
      </c>
      <c r="I54" s="18" t="n">
        <v>0</v>
      </c>
      <c r="J54" s="20" t="n">
        <v>0</v>
      </c>
      <c r="K54" s="18" t="n">
        <v>7.87004338</v>
      </c>
      <c r="L54" s="20" t="n">
        <v>0.72262321</v>
      </c>
      <c r="M54" s="18" t="n">
        <v>0</v>
      </c>
      <c r="N54" s="20" t="n">
        <v>0</v>
      </c>
      <c r="O54" s="18" t="n">
        <v>0.54904774</v>
      </c>
      <c r="P54" s="20" t="n">
        <v>0.19802901</v>
      </c>
      <c r="Q54" s="18" t="n">
        <v>7.58434795</v>
      </c>
      <c r="R54" s="20" t="n">
        <v>0.67587292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37.79857522</v>
      </c>
      <c r="F56" s="20" t="n">
        <v>1.46152894</v>
      </c>
      <c r="G56" s="18" t="n">
        <v>53.52127743</v>
      </c>
      <c r="H56" s="20" t="n">
        <v>1.49210486</v>
      </c>
      <c r="I56" s="18" t="n">
        <v>0</v>
      </c>
      <c r="J56" s="20" t="n">
        <v>0</v>
      </c>
      <c r="K56" s="18" t="n">
        <v>5.20457957</v>
      </c>
      <c r="L56" s="20" t="n">
        <v>0.68162049</v>
      </c>
      <c r="M56" s="18" t="n">
        <v>0.11969096</v>
      </c>
      <c r="N56" s="20" t="n">
        <v>0.11852065</v>
      </c>
      <c r="O56" s="18" t="n">
        <v>0</v>
      </c>
      <c r="P56" s="20" t="n">
        <v>0</v>
      </c>
      <c r="Q56" s="18" t="n">
        <v>3.35587682</v>
      </c>
      <c r="R56" s="20" t="n">
        <v>0.35627972</v>
      </c>
    </row>
    <row r="57" spans="1:18">
      <c r="A57" s="15" t="s">
        <v>616</v>
      </c>
      <c r="B57" s="17" t="n">
        <v>7267</v>
      </c>
      <c r="C57" s="18">
        <f>(4851.0/B57*100)</f>
        <v/>
      </c>
      <c r="D57" s="19" t="n">
        <v>2416</v>
      </c>
      <c r="E57" s="18" t="n">
        <v>29.11407273</v>
      </c>
      <c r="F57" s="20" t="n">
        <v>1.14937876</v>
      </c>
      <c r="G57" s="18" t="n">
        <v>55.24601394</v>
      </c>
      <c r="H57" s="20" t="n">
        <v>1.55174625</v>
      </c>
      <c r="I57" s="18" t="n">
        <v>0</v>
      </c>
      <c r="J57" s="20" t="n">
        <v>0</v>
      </c>
      <c r="K57" s="18" t="n">
        <v>7.09458348</v>
      </c>
      <c r="L57" s="20" t="n">
        <v>0.76728771</v>
      </c>
      <c r="M57" s="18" t="n">
        <v>0</v>
      </c>
      <c r="N57" s="20" t="n">
        <v>0</v>
      </c>
      <c r="O57" s="18" t="n">
        <v>0.78499677</v>
      </c>
      <c r="P57" s="20" t="n">
        <v>0.21219175</v>
      </c>
      <c r="Q57" s="18" t="n">
        <v>7.76033308</v>
      </c>
      <c r="R57" s="20" t="n">
        <v>0.71242391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41.54785113</v>
      </c>
      <c r="F59" s="20" t="n">
        <v>1.49909208</v>
      </c>
      <c r="G59" s="18" t="n">
        <v>45.15698162</v>
      </c>
      <c r="H59" s="20" t="n">
        <v>1.57475116</v>
      </c>
      <c r="I59" s="18" t="n">
        <v>0</v>
      </c>
      <c r="J59" s="20" t="n">
        <v>0</v>
      </c>
      <c r="K59" s="18" t="n">
        <v>4.31581735</v>
      </c>
      <c r="L59" s="20" t="n">
        <v>0.58508179</v>
      </c>
      <c r="M59" s="18" t="n">
        <v>0.39864554</v>
      </c>
      <c r="N59" s="20" t="n">
        <v>0.22776715</v>
      </c>
      <c r="O59" s="18" t="n">
        <v>2.9431534</v>
      </c>
      <c r="P59" s="20" t="n">
        <v>0.58415935</v>
      </c>
      <c r="Q59" s="18" t="n">
        <v>5.63755096</v>
      </c>
      <c r="R59" s="20" t="n">
        <v>0.67130048</v>
      </c>
    </row>
    <row r="60" spans="1:18">
      <c r="A60" s="15" t="s">
        <v>620</v>
      </c>
      <c r="B60" s="17" t="n">
        <v>4546</v>
      </c>
      <c r="C60" s="18">
        <f>(3033.0/B60*100)</f>
        <v/>
      </c>
      <c r="D60" s="19" t="n">
        <v>1513</v>
      </c>
      <c r="E60" s="18" t="n">
        <v>33.85026127</v>
      </c>
      <c r="F60" s="20" t="n">
        <v>1.63185627</v>
      </c>
      <c r="G60" s="18" t="n">
        <v>40.04930731</v>
      </c>
      <c r="H60" s="20" t="n">
        <v>1.7574962</v>
      </c>
      <c r="I60" s="18" t="n">
        <v>0</v>
      </c>
      <c r="J60" s="20" t="n">
        <v>0</v>
      </c>
      <c r="K60" s="18" t="n">
        <v>12.80244238</v>
      </c>
      <c r="L60" s="20" t="n">
        <v>0.91547099</v>
      </c>
      <c r="M60" s="18" t="n">
        <v>0.03691104</v>
      </c>
      <c r="N60" s="20" t="n">
        <v>0.03772388</v>
      </c>
      <c r="O60" s="18" t="n">
        <v>4.48602799</v>
      </c>
      <c r="P60" s="20" t="n">
        <v>0.84268713</v>
      </c>
      <c r="Q60" s="18" t="n">
        <v>8.775050009999999</v>
      </c>
      <c r="R60" s="20" t="n">
        <v>0.98914582</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32.55468032</v>
      </c>
      <c r="F63" s="20" t="n">
        <v>1.39582034</v>
      </c>
      <c r="G63" s="18" t="n">
        <v>40.53809548</v>
      </c>
      <c r="H63" s="20" t="n">
        <v>1.37135202</v>
      </c>
      <c r="I63" s="18" t="n">
        <v>0</v>
      </c>
      <c r="J63" s="20" t="n">
        <v>0</v>
      </c>
      <c r="K63" s="18" t="n">
        <v>8.646395719999999</v>
      </c>
      <c r="L63" s="20" t="n">
        <v>0.77096494</v>
      </c>
      <c r="M63" s="18" t="n">
        <v>0</v>
      </c>
      <c r="N63" s="20" t="n">
        <v>0</v>
      </c>
      <c r="O63" s="18" t="n">
        <v>0.79048345</v>
      </c>
      <c r="P63" s="20" t="n">
        <v>0.22906846</v>
      </c>
      <c r="Q63" s="18" t="n">
        <v>17.47034502</v>
      </c>
      <c r="R63" s="20" t="n">
        <v>0.94328101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25.36809939</v>
      </c>
      <c r="F65" s="20" t="n">
        <v>1.06132408</v>
      </c>
      <c r="G65" s="18" t="n">
        <v>61.56310144</v>
      </c>
      <c r="H65" s="20" t="n">
        <v>1.2088244</v>
      </c>
      <c r="I65" s="18" t="n">
        <v>0</v>
      </c>
      <c r="J65" s="20" t="n">
        <v>0</v>
      </c>
      <c r="K65" s="18" t="n">
        <v>6.15841859</v>
      </c>
      <c r="L65" s="20" t="n">
        <v>0.71102933</v>
      </c>
      <c r="M65" s="18" t="n">
        <v>0</v>
      </c>
      <c r="N65" s="20" t="n">
        <v>0</v>
      </c>
      <c r="O65" s="18" t="n">
        <v>0.23111542</v>
      </c>
      <c r="P65" s="20" t="n">
        <v>0.13287691</v>
      </c>
      <c r="Q65" s="18" t="n">
        <v>6.67926516</v>
      </c>
      <c r="R65" s="20" t="n">
        <v>0.81751873</v>
      </c>
    </row>
    <row r="66" spans="1:18">
      <c r="A66" s="15" t="s">
        <v>626</v>
      </c>
      <c r="B66" s="17" t="n">
        <v>5325</v>
      </c>
      <c r="C66" s="18">
        <f>(3548.0/B66*100)</f>
        <v/>
      </c>
      <c r="D66" s="19" t="n">
        <v>1777</v>
      </c>
      <c r="E66" s="18" t="n">
        <v>28.45820516</v>
      </c>
      <c r="F66" s="20" t="n">
        <v>1.08527788</v>
      </c>
      <c r="G66" s="18" t="n">
        <v>50.04633913</v>
      </c>
      <c r="H66" s="20" t="n">
        <v>1.36306225</v>
      </c>
      <c r="I66" s="18" t="n">
        <v>0</v>
      </c>
      <c r="J66" s="20" t="n">
        <v>0</v>
      </c>
      <c r="K66" s="18" t="n">
        <v>12.83922469</v>
      </c>
      <c r="L66" s="20" t="n">
        <v>0.95535813</v>
      </c>
      <c r="M66" s="18" t="n">
        <v>2.93885208</v>
      </c>
      <c r="N66" s="20" t="n">
        <v>0.52390423</v>
      </c>
      <c r="O66" s="18" t="n">
        <v>0</v>
      </c>
      <c r="P66" s="20" t="n">
        <v>0</v>
      </c>
      <c r="Q66" s="18" t="n">
        <v>5.71737894</v>
      </c>
      <c r="R66" s="20" t="n">
        <v>0.51480736</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36.14372803</v>
      </c>
      <c r="F69" s="20" t="n">
        <v>2.84236598</v>
      </c>
      <c r="G69" s="18" t="n">
        <v>54.42026526</v>
      </c>
      <c r="H69" s="20" t="n">
        <v>2.58229872</v>
      </c>
      <c r="I69" s="18" t="n">
        <v>0</v>
      </c>
      <c r="J69" s="20" t="n">
        <v>0</v>
      </c>
      <c r="K69" s="18" t="n">
        <v>4.65456065</v>
      </c>
      <c r="L69" s="20" t="n">
        <v>0.97746398</v>
      </c>
      <c r="M69" s="18" t="n">
        <v>0</v>
      </c>
      <c r="N69" s="20" t="n">
        <v>0</v>
      </c>
      <c r="O69" s="18" t="n">
        <v>0</v>
      </c>
      <c r="P69" s="20" t="n">
        <v>0</v>
      </c>
      <c r="Q69" s="18" t="n">
        <v>4.78144607</v>
      </c>
      <c r="R69" s="20" t="n">
        <v>0.98565938</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38.47056946</v>
      </c>
      <c r="F71" s="20" t="n">
        <v>1.45278045</v>
      </c>
      <c r="G71" s="18" t="n">
        <v>61.34747031</v>
      </c>
      <c r="H71" s="20" t="n">
        <v>1.4235221</v>
      </c>
      <c r="I71" s="18" t="n">
        <v>0</v>
      </c>
      <c r="J71" s="20" t="n">
        <v>0</v>
      </c>
      <c r="K71" s="18" t="n">
        <v>0.1253082</v>
      </c>
      <c r="L71" s="20" t="n">
        <v>0.08852289000000001</v>
      </c>
      <c r="M71" s="18" t="n">
        <v>0</v>
      </c>
      <c r="N71" s="20" t="n">
        <v>0</v>
      </c>
      <c r="O71" s="18" t="n">
        <v>0</v>
      </c>
      <c r="P71" s="20" t="n">
        <v>0</v>
      </c>
      <c r="Q71" s="18" t="n">
        <v>0.05665203</v>
      </c>
      <c r="R71" s="20" t="n">
        <v>0.05671028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26.94339159</v>
      </c>
      <c r="F76" s="20" t="n">
        <v>1.25226472</v>
      </c>
      <c r="G76" s="18" t="n">
        <v>53.06646918</v>
      </c>
      <c r="H76" s="20" t="n">
        <v>1.3756991</v>
      </c>
      <c r="I76" s="18" t="n">
        <v>0</v>
      </c>
      <c r="J76" s="20" t="n">
        <v>0</v>
      </c>
      <c r="K76" s="18" t="n">
        <v>15.55704565</v>
      </c>
      <c r="L76" s="20" t="n">
        <v>1.01111659</v>
      </c>
      <c r="M76" s="18" t="n">
        <v>0</v>
      </c>
      <c r="N76" s="20" t="n">
        <v>0</v>
      </c>
      <c r="O76" s="18" t="n">
        <v>0.0834336</v>
      </c>
      <c r="P76" s="20" t="n">
        <v>0.06009174</v>
      </c>
      <c r="Q76" s="18" t="n">
        <v>4.34965998</v>
      </c>
      <c r="R76" s="20" t="n">
        <v>0.51112585</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9.21759958</v>
      </c>
      <c r="F80" s="20" t="n">
        <v>0.90031732</v>
      </c>
      <c r="G80" s="18" t="n">
        <v>90.75060446000001</v>
      </c>
      <c r="H80" s="20" t="n">
        <v>0.90195568</v>
      </c>
      <c r="I80" s="18" t="n">
        <v>0</v>
      </c>
      <c r="J80" s="20" t="n">
        <v>0</v>
      </c>
      <c r="K80" s="18" t="n">
        <v>0</v>
      </c>
      <c r="L80" s="20" t="n">
        <v>0</v>
      </c>
      <c r="M80" s="18" t="n">
        <v>0</v>
      </c>
      <c r="N80" s="20" t="n">
        <v>0</v>
      </c>
      <c r="O80" s="18" t="n">
        <v>0</v>
      </c>
      <c r="P80" s="20" t="n">
        <v>0</v>
      </c>
      <c r="Q80" s="18" t="n">
        <v>0.03179595</v>
      </c>
      <c r="R80" s="20" t="n">
        <v>0.03182963</v>
      </c>
    </row>
    <row r="81" spans="1:18">
      <c r="A81" s="15" t="s">
        <v>641</v>
      </c>
      <c r="B81" s="17" t="n">
        <v>1657</v>
      </c>
      <c r="C81" s="18">
        <f>(1104.0/B81*100)</f>
        <v/>
      </c>
      <c r="D81" s="19" t="n">
        <v>553</v>
      </c>
      <c r="E81" s="18" t="n">
        <v>16.03475814</v>
      </c>
      <c r="F81" s="20" t="n">
        <v>1.38112784</v>
      </c>
      <c r="G81" s="18" t="n">
        <v>70.75287194000001</v>
      </c>
      <c r="H81" s="20" t="n">
        <v>2.31135239</v>
      </c>
      <c r="I81" s="18" t="n">
        <v>0</v>
      </c>
      <c r="J81" s="20" t="n">
        <v>0</v>
      </c>
      <c r="K81" s="18" t="n">
        <v>9.276292639999999</v>
      </c>
      <c r="L81" s="20" t="n">
        <v>1.65138668</v>
      </c>
      <c r="M81" s="18" t="n">
        <v>0</v>
      </c>
      <c r="N81" s="20" t="n">
        <v>0</v>
      </c>
      <c r="O81" s="18" t="n">
        <v>1.11230096</v>
      </c>
      <c r="P81" s="20" t="n">
        <v>0.44865727</v>
      </c>
      <c r="Q81" s="18" t="n">
        <v>2.82377633</v>
      </c>
      <c r="R81" s="20" t="n">
        <v>0.75588382</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(3491.0/B44*100)</f>
        <v/>
      </c>
      <c r="D44" s="19" t="n">
        <v>1724</v>
      </c>
      <c r="E44" s="18" t="n">
        <v>49.74633035</v>
      </c>
      <c r="F44" s="20" t="n">
        <v>1.66165719</v>
      </c>
      <c r="G44" s="18" t="n">
        <v>38.07633198</v>
      </c>
      <c r="H44" s="20" t="n">
        <v>1.77618157</v>
      </c>
      <c r="I44" s="18" t="n">
        <v>0</v>
      </c>
      <c r="J44" s="20" t="n">
        <v>0</v>
      </c>
      <c r="K44" s="18" t="n">
        <v>12.17733767</v>
      </c>
      <c r="L44" s="20" t="n">
        <v>1.05255928</v>
      </c>
      <c r="M44" s="18" t="n">
        <v>0</v>
      </c>
      <c r="N44" s="20" t="n">
        <v>0</v>
      </c>
      <c r="O44" s="18" t="n">
        <v>0</v>
      </c>
      <c r="P44" s="20" t="n">
        <v>0</v>
      </c>
      <c r="Q44" s="18" t="n">
        <v>0</v>
      </c>
      <c r="R44" s="20" t="n">
        <v>0</v>
      </c>
    </row>
    <row r="45" spans="1:18">
      <c r="A45" s="15" t="s">
        <v>604</v>
      </c>
      <c r="B45" s="17" t="n">
        <v>5519</v>
      </c>
      <c r="C45" s="18">
        <f>(3684.0/B45*100)</f>
        <v/>
      </c>
      <c r="D45" s="19" t="n">
        <v>1835</v>
      </c>
      <c r="E45" s="18" t="n">
        <v>55.4025353</v>
      </c>
      <c r="F45" s="20" t="n">
        <v>1.30225432</v>
      </c>
      <c r="G45" s="18" t="n">
        <v>27.31674515</v>
      </c>
      <c r="H45" s="20" t="n">
        <v>0.95758908</v>
      </c>
      <c r="I45" s="18" t="n">
        <v>0</v>
      </c>
      <c r="J45" s="20" t="n">
        <v>0</v>
      </c>
      <c r="K45" s="18" t="n">
        <v>16.82944619</v>
      </c>
      <c r="L45" s="20" t="n">
        <v>1.09406592</v>
      </c>
      <c r="M45" s="18" t="n">
        <v>0.39606569</v>
      </c>
      <c r="N45" s="20" t="n">
        <v>0.14363515</v>
      </c>
      <c r="O45" s="18" t="n">
        <v>0.05520767</v>
      </c>
      <c r="P45" s="20" t="n">
        <v>0.05910918</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(3517.0/B54*100)</f>
        <v/>
      </c>
      <c r="D54" s="19" t="n">
        <v>1799</v>
      </c>
      <c r="E54" s="18" t="n">
        <v>54.95943923</v>
      </c>
      <c r="F54" s="20" t="n">
        <v>1.27928055</v>
      </c>
      <c r="G54" s="18" t="n">
        <v>35.93369183</v>
      </c>
      <c r="H54" s="20" t="n">
        <v>1.26922961</v>
      </c>
      <c r="I54" s="18" t="n">
        <v>0</v>
      </c>
      <c r="J54" s="20" t="n">
        <v>0</v>
      </c>
      <c r="K54" s="18" t="n">
        <v>9.059863289999999</v>
      </c>
      <c r="L54" s="20" t="n">
        <v>0.7520461000000001</v>
      </c>
      <c r="M54" s="18" t="n">
        <v>0</v>
      </c>
      <c r="N54" s="20" t="n">
        <v>0</v>
      </c>
      <c r="O54" s="18" t="n">
        <v>0.04700565</v>
      </c>
      <c r="P54" s="20" t="n">
        <v>0.04713909</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(4392.0/B56*100)</f>
        <v/>
      </c>
      <c r="D56" s="19" t="n">
        <v>2121</v>
      </c>
      <c r="E56" s="18" t="n">
        <v>47.63973719</v>
      </c>
      <c r="F56" s="20" t="n">
        <v>1.20722903</v>
      </c>
      <c r="G56" s="18" t="n">
        <v>46.29958429</v>
      </c>
      <c r="H56" s="20" t="n">
        <v>1.25749057</v>
      </c>
      <c r="I56" s="18" t="n">
        <v>0</v>
      </c>
      <c r="J56" s="20" t="n">
        <v>0</v>
      </c>
      <c r="K56" s="18" t="n">
        <v>5.94098755</v>
      </c>
      <c r="L56" s="20" t="n">
        <v>0.7487137699999999</v>
      </c>
      <c r="M56" s="18" t="n">
        <v>0.11969096</v>
      </c>
      <c r="N56" s="20" t="n">
        <v>0.11852065</v>
      </c>
      <c r="O56" s="18" t="n">
        <v>0</v>
      </c>
      <c r="P56" s="20" t="n">
        <v>0</v>
      </c>
      <c r="Q56" s="18" t="n">
        <v>0</v>
      </c>
      <c r="R56" s="20" t="n">
        <v>0</v>
      </c>
    </row>
    <row r="57" spans="1:18">
      <c r="A57" s="15" t="s">
        <v>616</v>
      </c>
      <c r="B57" s="17" t="n">
        <v>7267</v>
      </c>
      <c r="C57" s="18">
        <f>(4851.0/B57*100)</f>
        <v/>
      </c>
      <c r="D57" s="19" t="n">
        <v>2416</v>
      </c>
      <c r="E57" s="18" t="n">
        <v>63.96943067</v>
      </c>
      <c r="F57" s="20" t="n">
        <v>1.26288282</v>
      </c>
      <c r="G57" s="18" t="n">
        <v>28.18077899</v>
      </c>
      <c r="H57" s="20" t="n">
        <v>1.16265547</v>
      </c>
      <c r="I57" s="18" t="n">
        <v>0</v>
      </c>
      <c r="J57" s="20" t="n">
        <v>0</v>
      </c>
      <c r="K57" s="18" t="n">
        <v>7.71951152</v>
      </c>
      <c r="L57" s="20" t="n">
        <v>0.8007467</v>
      </c>
      <c r="M57" s="18" t="n">
        <v>0</v>
      </c>
      <c r="N57" s="20" t="n">
        <v>0</v>
      </c>
      <c r="O57" s="18" t="n">
        <v>0.13027882</v>
      </c>
      <c r="P57" s="20" t="n">
        <v>0.09220309</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67.66239572000001</v>
      </c>
      <c r="F59" s="20" t="n">
        <v>1.36512756</v>
      </c>
      <c r="G59" s="18" t="n">
        <v>27.48889992</v>
      </c>
      <c r="H59" s="20" t="n">
        <v>1.35624326</v>
      </c>
      <c r="I59" s="18" t="n">
        <v>0</v>
      </c>
      <c r="J59" s="20" t="n">
        <v>0</v>
      </c>
      <c r="K59" s="18" t="n">
        <v>4.82943667</v>
      </c>
      <c r="L59" s="20" t="n">
        <v>0.60279475</v>
      </c>
      <c r="M59" s="18" t="n">
        <v>0</v>
      </c>
      <c r="N59" s="20" t="n">
        <v>0</v>
      </c>
      <c r="O59" s="18" t="n">
        <v>0.01926769</v>
      </c>
      <c r="P59" s="20" t="n">
        <v>0.01924621</v>
      </c>
      <c r="Q59" s="18" t="n">
        <v>0</v>
      </c>
      <c r="R59" s="20" t="n">
        <v>0</v>
      </c>
    </row>
    <row r="60" spans="1:18">
      <c r="A60" s="15" t="s">
        <v>620</v>
      </c>
      <c r="B60" s="17" t="n">
        <v>4546</v>
      </c>
      <c r="C60" s="18">
        <f>(3033.0/B60*100)</f>
        <v/>
      </c>
      <c r="D60" s="19" t="n">
        <v>1513</v>
      </c>
      <c r="E60" s="18" t="n">
        <v>57.16133939</v>
      </c>
      <c r="F60" s="20" t="n">
        <v>1.64190379</v>
      </c>
      <c r="G60" s="18" t="n">
        <v>29.07699062</v>
      </c>
      <c r="H60" s="20" t="n">
        <v>1.54986575</v>
      </c>
      <c r="I60" s="18" t="n">
        <v>0</v>
      </c>
      <c r="J60" s="20" t="n">
        <v>0</v>
      </c>
      <c r="K60" s="18" t="n">
        <v>13.76166999</v>
      </c>
      <c r="L60" s="20" t="n">
        <v>0.95559608</v>
      </c>
      <c r="M60" s="18" t="n">
        <v>0</v>
      </c>
      <c r="N60" s="20" t="n">
        <v>0</v>
      </c>
      <c r="O60" s="18" t="n">
        <v>0</v>
      </c>
      <c r="P60" s="20" t="n">
        <v>0</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(3546.0/B63*100)</f>
        <v/>
      </c>
      <c r="D63" s="19" t="n">
        <v>1778</v>
      </c>
      <c r="E63" s="18" t="n">
        <v>60.95603091</v>
      </c>
      <c r="F63" s="20" t="n">
        <v>1.29591544</v>
      </c>
      <c r="G63" s="18" t="n">
        <v>28.46997729</v>
      </c>
      <c r="H63" s="20" t="n">
        <v>1.31036365</v>
      </c>
      <c r="I63" s="18" t="n">
        <v>0</v>
      </c>
      <c r="J63" s="20" t="n">
        <v>0</v>
      </c>
      <c r="K63" s="18" t="n">
        <v>10.51404384</v>
      </c>
      <c r="L63" s="20" t="n">
        <v>0.8425705100000001</v>
      </c>
      <c r="M63" s="18" t="n">
        <v>0</v>
      </c>
      <c r="N63" s="20" t="n">
        <v>0</v>
      </c>
      <c r="O63" s="18" t="n">
        <v>0.05994796</v>
      </c>
      <c r="P63" s="20" t="n">
        <v>0.06010502</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(2433.0/B65*100)</f>
        <v/>
      </c>
      <c r="D65" s="19" t="n">
        <v>1201</v>
      </c>
      <c r="E65" s="18" t="n">
        <v>49.14320885</v>
      </c>
      <c r="F65" s="20" t="n">
        <v>1.43843783</v>
      </c>
      <c r="G65" s="18" t="n">
        <v>44.34091419</v>
      </c>
      <c r="H65" s="20" t="n">
        <v>1.47903703</v>
      </c>
      <c r="I65" s="18" t="n">
        <v>0</v>
      </c>
      <c r="J65" s="20" t="n">
        <v>0</v>
      </c>
      <c r="K65" s="18" t="n">
        <v>6.42783996</v>
      </c>
      <c r="L65" s="20" t="n">
        <v>0.74785427</v>
      </c>
      <c r="M65" s="18" t="n">
        <v>0</v>
      </c>
      <c r="N65" s="20" t="n">
        <v>0</v>
      </c>
      <c r="O65" s="18" t="n">
        <v>0.08803699</v>
      </c>
      <c r="P65" s="20" t="n">
        <v>0.08808682</v>
      </c>
      <c r="Q65" s="18" t="n">
        <v>0</v>
      </c>
      <c r="R65" s="20" t="n">
        <v>0</v>
      </c>
    </row>
    <row r="66" spans="1:18">
      <c r="A66" s="15" t="s">
        <v>626</v>
      </c>
      <c r="B66" s="17" t="n">
        <v>5325</v>
      </c>
      <c r="C66" s="18">
        <f>(3548.0/B66*100)</f>
        <v/>
      </c>
      <c r="D66" s="19" t="n">
        <v>1777</v>
      </c>
      <c r="E66" s="18" t="n">
        <v>54.64397282</v>
      </c>
      <c r="F66" s="20" t="n">
        <v>1.47455605</v>
      </c>
      <c r="G66" s="18" t="n">
        <v>31.23604234</v>
      </c>
      <c r="H66" s="20" t="n">
        <v>1.3433218</v>
      </c>
      <c r="I66" s="18" t="n">
        <v>0</v>
      </c>
      <c r="J66" s="20" t="n">
        <v>0</v>
      </c>
      <c r="K66" s="18" t="n">
        <v>14.11998485</v>
      </c>
      <c r="L66" s="20" t="n">
        <v>1.02518185</v>
      </c>
      <c r="M66" s="18" t="n">
        <v>0</v>
      </c>
      <c r="N66" s="20" t="n">
        <v>0</v>
      </c>
      <c r="O66" s="18" t="n">
        <v>0</v>
      </c>
      <c r="P66" s="20" t="n">
        <v>0</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(930.0/B69*100)</f>
        <v/>
      </c>
      <c r="D69" s="19" t="n">
        <v>468</v>
      </c>
      <c r="E69" s="18" t="n">
        <v>56.50581022</v>
      </c>
      <c r="F69" s="20" t="n">
        <v>2.50232334</v>
      </c>
      <c r="G69" s="18" t="n">
        <v>38.22235485</v>
      </c>
      <c r="H69" s="20" t="n">
        <v>2.62095908</v>
      </c>
      <c r="I69" s="18" t="n">
        <v>0</v>
      </c>
      <c r="J69" s="20" t="n">
        <v>0</v>
      </c>
      <c r="K69" s="18" t="n">
        <v>5.27183493</v>
      </c>
      <c r="L69" s="20" t="n">
        <v>1.16188639</v>
      </c>
      <c r="M69" s="18" t="n">
        <v>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(3249.0/B71*100)</f>
        <v/>
      </c>
      <c r="D71" s="19" t="n">
        <v>1627</v>
      </c>
      <c r="E71" s="18" t="n">
        <v>64.44921385000001</v>
      </c>
      <c r="F71" s="20" t="n">
        <v>1.25973406</v>
      </c>
      <c r="G71" s="18" t="n">
        <v>35.42547795</v>
      </c>
      <c r="H71" s="20" t="n">
        <v>1.24480986</v>
      </c>
      <c r="I71" s="18" t="n">
        <v>0</v>
      </c>
      <c r="J71" s="20" t="n">
        <v>0</v>
      </c>
      <c r="K71" s="18" t="n">
        <v>0.1253082</v>
      </c>
      <c r="L71" s="20" t="n">
        <v>0.08852289000000001</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(3151.0/B76*100)</f>
        <v/>
      </c>
      <c r="D76" s="19" t="n">
        <v>1541</v>
      </c>
      <c r="E76" s="18" t="n">
        <v>51.76052897</v>
      </c>
      <c r="F76" s="20" t="n">
        <v>1.24179419</v>
      </c>
      <c r="G76" s="18" t="n">
        <v>31.75312335</v>
      </c>
      <c r="H76" s="20" t="n">
        <v>1.10207542</v>
      </c>
      <c r="I76" s="18" t="n">
        <v>0</v>
      </c>
      <c r="J76" s="20" t="n">
        <v>0</v>
      </c>
      <c r="K76" s="18" t="n">
        <v>16.48634768</v>
      </c>
      <c r="L76" s="20" t="n">
        <v>1.03409304</v>
      </c>
      <c r="M76" s="18" t="n">
        <v>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(3876.0/B80*100)</f>
        <v/>
      </c>
      <c r="D80" s="19" t="n">
        <v>1950</v>
      </c>
      <c r="E80" s="18" t="n">
        <v>17.80390937</v>
      </c>
      <c r="F80" s="20" t="n">
        <v>1.26953323</v>
      </c>
      <c r="G80" s="18" t="n">
        <v>82.19609063</v>
      </c>
      <c r="H80" s="20" t="n">
        <v>1.26953323</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(1104.0/B81*100)</f>
        <v/>
      </c>
      <c r="D81" s="19" t="n">
        <v>553</v>
      </c>
      <c r="E81" s="18" t="n">
        <v>38.70237352</v>
      </c>
      <c r="F81" s="20" t="n">
        <v>2.0143293</v>
      </c>
      <c r="G81" s="18" t="n">
        <v>51.28243889</v>
      </c>
      <c r="H81" s="20" t="n">
        <v>2.29175204</v>
      </c>
      <c r="I81" s="18" t="n">
        <v>0</v>
      </c>
      <c r="J81" s="20" t="n">
        <v>0</v>
      </c>
      <c r="K81" s="18" t="n">
        <v>10.01518759</v>
      </c>
      <c r="L81" s="20" t="n">
        <v>1.75370083</v>
      </c>
      <c r="M81" s="18" t="n">
        <v>0</v>
      </c>
      <c r="N81" s="20" t="n">
        <v>0</v>
      </c>
      <c r="O81" s="18" t="n">
        <v>0</v>
      </c>
      <c r="P81" s="20" t="n">
        <v>0</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3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33.02815916</v>
      </c>
      <c r="F44" s="20" t="n">
        <v>1.56871476</v>
      </c>
      <c r="G44" s="18" t="n">
        <v>57.14914466</v>
      </c>
      <c r="H44" s="20" t="n">
        <v>1.66403674</v>
      </c>
      <c r="I44" s="18" t="n">
        <v>0</v>
      </c>
      <c r="J44" s="20" t="n">
        <v>0</v>
      </c>
      <c r="K44" s="18" t="n">
        <v>2.9850171</v>
      </c>
      <c r="L44" s="20" t="n">
        <v>0.54759127</v>
      </c>
      <c r="M44" s="18" t="n">
        <v>0</v>
      </c>
      <c r="N44" s="20" t="n">
        <v>0</v>
      </c>
      <c r="O44" s="18" t="n">
        <v>0.2877923</v>
      </c>
      <c r="P44" s="20" t="n">
        <v>0.12873923</v>
      </c>
      <c r="Q44" s="18" t="n">
        <v>6.54988677</v>
      </c>
      <c r="R44" s="20" t="n">
        <v>0.67781441</v>
      </c>
    </row>
    <row r="45" spans="1:18">
      <c r="A45" s="15" t="s">
        <v>604</v>
      </c>
      <c r="B45" s="17" t="n">
        <v>5519</v>
      </c>
      <c r="C45" s="18">
        <f>(3678.0/B45*100)</f>
        <v/>
      </c>
      <c r="D45" s="19" t="n">
        <v>1841</v>
      </c>
      <c r="E45" s="18" t="n">
        <v>35.84567068</v>
      </c>
      <c r="F45" s="20" t="n">
        <v>1.36792381</v>
      </c>
      <c r="G45" s="18" t="n">
        <v>47.47469872</v>
      </c>
      <c r="H45" s="20" t="n">
        <v>1.33091202</v>
      </c>
      <c r="I45" s="18" t="n">
        <v>0</v>
      </c>
      <c r="J45" s="20" t="n">
        <v>0</v>
      </c>
      <c r="K45" s="18" t="n">
        <v>4.77338955</v>
      </c>
      <c r="L45" s="20" t="n">
        <v>0.55688602</v>
      </c>
      <c r="M45" s="18" t="n">
        <v>0.43712807</v>
      </c>
      <c r="N45" s="20" t="n">
        <v>0.14990603</v>
      </c>
      <c r="O45" s="18" t="n">
        <v>1.89489276</v>
      </c>
      <c r="P45" s="20" t="n">
        <v>0.3361494</v>
      </c>
      <c r="Q45" s="18" t="n">
        <v>9.57422023</v>
      </c>
      <c r="R45" s="20" t="n">
        <v>0.75705745</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46.28029728</v>
      </c>
      <c r="F54" s="20" t="n">
        <v>1.41224198</v>
      </c>
      <c r="G54" s="18" t="n">
        <v>48.11434148</v>
      </c>
      <c r="H54" s="20" t="n">
        <v>1.48286928</v>
      </c>
      <c r="I54" s="18" t="n">
        <v>0</v>
      </c>
      <c r="J54" s="20" t="n">
        <v>0</v>
      </c>
      <c r="K54" s="18" t="n">
        <v>1.77997462</v>
      </c>
      <c r="L54" s="20" t="n">
        <v>0.31447303</v>
      </c>
      <c r="M54" s="18" t="n">
        <v>0.05305836</v>
      </c>
      <c r="N54" s="20" t="n">
        <v>0.05273088</v>
      </c>
      <c r="O54" s="18" t="n">
        <v>0.10819446</v>
      </c>
      <c r="P54" s="20" t="n">
        <v>0.06715842</v>
      </c>
      <c r="Q54" s="18" t="n">
        <v>3.6641338</v>
      </c>
      <c r="R54" s="20" t="n">
        <v>0.5118629099999999</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47.63279943</v>
      </c>
      <c r="F56" s="20" t="n">
        <v>1.47045438</v>
      </c>
      <c r="G56" s="18" t="n">
        <v>48.72561775</v>
      </c>
      <c r="H56" s="20" t="n">
        <v>1.46616732</v>
      </c>
      <c r="I56" s="18" t="n">
        <v>0</v>
      </c>
      <c r="J56" s="20" t="n">
        <v>0</v>
      </c>
      <c r="K56" s="18" t="n">
        <v>1.44347882</v>
      </c>
      <c r="L56" s="20" t="n">
        <v>0.3183691</v>
      </c>
      <c r="M56" s="18" t="n">
        <v>0</v>
      </c>
      <c r="N56" s="20" t="n">
        <v>0</v>
      </c>
      <c r="O56" s="18" t="n">
        <v>0</v>
      </c>
      <c r="P56" s="20" t="n">
        <v>0</v>
      </c>
      <c r="Q56" s="18" t="n">
        <v>2.19810401</v>
      </c>
      <c r="R56" s="20" t="n">
        <v>0.42262016</v>
      </c>
    </row>
    <row r="57" spans="1:18">
      <c r="A57" s="15" t="s">
        <v>616</v>
      </c>
      <c r="B57" s="17" t="n">
        <v>7267</v>
      </c>
      <c r="C57" s="18">
        <f>(4838.0/B57*100)</f>
        <v/>
      </c>
      <c r="D57" s="19" t="n">
        <v>2429</v>
      </c>
      <c r="E57" s="18" t="n">
        <v>29.90649531</v>
      </c>
      <c r="F57" s="20" t="n">
        <v>1.28680581</v>
      </c>
      <c r="G57" s="18" t="n">
        <v>64.44319963</v>
      </c>
      <c r="H57" s="20" t="n">
        <v>1.31853474</v>
      </c>
      <c r="I57" s="18" t="n">
        <v>0</v>
      </c>
      <c r="J57" s="20" t="n">
        <v>0</v>
      </c>
      <c r="K57" s="18" t="n">
        <v>2.52606227</v>
      </c>
      <c r="L57" s="20" t="n">
        <v>0.43170306</v>
      </c>
      <c r="M57" s="18" t="n">
        <v>0</v>
      </c>
      <c r="N57" s="20" t="n">
        <v>0</v>
      </c>
      <c r="O57" s="18" t="n">
        <v>0.32223572</v>
      </c>
      <c r="P57" s="20" t="n">
        <v>0.1282914</v>
      </c>
      <c r="Q57" s="18" t="n">
        <v>2.80200706</v>
      </c>
      <c r="R57" s="20" t="n">
        <v>0.41205388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44.685111</v>
      </c>
      <c r="F59" s="20" t="n">
        <v>1.51347773</v>
      </c>
      <c r="G59" s="18" t="n">
        <v>52.14841926</v>
      </c>
      <c r="H59" s="20" t="n">
        <v>1.59215227</v>
      </c>
      <c r="I59" s="18" t="n">
        <v>0</v>
      </c>
      <c r="J59" s="20" t="n">
        <v>0</v>
      </c>
      <c r="K59" s="18" t="n">
        <v>0.94039383</v>
      </c>
      <c r="L59" s="20" t="n">
        <v>0.32886594</v>
      </c>
      <c r="M59" s="18" t="n">
        <v>0</v>
      </c>
      <c r="N59" s="20" t="n">
        <v>0</v>
      </c>
      <c r="O59" s="18" t="n">
        <v>0.22246379</v>
      </c>
      <c r="P59" s="20" t="n">
        <v>0.11161281</v>
      </c>
      <c r="Q59" s="18" t="n">
        <v>2.00361212</v>
      </c>
      <c r="R59" s="20" t="n">
        <v>0.38382246</v>
      </c>
    </row>
    <row r="60" spans="1:18">
      <c r="A60" s="15" t="s">
        <v>620</v>
      </c>
      <c r="B60" s="17" t="n">
        <v>4546</v>
      </c>
      <c r="C60" s="18">
        <f>(3009.0/B60*100)</f>
        <v/>
      </c>
      <c r="D60" s="19" t="n">
        <v>1537</v>
      </c>
      <c r="E60" s="18" t="n">
        <v>35.90953548</v>
      </c>
      <c r="F60" s="20" t="n">
        <v>1.82659675</v>
      </c>
      <c r="G60" s="18" t="n">
        <v>54.36672655</v>
      </c>
      <c r="H60" s="20" t="n">
        <v>1.82446954</v>
      </c>
      <c r="I60" s="18" t="n">
        <v>0</v>
      </c>
      <c r="J60" s="20" t="n">
        <v>0</v>
      </c>
      <c r="K60" s="18" t="n">
        <v>3.858893</v>
      </c>
      <c r="L60" s="20" t="n">
        <v>0.59232834</v>
      </c>
      <c r="M60" s="18" t="n">
        <v>0</v>
      </c>
      <c r="N60" s="20" t="n">
        <v>0</v>
      </c>
      <c r="O60" s="18" t="n">
        <v>1.22557498</v>
      </c>
      <c r="P60" s="20" t="n">
        <v>0.36026037</v>
      </c>
      <c r="Q60" s="18" t="n">
        <v>4.63926999</v>
      </c>
      <c r="R60" s="20" t="n">
        <v>0.6722863100000001</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34.54177744</v>
      </c>
      <c r="F63" s="20" t="n">
        <v>1.23993799</v>
      </c>
      <c r="G63" s="18" t="n">
        <v>57.66485663</v>
      </c>
      <c r="H63" s="20" t="n">
        <v>1.35481594</v>
      </c>
      <c r="I63" s="18" t="n">
        <v>0</v>
      </c>
      <c r="J63" s="20" t="n">
        <v>0</v>
      </c>
      <c r="K63" s="18" t="n">
        <v>2.73738597</v>
      </c>
      <c r="L63" s="20" t="n">
        <v>0.43581551</v>
      </c>
      <c r="M63" s="18" t="n">
        <v>0</v>
      </c>
      <c r="N63" s="20" t="n">
        <v>0</v>
      </c>
      <c r="O63" s="18" t="n">
        <v>0.13046241</v>
      </c>
      <c r="P63" s="20" t="n">
        <v>0.09180051</v>
      </c>
      <c r="Q63" s="18" t="n">
        <v>4.92551755</v>
      </c>
      <c r="R63" s="20" t="n">
        <v>0.57556419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33.8948143</v>
      </c>
      <c r="F65" s="20" t="n">
        <v>1.28743809</v>
      </c>
      <c r="G65" s="18" t="n">
        <v>60.97179732</v>
      </c>
      <c r="H65" s="20" t="n">
        <v>1.47510604</v>
      </c>
      <c r="I65" s="18" t="n">
        <v>0</v>
      </c>
      <c r="J65" s="20" t="n">
        <v>0</v>
      </c>
      <c r="K65" s="18" t="n">
        <v>1.7734266</v>
      </c>
      <c r="L65" s="20" t="n">
        <v>0.38021988</v>
      </c>
      <c r="M65" s="18" t="n">
        <v>0</v>
      </c>
      <c r="N65" s="20" t="n">
        <v>0</v>
      </c>
      <c r="O65" s="18" t="n">
        <v>0.0781009</v>
      </c>
      <c r="P65" s="20" t="n">
        <v>0.07827162999999999</v>
      </c>
      <c r="Q65" s="18" t="n">
        <v>3.28186088</v>
      </c>
      <c r="R65" s="20" t="n">
        <v>0.58557054</v>
      </c>
    </row>
    <row r="66" spans="1:18">
      <c r="A66" s="15" t="s">
        <v>626</v>
      </c>
      <c r="B66" s="17" t="n">
        <v>5325</v>
      </c>
      <c r="C66" s="18">
        <f>(3558.0/B66*100)</f>
        <v/>
      </c>
      <c r="D66" s="19" t="n">
        <v>1767</v>
      </c>
      <c r="E66" s="18" t="n">
        <v>33.03424666</v>
      </c>
      <c r="F66" s="20" t="n">
        <v>1.2849345</v>
      </c>
      <c r="G66" s="18" t="n">
        <v>56.23467874</v>
      </c>
      <c r="H66" s="20" t="n">
        <v>1.41859993</v>
      </c>
      <c r="I66" s="18" t="n">
        <v>0</v>
      </c>
      <c r="J66" s="20" t="n">
        <v>0</v>
      </c>
      <c r="K66" s="18" t="n">
        <v>5.08237834</v>
      </c>
      <c r="L66" s="20" t="n">
        <v>0.5816405</v>
      </c>
      <c r="M66" s="18" t="n">
        <v>0.84548854</v>
      </c>
      <c r="N66" s="20" t="n">
        <v>0.22766464</v>
      </c>
      <c r="O66" s="18" t="n">
        <v>0</v>
      </c>
      <c r="P66" s="20" t="n">
        <v>0</v>
      </c>
      <c r="Q66" s="18" t="n">
        <v>4.80320773</v>
      </c>
      <c r="R66" s="20" t="n">
        <v>0.56694299</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45.54793263</v>
      </c>
      <c r="F69" s="20" t="n">
        <v>2.30950136</v>
      </c>
      <c r="G69" s="18" t="n">
        <v>51.79485146</v>
      </c>
      <c r="H69" s="20" t="n">
        <v>2.40902002</v>
      </c>
      <c r="I69" s="18" t="n">
        <v>0</v>
      </c>
      <c r="J69" s="20" t="n">
        <v>0</v>
      </c>
      <c r="K69" s="18" t="n">
        <v>1.09164526</v>
      </c>
      <c r="L69" s="20" t="n">
        <v>0.49554815</v>
      </c>
      <c r="M69" s="18" t="n">
        <v>0</v>
      </c>
      <c r="N69" s="20" t="n">
        <v>0</v>
      </c>
      <c r="O69" s="18" t="n">
        <v>0</v>
      </c>
      <c r="P69" s="20" t="n">
        <v>0</v>
      </c>
      <c r="Q69" s="18" t="n">
        <v>1.56557064</v>
      </c>
      <c r="R69" s="20" t="n">
        <v>0.84512342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(3242.0/B71*100)</f>
        <v/>
      </c>
      <c r="D71" s="19" t="n">
        <v>1634</v>
      </c>
      <c r="E71" s="18" t="n">
        <v>47.3923443</v>
      </c>
      <c r="F71" s="20" t="n">
        <v>1.31496387</v>
      </c>
      <c r="G71" s="18" t="n">
        <v>52.37141591</v>
      </c>
      <c r="H71" s="20" t="n">
        <v>1.31065737</v>
      </c>
      <c r="I71" s="18" t="n">
        <v>0</v>
      </c>
      <c r="J71" s="20" t="n">
        <v>0</v>
      </c>
      <c r="K71" s="18" t="n">
        <v>0.06643789999999999</v>
      </c>
      <c r="L71" s="20" t="n">
        <v>0.06632016</v>
      </c>
      <c r="M71" s="18" t="n">
        <v>0</v>
      </c>
      <c r="N71" s="20" t="n">
        <v>0</v>
      </c>
      <c r="O71" s="18" t="n">
        <v>0</v>
      </c>
      <c r="P71" s="20" t="n">
        <v>0</v>
      </c>
      <c r="Q71" s="18" t="n">
        <v>0.16980188</v>
      </c>
      <c r="R71" s="20" t="n">
        <v>0.09954196</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35.2126699</v>
      </c>
      <c r="F76" s="20" t="n">
        <v>1.36118357</v>
      </c>
      <c r="G76" s="18" t="n">
        <v>56.18110775</v>
      </c>
      <c r="H76" s="20" t="n">
        <v>1.56072877</v>
      </c>
      <c r="I76" s="18" t="n">
        <v>0</v>
      </c>
      <c r="J76" s="20" t="n">
        <v>0</v>
      </c>
      <c r="K76" s="18" t="n">
        <v>4.65787243</v>
      </c>
      <c r="L76" s="20" t="n">
        <v>0.64494502</v>
      </c>
      <c r="M76" s="18" t="n">
        <v>0</v>
      </c>
      <c r="N76" s="20" t="n">
        <v>0</v>
      </c>
      <c r="O76" s="18" t="n">
        <v>0</v>
      </c>
      <c r="P76" s="20" t="n">
        <v>0</v>
      </c>
      <c r="Q76" s="18" t="n">
        <v>3.94834992</v>
      </c>
      <c r="R76" s="20" t="n">
        <v>0.58456466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30.37720096</v>
      </c>
      <c r="F80" s="20" t="n">
        <v>1.06881848</v>
      </c>
      <c r="G80" s="18" t="n">
        <v>69.62279904</v>
      </c>
      <c r="H80" s="20" t="n">
        <v>1.06881848</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(1113.0/B81*100)</f>
        <v/>
      </c>
      <c r="D81" s="19" t="n">
        <v>544</v>
      </c>
      <c r="E81" s="18" t="n">
        <v>27.24602691</v>
      </c>
      <c r="F81" s="20" t="n">
        <v>2.09733854</v>
      </c>
      <c r="G81" s="18" t="n">
        <v>64.975308</v>
      </c>
      <c r="H81" s="20" t="n">
        <v>2.24061886</v>
      </c>
      <c r="I81" s="18" t="n">
        <v>0</v>
      </c>
      <c r="J81" s="20" t="n">
        <v>0</v>
      </c>
      <c r="K81" s="18" t="n">
        <v>3.26079039</v>
      </c>
      <c r="L81" s="20" t="n">
        <v>1.00358407</v>
      </c>
      <c r="M81" s="18" t="n">
        <v>0</v>
      </c>
      <c r="N81" s="20" t="n">
        <v>0</v>
      </c>
      <c r="O81" s="18" t="n">
        <v>0.1848507</v>
      </c>
      <c r="P81" s="20" t="n">
        <v>0.183236</v>
      </c>
      <c r="Q81" s="18" t="n">
        <v>4.333024</v>
      </c>
      <c r="R81" s="20" t="n">
        <v>0.8359506799999999</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34.84548744</v>
      </c>
      <c r="F44" s="20" t="n">
        <v>1.74605846</v>
      </c>
      <c r="G44" s="18" t="n">
        <v>57.92183269</v>
      </c>
      <c r="H44" s="20" t="n">
        <v>1.75472607</v>
      </c>
      <c r="I44" s="18" t="n">
        <v>0</v>
      </c>
      <c r="J44" s="20" t="n">
        <v>0</v>
      </c>
      <c r="K44" s="18" t="n">
        <v>3.10533771</v>
      </c>
      <c r="L44" s="20" t="n">
        <v>0.55680575</v>
      </c>
      <c r="M44" s="18" t="n">
        <v>0</v>
      </c>
      <c r="N44" s="20" t="n">
        <v>0</v>
      </c>
      <c r="O44" s="18" t="n">
        <v>0.66757787</v>
      </c>
      <c r="P44" s="20" t="n">
        <v>0.19205604</v>
      </c>
      <c r="Q44" s="18" t="n">
        <v>3.45976429</v>
      </c>
      <c r="R44" s="20" t="n">
        <v>0.43598055</v>
      </c>
    </row>
    <row r="45" spans="1:18">
      <c r="A45" s="15" t="s">
        <v>604</v>
      </c>
      <c r="B45" s="17" t="n">
        <v>5519</v>
      </c>
      <c r="C45" s="18">
        <f>(3678.0/B45*100)</f>
        <v/>
      </c>
      <c r="D45" s="19" t="n">
        <v>1841</v>
      </c>
      <c r="E45" s="18" t="n">
        <v>39.16328094</v>
      </c>
      <c r="F45" s="20" t="n">
        <v>1.13800883</v>
      </c>
      <c r="G45" s="18" t="n">
        <v>47.42663499</v>
      </c>
      <c r="H45" s="20" t="n">
        <v>1.12967008</v>
      </c>
      <c r="I45" s="18" t="n">
        <v>0</v>
      </c>
      <c r="J45" s="20" t="n">
        <v>0</v>
      </c>
      <c r="K45" s="18" t="n">
        <v>4.8205908</v>
      </c>
      <c r="L45" s="20" t="n">
        <v>0.5597011200000001</v>
      </c>
      <c r="M45" s="18" t="n">
        <v>0.47015642</v>
      </c>
      <c r="N45" s="20" t="n">
        <v>0.1527228</v>
      </c>
      <c r="O45" s="18" t="n">
        <v>2.12672154</v>
      </c>
      <c r="P45" s="20" t="n">
        <v>0.35872031</v>
      </c>
      <c r="Q45" s="18" t="n">
        <v>5.9926153</v>
      </c>
      <c r="R45" s="20" t="n">
        <v>0.59620339</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59.18997706</v>
      </c>
      <c r="F54" s="20" t="n">
        <v>1.44695116</v>
      </c>
      <c r="G54" s="18" t="n">
        <v>36.27393298</v>
      </c>
      <c r="H54" s="20" t="n">
        <v>1.45695685</v>
      </c>
      <c r="I54" s="18" t="n">
        <v>0</v>
      </c>
      <c r="J54" s="20" t="n">
        <v>0</v>
      </c>
      <c r="K54" s="18" t="n">
        <v>1.77997462</v>
      </c>
      <c r="L54" s="20" t="n">
        <v>0.31447303</v>
      </c>
      <c r="M54" s="18" t="n">
        <v>0.05305836</v>
      </c>
      <c r="N54" s="20" t="n">
        <v>0.05273088</v>
      </c>
      <c r="O54" s="18" t="n">
        <v>0.32704788</v>
      </c>
      <c r="P54" s="20" t="n">
        <v>0.15495</v>
      </c>
      <c r="Q54" s="18" t="n">
        <v>2.3760091</v>
      </c>
      <c r="R54" s="20" t="n">
        <v>0.38061073</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48.14940271</v>
      </c>
      <c r="F56" s="20" t="n">
        <v>1.36453182</v>
      </c>
      <c r="G56" s="18" t="n">
        <v>49.66337787</v>
      </c>
      <c r="H56" s="20" t="n">
        <v>1.40091982</v>
      </c>
      <c r="I56" s="18" t="n">
        <v>0</v>
      </c>
      <c r="J56" s="20" t="n">
        <v>0</v>
      </c>
      <c r="K56" s="18" t="n">
        <v>1.57543416</v>
      </c>
      <c r="L56" s="20" t="n">
        <v>0.3599839</v>
      </c>
      <c r="M56" s="18" t="n">
        <v>0</v>
      </c>
      <c r="N56" s="20" t="n">
        <v>0</v>
      </c>
      <c r="O56" s="18" t="n">
        <v>0</v>
      </c>
      <c r="P56" s="20" t="n">
        <v>0</v>
      </c>
      <c r="Q56" s="18" t="n">
        <v>0.61178526</v>
      </c>
      <c r="R56" s="20" t="n">
        <v>0.16409887</v>
      </c>
    </row>
    <row r="57" spans="1:18">
      <c r="A57" s="15" t="s">
        <v>616</v>
      </c>
      <c r="B57" s="17" t="n">
        <v>7267</v>
      </c>
      <c r="C57" s="18">
        <f>(4838.0/B57*100)</f>
        <v/>
      </c>
      <c r="D57" s="19" t="n">
        <v>2429</v>
      </c>
      <c r="E57" s="18" t="n">
        <v>41.36599562</v>
      </c>
      <c r="F57" s="20" t="n">
        <v>1.35189793</v>
      </c>
      <c r="G57" s="18" t="n">
        <v>53.72786146</v>
      </c>
      <c r="H57" s="20" t="n">
        <v>1.31820856</v>
      </c>
      <c r="I57" s="18" t="n">
        <v>0</v>
      </c>
      <c r="J57" s="20" t="n">
        <v>0</v>
      </c>
      <c r="K57" s="18" t="n">
        <v>2.56773976</v>
      </c>
      <c r="L57" s="20" t="n">
        <v>0.43397726</v>
      </c>
      <c r="M57" s="18" t="n">
        <v>0</v>
      </c>
      <c r="N57" s="20" t="n">
        <v>0</v>
      </c>
      <c r="O57" s="18" t="n">
        <v>0.30383935</v>
      </c>
      <c r="P57" s="20" t="n">
        <v>0.15830391</v>
      </c>
      <c r="Q57" s="18" t="n">
        <v>2.0345638</v>
      </c>
      <c r="R57" s="20" t="n">
        <v>0.41916884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45.87687584</v>
      </c>
      <c r="F59" s="20" t="n">
        <v>1.57851289</v>
      </c>
      <c r="G59" s="18" t="n">
        <v>50.54817536</v>
      </c>
      <c r="H59" s="20" t="n">
        <v>1.48772002</v>
      </c>
      <c r="I59" s="18" t="n">
        <v>0</v>
      </c>
      <c r="J59" s="20" t="n">
        <v>0</v>
      </c>
      <c r="K59" s="18" t="n">
        <v>0.94039383</v>
      </c>
      <c r="L59" s="20" t="n">
        <v>0.32886594</v>
      </c>
      <c r="M59" s="18" t="n">
        <v>0.46689654</v>
      </c>
      <c r="N59" s="20" t="n">
        <v>0.23920149</v>
      </c>
      <c r="O59" s="18" t="n">
        <v>1.63376083</v>
      </c>
      <c r="P59" s="20" t="n">
        <v>0.36276421</v>
      </c>
      <c r="Q59" s="18" t="n">
        <v>0.53389761</v>
      </c>
      <c r="R59" s="20" t="n">
        <v>0.15137752</v>
      </c>
    </row>
    <row r="60" spans="1:18">
      <c r="A60" s="15" t="s">
        <v>620</v>
      </c>
      <c r="B60" s="17" t="n">
        <v>4546</v>
      </c>
      <c r="C60" s="18">
        <f>(3009.0/B60*100)</f>
        <v/>
      </c>
      <c r="D60" s="19" t="n">
        <v>1537</v>
      </c>
      <c r="E60" s="18" t="n">
        <v>38.2262881</v>
      </c>
      <c r="F60" s="20" t="n">
        <v>1.59601985</v>
      </c>
      <c r="G60" s="18" t="n">
        <v>53.95622278</v>
      </c>
      <c r="H60" s="20" t="n">
        <v>1.58967366</v>
      </c>
      <c r="I60" s="18" t="n">
        <v>0</v>
      </c>
      <c r="J60" s="20" t="n">
        <v>0</v>
      </c>
      <c r="K60" s="18" t="n">
        <v>4.02961391</v>
      </c>
      <c r="L60" s="20" t="n">
        <v>0.55948798</v>
      </c>
      <c r="M60" s="18" t="n">
        <v>0</v>
      </c>
      <c r="N60" s="20" t="n">
        <v>0</v>
      </c>
      <c r="O60" s="18" t="n">
        <v>1.602046</v>
      </c>
      <c r="P60" s="20" t="n">
        <v>0.48887358</v>
      </c>
      <c r="Q60" s="18" t="n">
        <v>2.18582921</v>
      </c>
      <c r="R60" s="20" t="n">
        <v>0.46274501</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39.13894943</v>
      </c>
      <c r="F63" s="20" t="n">
        <v>1.02807956</v>
      </c>
      <c r="G63" s="18" t="n">
        <v>54.22980652</v>
      </c>
      <c r="H63" s="20" t="n">
        <v>1.07803492</v>
      </c>
      <c r="I63" s="18" t="n">
        <v>0</v>
      </c>
      <c r="J63" s="20" t="n">
        <v>0</v>
      </c>
      <c r="K63" s="18" t="n">
        <v>2.73738597</v>
      </c>
      <c r="L63" s="20" t="n">
        <v>0.43581551</v>
      </c>
      <c r="M63" s="18" t="n">
        <v>0</v>
      </c>
      <c r="N63" s="20" t="n">
        <v>0</v>
      </c>
      <c r="O63" s="18" t="n">
        <v>0.30170607</v>
      </c>
      <c r="P63" s="20" t="n">
        <v>0.14601074</v>
      </c>
      <c r="Q63" s="18" t="n">
        <v>3.59215201</v>
      </c>
      <c r="R63" s="20" t="n">
        <v>0.45773794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23.21965674</v>
      </c>
      <c r="F65" s="20" t="n">
        <v>1.23916216</v>
      </c>
      <c r="G65" s="18" t="n">
        <v>73.00956634000001</v>
      </c>
      <c r="H65" s="20" t="n">
        <v>1.23166168</v>
      </c>
      <c r="I65" s="18" t="n">
        <v>0</v>
      </c>
      <c r="J65" s="20" t="n">
        <v>0</v>
      </c>
      <c r="K65" s="18" t="n">
        <v>1.7734266</v>
      </c>
      <c r="L65" s="20" t="n">
        <v>0.38021988</v>
      </c>
      <c r="M65" s="18" t="n">
        <v>0</v>
      </c>
      <c r="N65" s="20" t="n">
        <v>0</v>
      </c>
      <c r="O65" s="18" t="n">
        <v>0</v>
      </c>
      <c r="P65" s="20" t="n">
        <v>0</v>
      </c>
      <c r="Q65" s="18" t="n">
        <v>1.99735032</v>
      </c>
      <c r="R65" s="20" t="n">
        <v>0.38972529</v>
      </c>
    </row>
    <row r="66" spans="1:18">
      <c r="A66" s="15" t="s">
        <v>626</v>
      </c>
      <c r="B66" s="17" t="n">
        <v>5325</v>
      </c>
      <c r="C66" s="18">
        <f>(3558.0/B66*100)</f>
        <v/>
      </c>
      <c r="D66" s="19" t="n">
        <v>1767</v>
      </c>
      <c r="E66" s="18" t="n">
        <v>36.2294669</v>
      </c>
      <c r="F66" s="20" t="n">
        <v>1.23484414</v>
      </c>
      <c r="G66" s="18" t="n">
        <v>54.76057861</v>
      </c>
      <c r="H66" s="20" t="n">
        <v>1.36121492</v>
      </c>
      <c r="I66" s="18" t="n">
        <v>0</v>
      </c>
      <c r="J66" s="20" t="n">
        <v>0</v>
      </c>
      <c r="K66" s="18" t="n">
        <v>5.22416112</v>
      </c>
      <c r="L66" s="20" t="n">
        <v>0.59478115</v>
      </c>
      <c r="M66" s="18" t="n">
        <v>1.19154765</v>
      </c>
      <c r="N66" s="20" t="n">
        <v>0.29372651</v>
      </c>
      <c r="O66" s="18" t="n">
        <v>0</v>
      </c>
      <c r="P66" s="20" t="n">
        <v>0</v>
      </c>
      <c r="Q66" s="18" t="n">
        <v>2.59424572</v>
      </c>
      <c r="R66" s="20" t="n">
        <v>0.47055807</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47.60437267</v>
      </c>
      <c r="F69" s="20" t="n">
        <v>2.87994003</v>
      </c>
      <c r="G69" s="18" t="n">
        <v>50.13549623</v>
      </c>
      <c r="H69" s="20" t="n">
        <v>2.64595794</v>
      </c>
      <c r="I69" s="18" t="n">
        <v>0</v>
      </c>
      <c r="J69" s="20" t="n">
        <v>0</v>
      </c>
      <c r="K69" s="18" t="n">
        <v>1.09164526</v>
      </c>
      <c r="L69" s="20" t="n">
        <v>0.49554815</v>
      </c>
      <c r="M69" s="18" t="n">
        <v>0</v>
      </c>
      <c r="N69" s="20" t="n">
        <v>0</v>
      </c>
      <c r="O69" s="18" t="n">
        <v>0.21970828</v>
      </c>
      <c r="P69" s="20" t="n">
        <v>0.22080052</v>
      </c>
      <c r="Q69" s="18" t="n">
        <v>0.94877756</v>
      </c>
      <c r="R69" s="20" t="n">
        <v>0.550739</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(3242.0/B71*100)</f>
        <v/>
      </c>
      <c r="D71" s="19" t="n">
        <v>1634</v>
      </c>
      <c r="E71" s="18" t="n">
        <v>44.50073756</v>
      </c>
      <c r="F71" s="20" t="n">
        <v>1.30629334</v>
      </c>
      <c r="G71" s="18" t="n">
        <v>55.32154047</v>
      </c>
      <c r="H71" s="20" t="n">
        <v>1.30727893</v>
      </c>
      <c r="I71" s="18" t="n">
        <v>0</v>
      </c>
      <c r="J71" s="20" t="n">
        <v>0</v>
      </c>
      <c r="K71" s="18" t="n">
        <v>0.06643789999999999</v>
      </c>
      <c r="L71" s="20" t="n">
        <v>0.06632016</v>
      </c>
      <c r="M71" s="18" t="n">
        <v>0</v>
      </c>
      <c r="N71" s="20" t="n">
        <v>0</v>
      </c>
      <c r="O71" s="18" t="n">
        <v>0</v>
      </c>
      <c r="P71" s="20" t="n">
        <v>0</v>
      </c>
      <c r="Q71" s="18" t="n">
        <v>0.11128407</v>
      </c>
      <c r="R71" s="20" t="n">
        <v>0.08041876000000001</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29.37591806</v>
      </c>
      <c r="F76" s="20" t="n">
        <v>1.42877519</v>
      </c>
      <c r="G76" s="18" t="n">
        <v>63.18724415</v>
      </c>
      <c r="H76" s="20" t="n">
        <v>1.61480657</v>
      </c>
      <c r="I76" s="18" t="n">
        <v>0</v>
      </c>
      <c r="J76" s="20" t="n">
        <v>0</v>
      </c>
      <c r="K76" s="18" t="n">
        <v>4.79472038</v>
      </c>
      <c r="L76" s="20" t="n">
        <v>0.65184288</v>
      </c>
      <c r="M76" s="18" t="n">
        <v>0</v>
      </c>
      <c r="N76" s="20" t="n">
        <v>0</v>
      </c>
      <c r="O76" s="18" t="n">
        <v>0.02538745</v>
      </c>
      <c r="P76" s="20" t="n">
        <v>0.02544836</v>
      </c>
      <c r="Q76" s="18" t="n">
        <v>2.61672996</v>
      </c>
      <c r="R76" s="20" t="n">
        <v>0.45521106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14.02947377</v>
      </c>
      <c r="F80" s="20" t="n">
        <v>0.98966619</v>
      </c>
      <c r="G80" s="18" t="n">
        <v>85.97052623</v>
      </c>
      <c r="H80" s="20" t="n">
        <v>0.98966619</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(1113.0/B81*100)</f>
        <v/>
      </c>
      <c r="D81" s="19" t="n">
        <v>544</v>
      </c>
      <c r="E81" s="18" t="n">
        <v>27.98249024</v>
      </c>
      <c r="F81" s="20" t="n">
        <v>2.16734586</v>
      </c>
      <c r="G81" s="18" t="n">
        <v>66.8558914</v>
      </c>
      <c r="H81" s="20" t="n">
        <v>2.32413737</v>
      </c>
      <c r="I81" s="18" t="n">
        <v>0</v>
      </c>
      <c r="J81" s="20" t="n">
        <v>0</v>
      </c>
      <c r="K81" s="18" t="n">
        <v>3.26079039</v>
      </c>
      <c r="L81" s="20" t="n">
        <v>1.00358407</v>
      </c>
      <c r="M81" s="18" t="n">
        <v>0</v>
      </c>
      <c r="N81" s="20" t="n">
        <v>0</v>
      </c>
      <c r="O81" s="18" t="n">
        <v>0.48025226</v>
      </c>
      <c r="P81" s="20" t="n">
        <v>0.29516726</v>
      </c>
      <c r="Q81" s="18" t="n">
        <v>1.42057571</v>
      </c>
      <c r="R81" s="20" t="n">
        <v>0.57208623</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42.80587866</v>
      </c>
      <c r="F44" s="20" t="n">
        <v>1.76830144</v>
      </c>
      <c r="G44" s="18" t="n">
        <v>45.1519415</v>
      </c>
      <c r="H44" s="20" t="n">
        <v>1.6249758</v>
      </c>
      <c r="I44" s="18" t="n">
        <v>0</v>
      </c>
      <c r="J44" s="20" t="n">
        <v>0</v>
      </c>
      <c r="K44" s="18" t="n">
        <v>3.8638467</v>
      </c>
      <c r="L44" s="20" t="n">
        <v>0.59995139</v>
      </c>
      <c r="M44" s="18" t="n">
        <v>0</v>
      </c>
      <c r="N44" s="20" t="n">
        <v>0</v>
      </c>
      <c r="O44" s="18" t="n">
        <v>0.5203099799999999</v>
      </c>
      <c r="P44" s="20" t="n">
        <v>0.15934186</v>
      </c>
      <c r="Q44" s="18" t="n">
        <v>7.65802316</v>
      </c>
      <c r="R44" s="20" t="n">
        <v>0.7564</v>
      </c>
    </row>
    <row r="45" spans="1:18">
      <c r="A45" s="15" t="s">
        <v>604</v>
      </c>
      <c r="B45" s="17" t="n">
        <v>5519</v>
      </c>
      <c r="C45" s="18">
        <f>(3678.0/B45*100)</f>
        <v/>
      </c>
      <c r="D45" s="19" t="n">
        <v>1841</v>
      </c>
      <c r="E45" s="18" t="n">
        <v>62.36616579</v>
      </c>
      <c r="F45" s="20" t="n">
        <v>1.22391906</v>
      </c>
      <c r="G45" s="18" t="n">
        <v>21.82743444</v>
      </c>
      <c r="H45" s="20" t="n">
        <v>1.08027639</v>
      </c>
      <c r="I45" s="18" t="n">
        <v>0</v>
      </c>
      <c r="J45" s="20" t="n">
        <v>0</v>
      </c>
      <c r="K45" s="18" t="n">
        <v>5.08791961</v>
      </c>
      <c r="L45" s="20" t="n">
        <v>0.5650588600000001</v>
      </c>
      <c r="M45" s="18" t="n">
        <v>0.51247071</v>
      </c>
      <c r="N45" s="20" t="n">
        <v>0.15843228</v>
      </c>
      <c r="O45" s="18" t="n">
        <v>2.8236991</v>
      </c>
      <c r="P45" s="20" t="n">
        <v>0.45473507</v>
      </c>
      <c r="Q45" s="18" t="n">
        <v>7.38231034</v>
      </c>
      <c r="R45" s="20" t="n">
        <v>0.57927594</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50.7541534</v>
      </c>
      <c r="F54" s="20" t="n">
        <v>1.36446184</v>
      </c>
      <c r="G54" s="18" t="n">
        <v>43.66585295</v>
      </c>
      <c r="H54" s="20" t="n">
        <v>1.42749733</v>
      </c>
      <c r="I54" s="18" t="n">
        <v>0</v>
      </c>
      <c r="J54" s="20" t="n">
        <v>0</v>
      </c>
      <c r="K54" s="18" t="n">
        <v>2.16612967</v>
      </c>
      <c r="L54" s="20" t="n">
        <v>0.35215594</v>
      </c>
      <c r="M54" s="18" t="n">
        <v>0.05305836</v>
      </c>
      <c r="N54" s="20" t="n">
        <v>0.05273088</v>
      </c>
      <c r="O54" s="18" t="n">
        <v>0.13400233</v>
      </c>
      <c r="P54" s="20" t="n">
        <v>0.09712455</v>
      </c>
      <c r="Q54" s="18" t="n">
        <v>3.22680329</v>
      </c>
      <c r="R54" s="20" t="n">
        <v>0.41697154</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64.04198879</v>
      </c>
      <c r="F56" s="20" t="n">
        <v>1.08242829</v>
      </c>
      <c r="G56" s="18" t="n">
        <v>32.65603258</v>
      </c>
      <c r="H56" s="20" t="n">
        <v>1.03815793</v>
      </c>
      <c r="I56" s="18" t="n">
        <v>0</v>
      </c>
      <c r="J56" s="20" t="n">
        <v>0</v>
      </c>
      <c r="K56" s="18" t="n">
        <v>1.87183437</v>
      </c>
      <c r="L56" s="20" t="n">
        <v>0.3799046</v>
      </c>
      <c r="M56" s="18" t="n">
        <v>0</v>
      </c>
      <c r="N56" s="20" t="n">
        <v>0</v>
      </c>
      <c r="O56" s="18" t="n">
        <v>0</v>
      </c>
      <c r="P56" s="20" t="n">
        <v>0</v>
      </c>
      <c r="Q56" s="18" t="n">
        <v>1.43014425</v>
      </c>
      <c r="R56" s="20" t="n">
        <v>0.28766197</v>
      </c>
    </row>
    <row r="57" spans="1:18">
      <c r="A57" s="15" t="s">
        <v>616</v>
      </c>
      <c r="B57" s="17" t="n">
        <v>7267</v>
      </c>
      <c r="C57" s="18">
        <f>(4838.0/B57*100)</f>
        <v/>
      </c>
      <c r="D57" s="19" t="n">
        <v>2429</v>
      </c>
      <c r="E57" s="18" t="n">
        <v>50.89465631</v>
      </c>
      <c r="F57" s="20" t="n">
        <v>1.58060014</v>
      </c>
      <c r="G57" s="18" t="n">
        <v>43.21179871</v>
      </c>
      <c r="H57" s="20" t="n">
        <v>1.47940303</v>
      </c>
      <c r="I57" s="18" t="n">
        <v>0</v>
      </c>
      <c r="J57" s="20" t="n">
        <v>0</v>
      </c>
      <c r="K57" s="18" t="n">
        <v>2.85030592</v>
      </c>
      <c r="L57" s="20" t="n">
        <v>0.45743441</v>
      </c>
      <c r="M57" s="18" t="n">
        <v>0</v>
      </c>
      <c r="N57" s="20" t="n">
        <v>0</v>
      </c>
      <c r="O57" s="18" t="n">
        <v>0.43117081</v>
      </c>
      <c r="P57" s="20" t="n">
        <v>0.16064433</v>
      </c>
      <c r="Q57" s="18" t="n">
        <v>2.61206824</v>
      </c>
      <c r="R57" s="20" t="n">
        <v>0.43147834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55.93056964</v>
      </c>
      <c r="F59" s="20" t="n">
        <v>1.6564035</v>
      </c>
      <c r="G59" s="18" t="n">
        <v>40.70582995</v>
      </c>
      <c r="H59" s="20" t="n">
        <v>1.63221979</v>
      </c>
      <c r="I59" s="18" t="n">
        <v>0</v>
      </c>
      <c r="J59" s="20" t="n">
        <v>0</v>
      </c>
      <c r="K59" s="18" t="n">
        <v>1.02312711</v>
      </c>
      <c r="L59" s="20" t="n">
        <v>0.33956571</v>
      </c>
      <c r="M59" s="18" t="n">
        <v>0.16624716</v>
      </c>
      <c r="N59" s="20" t="n">
        <v>0.16668766</v>
      </c>
      <c r="O59" s="18" t="n">
        <v>0.7789211</v>
      </c>
      <c r="P59" s="20" t="n">
        <v>0.22410764</v>
      </c>
      <c r="Q59" s="18" t="n">
        <v>1.39530504</v>
      </c>
      <c r="R59" s="20" t="n">
        <v>0.26254243</v>
      </c>
    </row>
    <row r="60" spans="1:18">
      <c r="A60" s="15" t="s">
        <v>620</v>
      </c>
      <c r="B60" s="17" t="n">
        <v>4546</v>
      </c>
      <c r="C60" s="18">
        <f>(3009.0/B60*100)</f>
        <v/>
      </c>
      <c r="D60" s="19" t="n">
        <v>1537</v>
      </c>
      <c r="E60" s="18" t="n">
        <v>57.56341516</v>
      </c>
      <c r="F60" s="20" t="n">
        <v>1.6716265</v>
      </c>
      <c r="G60" s="18" t="n">
        <v>30.87246582</v>
      </c>
      <c r="H60" s="20" t="n">
        <v>1.59023691</v>
      </c>
      <c r="I60" s="18" t="n">
        <v>0</v>
      </c>
      <c r="J60" s="20" t="n">
        <v>0</v>
      </c>
      <c r="K60" s="18" t="n">
        <v>4.47023588</v>
      </c>
      <c r="L60" s="20" t="n">
        <v>0.60799691</v>
      </c>
      <c r="M60" s="18" t="n">
        <v>0</v>
      </c>
      <c r="N60" s="20" t="n">
        <v>0</v>
      </c>
      <c r="O60" s="18" t="n">
        <v>0.9040829500000001</v>
      </c>
      <c r="P60" s="20" t="n">
        <v>0.32573679</v>
      </c>
      <c r="Q60" s="18" t="n">
        <v>6.1898002</v>
      </c>
      <c r="R60" s="20" t="n">
        <v>0.74423184</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46.86515797</v>
      </c>
      <c r="F63" s="20" t="n">
        <v>1.13050875</v>
      </c>
      <c r="G63" s="18" t="n">
        <v>43.83567076</v>
      </c>
      <c r="H63" s="20" t="n">
        <v>1.16790873</v>
      </c>
      <c r="I63" s="18" t="n">
        <v>0</v>
      </c>
      <c r="J63" s="20" t="n">
        <v>0</v>
      </c>
      <c r="K63" s="18" t="n">
        <v>3.10556002</v>
      </c>
      <c r="L63" s="20" t="n">
        <v>0.46086408</v>
      </c>
      <c r="M63" s="18" t="n">
        <v>0</v>
      </c>
      <c r="N63" s="20" t="n">
        <v>0</v>
      </c>
      <c r="O63" s="18" t="n">
        <v>0.16956479</v>
      </c>
      <c r="P63" s="20" t="n">
        <v>0.0958108</v>
      </c>
      <c r="Q63" s="18" t="n">
        <v>6.02404646</v>
      </c>
      <c r="R63" s="20" t="n">
        <v>0.59101419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48.45129456</v>
      </c>
      <c r="F65" s="20" t="n">
        <v>1.41111519</v>
      </c>
      <c r="G65" s="18" t="n">
        <v>45.7468204</v>
      </c>
      <c r="H65" s="20" t="n">
        <v>1.35087235</v>
      </c>
      <c r="I65" s="18" t="n">
        <v>0</v>
      </c>
      <c r="J65" s="20" t="n">
        <v>0</v>
      </c>
      <c r="K65" s="18" t="n">
        <v>1.7734266</v>
      </c>
      <c r="L65" s="20" t="n">
        <v>0.38021988</v>
      </c>
      <c r="M65" s="18" t="n">
        <v>0</v>
      </c>
      <c r="N65" s="20" t="n">
        <v>0</v>
      </c>
      <c r="O65" s="18" t="n">
        <v>0.53137527</v>
      </c>
      <c r="P65" s="20" t="n">
        <v>0.21845718</v>
      </c>
      <c r="Q65" s="18" t="n">
        <v>3.49708318</v>
      </c>
      <c r="R65" s="20" t="n">
        <v>0.60211078</v>
      </c>
    </row>
    <row r="66" spans="1:18">
      <c r="A66" s="15" t="s">
        <v>626</v>
      </c>
      <c r="B66" s="17" t="n">
        <v>5325</v>
      </c>
      <c r="C66" s="18">
        <f>(3558.0/B66*100)</f>
        <v/>
      </c>
      <c r="D66" s="19" t="n">
        <v>1767</v>
      </c>
      <c r="E66" s="18" t="n">
        <v>46.28327748</v>
      </c>
      <c r="F66" s="20" t="n">
        <v>1.21981508</v>
      </c>
      <c r="G66" s="18" t="n">
        <v>42.29343573</v>
      </c>
      <c r="H66" s="20" t="n">
        <v>1.21038911</v>
      </c>
      <c r="I66" s="18" t="n">
        <v>0</v>
      </c>
      <c r="J66" s="20" t="n">
        <v>0</v>
      </c>
      <c r="K66" s="18" t="n">
        <v>5.52526899</v>
      </c>
      <c r="L66" s="20" t="n">
        <v>0.56753255</v>
      </c>
      <c r="M66" s="18" t="n">
        <v>0.91227224</v>
      </c>
      <c r="N66" s="20" t="n">
        <v>0.24455875</v>
      </c>
      <c r="O66" s="18" t="n">
        <v>0</v>
      </c>
      <c r="P66" s="20" t="n">
        <v>0</v>
      </c>
      <c r="Q66" s="18" t="n">
        <v>4.98574556</v>
      </c>
      <c r="R66" s="20" t="n">
        <v>0.56408833</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63.03836173</v>
      </c>
      <c r="F69" s="20" t="n">
        <v>2.40580819</v>
      </c>
      <c r="G69" s="18" t="n">
        <v>35.41989319</v>
      </c>
      <c r="H69" s="20" t="n">
        <v>2.36304254</v>
      </c>
      <c r="I69" s="18" t="n">
        <v>0</v>
      </c>
      <c r="J69" s="20" t="n">
        <v>0</v>
      </c>
      <c r="K69" s="18" t="n">
        <v>1.09164526</v>
      </c>
      <c r="L69" s="20" t="n">
        <v>0.49554815</v>
      </c>
      <c r="M69" s="18" t="n">
        <v>0</v>
      </c>
      <c r="N69" s="20" t="n">
        <v>0</v>
      </c>
      <c r="O69" s="18" t="n">
        <v>0</v>
      </c>
      <c r="P69" s="20" t="n">
        <v>0</v>
      </c>
      <c r="Q69" s="18" t="n">
        <v>0.45009982</v>
      </c>
      <c r="R69" s="20" t="n">
        <v>0.32546577</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(3242.0/B71*100)</f>
        <v/>
      </c>
      <c r="D71" s="19" t="n">
        <v>1634</v>
      </c>
      <c r="E71" s="18" t="n">
        <v>50.95468422</v>
      </c>
      <c r="F71" s="20" t="n">
        <v>1.34481236</v>
      </c>
      <c r="G71" s="18" t="n">
        <v>48.85819507</v>
      </c>
      <c r="H71" s="20" t="n">
        <v>1.34143842</v>
      </c>
      <c r="I71" s="18" t="n">
        <v>0</v>
      </c>
      <c r="J71" s="20" t="n">
        <v>0</v>
      </c>
      <c r="K71" s="18" t="n">
        <v>0.06643789999999999</v>
      </c>
      <c r="L71" s="20" t="n">
        <v>0.06632016</v>
      </c>
      <c r="M71" s="18" t="n">
        <v>0</v>
      </c>
      <c r="N71" s="20" t="n">
        <v>0</v>
      </c>
      <c r="O71" s="18" t="n">
        <v>0</v>
      </c>
      <c r="P71" s="20" t="n">
        <v>0</v>
      </c>
      <c r="Q71" s="18" t="n">
        <v>0.12068281</v>
      </c>
      <c r="R71" s="20" t="n">
        <v>0.08723242</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50.79830676</v>
      </c>
      <c r="F76" s="20" t="n">
        <v>1.34462072</v>
      </c>
      <c r="G76" s="18" t="n">
        <v>40.06569699</v>
      </c>
      <c r="H76" s="20" t="n">
        <v>1.36633067</v>
      </c>
      <c r="I76" s="18" t="n">
        <v>0</v>
      </c>
      <c r="J76" s="20" t="n">
        <v>0</v>
      </c>
      <c r="K76" s="18" t="n">
        <v>5.22371335</v>
      </c>
      <c r="L76" s="20" t="n">
        <v>0.64481047</v>
      </c>
      <c r="M76" s="18" t="n">
        <v>0</v>
      </c>
      <c r="N76" s="20" t="n">
        <v>0</v>
      </c>
      <c r="O76" s="18" t="n">
        <v>0</v>
      </c>
      <c r="P76" s="20" t="n">
        <v>0</v>
      </c>
      <c r="Q76" s="18" t="n">
        <v>3.9122829</v>
      </c>
      <c r="R76" s="20" t="n">
        <v>0.53238429</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29.45014921</v>
      </c>
      <c r="F80" s="20" t="n">
        <v>1.42296936</v>
      </c>
      <c r="G80" s="18" t="n">
        <v>70.54985078999999</v>
      </c>
      <c r="H80" s="20" t="n">
        <v>1.42296936</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(1113.0/B81*100)</f>
        <v/>
      </c>
      <c r="D81" s="19" t="n">
        <v>544</v>
      </c>
      <c r="E81" s="18" t="n">
        <v>36.61042014</v>
      </c>
      <c r="F81" s="20" t="n">
        <v>2.1168823</v>
      </c>
      <c r="G81" s="18" t="n">
        <v>56.42850077</v>
      </c>
      <c r="H81" s="20" t="n">
        <v>2.51646425</v>
      </c>
      <c r="I81" s="18" t="n">
        <v>0</v>
      </c>
      <c r="J81" s="20" t="n">
        <v>0</v>
      </c>
      <c r="K81" s="18" t="n">
        <v>3.45270544</v>
      </c>
      <c r="L81" s="20" t="n">
        <v>1.02059613</v>
      </c>
      <c r="M81" s="18" t="n">
        <v>0</v>
      </c>
      <c r="N81" s="20" t="n">
        <v>0</v>
      </c>
      <c r="O81" s="18" t="n">
        <v>0</v>
      </c>
      <c r="P81" s="20" t="n">
        <v>0</v>
      </c>
      <c r="Q81" s="18" t="n">
        <v>3.50837366</v>
      </c>
      <c r="R81" s="20" t="n">
        <v>0.80715927</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68.96254291</v>
      </c>
      <c r="F44" s="20" t="n">
        <v>1.58591242</v>
      </c>
      <c r="G44" s="18" t="n">
        <v>22.27980149</v>
      </c>
      <c r="H44" s="20" t="n">
        <v>1.55302798</v>
      </c>
      <c r="I44" s="18" t="n">
        <v>0</v>
      </c>
      <c r="J44" s="20" t="n">
        <v>0</v>
      </c>
      <c r="K44" s="18" t="n">
        <v>4.28619583</v>
      </c>
      <c r="L44" s="20" t="n">
        <v>0.62118186</v>
      </c>
      <c r="M44" s="18" t="n">
        <v>0</v>
      </c>
      <c r="N44" s="20" t="n">
        <v>0</v>
      </c>
      <c r="O44" s="18" t="n">
        <v>0.04534959</v>
      </c>
      <c r="P44" s="20" t="n">
        <v>0.04573403</v>
      </c>
      <c r="Q44" s="18" t="n">
        <v>4.42611017</v>
      </c>
      <c r="R44" s="20" t="n">
        <v>0.61934704</v>
      </c>
    </row>
    <row r="45" spans="1:18">
      <c r="A45" s="15" t="s">
        <v>604</v>
      </c>
      <c r="B45" s="17" t="n">
        <v>5519</v>
      </c>
      <c r="C45" s="18">
        <f>(3678.0/B45*100)</f>
        <v/>
      </c>
      <c r="D45" s="19" t="n">
        <v>1841</v>
      </c>
      <c r="E45" s="18" t="n">
        <v>74.12557115</v>
      </c>
      <c r="F45" s="20" t="n">
        <v>1.03369378</v>
      </c>
      <c r="G45" s="18" t="n">
        <v>13.69714336</v>
      </c>
      <c r="H45" s="20" t="n">
        <v>0.9510504400000001</v>
      </c>
      <c r="I45" s="18" t="n">
        <v>0</v>
      </c>
      <c r="J45" s="20" t="n">
        <v>0</v>
      </c>
      <c r="K45" s="18" t="n">
        <v>5.63755439</v>
      </c>
      <c r="L45" s="20" t="n">
        <v>0.60044872</v>
      </c>
      <c r="M45" s="18" t="n">
        <v>0.43105923</v>
      </c>
      <c r="N45" s="20" t="n">
        <v>0.13511842</v>
      </c>
      <c r="O45" s="18" t="n">
        <v>0.05742919</v>
      </c>
      <c r="P45" s="20" t="n">
        <v>0.06045078</v>
      </c>
      <c r="Q45" s="18" t="n">
        <v>6.05124269</v>
      </c>
      <c r="R45" s="20" t="n">
        <v>0.76630852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51.16563288</v>
      </c>
      <c r="F54" s="20" t="n">
        <v>1.33587368</v>
      </c>
      <c r="G54" s="18" t="n">
        <v>42.16998776</v>
      </c>
      <c r="H54" s="20" t="n">
        <v>1.45666587</v>
      </c>
      <c r="I54" s="18" t="n">
        <v>0</v>
      </c>
      <c r="J54" s="20" t="n">
        <v>0</v>
      </c>
      <c r="K54" s="18" t="n">
        <v>2.38195009</v>
      </c>
      <c r="L54" s="20" t="n">
        <v>0.38455489</v>
      </c>
      <c r="M54" s="18" t="n">
        <v>0.05305836</v>
      </c>
      <c r="N54" s="20" t="n">
        <v>0.05273088</v>
      </c>
      <c r="O54" s="18" t="n">
        <v>0.09984908000000001</v>
      </c>
      <c r="P54" s="20" t="n">
        <v>0.10080657</v>
      </c>
      <c r="Q54" s="18" t="n">
        <v>4.12952183</v>
      </c>
      <c r="R54" s="20" t="n">
        <v>0.46531637</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69.53915526999999</v>
      </c>
      <c r="F56" s="20" t="n">
        <v>1.15561139</v>
      </c>
      <c r="G56" s="18" t="n">
        <v>27.78493854</v>
      </c>
      <c r="H56" s="20" t="n">
        <v>1.2242082</v>
      </c>
      <c r="I56" s="18" t="n">
        <v>0</v>
      </c>
      <c r="J56" s="20" t="n">
        <v>0</v>
      </c>
      <c r="K56" s="18" t="n">
        <v>2.23546007</v>
      </c>
      <c r="L56" s="20" t="n">
        <v>0.4022233</v>
      </c>
      <c r="M56" s="18" t="n">
        <v>0</v>
      </c>
      <c r="N56" s="20" t="n">
        <v>0</v>
      </c>
      <c r="O56" s="18" t="n">
        <v>0</v>
      </c>
      <c r="P56" s="20" t="n">
        <v>0</v>
      </c>
      <c r="Q56" s="18" t="n">
        <v>0.44044612</v>
      </c>
      <c r="R56" s="20" t="n">
        <v>0.1553451</v>
      </c>
    </row>
    <row r="57" spans="1:18">
      <c r="A57" s="15" t="s">
        <v>616</v>
      </c>
      <c r="B57" s="17" t="n">
        <v>7267</v>
      </c>
      <c r="C57" s="18">
        <f>(4838.0/B57*100)</f>
        <v/>
      </c>
      <c r="D57" s="19" t="n">
        <v>2429</v>
      </c>
      <c r="E57" s="18" t="n">
        <v>79.42906331</v>
      </c>
      <c r="F57" s="20" t="n">
        <v>1.14790844</v>
      </c>
      <c r="G57" s="18" t="n">
        <v>15.44746197</v>
      </c>
      <c r="H57" s="20" t="n">
        <v>1.01906412</v>
      </c>
      <c r="I57" s="18" t="n">
        <v>0</v>
      </c>
      <c r="J57" s="20" t="n">
        <v>0</v>
      </c>
      <c r="K57" s="18" t="n">
        <v>3.15537945</v>
      </c>
      <c r="L57" s="20" t="n">
        <v>0.46896813</v>
      </c>
      <c r="M57" s="18" t="n">
        <v>0</v>
      </c>
      <c r="N57" s="20" t="n">
        <v>0</v>
      </c>
      <c r="O57" s="18" t="n">
        <v>0.04386196</v>
      </c>
      <c r="P57" s="20" t="n">
        <v>0.03998995</v>
      </c>
      <c r="Q57" s="18" t="n">
        <v>1.92423331</v>
      </c>
      <c r="R57" s="20" t="n">
        <v>0.31172151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80.36282815</v>
      </c>
      <c r="F59" s="20" t="n">
        <v>1.29365775</v>
      </c>
      <c r="G59" s="18" t="n">
        <v>16.89551888</v>
      </c>
      <c r="H59" s="20" t="n">
        <v>1.26417004</v>
      </c>
      <c r="I59" s="18" t="n">
        <v>0</v>
      </c>
      <c r="J59" s="20" t="n">
        <v>0</v>
      </c>
      <c r="K59" s="18" t="n">
        <v>1.16973332</v>
      </c>
      <c r="L59" s="20" t="n">
        <v>0.34105617</v>
      </c>
      <c r="M59" s="18" t="n">
        <v>0</v>
      </c>
      <c r="N59" s="20" t="n">
        <v>0</v>
      </c>
      <c r="O59" s="18" t="n">
        <v>0.08927667</v>
      </c>
      <c r="P59" s="20" t="n">
        <v>0.05467935</v>
      </c>
      <c r="Q59" s="18" t="n">
        <v>1.48264297</v>
      </c>
      <c r="R59" s="20" t="n">
        <v>0.3286818</v>
      </c>
    </row>
    <row r="60" spans="1:18">
      <c r="A60" s="15" t="s">
        <v>620</v>
      </c>
      <c r="B60" s="17" t="n">
        <v>4546</v>
      </c>
      <c r="C60" s="18">
        <f>(3009.0/B60*100)</f>
        <v/>
      </c>
      <c r="D60" s="19" t="n">
        <v>1537</v>
      </c>
      <c r="E60" s="18" t="n">
        <v>70.78111998</v>
      </c>
      <c r="F60" s="20" t="n">
        <v>1.27459172</v>
      </c>
      <c r="G60" s="18" t="n">
        <v>20.68668918</v>
      </c>
      <c r="H60" s="20" t="n">
        <v>1.08273506</v>
      </c>
      <c r="I60" s="18" t="n">
        <v>0</v>
      </c>
      <c r="J60" s="20" t="n">
        <v>0</v>
      </c>
      <c r="K60" s="18" t="n">
        <v>5.17926335</v>
      </c>
      <c r="L60" s="20" t="n">
        <v>0.68221352</v>
      </c>
      <c r="M60" s="18" t="n">
        <v>0</v>
      </c>
      <c r="N60" s="20" t="n">
        <v>0</v>
      </c>
      <c r="O60" s="18" t="n">
        <v>0.08663786</v>
      </c>
      <c r="P60" s="20" t="n">
        <v>0.06277319000000001</v>
      </c>
      <c r="Q60" s="18" t="n">
        <v>3.26628963</v>
      </c>
      <c r="R60" s="20" t="n">
        <v>0.63539919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75.01799995</v>
      </c>
      <c r="F63" s="20" t="n">
        <v>1.11800028</v>
      </c>
      <c r="G63" s="18" t="n">
        <v>18.10685653</v>
      </c>
      <c r="H63" s="20" t="n">
        <v>0.96899587</v>
      </c>
      <c r="I63" s="18" t="n">
        <v>0</v>
      </c>
      <c r="J63" s="20" t="n">
        <v>0</v>
      </c>
      <c r="K63" s="18" t="n">
        <v>3.73516733</v>
      </c>
      <c r="L63" s="20" t="n">
        <v>0.51937047</v>
      </c>
      <c r="M63" s="18" t="n">
        <v>0</v>
      </c>
      <c r="N63" s="20" t="n">
        <v>0</v>
      </c>
      <c r="O63" s="18" t="n">
        <v>0</v>
      </c>
      <c r="P63" s="20" t="n">
        <v>0</v>
      </c>
      <c r="Q63" s="18" t="n">
        <v>3.13997619</v>
      </c>
      <c r="R63" s="20" t="n">
        <v>0.39816322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68.65711982000001</v>
      </c>
      <c r="F65" s="20" t="n">
        <v>1.37550714</v>
      </c>
      <c r="G65" s="18" t="n">
        <v>28.55985641</v>
      </c>
      <c r="H65" s="20" t="n">
        <v>1.35043648</v>
      </c>
      <c r="I65" s="18" t="n">
        <v>0</v>
      </c>
      <c r="J65" s="20" t="n">
        <v>0</v>
      </c>
      <c r="K65" s="18" t="n">
        <v>1.86235094</v>
      </c>
      <c r="L65" s="20" t="n">
        <v>0.36822182</v>
      </c>
      <c r="M65" s="18" t="n">
        <v>0</v>
      </c>
      <c r="N65" s="20" t="n">
        <v>0</v>
      </c>
      <c r="O65" s="18" t="n">
        <v>0.07497194</v>
      </c>
      <c r="P65" s="20" t="n">
        <v>0.07508081</v>
      </c>
      <c r="Q65" s="18" t="n">
        <v>0.84570089</v>
      </c>
      <c r="R65" s="20" t="n">
        <v>0.25038644</v>
      </c>
    </row>
    <row r="66" spans="1:18">
      <c r="A66" s="15" t="s">
        <v>626</v>
      </c>
      <c r="B66" s="17" t="n">
        <v>5325</v>
      </c>
      <c r="C66" s="18">
        <f>(3558.0/B66*100)</f>
        <v/>
      </c>
      <c r="D66" s="19" t="n">
        <v>1767</v>
      </c>
      <c r="E66" s="18" t="n">
        <v>70.48837571</v>
      </c>
      <c r="F66" s="20" t="n">
        <v>1.13063848</v>
      </c>
      <c r="G66" s="18" t="n">
        <v>20.26295482</v>
      </c>
      <c r="H66" s="20" t="n">
        <v>0.9877397999999999</v>
      </c>
      <c r="I66" s="18" t="n">
        <v>0</v>
      </c>
      <c r="J66" s="20" t="n">
        <v>0</v>
      </c>
      <c r="K66" s="18" t="n">
        <v>6.35648527</v>
      </c>
      <c r="L66" s="20" t="n">
        <v>0.64233484</v>
      </c>
      <c r="M66" s="18" t="n">
        <v>0.09379923</v>
      </c>
      <c r="N66" s="20" t="n">
        <v>0.09377851</v>
      </c>
      <c r="O66" s="18" t="n">
        <v>0</v>
      </c>
      <c r="P66" s="20" t="n">
        <v>0</v>
      </c>
      <c r="Q66" s="18" t="n">
        <v>2.79838498</v>
      </c>
      <c r="R66" s="20" t="n">
        <v>0.38814555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67.08759798</v>
      </c>
      <c r="F69" s="20" t="n">
        <v>2.28009389</v>
      </c>
      <c r="G69" s="18" t="n">
        <v>29.94592037</v>
      </c>
      <c r="H69" s="20" t="n">
        <v>2.3665285</v>
      </c>
      <c r="I69" s="18" t="n">
        <v>0</v>
      </c>
      <c r="J69" s="20" t="n">
        <v>0</v>
      </c>
      <c r="K69" s="18" t="n">
        <v>1.09164526</v>
      </c>
      <c r="L69" s="20" t="n">
        <v>0.49554815</v>
      </c>
      <c r="M69" s="18" t="n">
        <v>0</v>
      </c>
      <c r="N69" s="20" t="n">
        <v>0</v>
      </c>
      <c r="O69" s="18" t="n">
        <v>0</v>
      </c>
      <c r="P69" s="20" t="n">
        <v>0</v>
      </c>
      <c r="Q69" s="18" t="n">
        <v>1.87483639</v>
      </c>
      <c r="R69" s="20" t="n">
        <v>0.63879454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(3242.0/B71*100)</f>
        <v/>
      </c>
      <c r="D71" s="19" t="n">
        <v>1634</v>
      </c>
      <c r="E71" s="18" t="n">
        <v>71.33080440000001</v>
      </c>
      <c r="F71" s="20" t="n">
        <v>1.43957122</v>
      </c>
      <c r="G71" s="18" t="n">
        <v>28.54630317</v>
      </c>
      <c r="H71" s="20" t="n">
        <v>1.43765379</v>
      </c>
      <c r="I71" s="18" t="n">
        <v>0</v>
      </c>
      <c r="J71" s="20" t="n">
        <v>0</v>
      </c>
      <c r="K71" s="18" t="n">
        <v>0.06643789999999999</v>
      </c>
      <c r="L71" s="20" t="n">
        <v>0.06632016</v>
      </c>
      <c r="M71" s="18" t="n">
        <v>0</v>
      </c>
      <c r="N71" s="20" t="n">
        <v>0</v>
      </c>
      <c r="O71" s="18" t="n">
        <v>0</v>
      </c>
      <c r="P71" s="20" t="n">
        <v>0</v>
      </c>
      <c r="Q71" s="18" t="n">
        <v>0.05645454</v>
      </c>
      <c r="R71" s="20" t="n">
        <v>0.05640807</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66.54003659</v>
      </c>
      <c r="F76" s="20" t="n">
        <v>1.17397241</v>
      </c>
      <c r="G76" s="18" t="n">
        <v>25.14389873</v>
      </c>
      <c r="H76" s="20" t="n">
        <v>1.29839026</v>
      </c>
      <c r="I76" s="18" t="n">
        <v>0</v>
      </c>
      <c r="J76" s="20" t="n">
        <v>0</v>
      </c>
      <c r="K76" s="18" t="n">
        <v>5.42206666</v>
      </c>
      <c r="L76" s="20" t="n">
        <v>0.67355253</v>
      </c>
      <c r="M76" s="18" t="n">
        <v>0</v>
      </c>
      <c r="N76" s="20" t="n">
        <v>0</v>
      </c>
      <c r="O76" s="18" t="n">
        <v>0</v>
      </c>
      <c r="P76" s="20" t="n">
        <v>0</v>
      </c>
      <c r="Q76" s="18" t="n">
        <v>2.89399802</v>
      </c>
      <c r="R76" s="20" t="n">
        <v>0.51549682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32.45567457</v>
      </c>
      <c r="F80" s="20" t="n">
        <v>1.3139246</v>
      </c>
      <c r="G80" s="18" t="n">
        <v>67.54432543</v>
      </c>
      <c r="H80" s="20" t="n">
        <v>1.3139246</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(1113.0/B81*100)</f>
        <v/>
      </c>
      <c r="D81" s="19" t="n">
        <v>544</v>
      </c>
      <c r="E81" s="18" t="n">
        <v>60.37573865</v>
      </c>
      <c r="F81" s="20" t="n">
        <v>2.29664545</v>
      </c>
      <c r="G81" s="18" t="n">
        <v>33.3642259</v>
      </c>
      <c r="H81" s="20" t="n">
        <v>2.01464481</v>
      </c>
      <c r="I81" s="18" t="n">
        <v>0</v>
      </c>
      <c r="J81" s="20" t="n">
        <v>0</v>
      </c>
      <c r="K81" s="18" t="n">
        <v>3.77476828</v>
      </c>
      <c r="L81" s="20" t="n">
        <v>1.06059999</v>
      </c>
      <c r="M81" s="18" t="n">
        <v>0</v>
      </c>
      <c r="N81" s="20" t="n">
        <v>0</v>
      </c>
      <c r="O81" s="18" t="n">
        <v>0</v>
      </c>
      <c r="P81" s="20" t="n">
        <v>0</v>
      </c>
      <c r="Q81" s="18" t="n">
        <v>2.48526717</v>
      </c>
      <c r="R81" s="20" t="n">
        <v>0.76955934</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909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67.52320532</v>
      </c>
      <c r="F44" s="20" t="n">
        <v>1.58369429</v>
      </c>
      <c r="G44" s="18" t="n">
        <v>24.84522241</v>
      </c>
      <c r="H44" s="20" t="n">
        <v>1.55225431</v>
      </c>
      <c r="I44" s="18" t="n">
        <v>0</v>
      </c>
      <c r="J44" s="20" t="n">
        <v>0</v>
      </c>
      <c r="K44" s="18" t="n">
        <v>4.67947914</v>
      </c>
      <c r="L44" s="20" t="n">
        <v>0.64598035</v>
      </c>
      <c r="M44" s="18" t="n">
        <v>0</v>
      </c>
      <c r="N44" s="20" t="n">
        <v>0</v>
      </c>
      <c r="O44" s="18" t="n">
        <v>0</v>
      </c>
      <c r="P44" s="20" t="n">
        <v>0</v>
      </c>
      <c r="Q44" s="18" t="n">
        <v>2.95209312</v>
      </c>
      <c r="R44" s="20" t="n">
        <v>0.49004312</v>
      </c>
    </row>
    <row r="45" spans="1:18">
      <c r="A45" s="15" t="s">
        <v>604</v>
      </c>
      <c r="B45" s="17" t="n">
        <v>5519</v>
      </c>
      <c r="C45" s="18">
        <f>(3678.0/B45*100)</f>
        <v/>
      </c>
      <c r="D45" s="19" t="n">
        <v>1841</v>
      </c>
      <c r="E45" s="18" t="n">
        <v>76.6910069</v>
      </c>
      <c r="F45" s="20" t="n">
        <v>0.98622287</v>
      </c>
      <c r="G45" s="18" t="n">
        <v>11.5033108</v>
      </c>
      <c r="H45" s="20" t="n">
        <v>0.67943309</v>
      </c>
      <c r="I45" s="18" t="n">
        <v>0</v>
      </c>
      <c r="J45" s="20" t="n">
        <v>0</v>
      </c>
      <c r="K45" s="18" t="n">
        <v>6.17924813</v>
      </c>
      <c r="L45" s="20" t="n">
        <v>0.6062799</v>
      </c>
      <c r="M45" s="18" t="n">
        <v>0.5097012400000001</v>
      </c>
      <c r="N45" s="20" t="n">
        <v>0.1655416</v>
      </c>
      <c r="O45" s="18" t="n">
        <v>0.09537974</v>
      </c>
      <c r="P45" s="20" t="n">
        <v>0.06349931</v>
      </c>
      <c r="Q45" s="18" t="n">
        <v>5.0213532</v>
      </c>
      <c r="R45" s="20" t="n">
        <v>0.57324832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71.11488377000001</v>
      </c>
      <c r="F54" s="20" t="n">
        <v>1.15585589</v>
      </c>
      <c r="G54" s="18" t="n">
        <v>24.1145982</v>
      </c>
      <c r="H54" s="20" t="n">
        <v>1.17250078</v>
      </c>
      <c r="I54" s="18" t="n">
        <v>0</v>
      </c>
      <c r="J54" s="20" t="n">
        <v>0</v>
      </c>
      <c r="K54" s="18" t="n">
        <v>2.5319023</v>
      </c>
      <c r="L54" s="20" t="n">
        <v>0.40789993</v>
      </c>
      <c r="M54" s="18" t="n">
        <v>0.05305836</v>
      </c>
      <c r="N54" s="20" t="n">
        <v>0.05273088</v>
      </c>
      <c r="O54" s="18" t="n">
        <v>0</v>
      </c>
      <c r="P54" s="20" t="n">
        <v>0</v>
      </c>
      <c r="Q54" s="18" t="n">
        <v>2.18555737</v>
      </c>
      <c r="R54" s="20" t="n">
        <v>0.35264775</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80.44217842</v>
      </c>
      <c r="F56" s="20" t="n">
        <v>1.33705516</v>
      </c>
      <c r="G56" s="18" t="n">
        <v>16.197023</v>
      </c>
      <c r="H56" s="20" t="n">
        <v>1.24646268</v>
      </c>
      <c r="I56" s="18" t="n">
        <v>0</v>
      </c>
      <c r="J56" s="20" t="n">
        <v>0</v>
      </c>
      <c r="K56" s="18" t="n">
        <v>2.47635863</v>
      </c>
      <c r="L56" s="20" t="n">
        <v>0.40812465</v>
      </c>
      <c r="M56" s="18" t="n">
        <v>0</v>
      </c>
      <c r="N56" s="20" t="n">
        <v>0</v>
      </c>
      <c r="O56" s="18" t="n">
        <v>0</v>
      </c>
      <c r="P56" s="20" t="n">
        <v>0</v>
      </c>
      <c r="Q56" s="18" t="n">
        <v>0.88443995</v>
      </c>
      <c r="R56" s="20" t="n">
        <v>0.23069235</v>
      </c>
    </row>
    <row r="57" spans="1:18">
      <c r="A57" s="15" t="s">
        <v>616</v>
      </c>
      <c r="B57" s="17" t="n">
        <v>7267</v>
      </c>
      <c r="C57" s="18">
        <f>(4838.0/B57*100)</f>
        <v/>
      </c>
      <c r="D57" s="19" t="n">
        <v>2429</v>
      </c>
      <c r="E57" s="18" t="n">
        <v>83.09633459</v>
      </c>
      <c r="F57" s="20" t="n">
        <v>0.88682387</v>
      </c>
      <c r="G57" s="18" t="n">
        <v>11.9187664</v>
      </c>
      <c r="H57" s="20" t="n">
        <v>0.6938325</v>
      </c>
      <c r="I57" s="18" t="n">
        <v>0</v>
      </c>
      <c r="J57" s="20" t="n">
        <v>0</v>
      </c>
      <c r="K57" s="18" t="n">
        <v>3.3056847</v>
      </c>
      <c r="L57" s="20" t="n">
        <v>0.48473945</v>
      </c>
      <c r="M57" s="18" t="n">
        <v>0</v>
      </c>
      <c r="N57" s="20" t="n">
        <v>0</v>
      </c>
      <c r="O57" s="18" t="n">
        <v>0</v>
      </c>
      <c r="P57" s="20" t="n">
        <v>0</v>
      </c>
      <c r="Q57" s="18" t="n">
        <v>1.67921431</v>
      </c>
      <c r="R57" s="20" t="n">
        <v>0.28819128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79.9013491</v>
      </c>
      <c r="F59" s="20" t="n">
        <v>1.14041641</v>
      </c>
      <c r="G59" s="18" t="n">
        <v>17.54961929</v>
      </c>
      <c r="H59" s="20" t="n">
        <v>1.0740038</v>
      </c>
      <c r="I59" s="18" t="n">
        <v>0</v>
      </c>
      <c r="J59" s="20" t="n">
        <v>0</v>
      </c>
      <c r="K59" s="18" t="n">
        <v>1.46560608</v>
      </c>
      <c r="L59" s="20" t="n">
        <v>0.36978998</v>
      </c>
      <c r="M59" s="18" t="n">
        <v>0</v>
      </c>
      <c r="N59" s="20" t="n">
        <v>0</v>
      </c>
      <c r="O59" s="18" t="n">
        <v>0.1050575</v>
      </c>
      <c r="P59" s="20" t="n">
        <v>0.06401100999999999</v>
      </c>
      <c r="Q59" s="18" t="n">
        <v>0.9783680300000001</v>
      </c>
      <c r="R59" s="20" t="n">
        <v>0.24396874</v>
      </c>
    </row>
    <row r="60" spans="1:18">
      <c r="A60" s="15" t="s">
        <v>620</v>
      </c>
      <c r="B60" s="17" t="n">
        <v>4546</v>
      </c>
      <c r="C60" s="18">
        <f>(3009.0/B60*100)</f>
        <v/>
      </c>
      <c r="D60" s="19" t="n">
        <v>1537</v>
      </c>
      <c r="E60" s="18" t="n">
        <v>72.61822024999999</v>
      </c>
      <c r="F60" s="20" t="n">
        <v>1.24715818</v>
      </c>
      <c r="G60" s="18" t="n">
        <v>19.7685093</v>
      </c>
      <c r="H60" s="20" t="n">
        <v>1.0884754</v>
      </c>
      <c r="I60" s="18" t="n">
        <v>0</v>
      </c>
      <c r="J60" s="20" t="n">
        <v>0</v>
      </c>
      <c r="K60" s="18" t="n">
        <v>5.53161717</v>
      </c>
      <c r="L60" s="20" t="n">
        <v>0.68591346</v>
      </c>
      <c r="M60" s="18" t="n">
        <v>0</v>
      </c>
      <c r="N60" s="20" t="n">
        <v>0</v>
      </c>
      <c r="O60" s="18" t="n">
        <v>0</v>
      </c>
      <c r="P60" s="20" t="n">
        <v>0</v>
      </c>
      <c r="Q60" s="18" t="n">
        <v>2.08165328</v>
      </c>
      <c r="R60" s="20" t="n">
        <v>0.46964426</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74.7443912</v>
      </c>
      <c r="F63" s="20" t="n">
        <v>1.22189167</v>
      </c>
      <c r="G63" s="18" t="n">
        <v>18.83341027</v>
      </c>
      <c r="H63" s="20" t="n">
        <v>1.08617128</v>
      </c>
      <c r="I63" s="18" t="n">
        <v>0</v>
      </c>
      <c r="J63" s="20" t="n">
        <v>0</v>
      </c>
      <c r="K63" s="18" t="n">
        <v>4.06651762</v>
      </c>
      <c r="L63" s="20" t="n">
        <v>0.54278224</v>
      </c>
      <c r="M63" s="18" t="n">
        <v>0</v>
      </c>
      <c r="N63" s="20" t="n">
        <v>0</v>
      </c>
      <c r="O63" s="18" t="n">
        <v>0</v>
      </c>
      <c r="P63" s="20" t="n">
        <v>0</v>
      </c>
      <c r="Q63" s="18" t="n">
        <v>2.35568091</v>
      </c>
      <c r="R63" s="20" t="n">
        <v>0.36902792</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63.57630536</v>
      </c>
      <c r="F65" s="20" t="n">
        <v>1.37067958</v>
      </c>
      <c r="G65" s="18" t="n">
        <v>33.86582554</v>
      </c>
      <c r="H65" s="20" t="n">
        <v>1.27717146</v>
      </c>
      <c r="I65" s="18" t="n">
        <v>0</v>
      </c>
      <c r="J65" s="20" t="n">
        <v>0</v>
      </c>
      <c r="K65" s="18" t="n">
        <v>2.29969081</v>
      </c>
      <c r="L65" s="20" t="n">
        <v>0.42094407</v>
      </c>
      <c r="M65" s="18" t="n">
        <v>0</v>
      </c>
      <c r="N65" s="20" t="n">
        <v>0</v>
      </c>
      <c r="O65" s="18" t="n">
        <v>0</v>
      </c>
      <c r="P65" s="20" t="n">
        <v>0</v>
      </c>
      <c r="Q65" s="18" t="n">
        <v>0.25817828</v>
      </c>
      <c r="R65" s="20" t="n">
        <v>0.14947046</v>
      </c>
    </row>
    <row r="66" spans="1:18">
      <c r="A66" s="15" t="s">
        <v>626</v>
      </c>
      <c r="B66" s="17" t="n">
        <v>5325</v>
      </c>
      <c r="C66" s="18">
        <f>(3558.0/B66*100)</f>
        <v/>
      </c>
      <c r="D66" s="19" t="n">
        <v>1767</v>
      </c>
      <c r="E66" s="18" t="n">
        <v>73.07585553</v>
      </c>
      <c r="F66" s="20" t="n">
        <v>1.06022532</v>
      </c>
      <c r="G66" s="18" t="n">
        <v>18.40156597</v>
      </c>
      <c r="H66" s="20" t="n">
        <v>0.82004986</v>
      </c>
      <c r="I66" s="18" t="n">
        <v>0</v>
      </c>
      <c r="J66" s="20" t="n">
        <v>0</v>
      </c>
      <c r="K66" s="18" t="n">
        <v>6.87472125</v>
      </c>
      <c r="L66" s="20" t="n">
        <v>0.67065676</v>
      </c>
      <c r="M66" s="18" t="n">
        <v>0.05384261</v>
      </c>
      <c r="N66" s="20" t="n">
        <v>0.05375357</v>
      </c>
      <c r="O66" s="18" t="n">
        <v>0</v>
      </c>
      <c r="P66" s="20" t="n">
        <v>0</v>
      </c>
      <c r="Q66" s="18" t="n">
        <v>1.59401465</v>
      </c>
      <c r="R66" s="20" t="n">
        <v>0.31913578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78.70589261000001</v>
      </c>
      <c r="F69" s="20" t="n">
        <v>2.5274678</v>
      </c>
      <c r="G69" s="18" t="n">
        <v>19.45914778</v>
      </c>
      <c r="H69" s="20" t="n">
        <v>2.41920015</v>
      </c>
      <c r="I69" s="18" t="n">
        <v>0</v>
      </c>
      <c r="J69" s="20" t="n">
        <v>0</v>
      </c>
      <c r="K69" s="18" t="n">
        <v>1.2997882</v>
      </c>
      <c r="L69" s="20" t="n">
        <v>0.47580238</v>
      </c>
      <c r="M69" s="18" t="n">
        <v>0</v>
      </c>
      <c r="N69" s="20" t="n">
        <v>0</v>
      </c>
      <c r="O69" s="18" t="n">
        <v>0</v>
      </c>
      <c r="P69" s="20" t="n">
        <v>0</v>
      </c>
      <c r="Q69" s="18" t="n">
        <v>0.53517141</v>
      </c>
      <c r="R69" s="20" t="n">
        <v>0.32794429</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(3242.0/B71*100)</f>
        <v/>
      </c>
      <c r="D71" s="19" t="n">
        <v>1634</v>
      </c>
      <c r="E71" s="18" t="n">
        <v>78.29752826000001</v>
      </c>
      <c r="F71" s="20" t="n">
        <v>1.2757206</v>
      </c>
      <c r="G71" s="18" t="n">
        <v>21.63603384</v>
      </c>
      <c r="H71" s="20" t="n">
        <v>1.27706109</v>
      </c>
      <c r="I71" s="18" t="n">
        <v>0</v>
      </c>
      <c r="J71" s="20" t="n">
        <v>0</v>
      </c>
      <c r="K71" s="18" t="n">
        <v>0.06643789999999999</v>
      </c>
      <c r="L71" s="20" t="n">
        <v>0.06632016</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64.12152168999999</v>
      </c>
      <c r="F76" s="20" t="n">
        <v>1.26482141</v>
      </c>
      <c r="G76" s="18" t="n">
        <v>26.23812104</v>
      </c>
      <c r="H76" s="20" t="n">
        <v>1.20764533</v>
      </c>
      <c r="I76" s="18" t="n">
        <v>0</v>
      </c>
      <c r="J76" s="20" t="n">
        <v>0</v>
      </c>
      <c r="K76" s="18" t="n">
        <v>6.286508</v>
      </c>
      <c r="L76" s="20" t="n">
        <v>0.7323139</v>
      </c>
      <c r="M76" s="18" t="n">
        <v>0</v>
      </c>
      <c r="N76" s="20" t="n">
        <v>0</v>
      </c>
      <c r="O76" s="18" t="n">
        <v>0</v>
      </c>
      <c r="P76" s="20" t="n">
        <v>0</v>
      </c>
      <c r="Q76" s="18" t="n">
        <v>3.35384927</v>
      </c>
      <c r="R76" s="20" t="n">
        <v>0.5527413799999999</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26.77124343</v>
      </c>
      <c r="F80" s="20" t="n">
        <v>1.38993036</v>
      </c>
      <c r="G80" s="18" t="n">
        <v>73.22875657</v>
      </c>
      <c r="H80" s="20" t="n">
        <v>1.38993036</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(1113.0/B81*100)</f>
        <v/>
      </c>
      <c r="D81" s="19" t="n">
        <v>544</v>
      </c>
      <c r="E81" s="18" t="n">
        <v>64.89734989999999</v>
      </c>
      <c r="F81" s="20" t="n">
        <v>1.80758493</v>
      </c>
      <c r="G81" s="18" t="n">
        <v>28.99409672</v>
      </c>
      <c r="H81" s="20" t="n">
        <v>1.70470969</v>
      </c>
      <c r="I81" s="18" t="n">
        <v>0</v>
      </c>
      <c r="J81" s="20" t="n">
        <v>0</v>
      </c>
      <c r="K81" s="18" t="n">
        <v>4.1095518</v>
      </c>
      <c r="L81" s="20" t="n">
        <v>1.036545</v>
      </c>
      <c r="M81" s="18" t="n">
        <v>0</v>
      </c>
      <c r="N81" s="20" t="n">
        <v>0</v>
      </c>
      <c r="O81" s="18" t="n">
        <v>0</v>
      </c>
      <c r="P81" s="20" t="n">
        <v>0</v>
      </c>
      <c r="Q81" s="18" t="n">
        <v>1.99900159</v>
      </c>
      <c r="R81" s="20" t="n">
        <v>0.66061568</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48.3031886</v>
      </c>
      <c r="F44" s="20" t="n">
        <v>1.72400478</v>
      </c>
      <c r="G44" s="18" t="n">
        <v>43.61031101</v>
      </c>
      <c r="H44" s="20" t="n">
        <v>1.77380447</v>
      </c>
      <c r="I44" s="18" t="n">
        <v>0</v>
      </c>
      <c r="J44" s="20" t="n">
        <v>0</v>
      </c>
      <c r="K44" s="18" t="n">
        <v>5.12344111</v>
      </c>
      <c r="L44" s="20" t="n">
        <v>0.67318135</v>
      </c>
      <c r="M44" s="18" t="n">
        <v>0</v>
      </c>
      <c r="N44" s="20" t="n">
        <v>0</v>
      </c>
      <c r="O44" s="18" t="n">
        <v>0</v>
      </c>
      <c r="P44" s="20" t="n">
        <v>0</v>
      </c>
      <c r="Q44" s="18" t="n">
        <v>2.96305928</v>
      </c>
      <c r="R44" s="20" t="n">
        <v>0.51136411</v>
      </c>
    </row>
    <row r="45" spans="1:18">
      <c r="A45" s="15" t="s">
        <v>604</v>
      </c>
      <c r="B45" s="17" t="n">
        <v>5519</v>
      </c>
      <c r="C45" s="18">
        <f>(3678.0/B45*100)</f>
        <v/>
      </c>
      <c r="D45" s="19" t="n">
        <v>1841</v>
      </c>
      <c r="E45" s="18" t="n">
        <v>59.48494354</v>
      </c>
      <c r="F45" s="20" t="n">
        <v>1.50210667</v>
      </c>
      <c r="G45" s="18" t="n">
        <v>28.94871867</v>
      </c>
      <c r="H45" s="20" t="n">
        <v>1.2595022</v>
      </c>
      <c r="I45" s="18" t="n">
        <v>0</v>
      </c>
      <c r="J45" s="20" t="n">
        <v>0</v>
      </c>
      <c r="K45" s="18" t="n">
        <v>6.79614965</v>
      </c>
      <c r="L45" s="20" t="n">
        <v>0.65756772</v>
      </c>
      <c r="M45" s="18" t="n">
        <v>0.5097012400000001</v>
      </c>
      <c r="N45" s="20" t="n">
        <v>0.1655416</v>
      </c>
      <c r="O45" s="18" t="n">
        <v>0.03371368</v>
      </c>
      <c r="P45" s="20" t="n">
        <v>0.03273411</v>
      </c>
      <c r="Q45" s="18" t="n">
        <v>4.22677323</v>
      </c>
      <c r="R45" s="20" t="n">
        <v>0.57415996</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50.2292056</v>
      </c>
      <c r="F54" s="20" t="n">
        <v>1.0317464</v>
      </c>
      <c r="G54" s="18" t="n">
        <v>44.45237746</v>
      </c>
      <c r="H54" s="20" t="n">
        <v>1.1315321</v>
      </c>
      <c r="I54" s="18" t="n">
        <v>0</v>
      </c>
      <c r="J54" s="20" t="n">
        <v>0</v>
      </c>
      <c r="K54" s="18" t="n">
        <v>3.075807</v>
      </c>
      <c r="L54" s="20" t="n">
        <v>0.42267961</v>
      </c>
      <c r="M54" s="18" t="n">
        <v>0.05305836</v>
      </c>
      <c r="N54" s="20" t="n">
        <v>0.05273088</v>
      </c>
      <c r="O54" s="18" t="n">
        <v>0.04353236</v>
      </c>
      <c r="P54" s="20" t="n">
        <v>0.04018277</v>
      </c>
      <c r="Q54" s="18" t="n">
        <v>2.14601922</v>
      </c>
      <c r="R54" s="20" t="n">
        <v>0.38665616</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7267</v>
      </c>
      <c r="C57" s="18">
        <f>(4838.0/B57*100)</f>
        <v/>
      </c>
      <c r="D57" s="19" t="n">
        <v>2429</v>
      </c>
      <c r="E57" s="18" t="n">
        <v>63.50880969</v>
      </c>
      <c r="F57" s="20" t="n">
        <v>1.21952872</v>
      </c>
      <c r="G57" s="18" t="n">
        <v>30.87525717</v>
      </c>
      <c r="H57" s="20" t="n">
        <v>1.22500538</v>
      </c>
      <c r="I57" s="18" t="n">
        <v>0</v>
      </c>
      <c r="J57" s="20" t="n">
        <v>0</v>
      </c>
      <c r="K57" s="18" t="n">
        <v>3.82146817</v>
      </c>
      <c r="L57" s="20" t="n">
        <v>0.55114803</v>
      </c>
      <c r="M57" s="18" t="n">
        <v>0</v>
      </c>
      <c r="N57" s="20" t="n">
        <v>0</v>
      </c>
      <c r="O57" s="18" t="n">
        <v>0.15388038</v>
      </c>
      <c r="P57" s="20" t="n">
        <v>0.07628588</v>
      </c>
      <c r="Q57" s="18" t="n">
        <v>1.64058459</v>
      </c>
      <c r="R57" s="20" t="n">
        <v>0.28007379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50.4107465</v>
      </c>
      <c r="F59" s="20" t="n">
        <v>1.52071888</v>
      </c>
      <c r="G59" s="18" t="n">
        <v>47.1943074</v>
      </c>
      <c r="H59" s="20" t="n">
        <v>1.47833497</v>
      </c>
      <c r="I59" s="18" t="n">
        <v>0</v>
      </c>
      <c r="J59" s="20" t="n">
        <v>0</v>
      </c>
      <c r="K59" s="18" t="n">
        <v>1.5040104</v>
      </c>
      <c r="L59" s="20" t="n">
        <v>0.37178307</v>
      </c>
      <c r="M59" s="18" t="n">
        <v>0</v>
      </c>
      <c r="N59" s="20" t="n">
        <v>0</v>
      </c>
      <c r="O59" s="18" t="n">
        <v>0.01920209</v>
      </c>
      <c r="P59" s="20" t="n">
        <v>0.01922104</v>
      </c>
      <c r="Q59" s="18" t="n">
        <v>0.87173362</v>
      </c>
      <c r="R59" s="20" t="n">
        <v>0.29000439</v>
      </c>
    </row>
    <row r="60" spans="1:18">
      <c r="A60" s="15" t="s">
        <v>620</v>
      </c>
      <c r="B60" s="17" t="n">
        <v>4546</v>
      </c>
      <c r="C60" s="18">
        <f>(3009.0/B60*100)</f>
        <v/>
      </c>
      <c r="D60" s="19" t="n">
        <v>1537</v>
      </c>
      <c r="E60" s="18" t="n">
        <v>63.82458469</v>
      </c>
      <c r="F60" s="20" t="n">
        <v>1.4384948</v>
      </c>
      <c r="G60" s="18" t="n">
        <v>28.28238322</v>
      </c>
      <c r="H60" s="20" t="n">
        <v>1.24939933</v>
      </c>
      <c r="I60" s="18" t="n">
        <v>0</v>
      </c>
      <c r="J60" s="20" t="n">
        <v>0</v>
      </c>
      <c r="K60" s="18" t="n">
        <v>6.1109049</v>
      </c>
      <c r="L60" s="20" t="n">
        <v>0.7743511199999999</v>
      </c>
      <c r="M60" s="18" t="n">
        <v>0</v>
      </c>
      <c r="N60" s="20" t="n">
        <v>0</v>
      </c>
      <c r="O60" s="18" t="n">
        <v>0</v>
      </c>
      <c r="P60" s="20" t="n">
        <v>0</v>
      </c>
      <c r="Q60" s="18" t="n">
        <v>1.78212719</v>
      </c>
      <c r="R60" s="20" t="n">
        <v>0.35873889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50.69389052</v>
      </c>
      <c r="F63" s="20" t="n">
        <v>1.52520456</v>
      </c>
      <c r="G63" s="18" t="n">
        <v>42.39148617</v>
      </c>
      <c r="H63" s="20" t="n">
        <v>1.60476861</v>
      </c>
      <c r="I63" s="18" t="n">
        <v>0</v>
      </c>
      <c r="J63" s="20" t="n">
        <v>0</v>
      </c>
      <c r="K63" s="18" t="n">
        <v>4.95278941</v>
      </c>
      <c r="L63" s="20" t="n">
        <v>0.5839485</v>
      </c>
      <c r="M63" s="18" t="n">
        <v>0</v>
      </c>
      <c r="N63" s="20" t="n">
        <v>0</v>
      </c>
      <c r="O63" s="18" t="n">
        <v>0</v>
      </c>
      <c r="P63" s="20" t="n">
        <v>0</v>
      </c>
      <c r="Q63" s="18" t="n">
        <v>1.9618339</v>
      </c>
      <c r="R63" s="20" t="n">
        <v>0.30279383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41.31871579</v>
      </c>
      <c r="F65" s="20" t="n">
        <v>1.31015825</v>
      </c>
      <c r="G65" s="18" t="n">
        <v>55.58301336</v>
      </c>
      <c r="H65" s="20" t="n">
        <v>1.42429616</v>
      </c>
      <c r="I65" s="18" t="n">
        <v>0</v>
      </c>
      <c r="J65" s="20" t="n">
        <v>0</v>
      </c>
      <c r="K65" s="18" t="n">
        <v>2.74456195</v>
      </c>
      <c r="L65" s="20" t="n">
        <v>0.4691922</v>
      </c>
      <c r="M65" s="18" t="n">
        <v>0</v>
      </c>
      <c r="N65" s="20" t="n">
        <v>0</v>
      </c>
      <c r="O65" s="18" t="n">
        <v>0</v>
      </c>
      <c r="P65" s="20" t="n">
        <v>0</v>
      </c>
      <c r="Q65" s="18" t="n">
        <v>0.3537089</v>
      </c>
      <c r="R65" s="20" t="n">
        <v>0.17576182</v>
      </c>
    </row>
    <row r="66" spans="1:18">
      <c r="A66" s="15" t="s">
        <v>626</v>
      </c>
      <c r="B66" s="17" t="n">
        <v>5325</v>
      </c>
      <c r="C66" s="18">
        <f>(3558.0/B66*100)</f>
        <v/>
      </c>
      <c r="D66" s="19" t="n">
        <v>1767</v>
      </c>
      <c r="E66" s="18" t="n">
        <v>51.5691887</v>
      </c>
      <c r="F66" s="20" t="n">
        <v>0.99600713</v>
      </c>
      <c r="G66" s="18" t="n">
        <v>38.94015688</v>
      </c>
      <c r="H66" s="20" t="n">
        <v>0.94393796</v>
      </c>
      <c r="I66" s="18" t="n">
        <v>0</v>
      </c>
      <c r="J66" s="20" t="n">
        <v>0</v>
      </c>
      <c r="K66" s="18" t="n">
        <v>7.87357505</v>
      </c>
      <c r="L66" s="20" t="n">
        <v>0.6520858</v>
      </c>
      <c r="M66" s="18" t="n">
        <v>0.04607199</v>
      </c>
      <c r="N66" s="20" t="n">
        <v>0.04539217</v>
      </c>
      <c r="O66" s="18" t="n">
        <v>0</v>
      </c>
      <c r="P66" s="20" t="n">
        <v>0</v>
      </c>
      <c r="Q66" s="18" t="n">
        <v>1.57100738</v>
      </c>
      <c r="R66" s="20" t="n">
        <v>0.34113389</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59.61331134</v>
      </c>
      <c r="F69" s="20" t="n">
        <v>3.08714498</v>
      </c>
      <c r="G69" s="18" t="n">
        <v>38.35899903</v>
      </c>
      <c r="H69" s="20" t="n">
        <v>3.06227232</v>
      </c>
      <c r="I69" s="18" t="n">
        <v>0</v>
      </c>
      <c r="J69" s="20" t="n">
        <v>0</v>
      </c>
      <c r="K69" s="18" t="n">
        <v>1.2997882</v>
      </c>
      <c r="L69" s="20" t="n">
        <v>0.47580238</v>
      </c>
      <c r="M69" s="18" t="n">
        <v>0</v>
      </c>
      <c r="N69" s="20" t="n">
        <v>0</v>
      </c>
      <c r="O69" s="18" t="n">
        <v>0.22922368</v>
      </c>
      <c r="P69" s="20" t="n">
        <v>0.22956584</v>
      </c>
      <c r="Q69" s="18" t="n">
        <v>0.49867775</v>
      </c>
      <c r="R69" s="20" t="n">
        <v>0.47410732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(3242.0/B71*100)</f>
        <v/>
      </c>
      <c r="D71" s="19" t="n">
        <v>1634</v>
      </c>
      <c r="E71" s="18" t="n">
        <v>60.14773591</v>
      </c>
      <c r="F71" s="20" t="n">
        <v>1.3825612</v>
      </c>
      <c r="G71" s="18" t="n">
        <v>39.72730837</v>
      </c>
      <c r="H71" s="20" t="n">
        <v>1.37439506</v>
      </c>
      <c r="I71" s="18" t="n">
        <v>0</v>
      </c>
      <c r="J71" s="20" t="n">
        <v>0</v>
      </c>
      <c r="K71" s="18" t="n">
        <v>0.06643789999999999</v>
      </c>
      <c r="L71" s="20" t="n">
        <v>0.06632016</v>
      </c>
      <c r="M71" s="18" t="n">
        <v>0</v>
      </c>
      <c r="N71" s="20" t="n">
        <v>0</v>
      </c>
      <c r="O71" s="18" t="n">
        <v>0</v>
      </c>
      <c r="P71" s="20" t="n">
        <v>0</v>
      </c>
      <c r="Q71" s="18" t="n">
        <v>0.05851781</v>
      </c>
      <c r="R71" s="20" t="n">
        <v>0.05845834</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52.34693201</v>
      </c>
      <c r="F76" s="20" t="n">
        <v>1.38123817</v>
      </c>
      <c r="G76" s="18" t="n">
        <v>37.97724461</v>
      </c>
      <c r="H76" s="20" t="n">
        <v>1.34844174</v>
      </c>
      <c r="I76" s="18" t="n">
        <v>0</v>
      </c>
      <c r="J76" s="20" t="n">
        <v>0</v>
      </c>
      <c r="K76" s="18" t="n">
        <v>6.84106912</v>
      </c>
      <c r="L76" s="20" t="n">
        <v>0.75134156</v>
      </c>
      <c r="M76" s="18" t="n">
        <v>0</v>
      </c>
      <c r="N76" s="20" t="n">
        <v>0</v>
      </c>
      <c r="O76" s="18" t="n">
        <v>0</v>
      </c>
      <c r="P76" s="20" t="n">
        <v>0</v>
      </c>
      <c r="Q76" s="18" t="n">
        <v>2.83475426</v>
      </c>
      <c r="R76" s="20" t="n">
        <v>0.5547192399999999</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13.6780133</v>
      </c>
      <c r="F80" s="20" t="n">
        <v>0.82387511</v>
      </c>
      <c r="G80" s="18" t="n">
        <v>86.3219867</v>
      </c>
      <c r="H80" s="20" t="n">
        <v>0.82387511</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(1113.0/B81*100)</f>
        <v/>
      </c>
      <c r="D81" s="19" t="n">
        <v>544</v>
      </c>
      <c r="E81" s="18" t="n">
        <v>26.80310904</v>
      </c>
      <c r="F81" s="20" t="n">
        <v>2.80399733</v>
      </c>
      <c r="G81" s="18" t="n">
        <v>65.73696212999999</v>
      </c>
      <c r="H81" s="20" t="n">
        <v>3.04510057</v>
      </c>
      <c r="I81" s="18" t="n">
        <v>0</v>
      </c>
      <c r="J81" s="20" t="n">
        <v>0</v>
      </c>
      <c r="K81" s="18" t="n">
        <v>4.93315309</v>
      </c>
      <c r="L81" s="20" t="n">
        <v>0.98743367</v>
      </c>
      <c r="M81" s="18" t="n">
        <v>0</v>
      </c>
      <c r="N81" s="20" t="n">
        <v>0</v>
      </c>
      <c r="O81" s="18" t="n">
        <v>0</v>
      </c>
      <c r="P81" s="20" t="n">
        <v>0</v>
      </c>
      <c r="Q81" s="18" t="n">
        <v>2.52677574</v>
      </c>
      <c r="R81" s="20" t="n">
        <v>0.76480567</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911</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36.84811845</v>
      </c>
      <c r="F44" s="20" t="n">
        <v>1.71257064</v>
      </c>
      <c r="G44" s="18" t="n">
        <v>21.31728326</v>
      </c>
      <c r="H44" s="20" t="n">
        <v>1.36487031</v>
      </c>
      <c r="I44" s="18" t="n">
        <v>0</v>
      </c>
      <c r="J44" s="20" t="n">
        <v>0</v>
      </c>
      <c r="K44" s="18" t="n">
        <v>7.57766184</v>
      </c>
      <c r="L44" s="20" t="n">
        <v>0.8215581</v>
      </c>
      <c r="M44" s="18" t="n">
        <v>0</v>
      </c>
      <c r="N44" s="20" t="n">
        <v>0</v>
      </c>
      <c r="O44" s="18" t="n">
        <v>0</v>
      </c>
      <c r="P44" s="20" t="n">
        <v>0</v>
      </c>
      <c r="Q44" s="18" t="n">
        <v>34.25693645</v>
      </c>
      <c r="R44" s="20" t="n">
        <v>1.77560076</v>
      </c>
    </row>
    <row r="45" spans="1:18">
      <c r="A45" s="15" t="s">
        <v>604</v>
      </c>
      <c r="B45" s="17" t="n">
        <v>5519</v>
      </c>
      <c r="C45" s="18">
        <f>(3678.0/B45*100)</f>
        <v/>
      </c>
      <c r="D45" s="19" t="n">
        <v>1841</v>
      </c>
      <c r="E45" s="18" t="n">
        <v>45.96869362</v>
      </c>
      <c r="F45" s="20" t="n">
        <v>1.38339962</v>
      </c>
      <c r="G45" s="18" t="n">
        <v>14.00098455</v>
      </c>
      <c r="H45" s="20" t="n">
        <v>1.1712655</v>
      </c>
      <c r="I45" s="18" t="n">
        <v>0</v>
      </c>
      <c r="J45" s="20" t="n">
        <v>0</v>
      </c>
      <c r="K45" s="18" t="n">
        <v>9.54164986</v>
      </c>
      <c r="L45" s="20" t="n">
        <v>0.86744094</v>
      </c>
      <c r="M45" s="18" t="n">
        <v>0.15329901</v>
      </c>
      <c r="N45" s="20" t="n">
        <v>0.10404935</v>
      </c>
      <c r="O45" s="18" t="n">
        <v>0.03371368</v>
      </c>
      <c r="P45" s="20" t="n">
        <v>0.03273411</v>
      </c>
      <c r="Q45" s="18" t="n">
        <v>30.30165928</v>
      </c>
      <c r="R45" s="20" t="n">
        <v>1.30490112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27.89671924</v>
      </c>
      <c r="F54" s="20" t="n">
        <v>1.29663838</v>
      </c>
      <c r="G54" s="18" t="n">
        <v>18.74667863</v>
      </c>
      <c r="H54" s="20" t="n">
        <v>1.04193807</v>
      </c>
      <c r="I54" s="18" t="n">
        <v>0</v>
      </c>
      <c r="J54" s="20" t="n">
        <v>0</v>
      </c>
      <c r="K54" s="18" t="n">
        <v>5.98451332</v>
      </c>
      <c r="L54" s="20" t="n">
        <v>0.59921057</v>
      </c>
      <c r="M54" s="18" t="n">
        <v>0.59649908</v>
      </c>
      <c r="N54" s="20" t="n">
        <v>0.13267405</v>
      </c>
      <c r="O54" s="18" t="n">
        <v>0</v>
      </c>
      <c r="P54" s="20" t="n">
        <v>0</v>
      </c>
      <c r="Q54" s="18" t="n">
        <v>46.77558973</v>
      </c>
      <c r="R54" s="20" t="n">
        <v>1.63679245</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74.72900657</v>
      </c>
      <c r="F56" s="20" t="n">
        <v>1.06032762</v>
      </c>
      <c r="G56" s="18" t="n">
        <v>14.85744132</v>
      </c>
      <c r="H56" s="20" t="n">
        <v>0.8544319</v>
      </c>
      <c r="I56" s="18" t="n">
        <v>0</v>
      </c>
      <c r="J56" s="20" t="n">
        <v>0</v>
      </c>
      <c r="K56" s="18" t="n">
        <v>3.18681969</v>
      </c>
      <c r="L56" s="20" t="n">
        <v>0.52900643</v>
      </c>
      <c r="M56" s="18" t="n">
        <v>0</v>
      </c>
      <c r="N56" s="20" t="n">
        <v>0</v>
      </c>
      <c r="O56" s="18" t="n">
        <v>0</v>
      </c>
      <c r="P56" s="20" t="n">
        <v>0</v>
      </c>
      <c r="Q56" s="18" t="n">
        <v>7.22673242</v>
      </c>
      <c r="R56" s="20" t="n">
        <v>0.66999921</v>
      </c>
    </row>
    <row r="57" spans="1:18">
      <c r="A57" s="15" t="s">
        <v>616</v>
      </c>
      <c r="B57" s="17" t="n">
        <v>7267</v>
      </c>
      <c r="C57" s="18">
        <f>(4838.0/B57*100)</f>
        <v/>
      </c>
      <c r="D57" s="19" t="n">
        <v>2429</v>
      </c>
      <c r="E57" s="18" t="n">
        <v>52.88182398</v>
      </c>
      <c r="F57" s="20" t="n">
        <v>1.27563744</v>
      </c>
      <c r="G57" s="18" t="n">
        <v>27.19288786</v>
      </c>
      <c r="H57" s="20" t="n">
        <v>1.16537228</v>
      </c>
      <c r="I57" s="18" t="n">
        <v>0</v>
      </c>
      <c r="J57" s="20" t="n">
        <v>0</v>
      </c>
      <c r="K57" s="18" t="n">
        <v>4.88957821</v>
      </c>
      <c r="L57" s="20" t="n">
        <v>0.64625327</v>
      </c>
      <c r="M57" s="18" t="n">
        <v>0</v>
      </c>
      <c r="N57" s="20" t="n">
        <v>0</v>
      </c>
      <c r="O57" s="18" t="n">
        <v>0.02098825</v>
      </c>
      <c r="P57" s="20" t="n">
        <v>0.0210068</v>
      </c>
      <c r="Q57" s="18" t="n">
        <v>15.01472169</v>
      </c>
      <c r="R57" s="20" t="n">
        <v>1.04156817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56.30378359</v>
      </c>
      <c r="F59" s="20" t="n">
        <v>1.63279759</v>
      </c>
      <c r="G59" s="18" t="n">
        <v>10.60190106</v>
      </c>
      <c r="H59" s="20" t="n">
        <v>1.02572684</v>
      </c>
      <c r="I59" s="18" t="n">
        <v>0</v>
      </c>
      <c r="J59" s="20" t="n">
        <v>0</v>
      </c>
      <c r="K59" s="18" t="n">
        <v>2.19152282</v>
      </c>
      <c r="L59" s="20" t="n">
        <v>0.38074799</v>
      </c>
      <c r="M59" s="18" t="n">
        <v>0</v>
      </c>
      <c r="N59" s="20" t="n">
        <v>0</v>
      </c>
      <c r="O59" s="18" t="n">
        <v>0.04292771</v>
      </c>
      <c r="P59" s="20" t="n">
        <v>0.0431286</v>
      </c>
      <c r="Q59" s="18" t="n">
        <v>30.85986482</v>
      </c>
      <c r="R59" s="20" t="n">
        <v>1.34966249</v>
      </c>
    </row>
    <row r="60" spans="1:18">
      <c r="A60" s="15" t="s">
        <v>620</v>
      </c>
      <c r="B60" s="17" t="n">
        <v>4546</v>
      </c>
      <c r="C60" s="18">
        <f>(3009.0/B60*100)</f>
        <v/>
      </c>
      <c r="D60" s="19" t="n">
        <v>1537</v>
      </c>
      <c r="E60" s="18" t="n">
        <v>48.60349056</v>
      </c>
      <c r="F60" s="20" t="n">
        <v>1.55838085</v>
      </c>
      <c r="G60" s="18" t="n">
        <v>12.28021427</v>
      </c>
      <c r="H60" s="20" t="n">
        <v>1.14638693</v>
      </c>
      <c r="I60" s="18" t="n">
        <v>0</v>
      </c>
      <c r="J60" s="20" t="n">
        <v>0</v>
      </c>
      <c r="K60" s="18" t="n">
        <v>10.93377636</v>
      </c>
      <c r="L60" s="20" t="n">
        <v>0.9627708699999999</v>
      </c>
      <c r="M60" s="18" t="n">
        <v>0</v>
      </c>
      <c r="N60" s="20" t="n">
        <v>0</v>
      </c>
      <c r="O60" s="18" t="n">
        <v>0</v>
      </c>
      <c r="P60" s="20" t="n">
        <v>0</v>
      </c>
      <c r="Q60" s="18" t="n">
        <v>28.18251881</v>
      </c>
      <c r="R60" s="20" t="n">
        <v>1.43965908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26.4176798</v>
      </c>
      <c r="F63" s="20" t="n">
        <v>1.036734</v>
      </c>
      <c r="G63" s="18" t="n">
        <v>15.37122305</v>
      </c>
      <c r="H63" s="20" t="n">
        <v>0.89489709</v>
      </c>
      <c r="I63" s="18" t="n">
        <v>0</v>
      </c>
      <c r="J63" s="20" t="n">
        <v>0</v>
      </c>
      <c r="K63" s="18" t="n">
        <v>8.573443360000001</v>
      </c>
      <c r="L63" s="20" t="n">
        <v>0.70117326</v>
      </c>
      <c r="M63" s="18" t="n">
        <v>0</v>
      </c>
      <c r="N63" s="20" t="n">
        <v>0</v>
      </c>
      <c r="O63" s="18" t="n">
        <v>0.05963996</v>
      </c>
      <c r="P63" s="20" t="n">
        <v>0.05962619</v>
      </c>
      <c r="Q63" s="18" t="n">
        <v>49.57801383</v>
      </c>
      <c r="R63" s="20" t="n">
        <v>1.31569096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34.91351215</v>
      </c>
      <c r="F65" s="20" t="n">
        <v>1.14090779</v>
      </c>
      <c r="G65" s="18" t="n">
        <v>37.96255638</v>
      </c>
      <c r="H65" s="20" t="n">
        <v>1.29651271</v>
      </c>
      <c r="I65" s="18" t="n">
        <v>0</v>
      </c>
      <c r="J65" s="20" t="n">
        <v>0</v>
      </c>
      <c r="K65" s="18" t="n">
        <v>5.3065726</v>
      </c>
      <c r="L65" s="20" t="n">
        <v>0.56686174</v>
      </c>
      <c r="M65" s="18" t="n">
        <v>0</v>
      </c>
      <c r="N65" s="20" t="n">
        <v>0</v>
      </c>
      <c r="O65" s="18" t="n">
        <v>0</v>
      </c>
      <c r="P65" s="20" t="n">
        <v>0</v>
      </c>
      <c r="Q65" s="18" t="n">
        <v>21.81735886</v>
      </c>
      <c r="R65" s="20" t="n">
        <v>1.28968316</v>
      </c>
    </row>
    <row r="66" spans="1:18">
      <c r="A66" s="15" t="s">
        <v>626</v>
      </c>
      <c r="B66" s="17" t="n">
        <v>5325</v>
      </c>
      <c r="C66" s="18">
        <f>(3558.0/B66*100)</f>
        <v/>
      </c>
      <c r="D66" s="19" t="n">
        <v>1767</v>
      </c>
      <c r="E66" s="18" t="n">
        <v>34.31188418</v>
      </c>
      <c r="F66" s="20" t="n">
        <v>1.29921427</v>
      </c>
      <c r="G66" s="18" t="n">
        <v>18.57207851</v>
      </c>
      <c r="H66" s="20" t="n">
        <v>1.03304061</v>
      </c>
      <c r="I66" s="18" t="n">
        <v>0</v>
      </c>
      <c r="J66" s="20" t="n">
        <v>0</v>
      </c>
      <c r="K66" s="18" t="n">
        <v>10.90279434</v>
      </c>
      <c r="L66" s="20" t="n">
        <v>0.8435719699999999</v>
      </c>
      <c r="M66" s="18" t="n">
        <v>0</v>
      </c>
      <c r="N66" s="20" t="n">
        <v>0</v>
      </c>
      <c r="O66" s="18" t="n">
        <v>0</v>
      </c>
      <c r="P66" s="20" t="n">
        <v>0</v>
      </c>
      <c r="Q66" s="18" t="n">
        <v>36.21324296</v>
      </c>
      <c r="R66" s="20" t="n">
        <v>1.20553904</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62.43300593</v>
      </c>
      <c r="F69" s="20" t="n">
        <v>2.78899306</v>
      </c>
      <c r="G69" s="18" t="n">
        <v>20.19487254</v>
      </c>
      <c r="H69" s="20" t="n">
        <v>2.75678912</v>
      </c>
      <c r="I69" s="18" t="n">
        <v>0</v>
      </c>
      <c r="J69" s="20" t="n">
        <v>0</v>
      </c>
      <c r="K69" s="18" t="n">
        <v>2.10400094</v>
      </c>
      <c r="L69" s="20" t="n">
        <v>0.67056212</v>
      </c>
      <c r="M69" s="18" t="n">
        <v>0</v>
      </c>
      <c r="N69" s="20" t="n">
        <v>0</v>
      </c>
      <c r="O69" s="18" t="n">
        <v>0</v>
      </c>
      <c r="P69" s="20" t="n">
        <v>0</v>
      </c>
      <c r="Q69" s="18" t="n">
        <v>15.26812058</v>
      </c>
      <c r="R69" s="20" t="n">
        <v>1.49082712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(3242.0/B71*100)</f>
        <v/>
      </c>
      <c r="D71" s="19" t="n">
        <v>1634</v>
      </c>
      <c r="E71" s="18" t="n">
        <v>64.64709240000001</v>
      </c>
      <c r="F71" s="20" t="n">
        <v>1.64574066</v>
      </c>
      <c r="G71" s="18" t="n">
        <v>34.11833581</v>
      </c>
      <c r="H71" s="20" t="n">
        <v>1.71422446</v>
      </c>
      <c r="I71" s="18" t="n">
        <v>0</v>
      </c>
      <c r="J71" s="20" t="n">
        <v>0</v>
      </c>
      <c r="K71" s="18" t="n">
        <v>0.11720418</v>
      </c>
      <c r="L71" s="20" t="n">
        <v>0.08336066</v>
      </c>
      <c r="M71" s="18" t="n">
        <v>0</v>
      </c>
      <c r="N71" s="20" t="n">
        <v>0</v>
      </c>
      <c r="O71" s="18" t="n">
        <v>0</v>
      </c>
      <c r="P71" s="20" t="n">
        <v>0</v>
      </c>
      <c r="Q71" s="18" t="n">
        <v>1.11736761</v>
      </c>
      <c r="R71" s="20" t="n">
        <v>0.35567848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35.32185035</v>
      </c>
      <c r="F76" s="20" t="n">
        <v>1.28856167</v>
      </c>
      <c r="G76" s="18" t="n">
        <v>23.70158759</v>
      </c>
      <c r="H76" s="20" t="n">
        <v>1.21190621</v>
      </c>
      <c r="I76" s="18" t="n">
        <v>0</v>
      </c>
      <c r="J76" s="20" t="n">
        <v>0</v>
      </c>
      <c r="K76" s="18" t="n">
        <v>11.11852221</v>
      </c>
      <c r="L76" s="20" t="n">
        <v>0.9137128799999999</v>
      </c>
      <c r="M76" s="18" t="n">
        <v>0</v>
      </c>
      <c r="N76" s="20" t="n">
        <v>0</v>
      </c>
      <c r="O76" s="18" t="n">
        <v>0</v>
      </c>
      <c r="P76" s="20" t="n">
        <v>0</v>
      </c>
      <c r="Q76" s="18" t="n">
        <v>29.85803984</v>
      </c>
      <c r="R76" s="20" t="n">
        <v>1.17779818</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57.6852491</v>
      </c>
      <c r="F80" s="20" t="n">
        <v>1.43492358</v>
      </c>
      <c r="G80" s="18" t="n">
        <v>40.34462267</v>
      </c>
      <c r="H80" s="20" t="n">
        <v>1.47392944</v>
      </c>
      <c r="I80" s="18" t="n">
        <v>0</v>
      </c>
      <c r="J80" s="20" t="n">
        <v>0</v>
      </c>
      <c r="K80" s="18" t="n">
        <v>0</v>
      </c>
      <c r="L80" s="20" t="n">
        <v>0</v>
      </c>
      <c r="M80" s="18" t="n">
        <v>0</v>
      </c>
      <c r="N80" s="20" t="n">
        <v>0</v>
      </c>
      <c r="O80" s="18" t="n">
        <v>0</v>
      </c>
      <c r="P80" s="20" t="n">
        <v>0</v>
      </c>
      <c r="Q80" s="18" t="n">
        <v>1.97012823</v>
      </c>
      <c r="R80" s="20" t="n">
        <v>0.36383317</v>
      </c>
    </row>
    <row r="81" spans="1:18">
      <c r="A81" s="15" t="s">
        <v>641</v>
      </c>
      <c r="B81" s="17" t="n">
        <v>1657</v>
      </c>
      <c r="C81" s="18">
        <f>(1113.0/B81*100)</f>
        <v/>
      </c>
      <c r="D81" s="19" t="n">
        <v>544</v>
      </c>
      <c r="E81" s="18" t="n">
        <v>34.32887101</v>
      </c>
      <c r="F81" s="20" t="n">
        <v>2.18330978</v>
      </c>
      <c r="G81" s="18" t="n">
        <v>37.46385799</v>
      </c>
      <c r="H81" s="20" t="n">
        <v>2.35209342</v>
      </c>
      <c r="I81" s="18" t="n">
        <v>0</v>
      </c>
      <c r="J81" s="20" t="n">
        <v>0</v>
      </c>
      <c r="K81" s="18" t="n">
        <v>7.61585709</v>
      </c>
      <c r="L81" s="20" t="n">
        <v>1.04804551</v>
      </c>
      <c r="M81" s="18" t="n">
        <v>0</v>
      </c>
      <c r="N81" s="20" t="n">
        <v>0</v>
      </c>
      <c r="O81" s="18" t="n">
        <v>0</v>
      </c>
      <c r="P81" s="20" t="n">
        <v>0</v>
      </c>
      <c r="Q81" s="18" t="n">
        <v>20.59141391</v>
      </c>
      <c r="R81" s="20" t="n">
        <v>1.92233454</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5519</v>
      </c>
      <c r="C45" s="18">
        <f>(3678.0/B45*100)</f>
        <v/>
      </c>
      <c r="D45" s="19" t="n">
        <v>1841</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7267</v>
      </c>
      <c r="C57" s="18">
        <f>(4838.0/B57*100)</f>
        <v/>
      </c>
      <c r="D57" s="19" t="n">
        <v>2429</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4546</v>
      </c>
      <c r="C60" s="18">
        <f>(3009.0/B60*100)</f>
        <v/>
      </c>
      <c r="D60" s="19" t="n">
        <v>1537</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5325</v>
      </c>
      <c r="C66" s="18">
        <f>(3558.0/B66*100)</f>
        <v/>
      </c>
      <c r="D66" s="19" t="n">
        <v>1767</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(3416.0/B71*100)</f>
        <v/>
      </c>
      <c r="D71" s="19" t="n">
        <v>1460</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1657</v>
      </c>
      <c r="C81" s="18">
        <f>(1113.0/B81*100)</f>
        <v/>
      </c>
      <c r="D81" s="19" t="n">
        <v>544</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5519</v>
      </c>
      <c r="C45" s="18">
        <f>(3678.0/B45*100)</f>
        <v/>
      </c>
      <c r="D45" s="19" t="n">
        <v>1841</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7267</v>
      </c>
      <c r="C57" s="18">
        <f>(4838.0/B57*100)</f>
        <v/>
      </c>
      <c r="D57" s="19" t="n">
        <v>2429</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4546</v>
      </c>
      <c r="C60" s="18">
        <f>(3009.0/B60*100)</f>
        <v/>
      </c>
      <c r="D60" s="19" t="n">
        <v>1537</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5325</v>
      </c>
      <c r="C66" s="18">
        <f>(3558.0/B66*100)</f>
        <v/>
      </c>
      <c r="D66" s="19" t="n">
        <v>1767</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(3415.0/B71*100)</f>
        <v/>
      </c>
      <c r="D71" s="19" t="n">
        <v>1461</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1657</v>
      </c>
      <c r="C81" s="18">
        <f>(1113.0/B81*100)</f>
        <v/>
      </c>
      <c r="D81" s="19" t="n">
        <v>544</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914</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34.38246487</v>
      </c>
      <c r="F44" s="20" t="n">
        <v>1.57804189</v>
      </c>
      <c r="G44" s="18" t="n">
        <v>48.0193256</v>
      </c>
      <c r="H44" s="20" t="n">
        <v>1.60029914</v>
      </c>
      <c r="I44" s="18" t="n">
        <v>0</v>
      </c>
      <c r="J44" s="20" t="n">
        <v>0</v>
      </c>
      <c r="K44" s="18" t="n">
        <v>8.618610990000001</v>
      </c>
      <c r="L44" s="20" t="n">
        <v>0.8819054</v>
      </c>
      <c r="M44" s="18" t="n">
        <v>0</v>
      </c>
      <c r="N44" s="20" t="n">
        <v>0</v>
      </c>
      <c r="O44" s="18" t="n">
        <v>0.47562794</v>
      </c>
      <c r="P44" s="20" t="n">
        <v>0.19058283</v>
      </c>
      <c r="Q44" s="18" t="n">
        <v>8.503970600000001</v>
      </c>
      <c r="R44" s="20" t="n">
        <v>1.02812932</v>
      </c>
    </row>
    <row r="45" spans="1:18">
      <c r="A45" s="15" t="s">
        <v>604</v>
      </c>
      <c r="B45" s="17" t="n">
        <v>5519</v>
      </c>
      <c r="C45" s="18">
        <f>(3678.0/B45*100)</f>
        <v/>
      </c>
      <c r="D45" s="19" t="n">
        <v>1841</v>
      </c>
      <c r="E45" s="18" t="n">
        <v>45.99674026</v>
      </c>
      <c r="F45" s="20" t="n">
        <v>1.29873904</v>
      </c>
      <c r="G45" s="18" t="n">
        <v>35.87962414</v>
      </c>
      <c r="H45" s="20" t="n">
        <v>1.30596776</v>
      </c>
      <c r="I45" s="18" t="n">
        <v>0</v>
      </c>
      <c r="J45" s="20" t="n">
        <v>0</v>
      </c>
      <c r="K45" s="18" t="n">
        <v>10.66051485</v>
      </c>
      <c r="L45" s="20" t="n">
        <v>0.89722326</v>
      </c>
      <c r="M45" s="18" t="n">
        <v>0.8731506</v>
      </c>
      <c r="N45" s="20" t="n">
        <v>0.1808051</v>
      </c>
      <c r="O45" s="18" t="n">
        <v>2.48194605</v>
      </c>
      <c r="P45" s="20" t="n">
        <v>0.42307833</v>
      </c>
      <c r="Q45" s="18" t="n">
        <v>4.10802411</v>
      </c>
      <c r="R45" s="20" t="n">
        <v>0.5003892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43.70860347</v>
      </c>
      <c r="F54" s="20" t="n">
        <v>1.3041498</v>
      </c>
      <c r="G54" s="18" t="n">
        <v>47.24518313</v>
      </c>
      <c r="H54" s="20" t="n">
        <v>1.42948298</v>
      </c>
      <c r="I54" s="18" t="n">
        <v>0</v>
      </c>
      <c r="J54" s="20" t="n">
        <v>0</v>
      </c>
      <c r="K54" s="18" t="n">
        <v>6.5597656</v>
      </c>
      <c r="L54" s="20" t="n">
        <v>0.68606852</v>
      </c>
      <c r="M54" s="18" t="n">
        <v>0</v>
      </c>
      <c r="N54" s="20" t="n">
        <v>0</v>
      </c>
      <c r="O54" s="18" t="n">
        <v>0.35663889</v>
      </c>
      <c r="P54" s="20" t="n">
        <v>0.23402696</v>
      </c>
      <c r="Q54" s="18" t="n">
        <v>2.12980891</v>
      </c>
      <c r="R54" s="20" t="n">
        <v>0.37175523</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44.82160142</v>
      </c>
      <c r="F56" s="20" t="n">
        <v>1.24686491</v>
      </c>
      <c r="G56" s="18" t="n">
        <v>50.26241915</v>
      </c>
      <c r="H56" s="20" t="n">
        <v>1.31868652</v>
      </c>
      <c r="I56" s="18" t="n">
        <v>0</v>
      </c>
      <c r="J56" s="20" t="n">
        <v>0</v>
      </c>
      <c r="K56" s="18" t="n">
        <v>3.65620881</v>
      </c>
      <c r="L56" s="20" t="n">
        <v>0.5462082</v>
      </c>
      <c r="M56" s="18" t="n">
        <v>0</v>
      </c>
      <c r="N56" s="20" t="n">
        <v>0</v>
      </c>
      <c r="O56" s="18" t="n">
        <v>0</v>
      </c>
      <c r="P56" s="20" t="n">
        <v>0</v>
      </c>
      <c r="Q56" s="18" t="n">
        <v>1.25977062</v>
      </c>
      <c r="R56" s="20" t="n">
        <v>0.22619235</v>
      </c>
    </row>
    <row r="57" spans="1:18">
      <c r="A57" s="15" t="s">
        <v>616</v>
      </c>
      <c r="B57" s="17" t="n">
        <v>7267</v>
      </c>
      <c r="C57" s="18">
        <f>(4838.0/B57*100)</f>
        <v/>
      </c>
      <c r="D57" s="19" t="n">
        <v>2429</v>
      </c>
      <c r="E57" s="18" t="n">
        <v>43.20860285</v>
      </c>
      <c r="F57" s="20" t="n">
        <v>1.51615732</v>
      </c>
      <c r="G57" s="18" t="n">
        <v>48.32454726</v>
      </c>
      <c r="H57" s="20" t="n">
        <v>1.37652907</v>
      </c>
      <c r="I57" s="18" t="n">
        <v>0</v>
      </c>
      <c r="J57" s="20" t="n">
        <v>0</v>
      </c>
      <c r="K57" s="18" t="n">
        <v>5.59787977</v>
      </c>
      <c r="L57" s="20" t="n">
        <v>0.67105079</v>
      </c>
      <c r="M57" s="18" t="n">
        <v>0</v>
      </c>
      <c r="N57" s="20" t="n">
        <v>0</v>
      </c>
      <c r="O57" s="18" t="n">
        <v>0.45136563</v>
      </c>
      <c r="P57" s="20" t="n">
        <v>0.22974661</v>
      </c>
      <c r="Q57" s="18" t="n">
        <v>2.4176045</v>
      </c>
      <c r="R57" s="20" t="n">
        <v>0.42581105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50.64568433</v>
      </c>
      <c r="F59" s="20" t="n">
        <v>1.45626838</v>
      </c>
      <c r="G59" s="18" t="n">
        <v>40.80780042</v>
      </c>
      <c r="H59" s="20" t="n">
        <v>1.40622487</v>
      </c>
      <c r="I59" s="18" t="n">
        <v>0</v>
      </c>
      <c r="J59" s="20" t="n">
        <v>0</v>
      </c>
      <c r="K59" s="18" t="n">
        <v>2.54521165</v>
      </c>
      <c r="L59" s="20" t="n">
        <v>0.4145702</v>
      </c>
      <c r="M59" s="18" t="n">
        <v>0.20962206</v>
      </c>
      <c r="N59" s="20" t="n">
        <v>0.15040114</v>
      </c>
      <c r="O59" s="18" t="n">
        <v>1.01429382</v>
      </c>
      <c r="P59" s="20" t="n">
        <v>0.29152251</v>
      </c>
      <c r="Q59" s="18" t="n">
        <v>4.77738772</v>
      </c>
      <c r="R59" s="20" t="n">
        <v>0.60761209</v>
      </c>
    </row>
    <row r="60" spans="1:18">
      <c r="A60" s="15" t="s">
        <v>620</v>
      </c>
      <c r="B60" s="17" t="n">
        <v>4546</v>
      </c>
      <c r="C60" s="18">
        <f>(3009.0/B60*100)</f>
        <v/>
      </c>
      <c r="D60" s="19" t="n">
        <v>1537</v>
      </c>
      <c r="E60" s="18" t="n">
        <v>43.44666954</v>
      </c>
      <c r="F60" s="20" t="n">
        <v>1.50497749</v>
      </c>
      <c r="G60" s="18" t="n">
        <v>37.5784412</v>
      </c>
      <c r="H60" s="20" t="n">
        <v>1.57337632</v>
      </c>
      <c r="I60" s="18" t="n">
        <v>0</v>
      </c>
      <c r="J60" s="20" t="n">
        <v>0</v>
      </c>
      <c r="K60" s="18" t="n">
        <v>14.18952737</v>
      </c>
      <c r="L60" s="20" t="n">
        <v>0.95486465</v>
      </c>
      <c r="M60" s="18" t="n">
        <v>0</v>
      </c>
      <c r="N60" s="20" t="n">
        <v>0</v>
      </c>
      <c r="O60" s="18" t="n">
        <v>2.2302542</v>
      </c>
      <c r="P60" s="20" t="n">
        <v>0.48919391</v>
      </c>
      <c r="Q60" s="18" t="n">
        <v>2.55510769</v>
      </c>
      <c r="R60" s="20" t="n">
        <v>0.485072</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49.74838712</v>
      </c>
      <c r="F63" s="20" t="n">
        <v>1.32877107</v>
      </c>
      <c r="G63" s="18" t="n">
        <v>34.58879256</v>
      </c>
      <c r="H63" s="20" t="n">
        <v>1.28388426</v>
      </c>
      <c r="I63" s="18" t="n">
        <v>0</v>
      </c>
      <c r="J63" s="20" t="n">
        <v>0</v>
      </c>
      <c r="K63" s="18" t="n">
        <v>9.108667260000001</v>
      </c>
      <c r="L63" s="20" t="n">
        <v>0.71677588</v>
      </c>
      <c r="M63" s="18" t="n">
        <v>0</v>
      </c>
      <c r="N63" s="20" t="n">
        <v>0</v>
      </c>
      <c r="O63" s="18" t="n">
        <v>0.74664066</v>
      </c>
      <c r="P63" s="20" t="n">
        <v>0.21808522</v>
      </c>
      <c r="Q63" s="18" t="n">
        <v>5.8075124</v>
      </c>
      <c r="R63" s="20" t="n">
        <v>0.6038478900000001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35.89244869</v>
      </c>
      <c r="F65" s="20" t="n">
        <v>1.25372943</v>
      </c>
      <c r="G65" s="18" t="n">
        <v>56.08206317</v>
      </c>
      <c r="H65" s="20" t="n">
        <v>1.24854644</v>
      </c>
      <c r="I65" s="18" t="n">
        <v>0</v>
      </c>
      <c r="J65" s="20" t="n">
        <v>0</v>
      </c>
      <c r="K65" s="18" t="n">
        <v>5.86683769</v>
      </c>
      <c r="L65" s="20" t="n">
        <v>0.58478524</v>
      </c>
      <c r="M65" s="18" t="n">
        <v>0</v>
      </c>
      <c r="N65" s="20" t="n">
        <v>0</v>
      </c>
      <c r="O65" s="18" t="n">
        <v>0.19460356</v>
      </c>
      <c r="P65" s="20" t="n">
        <v>0.1776579</v>
      </c>
      <c r="Q65" s="18" t="n">
        <v>1.96404689</v>
      </c>
      <c r="R65" s="20" t="n">
        <v>0.39297799</v>
      </c>
    </row>
    <row r="66" spans="1:18">
      <c r="A66" s="15" t="s">
        <v>626</v>
      </c>
      <c r="B66" s="17" t="n">
        <v>5325</v>
      </c>
      <c r="C66" s="18">
        <f>(3558.0/B66*100)</f>
        <v/>
      </c>
      <c r="D66" s="19" t="n">
        <v>1767</v>
      </c>
      <c r="E66" s="18" t="n">
        <v>36.42440442</v>
      </c>
      <c r="F66" s="20" t="n">
        <v>1.22271041</v>
      </c>
      <c r="G66" s="18" t="n">
        <v>47.32578622</v>
      </c>
      <c r="H66" s="20" t="n">
        <v>1.36493415</v>
      </c>
      <c r="I66" s="18" t="n">
        <v>0</v>
      </c>
      <c r="J66" s="20" t="n">
        <v>0</v>
      </c>
      <c r="K66" s="18" t="n">
        <v>11.65104351</v>
      </c>
      <c r="L66" s="20" t="n">
        <v>0.88167699</v>
      </c>
      <c r="M66" s="18" t="n">
        <v>1.58814434</v>
      </c>
      <c r="N66" s="20" t="n">
        <v>0.31996146</v>
      </c>
      <c r="O66" s="18" t="n">
        <v>0</v>
      </c>
      <c r="P66" s="20" t="n">
        <v>0</v>
      </c>
      <c r="Q66" s="18" t="n">
        <v>3.01062151</v>
      </c>
      <c r="R66" s="20" t="n">
        <v>0.40209248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43.31633589</v>
      </c>
      <c r="F69" s="20" t="n">
        <v>3.26746455</v>
      </c>
      <c r="G69" s="18" t="n">
        <v>52.88070338</v>
      </c>
      <c r="H69" s="20" t="n">
        <v>2.9915953</v>
      </c>
      <c r="I69" s="18" t="n">
        <v>0</v>
      </c>
      <c r="J69" s="20" t="n">
        <v>0</v>
      </c>
      <c r="K69" s="18" t="n">
        <v>3.00265024</v>
      </c>
      <c r="L69" s="20" t="n">
        <v>0.9873289</v>
      </c>
      <c r="M69" s="18" t="n">
        <v>0</v>
      </c>
      <c r="N69" s="20" t="n">
        <v>0</v>
      </c>
      <c r="O69" s="18" t="n">
        <v>0</v>
      </c>
      <c r="P69" s="20" t="n">
        <v>0</v>
      </c>
      <c r="Q69" s="18" t="n">
        <v>0.80031049</v>
      </c>
      <c r="R69" s="20" t="n">
        <v>0.39183852</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(3242.0/B71*100)</f>
        <v/>
      </c>
      <c r="D71" s="19" t="n">
        <v>1634</v>
      </c>
      <c r="E71" s="18" t="n">
        <v>54.82910893</v>
      </c>
      <c r="F71" s="20" t="n">
        <v>1.37242735</v>
      </c>
      <c r="G71" s="18" t="n">
        <v>44.778723</v>
      </c>
      <c r="H71" s="20" t="n">
        <v>1.35558209</v>
      </c>
      <c r="I71" s="18" t="n">
        <v>0</v>
      </c>
      <c r="J71" s="20" t="n">
        <v>0</v>
      </c>
      <c r="K71" s="18" t="n">
        <v>0.17436868</v>
      </c>
      <c r="L71" s="20" t="n">
        <v>0.10066012</v>
      </c>
      <c r="M71" s="18" t="n">
        <v>0</v>
      </c>
      <c r="N71" s="20" t="n">
        <v>0</v>
      </c>
      <c r="O71" s="18" t="n">
        <v>0</v>
      </c>
      <c r="P71" s="20" t="n">
        <v>0</v>
      </c>
      <c r="Q71" s="18" t="n">
        <v>0.2177994</v>
      </c>
      <c r="R71" s="20" t="n">
        <v>0.11056032</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32.07630953</v>
      </c>
      <c r="F76" s="20" t="n">
        <v>1.42868359</v>
      </c>
      <c r="G76" s="18" t="n">
        <v>53.48166234</v>
      </c>
      <c r="H76" s="20" t="n">
        <v>1.43262249</v>
      </c>
      <c r="I76" s="18" t="n">
        <v>0</v>
      </c>
      <c r="J76" s="20" t="n">
        <v>0</v>
      </c>
      <c r="K76" s="18" t="n">
        <v>12.43478025</v>
      </c>
      <c r="L76" s="20" t="n">
        <v>0.9076988</v>
      </c>
      <c r="M76" s="18" t="n">
        <v>0</v>
      </c>
      <c r="N76" s="20" t="n">
        <v>0</v>
      </c>
      <c r="O76" s="18" t="n">
        <v>0</v>
      </c>
      <c r="P76" s="20" t="n">
        <v>0</v>
      </c>
      <c r="Q76" s="18" t="n">
        <v>2.00724788</v>
      </c>
      <c r="R76" s="20" t="n">
        <v>0.38727769</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18.41689288</v>
      </c>
      <c r="F80" s="20" t="n">
        <v>1.20738022</v>
      </c>
      <c r="G80" s="18" t="n">
        <v>81.55343344000001</v>
      </c>
      <c r="H80" s="20" t="n">
        <v>1.20784482</v>
      </c>
      <c r="I80" s="18" t="n">
        <v>0</v>
      </c>
      <c r="J80" s="20" t="n">
        <v>0</v>
      </c>
      <c r="K80" s="18" t="n">
        <v>0</v>
      </c>
      <c r="L80" s="20" t="n">
        <v>0</v>
      </c>
      <c r="M80" s="18" t="n">
        <v>0</v>
      </c>
      <c r="N80" s="20" t="n">
        <v>0</v>
      </c>
      <c r="O80" s="18" t="n">
        <v>0</v>
      </c>
      <c r="P80" s="20" t="n">
        <v>0</v>
      </c>
      <c r="Q80" s="18" t="n">
        <v>0.02967368</v>
      </c>
      <c r="R80" s="20" t="n">
        <v>0.0297553</v>
      </c>
    </row>
    <row r="81" spans="1:18">
      <c r="A81" s="15" t="s">
        <v>641</v>
      </c>
      <c r="B81" s="17" t="n">
        <v>1657</v>
      </c>
      <c r="C81" s="18">
        <f>(1113.0/B81*100)</f>
        <v/>
      </c>
      <c r="D81" s="19" t="n">
        <v>544</v>
      </c>
      <c r="E81" s="18" t="n">
        <v>20.90238869</v>
      </c>
      <c r="F81" s="20" t="n">
        <v>1.82190096</v>
      </c>
      <c r="G81" s="18" t="n">
        <v>68.75953465000001</v>
      </c>
      <c r="H81" s="20" t="n">
        <v>2.20024069</v>
      </c>
      <c r="I81" s="18" t="n">
        <v>0</v>
      </c>
      <c r="J81" s="20" t="n">
        <v>0</v>
      </c>
      <c r="K81" s="18" t="n">
        <v>9.17827716</v>
      </c>
      <c r="L81" s="20" t="n">
        <v>0.94581759</v>
      </c>
      <c r="M81" s="18" t="n">
        <v>0</v>
      </c>
      <c r="N81" s="20" t="n">
        <v>0</v>
      </c>
      <c r="O81" s="18" t="n">
        <v>0.4305298</v>
      </c>
      <c r="P81" s="20" t="n">
        <v>0.3199012</v>
      </c>
      <c r="Q81" s="18" t="n">
        <v>0.7292697</v>
      </c>
      <c r="R81" s="20" t="n">
        <v>0.25945268</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4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26.02928136</v>
      </c>
      <c r="F44" s="20" t="n">
        <v>1.4880752</v>
      </c>
      <c r="G44" s="18" t="n">
        <v>41.91935413</v>
      </c>
      <c r="H44" s="20" t="n">
        <v>1.80277247</v>
      </c>
      <c r="I44" s="18" t="n">
        <v>0</v>
      </c>
      <c r="J44" s="20" t="n">
        <v>0</v>
      </c>
      <c r="K44" s="18" t="n">
        <v>9.4345166</v>
      </c>
      <c r="L44" s="20" t="n">
        <v>0.91333318</v>
      </c>
      <c r="M44" s="18" t="n">
        <v>0</v>
      </c>
      <c r="N44" s="20" t="n">
        <v>0</v>
      </c>
      <c r="O44" s="18" t="n">
        <v>0</v>
      </c>
      <c r="P44" s="20" t="n">
        <v>0</v>
      </c>
      <c r="Q44" s="18" t="n">
        <v>22.61684791</v>
      </c>
      <c r="R44" s="20" t="n">
        <v>1.45368729</v>
      </c>
    </row>
    <row r="45" spans="1:18">
      <c r="A45" s="15" t="s">
        <v>604</v>
      </c>
      <c r="B45" s="17" t="n">
        <v>5519</v>
      </c>
      <c r="C45" s="18">
        <f>(3678.0/B45*100)</f>
        <v/>
      </c>
      <c r="D45" s="19" t="n">
        <v>1841</v>
      </c>
      <c r="E45" s="18" t="n">
        <v>62.57440728</v>
      </c>
      <c r="F45" s="20" t="n">
        <v>1.41474139</v>
      </c>
      <c r="G45" s="18" t="n">
        <v>5.28585004</v>
      </c>
      <c r="H45" s="20" t="n">
        <v>0.63553639</v>
      </c>
      <c r="I45" s="18" t="n">
        <v>0</v>
      </c>
      <c r="J45" s="20" t="n">
        <v>0</v>
      </c>
      <c r="K45" s="18" t="n">
        <v>11.95062664</v>
      </c>
      <c r="L45" s="20" t="n">
        <v>0.89317242</v>
      </c>
      <c r="M45" s="18" t="n">
        <v>0.32082397</v>
      </c>
      <c r="N45" s="20" t="n">
        <v>0.14827943</v>
      </c>
      <c r="O45" s="18" t="n">
        <v>0.12979712</v>
      </c>
      <c r="P45" s="20" t="n">
        <v>0.07774507</v>
      </c>
      <c r="Q45" s="18" t="n">
        <v>19.73849495</v>
      </c>
      <c r="R45" s="20" t="n">
        <v>1.23051327</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17.63647147</v>
      </c>
      <c r="F54" s="20" t="n">
        <v>1.19857144</v>
      </c>
      <c r="G54" s="18" t="n">
        <v>24.30694923</v>
      </c>
      <c r="H54" s="20" t="n">
        <v>1.34325069</v>
      </c>
      <c r="I54" s="18" t="n">
        <v>0</v>
      </c>
      <c r="J54" s="20" t="n">
        <v>0</v>
      </c>
      <c r="K54" s="18" t="n">
        <v>7.5840316</v>
      </c>
      <c r="L54" s="20" t="n">
        <v>0.7219136900000001</v>
      </c>
      <c r="M54" s="18" t="n">
        <v>0</v>
      </c>
      <c r="N54" s="20" t="n">
        <v>0</v>
      </c>
      <c r="O54" s="18" t="n">
        <v>0.10445526</v>
      </c>
      <c r="P54" s="20" t="n">
        <v>0.07369916999999999</v>
      </c>
      <c r="Q54" s="18" t="n">
        <v>50.36809244</v>
      </c>
      <c r="R54" s="20" t="n">
        <v>1.59873616</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61.30118424</v>
      </c>
      <c r="F56" s="20" t="n">
        <v>1.13252697</v>
      </c>
      <c r="G56" s="18" t="n">
        <v>27.65760947</v>
      </c>
      <c r="H56" s="20" t="n">
        <v>1.10979247</v>
      </c>
      <c r="I56" s="18" t="n">
        <v>0</v>
      </c>
      <c r="J56" s="20" t="n">
        <v>0</v>
      </c>
      <c r="K56" s="18" t="n">
        <v>4.30179486</v>
      </c>
      <c r="L56" s="20" t="n">
        <v>0.5996247099999999</v>
      </c>
      <c r="M56" s="18" t="n">
        <v>0.01777495</v>
      </c>
      <c r="N56" s="20" t="n">
        <v>0.0177797</v>
      </c>
      <c r="O56" s="18" t="n">
        <v>0</v>
      </c>
      <c r="P56" s="20" t="n">
        <v>0</v>
      </c>
      <c r="Q56" s="18" t="n">
        <v>6.72163648</v>
      </c>
      <c r="R56" s="20" t="n">
        <v>0.7093754799999999</v>
      </c>
    </row>
    <row r="57" spans="1:18">
      <c r="A57" s="15" t="s">
        <v>616</v>
      </c>
      <c r="B57" s="17" t="n">
        <v>7267</v>
      </c>
      <c r="C57" s="18">
        <f>(4838.0/B57*100)</f>
        <v/>
      </c>
      <c r="D57" s="19" t="n">
        <v>2429</v>
      </c>
      <c r="E57" s="18" t="n">
        <v>72.33136635</v>
      </c>
      <c r="F57" s="20" t="n">
        <v>1.16689593</v>
      </c>
      <c r="G57" s="18" t="n">
        <v>6.69906296</v>
      </c>
      <c r="H57" s="20" t="n">
        <v>0.64999552</v>
      </c>
      <c r="I57" s="18" t="n">
        <v>0</v>
      </c>
      <c r="J57" s="20" t="n">
        <v>0</v>
      </c>
      <c r="K57" s="18" t="n">
        <v>5.89311087</v>
      </c>
      <c r="L57" s="20" t="n">
        <v>0.67894197</v>
      </c>
      <c r="M57" s="18" t="n">
        <v>0</v>
      </c>
      <c r="N57" s="20" t="n">
        <v>0</v>
      </c>
      <c r="O57" s="18" t="n">
        <v>0</v>
      </c>
      <c r="P57" s="20" t="n">
        <v>0</v>
      </c>
      <c r="Q57" s="18" t="n">
        <v>15.07645982</v>
      </c>
      <c r="R57" s="20" t="n">
        <v>0.9670973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56.31469001</v>
      </c>
      <c r="F59" s="20" t="n">
        <v>1.40977894</v>
      </c>
      <c r="G59" s="18" t="n">
        <v>16.25136045</v>
      </c>
      <c r="H59" s="20" t="n">
        <v>1.05442559</v>
      </c>
      <c r="I59" s="18" t="n">
        <v>0</v>
      </c>
      <c r="J59" s="20" t="n">
        <v>0</v>
      </c>
      <c r="K59" s="18" t="n">
        <v>3.04871159</v>
      </c>
      <c r="L59" s="20" t="n">
        <v>0.47716317</v>
      </c>
      <c r="M59" s="18" t="n">
        <v>0</v>
      </c>
      <c r="N59" s="20" t="n">
        <v>0</v>
      </c>
      <c r="O59" s="18" t="n">
        <v>0</v>
      </c>
      <c r="P59" s="20" t="n">
        <v>0</v>
      </c>
      <c r="Q59" s="18" t="n">
        <v>24.38523794</v>
      </c>
      <c r="R59" s="20" t="n">
        <v>1.2652451</v>
      </c>
    </row>
    <row r="60" spans="1:18">
      <c r="A60" s="15" t="s">
        <v>620</v>
      </c>
      <c r="B60" s="17" t="n">
        <v>4546</v>
      </c>
      <c r="C60" s="18">
        <f>(3009.0/B60*100)</f>
        <v/>
      </c>
      <c r="D60" s="19" t="n">
        <v>1537</v>
      </c>
      <c r="E60" s="18" t="n">
        <v>40.07534151</v>
      </c>
      <c r="F60" s="20" t="n">
        <v>1.43944187</v>
      </c>
      <c r="G60" s="18" t="n">
        <v>7.67546878</v>
      </c>
      <c r="H60" s="20" t="n">
        <v>0.86967192</v>
      </c>
      <c r="I60" s="18" t="n">
        <v>0</v>
      </c>
      <c r="J60" s="20" t="n">
        <v>0</v>
      </c>
      <c r="K60" s="18" t="n">
        <v>16.4512228</v>
      </c>
      <c r="L60" s="20" t="n">
        <v>1.08364682</v>
      </c>
      <c r="M60" s="18" t="n">
        <v>0.08545089</v>
      </c>
      <c r="N60" s="20" t="n">
        <v>0.08634103999999999</v>
      </c>
      <c r="O60" s="18" t="n">
        <v>0.08088084</v>
      </c>
      <c r="P60" s="20" t="n">
        <v>0.08199227000000001</v>
      </c>
      <c r="Q60" s="18" t="n">
        <v>35.63163517</v>
      </c>
      <c r="R60" s="20" t="n">
        <v>1.42080998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22.52934364</v>
      </c>
      <c r="F63" s="20" t="n">
        <v>1.06812805</v>
      </c>
      <c r="G63" s="18" t="n">
        <v>15.15237161</v>
      </c>
      <c r="H63" s="20" t="n">
        <v>0.97982373</v>
      </c>
      <c r="I63" s="18" t="n">
        <v>0</v>
      </c>
      <c r="J63" s="20" t="n">
        <v>0</v>
      </c>
      <c r="K63" s="18" t="n">
        <v>10.46349852</v>
      </c>
      <c r="L63" s="20" t="n">
        <v>0.74070209</v>
      </c>
      <c r="M63" s="18" t="n">
        <v>0</v>
      </c>
      <c r="N63" s="20" t="n">
        <v>0</v>
      </c>
      <c r="O63" s="18" t="n">
        <v>0</v>
      </c>
      <c r="P63" s="20" t="n">
        <v>0</v>
      </c>
      <c r="Q63" s="18" t="n">
        <v>51.85478623</v>
      </c>
      <c r="R63" s="20" t="n">
        <v>1.29436964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30.78523668</v>
      </c>
      <c r="F65" s="20" t="n">
        <v>1.32647039</v>
      </c>
      <c r="G65" s="18" t="n">
        <v>31.61967179</v>
      </c>
      <c r="H65" s="20" t="n">
        <v>1.26228599</v>
      </c>
      <c r="I65" s="18" t="n">
        <v>0</v>
      </c>
      <c r="J65" s="20" t="n">
        <v>0</v>
      </c>
      <c r="K65" s="18" t="n">
        <v>6.58636358</v>
      </c>
      <c r="L65" s="20" t="n">
        <v>0.61891839</v>
      </c>
      <c r="M65" s="18" t="n">
        <v>0</v>
      </c>
      <c r="N65" s="20" t="n">
        <v>0</v>
      </c>
      <c r="O65" s="18" t="n">
        <v>0</v>
      </c>
      <c r="P65" s="20" t="n">
        <v>0</v>
      </c>
      <c r="Q65" s="18" t="n">
        <v>31.00872795</v>
      </c>
      <c r="R65" s="20" t="n">
        <v>1.28006503</v>
      </c>
    </row>
    <row r="66" spans="1:18">
      <c r="A66" s="15" t="s">
        <v>626</v>
      </c>
      <c r="B66" s="17" t="n">
        <v>5325</v>
      </c>
      <c r="C66" s="18">
        <f>(3558.0/B66*100)</f>
        <v/>
      </c>
      <c r="D66" s="19" t="n">
        <v>1767</v>
      </c>
      <c r="E66" s="18" t="n">
        <v>6.8454967</v>
      </c>
      <c r="F66" s="20" t="n">
        <v>0.58240952</v>
      </c>
      <c r="G66" s="18" t="n">
        <v>2.96514063</v>
      </c>
      <c r="H66" s="20" t="n">
        <v>0.53916858</v>
      </c>
      <c r="I66" s="18" t="n">
        <v>0</v>
      </c>
      <c r="J66" s="20" t="n">
        <v>0</v>
      </c>
      <c r="K66" s="18" t="n">
        <v>1.59907909</v>
      </c>
      <c r="L66" s="20" t="n">
        <v>0.31482441</v>
      </c>
      <c r="M66" s="18" t="n">
        <v>80.24906367</v>
      </c>
      <c r="N66" s="20" t="n">
        <v>0.74093526</v>
      </c>
      <c r="O66" s="18" t="n">
        <v>0</v>
      </c>
      <c r="P66" s="20" t="n">
        <v>0</v>
      </c>
      <c r="Q66" s="18" t="n">
        <v>8.34121991</v>
      </c>
      <c r="R66" s="20" t="n">
        <v>0.74482459</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52.58465058</v>
      </c>
      <c r="F69" s="20" t="n">
        <v>2.19901073</v>
      </c>
      <c r="G69" s="18" t="n">
        <v>26.65801347</v>
      </c>
      <c r="H69" s="20" t="n">
        <v>2.54023189</v>
      </c>
      <c r="I69" s="18" t="n">
        <v>0</v>
      </c>
      <c r="J69" s="20" t="n">
        <v>0</v>
      </c>
      <c r="K69" s="18" t="n">
        <v>3.20809321</v>
      </c>
      <c r="L69" s="20" t="n">
        <v>0.94910894</v>
      </c>
      <c r="M69" s="18" t="n">
        <v>0</v>
      </c>
      <c r="N69" s="20" t="n">
        <v>0</v>
      </c>
      <c r="O69" s="18" t="n">
        <v>0</v>
      </c>
      <c r="P69" s="20" t="n">
        <v>0</v>
      </c>
      <c r="Q69" s="18" t="n">
        <v>17.54924273</v>
      </c>
      <c r="R69" s="20" t="n">
        <v>1.93200846</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(3242.0/B71*100)</f>
        <v/>
      </c>
      <c r="D71" s="19" t="n">
        <v>1634</v>
      </c>
      <c r="E71" s="18" t="n">
        <v>57.71744577</v>
      </c>
      <c r="F71" s="20" t="n">
        <v>1.55945022</v>
      </c>
      <c r="G71" s="18" t="n">
        <v>40.70394749</v>
      </c>
      <c r="H71" s="20" t="n">
        <v>1.54561334</v>
      </c>
      <c r="I71" s="18" t="n">
        <v>0</v>
      </c>
      <c r="J71" s="20" t="n">
        <v>0</v>
      </c>
      <c r="K71" s="18" t="n">
        <v>0.17436868</v>
      </c>
      <c r="L71" s="20" t="n">
        <v>0.10066012</v>
      </c>
      <c r="M71" s="18" t="n">
        <v>0</v>
      </c>
      <c r="N71" s="20" t="n">
        <v>0</v>
      </c>
      <c r="O71" s="18" t="n">
        <v>0</v>
      </c>
      <c r="P71" s="20" t="n">
        <v>0</v>
      </c>
      <c r="Q71" s="18" t="n">
        <v>1.40423806</v>
      </c>
      <c r="R71" s="20" t="n">
        <v>0.43097934</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31.43649062</v>
      </c>
      <c r="F76" s="20" t="n">
        <v>1.43708625</v>
      </c>
      <c r="G76" s="18" t="n">
        <v>21.96588817</v>
      </c>
      <c r="H76" s="20" t="n">
        <v>1.2504943</v>
      </c>
      <c r="I76" s="18" t="n">
        <v>0</v>
      </c>
      <c r="J76" s="20" t="n">
        <v>0</v>
      </c>
      <c r="K76" s="18" t="n">
        <v>15.16208633</v>
      </c>
      <c r="L76" s="20" t="n">
        <v>1.00927367</v>
      </c>
      <c r="M76" s="18" t="n">
        <v>0</v>
      </c>
      <c r="N76" s="20" t="n">
        <v>0</v>
      </c>
      <c r="O76" s="18" t="n">
        <v>0</v>
      </c>
      <c r="P76" s="20" t="n">
        <v>0</v>
      </c>
      <c r="Q76" s="18" t="n">
        <v>31.43553488</v>
      </c>
      <c r="R76" s="20" t="n">
        <v>1.27605034</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62.83955187</v>
      </c>
      <c r="F80" s="20" t="n">
        <v>1.34953678</v>
      </c>
      <c r="G80" s="18" t="n">
        <v>35.53254097</v>
      </c>
      <c r="H80" s="20" t="n">
        <v>1.38601904</v>
      </c>
      <c r="I80" s="18" t="n">
        <v>0</v>
      </c>
      <c r="J80" s="20" t="n">
        <v>0</v>
      </c>
      <c r="K80" s="18" t="n">
        <v>0</v>
      </c>
      <c r="L80" s="20" t="n">
        <v>0</v>
      </c>
      <c r="M80" s="18" t="n">
        <v>0</v>
      </c>
      <c r="N80" s="20" t="n">
        <v>0</v>
      </c>
      <c r="O80" s="18" t="n">
        <v>0</v>
      </c>
      <c r="P80" s="20" t="n">
        <v>0</v>
      </c>
      <c r="Q80" s="18" t="n">
        <v>1.62790716</v>
      </c>
      <c r="R80" s="20" t="n">
        <v>0.42562019</v>
      </c>
    </row>
    <row r="81" spans="1:18">
      <c r="A81" s="15" t="s">
        <v>641</v>
      </c>
      <c r="B81" s="17" t="n">
        <v>1657</v>
      </c>
      <c r="C81" s="18">
        <f>(1113.0/B81*100)</f>
        <v/>
      </c>
      <c r="D81" s="19" t="n">
        <v>544</v>
      </c>
      <c r="E81" s="18" t="n">
        <v>40.56673399</v>
      </c>
      <c r="F81" s="20" t="n">
        <v>2.42633146</v>
      </c>
      <c r="G81" s="18" t="n">
        <v>23.47202794</v>
      </c>
      <c r="H81" s="20" t="n">
        <v>2.60918828</v>
      </c>
      <c r="I81" s="18" t="n">
        <v>0</v>
      </c>
      <c r="J81" s="20" t="n">
        <v>0</v>
      </c>
      <c r="K81" s="18" t="n">
        <v>9.640076280000001</v>
      </c>
      <c r="L81" s="20" t="n">
        <v>0.9966873000000001</v>
      </c>
      <c r="M81" s="18" t="n">
        <v>0</v>
      </c>
      <c r="N81" s="20" t="n">
        <v>0</v>
      </c>
      <c r="O81" s="18" t="n">
        <v>0</v>
      </c>
      <c r="P81" s="20" t="n">
        <v>0</v>
      </c>
      <c r="Q81" s="18" t="n">
        <v>26.32116178</v>
      </c>
      <c r="R81" s="20" t="n">
        <v>2.1677905</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(3479.0/B44*100)</f>
        <v/>
      </c>
      <c r="D44" s="19" t="n">
        <v>1736</v>
      </c>
      <c r="E44" s="18" t="n">
        <v>50.60162823</v>
      </c>
      <c r="F44" s="20" t="n">
        <v>1.6101998</v>
      </c>
      <c r="G44" s="18" t="n">
        <v>37.35570767</v>
      </c>
      <c r="H44" s="20" t="n">
        <v>1.55191522</v>
      </c>
      <c r="I44" s="18" t="n">
        <v>0</v>
      </c>
      <c r="J44" s="20" t="n">
        <v>0</v>
      </c>
      <c r="K44" s="18" t="n">
        <v>10.79687824</v>
      </c>
      <c r="L44" s="20" t="n">
        <v>0.96138671</v>
      </c>
      <c r="M44" s="18" t="n">
        <v>0</v>
      </c>
      <c r="N44" s="20" t="n">
        <v>0</v>
      </c>
      <c r="O44" s="18" t="n">
        <v>1.24578586</v>
      </c>
      <c r="P44" s="20" t="n">
        <v>0.26527651</v>
      </c>
      <c r="Q44" s="18" t="n">
        <v>0</v>
      </c>
      <c r="R44" s="20" t="n">
        <v>0</v>
      </c>
    </row>
    <row r="45" spans="1:18">
      <c r="A45" s="15" t="s">
        <v>604</v>
      </c>
      <c r="B45" s="17" t="n">
        <v>5519</v>
      </c>
      <c r="C45" s="18">
        <f>(3678.0/B45*100)</f>
        <v/>
      </c>
      <c r="D45" s="19" t="n">
        <v>1841</v>
      </c>
      <c r="E45" s="18" t="n">
        <v>54.65833421</v>
      </c>
      <c r="F45" s="20" t="n">
        <v>1.33476692</v>
      </c>
      <c r="G45" s="18" t="n">
        <v>27.77957658</v>
      </c>
      <c r="H45" s="20" t="n">
        <v>1.2557513</v>
      </c>
      <c r="I45" s="18" t="n">
        <v>0</v>
      </c>
      <c r="J45" s="20" t="n">
        <v>0</v>
      </c>
      <c r="K45" s="18" t="n">
        <v>13.38138967</v>
      </c>
      <c r="L45" s="20" t="n">
        <v>0.92871763</v>
      </c>
      <c r="M45" s="18" t="n">
        <v>0.59300069</v>
      </c>
      <c r="N45" s="20" t="n">
        <v>0.19175535</v>
      </c>
      <c r="O45" s="18" t="n">
        <v>3.58769884</v>
      </c>
      <c r="P45" s="20" t="n">
        <v>0.5105196</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(3549.0/B54*100)</f>
        <v/>
      </c>
      <c r="D54" s="19" t="n">
        <v>1767</v>
      </c>
      <c r="E54" s="18" t="n">
        <v>54.6407352</v>
      </c>
      <c r="F54" s="20" t="n">
        <v>1.42149626</v>
      </c>
      <c r="G54" s="18" t="n">
        <v>36.61510276</v>
      </c>
      <c r="H54" s="20" t="n">
        <v>1.50698456</v>
      </c>
      <c r="I54" s="18" t="n">
        <v>0</v>
      </c>
      <c r="J54" s="20" t="n">
        <v>0</v>
      </c>
      <c r="K54" s="18" t="n">
        <v>8.077904889999999</v>
      </c>
      <c r="L54" s="20" t="n">
        <v>0.7437438</v>
      </c>
      <c r="M54" s="18" t="n">
        <v>0</v>
      </c>
      <c r="N54" s="20" t="n">
        <v>0</v>
      </c>
      <c r="O54" s="18" t="n">
        <v>0.66625716</v>
      </c>
      <c r="P54" s="20" t="n">
        <v>0.26121114</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(4348.0/B56*100)</f>
        <v/>
      </c>
      <c r="D56" s="19" t="n">
        <v>2165</v>
      </c>
      <c r="E56" s="18" t="n">
        <v>69.62557144</v>
      </c>
      <c r="F56" s="20" t="n">
        <v>1.06841287</v>
      </c>
      <c r="G56" s="18" t="n">
        <v>25.18283618</v>
      </c>
      <c r="H56" s="20" t="n">
        <v>1.16726896</v>
      </c>
      <c r="I56" s="18" t="n">
        <v>0</v>
      </c>
      <c r="J56" s="20" t="n">
        <v>0</v>
      </c>
      <c r="K56" s="18" t="n">
        <v>5.19159238</v>
      </c>
      <c r="L56" s="20" t="n">
        <v>0.64717733</v>
      </c>
      <c r="M56" s="18" t="n">
        <v>0</v>
      </c>
      <c r="N56" s="20" t="n">
        <v>0</v>
      </c>
      <c r="O56" s="18" t="n">
        <v>0</v>
      </c>
      <c r="P56" s="20" t="n">
        <v>0</v>
      </c>
      <c r="Q56" s="18" t="n">
        <v>0</v>
      </c>
      <c r="R56" s="20" t="n">
        <v>0</v>
      </c>
    </row>
    <row r="57" spans="1:18">
      <c r="A57" s="15" t="s">
        <v>616</v>
      </c>
      <c r="B57" s="17" t="n">
        <v>7267</v>
      </c>
      <c r="C57" s="18">
        <f>(4838.0/B57*100)</f>
        <v/>
      </c>
      <c r="D57" s="19" t="n">
        <v>2429</v>
      </c>
      <c r="E57" s="18" t="n">
        <v>39.69720506</v>
      </c>
      <c r="F57" s="20" t="n">
        <v>1.39937456</v>
      </c>
      <c r="G57" s="18" t="n">
        <v>52.66814016</v>
      </c>
      <c r="H57" s="20" t="n">
        <v>1.38276101</v>
      </c>
      <c r="I57" s="18" t="n">
        <v>0</v>
      </c>
      <c r="J57" s="20" t="n">
        <v>0</v>
      </c>
      <c r="K57" s="18" t="n">
        <v>7.24352953</v>
      </c>
      <c r="L57" s="20" t="n">
        <v>0.7971845</v>
      </c>
      <c r="M57" s="18" t="n">
        <v>0</v>
      </c>
      <c r="N57" s="20" t="n">
        <v>0</v>
      </c>
      <c r="O57" s="18" t="n">
        <v>0.39112525</v>
      </c>
      <c r="P57" s="20" t="n">
        <v>0.1299946</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(3238.0/B59*100)</f>
        <v/>
      </c>
      <c r="D59" s="19" t="n">
        <v>1588</v>
      </c>
      <c r="E59" s="18" t="n">
        <v>64.22572741</v>
      </c>
      <c r="F59" s="20" t="n">
        <v>1.47262732</v>
      </c>
      <c r="G59" s="18" t="n">
        <v>29.65982234</v>
      </c>
      <c r="H59" s="20" t="n">
        <v>1.32566988</v>
      </c>
      <c r="I59" s="18" t="n">
        <v>0</v>
      </c>
      <c r="J59" s="20" t="n">
        <v>0</v>
      </c>
      <c r="K59" s="18" t="n">
        <v>3.64154967</v>
      </c>
      <c r="L59" s="20" t="n">
        <v>0.4719391</v>
      </c>
      <c r="M59" s="18" t="n">
        <v>0.33759206</v>
      </c>
      <c r="N59" s="20" t="n">
        <v>0.22145547</v>
      </c>
      <c r="O59" s="18" t="n">
        <v>2.13530852</v>
      </c>
      <c r="P59" s="20" t="n">
        <v>0.47233513</v>
      </c>
      <c r="Q59" s="18" t="n">
        <v>0</v>
      </c>
      <c r="R59" s="20" t="n">
        <v>0</v>
      </c>
    </row>
    <row r="60" spans="1:18">
      <c r="A60" s="15" t="s">
        <v>620</v>
      </c>
      <c r="B60" s="17" t="n">
        <v>4546</v>
      </c>
      <c r="C60" s="18">
        <f>(3009.0/B60*100)</f>
        <v/>
      </c>
      <c r="D60" s="19" t="n">
        <v>1537</v>
      </c>
      <c r="E60" s="18" t="n">
        <v>48.73767678</v>
      </c>
      <c r="F60" s="20" t="n">
        <v>1.41697792</v>
      </c>
      <c r="G60" s="18" t="n">
        <v>30.40841549</v>
      </c>
      <c r="H60" s="20" t="n">
        <v>1.252588</v>
      </c>
      <c r="I60" s="18" t="n">
        <v>0</v>
      </c>
      <c r="J60" s="20" t="n">
        <v>0</v>
      </c>
      <c r="K60" s="18" t="n">
        <v>17.60321382</v>
      </c>
      <c r="L60" s="20" t="n">
        <v>1.08537618</v>
      </c>
      <c r="M60" s="18" t="n">
        <v>0</v>
      </c>
      <c r="N60" s="20" t="n">
        <v>0</v>
      </c>
      <c r="O60" s="18" t="n">
        <v>3.25069391</v>
      </c>
      <c r="P60" s="20" t="n">
        <v>0.56399579</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(3538.0/B63*100)</f>
        <v/>
      </c>
      <c r="D63" s="19" t="n">
        <v>1786</v>
      </c>
      <c r="E63" s="18" t="n">
        <v>49.24706313</v>
      </c>
      <c r="F63" s="20" t="n">
        <v>1.28559554</v>
      </c>
      <c r="G63" s="18" t="n">
        <v>37.99304422</v>
      </c>
      <c r="H63" s="20" t="n">
        <v>1.17550958</v>
      </c>
      <c r="I63" s="18" t="n">
        <v>0</v>
      </c>
      <c r="J63" s="20" t="n">
        <v>0</v>
      </c>
      <c r="K63" s="18" t="n">
        <v>11.30421936</v>
      </c>
      <c r="L63" s="20" t="n">
        <v>0.76829136</v>
      </c>
      <c r="M63" s="18" t="n">
        <v>0</v>
      </c>
      <c r="N63" s="20" t="n">
        <v>0</v>
      </c>
      <c r="O63" s="18" t="n">
        <v>1.4556733</v>
      </c>
      <c r="P63" s="20" t="n">
        <v>0.31604258</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(2437.0/B65*100)</f>
        <v/>
      </c>
      <c r="D65" s="19" t="n">
        <v>1197</v>
      </c>
      <c r="E65" s="18" t="n">
        <v>51.06570106</v>
      </c>
      <c r="F65" s="20" t="n">
        <v>1.32928103</v>
      </c>
      <c r="G65" s="18" t="n">
        <v>42.10333283</v>
      </c>
      <c r="H65" s="20" t="n">
        <v>1.40861053</v>
      </c>
      <c r="I65" s="18" t="n">
        <v>0</v>
      </c>
      <c r="J65" s="20" t="n">
        <v>0</v>
      </c>
      <c r="K65" s="18" t="n">
        <v>6.6570265</v>
      </c>
      <c r="L65" s="20" t="n">
        <v>0.63441841</v>
      </c>
      <c r="M65" s="18" t="n">
        <v>0</v>
      </c>
      <c r="N65" s="20" t="n">
        <v>0</v>
      </c>
      <c r="O65" s="18" t="n">
        <v>0.1739396</v>
      </c>
      <c r="P65" s="20" t="n">
        <v>0.12259799</v>
      </c>
      <c r="Q65" s="18" t="n">
        <v>0</v>
      </c>
      <c r="R65" s="20" t="n">
        <v>0</v>
      </c>
    </row>
    <row r="66" spans="1:18">
      <c r="A66" s="15" t="s">
        <v>626</v>
      </c>
      <c r="B66" s="17" t="n">
        <v>5325</v>
      </c>
      <c r="C66" s="18">
        <f>(3558.0/B66*100)</f>
        <v/>
      </c>
      <c r="D66" s="19" t="n">
        <v>1767</v>
      </c>
      <c r="E66" s="18" t="n">
        <v>49.44638362</v>
      </c>
      <c r="F66" s="20" t="n">
        <v>1.26532651</v>
      </c>
      <c r="G66" s="18" t="n">
        <v>34.44222011</v>
      </c>
      <c r="H66" s="20" t="n">
        <v>1.32103612</v>
      </c>
      <c r="I66" s="18" t="n">
        <v>0</v>
      </c>
      <c r="J66" s="20" t="n">
        <v>0</v>
      </c>
      <c r="K66" s="18" t="n">
        <v>13.07875613</v>
      </c>
      <c r="L66" s="20" t="n">
        <v>0.89814945</v>
      </c>
      <c r="M66" s="18" t="n">
        <v>3.03264015</v>
      </c>
      <c r="N66" s="20" t="n">
        <v>0.43640554</v>
      </c>
      <c r="O66" s="18" t="n">
        <v>0</v>
      </c>
      <c r="P66" s="20" t="n">
        <v>0</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(931.0/B69*100)</f>
        <v/>
      </c>
      <c r="D69" s="19" t="n">
        <v>467</v>
      </c>
      <c r="E69" s="18" t="n">
        <v>65.25185904999999</v>
      </c>
      <c r="F69" s="20" t="n">
        <v>3.35517949</v>
      </c>
      <c r="G69" s="18" t="n">
        <v>30.94505499</v>
      </c>
      <c r="H69" s="20" t="n">
        <v>3.23296859</v>
      </c>
      <c r="I69" s="18" t="n">
        <v>0</v>
      </c>
      <c r="J69" s="20" t="n">
        <v>0</v>
      </c>
      <c r="K69" s="18" t="n">
        <v>3.33843019</v>
      </c>
      <c r="L69" s="20" t="n">
        <v>0.96260996</v>
      </c>
      <c r="M69" s="18" t="n">
        <v>0</v>
      </c>
      <c r="N69" s="20" t="n">
        <v>0</v>
      </c>
      <c r="O69" s="18" t="n">
        <v>0.46465577</v>
      </c>
      <c r="P69" s="20" t="n">
        <v>0.3203536</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(3242.0/B71*100)</f>
        <v/>
      </c>
      <c r="D71" s="19" t="n">
        <v>1634</v>
      </c>
      <c r="E71" s="18" t="n">
        <v>64.78230348</v>
      </c>
      <c r="F71" s="20" t="n">
        <v>1.46559384</v>
      </c>
      <c r="G71" s="18" t="n">
        <v>34.82715909</v>
      </c>
      <c r="H71" s="20" t="n">
        <v>1.4766822</v>
      </c>
      <c r="I71" s="18" t="n">
        <v>0</v>
      </c>
      <c r="J71" s="20" t="n">
        <v>0</v>
      </c>
      <c r="K71" s="18" t="n">
        <v>0.39053743</v>
      </c>
      <c r="L71" s="20" t="n">
        <v>0.14887406</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(3121.0/B76*100)</f>
        <v/>
      </c>
      <c r="D76" s="19" t="n">
        <v>1571</v>
      </c>
      <c r="E76" s="18" t="n">
        <v>54.56761054</v>
      </c>
      <c r="F76" s="20" t="n">
        <v>1.30081487</v>
      </c>
      <c r="G76" s="18" t="n">
        <v>29.54047066</v>
      </c>
      <c r="H76" s="20" t="n">
        <v>1.15206649</v>
      </c>
      <c r="I76" s="18" t="n">
        <v>0</v>
      </c>
      <c r="J76" s="20" t="n">
        <v>0</v>
      </c>
      <c r="K76" s="18" t="n">
        <v>15.8919188</v>
      </c>
      <c r="L76" s="20" t="n">
        <v>1.03030179</v>
      </c>
      <c r="M76" s="18" t="n">
        <v>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(3874.0/B80*100)</f>
        <v/>
      </c>
      <c r="D80" s="19" t="n">
        <v>1952</v>
      </c>
      <c r="E80" s="18" t="n">
        <v>32.11388956</v>
      </c>
      <c r="F80" s="20" t="n">
        <v>1.31752487</v>
      </c>
      <c r="G80" s="18" t="n">
        <v>67.88611044</v>
      </c>
      <c r="H80" s="20" t="n">
        <v>1.31752487</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(1113.0/B81*100)</f>
        <v/>
      </c>
      <c r="D81" s="19" t="n">
        <v>544</v>
      </c>
      <c r="E81" s="18" t="n">
        <v>45.09032346</v>
      </c>
      <c r="F81" s="20" t="n">
        <v>3.15786335</v>
      </c>
      <c r="G81" s="18" t="n">
        <v>44.82135209</v>
      </c>
      <c r="H81" s="20" t="n">
        <v>3.43428508</v>
      </c>
      <c r="I81" s="18" t="n">
        <v>0</v>
      </c>
      <c r="J81" s="20" t="n">
        <v>0</v>
      </c>
      <c r="K81" s="18" t="n">
        <v>9.81214355</v>
      </c>
      <c r="L81" s="20" t="n">
        <v>1.01053579</v>
      </c>
      <c r="M81" s="18" t="n">
        <v>0</v>
      </c>
      <c r="N81" s="20" t="n">
        <v>0</v>
      </c>
      <c r="O81" s="18" t="n">
        <v>0.2761809</v>
      </c>
      <c r="P81" s="20" t="n">
        <v>0.21035419</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36.78894987</v>
      </c>
      <c r="F44" s="20" t="n">
        <v>1.66361495</v>
      </c>
      <c r="G44" s="18" t="n">
        <v>56.21327449</v>
      </c>
      <c r="H44" s="20" t="n">
        <v>1.79841987</v>
      </c>
      <c r="I44" s="18" t="n">
        <v>0</v>
      </c>
      <c r="J44" s="20" t="n">
        <v>0</v>
      </c>
      <c r="K44" s="18" t="n">
        <v>0.98268839</v>
      </c>
      <c r="L44" s="20" t="n">
        <v>0.19051247</v>
      </c>
      <c r="M44" s="18" t="n">
        <v>0</v>
      </c>
      <c r="N44" s="20" t="n">
        <v>0</v>
      </c>
      <c r="O44" s="18" t="n">
        <v>0</v>
      </c>
      <c r="P44" s="20" t="n">
        <v>0</v>
      </c>
      <c r="Q44" s="18" t="n">
        <v>6.01508726</v>
      </c>
      <c r="R44" s="20" t="n">
        <v>0.60725567</v>
      </c>
    </row>
    <row r="45" spans="1:18">
      <c r="A45" s="15" t="s">
        <v>604</v>
      </c>
      <c r="B45" s="17" t="n">
        <v>5519</v>
      </c>
      <c r="C45" s="18">
        <f>(3687.0/B45*100)</f>
        <v/>
      </c>
      <c r="D45" s="19" t="n">
        <v>1832</v>
      </c>
      <c r="E45" s="18" t="n">
        <v>50.11079325</v>
      </c>
      <c r="F45" s="20" t="n">
        <v>1.17384823</v>
      </c>
      <c r="G45" s="18" t="n">
        <v>41.60064571</v>
      </c>
      <c r="H45" s="20" t="n">
        <v>1.22310356</v>
      </c>
      <c r="I45" s="18" t="n">
        <v>0</v>
      </c>
      <c r="J45" s="20" t="n">
        <v>0</v>
      </c>
      <c r="K45" s="18" t="n">
        <v>4.2169085</v>
      </c>
      <c r="L45" s="20" t="n">
        <v>0.5619027599999999</v>
      </c>
      <c r="M45" s="18" t="n">
        <v>0.26190924</v>
      </c>
      <c r="N45" s="20" t="n">
        <v>0.1315505</v>
      </c>
      <c r="O45" s="18" t="n">
        <v>0.05554925</v>
      </c>
      <c r="P45" s="20" t="n">
        <v>0.05938389</v>
      </c>
      <c r="Q45" s="18" t="n">
        <v>3.75419405</v>
      </c>
      <c r="R45" s="20" t="n">
        <v>0.53145382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52.30172199</v>
      </c>
      <c r="F54" s="20" t="n">
        <v>1.30225407</v>
      </c>
      <c r="G54" s="18" t="n">
        <v>43.35024137</v>
      </c>
      <c r="H54" s="20" t="n">
        <v>1.30712711</v>
      </c>
      <c r="I54" s="18" t="n">
        <v>0</v>
      </c>
      <c r="J54" s="20" t="n">
        <v>0</v>
      </c>
      <c r="K54" s="18" t="n">
        <v>1.12785098</v>
      </c>
      <c r="L54" s="20" t="n">
        <v>0.25598777</v>
      </c>
      <c r="M54" s="18" t="n">
        <v>0</v>
      </c>
      <c r="N54" s="20" t="n">
        <v>0</v>
      </c>
      <c r="O54" s="18" t="n">
        <v>0</v>
      </c>
      <c r="P54" s="20" t="n">
        <v>0</v>
      </c>
      <c r="Q54" s="18" t="n">
        <v>3.22018566</v>
      </c>
      <c r="R54" s="20" t="n">
        <v>0.40098198</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51.04642715</v>
      </c>
      <c r="F56" s="20" t="n">
        <v>1.36427618</v>
      </c>
      <c r="G56" s="18" t="n">
        <v>46.72744702</v>
      </c>
      <c r="H56" s="20" t="n">
        <v>1.43969262</v>
      </c>
      <c r="I56" s="18" t="n">
        <v>0</v>
      </c>
      <c r="J56" s="20" t="n">
        <v>0</v>
      </c>
      <c r="K56" s="18" t="n">
        <v>0.8191238</v>
      </c>
      <c r="L56" s="20" t="n">
        <v>0.25393165</v>
      </c>
      <c r="M56" s="18" t="n">
        <v>0</v>
      </c>
      <c r="N56" s="20" t="n">
        <v>0</v>
      </c>
      <c r="O56" s="18" t="n">
        <v>0</v>
      </c>
      <c r="P56" s="20" t="n">
        <v>0</v>
      </c>
      <c r="Q56" s="18" t="n">
        <v>1.40700203</v>
      </c>
      <c r="R56" s="20" t="n">
        <v>0.26606712</v>
      </c>
    </row>
    <row r="57" spans="1:18">
      <c r="A57" s="15" t="s">
        <v>616</v>
      </c>
      <c r="B57" s="17" t="n">
        <v>7267</v>
      </c>
      <c r="C57" s="18">
        <f>(4862.0/B57*100)</f>
        <v/>
      </c>
      <c r="D57" s="19" t="n">
        <v>2405</v>
      </c>
      <c r="E57" s="18" t="n">
        <v>46.83564415</v>
      </c>
      <c r="F57" s="20" t="n">
        <v>1.33842681</v>
      </c>
      <c r="G57" s="18" t="n">
        <v>49.73700108</v>
      </c>
      <c r="H57" s="20" t="n">
        <v>1.36298452</v>
      </c>
      <c r="I57" s="18" t="n">
        <v>0</v>
      </c>
      <c r="J57" s="20" t="n">
        <v>0</v>
      </c>
      <c r="K57" s="18" t="n">
        <v>1.30233075</v>
      </c>
      <c r="L57" s="20" t="n">
        <v>0.25366026</v>
      </c>
      <c r="M57" s="18" t="n">
        <v>0</v>
      </c>
      <c r="N57" s="20" t="n">
        <v>0</v>
      </c>
      <c r="O57" s="18" t="n">
        <v>0</v>
      </c>
      <c r="P57" s="20" t="n">
        <v>0</v>
      </c>
      <c r="Q57" s="18" t="n">
        <v>2.12502403</v>
      </c>
      <c r="R57" s="20" t="n">
        <v>0.35132247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55.1802913</v>
      </c>
      <c r="F59" s="20" t="n">
        <v>1.46675579</v>
      </c>
      <c r="G59" s="18" t="n">
        <v>41.99020011</v>
      </c>
      <c r="H59" s="20" t="n">
        <v>1.40931704</v>
      </c>
      <c r="I59" s="18" t="n">
        <v>0</v>
      </c>
      <c r="J59" s="20" t="n">
        <v>0</v>
      </c>
      <c r="K59" s="18" t="n">
        <v>0.34773025</v>
      </c>
      <c r="L59" s="20" t="n">
        <v>0.10783987</v>
      </c>
      <c r="M59" s="18" t="n">
        <v>0.02855063</v>
      </c>
      <c r="N59" s="20" t="n">
        <v>0.02850862</v>
      </c>
      <c r="O59" s="18" t="n">
        <v>0</v>
      </c>
      <c r="P59" s="20" t="n">
        <v>0</v>
      </c>
      <c r="Q59" s="18" t="n">
        <v>2.4532277</v>
      </c>
      <c r="R59" s="20" t="n">
        <v>0.36944785</v>
      </c>
    </row>
    <row r="60" spans="1:18">
      <c r="A60" s="15" t="s">
        <v>620</v>
      </c>
      <c r="B60" s="17" t="n">
        <v>4546</v>
      </c>
      <c r="C60" s="18">
        <f>(3023.0/B60*100)</f>
        <v/>
      </c>
      <c r="D60" s="19" t="n">
        <v>1523</v>
      </c>
      <c r="E60" s="18" t="n">
        <v>45.099539</v>
      </c>
      <c r="F60" s="20" t="n">
        <v>1.7796317</v>
      </c>
      <c r="G60" s="18" t="n">
        <v>48.58426768</v>
      </c>
      <c r="H60" s="20" t="n">
        <v>1.83589789</v>
      </c>
      <c r="I60" s="18" t="n">
        <v>0</v>
      </c>
      <c r="J60" s="20" t="n">
        <v>0</v>
      </c>
      <c r="K60" s="18" t="n">
        <v>2.31652533</v>
      </c>
      <c r="L60" s="20" t="n">
        <v>0.40290568</v>
      </c>
      <c r="M60" s="18" t="n">
        <v>0</v>
      </c>
      <c r="N60" s="20" t="n">
        <v>0</v>
      </c>
      <c r="O60" s="18" t="n">
        <v>0</v>
      </c>
      <c r="P60" s="20" t="n">
        <v>0</v>
      </c>
      <c r="Q60" s="18" t="n">
        <v>3.99966799</v>
      </c>
      <c r="R60" s="20" t="n">
        <v>0.5569934600000001</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48.07556682</v>
      </c>
      <c r="F63" s="20" t="n">
        <v>1.23024852</v>
      </c>
      <c r="G63" s="18" t="n">
        <v>44.6881757</v>
      </c>
      <c r="H63" s="20" t="n">
        <v>1.23582986</v>
      </c>
      <c r="I63" s="18" t="n">
        <v>0</v>
      </c>
      <c r="J63" s="20" t="n">
        <v>0</v>
      </c>
      <c r="K63" s="18" t="n">
        <v>1.68125833</v>
      </c>
      <c r="L63" s="20" t="n">
        <v>0.30977563</v>
      </c>
      <c r="M63" s="18" t="n">
        <v>0</v>
      </c>
      <c r="N63" s="20" t="n">
        <v>0</v>
      </c>
      <c r="O63" s="18" t="n">
        <v>0</v>
      </c>
      <c r="P63" s="20" t="n">
        <v>0</v>
      </c>
      <c r="Q63" s="18" t="n">
        <v>5.55499915</v>
      </c>
      <c r="R63" s="20" t="n">
        <v>0.56681363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38.53268762</v>
      </c>
      <c r="F65" s="20" t="n">
        <v>1.28864231</v>
      </c>
      <c r="G65" s="18" t="n">
        <v>58.90515547</v>
      </c>
      <c r="H65" s="20" t="n">
        <v>1.32453144</v>
      </c>
      <c r="I65" s="18" t="n">
        <v>0</v>
      </c>
      <c r="J65" s="20" t="n">
        <v>0</v>
      </c>
      <c r="K65" s="18" t="n">
        <v>1.36039805</v>
      </c>
      <c r="L65" s="20" t="n">
        <v>0.37465288</v>
      </c>
      <c r="M65" s="18" t="n">
        <v>0</v>
      </c>
      <c r="N65" s="20" t="n">
        <v>0</v>
      </c>
      <c r="O65" s="18" t="n">
        <v>0</v>
      </c>
      <c r="P65" s="20" t="n">
        <v>0</v>
      </c>
      <c r="Q65" s="18" t="n">
        <v>1.20175886</v>
      </c>
      <c r="R65" s="20" t="n">
        <v>0.28842812</v>
      </c>
    </row>
    <row r="66" spans="1:18">
      <c r="A66" s="15" t="s">
        <v>626</v>
      </c>
      <c r="B66" s="17" t="n">
        <v>5325</v>
      </c>
      <c r="C66" s="18">
        <f>(3572.0/B66*100)</f>
        <v/>
      </c>
      <c r="D66" s="19" t="n">
        <v>1753</v>
      </c>
      <c r="E66" s="18" t="n">
        <v>42.48663758</v>
      </c>
      <c r="F66" s="20" t="n">
        <v>1.34073093</v>
      </c>
      <c r="G66" s="18" t="n">
        <v>51.4320719</v>
      </c>
      <c r="H66" s="20" t="n">
        <v>1.3938891</v>
      </c>
      <c r="I66" s="18" t="n">
        <v>0</v>
      </c>
      <c r="J66" s="20" t="n">
        <v>0</v>
      </c>
      <c r="K66" s="18" t="n">
        <v>2.90975401</v>
      </c>
      <c r="L66" s="20" t="n">
        <v>0.4785518</v>
      </c>
      <c r="M66" s="18" t="n">
        <v>0</v>
      </c>
      <c r="N66" s="20" t="n">
        <v>0</v>
      </c>
      <c r="O66" s="18" t="n">
        <v>0</v>
      </c>
      <c r="P66" s="20" t="n">
        <v>0</v>
      </c>
      <c r="Q66" s="18" t="n">
        <v>3.17153651</v>
      </c>
      <c r="R66" s="20" t="n">
        <v>0.44673655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42.43630769</v>
      </c>
      <c r="F69" s="20" t="n">
        <v>2.46447749</v>
      </c>
      <c r="G69" s="18" t="n">
        <v>55.70229245</v>
      </c>
      <c r="H69" s="20" t="n">
        <v>2.34268385</v>
      </c>
      <c r="I69" s="18" t="n">
        <v>0</v>
      </c>
      <c r="J69" s="20" t="n">
        <v>0</v>
      </c>
      <c r="K69" s="18" t="n">
        <v>1.29910705</v>
      </c>
      <c r="L69" s="20" t="n">
        <v>0.77578859</v>
      </c>
      <c r="M69" s="18" t="n">
        <v>0</v>
      </c>
      <c r="N69" s="20" t="n">
        <v>0</v>
      </c>
      <c r="O69" s="18" t="n">
        <v>0</v>
      </c>
      <c r="P69" s="20" t="n">
        <v>0</v>
      </c>
      <c r="Q69" s="18" t="n">
        <v>0.5622928</v>
      </c>
      <c r="R69" s="20" t="n">
        <v>0.32539858</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50.76797626</v>
      </c>
      <c r="F71" s="20" t="n">
        <v>1.34582072</v>
      </c>
      <c r="G71" s="18" t="n">
        <v>49.23202374</v>
      </c>
      <c r="H71" s="20" t="n">
        <v>1.34582072</v>
      </c>
      <c r="I71" s="18" t="n">
        <v>0</v>
      </c>
      <c r="J71" s="20" t="n">
        <v>0</v>
      </c>
      <c r="K71" s="18" t="n">
        <v>0</v>
      </c>
      <c r="L71" s="20" t="n">
        <v>0</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40.81674791</v>
      </c>
      <c r="F76" s="20" t="n">
        <v>1.16654936</v>
      </c>
      <c r="G76" s="18" t="n">
        <v>51.63466637</v>
      </c>
      <c r="H76" s="20" t="n">
        <v>1.14057748</v>
      </c>
      <c r="I76" s="18" t="n">
        <v>0</v>
      </c>
      <c r="J76" s="20" t="n">
        <v>0</v>
      </c>
      <c r="K76" s="18" t="n">
        <v>3.69799135</v>
      </c>
      <c r="L76" s="20" t="n">
        <v>0.49116001</v>
      </c>
      <c r="M76" s="18" t="n">
        <v>0</v>
      </c>
      <c r="N76" s="20" t="n">
        <v>0</v>
      </c>
      <c r="O76" s="18" t="n">
        <v>0</v>
      </c>
      <c r="P76" s="20" t="n">
        <v>0</v>
      </c>
      <c r="Q76" s="18" t="n">
        <v>3.85059437</v>
      </c>
      <c r="R76" s="20" t="n">
        <v>0.44743525</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25.43728789</v>
      </c>
      <c r="F80" s="20" t="n">
        <v>1.2221097</v>
      </c>
      <c r="G80" s="18" t="n">
        <v>74.56271211000001</v>
      </c>
      <c r="H80" s="20" t="n">
        <v>1.2221097</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27.72136377</v>
      </c>
      <c r="F81" s="20" t="n">
        <v>2.67158352</v>
      </c>
      <c r="G81" s="18" t="n">
        <v>66.64597865</v>
      </c>
      <c r="H81" s="20" t="n">
        <v>2.77437561</v>
      </c>
      <c r="I81" s="18" t="n">
        <v>0</v>
      </c>
      <c r="J81" s="20" t="n">
        <v>0</v>
      </c>
      <c r="K81" s="18" t="n">
        <v>2.86758423</v>
      </c>
      <c r="L81" s="20" t="n">
        <v>0.71671177</v>
      </c>
      <c r="M81" s="18" t="n">
        <v>0.21626829</v>
      </c>
      <c r="N81" s="20" t="n">
        <v>0.2167421</v>
      </c>
      <c r="O81" s="18" t="n">
        <v>0</v>
      </c>
      <c r="P81" s="20" t="n">
        <v>0</v>
      </c>
      <c r="Q81" s="18" t="n">
        <v>2.54880506</v>
      </c>
      <c r="R81" s="20" t="n">
        <v>0.58973658</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37.67415978</v>
      </c>
      <c r="F44" s="20" t="n">
        <v>1.6607097</v>
      </c>
      <c r="G44" s="18" t="n">
        <v>23.28137021</v>
      </c>
      <c r="H44" s="20" t="n">
        <v>1.33385259</v>
      </c>
      <c r="I44" s="18" t="n">
        <v>0</v>
      </c>
      <c r="J44" s="20" t="n">
        <v>0</v>
      </c>
      <c r="K44" s="18" t="n">
        <v>1.03296617</v>
      </c>
      <c r="L44" s="20" t="n">
        <v>0.2016962</v>
      </c>
      <c r="M44" s="18" t="n">
        <v>0</v>
      </c>
      <c r="N44" s="20" t="n">
        <v>0</v>
      </c>
      <c r="O44" s="18" t="n">
        <v>0</v>
      </c>
      <c r="P44" s="20" t="n">
        <v>0</v>
      </c>
      <c r="Q44" s="18" t="n">
        <v>38.01150384</v>
      </c>
      <c r="R44" s="20" t="n">
        <v>1.57992596</v>
      </c>
    </row>
    <row r="45" spans="1:18">
      <c r="A45" s="15" t="s">
        <v>604</v>
      </c>
      <c r="B45" s="17" t="n">
        <v>5519</v>
      </c>
      <c r="C45" s="18">
        <f>(3687.0/B45*100)</f>
        <v/>
      </c>
      <c r="D45" s="19" t="n">
        <v>1832</v>
      </c>
      <c r="E45" s="18" t="n">
        <v>45.88798879</v>
      </c>
      <c r="F45" s="20" t="n">
        <v>1.31049476</v>
      </c>
      <c r="G45" s="18" t="n">
        <v>12.61973024</v>
      </c>
      <c r="H45" s="20" t="n">
        <v>1.00516428</v>
      </c>
      <c r="I45" s="18" t="n">
        <v>0</v>
      </c>
      <c r="J45" s="20" t="n">
        <v>0</v>
      </c>
      <c r="K45" s="18" t="n">
        <v>4.56179441</v>
      </c>
      <c r="L45" s="20" t="n">
        <v>0.55723482</v>
      </c>
      <c r="M45" s="18" t="n">
        <v>0.14169066</v>
      </c>
      <c r="N45" s="20" t="n">
        <v>0.1000861</v>
      </c>
      <c r="O45" s="18" t="n">
        <v>0.04956017</v>
      </c>
      <c r="P45" s="20" t="n">
        <v>0.04673367</v>
      </c>
      <c r="Q45" s="18" t="n">
        <v>36.73923573</v>
      </c>
      <c r="R45" s="20" t="n">
        <v>1.29122173</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38.37369831</v>
      </c>
      <c r="F54" s="20" t="n">
        <v>1.46106743</v>
      </c>
      <c r="G54" s="18" t="n">
        <v>10.88127601</v>
      </c>
      <c r="H54" s="20" t="n">
        <v>0.84884898</v>
      </c>
      <c r="I54" s="18" t="n">
        <v>0</v>
      </c>
      <c r="J54" s="20" t="n">
        <v>0</v>
      </c>
      <c r="K54" s="18" t="n">
        <v>1.31523105</v>
      </c>
      <c r="L54" s="20" t="n">
        <v>0.29320845</v>
      </c>
      <c r="M54" s="18" t="n">
        <v>0</v>
      </c>
      <c r="N54" s="20" t="n">
        <v>0</v>
      </c>
      <c r="O54" s="18" t="n">
        <v>0.05080499</v>
      </c>
      <c r="P54" s="20" t="n">
        <v>0.05023549</v>
      </c>
      <c r="Q54" s="18" t="n">
        <v>49.37898964</v>
      </c>
      <c r="R54" s="20" t="n">
        <v>1.49112528</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70.1512084</v>
      </c>
      <c r="F56" s="20" t="n">
        <v>1.1663359</v>
      </c>
      <c r="G56" s="18" t="n">
        <v>17.58940001</v>
      </c>
      <c r="H56" s="20" t="n">
        <v>1.00561167</v>
      </c>
      <c r="I56" s="18" t="n">
        <v>0</v>
      </c>
      <c r="J56" s="20" t="n">
        <v>0</v>
      </c>
      <c r="K56" s="18" t="n">
        <v>0.85657293</v>
      </c>
      <c r="L56" s="20" t="n">
        <v>0.25653637</v>
      </c>
      <c r="M56" s="18" t="n">
        <v>0</v>
      </c>
      <c r="N56" s="20" t="n">
        <v>0</v>
      </c>
      <c r="O56" s="18" t="n">
        <v>0</v>
      </c>
      <c r="P56" s="20" t="n">
        <v>0</v>
      </c>
      <c r="Q56" s="18" t="n">
        <v>11.40281865</v>
      </c>
      <c r="R56" s="20" t="n">
        <v>1.24332457</v>
      </c>
    </row>
    <row r="57" spans="1:18">
      <c r="A57" s="15" t="s">
        <v>616</v>
      </c>
      <c r="B57" s="17" t="n">
        <v>7267</v>
      </c>
      <c r="C57" s="18">
        <f>(4862.0/B57*100)</f>
        <v/>
      </c>
      <c r="D57" s="19" t="n">
        <v>2405</v>
      </c>
      <c r="E57" s="18" t="n">
        <v>60.62138069</v>
      </c>
      <c r="F57" s="20" t="n">
        <v>1.40616397</v>
      </c>
      <c r="G57" s="18" t="n">
        <v>19.4960021</v>
      </c>
      <c r="H57" s="20" t="n">
        <v>1.1069257</v>
      </c>
      <c r="I57" s="18" t="n">
        <v>0</v>
      </c>
      <c r="J57" s="20" t="n">
        <v>0</v>
      </c>
      <c r="K57" s="18" t="n">
        <v>1.57253042</v>
      </c>
      <c r="L57" s="20" t="n">
        <v>0.28898847</v>
      </c>
      <c r="M57" s="18" t="n">
        <v>0</v>
      </c>
      <c r="N57" s="20" t="n">
        <v>0</v>
      </c>
      <c r="O57" s="18" t="n">
        <v>0</v>
      </c>
      <c r="P57" s="20" t="n">
        <v>0</v>
      </c>
      <c r="Q57" s="18" t="n">
        <v>18.31008679</v>
      </c>
      <c r="R57" s="20" t="n">
        <v>1.11297519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62.18182215</v>
      </c>
      <c r="F59" s="20" t="n">
        <v>1.24882939</v>
      </c>
      <c r="G59" s="18" t="n">
        <v>8.483651180000001</v>
      </c>
      <c r="H59" s="20" t="n">
        <v>0.82679913</v>
      </c>
      <c r="I59" s="18" t="n">
        <v>0</v>
      </c>
      <c r="J59" s="20" t="n">
        <v>0</v>
      </c>
      <c r="K59" s="18" t="n">
        <v>0.41012312</v>
      </c>
      <c r="L59" s="20" t="n">
        <v>0.11324887</v>
      </c>
      <c r="M59" s="18" t="n">
        <v>0.02855063</v>
      </c>
      <c r="N59" s="20" t="n">
        <v>0.02850862</v>
      </c>
      <c r="O59" s="18" t="n">
        <v>0</v>
      </c>
      <c r="P59" s="20" t="n">
        <v>0</v>
      </c>
      <c r="Q59" s="18" t="n">
        <v>28.89585292</v>
      </c>
      <c r="R59" s="20" t="n">
        <v>1.1703037</v>
      </c>
    </row>
    <row r="60" spans="1:18">
      <c r="A60" s="15" t="s">
        <v>620</v>
      </c>
      <c r="B60" s="17" t="n">
        <v>4546</v>
      </c>
      <c r="C60" s="18">
        <f>(3023.0/B60*100)</f>
        <v/>
      </c>
      <c r="D60" s="19" t="n">
        <v>1523</v>
      </c>
      <c r="E60" s="18" t="n">
        <v>46.2927873</v>
      </c>
      <c r="F60" s="20" t="n">
        <v>1.56996211</v>
      </c>
      <c r="G60" s="18" t="n">
        <v>12.4145468</v>
      </c>
      <c r="H60" s="20" t="n">
        <v>0.89700318</v>
      </c>
      <c r="I60" s="18" t="n">
        <v>0</v>
      </c>
      <c r="J60" s="20" t="n">
        <v>0</v>
      </c>
      <c r="K60" s="18" t="n">
        <v>2.72763315</v>
      </c>
      <c r="L60" s="20" t="n">
        <v>0.50662684</v>
      </c>
      <c r="M60" s="18" t="n">
        <v>0</v>
      </c>
      <c r="N60" s="20" t="n">
        <v>0</v>
      </c>
      <c r="O60" s="18" t="n">
        <v>0.08757354000000001</v>
      </c>
      <c r="P60" s="20" t="n">
        <v>0.08795681</v>
      </c>
      <c r="Q60" s="18" t="n">
        <v>38.47745921</v>
      </c>
      <c r="R60" s="20" t="n">
        <v>1.7154558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22.60878844</v>
      </c>
      <c r="F63" s="20" t="n">
        <v>0.97547471</v>
      </c>
      <c r="G63" s="18" t="n">
        <v>9.369532899999999</v>
      </c>
      <c r="H63" s="20" t="n">
        <v>0.75678501</v>
      </c>
      <c r="I63" s="18" t="n">
        <v>0</v>
      </c>
      <c r="J63" s="20" t="n">
        <v>0</v>
      </c>
      <c r="K63" s="18" t="n">
        <v>1.89455457</v>
      </c>
      <c r="L63" s="20" t="n">
        <v>0.32848891</v>
      </c>
      <c r="M63" s="18" t="n">
        <v>0</v>
      </c>
      <c r="N63" s="20" t="n">
        <v>0</v>
      </c>
      <c r="O63" s="18" t="n">
        <v>0.06981907</v>
      </c>
      <c r="P63" s="20" t="n">
        <v>0.07002898</v>
      </c>
      <c r="Q63" s="18" t="n">
        <v>66.05730500999999</v>
      </c>
      <c r="R63" s="20" t="n">
        <v>1.12371977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35.01191709</v>
      </c>
      <c r="F65" s="20" t="n">
        <v>1.27006128</v>
      </c>
      <c r="G65" s="18" t="n">
        <v>40.5809111</v>
      </c>
      <c r="H65" s="20" t="n">
        <v>1.38655359</v>
      </c>
      <c r="I65" s="18" t="n">
        <v>0</v>
      </c>
      <c r="J65" s="20" t="n">
        <v>0</v>
      </c>
      <c r="K65" s="18" t="n">
        <v>1.60832458</v>
      </c>
      <c r="L65" s="20" t="n">
        <v>0.40095664</v>
      </c>
      <c r="M65" s="18" t="n">
        <v>0</v>
      </c>
      <c r="N65" s="20" t="n">
        <v>0</v>
      </c>
      <c r="O65" s="18" t="n">
        <v>0</v>
      </c>
      <c r="P65" s="20" t="n">
        <v>0</v>
      </c>
      <c r="Q65" s="18" t="n">
        <v>22.79884723</v>
      </c>
      <c r="R65" s="20" t="n">
        <v>1.28599674</v>
      </c>
    </row>
    <row r="66" spans="1:18">
      <c r="A66" s="15" t="s">
        <v>626</v>
      </c>
      <c r="B66" s="17" t="n">
        <v>5325</v>
      </c>
      <c r="C66" s="18">
        <f>(3572.0/B66*100)</f>
        <v/>
      </c>
      <c r="D66" s="19" t="n">
        <v>1753</v>
      </c>
      <c r="E66" s="18" t="n">
        <v>34.78443786</v>
      </c>
      <c r="F66" s="20" t="n">
        <v>1.17421373</v>
      </c>
      <c r="G66" s="18" t="n">
        <v>22.07797397</v>
      </c>
      <c r="H66" s="20" t="n">
        <v>1.15006208</v>
      </c>
      <c r="I66" s="18" t="n">
        <v>0</v>
      </c>
      <c r="J66" s="20" t="n">
        <v>0</v>
      </c>
      <c r="K66" s="18" t="n">
        <v>3.75735474</v>
      </c>
      <c r="L66" s="20" t="n">
        <v>0.51965704</v>
      </c>
      <c r="M66" s="18" t="n">
        <v>0</v>
      </c>
      <c r="N66" s="20" t="n">
        <v>0</v>
      </c>
      <c r="O66" s="18" t="n">
        <v>0</v>
      </c>
      <c r="P66" s="20" t="n">
        <v>0</v>
      </c>
      <c r="Q66" s="18" t="n">
        <v>39.38023343</v>
      </c>
      <c r="R66" s="20" t="n">
        <v>1.21075265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56.65951452</v>
      </c>
      <c r="F69" s="20" t="n">
        <v>2.92972409</v>
      </c>
      <c r="G69" s="18" t="n">
        <v>22.49092222</v>
      </c>
      <c r="H69" s="20" t="n">
        <v>2.21926162</v>
      </c>
      <c r="I69" s="18" t="n">
        <v>0</v>
      </c>
      <c r="J69" s="20" t="n">
        <v>0</v>
      </c>
      <c r="K69" s="18" t="n">
        <v>1.29910705</v>
      </c>
      <c r="L69" s="20" t="n">
        <v>0.77578859</v>
      </c>
      <c r="M69" s="18" t="n">
        <v>0</v>
      </c>
      <c r="N69" s="20" t="n">
        <v>0</v>
      </c>
      <c r="O69" s="18" t="n">
        <v>0</v>
      </c>
      <c r="P69" s="20" t="n">
        <v>0</v>
      </c>
      <c r="Q69" s="18" t="n">
        <v>19.5504562</v>
      </c>
      <c r="R69" s="20" t="n">
        <v>2.33564547</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64.48620076</v>
      </c>
      <c r="F71" s="20" t="n">
        <v>1.4297859</v>
      </c>
      <c r="G71" s="18" t="n">
        <v>35.07894684</v>
      </c>
      <c r="H71" s="20" t="n">
        <v>1.4283692</v>
      </c>
      <c r="I71" s="18" t="n">
        <v>0</v>
      </c>
      <c r="J71" s="20" t="n">
        <v>0</v>
      </c>
      <c r="K71" s="18" t="n">
        <v>0</v>
      </c>
      <c r="L71" s="20" t="n">
        <v>0</v>
      </c>
      <c r="M71" s="18" t="n">
        <v>0</v>
      </c>
      <c r="N71" s="20" t="n">
        <v>0</v>
      </c>
      <c r="O71" s="18" t="n">
        <v>0</v>
      </c>
      <c r="P71" s="20" t="n">
        <v>0</v>
      </c>
      <c r="Q71" s="18" t="n">
        <v>0.4348524</v>
      </c>
      <c r="R71" s="20" t="n">
        <v>0.15323307</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45.88448178</v>
      </c>
      <c r="F76" s="20" t="n">
        <v>1.3698675</v>
      </c>
      <c r="G76" s="18" t="n">
        <v>25.92534528</v>
      </c>
      <c r="H76" s="20" t="n">
        <v>1.37667234</v>
      </c>
      <c r="I76" s="18" t="n">
        <v>0</v>
      </c>
      <c r="J76" s="20" t="n">
        <v>0</v>
      </c>
      <c r="K76" s="18" t="n">
        <v>4.0993478</v>
      </c>
      <c r="L76" s="20" t="n">
        <v>0.50253567</v>
      </c>
      <c r="M76" s="18" t="n">
        <v>0</v>
      </c>
      <c r="N76" s="20" t="n">
        <v>0</v>
      </c>
      <c r="O76" s="18" t="n">
        <v>0</v>
      </c>
      <c r="P76" s="20" t="n">
        <v>0</v>
      </c>
      <c r="Q76" s="18" t="n">
        <v>24.09082514</v>
      </c>
      <c r="R76" s="20" t="n">
        <v>1.16840088</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66.94073767</v>
      </c>
      <c r="F80" s="20" t="n">
        <v>1.40967629</v>
      </c>
      <c r="G80" s="18" t="n">
        <v>31.49533435</v>
      </c>
      <c r="H80" s="20" t="n">
        <v>1.39024443</v>
      </c>
      <c r="I80" s="18" t="n">
        <v>0</v>
      </c>
      <c r="J80" s="20" t="n">
        <v>0</v>
      </c>
      <c r="K80" s="18" t="n">
        <v>0</v>
      </c>
      <c r="L80" s="20" t="n">
        <v>0</v>
      </c>
      <c r="M80" s="18" t="n">
        <v>0</v>
      </c>
      <c r="N80" s="20" t="n">
        <v>0</v>
      </c>
      <c r="O80" s="18" t="n">
        <v>0</v>
      </c>
      <c r="P80" s="20" t="n">
        <v>0</v>
      </c>
      <c r="Q80" s="18" t="n">
        <v>1.56392797</v>
      </c>
      <c r="R80" s="20" t="n">
        <v>0.30487284</v>
      </c>
    </row>
    <row r="81" spans="1:18">
      <c r="A81" s="15" t="s">
        <v>641</v>
      </c>
      <c r="B81" s="17" t="n">
        <v>1657</v>
      </c>
      <c r="C81" s="18">
        <f>(1109.0/B81*100)</f>
        <v/>
      </c>
      <c r="D81" s="19" t="n">
        <v>548</v>
      </c>
      <c r="E81" s="18" t="n">
        <v>47.09143846</v>
      </c>
      <c r="F81" s="20" t="n">
        <v>2.47285924</v>
      </c>
      <c r="G81" s="18" t="n">
        <v>20.37039462</v>
      </c>
      <c r="H81" s="20" t="n">
        <v>1.96597883</v>
      </c>
      <c r="I81" s="18" t="n">
        <v>0</v>
      </c>
      <c r="J81" s="20" t="n">
        <v>0</v>
      </c>
      <c r="K81" s="18" t="n">
        <v>3.19877078</v>
      </c>
      <c r="L81" s="20" t="n">
        <v>0.84245993</v>
      </c>
      <c r="M81" s="18" t="n">
        <v>0.21626829</v>
      </c>
      <c r="N81" s="20" t="n">
        <v>0.2167421</v>
      </c>
      <c r="O81" s="18" t="n">
        <v>0</v>
      </c>
      <c r="P81" s="20" t="n">
        <v>0</v>
      </c>
      <c r="Q81" s="18" t="n">
        <v>29.12312785</v>
      </c>
      <c r="R81" s="20" t="n">
        <v>2.20751064</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919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50.48067544</v>
      </c>
      <c r="F44" s="20" t="n">
        <v>1.64379389</v>
      </c>
      <c r="G44" s="18" t="n">
        <v>44.5847784</v>
      </c>
      <c r="H44" s="20" t="n">
        <v>1.42775238</v>
      </c>
      <c r="I44" s="18" t="n">
        <v>0</v>
      </c>
      <c r="J44" s="20" t="n">
        <v>0</v>
      </c>
      <c r="K44" s="18" t="n">
        <v>1.12675224</v>
      </c>
      <c r="L44" s="20" t="n">
        <v>0.22300145</v>
      </c>
      <c r="M44" s="18" t="n">
        <v>0</v>
      </c>
      <c r="N44" s="20" t="n">
        <v>0</v>
      </c>
      <c r="O44" s="18" t="n">
        <v>0</v>
      </c>
      <c r="P44" s="20" t="n">
        <v>0</v>
      </c>
      <c r="Q44" s="18" t="n">
        <v>3.80779392</v>
      </c>
      <c r="R44" s="20" t="n">
        <v>0.54176071</v>
      </c>
    </row>
    <row r="45" spans="1:18">
      <c r="A45" s="15" t="s">
        <v>604</v>
      </c>
      <c r="B45" s="17" t="n">
        <v>5519</v>
      </c>
      <c r="C45" s="18">
        <f>(3687.0/B45*100)</f>
        <v/>
      </c>
      <c r="D45" s="19" t="n">
        <v>1832</v>
      </c>
      <c r="E45" s="18" t="n">
        <v>53.61863666</v>
      </c>
      <c r="F45" s="20" t="n">
        <v>1.3647027</v>
      </c>
      <c r="G45" s="18" t="n">
        <v>37.67177414</v>
      </c>
      <c r="H45" s="20" t="n">
        <v>1.25550191</v>
      </c>
      <c r="I45" s="18" t="n">
        <v>0</v>
      </c>
      <c r="J45" s="20" t="n">
        <v>0</v>
      </c>
      <c r="K45" s="18" t="n">
        <v>4.56179441</v>
      </c>
      <c r="L45" s="20" t="n">
        <v>0.55723482</v>
      </c>
      <c r="M45" s="18" t="n">
        <v>0.31112336</v>
      </c>
      <c r="N45" s="20" t="n">
        <v>0.13691297</v>
      </c>
      <c r="O45" s="18" t="n">
        <v>0.05554925</v>
      </c>
      <c r="P45" s="20" t="n">
        <v>0.05938389</v>
      </c>
      <c r="Q45" s="18" t="n">
        <v>3.78112218</v>
      </c>
      <c r="R45" s="20" t="n">
        <v>0.48337918</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47.91835568</v>
      </c>
      <c r="F54" s="20" t="n">
        <v>1.27579667</v>
      </c>
      <c r="G54" s="18" t="n">
        <v>48.16597958</v>
      </c>
      <c r="H54" s="20" t="n">
        <v>1.24795466</v>
      </c>
      <c r="I54" s="18" t="n">
        <v>0</v>
      </c>
      <c r="J54" s="20" t="n">
        <v>0</v>
      </c>
      <c r="K54" s="18" t="n">
        <v>1.31523105</v>
      </c>
      <c r="L54" s="20" t="n">
        <v>0.29320845</v>
      </c>
      <c r="M54" s="18" t="n">
        <v>0</v>
      </c>
      <c r="N54" s="20" t="n">
        <v>0</v>
      </c>
      <c r="O54" s="18" t="n">
        <v>0</v>
      </c>
      <c r="P54" s="20" t="n">
        <v>0</v>
      </c>
      <c r="Q54" s="18" t="n">
        <v>2.60043369</v>
      </c>
      <c r="R54" s="20" t="n">
        <v>0.32252285</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42.15379877</v>
      </c>
      <c r="F56" s="20" t="n">
        <v>1.2497351</v>
      </c>
      <c r="G56" s="18" t="n">
        <v>56.04619416</v>
      </c>
      <c r="H56" s="20" t="n">
        <v>1.31512049</v>
      </c>
      <c r="I56" s="18" t="n">
        <v>0</v>
      </c>
      <c r="J56" s="20" t="n">
        <v>0</v>
      </c>
      <c r="K56" s="18" t="n">
        <v>0.91184675</v>
      </c>
      <c r="L56" s="20" t="n">
        <v>0.261771</v>
      </c>
      <c r="M56" s="18" t="n">
        <v>0</v>
      </c>
      <c r="N56" s="20" t="n">
        <v>0</v>
      </c>
      <c r="O56" s="18" t="n">
        <v>0</v>
      </c>
      <c r="P56" s="20" t="n">
        <v>0</v>
      </c>
      <c r="Q56" s="18" t="n">
        <v>0.8881603300000001</v>
      </c>
      <c r="R56" s="20" t="n">
        <v>0.26239875</v>
      </c>
    </row>
    <row r="57" spans="1:18">
      <c r="A57" s="15" t="s">
        <v>616</v>
      </c>
      <c r="B57" s="17" t="n">
        <v>7267</v>
      </c>
      <c r="C57" s="18">
        <f>(4862.0/B57*100)</f>
        <v/>
      </c>
      <c r="D57" s="19" t="n">
        <v>2405</v>
      </c>
      <c r="E57" s="18" t="n">
        <v>56.27567619</v>
      </c>
      <c r="F57" s="20" t="n">
        <v>1.36808853</v>
      </c>
      <c r="G57" s="18" t="n">
        <v>39.79775094</v>
      </c>
      <c r="H57" s="20" t="n">
        <v>1.31576031</v>
      </c>
      <c r="I57" s="18" t="n">
        <v>0</v>
      </c>
      <c r="J57" s="20" t="n">
        <v>0</v>
      </c>
      <c r="K57" s="18" t="n">
        <v>1.59989028</v>
      </c>
      <c r="L57" s="20" t="n">
        <v>0.28770692</v>
      </c>
      <c r="M57" s="18" t="n">
        <v>0</v>
      </c>
      <c r="N57" s="20" t="n">
        <v>0</v>
      </c>
      <c r="O57" s="18" t="n">
        <v>0</v>
      </c>
      <c r="P57" s="20" t="n">
        <v>0</v>
      </c>
      <c r="Q57" s="18" t="n">
        <v>2.32668259</v>
      </c>
      <c r="R57" s="20" t="n">
        <v>0.38826672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57.69275897</v>
      </c>
      <c r="F59" s="20" t="n">
        <v>1.592441</v>
      </c>
      <c r="G59" s="18" t="n">
        <v>40.02686027</v>
      </c>
      <c r="H59" s="20" t="n">
        <v>1.61331461</v>
      </c>
      <c r="I59" s="18" t="n">
        <v>0</v>
      </c>
      <c r="J59" s="20" t="n">
        <v>0</v>
      </c>
      <c r="K59" s="18" t="n">
        <v>0.41012312</v>
      </c>
      <c r="L59" s="20" t="n">
        <v>0.11324887</v>
      </c>
      <c r="M59" s="18" t="n">
        <v>0.02855063</v>
      </c>
      <c r="N59" s="20" t="n">
        <v>0.02850862</v>
      </c>
      <c r="O59" s="18" t="n">
        <v>0</v>
      </c>
      <c r="P59" s="20" t="n">
        <v>0</v>
      </c>
      <c r="Q59" s="18" t="n">
        <v>1.841707</v>
      </c>
      <c r="R59" s="20" t="n">
        <v>0.28786746</v>
      </c>
    </row>
    <row r="60" spans="1:18">
      <c r="A60" s="15" t="s">
        <v>620</v>
      </c>
      <c r="B60" s="17" t="n">
        <v>4546</v>
      </c>
      <c r="C60" s="18">
        <f>(3023.0/B60*100)</f>
        <v/>
      </c>
      <c r="D60" s="19" t="n">
        <v>1523</v>
      </c>
      <c r="E60" s="18" t="n">
        <v>62.47461818</v>
      </c>
      <c r="F60" s="20" t="n">
        <v>1.59310245</v>
      </c>
      <c r="G60" s="18" t="n">
        <v>29.93812604</v>
      </c>
      <c r="H60" s="20" t="n">
        <v>1.53359389</v>
      </c>
      <c r="I60" s="18" t="n">
        <v>0</v>
      </c>
      <c r="J60" s="20" t="n">
        <v>0</v>
      </c>
      <c r="K60" s="18" t="n">
        <v>2.72763315</v>
      </c>
      <c r="L60" s="20" t="n">
        <v>0.50662684</v>
      </c>
      <c r="M60" s="18" t="n">
        <v>0</v>
      </c>
      <c r="N60" s="20" t="n">
        <v>0</v>
      </c>
      <c r="O60" s="18" t="n">
        <v>0</v>
      </c>
      <c r="P60" s="20" t="n">
        <v>0</v>
      </c>
      <c r="Q60" s="18" t="n">
        <v>4.85962263</v>
      </c>
      <c r="R60" s="20" t="n">
        <v>0.76241793</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52.76835428</v>
      </c>
      <c r="F63" s="20" t="n">
        <v>1.29760498</v>
      </c>
      <c r="G63" s="18" t="n">
        <v>41.17841345</v>
      </c>
      <c r="H63" s="20" t="n">
        <v>1.32420812</v>
      </c>
      <c r="I63" s="18" t="n">
        <v>0</v>
      </c>
      <c r="J63" s="20" t="n">
        <v>0</v>
      </c>
      <c r="K63" s="18" t="n">
        <v>1.97185601</v>
      </c>
      <c r="L63" s="20" t="n">
        <v>0.33177752</v>
      </c>
      <c r="M63" s="18" t="n">
        <v>0</v>
      </c>
      <c r="N63" s="20" t="n">
        <v>0</v>
      </c>
      <c r="O63" s="18" t="n">
        <v>0.15663776</v>
      </c>
      <c r="P63" s="20" t="n">
        <v>0.12367664</v>
      </c>
      <c r="Q63" s="18" t="n">
        <v>3.92473851</v>
      </c>
      <c r="R63" s="20" t="n">
        <v>0.4351315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38.43498733</v>
      </c>
      <c r="F65" s="20" t="n">
        <v>1.47969934</v>
      </c>
      <c r="G65" s="18" t="n">
        <v>58.48797547</v>
      </c>
      <c r="H65" s="20" t="n">
        <v>1.56030932</v>
      </c>
      <c r="I65" s="18" t="n">
        <v>0</v>
      </c>
      <c r="J65" s="20" t="n">
        <v>0</v>
      </c>
      <c r="K65" s="18" t="n">
        <v>1.60832458</v>
      </c>
      <c r="L65" s="20" t="n">
        <v>0.40095664</v>
      </c>
      <c r="M65" s="18" t="n">
        <v>0</v>
      </c>
      <c r="N65" s="20" t="n">
        <v>0</v>
      </c>
      <c r="O65" s="18" t="n">
        <v>0</v>
      </c>
      <c r="P65" s="20" t="n">
        <v>0</v>
      </c>
      <c r="Q65" s="18" t="n">
        <v>1.46871263</v>
      </c>
      <c r="R65" s="20" t="n">
        <v>0.35976626</v>
      </c>
    </row>
    <row r="66" spans="1:18">
      <c r="A66" s="15" t="s">
        <v>626</v>
      </c>
      <c r="B66" s="17" t="n">
        <v>5325</v>
      </c>
      <c r="C66" s="18">
        <f>(3572.0/B66*100)</f>
        <v/>
      </c>
      <c r="D66" s="19" t="n">
        <v>1753</v>
      </c>
      <c r="E66" s="18" t="n">
        <v>52.32934616</v>
      </c>
      <c r="F66" s="20" t="n">
        <v>1.42825471</v>
      </c>
      <c r="G66" s="18" t="n">
        <v>40.72930111</v>
      </c>
      <c r="H66" s="20" t="n">
        <v>1.23513211</v>
      </c>
      <c r="I66" s="18" t="n">
        <v>0</v>
      </c>
      <c r="J66" s="20" t="n">
        <v>0</v>
      </c>
      <c r="K66" s="18" t="n">
        <v>4.04026133</v>
      </c>
      <c r="L66" s="20" t="n">
        <v>0.5429553</v>
      </c>
      <c r="M66" s="18" t="n">
        <v>0</v>
      </c>
      <c r="N66" s="20" t="n">
        <v>0</v>
      </c>
      <c r="O66" s="18" t="n">
        <v>0</v>
      </c>
      <c r="P66" s="20" t="n">
        <v>0</v>
      </c>
      <c r="Q66" s="18" t="n">
        <v>2.90109141</v>
      </c>
      <c r="R66" s="20" t="n">
        <v>0.46391774</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55.03612059</v>
      </c>
      <c r="F69" s="20" t="n">
        <v>2.6466528</v>
      </c>
      <c r="G69" s="18" t="n">
        <v>41.77099807</v>
      </c>
      <c r="H69" s="20" t="n">
        <v>2.32604743</v>
      </c>
      <c r="I69" s="18" t="n">
        <v>0</v>
      </c>
      <c r="J69" s="20" t="n">
        <v>0</v>
      </c>
      <c r="K69" s="18" t="n">
        <v>1.29910705</v>
      </c>
      <c r="L69" s="20" t="n">
        <v>0.77578859</v>
      </c>
      <c r="M69" s="18" t="n">
        <v>0</v>
      </c>
      <c r="N69" s="20" t="n">
        <v>0</v>
      </c>
      <c r="O69" s="18" t="n">
        <v>0</v>
      </c>
      <c r="P69" s="20" t="n">
        <v>0</v>
      </c>
      <c r="Q69" s="18" t="n">
        <v>1.89377429</v>
      </c>
      <c r="R69" s="20" t="n">
        <v>0.92626383</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57.46173031</v>
      </c>
      <c r="F71" s="20" t="n">
        <v>1.38282421</v>
      </c>
      <c r="G71" s="18" t="n">
        <v>42.53826969</v>
      </c>
      <c r="H71" s="20" t="n">
        <v>1.38282421</v>
      </c>
      <c r="I71" s="18" t="n">
        <v>0</v>
      </c>
      <c r="J71" s="20" t="n">
        <v>0</v>
      </c>
      <c r="K71" s="18" t="n">
        <v>0</v>
      </c>
      <c r="L71" s="20" t="n">
        <v>0</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44.48777425</v>
      </c>
      <c r="F76" s="20" t="n">
        <v>1.33505827</v>
      </c>
      <c r="G76" s="18" t="n">
        <v>47.49377137</v>
      </c>
      <c r="H76" s="20" t="n">
        <v>1.27354391</v>
      </c>
      <c r="I76" s="18" t="n">
        <v>0</v>
      </c>
      <c r="J76" s="20" t="n">
        <v>0</v>
      </c>
      <c r="K76" s="18" t="n">
        <v>4.41905219</v>
      </c>
      <c r="L76" s="20" t="n">
        <v>0.55924964</v>
      </c>
      <c r="M76" s="18" t="n">
        <v>0</v>
      </c>
      <c r="N76" s="20" t="n">
        <v>0</v>
      </c>
      <c r="O76" s="18" t="n">
        <v>0</v>
      </c>
      <c r="P76" s="20" t="n">
        <v>0</v>
      </c>
      <c r="Q76" s="18" t="n">
        <v>3.59940219</v>
      </c>
      <c r="R76" s="20" t="n">
        <v>0.57060338</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8.13950384</v>
      </c>
      <c r="F80" s="20" t="n">
        <v>0.81209782</v>
      </c>
      <c r="G80" s="18" t="n">
        <v>91.86049616</v>
      </c>
      <c r="H80" s="20" t="n">
        <v>0.81209782</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59.18756749</v>
      </c>
      <c r="F81" s="20" t="n">
        <v>2.2505547</v>
      </c>
      <c r="G81" s="18" t="n">
        <v>35.99004524</v>
      </c>
      <c r="H81" s="20" t="n">
        <v>2.06722489</v>
      </c>
      <c r="I81" s="18" t="n">
        <v>0</v>
      </c>
      <c r="J81" s="20" t="n">
        <v>0</v>
      </c>
      <c r="K81" s="18" t="n">
        <v>3.19877078</v>
      </c>
      <c r="L81" s="20" t="n">
        <v>0.84245993</v>
      </c>
      <c r="M81" s="18" t="n">
        <v>0</v>
      </c>
      <c r="N81" s="20" t="n">
        <v>0</v>
      </c>
      <c r="O81" s="18" t="n">
        <v>0</v>
      </c>
      <c r="P81" s="20" t="n">
        <v>0</v>
      </c>
      <c r="Q81" s="18" t="n">
        <v>1.62361649</v>
      </c>
      <c r="R81" s="20" t="n">
        <v>0.45318996</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4.xml><?xml version="1.0" encoding="utf-8"?>
<worksheet xmlns="http://schemas.openxmlformats.org/spreadsheetml/2006/main">
  <sheetPr>
    <outlinePr summaryBelow="1" summaryRight="1"/>
    <pageSetUpPr/>
  </sheetPr>
  <dimension ref="A1:V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22">
      <c r="A1" s="4" t="s">
        <v>549</v>
      </c>
    </row>
    <row r="2" spans="1:22">
      <c r="A2" s="5" t="s">
        <v>920</v>
      </c>
    </row>
    <row customHeight="1" ht="30" r="4" spans="1:22">
      <c r="A4" s="6" t="n"/>
      <c r="B4" s="7" t="s">
        <v>551</v>
      </c>
      <c r="C4" s="7" t="s">
        <v>552</v>
      </c>
      <c r="D4" s="8" t="s">
        <v>551</v>
      </c>
      <c r="E4" s="9" t="s">
        <v>655</v>
      </c>
      <c r="F4" s="10" t="n"/>
      <c r="G4" s="9" t="s">
        <v>853</v>
      </c>
      <c r="H4" s="10" t="n"/>
      <c r="I4" s="9" t="s">
        <v>657</v>
      </c>
      <c r="J4" s="10" t="n"/>
      <c r="K4" s="9" t="s">
        <v>658</v>
      </c>
      <c r="L4" s="10" t="n"/>
      <c r="M4" s="9" t="s">
        <v>555</v>
      </c>
      <c r="N4" s="10" t="n"/>
      <c r="O4" s="9" t="s">
        <v>556</v>
      </c>
      <c r="P4" s="10" t="n"/>
      <c r="Q4" s="9" t="s">
        <v>557</v>
      </c>
      <c r="R4" s="10" t="n"/>
      <c r="S4" s="9" t="s">
        <v>558</v>
      </c>
      <c r="T4" s="10" t="n"/>
      <c r="U4" s="9" t="s">
        <v>559</v>
      </c>
      <c r="V4" s="10" t="n"/>
    </row>
    <row r="5" spans="1:22">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c r="S5" s="12" t="s">
        <v>561</v>
      </c>
      <c r="T5" s="11" t="s">
        <v>563</v>
      </c>
      <c r="U5" s="12" t="s">
        <v>561</v>
      </c>
      <c r="V5" s="11" t="s">
        <v>563</v>
      </c>
    </row>
    <row r="6" spans="1:22">
      <c r="A6" s="13" t="s">
        <v>564</v>
      </c>
      <c r="B6" s="14" t="n"/>
      <c r="C6" s="14" t="n"/>
      <c r="D6" s="15" t="n"/>
      <c r="E6" s="14" t="n"/>
      <c r="F6" s="15" t="n"/>
      <c r="G6" s="14" t="n"/>
      <c r="H6" s="15" t="n"/>
      <c r="I6" s="14" t="n"/>
      <c r="J6" s="15" t="n"/>
      <c r="K6" s="14" t="n"/>
      <c r="L6" s="15" t="n"/>
      <c r="M6" s="14" t="n"/>
      <c r="N6" s="15" t="n"/>
      <c r="O6" s="14" t="n"/>
      <c r="P6" s="15" t="n"/>
      <c r="Q6" s="14" t="n"/>
      <c r="R6" s="15" t="n"/>
      <c r="S6" s="14" t="n"/>
      <c r="T6" s="15" t="n"/>
      <c r="U6" s="14" t="n"/>
      <c r="V6" s="16" t="n"/>
    </row>
    <row r="7" spans="1:22">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c r="S7" s="18" t="s">
        <v>603</v>
      </c>
      <c r="T7" s="20" t="s">
        <v>603</v>
      </c>
      <c r="U7" s="18" t="s">
        <v>603</v>
      </c>
      <c r="V7" s="20" t="s">
        <v>603</v>
      </c>
    </row>
    <row r="8" spans="1:22">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c r="S8" s="18" t="s">
        <v>603</v>
      </c>
      <c r="T8" s="20" t="s">
        <v>603</v>
      </c>
      <c r="U8" s="18" t="s">
        <v>603</v>
      </c>
      <c r="V8" s="20" t="s">
        <v>603</v>
      </c>
    </row>
    <row r="9" spans="1:22">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c r="S9" s="18" t="s">
        <v>603</v>
      </c>
      <c r="T9" s="20" t="s">
        <v>603</v>
      </c>
      <c r="U9" s="18" t="s">
        <v>603</v>
      </c>
      <c r="V9" s="20" t="s">
        <v>603</v>
      </c>
    </row>
    <row r="10" spans="1:22">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c r="S10" s="18" t="s">
        <v>603</v>
      </c>
      <c r="T10" s="20" t="s">
        <v>603</v>
      </c>
      <c r="U10" s="18" t="s">
        <v>603</v>
      </c>
      <c r="V10" s="20" t="s">
        <v>603</v>
      </c>
    </row>
    <row r="11" spans="1:22">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c r="S11" s="18" t="s">
        <v>603</v>
      </c>
      <c r="T11" s="20" t="s">
        <v>603</v>
      </c>
      <c r="U11" s="18" t="s">
        <v>603</v>
      </c>
      <c r="V11" s="20" t="s">
        <v>603</v>
      </c>
    </row>
    <row r="12" spans="1:22">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c r="S12" s="18" t="s">
        <v>603</v>
      </c>
      <c r="T12" s="20" t="s">
        <v>603</v>
      </c>
      <c r="U12" s="18" t="s">
        <v>603</v>
      </c>
      <c r="V12" s="20" t="s">
        <v>603</v>
      </c>
    </row>
    <row r="13" spans="1:22">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c r="S13" s="18" t="s">
        <v>603</v>
      </c>
      <c r="T13" s="20" t="s">
        <v>603</v>
      </c>
      <c r="U13" s="18" t="s">
        <v>603</v>
      </c>
      <c r="V13" s="20" t="s">
        <v>603</v>
      </c>
    </row>
    <row r="14" spans="1:22">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c r="S14" s="18" t="s">
        <v>603</v>
      </c>
      <c r="T14" s="20" t="s">
        <v>603</v>
      </c>
      <c r="U14" s="18" t="s">
        <v>603</v>
      </c>
      <c r="V14" s="20" t="s">
        <v>603</v>
      </c>
    </row>
    <row r="15" spans="1:22">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c r="S15" s="18" t="s">
        <v>603</v>
      </c>
      <c r="T15" s="20" t="s">
        <v>603</v>
      </c>
      <c r="U15" s="18" t="s">
        <v>603</v>
      </c>
      <c r="V15" s="20" t="s">
        <v>603</v>
      </c>
    </row>
    <row r="16" spans="1:22">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c r="S16" s="18" t="s">
        <v>603</v>
      </c>
      <c r="T16" s="20" t="s">
        <v>603</v>
      </c>
      <c r="U16" s="18" t="s">
        <v>603</v>
      </c>
      <c r="V16" s="20" t="s">
        <v>603</v>
      </c>
    </row>
    <row r="17" spans="1:22">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c r="S17" s="18" t="s">
        <v>603</v>
      </c>
      <c r="T17" s="20" t="s">
        <v>603</v>
      </c>
      <c r="U17" s="18" t="s">
        <v>603</v>
      </c>
      <c r="V17" s="20" t="s">
        <v>603</v>
      </c>
    </row>
    <row r="18" spans="1:22">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c r="S18" s="18" t="s">
        <v>603</v>
      </c>
      <c r="T18" s="20" t="s">
        <v>603</v>
      </c>
      <c r="U18" s="18" t="s">
        <v>603</v>
      </c>
      <c r="V18" s="20" t="s">
        <v>603</v>
      </c>
    </row>
    <row r="19" spans="1:22">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c r="S19" s="18" t="s">
        <v>603</v>
      </c>
      <c r="T19" s="20" t="s">
        <v>603</v>
      </c>
      <c r="U19" s="18" t="s">
        <v>603</v>
      </c>
      <c r="V19" s="20" t="s">
        <v>603</v>
      </c>
    </row>
    <row r="20" spans="1:22">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c r="S20" s="18" t="s">
        <v>603</v>
      </c>
      <c r="T20" s="20" t="s">
        <v>603</v>
      </c>
      <c r="U20" s="18" t="s">
        <v>603</v>
      </c>
      <c r="V20" s="20" t="s">
        <v>603</v>
      </c>
    </row>
    <row r="21" spans="1:22">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c r="S21" s="18" t="s">
        <v>603</v>
      </c>
      <c r="T21" s="20" t="s">
        <v>603</v>
      </c>
      <c r="U21" s="18" t="s">
        <v>603</v>
      </c>
      <c r="V21" s="20" t="s">
        <v>603</v>
      </c>
    </row>
    <row r="22" spans="1:22">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c r="S22" s="18" t="s">
        <v>603</v>
      </c>
      <c r="T22" s="20" t="s">
        <v>603</v>
      </c>
      <c r="U22" s="18" t="s">
        <v>603</v>
      </c>
      <c r="V22" s="20" t="s">
        <v>603</v>
      </c>
    </row>
    <row r="23" spans="1:22">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c r="S23" s="18" t="s">
        <v>603</v>
      </c>
      <c r="T23" s="20" t="s">
        <v>603</v>
      </c>
      <c r="U23" s="18" t="s">
        <v>603</v>
      </c>
      <c r="V23" s="20" t="s">
        <v>603</v>
      </c>
    </row>
    <row r="24" spans="1:22">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c r="S24" s="18" t="s">
        <v>603</v>
      </c>
      <c r="T24" s="20" t="s">
        <v>603</v>
      </c>
      <c r="U24" s="18" t="s">
        <v>603</v>
      </c>
      <c r="V24" s="20" t="s">
        <v>603</v>
      </c>
    </row>
    <row r="25" spans="1:22">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c r="S25" s="18" t="s">
        <v>603</v>
      </c>
      <c r="T25" s="20" t="s">
        <v>603</v>
      </c>
      <c r="U25" s="18" t="s">
        <v>603</v>
      </c>
      <c r="V25" s="20" t="s">
        <v>603</v>
      </c>
    </row>
    <row r="26" spans="1:22">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c r="S26" s="18" t="s">
        <v>603</v>
      </c>
      <c r="T26" s="20" t="s">
        <v>603</v>
      </c>
      <c r="U26" s="18" t="s">
        <v>603</v>
      </c>
      <c r="V26" s="20" t="s">
        <v>603</v>
      </c>
    </row>
    <row r="27" spans="1:22">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c r="S27" s="18" t="s">
        <v>603</v>
      </c>
      <c r="T27" s="20" t="s">
        <v>603</v>
      </c>
      <c r="U27" s="18" t="s">
        <v>603</v>
      </c>
      <c r="V27" s="20" t="s">
        <v>603</v>
      </c>
    </row>
    <row r="28" spans="1:22">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c r="S28" s="18" t="s">
        <v>603</v>
      </c>
      <c r="T28" s="20" t="s">
        <v>603</v>
      </c>
      <c r="U28" s="18" t="s">
        <v>603</v>
      </c>
      <c r="V28" s="20" t="s">
        <v>603</v>
      </c>
    </row>
    <row r="29" spans="1:22">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c r="S29" s="18" t="s">
        <v>603</v>
      </c>
      <c r="T29" s="20" t="s">
        <v>603</v>
      </c>
      <c r="U29" s="18" t="s">
        <v>603</v>
      </c>
      <c r="V29" s="20" t="s">
        <v>603</v>
      </c>
    </row>
    <row r="30" spans="1:22">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c r="S30" s="18" t="s">
        <v>603</v>
      </c>
      <c r="T30" s="20" t="s">
        <v>603</v>
      </c>
      <c r="U30" s="18" t="s">
        <v>603</v>
      </c>
      <c r="V30" s="20" t="s">
        <v>603</v>
      </c>
    </row>
    <row r="31" spans="1:22">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c r="S31" s="18" t="s">
        <v>603</v>
      </c>
      <c r="T31" s="20" t="s">
        <v>603</v>
      </c>
      <c r="U31" s="18" t="s">
        <v>603</v>
      </c>
      <c r="V31" s="20" t="s">
        <v>603</v>
      </c>
    </row>
    <row r="32" spans="1:22">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c r="S32" s="18" t="s">
        <v>603</v>
      </c>
      <c r="T32" s="20" t="s">
        <v>603</v>
      </c>
      <c r="U32" s="18" t="s">
        <v>603</v>
      </c>
      <c r="V32" s="20" t="s">
        <v>603</v>
      </c>
    </row>
    <row r="33" spans="1:22">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c r="S33" s="18" t="s">
        <v>603</v>
      </c>
      <c r="T33" s="20" t="s">
        <v>603</v>
      </c>
      <c r="U33" s="18" t="s">
        <v>603</v>
      </c>
      <c r="V33" s="20" t="s">
        <v>603</v>
      </c>
    </row>
    <row r="34" spans="1:22">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c r="S34" s="18" t="s">
        <v>603</v>
      </c>
      <c r="T34" s="20" t="s">
        <v>603</v>
      </c>
      <c r="U34" s="18" t="s">
        <v>603</v>
      </c>
      <c r="V34" s="20" t="s">
        <v>603</v>
      </c>
    </row>
    <row r="35" spans="1:22">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c r="S35" s="18" t="s">
        <v>603</v>
      </c>
      <c r="T35" s="20" t="s">
        <v>603</v>
      </c>
      <c r="U35" s="18" t="s">
        <v>603</v>
      </c>
      <c r="V35" s="20" t="s">
        <v>603</v>
      </c>
    </row>
    <row r="36" spans="1:22">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c r="S36" s="18" t="s">
        <v>603</v>
      </c>
      <c r="T36" s="20" t="s">
        <v>603</v>
      </c>
      <c r="U36" s="18" t="s">
        <v>603</v>
      </c>
      <c r="V36" s="20" t="s">
        <v>603</v>
      </c>
    </row>
    <row r="37" spans="1:22">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c r="S37" s="18" t="s">
        <v>603</v>
      </c>
      <c r="T37" s="20" t="s">
        <v>603</v>
      </c>
      <c r="U37" s="18" t="s">
        <v>603</v>
      </c>
      <c r="V37" s="20" t="s">
        <v>603</v>
      </c>
    </row>
    <row r="38" spans="1:22">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c r="S38" s="18" t="s">
        <v>603</v>
      </c>
      <c r="T38" s="20" t="s">
        <v>603</v>
      </c>
      <c r="U38" s="18" t="s">
        <v>603</v>
      </c>
      <c r="V38" s="20" t="s">
        <v>603</v>
      </c>
    </row>
    <row r="39" spans="1:22">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c r="S39" s="18" t="s">
        <v>603</v>
      </c>
      <c r="T39" s="20" t="s">
        <v>603</v>
      </c>
      <c r="U39" s="18" t="s">
        <v>603</v>
      </c>
      <c r="V39" s="20" t="s">
        <v>603</v>
      </c>
    </row>
    <row r="40" spans="1:22">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c r="S40" s="18" t="s">
        <v>603</v>
      </c>
      <c r="T40" s="20" t="s">
        <v>603</v>
      </c>
      <c r="U40" s="18" t="s">
        <v>603</v>
      </c>
      <c r="V40" s="20" t="s">
        <v>603</v>
      </c>
    </row>
    <row r="41" spans="1:22">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c r="S41" s="18" t="s">
        <v>603</v>
      </c>
      <c r="T41" s="20" t="s">
        <v>603</v>
      </c>
      <c r="U41" s="18" t="s">
        <v>603</v>
      </c>
      <c r="V41" s="20" t="s">
        <v>603</v>
      </c>
    </row>
    <row r="42" spans="1:22">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c r="S42" s="18">
        <f>IF(COUNT(S7:S41) &gt; 0, AVERAGE(S7:S41), "—")</f>
        <v/>
      </c>
      <c r="T42" s="20">
        <f>IF(COUNT(T7:T41) &gt; 0, SQRT(SUMSQ(T7:T41)/(COUNT(T7:T41)*COUNT(T7:T41)) ), "—")</f>
        <v/>
      </c>
      <c r="U42" s="18">
        <f>IF(COUNT(U7:U41) &gt; 0, AVERAGE(U7:U41), "—")</f>
        <v/>
      </c>
      <c r="V42" s="20">
        <f>IF(COUNT(V7:V41) &gt; 0, SQRT(SUMSQ(V7:V41)/(COUNT(V7:V41)*COUNT(V7:V41)) ), "—")</f>
        <v/>
      </c>
    </row>
    <row r="43" spans="1:22">
      <c r="A43" s="13" t="s">
        <v>601</v>
      </c>
      <c r="B43" s="14" t="n"/>
      <c r="C43" s="14" t="n"/>
      <c r="D43" s="15" t="n"/>
      <c r="E43" s="14" t="n"/>
      <c r="F43" s="15" t="n"/>
      <c r="G43" s="14" t="n"/>
      <c r="H43" s="15" t="n"/>
      <c r="I43" s="14" t="n"/>
      <c r="J43" s="15" t="n"/>
      <c r="K43" s="14" t="n"/>
      <c r="L43" s="15" t="n"/>
      <c r="M43" s="14" t="n"/>
      <c r="N43" s="15" t="n"/>
      <c r="O43" s="14" t="n"/>
      <c r="P43" s="15" t="n"/>
      <c r="Q43" s="14" t="n"/>
      <c r="R43" s="15" t="n"/>
      <c r="S43" s="14" t="n"/>
      <c r="T43" s="15" t="n"/>
      <c r="U43" s="14" t="n"/>
      <c r="V43" s="16" t="n"/>
    </row>
    <row r="44" spans="1:22">
      <c r="A44" s="15" t="s">
        <v>602</v>
      </c>
      <c r="B44" s="17" t="n">
        <v>5215</v>
      </c>
      <c r="C44" s="18">
        <f>(3487.0/B44*100)</f>
        <v/>
      </c>
      <c r="D44" s="19" t="n">
        <v>1728</v>
      </c>
      <c r="E44" s="18" t="n">
        <v>51.80783439</v>
      </c>
      <c r="F44" s="20" t="n">
        <v>1.68340755</v>
      </c>
      <c r="G44" s="18" t="n">
        <v>0</v>
      </c>
      <c r="H44" s="20" t="n">
        <v>0</v>
      </c>
      <c r="I44" s="18" t="n">
        <v>16.1648707</v>
      </c>
      <c r="J44" s="20" t="n">
        <v>1.36148386</v>
      </c>
      <c r="K44" s="18" t="n">
        <v>2.11997998</v>
      </c>
      <c r="L44" s="20" t="n">
        <v>0.49843044</v>
      </c>
      <c r="M44" s="18" t="n">
        <v>0</v>
      </c>
      <c r="N44" s="20" t="n">
        <v>0</v>
      </c>
      <c r="O44" s="18" t="n">
        <v>1.50929399</v>
      </c>
      <c r="P44" s="20" t="n">
        <v>0.30447958</v>
      </c>
      <c r="Q44" s="18" t="n">
        <v>0</v>
      </c>
      <c r="R44" s="20" t="n">
        <v>0</v>
      </c>
      <c r="S44" s="18" t="n">
        <v>0</v>
      </c>
      <c r="T44" s="20" t="n">
        <v>0</v>
      </c>
      <c r="U44" s="18" t="n">
        <v>28.39802095</v>
      </c>
      <c r="V44" s="20" t="n">
        <v>1.37909349</v>
      </c>
    </row>
    <row r="45" spans="1:22">
      <c r="A45" s="15" t="s">
        <v>604</v>
      </c>
      <c r="B45" s="17" t="n">
        <v>5519</v>
      </c>
      <c r="C45" s="18">
        <f>(3687.0/B45*100)</f>
        <v/>
      </c>
      <c r="D45" s="19" t="n">
        <v>1832</v>
      </c>
      <c r="E45" s="18" t="n">
        <v>51.612113</v>
      </c>
      <c r="F45" s="20" t="n">
        <v>1.48697907</v>
      </c>
      <c r="G45" s="18" t="n">
        <v>0</v>
      </c>
      <c r="H45" s="20" t="n">
        <v>0</v>
      </c>
      <c r="I45" s="18" t="n">
        <v>6.5832566</v>
      </c>
      <c r="J45" s="20" t="n">
        <v>0.6024656</v>
      </c>
      <c r="K45" s="18" t="n">
        <v>12.81666055</v>
      </c>
      <c r="L45" s="20" t="n">
        <v>0.79579194</v>
      </c>
      <c r="M45" s="18" t="n">
        <v>0</v>
      </c>
      <c r="N45" s="20" t="n">
        <v>0</v>
      </c>
      <c r="O45" s="18" t="n">
        <v>4.97257098</v>
      </c>
      <c r="P45" s="20" t="n">
        <v>0.59046811</v>
      </c>
      <c r="Q45" s="18" t="n">
        <v>0.3200184</v>
      </c>
      <c r="R45" s="20" t="n">
        <v>0.23802486</v>
      </c>
      <c r="S45" s="18" t="n">
        <v>0.13327485</v>
      </c>
      <c r="T45" s="20" t="n">
        <v>0.08503512000000001</v>
      </c>
      <c r="U45" s="18" t="n">
        <v>23.56210562</v>
      </c>
      <c r="V45" s="20" t="n">
        <v>1.13295699</v>
      </c>
    </row>
    <row r="46" spans="1:22">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c r="S46" s="18" t="s">
        <v>603</v>
      </c>
      <c r="T46" s="20" t="s">
        <v>603</v>
      </c>
      <c r="U46" s="18" t="s">
        <v>603</v>
      </c>
      <c r="V46" s="20" t="s">
        <v>603</v>
      </c>
    </row>
    <row r="47" spans="1:22">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c r="S47" s="18" t="s">
        <v>603</v>
      </c>
      <c r="T47" s="20" t="s">
        <v>603</v>
      </c>
      <c r="U47" s="18" t="s">
        <v>603</v>
      </c>
      <c r="V47" s="20" t="s">
        <v>603</v>
      </c>
    </row>
    <row r="48" spans="1:22">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c r="S48" s="18" t="s">
        <v>603</v>
      </c>
      <c r="T48" s="20" t="s">
        <v>603</v>
      </c>
      <c r="U48" s="18" t="s">
        <v>603</v>
      </c>
      <c r="V48" s="20" t="s">
        <v>603</v>
      </c>
    </row>
    <row r="49" spans="1:22">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c r="S49" s="18" t="s">
        <v>603</v>
      </c>
      <c r="T49" s="20" t="s">
        <v>603</v>
      </c>
      <c r="U49" s="18" t="s">
        <v>603</v>
      </c>
      <c r="V49" s="20" t="s">
        <v>603</v>
      </c>
    </row>
    <row r="50" spans="1:22">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c r="S50" s="18" t="s">
        <v>603</v>
      </c>
      <c r="T50" s="20" t="s">
        <v>603</v>
      </c>
      <c r="U50" s="18" t="s">
        <v>603</v>
      </c>
      <c r="V50" s="20" t="s">
        <v>603</v>
      </c>
    </row>
    <row r="51" spans="1:22">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c r="S51" s="18" t="s">
        <v>603</v>
      </c>
      <c r="T51" s="20" t="s">
        <v>603</v>
      </c>
      <c r="U51" s="18" t="s">
        <v>603</v>
      </c>
      <c r="V51" s="20" t="s">
        <v>603</v>
      </c>
    </row>
    <row r="52" spans="1:22">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c r="S52" s="18" t="s">
        <v>603</v>
      </c>
      <c r="T52" s="20" t="s">
        <v>603</v>
      </c>
      <c r="U52" s="18" t="s">
        <v>603</v>
      </c>
      <c r="V52" s="20" t="s">
        <v>603</v>
      </c>
    </row>
    <row r="53" spans="1:22">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c r="S53" s="18" t="s">
        <v>603</v>
      </c>
      <c r="T53" s="20" t="s">
        <v>603</v>
      </c>
      <c r="U53" s="18" t="s">
        <v>603</v>
      </c>
      <c r="V53" s="20" t="s">
        <v>603</v>
      </c>
    </row>
    <row r="54" spans="1:22">
      <c r="A54" s="15" t="s">
        <v>613</v>
      </c>
      <c r="B54" s="17" t="n">
        <v>5316</v>
      </c>
      <c r="C54" s="18">
        <f>(3538.0/B54*100)</f>
        <v/>
      </c>
      <c r="D54" s="19" t="n">
        <v>1778</v>
      </c>
      <c r="E54" s="18" t="n">
        <v>42.7871351</v>
      </c>
      <c r="F54" s="20" t="n">
        <v>1.26561215</v>
      </c>
      <c r="G54" s="18" t="n">
        <v>0</v>
      </c>
      <c r="H54" s="20" t="n">
        <v>0</v>
      </c>
      <c r="I54" s="18" t="n">
        <v>24.65850581</v>
      </c>
      <c r="J54" s="20" t="n">
        <v>1.18161894</v>
      </c>
      <c r="K54" s="18" t="n">
        <v>4.42961562</v>
      </c>
      <c r="L54" s="20" t="n">
        <v>0.46676909</v>
      </c>
      <c r="M54" s="18" t="n">
        <v>0</v>
      </c>
      <c r="N54" s="20" t="n">
        <v>0</v>
      </c>
      <c r="O54" s="18" t="n">
        <v>1.65119794</v>
      </c>
      <c r="P54" s="20" t="n">
        <v>0.32313342</v>
      </c>
      <c r="Q54" s="18" t="n">
        <v>0</v>
      </c>
      <c r="R54" s="20" t="n">
        <v>0</v>
      </c>
      <c r="S54" s="18" t="n">
        <v>0.17427847</v>
      </c>
      <c r="T54" s="20" t="n">
        <v>0.10883235</v>
      </c>
      <c r="U54" s="18" t="n">
        <v>26.29926707</v>
      </c>
      <c r="V54" s="20" t="n">
        <v>1.17931496</v>
      </c>
    </row>
    <row r="55" spans="1:22">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c r="S55" s="18" t="s">
        <v>603</v>
      </c>
      <c r="T55" s="20" t="s">
        <v>603</v>
      </c>
      <c r="U55" s="18" t="s">
        <v>603</v>
      </c>
      <c r="V55" s="20" t="s">
        <v>603</v>
      </c>
    </row>
    <row r="56" spans="1:22">
      <c r="A56" s="15" t="s">
        <v>615</v>
      </c>
      <c r="B56" s="17" t="n">
        <v>6513</v>
      </c>
      <c r="C56" s="18">
        <f>(4339.0/B56*100)</f>
        <v/>
      </c>
      <c r="D56" s="19" t="n">
        <v>2174</v>
      </c>
      <c r="E56" s="18" t="n">
        <v>79.67589386</v>
      </c>
      <c r="F56" s="20" t="n">
        <v>0.89859164</v>
      </c>
      <c r="G56" s="18" t="n">
        <v>0</v>
      </c>
      <c r="H56" s="20" t="n">
        <v>0</v>
      </c>
      <c r="I56" s="18" t="n">
        <v>8.0659025</v>
      </c>
      <c r="J56" s="20" t="n">
        <v>0.59526077</v>
      </c>
      <c r="K56" s="18" t="n">
        <v>6.99874086</v>
      </c>
      <c r="L56" s="20" t="n">
        <v>0.58858146</v>
      </c>
      <c r="M56" s="18" t="n">
        <v>0</v>
      </c>
      <c r="N56" s="20" t="n">
        <v>0</v>
      </c>
      <c r="O56" s="18" t="n">
        <v>1.07931037</v>
      </c>
      <c r="P56" s="20" t="n">
        <v>0.30989773</v>
      </c>
      <c r="Q56" s="18" t="n">
        <v>0</v>
      </c>
      <c r="R56" s="20" t="n">
        <v>0</v>
      </c>
      <c r="S56" s="18" t="n">
        <v>0</v>
      </c>
      <c r="T56" s="20" t="n">
        <v>0</v>
      </c>
      <c r="U56" s="18" t="n">
        <v>4.18015243</v>
      </c>
      <c r="V56" s="20" t="n">
        <v>0.49592874</v>
      </c>
    </row>
    <row r="57" spans="1:22">
      <c r="A57" s="15" t="s">
        <v>616</v>
      </c>
      <c r="B57" s="17" t="n">
        <v>7267</v>
      </c>
      <c r="C57" s="18">
        <f>(4862.0/B57*100)</f>
        <v/>
      </c>
      <c r="D57" s="19" t="n">
        <v>2405</v>
      </c>
      <c r="E57" s="18" t="n">
        <v>69.07689922</v>
      </c>
      <c r="F57" s="20" t="n">
        <v>1.14982449</v>
      </c>
      <c r="G57" s="18" t="n">
        <v>0</v>
      </c>
      <c r="H57" s="20" t="n">
        <v>0</v>
      </c>
      <c r="I57" s="18" t="n">
        <v>8.29041578</v>
      </c>
      <c r="J57" s="20" t="n">
        <v>0.59331464</v>
      </c>
      <c r="K57" s="18" t="n">
        <v>4.70148659</v>
      </c>
      <c r="L57" s="20" t="n">
        <v>0.57766979</v>
      </c>
      <c r="M57" s="18" t="n">
        <v>0</v>
      </c>
      <c r="N57" s="20" t="n">
        <v>0</v>
      </c>
      <c r="O57" s="18" t="n">
        <v>2.13683573</v>
      </c>
      <c r="P57" s="20" t="n">
        <v>0.34601391</v>
      </c>
      <c r="Q57" s="18" t="n">
        <v>0</v>
      </c>
      <c r="R57" s="20" t="n">
        <v>0</v>
      </c>
      <c r="S57" s="18" t="n">
        <v>0</v>
      </c>
      <c r="T57" s="20" t="n">
        <v>0</v>
      </c>
      <c r="U57" s="18" t="n">
        <v>15.79436268</v>
      </c>
      <c r="V57" s="20" t="n">
        <v>0.98148439</v>
      </c>
    </row>
    <row r="58" spans="1:22">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c r="S58" s="21" t="s">
        <v>618</v>
      </c>
      <c r="T58" s="22" t="s">
        <v>618</v>
      </c>
      <c r="U58" s="21" t="s">
        <v>618</v>
      </c>
      <c r="V58" s="22" t="s">
        <v>618</v>
      </c>
    </row>
    <row r="59" spans="1:22">
      <c r="A59" s="15" t="s">
        <v>619</v>
      </c>
      <c r="B59" s="17" t="n">
        <v>4826</v>
      </c>
      <c r="C59" s="18">
        <f>(3205.0/B59*100)</f>
        <v/>
      </c>
      <c r="D59" s="19" t="n">
        <v>1621</v>
      </c>
      <c r="E59" s="18" t="n">
        <v>81.87699099</v>
      </c>
      <c r="F59" s="20" t="n">
        <v>1.00919328</v>
      </c>
      <c r="G59" s="18" t="n">
        <v>0</v>
      </c>
      <c r="H59" s="20" t="n">
        <v>0</v>
      </c>
      <c r="I59" s="18" t="n">
        <v>2.48236297</v>
      </c>
      <c r="J59" s="20" t="n">
        <v>0.47770642</v>
      </c>
      <c r="K59" s="18" t="n">
        <v>0.43096525</v>
      </c>
      <c r="L59" s="20" t="n">
        <v>0.17619887</v>
      </c>
      <c r="M59" s="18" t="n">
        <v>0</v>
      </c>
      <c r="N59" s="20" t="n">
        <v>0</v>
      </c>
      <c r="O59" s="18" t="n">
        <v>0.53757212</v>
      </c>
      <c r="P59" s="20" t="n">
        <v>0.14145874</v>
      </c>
      <c r="Q59" s="18" t="n">
        <v>0.05503131</v>
      </c>
      <c r="R59" s="20" t="n">
        <v>0.03888223</v>
      </c>
      <c r="S59" s="18" t="n">
        <v>0.15447754</v>
      </c>
      <c r="T59" s="20" t="n">
        <v>0.10987572</v>
      </c>
      <c r="U59" s="18" t="n">
        <v>14.46259982</v>
      </c>
      <c r="V59" s="20" t="n">
        <v>0.95825698</v>
      </c>
    </row>
    <row r="60" spans="1:22">
      <c r="A60" s="15" t="s">
        <v>620</v>
      </c>
      <c r="B60" s="17" t="n">
        <v>4546</v>
      </c>
      <c r="C60" s="18">
        <f>(3023.0/B60*100)</f>
        <v/>
      </c>
      <c r="D60" s="19" t="n">
        <v>1523</v>
      </c>
      <c r="E60" s="18" t="n">
        <v>55.71824091</v>
      </c>
      <c r="F60" s="20" t="n">
        <v>1.78910649</v>
      </c>
      <c r="G60" s="18" t="n">
        <v>0</v>
      </c>
      <c r="H60" s="20" t="n">
        <v>0</v>
      </c>
      <c r="I60" s="18" t="n">
        <v>6.94558182</v>
      </c>
      <c r="J60" s="20" t="n">
        <v>0.71503196</v>
      </c>
      <c r="K60" s="18" t="n">
        <v>3.51013283</v>
      </c>
      <c r="L60" s="20" t="n">
        <v>0.59200279</v>
      </c>
      <c r="M60" s="18" t="n">
        <v>0</v>
      </c>
      <c r="N60" s="20" t="n">
        <v>0</v>
      </c>
      <c r="O60" s="18" t="n">
        <v>2.96486754</v>
      </c>
      <c r="P60" s="20" t="n">
        <v>0.52873223</v>
      </c>
      <c r="Q60" s="18" t="n">
        <v>0</v>
      </c>
      <c r="R60" s="20" t="n">
        <v>0</v>
      </c>
      <c r="S60" s="18" t="n">
        <v>0.12639421</v>
      </c>
      <c r="T60" s="20" t="n">
        <v>0.09549278</v>
      </c>
      <c r="U60" s="18" t="n">
        <v>30.73478269</v>
      </c>
      <c r="V60" s="20" t="n">
        <v>1.76743912</v>
      </c>
    </row>
    <row r="61" spans="1:22">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c r="S61" s="18" t="s">
        <v>603</v>
      </c>
      <c r="T61" s="20" t="s">
        <v>603</v>
      </c>
      <c r="U61" s="18" t="s">
        <v>603</v>
      </c>
      <c r="V61" s="20" t="s">
        <v>603</v>
      </c>
    </row>
    <row r="62" spans="1:22">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c r="S62" s="18" t="s">
        <v>603</v>
      </c>
      <c r="T62" s="20" t="s">
        <v>603</v>
      </c>
      <c r="U62" s="18" t="s">
        <v>603</v>
      </c>
      <c r="V62" s="20" t="s">
        <v>603</v>
      </c>
    </row>
    <row r="63" spans="1:22">
      <c r="A63" s="15" t="s">
        <v>623</v>
      </c>
      <c r="B63" s="17" t="n">
        <v>5324</v>
      </c>
      <c r="C63" s="18">
        <f>(3562.0/B63*100)</f>
        <v/>
      </c>
      <c r="D63" s="19" t="n">
        <v>1762</v>
      </c>
      <c r="E63" s="18" t="n">
        <v>44.29611784</v>
      </c>
      <c r="F63" s="20" t="n">
        <v>1.12381687</v>
      </c>
      <c r="G63" s="18" t="n">
        <v>0</v>
      </c>
      <c r="H63" s="20" t="n">
        <v>0</v>
      </c>
      <c r="I63" s="18" t="n">
        <v>11.56197203</v>
      </c>
      <c r="J63" s="20" t="n">
        <v>0.86427947</v>
      </c>
      <c r="K63" s="18" t="n">
        <v>3.79131053</v>
      </c>
      <c r="L63" s="20" t="n">
        <v>0.49423918</v>
      </c>
      <c r="M63" s="18" t="n">
        <v>0</v>
      </c>
      <c r="N63" s="20" t="n">
        <v>0</v>
      </c>
      <c r="O63" s="18" t="n">
        <v>2.53402874</v>
      </c>
      <c r="P63" s="20" t="n">
        <v>0.36508838</v>
      </c>
      <c r="Q63" s="18" t="n">
        <v>0</v>
      </c>
      <c r="R63" s="20" t="n">
        <v>0</v>
      </c>
      <c r="S63" s="18" t="n">
        <v>0</v>
      </c>
      <c r="T63" s="20" t="n">
        <v>0</v>
      </c>
      <c r="U63" s="18" t="n">
        <v>37.81657085</v>
      </c>
      <c r="V63" s="20" t="n">
        <v>1.13401183</v>
      </c>
    </row>
    <row r="64" spans="1:22">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c r="S64" s="21" t="s">
        <v>618</v>
      </c>
      <c r="T64" s="22" t="s">
        <v>618</v>
      </c>
      <c r="U64" s="21" t="s">
        <v>618</v>
      </c>
      <c r="V64" s="22" t="s">
        <v>618</v>
      </c>
    </row>
    <row r="65" spans="1:22">
      <c r="A65" s="15" t="s">
        <v>625</v>
      </c>
      <c r="B65" s="17" t="n">
        <v>3634</v>
      </c>
      <c r="C65" s="18">
        <f>(2410.0/B65*100)</f>
        <v/>
      </c>
      <c r="D65" s="19" t="n">
        <v>1224</v>
      </c>
      <c r="E65" s="18" t="n">
        <v>36.98326128</v>
      </c>
      <c r="F65" s="20" t="n">
        <v>1.36036139</v>
      </c>
      <c r="G65" s="18" t="n">
        <v>0</v>
      </c>
      <c r="H65" s="20" t="n">
        <v>0</v>
      </c>
      <c r="I65" s="18" t="n">
        <v>36.86842544</v>
      </c>
      <c r="J65" s="20" t="n">
        <v>1.43352386</v>
      </c>
      <c r="K65" s="18" t="n">
        <v>5.92518133</v>
      </c>
      <c r="L65" s="20" t="n">
        <v>0.64452298</v>
      </c>
      <c r="M65" s="18" t="n">
        <v>0</v>
      </c>
      <c r="N65" s="20" t="n">
        <v>0</v>
      </c>
      <c r="O65" s="18" t="n">
        <v>2.11342161</v>
      </c>
      <c r="P65" s="20" t="n">
        <v>0.45386402</v>
      </c>
      <c r="Q65" s="18" t="n">
        <v>0</v>
      </c>
      <c r="R65" s="20" t="n">
        <v>0</v>
      </c>
      <c r="S65" s="18" t="n">
        <v>0</v>
      </c>
      <c r="T65" s="20" t="n">
        <v>0</v>
      </c>
      <c r="U65" s="18" t="n">
        <v>18.10971034</v>
      </c>
      <c r="V65" s="20" t="n">
        <v>1.33880984</v>
      </c>
    </row>
    <row r="66" spans="1:22">
      <c r="A66" s="15" t="s">
        <v>626</v>
      </c>
      <c r="B66" s="17" t="n">
        <v>5325</v>
      </c>
      <c r="C66" s="18">
        <f>(3572.0/B66*100)</f>
        <v/>
      </c>
      <c r="D66" s="19" t="n">
        <v>1753</v>
      </c>
      <c r="E66" s="18" t="n">
        <v>46.8277288</v>
      </c>
      <c r="F66" s="20" t="n">
        <v>1.17124508</v>
      </c>
      <c r="G66" s="18" t="n">
        <v>0</v>
      </c>
      <c r="H66" s="20" t="n">
        <v>0</v>
      </c>
      <c r="I66" s="18" t="n">
        <v>13.05747723</v>
      </c>
      <c r="J66" s="20" t="n">
        <v>0.88639507</v>
      </c>
      <c r="K66" s="18" t="n">
        <v>3.97797037</v>
      </c>
      <c r="L66" s="20" t="n">
        <v>0.53841649</v>
      </c>
      <c r="M66" s="18" t="n">
        <v>0</v>
      </c>
      <c r="N66" s="20" t="n">
        <v>0</v>
      </c>
      <c r="O66" s="18" t="n">
        <v>5.04764776</v>
      </c>
      <c r="P66" s="20" t="n">
        <v>0.5733186300000001</v>
      </c>
      <c r="Q66" s="18" t="n">
        <v>0.09479021999999999</v>
      </c>
      <c r="R66" s="20" t="n">
        <v>0.09485223</v>
      </c>
      <c r="S66" s="18" t="n">
        <v>0</v>
      </c>
      <c r="T66" s="20" t="n">
        <v>0</v>
      </c>
      <c r="U66" s="18" t="n">
        <v>30.99438562</v>
      </c>
      <c r="V66" s="20" t="n">
        <v>1.03988773</v>
      </c>
    </row>
    <row r="67" spans="1:22">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c r="S67" s="18" t="s">
        <v>603</v>
      </c>
      <c r="T67" s="20" t="s">
        <v>603</v>
      </c>
      <c r="U67" s="18" t="s">
        <v>603</v>
      </c>
      <c r="V67" s="20" t="s">
        <v>603</v>
      </c>
    </row>
    <row r="68" spans="1:22">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c r="S68" s="18" t="s">
        <v>603</v>
      </c>
      <c r="T68" s="20" t="s">
        <v>603</v>
      </c>
      <c r="U68" s="18" t="s">
        <v>603</v>
      </c>
      <c r="V68" s="20" t="s">
        <v>603</v>
      </c>
    </row>
    <row r="69" spans="1:22">
      <c r="A69" s="15" t="s">
        <v>629</v>
      </c>
      <c r="B69" s="17" t="n">
        <v>1398</v>
      </c>
      <c r="C69" s="18">
        <f>(929.0/B69*100)</f>
        <v/>
      </c>
      <c r="D69" s="19" t="n">
        <v>469</v>
      </c>
      <c r="E69" s="18" t="n">
        <v>72.56143726000001</v>
      </c>
      <c r="F69" s="20" t="n">
        <v>2.03543214</v>
      </c>
      <c r="G69" s="18" t="n">
        <v>0</v>
      </c>
      <c r="H69" s="20" t="n">
        <v>0</v>
      </c>
      <c r="I69" s="18" t="n">
        <v>7.16022286</v>
      </c>
      <c r="J69" s="20" t="n">
        <v>1.92617002</v>
      </c>
      <c r="K69" s="18" t="n">
        <v>7.16486417</v>
      </c>
      <c r="L69" s="20" t="n">
        <v>1.25317595</v>
      </c>
      <c r="M69" s="18" t="n">
        <v>0</v>
      </c>
      <c r="N69" s="20" t="n">
        <v>0</v>
      </c>
      <c r="O69" s="18" t="n">
        <v>1.29910705</v>
      </c>
      <c r="P69" s="20" t="n">
        <v>0.77578859</v>
      </c>
      <c r="Q69" s="18" t="n">
        <v>0</v>
      </c>
      <c r="R69" s="20" t="n">
        <v>0</v>
      </c>
      <c r="S69" s="18" t="n">
        <v>0</v>
      </c>
      <c r="T69" s="20" t="n">
        <v>0</v>
      </c>
      <c r="U69" s="18" t="n">
        <v>11.81436865</v>
      </c>
      <c r="V69" s="20" t="n">
        <v>1.9648434</v>
      </c>
    </row>
    <row r="70" spans="1:22">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c r="S70" s="18" t="s">
        <v>603</v>
      </c>
      <c r="T70" s="20" t="s">
        <v>603</v>
      </c>
      <c r="U70" s="18" t="s">
        <v>603</v>
      </c>
      <c r="V70" s="20" t="s">
        <v>603</v>
      </c>
    </row>
    <row r="71" spans="1:22">
      <c r="A71" s="15" t="s">
        <v>631</v>
      </c>
      <c r="B71" s="17" t="n">
        <v>4876</v>
      </c>
      <c r="C71" s="18">
        <f>(3246.0/B71*100)</f>
        <v/>
      </c>
      <c r="D71" s="19" t="n">
        <v>1630</v>
      </c>
      <c r="E71" s="18" t="n">
        <v>73.75405425</v>
      </c>
      <c r="F71" s="20" t="n">
        <v>1.21838992</v>
      </c>
      <c r="G71" s="18" t="n">
        <v>0</v>
      </c>
      <c r="H71" s="20" t="n">
        <v>0</v>
      </c>
      <c r="I71" s="18" t="n">
        <v>15.49089347</v>
      </c>
      <c r="J71" s="20" t="n">
        <v>0.91580562</v>
      </c>
      <c r="K71" s="18" t="n">
        <v>10.36682624</v>
      </c>
      <c r="L71" s="20" t="n">
        <v>0.87633296</v>
      </c>
      <c r="M71" s="18" t="n">
        <v>0</v>
      </c>
      <c r="N71" s="20" t="n">
        <v>0</v>
      </c>
      <c r="O71" s="18" t="n">
        <v>0</v>
      </c>
      <c r="P71" s="20" t="n">
        <v>0</v>
      </c>
      <c r="Q71" s="18" t="n">
        <v>0</v>
      </c>
      <c r="R71" s="20" t="n">
        <v>0</v>
      </c>
      <c r="S71" s="18" t="n">
        <v>0</v>
      </c>
      <c r="T71" s="20" t="n">
        <v>0</v>
      </c>
      <c r="U71" s="18" t="n">
        <v>0.38822603</v>
      </c>
      <c r="V71" s="20" t="n">
        <v>0.14361141</v>
      </c>
    </row>
    <row r="72" spans="1:22">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c r="S72" s="18" t="s">
        <v>603</v>
      </c>
      <c r="T72" s="20" t="s">
        <v>603</v>
      </c>
      <c r="U72" s="18" t="s">
        <v>603</v>
      </c>
      <c r="V72" s="20" t="s">
        <v>603</v>
      </c>
    </row>
    <row r="73" spans="1:22">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c r="S73" s="18" t="s">
        <v>603</v>
      </c>
      <c r="T73" s="20" t="s">
        <v>603</v>
      </c>
      <c r="U73" s="18" t="s">
        <v>603</v>
      </c>
      <c r="V73" s="20" t="s">
        <v>603</v>
      </c>
    </row>
    <row r="74" spans="1:22">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c r="S74" s="18" t="s">
        <v>603</v>
      </c>
      <c r="T74" s="20" t="s">
        <v>603</v>
      </c>
      <c r="U74" s="18" t="s">
        <v>603</v>
      </c>
      <c r="V74" s="20" t="s">
        <v>603</v>
      </c>
    </row>
    <row r="75" spans="1:22">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c r="S75" s="18" t="s">
        <v>603</v>
      </c>
      <c r="T75" s="20" t="s">
        <v>603</v>
      </c>
      <c r="U75" s="18" t="s">
        <v>603</v>
      </c>
      <c r="V75" s="20" t="s">
        <v>603</v>
      </c>
    </row>
    <row r="76" spans="1:22">
      <c r="A76" s="15" t="s">
        <v>636</v>
      </c>
      <c r="B76" s="17" t="n">
        <v>4692</v>
      </c>
      <c r="C76" s="18">
        <f>(3107.0/B76*100)</f>
        <v/>
      </c>
      <c r="D76" s="19" t="n">
        <v>1585</v>
      </c>
      <c r="E76" s="18" t="n">
        <v>53.2847758</v>
      </c>
      <c r="F76" s="20" t="n">
        <v>1.31945159</v>
      </c>
      <c r="G76" s="18" t="n">
        <v>0</v>
      </c>
      <c r="H76" s="20" t="n">
        <v>0</v>
      </c>
      <c r="I76" s="18" t="n">
        <v>14.64208256</v>
      </c>
      <c r="J76" s="20" t="n">
        <v>0.86687549</v>
      </c>
      <c r="K76" s="18" t="n">
        <v>3.3311495</v>
      </c>
      <c r="L76" s="20" t="n">
        <v>0.53214626</v>
      </c>
      <c r="M76" s="18" t="n">
        <v>0</v>
      </c>
      <c r="N76" s="20" t="n">
        <v>0</v>
      </c>
      <c r="O76" s="18" t="n">
        <v>4.74703105</v>
      </c>
      <c r="P76" s="20" t="n">
        <v>0.57034069</v>
      </c>
      <c r="Q76" s="18" t="n">
        <v>0</v>
      </c>
      <c r="R76" s="20" t="n">
        <v>0</v>
      </c>
      <c r="S76" s="18" t="n">
        <v>0</v>
      </c>
      <c r="T76" s="20" t="n">
        <v>0</v>
      </c>
      <c r="U76" s="18" t="n">
        <v>23.99496109</v>
      </c>
      <c r="V76" s="20" t="n">
        <v>1.09367712</v>
      </c>
    </row>
    <row r="77" spans="1:22">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c r="S77" s="18" t="s">
        <v>603</v>
      </c>
      <c r="T77" s="20" t="s">
        <v>603</v>
      </c>
      <c r="U77" s="18" t="s">
        <v>603</v>
      </c>
      <c r="V77" s="20" t="s">
        <v>603</v>
      </c>
    </row>
    <row r="78" spans="1:22">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c r="S78" s="18" t="s">
        <v>603</v>
      </c>
      <c r="T78" s="20" t="s">
        <v>603</v>
      </c>
      <c r="U78" s="18" t="s">
        <v>603</v>
      </c>
      <c r="V78" s="20" t="s">
        <v>603</v>
      </c>
    </row>
    <row r="79" spans="1:22">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c r="S79" s="18" t="s">
        <v>603</v>
      </c>
      <c r="T79" s="20" t="s">
        <v>603</v>
      </c>
      <c r="U79" s="18" t="s">
        <v>603</v>
      </c>
      <c r="V79" s="20" t="s">
        <v>603</v>
      </c>
    </row>
    <row r="80" spans="1:22">
      <c r="A80" s="15" t="s">
        <v>640</v>
      </c>
      <c r="B80" s="17" t="n">
        <v>5826</v>
      </c>
      <c r="C80" s="18">
        <f>(3873.0/B80*100)</f>
        <v/>
      </c>
      <c r="D80" s="19" t="n">
        <v>1953</v>
      </c>
      <c r="E80" s="18" t="n">
        <v>58.347622</v>
      </c>
      <c r="F80" s="20" t="n">
        <v>1.60138455</v>
      </c>
      <c r="G80" s="18" t="n">
        <v>0</v>
      </c>
      <c r="H80" s="20" t="n">
        <v>0</v>
      </c>
      <c r="I80" s="18" t="n">
        <v>30.61326509</v>
      </c>
      <c r="J80" s="20" t="n">
        <v>1.26189171</v>
      </c>
      <c r="K80" s="18" t="n">
        <v>9.91430237</v>
      </c>
      <c r="L80" s="20" t="n">
        <v>0.73785461</v>
      </c>
      <c r="M80" s="18" t="n">
        <v>0</v>
      </c>
      <c r="N80" s="20" t="n">
        <v>0</v>
      </c>
      <c r="O80" s="18" t="n">
        <v>0</v>
      </c>
      <c r="P80" s="20" t="n">
        <v>0</v>
      </c>
      <c r="Q80" s="18" t="n">
        <v>0</v>
      </c>
      <c r="R80" s="20" t="n">
        <v>0</v>
      </c>
      <c r="S80" s="18" t="n">
        <v>0</v>
      </c>
      <c r="T80" s="20" t="n">
        <v>0</v>
      </c>
      <c r="U80" s="18" t="n">
        <v>1.12481054</v>
      </c>
      <c r="V80" s="20" t="n">
        <v>0.22298272</v>
      </c>
    </row>
    <row r="81" spans="1:22">
      <c r="A81" s="15" t="s">
        <v>641</v>
      </c>
      <c r="B81" s="17" t="n">
        <v>1657</v>
      </c>
      <c r="C81" s="18">
        <f>(1109.0/B81*100)</f>
        <v/>
      </c>
      <c r="D81" s="19" t="n">
        <v>548</v>
      </c>
      <c r="E81" s="18" t="n">
        <v>50.70511132</v>
      </c>
      <c r="F81" s="20" t="n">
        <v>2.20439643</v>
      </c>
      <c r="G81" s="18" t="n">
        <v>0</v>
      </c>
      <c r="H81" s="20" t="n">
        <v>0</v>
      </c>
      <c r="I81" s="18" t="n">
        <v>14.95006495</v>
      </c>
      <c r="J81" s="20" t="n">
        <v>1.46595473</v>
      </c>
      <c r="K81" s="18" t="n">
        <v>7.72757178</v>
      </c>
      <c r="L81" s="20" t="n">
        <v>1.1837638</v>
      </c>
      <c r="M81" s="18" t="n">
        <v>0</v>
      </c>
      <c r="N81" s="20" t="n">
        <v>0</v>
      </c>
      <c r="O81" s="18" t="n">
        <v>3.39454347</v>
      </c>
      <c r="P81" s="20" t="n">
        <v>0.86620765</v>
      </c>
      <c r="Q81" s="18" t="n">
        <v>0</v>
      </c>
      <c r="R81" s="20" t="n">
        <v>0</v>
      </c>
      <c r="S81" s="18" t="n">
        <v>0</v>
      </c>
      <c r="T81" s="20" t="n">
        <v>0</v>
      </c>
      <c r="U81" s="18" t="n">
        <v>23.22270848</v>
      </c>
      <c r="V81" s="20" t="n">
        <v>2.00294946</v>
      </c>
    </row>
    <row r="82" spans="1:22">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c r="S82" s="18" t="s">
        <v>603</v>
      </c>
      <c r="T82" s="20" t="s">
        <v>603</v>
      </c>
      <c r="U82" s="18" t="s">
        <v>603</v>
      </c>
      <c r="V82" s="20" t="s">
        <v>603</v>
      </c>
    </row>
    <row r="83" spans="1:22">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c r="S83" s="18" t="s">
        <v>603</v>
      </c>
      <c r="T83" s="20" t="s">
        <v>603</v>
      </c>
      <c r="U83" s="18" t="s">
        <v>603</v>
      </c>
      <c r="V83" s="20" t="s">
        <v>603</v>
      </c>
    </row>
    <row r="84" spans="1:22">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c r="S84" s="18" t="s">
        <v>603</v>
      </c>
      <c r="T84" s="20" t="s">
        <v>603</v>
      </c>
      <c r="U84" s="18" t="s">
        <v>603</v>
      </c>
      <c r="V84" s="20" t="s">
        <v>603</v>
      </c>
    </row>
    <row r="86" spans="1:22">
      <c r="A86" s="3" t="s">
        <v>645</v>
      </c>
    </row>
    <row r="87" spans="1:22">
      <c r="A87" s="26" t="s">
        <v>646</v>
      </c>
    </row>
    <row r="88" spans="1:22">
      <c r="A88" s="26" t="s">
        <v>647</v>
      </c>
    </row>
    <row customHeight="1" ht="30" r="89" spans="1:22">
      <c r="A89" s="26" t="s">
        <v>648</v>
      </c>
    </row>
    <row customHeight="1" ht="30" r="90" spans="1:22">
      <c r="A90" s="26" t="s">
        <v>649</v>
      </c>
    </row>
    <row customHeight="1" ht="30" r="91" spans="1:22">
      <c r="A91" s="26" t="s">
        <v>650</v>
      </c>
    </row>
    <row customHeight="1" ht="30" r="92" spans="1:22">
      <c r="A92" s="26" t="s">
        <v>651</v>
      </c>
    </row>
    <row customHeight="1" ht="30" r="93" spans="1:22">
      <c r="A93" s="26" t="s">
        <v>652</v>
      </c>
    </row>
    <row customHeight="1" ht="30" r="94" spans="1:22">
      <c r="A94" s="26" t="s">
        <v>653</v>
      </c>
    </row>
  </sheetData>
  <mergeCells count="19">
    <mergeCell ref="E4:F4"/>
    <mergeCell ref="G4:H4"/>
    <mergeCell ref="I4:J4"/>
    <mergeCell ref="K4:L4"/>
    <mergeCell ref="M4:N4"/>
    <mergeCell ref="O4:P4"/>
    <mergeCell ref="Q4:R4"/>
    <mergeCell ref="S4:T4"/>
    <mergeCell ref="U4:V4"/>
    <mergeCell ref="A1:V1"/>
    <mergeCell ref="A2:V2"/>
    <mergeCell ref="A87:V87"/>
    <mergeCell ref="A88:V88"/>
    <mergeCell ref="A89:V89"/>
    <mergeCell ref="A90:V90"/>
    <mergeCell ref="A91:V91"/>
    <mergeCell ref="A92:V92"/>
    <mergeCell ref="A93:V93"/>
    <mergeCell ref="A94:V94"/>
  </mergeCells>
  <pageMargins bottom="1" footer="0.5" header="0.5" left="0.75" right="0.75" top="1"/>
</worksheet>
</file>

<file path=xl/worksheets/sheet25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38.68989106</v>
      </c>
      <c r="F44" s="20" t="n">
        <v>2.24447518</v>
      </c>
      <c r="G44" s="18" t="n">
        <v>55.66122503</v>
      </c>
      <c r="H44" s="20" t="n">
        <v>2.39188085</v>
      </c>
      <c r="I44" s="18" t="n">
        <v>0</v>
      </c>
      <c r="J44" s="20" t="n">
        <v>0</v>
      </c>
      <c r="K44" s="18" t="n">
        <v>1.56144007</v>
      </c>
      <c r="L44" s="20" t="n">
        <v>0.30929109</v>
      </c>
      <c r="M44" s="18" t="n">
        <v>0</v>
      </c>
      <c r="N44" s="20" t="n">
        <v>0</v>
      </c>
      <c r="O44" s="18" t="n">
        <v>1.26388962</v>
      </c>
      <c r="P44" s="20" t="n">
        <v>0.31429372</v>
      </c>
      <c r="Q44" s="18" t="n">
        <v>2.82355423</v>
      </c>
      <c r="R44" s="20" t="n">
        <v>0.4100248</v>
      </c>
    </row>
    <row r="45" spans="1:18">
      <c r="A45" s="15" t="s">
        <v>604</v>
      </c>
      <c r="B45" s="17" t="n">
        <v>5519</v>
      </c>
      <c r="C45" s="18">
        <f>(3687.0/B45*100)</f>
        <v/>
      </c>
      <c r="D45" s="19" t="n">
        <v>1832</v>
      </c>
      <c r="E45" s="18" t="n">
        <v>37.80219058</v>
      </c>
      <c r="F45" s="20" t="n">
        <v>1.39834189</v>
      </c>
      <c r="G45" s="18" t="n">
        <v>49.56424566</v>
      </c>
      <c r="H45" s="20" t="n">
        <v>1.48488812</v>
      </c>
      <c r="I45" s="18" t="n">
        <v>0</v>
      </c>
      <c r="J45" s="20" t="n">
        <v>0</v>
      </c>
      <c r="K45" s="18" t="n">
        <v>5.24323188</v>
      </c>
      <c r="L45" s="20" t="n">
        <v>0.59644051</v>
      </c>
      <c r="M45" s="18" t="n">
        <v>0.36113525</v>
      </c>
      <c r="N45" s="20" t="n">
        <v>0.14446745</v>
      </c>
      <c r="O45" s="18" t="n">
        <v>4.41642657</v>
      </c>
      <c r="P45" s="20" t="n">
        <v>0.48010773</v>
      </c>
      <c r="Q45" s="18" t="n">
        <v>2.61277005</v>
      </c>
      <c r="R45" s="20" t="n">
        <v>0.41023204</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37.34342424</v>
      </c>
      <c r="F54" s="20" t="n">
        <v>1.32433803</v>
      </c>
      <c r="G54" s="18" t="n">
        <v>59.72756306</v>
      </c>
      <c r="H54" s="20" t="n">
        <v>1.43884625</v>
      </c>
      <c r="I54" s="18" t="n">
        <v>0</v>
      </c>
      <c r="J54" s="20" t="n">
        <v>0</v>
      </c>
      <c r="K54" s="18" t="n">
        <v>1.65119794</v>
      </c>
      <c r="L54" s="20" t="n">
        <v>0.32313342</v>
      </c>
      <c r="M54" s="18" t="n">
        <v>0</v>
      </c>
      <c r="N54" s="20" t="n">
        <v>0</v>
      </c>
      <c r="O54" s="18" t="n">
        <v>0.37351223</v>
      </c>
      <c r="P54" s="20" t="n">
        <v>0.18397865</v>
      </c>
      <c r="Q54" s="18" t="n">
        <v>0.90430253</v>
      </c>
      <c r="R54" s="20" t="n">
        <v>0.26019403</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56.96046106</v>
      </c>
      <c r="F56" s="20" t="n">
        <v>1.30340787</v>
      </c>
      <c r="G56" s="18" t="n">
        <v>41.03448107</v>
      </c>
      <c r="H56" s="20" t="n">
        <v>1.30360024</v>
      </c>
      <c r="I56" s="18" t="n">
        <v>0</v>
      </c>
      <c r="J56" s="20" t="n">
        <v>0</v>
      </c>
      <c r="K56" s="18" t="n">
        <v>1.14339663</v>
      </c>
      <c r="L56" s="20" t="n">
        <v>0.31997682</v>
      </c>
      <c r="M56" s="18" t="n">
        <v>0</v>
      </c>
      <c r="N56" s="20" t="n">
        <v>0</v>
      </c>
      <c r="O56" s="18" t="n">
        <v>0.03843114</v>
      </c>
      <c r="P56" s="20" t="n">
        <v>0.03832336</v>
      </c>
      <c r="Q56" s="18" t="n">
        <v>0.8232301</v>
      </c>
      <c r="R56" s="20" t="n">
        <v>0.21906224</v>
      </c>
    </row>
    <row r="57" spans="1:18">
      <c r="A57" s="15" t="s">
        <v>616</v>
      </c>
      <c r="B57" s="17" t="n">
        <v>7267</v>
      </c>
      <c r="C57" s="18">
        <f>(4862.0/B57*100)</f>
        <v/>
      </c>
      <c r="D57" s="19" t="n">
        <v>2405</v>
      </c>
      <c r="E57" s="18" t="n">
        <v>27.49530187</v>
      </c>
      <c r="F57" s="20" t="n">
        <v>1.15928116</v>
      </c>
      <c r="G57" s="18" t="n">
        <v>68.05164048</v>
      </c>
      <c r="H57" s="20" t="n">
        <v>1.17927494</v>
      </c>
      <c r="I57" s="18" t="n">
        <v>0</v>
      </c>
      <c r="J57" s="20" t="n">
        <v>0</v>
      </c>
      <c r="K57" s="18" t="n">
        <v>2.18634739</v>
      </c>
      <c r="L57" s="20" t="n">
        <v>0.3428335</v>
      </c>
      <c r="M57" s="18" t="n">
        <v>0</v>
      </c>
      <c r="N57" s="20" t="n">
        <v>0</v>
      </c>
      <c r="O57" s="18" t="n">
        <v>0.49717398</v>
      </c>
      <c r="P57" s="20" t="n">
        <v>0.15204256</v>
      </c>
      <c r="Q57" s="18" t="n">
        <v>1.76953627</v>
      </c>
      <c r="R57" s="20" t="n">
        <v>0.39200854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54.02786572</v>
      </c>
      <c r="F59" s="20" t="n">
        <v>1.52240913</v>
      </c>
      <c r="G59" s="18" t="n">
        <v>42.42574042</v>
      </c>
      <c r="H59" s="20" t="n">
        <v>1.47091364</v>
      </c>
      <c r="I59" s="18" t="n">
        <v>0</v>
      </c>
      <c r="J59" s="20" t="n">
        <v>0</v>
      </c>
      <c r="K59" s="18" t="n">
        <v>0.60020495</v>
      </c>
      <c r="L59" s="20" t="n">
        <v>0.15317158</v>
      </c>
      <c r="M59" s="18" t="n">
        <v>0.02855063</v>
      </c>
      <c r="N59" s="20" t="n">
        <v>0.02850862</v>
      </c>
      <c r="O59" s="18" t="n">
        <v>2.14684527</v>
      </c>
      <c r="P59" s="20" t="n">
        <v>0.40334434</v>
      </c>
      <c r="Q59" s="18" t="n">
        <v>0.770793</v>
      </c>
      <c r="R59" s="20" t="n">
        <v>0.22624469</v>
      </c>
    </row>
    <row r="60" spans="1:18">
      <c r="A60" s="15" t="s">
        <v>620</v>
      </c>
      <c r="B60" s="17" t="n">
        <v>4546</v>
      </c>
      <c r="C60" s="18">
        <f>(3023.0/B60*100)</f>
        <v/>
      </c>
      <c r="D60" s="19" t="n">
        <v>1523</v>
      </c>
      <c r="E60" s="18" t="n">
        <v>20.32828709</v>
      </c>
      <c r="F60" s="20" t="n">
        <v>1.44607809</v>
      </c>
      <c r="G60" s="18" t="n">
        <v>71.98812521000001</v>
      </c>
      <c r="H60" s="20" t="n">
        <v>1.55065913</v>
      </c>
      <c r="I60" s="18" t="n">
        <v>0</v>
      </c>
      <c r="J60" s="20" t="n">
        <v>0</v>
      </c>
      <c r="K60" s="18" t="n">
        <v>3.06260366</v>
      </c>
      <c r="L60" s="20" t="n">
        <v>0.53668699</v>
      </c>
      <c r="M60" s="18" t="n">
        <v>0</v>
      </c>
      <c r="N60" s="20" t="n">
        <v>0</v>
      </c>
      <c r="O60" s="18" t="n">
        <v>2.0522643</v>
      </c>
      <c r="P60" s="20" t="n">
        <v>0.33243919</v>
      </c>
      <c r="Q60" s="18" t="n">
        <v>2.56871975</v>
      </c>
      <c r="R60" s="20" t="n">
        <v>0.45536928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70.69147258</v>
      </c>
      <c r="F63" s="20" t="n">
        <v>1.04946207</v>
      </c>
      <c r="G63" s="18" t="n">
        <v>22.28048259</v>
      </c>
      <c r="H63" s="20" t="n">
        <v>1.0428015</v>
      </c>
      <c r="I63" s="18" t="n">
        <v>0</v>
      </c>
      <c r="J63" s="20" t="n">
        <v>0</v>
      </c>
      <c r="K63" s="18" t="n">
        <v>2.57725345</v>
      </c>
      <c r="L63" s="20" t="n">
        <v>0.3682385</v>
      </c>
      <c r="M63" s="18" t="n">
        <v>0</v>
      </c>
      <c r="N63" s="20" t="n">
        <v>0</v>
      </c>
      <c r="O63" s="18" t="n">
        <v>0.32906433</v>
      </c>
      <c r="P63" s="20" t="n">
        <v>0.0929147</v>
      </c>
      <c r="Q63" s="18" t="n">
        <v>4.12172705</v>
      </c>
      <c r="R63" s="20" t="n">
        <v>0.51573013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35.159562</v>
      </c>
      <c r="F65" s="20" t="n">
        <v>1.37667174</v>
      </c>
      <c r="G65" s="18" t="n">
        <v>61.18227135</v>
      </c>
      <c r="H65" s="20" t="n">
        <v>1.43644565</v>
      </c>
      <c r="I65" s="18" t="n">
        <v>0</v>
      </c>
      <c r="J65" s="20" t="n">
        <v>0</v>
      </c>
      <c r="K65" s="18" t="n">
        <v>2.19230845</v>
      </c>
      <c r="L65" s="20" t="n">
        <v>0.45902569</v>
      </c>
      <c r="M65" s="18" t="n">
        <v>0</v>
      </c>
      <c r="N65" s="20" t="n">
        <v>0</v>
      </c>
      <c r="O65" s="18" t="n">
        <v>0.26876822</v>
      </c>
      <c r="P65" s="20" t="n">
        <v>0.15527455</v>
      </c>
      <c r="Q65" s="18" t="n">
        <v>1.19708998</v>
      </c>
      <c r="R65" s="20" t="n">
        <v>0.30966678</v>
      </c>
    </row>
    <row r="66" spans="1:18">
      <c r="A66" s="15" t="s">
        <v>626</v>
      </c>
      <c r="B66" s="17" t="n">
        <v>5325</v>
      </c>
      <c r="C66" s="18">
        <f>(3572.0/B66*100)</f>
        <v/>
      </c>
      <c r="D66" s="19" t="n">
        <v>1753</v>
      </c>
      <c r="E66" s="18" t="n">
        <v>37.25581889</v>
      </c>
      <c r="F66" s="20" t="n">
        <v>1.23968134</v>
      </c>
      <c r="G66" s="18" t="n">
        <v>53.73739425</v>
      </c>
      <c r="H66" s="20" t="n">
        <v>1.32908072</v>
      </c>
      <c r="I66" s="18" t="n">
        <v>0</v>
      </c>
      <c r="J66" s="20" t="n">
        <v>0</v>
      </c>
      <c r="K66" s="18" t="n">
        <v>5.04764776</v>
      </c>
      <c r="L66" s="20" t="n">
        <v>0.5733186300000001</v>
      </c>
      <c r="M66" s="18" t="n">
        <v>1.92699379</v>
      </c>
      <c r="N66" s="20" t="n">
        <v>0.31980003</v>
      </c>
      <c r="O66" s="18" t="n">
        <v>0</v>
      </c>
      <c r="P66" s="20" t="n">
        <v>0</v>
      </c>
      <c r="Q66" s="18" t="n">
        <v>2.0321453</v>
      </c>
      <c r="R66" s="20" t="n">
        <v>0.32090844</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61.50540025</v>
      </c>
      <c r="F69" s="20" t="n">
        <v>2.43064154</v>
      </c>
      <c r="G69" s="18" t="n">
        <v>36.38228554</v>
      </c>
      <c r="H69" s="20" t="n">
        <v>2.37234953</v>
      </c>
      <c r="I69" s="18" t="n">
        <v>0</v>
      </c>
      <c r="J69" s="20" t="n">
        <v>0</v>
      </c>
      <c r="K69" s="18" t="n">
        <v>1.29910705</v>
      </c>
      <c r="L69" s="20" t="n">
        <v>0.77578859</v>
      </c>
      <c r="M69" s="18" t="n">
        <v>0</v>
      </c>
      <c r="N69" s="20" t="n">
        <v>0</v>
      </c>
      <c r="O69" s="18" t="n">
        <v>0</v>
      </c>
      <c r="P69" s="20" t="n">
        <v>0</v>
      </c>
      <c r="Q69" s="18" t="n">
        <v>0.81320716</v>
      </c>
      <c r="R69" s="20" t="n">
        <v>0.45596663</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48.06026564</v>
      </c>
      <c r="F71" s="20" t="n">
        <v>1.31514971</v>
      </c>
      <c r="G71" s="18" t="n">
        <v>51.82782769</v>
      </c>
      <c r="H71" s="20" t="n">
        <v>1.31963547</v>
      </c>
      <c r="I71" s="18" t="n">
        <v>0</v>
      </c>
      <c r="J71" s="20" t="n">
        <v>0</v>
      </c>
      <c r="K71" s="18" t="n">
        <v>0</v>
      </c>
      <c r="L71" s="20" t="n">
        <v>0</v>
      </c>
      <c r="M71" s="18" t="n">
        <v>0</v>
      </c>
      <c r="N71" s="20" t="n">
        <v>0</v>
      </c>
      <c r="O71" s="18" t="n">
        <v>0</v>
      </c>
      <c r="P71" s="20" t="n">
        <v>0</v>
      </c>
      <c r="Q71" s="18" t="n">
        <v>0.11190668</v>
      </c>
      <c r="R71" s="20" t="n">
        <v>0.08055434</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45.36668357</v>
      </c>
      <c r="F76" s="20" t="n">
        <v>1.4249793</v>
      </c>
      <c r="G76" s="18" t="n">
        <v>47.34367027</v>
      </c>
      <c r="H76" s="20" t="n">
        <v>1.39719857</v>
      </c>
      <c r="I76" s="18" t="n">
        <v>0</v>
      </c>
      <c r="J76" s="20" t="n">
        <v>0</v>
      </c>
      <c r="K76" s="18" t="n">
        <v>5.1044429</v>
      </c>
      <c r="L76" s="20" t="n">
        <v>0.57373923</v>
      </c>
      <c r="M76" s="18" t="n">
        <v>0</v>
      </c>
      <c r="N76" s="20" t="n">
        <v>0</v>
      </c>
      <c r="O76" s="18" t="n">
        <v>0</v>
      </c>
      <c r="P76" s="20" t="n">
        <v>0</v>
      </c>
      <c r="Q76" s="18" t="n">
        <v>2.18520326</v>
      </c>
      <c r="R76" s="20" t="n">
        <v>0.4272016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4.22589347</v>
      </c>
      <c r="F80" s="20" t="n">
        <v>0.55885095</v>
      </c>
      <c r="G80" s="18" t="n">
        <v>95.77410653</v>
      </c>
      <c r="H80" s="20" t="n">
        <v>0.55885095</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37.01356652</v>
      </c>
      <c r="F81" s="20" t="n">
        <v>1.98920276</v>
      </c>
      <c r="G81" s="18" t="n">
        <v>57.52763792</v>
      </c>
      <c r="H81" s="20" t="n">
        <v>2.25391752</v>
      </c>
      <c r="I81" s="18" t="n">
        <v>0</v>
      </c>
      <c r="J81" s="20" t="n">
        <v>0</v>
      </c>
      <c r="K81" s="18" t="n">
        <v>3.39454347</v>
      </c>
      <c r="L81" s="20" t="n">
        <v>0.86620765</v>
      </c>
      <c r="M81" s="18" t="n">
        <v>0.29851412</v>
      </c>
      <c r="N81" s="20" t="n">
        <v>0.2332782</v>
      </c>
      <c r="O81" s="18" t="n">
        <v>1.05306751</v>
      </c>
      <c r="P81" s="20" t="n">
        <v>0.49369105</v>
      </c>
      <c r="Q81" s="18" t="n">
        <v>0.71267046</v>
      </c>
      <c r="R81" s="20" t="n">
        <v>0.37155067</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922</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46.2797415</v>
      </c>
      <c r="F44" s="20" t="n">
        <v>1.37518272</v>
      </c>
      <c r="G44" s="18" t="n">
        <v>45.92008054</v>
      </c>
      <c r="H44" s="20" t="n">
        <v>1.33683069</v>
      </c>
      <c r="I44" s="18" t="n">
        <v>0</v>
      </c>
      <c r="J44" s="20" t="n">
        <v>0</v>
      </c>
      <c r="K44" s="18" t="n">
        <v>1.85616644</v>
      </c>
      <c r="L44" s="20" t="n">
        <v>0.33594951</v>
      </c>
      <c r="M44" s="18" t="n">
        <v>0</v>
      </c>
      <c r="N44" s="20" t="n">
        <v>0</v>
      </c>
      <c r="O44" s="18" t="n">
        <v>4.24234094</v>
      </c>
      <c r="P44" s="20" t="n">
        <v>0.56108495</v>
      </c>
      <c r="Q44" s="18" t="n">
        <v>1.70167057</v>
      </c>
      <c r="R44" s="20" t="n">
        <v>0.33510011</v>
      </c>
    </row>
    <row r="45" spans="1:18">
      <c r="A45" s="15" t="s">
        <v>604</v>
      </c>
      <c r="B45" s="17" t="n">
        <v>5519</v>
      </c>
      <c r="C45" s="18">
        <f>(3687.0/B45*100)</f>
        <v/>
      </c>
      <c r="D45" s="19" t="n">
        <v>1832</v>
      </c>
      <c r="E45" s="18" t="n">
        <v>63.01244288</v>
      </c>
      <c r="F45" s="20" t="n">
        <v>1.31271119</v>
      </c>
      <c r="G45" s="18" t="n">
        <v>21.51457614</v>
      </c>
      <c r="H45" s="20" t="n">
        <v>1.05979335</v>
      </c>
      <c r="I45" s="18" t="n">
        <v>0</v>
      </c>
      <c r="J45" s="20" t="n">
        <v>0</v>
      </c>
      <c r="K45" s="18" t="n">
        <v>5.38663328</v>
      </c>
      <c r="L45" s="20" t="n">
        <v>0.60626387</v>
      </c>
      <c r="M45" s="18" t="n">
        <v>0.35679954</v>
      </c>
      <c r="N45" s="20" t="n">
        <v>0.13206259</v>
      </c>
      <c r="O45" s="18" t="n">
        <v>6.49447776</v>
      </c>
      <c r="P45" s="20" t="n">
        <v>0.70412352</v>
      </c>
      <c r="Q45" s="18" t="n">
        <v>3.2350704</v>
      </c>
      <c r="R45" s="20" t="n">
        <v>0.43849129</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57.80209179</v>
      </c>
      <c r="F54" s="20" t="n">
        <v>1.27109116</v>
      </c>
      <c r="G54" s="18" t="n">
        <v>39.39854235</v>
      </c>
      <c r="H54" s="20" t="n">
        <v>1.28707751</v>
      </c>
      <c r="I54" s="18" t="n">
        <v>0</v>
      </c>
      <c r="J54" s="20" t="n">
        <v>0</v>
      </c>
      <c r="K54" s="18" t="n">
        <v>1.75237586</v>
      </c>
      <c r="L54" s="20" t="n">
        <v>0.32750681</v>
      </c>
      <c r="M54" s="18" t="n">
        <v>0</v>
      </c>
      <c r="N54" s="20" t="n">
        <v>0</v>
      </c>
      <c r="O54" s="18" t="n">
        <v>0.63207769</v>
      </c>
      <c r="P54" s="20" t="n">
        <v>0.2730051</v>
      </c>
      <c r="Q54" s="18" t="n">
        <v>0.41491231</v>
      </c>
      <c r="R54" s="20" t="n">
        <v>0.1398905</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66.22066345</v>
      </c>
      <c r="F56" s="20" t="n">
        <v>1.17233838</v>
      </c>
      <c r="G56" s="18" t="n">
        <v>31.96455158</v>
      </c>
      <c r="H56" s="20" t="n">
        <v>1.1715448</v>
      </c>
      <c r="I56" s="18" t="n">
        <v>0</v>
      </c>
      <c r="J56" s="20" t="n">
        <v>0</v>
      </c>
      <c r="K56" s="18" t="n">
        <v>1.32725448</v>
      </c>
      <c r="L56" s="20" t="n">
        <v>0.35285957</v>
      </c>
      <c r="M56" s="18" t="n">
        <v>0</v>
      </c>
      <c r="N56" s="20" t="n">
        <v>0</v>
      </c>
      <c r="O56" s="18" t="n">
        <v>0.10252491</v>
      </c>
      <c r="P56" s="20" t="n">
        <v>0.07112012</v>
      </c>
      <c r="Q56" s="18" t="n">
        <v>0.38500557</v>
      </c>
      <c r="R56" s="20" t="n">
        <v>0.12702977</v>
      </c>
    </row>
    <row r="57" spans="1:18">
      <c r="A57" s="15" t="s">
        <v>616</v>
      </c>
      <c r="B57" s="17" t="n">
        <v>7267</v>
      </c>
      <c r="C57" s="18">
        <f>(4862.0/B57*100)</f>
        <v/>
      </c>
      <c r="D57" s="19" t="n">
        <v>2405</v>
      </c>
      <c r="E57" s="18" t="n">
        <v>57.35431256</v>
      </c>
      <c r="F57" s="20" t="n">
        <v>1.1880955</v>
      </c>
      <c r="G57" s="18" t="n">
        <v>37.61039072</v>
      </c>
      <c r="H57" s="20" t="n">
        <v>1.00148829</v>
      </c>
      <c r="I57" s="18" t="n">
        <v>0</v>
      </c>
      <c r="J57" s="20" t="n">
        <v>0</v>
      </c>
      <c r="K57" s="18" t="n">
        <v>2.47862814</v>
      </c>
      <c r="L57" s="20" t="n">
        <v>0.37400624</v>
      </c>
      <c r="M57" s="18" t="n">
        <v>0</v>
      </c>
      <c r="N57" s="20" t="n">
        <v>0</v>
      </c>
      <c r="O57" s="18" t="n">
        <v>0.42088235</v>
      </c>
      <c r="P57" s="20" t="n">
        <v>0.13699436</v>
      </c>
      <c r="Q57" s="18" t="n">
        <v>2.13578623</v>
      </c>
      <c r="R57" s="20" t="n">
        <v>0.43110643</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59.97483863</v>
      </c>
      <c r="F59" s="20" t="n">
        <v>1.34818953</v>
      </c>
      <c r="G59" s="18" t="n">
        <v>33.9469906</v>
      </c>
      <c r="H59" s="20" t="n">
        <v>1.28347747</v>
      </c>
      <c r="I59" s="18" t="n">
        <v>0</v>
      </c>
      <c r="J59" s="20" t="n">
        <v>0</v>
      </c>
      <c r="K59" s="18" t="n">
        <v>0.77581481</v>
      </c>
      <c r="L59" s="20" t="n">
        <v>0.18975006</v>
      </c>
      <c r="M59" s="18" t="n">
        <v>0</v>
      </c>
      <c r="N59" s="20" t="n">
        <v>0</v>
      </c>
      <c r="O59" s="18" t="n">
        <v>4.23838716</v>
      </c>
      <c r="P59" s="20" t="n">
        <v>0.51629225</v>
      </c>
      <c r="Q59" s="18" t="n">
        <v>1.0639688</v>
      </c>
      <c r="R59" s="20" t="n">
        <v>0.37101996</v>
      </c>
    </row>
    <row r="60" spans="1:18">
      <c r="A60" s="15" t="s">
        <v>620</v>
      </c>
      <c r="B60" s="17" t="n">
        <v>4546</v>
      </c>
      <c r="C60" s="18">
        <f>(3023.0/B60*100)</f>
        <v/>
      </c>
      <c r="D60" s="19" t="n">
        <v>1523</v>
      </c>
      <c r="E60" s="18" t="n">
        <v>51.92641249</v>
      </c>
      <c r="F60" s="20" t="n">
        <v>1.67044717</v>
      </c>
      <c r="G60" s="18" t="n">
        <v>35.16466466</v>
      </c>
      <c r="H60" s="20" t="n">
        <v>1.64229994</v>
      </c>
      <c r="I60" s="18" t="n">
        <v>0</v>
      </c>
      <c r="J60" s="20" t="n">
        <v>0</v>
      </c>
      <c r="K60" s="18" t="n">
        <v>3.45577807</v>
      </c>
      <c r="L60" s="20" t="n">
        <v>0.55425048</v>
      </c>
      <c r="M60" s="18" t="n">
        <v>0</v>
      </c>
      <c r="N60" s="20" t="n">
        <v>0</v>
      </c>
      <c r="O60" s="18" t="n">
        <v>6.22433819</v>
      </c>
      <c r="P60" s="20" t="n">
        <v>0.84720648</v>
      </c>
      <c r="Q60" s="18" t="n">
        <v>3.22880659</v>
      </c>
      <c r="R60" s="20" t="n">
        <v>0.66400928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64.18673348</v>
      </c>
      <c r="F63" s="20" t="n">
        <v>1.29227811</v>
      </c>
      <c r="G63" s="18" t="n">
        <v>27.9080915</v>
      </c>
      <c r="H63" s="20" t="n">
        <v>1.23953054</v>
      </c>
      <c r="I63" s="18" t="n">
        <v>0</v>
      </c>
      <c r="J63" s="20" t="n">
        <v>0</v>
      </c>
      <c r="K63" s="18" t="n">
        <v>3.17679848</v>
      </c>
      <c r="L63" s="20" t="n">
        <v>0.42502216</v>
      </c>
      <c r="M63" s="18" t="n">
        <v>0</v>
      </c>
      <c r="N63" s="20" t="n">
        <v>0</v>
      </c>
      <c r="O63" s="18" t="n">
        <v>1.33407547</v>
      </c>
      <c r="P63" s="20" t="n">
        <v>0.31051925</v>
      </c>
      <c r="Q63" s="18" t="n">
        <v>3.39430107</v>
      </c>
      <c r="R63" s="20" t="n">
        <v>0.52443776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57.42180311</v>
      </c>
      <c r="F65" s="20" t="n">
        <v>1.43273771</v>
      </c>
      <c r="G65" s="18" t="n">
        <v>38.26856828</v>
      </c>
      <c r="H65" s="20" t="n">
        <v>1.38915235</v>
      </c>
      <c r="I65" s="18" t="n">
        <v>0</v>
      </c>
      <c r="J65" s="20" t="n">
        <v>0</v>
      </c>
      <c r="K65" s="18" t="n">
        <v>2.53866216</v>
      </c>
      <c r="L65" s="20" t="n">
        <v>0.51719276</v>
      </c>
      <c r="M65" s="18" t="n">
        <v>0</v>
      </c>
      <c r="N65" s="20" t="n">
        <v>0</v>
      </c>
      <c r="O65" s="18" t="n">
        <v>0.38323442</v>
      </c>
      <c r="P65" s="20" t="n">
        <v>0.15479614</v>
      </c>
      <c r="Q65" s="18" t="n">
        <v>1.38773203</v>
      </c>
      <c r="R65" s="20" t="n">
        <v>0.3687756</v>
      </c>
    </row>
    <row r="66" spans="1:18">
      <c r="A66" s="15" t="s">
        <v>626</v>
      </c>
      <c r="B66" s="17" t="n">
        <v>5325</v>
      </c>
      <c r="C66" s="18">
        <f>(3572.0/B66*100)</f>
        <v/>
      </c>
      <c r="D66" s="19" t="n">
        <v>1753</v>
      </c>
      <c r="E66" s="18" t="n">
        <v>57.07890036</v>
      </c>
      <c r="F66" s="20" t="n">
        <v>1.33675668</v>
      </c>
      <c r="G66" s="18" t="n">
        <v>31.94884415</v>
      </c>
      <c r="H66" s="20" t="n">
        <v>1.33358015</v>
      </c>
      <c r="I66" s="18" t="n">
        <v>0</v>
      </c>
      <c r="J66" s="20" t="n">
        <v>0</v>
      </c>
      <c r="K66" s="18" t="n">
        <v>5.49669224</v>
      </c>
      <c r="L66" s="20" t="n">
        <v>0.57638491</v>
      </c>
      <c r="M66" s="18" t="n">
        <v>3.44432571</v>
      </c>
      <c r="N66" s="20" t="n">
        <v>0.48153804</v>
      </c>
      <c r="O66" s="18" t="n">
        <v>0</v>
      </c>
      <c r="P66" s="20" t="n">
        <v>0</v>
      </c>
      <c r="Q66" s="18" t="n">
        <v>2.03123754</v>
      </c>
      <c r="R66" s="20" t="n">
        <v>0.37817186</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58.75502385</v>
      </c>
      <c r="F69" s="20" t="n">
        <v>2.58839202</v>
      </c>
      <c r="G69" s="18" t="n">
        <v>38.52271103</v>
      </c>
      <c r="H69" s="20" t="n">
        <v>2.32833352</v>
      </c>
      <c r="I69" s="18" t="n">
        <v>0</v>
      </c>
      <c r="J69" s="20" t="n">
        <v>0</v>
      </c>
      <c r="K69" s="18" t="n">
        <v>1.50392634</v>
      </c>
      <c r="L69" s="20" t="n">
        <v>0.7983241599999999</v>
      </c>
      <c r="M69" s="18" t="n">
        <v>0</v>
      </c>
      <c r="N69" s="20" t="n">
        <v>0</v>
      </c>
      <c r="O69" s="18" t="n">
        <v>0</v>
      </c>
      <c r="P69" s="20" t="n">
        <v>0</v>
      </c>
      <c r="Q69" s="18" t="n">
        <v>1.21833878</v>
      </c>
      <c r="R69" s="20" t="n">
        <v>0.91120616</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62.28647643</v>
      </c>
      <c r="F71" s="20" t="n">
        <v>1.18243402</v>
      </c>
      <c r="G71" s="18" t="n">
        <v>37.60446501</v>
      </c>
      <c r="H71" s="20" t="n">
        <v>1.18844762</v>
      </c>
      <c r="I71" s="18" t="n">
        <v>0</v>
      </c>
      <c r="J71" s="20" t="n">
        <v>0</v>
      </c>
      <c r="K71" s="18" t="n">
        <v>0.05716973</v>
      </c>
      <c r="L71" s="20" t="n">
        <v>0.05688605</v>
      </c>
      <c r="M71" s="18" t="n">
        <v>0</v>
      </c>
      <c r="N71" s="20" t="n">
        <v>0</v>
      </c>
      <c r="O71" s="18" t="n">
        <v>0</v>
      </c>
      <c r="P71" s="20" t="n">
        <v>0</v>
      </c>
      <c r="Q71" s="18" t="n">
        <v>0.05188883</v>
      </c>
      <c r="R71" s="20" t="n">
        <v>0.05373848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43.820596</v>
      </c>
      <c r="F76" s="20" t="n">
        <v>1.36327619</v>
      </c>
      <c r="G76" s="18" t="n">
        <v>48.73833644</v>
      </c>
      <c r="H76" s="20" t="n">
        <v>1.49586595</v>
      </c>
      <c r="I76" s="18" t="n">
        <v>0</v>
      </c>
      <c r="J76" s="20" t="n">
        <v>0</v>
      </c>
      <c r="K76" s="18" t="n">
        <v>5.45394868</v>
      </c>
      <c r="L76" s="20" t="n">
        <v>0.58747004</v>
      </c>
      <c r="M76" s="18" t="n">
        <v>0</v>
      </c>
      <c r="N76" s="20" t="n">
        <v>0</v>
      </c>
      <c r="O76" s="18" t="n">
        <v>0</v>
      </c>
      <c r="P76" s="20" t="n">
        <v>0</v>
      </c>
      <c r="Q76" s="18" t="n">
        <v>1.98711889</v>
      </c>
      <c r="R76" s="20" t="n">
        <v>0.3407887</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33.16067982</v>
      </c>
      <c r="F80" s="20" t="n">
        <v>1.28824991</v>
      </c>
      <c r="G80" s="18" t="n">
        <v>66.83932018</v>
      </c>
      <c r="H80" s="20" t="n">
        <v>1.28824991</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54.2409375</v>
      </c>
      <c r="F81" s="20" t="n">
        <v>2.67579746</v>
      </c>
      <c r="G81" s="18" t="n">
        <v>38.8563891</v>
      </c>
      <c r="H81" s="20" t="n">
        <v>2.80956483</v>
      </c>
      <c r="I81" s="18" t="n">
        <v>0</v>
      </c>
      <c r="J81" s="20" t="n">
        <v>0</v>
      </c>
      <c r="K81" s="18" t="n">
        <v>3.48853618</v>
      </c>
      <c r="L81" s="20" t="n">
        <v>0.88308369</v>
      </c>
      <c r="M81" s="18" t="n">
        <v>0.44369619</v>
      </c>
      <c r="N81" s="20" t="n">
        <v>0.30304684</v>
      </c>
      <c r="O81" s="18" t="n">
        <v>2.15685377</v>
      </c>
      <c r="P81" s="20" t="n">
        <v>0.7222145599999999</v>
      </c>
      <c r="Q81" s="18" t="n">
        <v>0.81358726</v>
      </c>
      <c r="R81" s="20" t="n">
        <v>0.39528733</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923</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59.05541386</v>
      </c>
      <c r="F44" s="20" t="n">
        <v>1.4358878</v>
      </c>
      <c r="G44" s="18" t="n">
        <v>31.00010596</v>
      </c>
      <c r="H44" s="20" t="n">
        <v>1.57549669</v>
      </c>
      <c r="I44" s="18" t="n">
        <v>0</v>
      </c>
      <c r="J44" s="20" t="n">
        <v>0</v>
      </c>
      <c r="K44" s="18" t="n">
        <v>2.30225678</v>
      </c>
      <c r="L44" s="20" t="n">
        <v>0.38921842</v>
      </c>
      <c r="M44" s="18" t="n">
        <v>0</v>
      </c>
      <c r="N44" s="20" t="n">
        <v>0</v>
      </c>
      <c r="O44" s="18" t="n">
        <v>3.45136056</v>
      </c>
      <c r="P44" s="20" t="n">
        <v>0.7287927</v>
      </c>
      <c r="Q44" s="18" t="n">
        <v>4.19086285</v>
      </c>
      <c r="R44" s="20" t="n">
        <v>0.53976446</v>
      </c>
    </row>
    <row r="45" spans="1:18">
      <c r="A45" s="15" t="s">
        <v>604</v>
      </c>
      <c r="B45" s="17" t="n">
        <v>5519</v>
      </c>
      <c r="C45" s="18">
        <f>(3687.0/B45*100)</f>
        <v/>
      </c>
      <c r="D45" s="19" t="n">
        <v>1832</v>
      </c>
      <c r="E45" s="18" t="n">
        <v>45.2554659</v>
      </c>
      <c r="F45" s="20" t="n">
        <v>1.41192651</v>
      </c>
      <c r="G45" s="18" t="n">
        <v>40.48557887</v>
      </c>
      <c r="H45" s="20" t="n">
        <v>1.31123091</v>
      </c>
      <c r="I45" s="18" t="n">
        <v>0</v>
      </c>
      <c r="J45" s="20" t="n">
        <v>0</v>
      </c>
      <c r="K45" s="18" t="n">
        <v>5.80269013</v>
      </c>
      <c r="L45" s="20" t="n">
        <v>0.61579238</v>
      </c>
      <c r="M45" s="18" t="n">
        <v>0.394345</v>
      </c>
      <c r="N45" s="20" t="n">
        <v>0.1422792</v>
      </c>
      <c r="O45" s="18" t="n">
        <v>4.37881028</v>
      </c>
      <c r="P45" s="20" t="n">
        <v>0.55633908</v>
      </c>
      <c r="Q45" s="18" t="n">
        <v>3.68310982</v>
      </c>
      <c r="R45" s="20" t="n">
        <v>0.52558942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58.01232993</v>
      </c>
      <c r="F54" s="20" t="n">
        <v>1.51361824</v>
      </c>
      <c r="G54" s="18" t="n">
        <v>37.23977545</v>
      </c>
      <c r="H54" s="20" t="n">
        <v>1.4860664</v>
      </c>
      <c r="I54" s="18" t="n">
        <v>0</v>
      </c>
      <c r="J54" s="20" t="n">
        <v>0</v>
      </c>
      <c r="K54" s="18" t="n">
        <v>2.05426639</v>
      </c>
      <c r="L54" s="20" t="n">
        <v>0.34209713</v>
      </c>
      <c r="M54" s="18" t="n">
        <v>0</v>
      </c>
      <c r="N54" s="20" t="n">
        <v>0</v>
      </c>
      <c r="O54" s="18" t="n">
        <v>1.09191509</v>
      </c>
      <c r="P54" s="20" t="n">
        <v>0.33918314</v>
      </c>
      <c r="Q54" s="18" t="n">
        <v>1.60171313</v>
      </c>
      <c r="R54" s="20" t="n">
        <v>0.2987172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66.82856029</v>
      </c>
      <c r="F56" s="20" t="n">
        <v>1.17758242</v>
      </c>
      <c r="G56" s="18" t="n">
        <v>30.79342103</v>
      </c>
      <c r="H56" s="20" t="n">
        <v>1.05607288</v>
      </c>
      <c r="I56" s="18" t="n">
        <v>0</v>
      </c>
      <c r="J56" s="20" t="n">
        <v>0</v>
      </c>
      <c r="K56" s="18" t="n">
        <v>1.52579611</v>
      </c>
      <c r="L56" s="20" t="n">
        <v>0.35075438</v>
      </c>
      <c r="M56" s="18" t="n">
        <v>0</v>
      </c>
      <c r="N56" s="20" t="n">
        <v>0</v>
      </c>
      <c r="O56" s="18" t="n">
        <v>0.0553533</v>
      </c>
      <c r="P56" s="20" t="n">
        <v>0.05520569</v>
      </c>
      <c r="Q56" s="18" t="n">
        <v>0.79686928</v>
      </c>
      <c r="R56" s="20" t="n">
        <v>0.22236752</v>
      </c>
    </row>
    <row r="57" spans="1:18">
      <c r="A57" s="15" t="s">
        <v>616</v>
      </c>
      <c r="B57" s="17" t="n">
        <v>7267</v>
      </c>
      <c r="C57" s="18">
        <f>(4862.0/B57*100)</f>
        <v/>
      </c>
      <c r="D57" s="19" t="n">
        <v>2405</v>
      </c>
      <c r="E57" s="18" t="n">
        <v>60.80800329</v>
      </c>
      <c r="F57" s="20" t="n">
        <v>1.31345573</v>
      </c>
      <c r="G57" s="18" t="n">
        <v>34.20040724</v>
      </c>
      <c r="H57" s="20" t="n">
        <v>1.2283753</v>
      </c>
      <c r="I57" s="18" t="n">
        <v>0</v>
      </c>
      <c r="J57" s="20" t="n">
        <v>0</v>
      </c>
      <c r="K57" s="18" t="n">
        <v>2.66548029</v>
      </c>
      <c r="L57" s="20" t="n">
        <v>0.39908341</v>
      </c>
      <c r="M57" s="18" t="n">
        <v>0</v>
      </c>
      <c r="N57" s="20" t="n">
        <v>0</v>
      </c>
      <c r="O57" s="18" t="n">
        <v>0.33595868</v>
      </c>
      <c r="P57" s="20" t="n">
        <v>0.13947571</v>
      </c>
      <c r="Q57" s="18" t="n">
        <v>1.9901505</v>
      </c>
      <c r="R57" s="20" t="n">
        <v>0.42932794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71.60138717</v>
      </c>
      <c r="F59" s="20" t="n">
        <v>1.30277969</v>
      </c>
      <c r="G59" s="18" t="n">
        <v>21.56877244</v>
      </c>
      <c r="H59" s="20" t="n">
        <v>1.11475385</v>
      </c>
      <c r="I59" s="18" t="n">
        <v>0</v>
      </c>
      <c r="J59" s="20" t="n">
        <v>0</v>
      </c>
      <c r="K59" s="18" t="n">
        <v>0.9304202499999999</v>
      </c>
      <c r="L59" s="20" t="n">
        <v>0.23173801</v>
      </c>
      <c r="M59" s="18" t="n">
        <v>0</v>
      </c>
      <c r="N59" s="20" t="n">
        <v>0</v>
      </c>
      <c r="O59" s="18" t="n">
        <v>4.14011474</v>
      </c>
      <c r="P59" s="20" t="n">
        <v>0.5707789</v>
      </c>
      <c r="Q59" s="18" t="n">
        <v>1.7593054</v>
      </c>
      <c r="R59" s="20" t="n">
        <v>0.37887349</v>
      </c>
    </row>
    <row r="60" spans="1:18">
      <c r="A60" s="15" t="s">
        <v>620</v>
      </c>
      <c r="B60" s="17" t="n">
        <v>4546</v>
      </c>
      <c r="C60" s="18">
        <f>(3023.0/B60*100)</f>
        <v/>
      </c>
      <c r="D60" s="19" t="n">
        <v>1523</v>
      </c>
      <c r="E60" s="18" t="n">
        <v>44.37230083</v>
      </c>
      <c r="F60" s="20" t="n">
        <v>1.42909571</v>
      </c>
      <c r="G60" s="18" t="n">
        <v>43.09028636</v>
      </c>
      <c r="H60" s="20" t="n">
        <v>1.73811993</v>
      </c>
      <c r="I60" s="18" t="n">
        <v>0</v>
      </c>
      <c r="J60" s="20" t="n">
        <v>0</v>
      </c>
      <c r="K60" s="18" t="n">
        <v>4.05693295</v>
      </c>
      <c r="L60" s="20" t="n">
        <v>0.5912231999999999</v>
      </c>
      <c r="M60" s="18" t="n">
        <v>0</v>
      </c>
      <c r="N60" s="20" t="n">
        <v>0</v>
      </c>
      <c r="O60" s="18" t="n">
        <v>5.09343447</v>
      </c>
      <c r="P60" s="20" t="n">
        <v>0.8369325399999999</v>
      </c>
      <c r="Q60" s="18" t="n">
        <v>3.38704539</v>
      </c>
      <c r="R60" s="20" t="n">
        <v>0.46661362</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59.5273174</v>
      </c>
      <c r="F63" s="20" t="n">
        <v>1.24154929</v>
      </c>
      <c r="G63" s="18" t="n">
        <v>29.38216671</v>
      </c>
      <c r="H63" s="20" t="n">
        <v>1.25859562</v>
      </c>
      <c r="I63" s="18" t="n">
        <v>0</v>
      </c>
      <c r="J63" s="20" t="n">
        <v>0</v>
      </c>
      <c r="K63" s="18" t="n">
        <v>3.7318044</v>
      </c>
      <c r="L63" s="20" t="n">
        <v>0.46279942</v>
      </c>
      <c r="M63" s="18" t="n">
        <v>0</v>
      </c>
      <c r="N63" s="20" t="n">
        <v>0</v>
      </c>
      <c r="O63" s="18" t="n">
        <v>1.63812666</v>
      </c>
      <c r="P63" s="20" t="n">
        <v>0.36014076</v>
      </c>
      <c r="Q63" s="18" t="n">
        <v>5.72058483</v>
      </c>
      <c r="R63" s="20" t="n">
        <v>0.62295323</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52.86901133</v>
      </c>
      <c r="F65" s="20" t="n">
        <v>1.33573522</v>
      </c>
      <c r="G65" s="18" t="n">
        <v>41.71936284</v>
      </c>
      <c r="H65" s="20" t="n">
        <v>1.35412879</v>
      </c>
      <c r="I65" s="18" t="n">
        <v>0</v>
      </c>
      <c r="J65" s="20" t="n">
        <v>0</v>
      </c>
      <c r="K65" s="18" t="n">
        <v>2.779024</v>
      </c>
      <c r="L65" s="20" t="n">
        <v>0.534859</v>
      </c>
      <c r="M65" s="18" t="n">
        <v>0.11822475</v>
      </c>
      <c r="N65" s="20" t="n">
        <v>0.11382983</v>
      </c>
      <c r="O65" s="18" t="n">
        <v>0.49502204</v>
      </c>
      <c r="P65" s="20" t="n">
        <v>0.20575124</v>
      </c>
      <c r="Q65" s="18" t="n">
        <v>2.01935504</v>
      </c>
      <c r="R65" s="20" t="n">
        <v>0.41411238</v>
      </c>
    </row>
    <row r="66" spans="1:18">
      <c r="A66" s="15" t="s">
        <v>626</v>
      </c>
      <c r="B66" s="17" t="n">
        <v>5325</v>
      </c>
      <c r="C66" s="18">
        <f>(3572.0/B66*100)</f>
        <v/>
      </c>
      <c r="D66" s="19" t="n">
        <v>1753</v>
      </c>
      <c r="E66" s="18" t="n">
        <v>55.49634009</v>
      </c>
      <c r="F66" s="20" t="n">
        <v>1.14635497</v>
      </c>
      <c r="G66" s="18" t="n">
        <v>31.61083055</v>
      </c>
      <c r="H66" s="20" t="n">
        <v>1.17300254</v>
      </c>
      <c r="I66" s="18" t="n">
        <v>0</v>
      </c>
      <c r="J66" s="20" t="n">
        <v>0</v>
      </c>
      <c r="K66" s="18" t="n">
        <v>5.94337782</v>
      </c>
      <c r="L66" s="20" t="n">
        <v>0.57661797</v>
      </c>
      <c r="M66" s="18" t="n">
        <v>2.89500127</v>
      </c>
      <c r="N66" s="20" t="n">
        <v>0.42567165</v>
      </c>
      <c r="O66" s="18" t="n">
        <v>0</v>
      </c>
      <c r="P66" s="20" t="n">
        <v>0</v>
      </c>
      <c r="Q66" s="18" t="n">
        <v>4.05445027</v>
      </c>
      <c r="R66" s="20" t="n">
        <v>0.52988488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73.69991618</v>
      </c>
      <c r="F69" s="20" t="n">
        <v>1.84684478</v>
      </c>
      <c r="G69" s="18" t="n">
        <v>23.55577948</v>
      </c>
      <c r="H69" s="20" t="n">
        <v>2.04263747</v>
      </c>
      <c r="I69" s="18" t="n">
        <v>0</v>
      </c>
      <c r="J69" s="20" t="n">
        <v>0</v>
      </c>
      <c r="K69" s="18" t="n">
        <v>1.50392634</v>
      </c>
      <c r="L69" s="20" t="n">
        <v>0.7983241599999999</v>
      </c>
      <c r="M69" s="18" t="n">
        <v>0</v>
      </c>
      <c r="N69" s="20" t="n">
        <v>0</v>
      </c>
      <c r="O69" s="18" t="n">
        <v>0.27963367</v>
      </c>
      <c r="P69" s="20" t="n">
        <v>0.19783433</v>
      </c>
      <c r="Q69" s="18" t="n">
        <v>0.96074433</v>
      </c>
      <c r="R69" s="20" t="n">
        <v>0.53528346</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67.28982476</v>
      </c>
      <c r="F71" s="20" t="n">
        <v>1.38819492</v>
      </c>
      <c r="G71" s="18" t="n">
        <v>32.5655571</v>
      </c>
      <c r="H71" s="20" t="n">
        <v>1.38926224</v>
      </c>
      <c r="I71" s="18" t="n">
        <v>0</v>
      </c>
      <c r="J71" s="20" t="n">
        <v>0</v>
      </c>
      <c r="K71" s="18" t="n">
        <v>0.05716973</v>
      </c>
      <c r="L71" s="20" t="n">
        <v>0.05688605</v>
      </c>
      <c r="M71" s="18" t="n">
        <v>0</v>
      </c>
      <c r="N71" s="20" t="n">
        <v>0</v>
      </c>
      <c r="O71" s="18" t="n">
        <v>0</v>
      </c>
      <c r="P71" s="20" t="n">
        <v>0</v>
      </c>
      <c r="Q71" s="18" t="n">
        <v>0.08744841</v>
      </c>
      <c r="R71" s="20" t="n">
        <v>0.06456669</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51.80496825</v>
      </c>
      <c r="F76" s="20" t="n">
        <v>1.36376317</v>
      </c>
      <c r="G76" s="18" t="n">
        <v>39.8148886</v>
      </c>
      <c r="H76" s="20" t="n">
        <v>1.32980153</v>
      </c>
      <c r="I76" s="18" t="n">
        <v>0</v>
      </c>
      <c r="J76" s="20" t="n">
        <v>0</v>
      </c>
      <c r="K76" s="18" t="n">
        <v>5.61662365</v>
      </c>
      <c r="L76" s="20" t="n">
        <v>0.59507077</v>
      </c>
      <c r="M76" s="18" t="n">
        <v>0</v>
      </c>
      <c r="N76" s="20" t="n">
        <v>0</v>
      </c>
      <c r="O76" s="18" t="n">
        <v>0.05432269</v>
      </c>
      <c r="P76" s="20" t="n">
        <v>0.05405668</v>
      </c>
      <c r="Q76" s="18" t="n">
        <v>2.70919681</v>
      </c>
      <c r="R76" s="20" t="n">
        <v>0.42757782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2.26122959</v>
      </c>
      <c r="F80" s="20" t="n">
        <v>0.36959749</v>
      </c>
      <c r="G80" s="18" t="n">
        <v>97.73877041</v>
      </c>
      <c r="H80" s="20" t="n">
        <v>0.36959749</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48.58235283</v>
      </c>
      <c r="F81" s="20" t="n">
        <v>2.29027504</v>
      </c>
      <c r="G81" s="18" t="n">
        <v>43.87845095</v>
      </c>
      <c r="H81" s="20" t="n">
        <v>2.55346883</v>
      </c>
      <c r="I81" s="18" t="n">
        <v>0</v>
      </c>
      <c r="J81" s="20" t="n">
        <v>0</v>
      </c>
      <c r="K81" s="18" t="n">
        <v>4.22931706</v>
      </c>
      <c r="L81" s="20" t="n">
        <v>1.06535856</v>
      </c>
      <c r="M81" s="18" t="n">
        <v>0.21626829</v>
      </c>
      <c r="N81" s="20" t="n">
        <v>0.2167421</v>
      </c>
      <c r="O81" s="18" t="n">
        <v>1.54371874</v>
      </c>
      <c r="P81" s="20" t="n">
        <v>0.64024566</v>
      </c>
      <c r="Q81" s="18" t="n">
        <v>1.54989212</v>
      </c>
      <c r="R81" s="20" t="n">
        <v>0.52133796</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27.28328351</v>
      </c>
      <c r="F44" s="20" t="n">
        <v>1.55975268</v>
      </c>
      <c r="G44" s="18" t="n">
        <v>47.50216195</v>
      </c>
      <c r="H44" s="20" t="n">
        <v>1.62833499</v>
      </c>
      <c r="I44" s="18" t="n">
        <v>0</v>
      </c>
      <c r="J44" s="20" t="n">
        <v>0</v>
      </c>
      <c r="K44" s="18" t="n">
        <v>3.16024111</v>
      </c>
      <c r="L44" s="20" t="n">
        <v>0.44371683</v>
      </c>
      <c r="M44" s="18" t="n">
        <v>0</v>
      </c>
      <c r="N44" s="20" t="n">
        <v>0</v>
      </c>
      <c r="O44" s="18" t="n">
        <v>0</v>
      </c>
      <c r="P44" s="20" t="n">
        <v>0</v>
      </c>
      <c r="Q44" s="18" t="n">
        <v>22.05431342</v>
      </c>
      <c r="R44" s="20" t="n">
        <v>1.27654228</v>
      </c>
    </row>
    <row r="45" spans="1:18">
      <c r="A45" s="15" t="s">
        <v>604</v>
      </c>
      <c r="B45" s="17" t="n">
        <v>5519</v>
      </c>
      <c r="C45" s="18">
        <f>(3687.0/B45*100)</f>
        <v/>
      </c>
      <c r="D45" s="19" t="n">
        <v>1832</v>
      </c>
      <c r="E45" s="18" t="n">
        <v>40.6347811</v>
      </c>
      <c r="F45" s="20" t="n">
        <v>1.18637629</v>
      </c>
      <c r="G45" s="18" t="n">
        <v>30.67705479</v>
      </c>
      <c r="H45" s="20" t="n">
        <v>1.28953488</v>
      </c>
      <c r="I45" s="18" t="n">
        <v>0</v>
      </c>
      <c r="J45" s="20" t="n">
        <v>0</v>
      </c>
      <c r="K45" s="18" t="n">
        <v>6.55885309</v>
      </c>
      <c r="L45" s="20" t="n">
        <v>0.62565913</v>
      </c>
      <c r="M45" s="18" t="n">
        <v>0.284189</v>
      </c>
      <c r="N45" s="20" t="n">
        <v>0.2334763</v>
      </c>
      <c r="O45" s="18" t="n">
        <v>0.05626024</v>
      </c>
      <c r="P45" s="20" t="n">
        <v>0.06116351</v>
      </c>
      <c r="Q45" s="18" t="n">
        <v>21.78886177</v>
      </c>
      <c r="R45" s="20" t="n">
        <v>1.24143013</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19.53204048</v>
      </c>
      <c r="F54" s="20" t="n">
        <v>1.06278699</v>
      </c>
      <c r="G54" s="18" t="n">
        <v>49.14171866</v>
      </c>
      <c r="H54" s="20" t="n">
        <v>1.54689428</v>
      </c>
      <c r="I54" s="18" t="n">
        <v>0</v>
      </c>
      <c r="J54" s="20" t="n">
        <v>0</v>
      </c>
      <c r="K54" s="18" t="n">
        <v>2.7921815</v>
      </c>
      <c r="L54" s="20" t="n">
        <v>0.43567039</v>
      </c>
      <c r="M54" s="18" t="n">
        <v>0</v>
      </c>
      <c r="N54" s="20" t="n">
        <v>0</v>
      </c>
      <c r="O54" s="18" t="n">
        <v>0.10318202</v>
      </c>
      <c r="P54" s="20" t="n">
        <v>0.07260374999999999</v>
      </c>
      <c r="Q54" s="18" t="n">
        <v>28.43087733</v>
      </c>
      <c r="R54" s="20" t="n">
        <v>1.32663328</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53.17976959</v>
      </c>
      <c r="F56" s="20" t="n">
        <v>1.38254695</v>
      </c>
      <c r="G56" s="18" t="n">
        <v>38.92939138</v>
      </c>
      <c r="H56" s="20" t="n">
        <v>1.50620698</v>
      </c>
      <c r="I56" s="18" t="n">
        <v>0</v>
      </c>
      <c r="J56" s="20" t="n">
        <v>0</v>
      </c>
      <c r="K56" s="18" t="n">
        <v>1.8129301</v>
      </c>
      <c r="L56" s="20" t="n">
        <v>0.41195915</v>
      </c>
      <c r="M56" s="18" t="n">
        <v>0</v>
      </c>
      <c r="N56" s="20" t="n">
        <v>0</v>
      </c>
      <c r="O56" s="18" t="n">
        <v>0</v>
      </c>
      <c r="P56" s="20" t="n">
        <v>0</v>
      </c>
      <c r="Q56" s="18" t="n">
        <v>6.07790893</v>
      </c>
      <c r="R56" s="20" t="n">
        <v>0.79836475</v>
      </c>
    </row>
    <row r="57" spans="1:18">
      <c r="A57" s="15" t="s">
        <v>616</v>
      </c>
      <c r="B57" s="17" t="n">
        <v>7267</v>
      </c>
      <c r="C57" s="18">
        <f>(4862.0/B57*100)</f>
        <v/>
      </c>
      <c r="D57" s="19" t="n">
        <v>2405</v>
      </c>
      <c r="E57" s="18" t="n">
        <v>43.46251692</v>
      </c>
      <c r="F57" s="20" t="n">
        <v>1.22726554</v>
      </c>
      <c r="G57" s="18" t="n">
        <v>40.62223298</v>
      </c>
      <c r="H57" s="20" t="n">
        <v>1.41336764</v>
      </c>
      <c r="I57" s="18" t="n">
        <v>0</v>
      </c>
      <c r="J57" s="20" t="n">
        <v>0</v>
      </c>
      <c r="K57" s="18" t="n">
        <v>3.50931798</v>
      </c>
      <c r="L57" s="20" t="n">
        <v>0.46462609</v>
      </c>
      <c r="M57" s="18" t="n">
        <v>0</v>
      </c>
      <c r="N57" s="20" t="n">
        <v>0</v>
      </c>
      <c r="O57" s="18" t="n">
        <v>0</v>
      </c>
      <c r="P57" s="20" t="n">
        <v>0</v>
      </c>
      <c r="Q57" s="18" t="n">
        <v>12.40593212</v>
      </c>
      <c r="R57" s="20" t="n">
        <v>0.86505318</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48.65938001</v>
      </c>
      <c r="F59" s="20" t="n">
        <v>1.43691557</v>
      </c>
      <c r="G59" s="18" t="n">
        <v>29.16582591</v>
      </c>
      <c r="H59" s="20" t="n">
        <v>1.32579526</v>
      </c>
      <c r="I59" s="18" t="n">
        <v>0</v>
      </c>
      <c r="J59" s="20" t="n">
        <v>0</v>
      </c>
      <c r="K59" s="18" t="n">
        <v>1.4392263</v>
      </c>
      <c r="L59" s="20" t="n">
        <v>0.32181258</v>
      </c>
      <c r="M59" s="18" t="n">
        <v>0</v>
      </c>
      <c r="N59" s="20" t="n">
        <v>0</v>
      </c>
      <c r="O59" s="18" t="n">
        <v>0</v>
      </c>
      <c r="P59" s="20" t="n">
        <v>0</v>
      </c>
      <c r="Q59" s="18" t="n">
        <v>20.73556777</v>
      </c>
      <c r="R59" s="20" t="n">
        <v>1.14424102</v>
      </c>
    </row>
    <row r="60" spans="1:18">
      <c r="A60" s="15" t="s">
        <v>620</v>
      </c>
      <c r="B60" s="17" t="n">
        <v>4546</v>
      </c>
      <c r="C60" s="18">
        <f>(3023.0/B60*100)</f>
        <v/>
      </c>
      <c r="D60" s="19" t="n">
        <v>1523</v>
      </c>
      <c r="E60" s="18" t="n">
        <v>35.42206862</v>
      </c>
      <c r="F60" s="20" t="n">
        <v>1.53505566</v>
      </c>
      <c r="G60" s="18" t="n">
        <v>25.22714242</v>
      </c>
      <c r="H60" s="20" t="n">
        <v>1.59207838</v>
      </c>
      <c r="I60" s="18" t="n">
        <v>0</v>
      </c>
      <c r="J60" s="20" t="n">
        <v>0</v>
      </c>
      <c r="K60" s="18" t="n">
        <v>5.18048648</v>
      </c>
      <c r="L60" s="20" t="n">
        <v>0.6770187600000001</v>
      </c>
      <c r="M60" s="18" t="n">
        <v>0.08059864</v>
      </c>
      <c r="N60" s="20" t="n">
        <v>0.08183975</v>
      </c>
      <c r="O60" s="18" t="n">
        <v>0</v>
      </c>
      <c r="P60" s="20" t="n">
        <v>0</v>
      </c>
      <c r="Q60" s="18" t="n">
        <v>34.08970384</v>
      </c>
      <c r="R60" s="20" t="n">
        <v>1.75503098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18.41397035</v>
      </c>
      <c r="F63" s="20" t="n">
        <v>1.06642415</v>
      </c>
      <c r="G63" s="18" t="n">
        <v>33.4524752</v>
      </c>
      <c r="H63" s="20" t="n">
        <v>1.17621113</v>
      </c>
      <c r="I63" s="18" t="n">
        <v>0</v>
      </c>
      <c r="J63" s="20" t="n">
        <v>0</v>
      </c>
      <c r="K63" s="18" t="n">
        <v>4.86681175</v>
      </c>
      <c r="L63" s="20" t="n">
        <v>0.5189765</v>
      </c>
      <c r="M63" s="18" t="n">
        <v>0</v>
      </c>
      <c r="N63" s="20" t="n">
        <v>0</v>
      </c>
      <c r="O63" s="18" t="n">
        <v>0</v>
      </c>
      <c r="P63" s="20" t="n">
        <v>0</v>
      </c>
      <c r="Q63" s="18" t="n">
        <v>43.2667427</v>
      </c>
      <c r="R63" s="20" t="n">
        <v>1.18447289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18.47477405</v>
      </c>
      <c r="F65" s="20" t="n">
        <v>1.02501999</v>
      </c>
      <c r="G65" s="18" t="n">
        <v>61.1018204</v>
      </c>
      <c r="H65" s="20" t="n">
        <v>1.4167794</v>
      </c>
      <c r="I65" s="18" t="n">
        <v>0</v>
      </c>
      <c r="J65" s="20" t="n">
        <v>0</v>
      </c>
      <c r="K65" s="18" t="n">
        <v>3.14887728</v>
      </c>
      <c r="L65" s="20" t="n">
        <v>0.57150463</v>
      </c>
      <c r="M65" s="18" t="n">
        <v>0</v>
      </c>
      <c r="N65" s="20" t="n">
        <v>0</v>
      </c>
      <c r="O65" s="18" t="n">
        <v>0</v>
      </c>
      <c r="P65" s="20" t="n">
        <v>0</v>
      </c>
      <c r="Q65" s="18" t="n">
        <v>17.27452827</v>
      </c>
      <c r="R65" s="20" t="n">
        <v>1.18595691</v>
      </c>
    </row>
    <row r="66" spans="1:18">
      <c r="A66" s="15" t="s">
        <v>626</v>
      </c>
      <c r="B66" s="17" t="n">
        <v>5325</v>
      </c>
      <c r="C66" s="18">
        <f>(3572.0/B66*100)</f>
        <v/>
      </c>
      <c r="D66" s="19" t="n">
        <v>1753</v>
      </c>
      <c r="E66" s="18" t="n">
        <v>16.68482566</v>
      </c>
      <c r="F66" s="20" t="n">
        <v>0.98187736</v>
      </c>
      <c r="G66" s="18" t="n">
        <v>55.77565314</v>
      </c>
      <c r="H66" s="20" t="n">
        <v>1.47859668</v>
      </c>
      <c r="I66" s="18" t="n">
        <v>0</v>
      </c>
      <c r="J66" s="20" t="n">
        <v>0</v>
      </c>
      <c r="K66" s="18" t="n">
        <v>7.27920977</v>
      </c>
      <c r="L66" s="20" t="n">
        <v>0.6184593900000001</v>
      </c>
      <c r="M66" s="18" t="n">
        <v>0</v>
      </c>
      <c r="N66" s="20" t="n">
        <v>0</v>
      </c>
      <c r="O66" s="18" t="n">
        <v>0</v>
      </c>
      <c r="P66" s="20" t="n">
        <v>0</v>
      </c>
      <c r="Q66" s="18" t="n">
        <v>20.26031144</v>
      </c>
      <c r="R66" s="20" t="n">
        <v>1.12595014</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42.17901939</v>
      </c>
      <c r="F69" s="20" t="n">
        <v>1.89483615</v>
      </c>
      <c r="G69" s="18" t="n">
        <v>42.02028526</v>
      </c>
      <c r="H69" s="20" t="n">
        <v>2.43123913</v>
      </c>
      <c r="I69" s="18" t="n">
        <v>0</v>
      </c>
      <c r="J69" s="20" t="n">
        <v>0</v>
      </c>
      <c r="K69" s="18" t="n">
        <v>1.65972409</v>
      </c>
      <c r="L69" s="20" t="n">
        <v>0.8106818</v>
      </c>
      <c r="M69" s="18" t="n">
        <v>0</v>
      </c>
      <c r="N69" s="20" t="n">
        <v>0</v>
      </c>
      <c r="O69" s="18" t="n">
        <v>0</v>
      </c>
      <c r="P69" s="20" t="n">
        <v>0</v>
      </c>
      <c r="Q69" s="18" t="n">
        <v>14.14097125</v>
      </c>
      <c r="R69" s="20" t="n">
        <v>2.17790028</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39.23375898</v>
      </c>
      <c r="F71" s="20" t="n">
        <v>1.40884745</v>
      </c>
      <c r="G71" s="18" t="n">
        <v>60.37801499</v>
      </c>
      <c r="H71" s="20" t="n">
        <v>1.39958712</v>
      </c>
      <c r="I71" s="18" t="n">
        <v>0</v>
      </c>
      <c r="J71" s="20" t="n">
        <v>0</v>
      </c>
      <c r="K71" s="18" t="n">
        <v>0.05716973</v>
      </c>
      <c r="L71" s="20" t="n">
        <v>0.05688605</v>
      </c>
      <c r="M71" s="18" t="n">
        <v>0</v>
      </c>
      <c r="N71" s="20" t="n">
        <v>0</v>
      </c>
      <c r="O71" s="18" t="n">
        <v>0</v>
      </c>
      <c r="P71" s="20" t="n">
        <v>0</v>
      </c>
      <c r="Q71" s="18" t="n">
        <v>0.3310563</v>
      </c>
      <c r="R71" s="20" t="n">
        <v>0.15660824</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27.81688962</v>
      </c>
      <c r="F76" s="20" t="n">
        <v>1.23035636</v>
      </c>
      <c r="G76" s="18" t="n">
        <v>44.71252356</v>
      </c>
      <c r="H76" s="20" t="n">
        <v>1.18938469</v>
      </c>
      <c r="I76" s="18" t="n">
        <v>0</v>
      </c>
      <c r="J76" s="20" t="n">
        <v>0</v>
      </c>
      <c r="K76" s="18" t="n">
        <v>7.46619732</v>
      </c>
      <c r="L76" s="20" t="n">
        <v>0.62745087</v>
      </c>
      <c r="M76" s="18" t="n">
        <v>0</v>
      </c>
      <c r="N76" s="20" t="n">
        <v>0</v>
      </c>
      <c r="O76" s="18" t="n">
        <v>0</v>
      </c>
      <c r="P76" s="20" t="n">
        <v>0</v>
      </c>
      <c r="Q76" s="18" t="n">
        <v>20.00438949</v>
      </c>
      <c r="R76" s="20" t="n">
        <v>0.82826098</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21.5782503</v>
      </c>
      <c r="F80" s="20" t="n">
        <v>1.14018965</v>
      </c>
      <c r="G80" s="18" t="n">
        <v>77.20863073</v>
      </c>
      <c r="H80" s="20" t="n">
        <v>1.14093695</v>
      </c>
      <c r="I80" s="18" t="n">
        <v>0</v>
      </c>
      <c r="J80" s="20" t="n">
        <v>0</v>
      </c>
      <c r="K80" s="18" t="n">
        <v>0</v>
      </c>
      <c r="L80" s="20" t="n">
        <v>0</v>
      </c>
      <c r="M80" s="18" t="n">
        <v>0</v>
      </c>
      <c r="N80" s="20" t="n">
        <v>0</v>
      </c>
      <c r="O80" s="18" t="n">
        <v>0</v>
      </c>
      <c r="P80" s="20" t="n">
        <v>0</v>
      </c>
      <c r="Q80" s="18" t="n">
        <v>1.21311897</v>
      </c>
      <c r="R80" s="20" t="n">
        <v>0.25708196</v>
      </c>
    </row>
    <row r="81" spans="1:18">
      <c r="A81" s="15" t="s">
        <v>641</v>
      </c>
      <c r="B81" s="17" t="n">
        <v>1657</v>
      </c>
      <c r="C81" s="18">
        <f>(1109.0/B81*100)</f>
        <v/>
      </c>
      <c r="D81" s="19" t="n">
        <v>548</v>
      </c>
      <c r="E81" s="18" t="n">
        <v>25.699534</v>
      </c>
      <c r="F81" s="20" t="n">
        <v>2.44927599</v>
      </c>
      <c r="G81" s="18" t="n">
        <v>53.77239294</v>
      </c>
      <c r="H81" s="20" t="n">
        <v>2.72844299</v>
      </c>
      <c r="I81" s="18" t="n">
        <v>0</v>
      </c>
      <c r="J81" s="20" t="n">
        <v>0</v>
      </c>
      <c r="K81" s="18" t="n">
        <v>5.85553407</v>
      </c>
      <c r="L81" s="20" t="n">
        <v>1.1205196</v>
      </c>
      <c r="M81" s="18" t="n">
        <v>0.21626829</v>
      </c>
      <c r="N81" s="20" t="n">
        <v>0.2167421</v>
      </c>
      <c r="O81" s="18" t="n">
        <v>0.35163381</v>
      </c>
      <c r="P81" s="20" t="n">
        <v>0.24131351</v>
      </c>
      <c r="Q81" s="18" t="n">
        <v>14.10463689</v>
      </c>
      <c r="R81" s="20" t="n">
        <v>1.19453786</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5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925</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52.75054666</v>
      </c>
      <c r="F44" s="20" t="n">
        <v>1.57999347</v>
      </c>
      <c r="G44" s="18" t="n">
        <v>27.60385953</v>
      </c>
      <c r="H44" s="20" t="n">
        <v>1.5746984</v>
      </c>
      <c r="I44" s="18" t="n">
        <v>0</v>
      </c>
      <c r="J44" s="20" t="n">
        <v>0</v>
      </c>
      <c r="K44" s="18" t="n">
        <v>3.96837546</v>
      </c>
      <c r="L44" s="20" t="n">
        <v>0.52777713</v>
      </c>
      <c r="M44" s="18" t="n">
        <v>0</v>
      </c>
      <c r="N44" s="20" t="n">
        <v>0</v>
      </c>
      <c r="O44" s="18" t="n">
        <v>0</v>
      </c>
      <c r="P44" s="20" t="n">
        <v>0</v>
      </c>
      <c r="Q44" s="18" t="n">
        <v>15.67721835</v>
      </c>
      <c r="R44" s="20" t="n">
        <v>1.1896446</v>
      </c>
    </row>
    <row r="45" spans="1:18">
      <c r="A45" s="15" t="s">
        <v>604</v>
      </c>
      <c r="B45" s="17" t="n">
        <v>5519</v>
      </c>
      <c r="C45" s="18">
        <f>(3687.0/B45*100)</f>
        <v/>
      </c>
      <c r="D45" s="19" t="n">
        <v>1832</v>
      </c>
      <c r="E45" s="18" t="n">
        <v>62.61099327</v>
      </c>
      <c r="F45" s="20" t="n">
        <v>1.15146079</v>
      </c>
      <c r="G45" s="18" t="n">
        <v>17.94702797</v>
      </c>
      <c r="H45" s="20" t="n">
        <v>0.9578723</v>
      </c>
      <c r="I45" s="18" t="n">
        <v>0</v>
      </c>
      <c r="J45" s="20" t="n">
        <v>0</v>
      </c>
      <c r="K45" s="18" t="n">
        <v>6.84142607</v>
      </c>
      <c r="L45" s="20" t="n">
        <v>0.65148943</v>
      </c>
      <c r="M45" s="18" t="n">
        <v>0.4069405</v>
      </c>
      <c r="N45" s="20" t="n">
        <v>0.25481213</v>
      </c>
      <c r="O45" s="18" t="n">
        <v>0.16686096</v>
      </c>
      <c r="P45" s="20" t="n">
        <v>0.08650755</v>
      </c>
      <c r="Q45" s="18" t="n">
        <v>12.02675123</v>
      </c>
      <c r="R45" s="20" t="n">
        <v>0.77924197</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49.08519173</v>
      </c>
      <c r="F54" s="20" t="n">
        <v>1.47898398</v>
      </c>
      <c r="G54" s="18" t="n">
        <v>20.47666152</v>
      </c>
      <c r="H54" s="20" t="n">
        <v>1.17259368</v>
      </c>
      <c r="I54" s="18" t="n">
        <v>0</v>
      </c>
      <c r="J54" s="20" t="n">
        <v>0</v>
      </c>
      <c r="K54" s="18" t="n">
        <v>3.57954059</v>
      </c>
      <c r="L54" s="20" t="n">
        <v>0.49771162</v>
      </c>
      <c r="M54" s="18" t="n">
        <v>0</v>
      </c>
      <c r="N54" s="20" t="n">
        <v>0</v>
      </c>
      <c r="O54" s="18" t="n">
        <v>0.28350975</v>
      </c>
      <c r="P54" s="20" t="n">
        <v>0.14490895</v>
      </c>
      <c r="Q54" s="18" t="n">
        <v>26.57509641</v>
      </c>
      <c r="R54" s="20" t="n">
        <v>1.35172952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68.15823045</v>
      </c>
      <c r="F56" s="20" t="n">
        <v>1.06263321</v>
      </c>
      <c r="G56" s="18" t="n">
        <v>26.30676962</v>
      </c>
      <c r="H56" s="20" t="n">
        <v>1.10951665</v>
      </c>
      <c r="I56" s="18" t="n">
        <v>0</v>
      </c>
      <c r="J56" s="20" t="n">
        <v>0</v>
      </c>
      <c r="K56" s="18" t="n">
        <v>2.028064</v>
      </c>
      <c r="L56" s="20" t="n">
        <v>0.43194906</v>
      </c>
      <c r="M56" s="18" t="n">
        <v>0</v>
      </c>
      <c r="N56" s="20" t="n">
        <v>0</v>
      </c>
      <c r="O56" s="18" t="n">
        <v>0</v>
      </c>
      <c r="P56" s="20" t="n">
        <v>0</v>
      </c>
      <c r="Q56" s="18" t="n">
        <v>3.50693593</v>
      </c>
      <c r="R56" s="20" t="n">
        <v>0.5698868499999999</v>
      </c>
    </row>
    <row r="57" spans="1:18">
      <c r="A57" s="15" t="s">
        <v>616</v>
      </c>
      <c r="B57" s="17" t="n">
        <v>7267</v>
      </c>
      <c r="C57" s="18">
        <f>(4862.0/B57*100)</f>
        <v/>
      </c>
      <c r="D57" s="19" t="n">
        <v>2405</v>
      </c>
      <c r="E57" s="18" t="n">
        <v>54.24596302</v>
      </c>
      <c r="F57" s="20" t="n">
        <v>1.4895796</v>
      </c>
      <c r="G57" s="18" t="n">
        <v>32.56108319</v>
      </c>
      <c r="H57" s="20" t="n">
        <v>1.54724695</v>
      </c>
      <c r="I57" s="18" t="n">
        <v>0</v>
      </c>
      <c r="J57" s="20" t="n">
        <v>0</v>
      </c>
      <c r="K57" s="18" t="n">
        <v>3.91392547</v>
      </c>
      <c r="L57" s="20" t="n">
        <v>0.5074260900000001</v>
      </c>
      <c r="M57" s="18" t="n">
        <v>0</v>
      </c>
      <c r="N57" s="20" t="n">
        <v>0</v>
      </c>
      <c r="O57" s="18" t="n">
        <v>0.05622501</v>
      </c>
      <c r="P57" s="20" t="n">
        <v>0.05614111</v>
      </c>
      <c r="Q57" s="18" t="n">
        <v>9.222803300000001</v>
      </c>
      <c r="R57" s="20" t="n">
        <v>0.7790461400000001</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69.94839313</v>
      </c>
      <c r="F59" s="20" t="n">
        <v>1.48948387</v>
      </c>
      <c r="G59" s="18" t="n">
        <v>16.30597627</v>
      </c>
      <c r="H59" s="20" t="n">
        <v>1.17436938</v>
      </c>
      <c r="I59" s="18" t="n">
        <v>0</v>
      </c>
      <c r="J59" s="20" t="n">
        <v>0</v>
      </c>
      <c r="K59" s="18" t="n">
        <v>1.644743</v>
      </c>
      <c r="L59" s="20" t="n">
        <v>0.36522195</v>
      </c>
      <c r="M59" s="18" t="n">
        <v>0</v>
      </c>
      <c r="N59" s="20" t="n">
        <v>0</v>
      </c>
      <c r="O59" s="18" t="n">
        <v>0</v>
      </c>
      <c r="P59" s="20" t="n">
        <v>0</v>
      </c>
      <c r="Q59" s="18" t="n">
        <v>12.10088761</v>
      </c>
      <c r="R59" s="20" t="n">
        <v>0.95024639</v>
      </c>
    </row>
    <row r="60" spans="1:18">
      <c r="A60" s="15" t="s">
        <v>620</v>
      </c>
      <c r="B60" s="17" t="n">
        <v>4546</v>
      </c>
      <c r="C60" s="18">
        <f>(3023.0/B60*100)</f>
        <v/>
      </c>
      <c r="D60" s="19" t="n">
        <v>1523</v>
      </c>
      <c r="E60" s="18" t="n">
        <v>59.09658872</v>
      </c>
      <c r="F60" s="20" t="n">
        <v>1.5423881</v>
      </c>
      <c r="G60" s="18" t="n">
        <v>15.00817919</v>
      </c>
      <c r="H60" s="20" t="n">
        <v>1.12638233</v>
      </c>
      <c r="I60" s="18" t="n">
        <v>0</v>
      </c>
      <c r="J60" s="20" t="n">
        <v>0</v>
      </c>
      <c r="K60" s="18" t="n">
        <v>5.44361786</v>
      </c>
      <c r="L60" s="20" t="n">
        <v>0.68355948</v>
      </c>
      <c r="M60" s="18" t="n">
        <v>0</v>
      </c>
      <c r="N60" s="20" t="n">
        <v>0</v>
      </c>
      <c r="O60" s="18" t="n">
        <v>0.07396419</v>
      </c>
      <c r="P60" s="20" t="n">
        <v>0.04626764</v>
      </c>
      <c r="Q60" s="18" t="n">
        <v>20.37765004</v>
      </c>
      <c r="R60" s="20" t="n">
        <v>1.5291491</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47.89821511</v>
      </c>
      <c r="F63" s="20" t="n">
        <v>1.42522286</v>
      </c>
      <c r="G63" s="18" t="n">
        <v>14.99724137</v>
      </c>
      <c r="H63" s="20" t="n">
        <v>1.20810048</v>
      </c>
      <c r="I63" s="18" t="n">
        <v>0</v>
      </c>
      <c r="J63" s="20" t="n">
        <v>0</v>
      </c>
      <c r="K63" s="18" t="n">
        <v>5.14037355</v>
      </c>
      <c r="L63" s="20" t="n">
        <v>0.54637348</v>
      </c>
      <c r="M63" s="18" t="n">
        <v>0</v>
      </c>
      <c r="N63" s="20" t="n">
        <v>0</v>
      </c>
      <c r="O63" s="18" t="n">
        <v>0</v>
      </c>
      <c r="P63" s="20" t="n">
        <v>0</v>
      </c>
      <c r="Q63" s="18" t="n">
        <v>31.96416996</v>
      </c>
      <c r="R63" s="20" t="n">
        <v>1.17579965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47.61996048</v>
      </c>
      <c r="F65" s="20" t="n">
        <v>1.31386779</v>
      </c>
      <c r="G65" s="18" t="n">
        <v>32.65993499</v>
      </c>
      <c r="H65" s="20" t="n">
        <v>1.38370273</v>
      </c>
      <c r="I65" s="18" t="n">
        <v>0</v>
      </c>
      <c r="J65" s="20" t="n">
        <v>0</v>
      </c>
      <c r="K65" s="18" t="n">
        <v>3.14887728</v>
      </c>
      <c r="L65" s="20" t="n">
        <v>0.57150463</v>
      </c>
      <c r="M65" s="18" t="n">
        <v>0</v>
      </c>
      <c r="N65" s="20" t="n">
        <v>0</v>
      </c>
      <c r="O65" s="18" t="n">
        <v>0.0749614</v>
      </c>
      <c r="P65" s="20" t="n">
        <v>0.07551999</v>
      </c>
      <c r="Q65" s="18" t="n">
        <v>16.49626585</v>
      </c>
      <c r="R65" s="20" t="n">
        <v>1.03882344</v>
      </c>
    </row>
    <row r="66" spans="1:18">
      <c r="A66" s="15" t="s">
        <v>626</v>
      </c>
      <c r="B66" s="17" t="n">
        <v>5325</v>
      </c>
      <c r="C66" s="18">
        <f>(3572.0/B66*100)</f>
        <v/>
      </c>
      <c r="D66" s="19" t="n">
        <v>1753</v>
      </c>
      <c r="E66" s="18" t="n">
        <v>46.90885437</v>
      </c>
      <c r="F66" s="20" t="n">
        <v>0.98099745</v>
      </c>
      <c r="G66" s="18" t="n">
        <v>28.09293555</v>
      </c>
      <c r="H66" s="20" t="n">
        <v>0.97140986</v>
      </c>
      <c r="I66" s="18" t="n">
        <v>0</v>
      </c>
      <c r="J66" s="20" t="n">
        <v>0</v>
      </c>
      <c r="K66" s="18" t="n">
        <v>8.25880151</v>
      </c>
      <c r="L66" s="20" t="n">
        <v>0.67516769</v>
      </c>
      <c r="M66" s="18" t="n">
        <v>0.06649676</v>
      </c>
      <c r="N66" s="20" t="n">
        <v>0.05577019</v>
      </c>
      <c r="O66" s="18" t="n">
        <v>0</v>
      </c>
      <c r="P66" s="20" t="n">
        <v>0</v>
      </c>
      <c r="Q66" s="18" t="n">
        <v>16.67291181</v>
      </c>
      <c r="R66" s="20" t="n">
        <v>0.86573205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73.98623927</v>
      </c>
      <c r="F69" s="20" t="n">
        <v>2.27923768</v>
      </c>
      <c r="G69" s="18" t="n">
        <v>15.28204654</v>
      </c>
      <c r="H69" s="20" t="n">
        <v>1.89463745</v>
      </c>
      <c r="I69" s="18" t="n">
        <v>0</v>
      </c>
      <c r="J69" s="20" t="n">
        <v>0</v>
      </c>
      <c r="K69" s="18" t="n">
        <v>1.65972409</v>
      </c>
      <c r="L69" s="20" t="n">
        <v>0.8106818</v>
      </c>
      <c r="M69" s="18" t="n">
        <v>0</v>
      </c>
      <c r="N69" s="20" t="n">
        <v>0</v>
      </c>
      <c r="O69" s="18" t="n">
        <v>0</v>
      </c>
      <c r="P69" s="20" t="n">
        <v>0</v>
      </c>
      <c r="Q69" s="18" t="n">
        <v>9.07199009</v>
      </c>
      <c r="R69" s="20" t="n">
        <v>1.7761887</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62.19600921</v>
      </c>
      <c r="F71" s="20" t="n">
        <v>1.41083655</v>
      </c>
      <c r="G71" s="18" t="n">
        <v>37.35685437</v>
      </c>
      <c r="H71" s="20" t="n">
        <v>1.42457097</v>
      </c>
      <c r="I71" s="18" t="n">
        <v>0</v>
      </c>
      <c r="J71" s="20" t="n">
        <v>0</v>
      </c>
      <c r="K71" s="18" t="n">
        <v>0.05716973</v>
      </c>
      <c r="L71" s="20" t="n">
        <v>0.05688605</v>
      </c>
      <c r="M71" s="18" t="n">
        <v>0</v>
      </c>
      <c r="N71" s="20" t="n">
        <v>0</v>
      </c>
      <c r="O71" s="18" t="n">
        <v>0</v>
      </c>
      <c r="P71" s="20" t="n">
        <v>0</v>
      </c>
      <c r="Q71" s="18" t="n">
        <v>0.38996669</v>
      </c>
      <c r="R71" s="20" t="n">
        <v>0.1443155</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47.19716863</v>
      </c>
      <c r="F76" s="20" t="n">
        <v>1.48784983</v>
      </c>
      <c r="G76" s="18" t="n">
        <v>26.14090396</v>
      </c>
      <c r="H76" s="20" t="n">
        <v>1.23802212</v>
      </c>
      <c r="I76" s="18" t="n">
        <v>0</v>
      </c>
      <c r="J76" s="20" t="n">
        <v>0</v>
      </c>
      <c r="K76" s="18" t="n">
        <v>8.40679888</v>
      </c>
      <c r="L76" s="20" t="n">
        <v>0.69734789</v>
      </c>
      <c r="M76" s="18" t="n">
        <v>0</v>
      </c>
      <c r="N76" s="20" t="n">
        <v>0</v>
      </c>
      <c r="O76" s="18" t="n">
        <v>0</v>
      </c>
      <c r="P76" s="20" t="n">
        <v>0</v>
      </c>
      <c r="Q76" s="18" t="n">
        <v>18.25512852</v>
      </c>
      <c r="R76" s="20" t="n">
        <v>1.06030022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59.48254127</v>
      </c>
      <c r="F80" s="20" t="n">
        <v>1.37709025</v>
      </c>
      <c r="G80" s="18" t="n">
        <v>39.67432399</v>
      </c>
      <c r="H80" s="20" t="n">
        <v>1.3670564</v>
      </c>
      <c r="I80" s="18" t="n">
        <v>0</v>
      </c>
      <c r="J80" s="20" t="n">
        <v>0</v>
      </c>
      <c r="K80" s="18" t="n">
        <v>0</v>
      </c>
      <c r="L80" s="20" t="n">
        <v>0</v>
      </c>
      <c r="M80" s="18" t="n">
        <v>0</v>
      </c>
      <c r="N80" s="20" t="n">
        <v>0</v>
      </c>
      <c r="O80" s="18" t="n">
        <v>0</v>
      </c>
      <c r="P80" s="20" t="n">
        <v>0</v>
      </c>
      <c r="Q80" s="18" t="n">
        <v>0.84313474</v>
      </c>
      <c r="R80" s="20" t="n">
        <v>0.21848234</v>
      </c>
    </row>
    <row r="81" spans="1:18">
      <c r="A81" s="15" t="s">
        <v>641</v>
      </c>
      <c r="B81" s="17" t="n">
        <v>1657</v>
      </c>
      <c r="C81" s="18">
        <f>(1109.0/B81*100)</f>
        <v/>
      </c>
      <c r="D81" s="19" t="n">
        <v>548</v>
      </c>
      <c r="E81" s="18" t="n">
        <v>51.54015283</v>
      </c>
      <c r="F81" s="20" t="n">
        <v>2.3957571</v>
      </c>
      <c r="G81" s="18" t="n">
        <v>32.08041502</v>
      </c>
      <c r="H81" s="20" t="n">
        <v>2.50053312</v>
      </c>
      <c r="I81" s="18" t="n">
        <v>0</v>
      </c>
      <c r="J81" s="20" t="n">
        <v>0</v>
      </c>
      <c r="K81" s="18" t="n">
        <v>6.33528582</v>
      </c>
      <c r="L81" s="20" t="n">
        <v>1.21489372</v>
      </c>
      <c r="M81" s="18" t="n">
        <v>0</v>
      </c>
      <c r="N81" s="20" t="n">
        <v>0</v>
      </c>
      <c r="O81" s="18" t="n">
        <v>0</v>
      </c>
      <c r="P81" s="20" t="n">
        <v>0</v>
      </c>
      <c r="Q81" s="18" t="n">
        <v>10.04414633</v>
      </c>
      <c r="R81" s="20" t="n">
        <v>1.54258761</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54.11901374</v>
      </c>
      <c r="F44" s="20" t="n">
        <v>1.83311455</v>
      </c>
      <c r="G44" s="18" t="n">
        <v>35.50071702</v>
      </c>
      <c r="H44" s="20" t="n">
        <v>1.90558281</v>
      </c>
      <c r="I44" s="18" t="n">
        <v>0</v>
      </c>
      <c r="J44" s="20" t="n">
        <v>0</v>
      </c>
      <c r="K44" s="18" t="n">
        <v>4.3056781</v>
      </c>
      <c r="L44" s="20" t="n">
        <v>0.58878838</v>
      </c>
      <c r="M44" s="18" t="n">
        <v>0</v>
      </c>
      <c r="N44" s="20" t="n">
        <v>0</v>
      </c>
      <c r="O44" s="18" t="n">
        <v>1.63941955</v>
      </c>
      <c r="P44" s="20" t="n">
        <v>0.3392947</v>
      </c>
      <c r="Q44" s="18" t="n">
        <v>4.43517158</v>
      </c>
      <c r="R44" s="20" t="n">
        <v>0.65534664</v>
      </c>
    </row>
    <row r="45" spans="1:18">
      <c r="A45" s="15" t="s">
        <v>604</v>
      </c>
      <c r="B45" s="17" t="n">
        <v>5519</v>
      </c>
      <c r="C45" s="18">
        <f>(3687.0/B45*100)</f>
        <v/>
      </c>
      <c r="D45" s="19" t="n">
        <v>1832</v>
      </c>
      <c r="E45" s="18" t="n">
        <v>41.56576543</v>
      </c>
      <c r="F45" s="20" t="n">
        <v>1.18642329</v>
      </c>
      <c r="G45" s="18" t="n">
        <v>43.30397122</v>
      </c>
      <c r="H45" s="20" t="n">
        <v>1.18309201</v>
      </c>
      <c r="I45" s="18" t="n">
        <v>0</v>
      </c>
      <c r="J45" s="20" t="n">
        <v>0</v>
      </c>
      <c r="K45" s="18" t="n">
        <v>7.29284219</v>
      </c>
      <c r="L45" s="20" t="n">
        <v>0.68493444</v>
      </c>
      <c r="M45" s="18" t="n">
        <v>0.53687017</v>
      </c>
      <c r="N45" s="20" t="n">
        <v>0.16767951</v>
      </c>
      <c r="O45" s="18" t="n">
        <v>3.30888603</v>
      </c>
      <c r="P45" s="20" t="n">
        <v>0.51849514</v>
      </c>
      <c r="Q45" s="18" t="n">
        <v>3.99166496</v>
      </c>
      <c r="R45" s="20" t="n">
        <v>0.50848685</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51.32147642</v>
      </c>
      <c r="F54" s="20" t="n">
        <v>1.27066278</v>
      </c>
      <c r="G54" s="18" t="n">
        <v>41.96700319</v>
      </c>
      <c r="H54" s="20" t="n">
        <v>1.33017953</v>
      </c>
      <c r="I54" s="18" t="n">
        <v>0</v>
      </c>
      <c r="J54" s="20" t="n">
        <v>0</v>
      </c>
      <c r="K54" s="18" t="n">
        <v>3.63557821</v>
      </c>
      <c r="L54" s="20" t="n">
        <v>0.50028513</v>
      </c>
      <c r="M54" s="18" t="n">
        <v>0</v>
      </c>
      <c r="N54" s="20" t="n">
        <v>0</v>
      </c>
      <c r="O54" s="18" t="n">
        <v>0.81940639</v>
      </c>
      <c r="P54" s="20" t="n">
        <v>0.35326329</v>
      </c>
      <c r="Q54" s="18" t="n">
        <v>2.25653578</v>
      </c>
      <c r="R54" s="20" t="n">
        <v>0.44942514</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65.33749868</v>
      </c>
      <c r="F56" s="20" t="n">
        <v>1.28118303</v>
      </c>
      <c r="G56" s="18" t="n">
        <v>31.66337053</v>
      </c>
      <c r="H56" s="20" t="n">
        <v>1.30209094</v>
      </c>
      <c r="I56" s="18" t="n">
        <v>0</v>
      </c>
      <c r="J56" s="20" t="n">
        <v>0</v>
      </c>
      <c r="K56" s="18" t="n">
        <v>2.15240544</v>
      </c>
      <c r="L56" s="20" t="n">
        <v>0.42897449</v>
      </c>
      <c r="M56" s="18" t="n">
        <v>0.04178252</v>
      </c>
      <c r="N56" s="20" t="n">
        <v>0.04160771</v>
      </c>
      <c r="O56" s="18" t="n">
        <v>0.0553533</v>
      </c>
      <c r="P56" s="20" t="n">
        <v>0.05520569</v>
      </c>
      <c r="Q56" s="18" t="n">
        <v>0.7495895299999999</v>
      </c>
      <c r="R56" s="20" t="n">
        <v>0.21649314</v>
      </c>
    </row>
    <row r="57" spans="1:18">
      <c r="A57" s="15" t="s">
        <v>616</v>
      </c>
      <c r="B57" s="17" t="n">
        <v>7267</v>
      </c>
      <c r="C57" s="18">
        <f>(4862.0/B57*100)</f>
        <v/>
      </c>
      <c r="D57" s="19" t="n">
        <v>2405</v>
      </c>
      <c r="E57" s="18" t="n">
        <v>43.40744914</v>
      </c>
      <c r="F57" s="20" t="n">
        <v>1.09088833</v>
      </c>
      <c r="G57" s="18" t="n">
        <v>50.51758586</v>
      </c>
      <c r="H57" s="20" t="n">
        <v>1.23613742</v>
      </c>
      <c r="I57" s="18" t="n">
        <v>0</v>
      </c>
      <c r="J57" s="20" t="n">
        <v>0</v>
      </c>
      <c r="K57" s="18" t="n">
        <v>4.02691467</v>
      </c>
      <c r="L57" s="20" t="n">
        <v>0.519898</v>
      </c>
      <c r="M57" s="18" t="n">
        <v>0</v>
      </c>
      <c r="N57" s="20" t="n">
        <v>0</v>
      </c>
      <c r="O57" s="18" t="n">
        <v>0.33624148</v>
      </c>
      <c r="P57" s="20" t="n">
        <v>0.14240167</v>
      </c>
      <c r="Q57" s="18" t="n">
        <v>1.71180885</v>
      </c>
      <c r="R57" s="20" t="n">
        <v>0.34028382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62.43277822</v>
      </c>
      <c r="F59" s="20" t="n">
        <v>1.36908906</v>
      </c>
      <c r="G59" s="18" t="n">
        <v>32.06391272</v>
      </c>
      <c r="H59" s="20" t="n">
        <v>1.35517742</v>
      </c>
      <c r="I59" s="18" t="n">
        <v>0</v>
      </c>
      <c r="J59" s="20" t="n">
        <v>0</v>
      </c>
      <c r="K59" s="18" t="n">
        <v>1.74831822</v>
      </c>
      <c r="L59" s="20" t="n">
        <v>0.38313565</v>
      </c>
      <c r="M59" s="18" t="n">
        <v>0</v>
      </c>
      <c r="N59" s="20" t="n">
        <v>0</v>
      </c>
      <c r="O59" s="18" t="n">
        <v>2.91193897</v>
      </c>
      <c r="P59" s="20" t="n">
        <v>0.45287564</v>
      </c>
      <c r="Q59" s="18" t="n">
        <v>0.84305187</v>
      </c>
      <c r="R59" s="20" t="n">
        <v>0.24782331</v>
      </c>
    </row>
    <row r="60" spans="1:18">
      <c r="A60" s="15" t="s">
        <v>620</v>
      </c>
      <c r="B60" s="17" t="n">
        <v>4546</v>
      </c>
      <c r="C60" s="18">
        <f>(3023.0/B60*100)</f>
        <v/>
      </c>
      <c r="D60" s="19" t="n">
        <v>1523</v>
      </c>
      <c r="E60" s="18" t="n">
        <v>49.84555111</v>
      </c>
      <c r="F60" s="20" t="n">
        <v>1.65884846</v>
      </c>
      <c r="G60" s="18" t="n">
        <v>33.64130304</v>
      </c>
      <c r="H60" s="20" t="n">
        <v>1.90430877</v>
      </c>
      <c r="I60" s="18" t="n">
        <v>0</v>
      </c>
      <c r="J60" s="20" t="n">
        <v>0</v>
      </c>
      <c r="K60" s="18" t="n">
        <v>5.68920029</v>
      </c>
      <c r="L60" s="20" t="n">
        <v>0.69014745</v>
      </c>
      <c r="M60" s="18" t="n">
        <v>0</v>
      </c>
      <c r="N60" s="20" t="n">
        <v>0</v>
      </c>
      <c r="O60" s="18" t="n">
        <v>4.75880749</v>
      </c>
      <c r="P60" s="20" t="n">
        <v>0.60837012</v>
      </c>
      <c r="Q60" s="18" t="n">
        <v>6.06513807</v>
      </c>
      <c r="R60" s="20" t="n">
        <v>0.69527354</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56.38920676</v>
      </c>
      <c r="F63" s="20" t="n">
        <v>1.40855577</v>
      </c>
      <c r="G63" s="18" t="n">
        <v>33.34470644</v>
      </c>
      <c r="H63" s="20" t="n">
        <v>1.28826152</v>
      </c>
      <c r="I63" s="18" t="n">
        <v>0</v>
      </c>
      <c r="J63" s="20" t="n">
        <v>0</v>
      </c>
      <c r="K63" s="18" t="n">
        <v>5.4149434</v>
      </c>
      <c r="L63" s="20" t="n">
        <v>0.58087668</v>
      </c>
      <c r="M63" s="18" t="n">
        <v>0</v>
      </c>
      <c r="N63" s="20" t="n">
        <v>0</v>
      </c>
      <c r="O63" s="18" t="n">
        <v>1.13790929</v>
      </c>
      <c r="P63" s="20" t="n">
        <v>0.26276859</v>
      </c>
      <c r="Q63" s="18" t="n">
        <v>3.71323412</v>
      </c>
      <c r="R63" s="20" t="n">
        <v>0.5079690100000001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43.8594543</v>
      </c>
      <c r="F65" s="20" t="n">
        <v>1.38369041</v>
      </c>
      <c r="G65" s="18" t="n">
        <v>49.11995806</v>
      </c>
      <c r="H65" s="20" t="n">
        <v>1.50589403</v>
      </c>
      <c r="I65" s="18" t="n">
        <v>0</v>
      </c>
      <c r="J65" s="20" t="n">
        <v>0</v>
      </c>
      <c r="K65" s="18" t="n">
        <v>3.25567603</v>
      </c>
      <c r="L65" s="20" t="n">
        <v>0.54548818</v>
      </c>
      <c r="M65" s="18" t="n">
        <v>0</v>
      </c>
      <c r="N65" s="20" t="n">
        <v>0</v>
      </c>
      <c r="O65" s="18" t="n">
        <v>0.43666034</v>
      </c>
      <c r="P65" s="20" t="n">
        <v>0.20077838</v>
      </c>
      <c r="Q65" s="18" t="n">
        <v>3.32825126</v>
      </c>
      <c r="R65" s="20" t="n">
        <v>0.51101455</v>
      </c>
    </row>
    <row r="66" spans="1:18">
      <c r="A66" s="15" t="s">
        <v>626</v>
      </c>
      <c r="B66" s="17" t="n">
        <v>5325</v>
      </c>
      <c r="C66" s="18">
        <f>(3572.0/B66*100)</f>
        <v/>
      </c>
      <c r="D66" s="19" t="n">
        <v>1753</v>
      </c>
      <c r="E66" s="18" t="n">
        <v>46.51138204</v>
      </c>
      <c r="F66" s="20" t="n">
        <v>1.35996739</v>
      </c>
      <c r="G66" s="18" t="n">
        <v>37.75700212</v>
      </c>
      <c r="H66" s="20" t="n">
        <v>1.20345379</v>
      </c>
      <c r="I66" s="18" t="n">
        <v>0</v>
      </c>
      <c r="J66" s="20" t="n">
        <v>0</v>
      </c>
      <c r="K66" s="18" t="n">
        <v>8.814207639999999</v>
      </c>
      <c r="L66" s="20" t="n">
        <v>0.67328528</v>
      </c>
      <c r="M66" s="18" t="n">
        <v>3.45248467</v>
      </c>
      <c r="N66" s="20" t="n">
        <v>0.47314951</v>
      </c>
      <c r="O66" s="18" t="n">
        <v>0</v>
      </c>
      <c r="P66" s="20" t="n">
        <v>0</v>
      </c>
      <c r="Q66" s="18" t="n">
        <v>3.46492353</v>
      </c>
      <c r="R66" s="20" t="n">
        <v>0.50626658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58.04884286</v>
      </c>
      <c r="F69" s="20" t="n">
        <v>2.8761701</v>
      </c>
      <c r="G69" s="18" t="n">
        <v>39.32306446</v>
      </c>
      <c r="H69" s="20" t="n">
        <v>2.97546894</v>
      </c>
      <c r="I69" s="18" t="n">
        <v>0</v>
      </c>
      <c r="J69" s="20" t="n">
        <v>0</v>
      </c>
      <c r="K69" s="18" t="n">
        <v>1.65972409</v>
      </c>
      <c r="L69" s="20" t="n">
        <v>0.8106818</v>
      </c>
      <c r="M69" s="18" t="n">
        <v>0</v>
      </c>
      <c r="N69" s="20" t="n">
        <v>0</v>
      </c>
      <c r="O69" s="18" t="n">
        <v>0.1975549</v>
      </c>
      <c r="P69" s="20" t="n">
        <v>0.19817827</v>
      </c>
      <c r="Q69" s="18" t="n">
        <v>0.7708136799999999</v>
      </c>
      <c r="R69" s="20" t="n">
        <v>0.37503208</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57.43482664</v>
      </c>
      <c r="F71" s="20" t="n">
        <v>1.49417255</v>
      </c>
      <c r="G71" s="18" t="n">
        <v>42.4561148</v>
      </c>
      <c r="H71" s="20" t="n">
        <v>1.49382867</v>
      </c>
      <c r="I71" s="18" t="n">
        <v>0</v>
      </c>
      <c r="J71" s="20" t="n">
        <v>0</v>
      </c>
      <c r="K71" s="18" t="n">
        <v>0.05716973</v>
      </c>
      <c r="L71" s="20" t="n">
        <v>0.05688605</v>
      </c>
      <c r="M71" s="18" t="n">
        <v>0</v>
      </c>
      <c r="N71" s="20" t="n">
        <v>0</v>
      </c>
      <c r="O71" s="18" t="n">
        <v>0</v>
      </c>
      <c r="P71" s="20" t="n">
        <v>0</v>
      </c>
      <c r="Q71" s="18" t="n">
        <v>0.05188883</v>
      </c>
      <c r="R71" s="20" t="n">
        <v>0.05373848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40.46939633</v>
      </c>
      <c r="F76" s="20" t="n">
        <v>1.37424538</v>
      </c>
      <c r="G76" s="18" t="n">
        <v>45.80994528</v>
      </c>
      <c r="H76" s="20" t="n">
        <v>1.50007502</v>
      </c>
      <c r="I76" s="18" t="n">
        <v>0</v>
      </c>
      <c r="J76" s="20" t="n">
        <v>0</v>
      </c>
      <c r="K76" s="18" t="n">
        <v>8.74916955</v>
      </c>
      <c r="L76" s="20" t="n">
        <v>0.71034509</v>
      </c>
      <c r="M76" s="18" t="n">
        <v>0</v>
      </c>
      <c r="N76" s="20" t="n">
        <v>0</v>
      </c>
      <c r="O76" s="18" t="n">
        <v>0.1684428</v>
      </c>
      <c r="P76" s="20" t="n">
        <v>0.115308</v>
      </c>
      <c r="Q76" s="18" t="n">
        <v>4.80304604</v>
      </c>
      <c r="R76" s="20" t="n">
        <v>0.57387486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25.76124269</v>
      </c>
      <c r="F80" s="20" t="n">
        <v>1.38286153</v>
      </c>
      <c r="G80" s="18" t="n">
        <v>74.23875731</v>
      </c>
      <c r="H80" s="20" t="n">
        <v>1.38286153</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(1109.0/B81*100)</f>
        <v/>
      </c>
      <c r="D81" s="19" t="n">
        <v>548</v>
      </c>
      <c r="E81" s="18" t="n">
        <v>32.90382333</v>
      </c>
      <c r="F81" s="20" t="n">
        <v>2.08983627</v>
      </c>
      <c r="G81" s="18" t="n">
        <v>57.46195276</v>
      </c>
      <c r="H81" s="20" t="n">
        <v>2.68759945</v>
      </c>
      <c r="I81" s="18" t="n">
        <v>0</v>
      </c>
      <c r="J81" s="20" t="n">
        <v>0</v>
      </c>
      <c r="K81" s="18" t="n">
        <v>6.52095668</v>
      </c>
      <c r="L81" s="20" t="n">
        <v>1.21063487</v>
      </c>
      <c r="M81" s="18" t="n">
        <v>0.2274279</v>
      </c>
      <c r="N81" s="20" t="n">
        <v>0.21147956</v>
      </c>
      <c r="O81" s="18" t="n">
        <v>0.86820716</v>
      </c>
      <c r="P81" s="20" t="n">
        <v>0.4273269</v>
      </c>
      <c r="Q81" s="18" t="n">
        <v>2.01763217</v>
      </c>
      <c r="R81" s="20" t="n">
        <v>0.7784966800000001</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927</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35.44263482</v>
      </c>
      <c r="F44" s="20" t="n">
        <v>1.33991297</v>
      </c>
      <c r="G44" s="18" t="n">
        <v>31.77902511</v>
      </c>
      <c r="H44" s="20" t="n">
        <v>1.40734101</v>
      </c>
      <c r="I44" s="18" t="n">
        <v>0</v>
      </c>
      <c r="J44" s="20" t="n">
        <v>0</v>
      </c>
      <c r="K44" s="18" t="n">
        <v>10.51038341</v>
      </c>
      <c r="L44" s="20" t="n">
        <v>0.96203748</v>
      </c>
      <c r="M44" s="18" t="n">
        <v>0</v>
      </c>
      <c r="N44" s="20" t="n">
        <v>0</v>
      </c>
      <c r="O44" s="18" t="n">
        <v>0</v>
      </c>
      <c r="P44" s="20" t="n">
        <v>0</v>
      </c>
      <c r="Q44" s="18" t="n">
        <v>22.26795666</v>
      </c>
      <c r="R44" s="20" t="n">
        <v>1.29099818</v>
      </c>
    </row>
    <row r="45" spans="1:18">
      <c r="A45" s="15" t="s">
        <v>604</v>
      </c>
      <c r="B45" s="17" t="n">
        <v>5519</v>
      </c>
      <c r="C45" s="18">
        <f>(3687.0/B45*100)</f>
        <v/>
      </c>
      <c r="D45" s="19" t="n">
        <v>1832</v>
      </c>
      <c r="E45" s="18" t="n">
        <v>49.42791138</v>
      </c>
      <c r="F45" s="20" t="n">
        <v>1.37482216</v>
      </c>
      <c r="G45" s="18" t="n">
        <v>8.42386701</v>
      </c>
      <c r="H45" s="20" t="n">
        <v>0.80111107</v>
      </c>
      <c r="I45" s="18" t="n">
        <v>0</v>
      </c>
      <c r="J45" s="20" t="n">
        <v>0</v>
      </c>
      <c r="K45" s="18" t="n">
        <v>13.05268102</v>
      </c>
      <c r="L45" s="20" t="n">
        <v>0.85387058</v>
      </c>
      <c r="M45" s="18" t="n">
        <v>0.26922755</v>
      </c>
      <c r="N45" s="20" t="n">
        <v>0.23573918</v>
      </c>
      <c r="O45" s="18" t="n">
        <v>0</v>
      </c>
      <c r="P45" s="20" t="n">
        <v>0</v>
      </c>
      <c r="Q45" s="18" t="n">
        <v>28.82631303</v>
      </c>
      <c r="R45" s="20" t="n">
        <v>1.25760965</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34.76021431</v>
      </c>
      <c r="F54" s="20" t="n">
        <v>1.48120297</v>
      </c>
      <c r="G54" s="18" t="n">
        <v>21.27000169</v>
      </c>
      <c r="H54" s="20" t="n">
        <v>1.16492688</v>
      </c>
      <c r="I54" s="18" t="n">
        <v>0</v>
      </c>
      <c r="J54" s="20" t="n">
        <v>0</v>
      </c>
      <c r="K54" s="18" t="n">
        <v>14.58354474</v>
      </c>
      <c r="L54" s="20" t="n">
        <v>1.16373687</v>
      </c>
      <c r="M54" s="18" t="n">
        <v>0</v>
      </c>
      <c r="N54" s="20" t="n">
        <v>0</v>
      </c>
      <c r="O54" s="18" t="n">
        <v>0.0546959</v>
      </c>
      <c r="P54" s="20" t="n">
        <v>0.055041</v>
      </c>
      <c r="Q54" s="18" t="n">
        <v>29.33154337</v>
      </c>
      <c r="R54" s="20" t="n">
        <v>1.34925944</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60.79913997</v>
      </c>
      <c r="F56" s="20" t="n">
        <v>1.41286054</v>
      </c>
      <c r="G56" s="18" t="n">
        <v>26.05164687</v>
      </c>
      <c r="H56" s="20" t="n">
        <v>1.36372422</v>
      </c>
      <c r="I56" s="18" t="n">
        <v>0</v>
      </c>
      <c r="J56" s="20" t="n">
        <v>0</v>
      </c>
      <c r="K56" s="18" t="n">
        <v>4.42429605</v>
      </c>
      <c r="L56" s="20" t="n">
        <v>0.69063736</v>
      </c>
      <c r="M56" s="18" t="n">
        <v>0</v>
      </c>
      <c r="N56" s="20" t="n">
        <v>0</v>
      </c>
      <c r="O56" s="18" t="n">
        <v>0</v>
      </c>
      <c r="P56" s="20" t="n">
        <v>0</v>
      </c>
      <c r="Q56" s="18" t="n">
        <v>8.72491711</v>
      </c>
      <c r="R56" s="20" t="n">
        <v>0.88063713</v>
      </c>
    </row>
    <row r="57" spans="1:18">
      <c r="A57" s="15" t="s">
        <v>616</v>
      </c>
      <c r="B57" s="17" t="n">
        <v>7267</v>
      </c>
      <c r="C57" s="18">
        <f>(4862.0/B57*100)</f>
        <v/>
      </c>
      <c r="D57" s="19" t="n">
        <v>2405</v>
      </c>
      <c r="E57" s="18" t="n">
        <v>46.24924504</v>
      </c>
      <c r="F57" s="20" t="n">
        <v>1.0687749</v>
      </c>
      <c r="G57" s="18" t="n">
        <v>32.47703614</v>
      </c>
      <c r="H57" s="20" t="n">
        <v>1.2714128</v>
      </c>
      <c r="I57" s="18" t="n">
        <v>0</v>
      </c>
      <c r="J57" s="20" t="n">
        <v>0</v>
      </c>
      <c r="K57" s="18" t="n">
        <v>6.894188</v>
      </c>
      <c r="L57" s="20" t="n">
        <v>0.72939558</v>
      </c>
      <c r="M57" s="18" t="n">
        <v>0</v>
      </c>
      <c r="N57" s="20" t="n">
        <v>0</v>
      </c>
      <c r="O57" s="18" t="n">
        <v>0</v>
      </c>
      <c r="P57" s="20" t="n">
        <v>0</v>
      </c>
      <c r="Q57" s="18" t="n">
        <v>14.37953081</v>
      </c>
      <c r="R57" s="20" t="n">
        <v>0.92202969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59.50857007</v>
      </c>
      <c r="F59" s="20" t="n">
        <v>1.42037038</v>
      </c>
      <c r="G59" s="18" t="n">
        <v>17.89617121</v>
      </c>
      <c r="H59" s="20" t="n">
        <v>1.09363385</v>
      </c>
      <c r="I59" s="18" t="n">
        <v>0</v>
      </c>
      <c r="J59" s="20" t="n">
        <v>0</v>
      </c>
      <c r="K59" s="18" t="n">
        <v>7.46765484</v>
      </c>
      <c r="L59" s="20" t="n">
        <v>0.7193915400000001</v>
      </c>
      <c r="M59" s="18" t="n">
        <v>0</v>
      </c>
      <c r="N59" s="20" t="n">
        <v>0</v>
      </c>
      <c r="O59" s="18" t="n">
        <v>0</v>
      </c>
      <c r="P59" s="20" t="n">
        <v>0</v>
      </c>
      <c r="Q59" s="18" t="n">
        <v>15.12760388</v>
      </c>
      <c r="R59" s="20" t="n">
        <v>0.98721629</v>
      </c>
    </row>
    <row r="60" spans="1:18">
      <c r="A60" s="15" t="s">
        <v>620</v>
      </c>
      <c r="B60" s="17" t="n">
        <v>4546</v>
      </c>
      <c r="C60" s="18">
        <f>(3023.0/B60*100)</f>
        <v/>
      </c>
      <c r="D60" s="19" t="n">
        <v>1523</v>
      </c>
      <c r="E60" s="18" t="n">
        <v>40.14155035</v>
      </c>
      <c r="F60" s="20" t="n">
        <v>1.55677616</v>
      </c>
      <c r="G60" s="18" t="n">
        <v>11.9098907</v>
      </c>
      <c r="H60" s="20" t="n">
        <v>1.21617366</v>
      </c>
      <c r="I60" s="18" t="n">
        <v>0</v>
      </c>
      <c r="J60" s="20" t="n">
        <v>0</v>
      </c>
      <c r="K60" s="18" t="n">
        <v>10.31500598</v>
      </c>
      <c r="L60" s="20" t="n">
        <v>0.8636353</v>
      </c>
      <c r="M60" s="18" t="n">
        <v>0</v>
      </c>
      <c r="N60" s="20" t="n">
        <v>0</v>
      </c>
      <c r="O60" s="18" t="n">
        <v>0.0835236</v>
      </c>
      <c r="P60" s="20" t="n">
        <v>0.08368374000000001</v>
      </c>
      <c r="Q60" s="18" t="n">
        <v>37.55002937</v>
      </c>
      <c r="R60" s="20" t="n">
        <v>1.49090463</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26.12000032</v>
      </c>
      <c r="F63" s="20" t="n">
        <v>1.26007246</v>
      </c>
      <c r="G63" s="18" t="n">
        <v>12.54095642</v>
      </c>
      <c r="H63" s="20" t="n">
        <v>0.98541967</v>
      </c>
      <c r="I63" s="18" t="n">
        <v>0</v>
      </c>
      <c r="J63" s="20" t="n">
        <v>0</v>
      </c>
      <c r="K63" s="18" t="n">
        <v>17.25330782</v>
      </c>
      <c r="L63" s="20" t="n">
        <v>1.02730672</v>
      </c>
      <c r="M63" s="18" t="n">
        <v>0</v>
      </c>
      <c r="N63" s="20" t="n">
        <v>0</v>
      </c>
      <c r="O63" s="18" t="n">
        <v>0</v>
      </c>
      <c r="P63" s="20" t="n">
        <v>0</v>
      </c>
      <c r="Q63" s="18" t="n">
        <v>44.08573544</v>
      </c>
      <c r="R63" s="20" t="n">
        <v>1.36474991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41.95640818</v>
      </c>
      <c r="F65" s="20" t="n">
        <v>1.54063907</v>
      </c>
      <c r="G65" s="18" t="n">
        <v>23.87156153</v>
      </c>
      <c r="H65" s="20" t="n">
        <v>1.21563601</v>
      </c>
      <c r="I65" s="18" t="n">
        <v>0</v>
      </c>
      <c r="J65" s="20" t="n">
        <v>0</v>
      </c>
      <c r="K65" s="18" t="n">
        <v>5.94662025</v>
      </c>
      <c r="L65" s="20" t="n">
        <v>0.77468277</v>
      </c>
      <c r="M65" s="18" t="n">
        <v>0</v>
      </c>
      <c r="N65" s="20" t="n">
        <v>0</v>
      </c>
      <c r="O65" s="18" t="n">
        <v>0.0749614</v>
      </c>
      <c r="P65" s="20" t="n">
        <v>0.07551999</v>
      </c>
      <c r="Q65" s="18" t="n">
        <v>28.15044863</v>
      </c>
      <c r="R65" s="20" t="n">
        <v>1.28562893</v>
      </c>
    </row>
    <row r="66" spans="1:18">
      <c r="A66" s="15" t="s">
        <v>626</v>
      </c>
      <c r="B66" s="17" t="n">
        <v>5325</v>
      </c>
      <c r="C66" s="18">
        <f>(3572.0/B66*100)</f>
        <v/>
      </c>
      <c r="D66" s="19" t="n">
        <v>1753</v>
      </c>
      <c r="E66" s="18" t="n">
        <v>26.29000813</v>
      </c>
      <c r="F66" s="20" t="n">
        <v>1.077826</v>
      </c>
      <c r="G66" s="18" t="n">
        <v>27.90163183</v>
      </c>
      <c r="H66" s="20" t="n">
        <v>1.15360494</v>
      </c>
      <c r="I66" s="18" t="n">
        <v>0</v>
      </c>
      <c r="J66" s="20" t="n">
        <v>0</v>
      </c>
      <c r="K66" s="18" t="n">
        <v>17.71416213</v>
      </c>
      <c r="L66" s="20" t="n">
        <v>1.01162855</v>
      </c>
      <c r="M66" s="18" t="n">
        <v>0</v>
      </c>
      <c r="N66" s="20" t="n">
        <v>0</v>
      </c>
      <c r="O66" s="18" t="n">
        <v>0</v>
      </c>
      <c r="P66" s="20" t="n">
        <v>0</v>
      </c>
      <c r="Q66" s="18" t="n">
        <v>28.09419791</v>
      </c>
      <c r="R66" s="20" t="n">
        <v>1.0801454</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51.1463068</v>
      </c>
      <c r="F69" s="20" t="n">
        <v>2.87062988</v>
      </c>
      <c r="G69" s="18" t="n">
        <v>26.92552593</v>
      </c>
      <c r="H69" s="20" t="n">
        <v>2.62098577</v>
      </c>
      <c r="I69" s="18" t="n">
        <v>0</v>
      </c>
      <c r="J69" s="20" t="n">
        <v>0</v>
      </c>
      <c r="K69" s="18" t="n">
        <v>6.23822294</v>
      </c>
      <c r="L69" s="20" t="n">
        <v>1.85710621</v>
      </c>
      <c r="M69" s="18" t="n">
        <v>0</v>
      </c>
      <c r="N69" s="20" t="n">
        <v>0</v>
      </c>
      <c r="O69" s="18" t="n">
        <v>0</v>
      </c>
      <c r="P69" s="20" t="n">
        <v>0</v>
      </c>
      <c r="Q69" s="18" t="n">
        <v>15.68994433</v>
      </c>
      <c r="R69" s="20" t="n">
        <v>2.17390914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54.22335875</v>
      </c>
      <c r="F71" s="20" t="n">
        <v>1.61936805</v>
      </c>
      <c r="G71" s="18" t="n">
        <v>45.26811923</v>
      </c>
      <c r="H71" s="20" t="n">
        <v>1.64014169</v>
      </c>
      <c r="I71" s="18" t="n">
        <v>0</v>
      </c>
      <c r="J71" s="20" t="n">
        <v>0</v>
      </c>
      <c r="K71" s="18" t="n">
        <v>0.2868283</v>
      </c>
      <c r="L71" s="20" t="n">
        <v>0.12739803</v>
      </c>
      <c r="M71" s="18" t="n">
        <v>0</v>
      </c>
      <c r="N71" s="20" t="n">
        <v>0</v>
      </c>
      <c r="O71" s="18" t="n">
        <v>0</v>
      </c>
      <c r="P71" s="20" t="n">
        <v>0</v>
      </c>
      <c r="Q71" s="18" t="n">
        <v>0.22169373</v>
      </c>
      <c r="R71" s="20" t="n">
        <v>0.13665906</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33.10766433</v>
      </c>
      <c r="F76" s="20" t="n">
        <v>1.29685448</v>
      </c>
      <c r="G76" s="18" t="n">
        <v>21.47191965</v>
      </c>
      <c r="H76" s="20" t="n">
        <v>1.09714961</v>
      </c>
      <c r="I76" s="18" t="n">
        <v>0</v>
      </c>
      <c r="J76" s="20" t="n">
        <v>0</v>
      </c>
      <c r="K76" s="18" t="n">
        <v>12.9749061</v>
      </c>
      <c r="L76" s="20" t="n">
        <v>0.94466942</v>
      </c>
      <c r="M76" s="18" t="n">
        <v>0</v>
      </c>
      <c r="N76" s="20" t="n">
        <v>0</v>
      </c>
      <c r="O76" s="18" t="n">
        <v>0</v>
      </c>
      <c r="P76" s="20" t="n">
        <v>0</v>
      </c>
      <c r="Q76" s="18" t="n">
        <v>32.44550992</v>
      </c>
      <c r="R76" s="20" t="n">
        <v>1.40464212</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59.18353402</v>
      </c>
      <c r="F80" s="20" t="n">
        <v>1.6485285</v>
      </c>
      <c r="G80" s="18" t="n">
        <v>38.90973068</v>
      </c>
      <c r="H80" s="20" t="n">
        <v>1.65610792</v>
      </c>
      <c r="I80" s="18" t="n">
        <v>0</v>
      </c>
      <c r="J80" s="20" t="n">
        <v>0</v>
      </c>
      <c r="K80" s="18" t="n">
        <v>0.22847243</v>
      </c>
      <c r="L80" s="20" t="n">
        <v>0.13499272</v>
      </c>
      <c r="M80" s="18" t="n">
        <v>0</v>
      </c>
      <c r="N80" s="20" t="n">
        <v>0</v>
      </c>
      <c r="O80" s="18" t="n">
        <v>0</v>
      </c>
      <c r="P80" s="20" t="n">
        <v>0</v>
      </c>
      <c r="Q80" s="18" t="n">
        <v>1.67826287</v>
      </c>
      <c r="R80" s="20" t="n">
        <v>0.37735934</v>
      </c>
    </row>
    <row r="81" spans="1:18">
      <c r="A81" s="15" t="s">
        <v>641</v>
      </c>
      <c r="B81" s="17" t="n">
        <v>1657</v>
      </c>
      <c r="C81" s="18">
        <f>(1109.0/B81*100)</f>
        <v/>
      </c>
      <c r="D81" s="19" t="n">
        <v>548</v>
      </c>
      <c r="E81" s="18" t="n">
        <v>38.61974199</v>
      </c>
      <c r="F81" s="20" t="n">
        <v>1.88120407</v>
      </c>
      <c r="G81" s="18" t="n">
        <v>26.22171128</v>
      </c>
      <c r="H81" s="20" t="n">
        <v>1.65183898</v>
      </c>
      <c r="I81" s="18" t="n">
        <v>0</v>
      </c>
      <c r="J81" s="20" t="n">
        <v>0</v>
      </c>
      <c r="K81" s="18" t="n">
        <v>9.18986187</v>
      </c>
      <c r="L81" s="20" t="n">
        <v>1.32815301</v>
      </c>
      <c r="M81" s="18" t="n">
        <v>0</v>
      </c>
      <c r="N81" s="20" t="n">
        <v>0</v>
      </c>
      <c r="O81" s="18" t="n">
        <v>0</v>
      </c>
      <c r="P81" s="20" t="n">
        <v>0</v>
      </c>
      <c r="Q81" s="18" t="n">
        <v>25.96868486</v>
      </c>
      <c r="R81" s="20" t="n">
        <v>1.74149311</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928</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36.4363478</v>
      </c>
      <c r="F44" s="20" t="n">
        <v>1.57927129</v>
      </c>
      <c r="G44" s="18" t="n">
        <v>27.20744446</v>
      </c>
      <c r="H44" s="20" t="n">
        <v>1.53805041</v>
      </c>
      <c r="I44" s="18" t="n">
        <v>0</v>
      </c>
      <c r="J44" s="20" t="n">
        <v>0</v>
      </c>
      <c r="K44" s="18" t="n">
        <v>11.24552817</v>
      </c>
      <c r="L44" s="20" t="n">
        <v>1.07166733</v>
      </c>
      <c r="M44" s="18" t="n">
        <v>0</v>
      </c>
      <c r="N44" s="20" t="n">
        <v>0</v>
      </c>
      <c r="O44" s="18" t="n">
        <v>0</v>
      </c>
      <c r="P44" s="20" t="n">
        <v>0</v>
      </c>
      <c r="Q44" s="18" t="n">
        <v>25.11067956</v>
      </c>
      <c r="R44" s="20" t="n">
        <v>1.38028702</v>
      </c>
    </row>
    <row r="45" spans="1:18">
      <c r="A45" s="15" t="s">
        <v>604</v>
      </c>
      <c r="B45" s="17" t="n">
        <v>5519</v>
      </c>
      <c r="C45" s="18">
        <f>(3687.0/B45*100)</f>
        <v/>
      </c>
      <c r="D45" s="19" t="n">
        <v>1832</v>
      </c>
      <c r="E45" s="18" t="n">
        <v>46.18038442</v>
      </c>
      <c r="F45" s="20" t="n">
        <v>1.37264704</v>
      </c>
      <c r="G45" s="18" t="n">
        <v>5.68067914</v>
      </c>
      <c r="H45" s="20" t="n">
        <v>0.7128977399999999</v>
      </c>
      <c r="I45" s="18" t="n">
        <v>0</v>
      </c>
      <c r="J45" s="20" t="n">
        <v>0</v>
      </c>
      <c r="K45" s="18" t="n">
        <v>15.00775661</v>
      </c>
      <c r="L45" s="20" t="n">
        <v>0.99314907</v>
      </c>
      <c r="M45" s="18" t="n">
        <v>0.26922755</v>
      </c>
      <c r="N45" s="20" t="n">
        <v>0.23573918</v>
      </c>
      <c r="O45" s="18" t="n">
        <v>0</v>
      </c>
      <c r="P45" s="20" t="n">
        <v>0</v>
      </c>
      <c r="Q45" s="18" t="n">
        <v>32.86195229</v>
      </c>
      <c r="R45" s="20" t="n">
        <v>1.31391318</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31.3857426</v>
      </c>
      <c r="F54" s="20" t="n">
        <v>1.34748038</v>
      </c>
      <c r="G54" s="18" t="n">
        <v>20.76281163</v>
      </c>
      <c r="H54" s="20" t="n">
        <v>1.09641078</v>
      </c>
      <c r="I54" s="18" t="n">
        <v>0</v>
      </c>
      <c r="J54" s="20" t="n">
        <v>0</v>
      </c>
      <c r="K54" s="18" t="n">
        <v>15.69786408</v>
      </c>
      <c r="L54" s="20" t="n">
        <v>1.21723643</v>
      </c>
      <c r="M54" s="18" t="n">
        <v>0</v>
      </c>
      <c r="N54" s="20" t="n">
        <v>0</v>
      </c>
      <c r="O54" s="18" t="n">
        <v>0.04957948</v>
      </c>
      <c r="P54" s="20" t="n">
        <v>0.04950661</v>
      </c>
      <c r="Q54" s="18" t="n">
        <v>32.10400221</v>
      </c>
      <c r="R54" s="20" t="n">
        <v>1.33915268</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66.91392191</v>
      </c>
      <c r="F56" s="20" t="n">
        <v>1.4213277</v>
      </c>
      <c r="G56" s="18" t="n">
        <v>17.47759243</v>
      </c>
      <c r="H56" s="20" t="n">
        <v>1.21852145</v>
      </c>
      <c r="I56" s="18" t="n">
        <v>0</v>
      </c>
      <c r="J56" s="20" t="n">
        <v>0</v>
      </c>
      <c r="K56" s="18" t="n">
        <v>5.05812946</v>
      </c>
      <c r="L56" s="20" t="n">
        <v>0.77270068</v>
      </c>
      <c r="M56" s="18" t="n">
        <v>0</v>
      </c>
      <c r="N56" s="20" t="n">
        <v>0</v>
      </c>
      <c r="O56" s="18" t="n">
        <v>0</v>
      </c>
      <c r="P56" s="20" t="n">
        <v>0</v>
      </c>
      <c r="Q56" s="18" t="n">
        <v>10.5503562</v>
      </c>
      <c r="R56" s="20" t="n">
        <v>1.0663402</v>
      </c>
    </row>
    <row r="57" spans="1:18">
      <c r="A57" s="15" t="s">
        <v>616</v>
      </c>
      <c r="B57" s="17" t="n">
        <v>7267</v>
      </c>
      <c r="C57" s="18">
        <f>(4862.0/B57*100)</f>
        <v/>
      </c>
      <c r="D57" s="19" t="n">
        <v>2405</v>
      </c>
      <c r="E57" s="18" t="n">
        <v>50.42301965</v>
      </c>
      <c r="F57" s="20" t="n">
        <v>1.23463979</v>
      </c>
      <c r="G57" s="18" t="n">
        <v>21.65483831</v>
      </c>
      <c r="H57" s="20" t="n">
        <v>1.18145394</v>
      </c>
      <c r="I57" s="18" t="n">
        <v>0</v>
      </c>
      <c r="J57" s="20" t="n">
        <v>0</v>
      </c>
      <c r="K57" s="18" t="n">
        <v>8.34647702</v>
      </c>
      <c r="L57" s="20" t="n">
        <v>0.75149853</v>
      </c>
      <c r="M57" s="18" t="n">
        <v>0</v>
      </c>
      <c r="N57" s="20" t="n">
        <v>0</v>
      </c>
      <c r="O57" s="18" t="n">
        <v>0</v>
      </c>
      <c r="P57" s="20" t="n">
        <v>0</v>
      </c>
      <c r="Q57" s="18" t="n">
        <v>19.57566502</v>
      </c>
      <c r="R57" s="20" t="n">
        <v>1.00452527</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59.76167911</v>
      </c>
      <c r="F59" s="20" t="n">
        <v>1.36505162</v>
      </c>
      <c r="G59" s="18" t="n">
        <v>13.92299598</v>
      </c>
      <c r="H59" s="20" t="n">
        <v>1.05643328</v>
      </c>
      <c r="I59" s="18" t="n">
        <v>0</v>
      </c>
      <c r="J59" s="20" t="n">
        <v>0</v>
      </c>
      <c r="K59" s="18" t="n">
        <v>8.292129470000001</v>
      </c>
      <c r="L59" s="20" t="n">
        <v>0.7987772</v>
      </c>
      <c r="M59" s="18" t="n">
        <v>0</v>
      </c>
      <c r="N59" s="20" t="n">
        <v>0</v>
      </c>
      <c r="O59" s="18" t="n">
        <v>0</v>
      </c>
      <c r="P59" s="20" t="n">
        <v>0</v>
      </c>
      <c r="Q59" s="18" t="n">
        <v>18.02319545</v>
      </c>
      <c r="R59" s="20" t="n">
        <v>0.95105703</v>
      </c>
    </row>
    <row r="60" spans="1:18">
      <c r="A60" s="15" t="s">
        <v>620</v>
      </c>
      <c r="B60" s="17" t="n">
        <v>4546</v>
      </c>
      <c r="C60" s="18">
        <f>(3023.0/B60*100)</f>
        <v/>
      </c>
      <c r="D60" s="19" t="n">
        <v>1523</v>
      </c>
      <c r="E60" s="18" t="n">
        <v>34.32573609</v>
      </c>
      <c r="F60" s="20" t="n">
        <v>1.77970462</v>
      </c>
      <c r="G60" s="18" t="n">
        <v>13.35555472</v>
      </c>
      <c r="H60" s="20" t="n">
        <v>1.16048256</v>
      </c>
      <c r="I60" s="18" t="n">
        <v>0</v>
      </c>
      <c r="J60" s="20" t="n">
        <v>0</v>
      </c>
      <c r="K60" s="18" t="n">
        <v>11.24063184</v>
      </c>
      <c r="L60" s="20" t="n">
        <v>0.90509295</v>
      </c>
      <c r="M60" s="18" t="n">
        <v>0</v>
      </c>
      <c r="N60" s="20" t="n">
        <v>0</v>
      </c>
      <c r="O60" s="18" t="n">
        <v>0</v>
      </c>
      <c r="P60" s="20" t="n">
        <v>0</v>
      </c>
      <c r="Q60" s="18" t="n">
        <v>41.07807735</v>
      </c>
      <c r="R60" s="20" t="n">
        <v>1.71770238</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23.56763609</v>
      </c>
      <c r="F63" s="20" t="n">
        <v>1.11334934</v>
      </c>
      <c r="G63" s="18" t="n">
        <v>11.54945673</v>
      </c>
      <c r="H63" s="20" t="n">
        <v>1.0701345</v>
      </c>
      <c r="I63" s="18" t="n">
        <v>0</v>
      </c>
      <c r="J63" s="20" t="n">
        <v>0</v>
      </c>
      <c r="K63" s="18" t="n">
        <v>17.76783042</v>
      </c>
      <c r="L63" s="20" t="n">
        <v>1.03585447</v>
      </c>
      <c r="M63" s="18" t="n">
        <v>0</v>
      </c>
      <c r="N63" s="20" t="n">
        <v>0</v>
      </c>
      <c r="O63" s="18" t="n">
        <v>0</v>
      </c>
      <c r="P63" s="20" t="n">
        <v>0</v>
      </c>
      <c r="Q63" s="18" t="n">
        <v>47.11507675</v>
      </c>
      <c r="R63" s="20" t="n">
        <v>1.52298966</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25.69135882</v>
      </c>
      <c r="F65" s="20" t="n">
        <v>1.20742758</v>
      </c>
      <c r="G65" s="18" t="n">
        <v>36.85572636</v>
      </c>
      <c r="H65" s="20" t="n">
        <v>1.58667109</v>
      </c>
      <c r="I65" s="18" t="n">
        <v>0</v>
      </c>
      <c r="J65" s="20" t="n">
        <v>0</v>
      </c>
      <c r="K65" s="18" t="n">
        <v>6.0559224</v>
      </c>
      <c r="L65" s="20" t="n">
        <v>0.77547654</v>
      </c>
      <c r="M65" s="18" t="n">
        <v>0</v>
      </c>
      <c r="N65" s="20" t="n">
        <v>0</v>
      </c>
      <c r="O65" s="18" t="n">
        <v>0.0749614</v>
      </c>
      <c r="P65" s="20" t="n">
        <v>0.07551999</v>
      </c>
      <c r="Q65" s="18" t="n">
        <v>31.32203102</v>
      </c>
      <c r="R65" s="20" t="n">
        <v>1.3765401</v>
      </c>
    </row>
    <row r="66" spans="1:18">
      <c r="A66" s="15" t="s">
        <v>626</v>
      </c>
      <c r="B66" s="17" t="n">
        <v>5325</v>
      </c>
      <c r="C66" s="18">
        <f>(3572.0/B66*100)</f>
        <v/>
      </c>
      <c r="D66" s="19" t="n">
        <v>1753</v>
      </c>
      <c r="E66" s="18" t="n">
        <v>24.72392618</v>
      </c>
      <c r="F66" s="20" t="n">
        <v>1.19887113</v>
      </c>
      <c r="G66" s="18" t="n">
        <v>22.29174472</v>
      </c>
      <c r="H66" s="20" t="n">
        <v>1.05347893</v>
      </c>
      <c r="I66" s="18" t="n">
        <v>0</v>
      </c>
      <c r="J66" s="20" t="n">
        <v>0</v>
      </c>
      <c r="K66" s="18" t="n">
        <v>19.43372035</v>
      </c>
      <c r="L66" s="20" t="n">
        <v>0.99781545</v>
      </c>
      <c r="M66" s="18" t="n">
        <v>0</v>
      </c>
      <c r="N66" s="20" t="n">
        <v>0</v>
      </c>
      <c r="O66" s="18" t="n">
        <v>0</v>
      </c>
      <c r="P66" s="20" t="n">
        <v>0</v>
      </c>
      <c r="Q66" s="18" t="n">
        <v>33.55060875</v>
      </c>
      <c r="R66" s="20" t="n">
        <v>1.18029958</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57.28153774</v>
      </c>
      <c r="F69" s="20" t="n">
        <v>2.66326015</v>
      </c>
      <c r="G69" s="18" t="n">
        <v>19.27417648</v>
      </c>
      <c r="H69" s="20" t="n">
        <v>2.48912136</v>
      </c>
      <c r="I69" s="18" t="n">
        <v>0</v>
      </c>
      <c r="J69" s="20" t="n">
        <v>0</v>
      </c>
      <c r="K69" s="18" t="n">
        <v>6.78742626</v>
      </c>
      <c r="L69" s="20" t="n">
        <v>2.16945129</v>
      </c>
      <c r="M69" s="18" t="n">
        <v>0</v>
      </c>
      <c r="N69" s="20" t="n">
        <v>0</v>
      </c>
      <c r="O69" s="18" t="n">
        <v>0</v>
      </c>
      <c r="P69" s="20" t="n">
        <v>0</v>
      </c>
      <c r="Q69" s="18" t="n">
        <v>16.65685952</v>
      </c>
      <c r="R69" s="20" t="n">
        <v>1.97546147</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64.20793245</v>
      </c>
      <c r="F71" s="20" t="n">
        <v>1.72065985</v>
      </c>
      <c r="G71" s="18" t="n">
        <v>35.16943541</v>
      </c>
      <c r="H71" s="20" t="n">
        <v>1.72438073</v>
      </c>
      <c r="I71" s="18" t="n">
        <v>0</v>
      </c>
      <c r="J71" s="20" t="n">
        <v>0</v>
      </c>
      <c r="K71" s="18" t="n">
        <v>0.40093841</v>
      </c>
      <c r="L71" s="20" t="n">
        <v>0.17184735</v>
      </c>
      <c r="M71" s="18" t="n">
        <v>0</v>
      </c>
      <c r="N71" s="20" t="n">
        <v>0</v>
      </c>
      <c r="O71" s="18" t="n">
        <v>0</v>
      </c>
      <c r="P71" s="20" t="n">
        <v>0</v>
      </c>
      <c r="Q71" s="18" t="n">
        <v>0.22169373</v>
      </c>
      <c r="R71" s="20" t="n">
        <v>0.13665906</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28.41239112</v>
      </c>
      <c r="F76" s="20" t="n">
        <v>1.33754424</v>
      </c>
      <c r="G76" s="18" t="n">
        <v>21.93437381</v>
      </c>
      <c r="H76" s="20" t="n">
        <v>1.1090117</v>
      </c>
      <c r="I76" s="18" t="n">
        <v>0</v>
      </c>
      <c r="J76" s="20" t="n">
        <v>0</v>
      </c>
      <c r="K76" s="18" t="n">
        <v>13.54113195</v>
      </c>
      <c r="L76" s="20" t="n">
        <v>0.92762368</v>
      </c>
      <c r="M76" s="18" t="n">
        <v>0</v>
      </c>
      <c r="N76" s="20" t="n">
        <v>0</v>
      </c>
      <c r="O76" s="18" t="n">
        <v>0</v>
      </c>
      <c r="P76" s="20" t="n">
        <v>0</v>
      </c>
      <c r="Q76" s="18" t="n">
        <v>36.11210312</v>
      </c>
      <c r="R76" s="20" t="n">
        <v>1.37646251</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56.71167882</v>
      </c>
      <c r="F80" s="20" t="n">
        <v>1.59555732</v>
      </c>
      <c r="G80" s="18" t="n">
        <v>41.2448901</v>
      </c>
      <c r="H80" s="20" t="n">
        <v>1.60849651</v>
      </c>
      <c r="I80" s="18" t="n">
        <v>0</v>
      </c>
      <c r="J80" s="20" t="n">
        <v>0</v>
      </c>
      <c r="K80" s="18" t="n">
        <v>0.39804886</v>
      </c>
      <c r="L80" s="20" t="n">
        <v>0.18493097</v>
      </c>
      <c r="M80" s="18" t="n">
        <v>0</v>
      </c>
      <c r="N80" s="20" t="n">
        <v>0</v>
      </c>
      <c r="O80" s="18" t="n">
        <v>0</v>
      </c>
      <c r="P80" s="20" t="n">
        <v>0</v>
      </c>
      <c r="Q80" s="18" t="n">
        <v>1.64538221</v>
      </c>
      <c r="R80" s="20" t="n">
        <v>0.26883602</v>
      </c>
    </row>
    <row r="81" spans="1:18">
      <c r="A81" s="15" t="s">
        <v>641</v>
      </c>
      <c r="B81" s="17" t="n">
        <v>1657</v>
      </c>
      <c r="C81" s="18">
        <f>(1109.0/B81*100)</f>
        <v/>
      </c>
      <c r="D81" s="19" t="n">
        <v>548</v>
      </c>
      <c r="E81" s="18" t="n">
        <v>25.60149258</v>
      </c>
      <c r="F81" s="20" t="n">
        <v>2.19433074</v>
      </c>
      <c r="G81" s="18" t="n">
        <v>36.99107571</v>
      </c>
      <c r="H81" s="20" t="n">
        <v>3.06188228</v>
      </c>
      <c r="I81" s="18" t="n">
        <v>0</v>
      </c>
      <c r="J81" s="20" t="n">
        <v>0</v>
      </c>
      <c r="K81" s="18" t="n">
        <v>9.79578763</v>
      </c>
      <c r="L81" s="20" t="n">
        <v>1.40164793</v>
      </c>
      <c r="M81" s="18" t="n">
        <v>0</v>
      </c>
      <c r="N81" s="20" t="n">
        <v>0</v>
      </c>
      <c r="O81" s="18" t="n">
        <v>0</v>
      </c>
      <c r="P81" s="20" t="n">
        <v>0</v>
      </c>
      <c r="Q81" s="18" t="n">
        <v>27.61164409</v>
      </c>
      <c r="R81" s="20" t="n">
        <v>2.11090839</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929</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(3487.0/B44*100)</f>
        <v/>
      </c>
      <c r="D44" s="19" t="n">
        <v>1728</v>
      </c>
      <c r="E44" s="18" t="n">
        <v>56.42377223</v>
      </c>
      <c r="F44" s="20" t="n">
        <v>1.78043192</v>
      </c>
      <c r="G44" s="18" t="n">
        <v>29.45302615</v>
      </c>
      <c r="H44" s="20" t="n">
        <v>1.46201737</v>
      </c>
      <c r="I44" s="18" t="n">
        <v>0</v>
      </c>
      <c r="J44" s="20" t="n">
        <v>0</v>
      </c>
      <c r="K44" s="18" t="n">
        <v>14.12320162</v>
      </c>
      <c r="L44" s="20" t="n">
        <v>1.16780581</v>
      </c>
      <c r="M44" s="18" t="n">
        <v>0</v>
      </c>
      <c r="N44" s="20" t="n">
        <v>0</v>
      </c>
      <c r="O44" s="18" t="n">
        <v>0</v>
      </c>
      <c r="P44" s="20" t="n">
        <v>0</v>
      </c>
      <c r="Q44" s="18" t="n">
        <v>0</v>
      </c>
      <c r="R44" s="20" t="n">
        <v>0</v>
      </c>
    </row>
    <row r="45" spans="1:18">
      <c r="A45" s="15" t="s">
        <v>604</v>
      </c>
      <c r="B45" s="17" t="n">
        <v>5519</v>
      </c>
      <c r="C45" s="18">
        <f>(3687.0/B45*100)</f>
        <v/>
      </c>
      <c r="D45" s="19" t="n">
        <v>1832</v>
      </c>
      <c r="E45" s="18" t="n">
        <v>62.41930691</v>
      </c>
      <c r="F45" s="20" t="n">
        <v>1.27339722</v>
      </c>
      <c r="G45" s="18" t="n">
        <v>19.38183248</v>
      </c>
      <c r="H45" s="20" t="n">
        <v>1.18845723</v>
      </c>
      <c r="I45" s="18" t="n">
        <v>0</v>
      </c>
      <c r="J45" s="20" t="n">
        <v>0</v>
      </c>
      <c r="K45" s="18" t="n">
        <v>17.69648915</v>
      </c>
      <c r="L45" s="20" t="n">
        <v>1.02472793</v>
      </c>
      <c r="M45" s="18" t="n">
        <v>0.33777714</v>
      </c>
      <c r="N45" s="20" t="n">
        <v>0.24240665</v>
      </c>
      <c r="O45" s="18" t="n">
        <v>0.16459432</v>
      </c>
      <c r="P45" s="20" t="n">
        <v>0.08746319</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(3538.0/B54*100)</f>
        <v/>
      </c>
      <c r="D54" s="19" t="n">
        <v>1778</v>
      </c>
      <c r="E54" s="18" t="n">
        <v>63.18431153</v>
      </c>
      <c r="F54" s="20" t="n">
        <v>1.27568225</v>
      </c>
      <c r="G54" s="18" t="n">
        <v>18.40843073</v>
      </c>
      <c r="H54" s="20" t="n">
        <v>1.07089931</v>
      </c>
      <c r="I54" s="18" t="n">
        <v>0</v>
      </c>
      <c r="J54" s="20" t="n">
        <v>0</v>
      </c>
      <c r="K54" s="18" t="n">
        <v>18.26166503</v>
      </c>
      <c r="L54" s="20" t="n">
        <v>1.3334466</v>
      </c>
      <c r="M54" s="18" t="n">
        <v>0</v>
      </c>
      <c r="N54" s="20" t="n">
        <v>0</v>
      </c>
      <c r="O54" s="18" t="n">
        <v>0.14559271</v>
      </c>
      <c r="P54" s="20" t="n">
        <v>0.05208451</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(4339.0/B56*100)</f>
        <v/>
      </c>
      <c r="D56" s="19" t="n">
        <v>2174</v>
      </c>
      <c r="E56" s="18" t="n">
        <v>64.36007175</v>
      </c>
      <c r="F56" s="20" t="n">
        <v>1.13567215</v>
      </c>
      <c r="G56" s="18" t="n">
        <v>26.641435</v>
      </c>
      <c r="H56" s="20" t="n">
        <v>1.26591855</v>
      </c>
      <c r="I56" s="18" t="n">
        <v>0</v>
      </c>
      <c r="J56" s="20" t="n">
        <v>0</v>
      </c>
      <c r="K56" s="18" t="n">
        <v>8.998493249999999</v>
      </c>
      <c r="L56" s="20" t="n">
        <v>0.99273075</v>
      </c>
      <c r="M56" s="18" t="n">
        <v>0</v>
      </c>
      <c r="N56" s="20" t="n">
        <v>0</v>
      </c>
      <c r="O56" s="18" t="n">
        <v>0</v>
      </c>
      <c r="P56" s="20" t="n">
        <v>0</v>
      </c>
      <c r="Q56" s="18" t="n">
        <v>0</v>
      </c>
      <c r="R56" s="20" t="n">
        <v>0</v>
      </c>
    </row>
    <row r="57" spans="1:18">
      <c r="A57" s="15" t="s">
        <v>616</v>
      </c>
      <c r="B57" s="17" t="n">
        <v>7267</v>
      </c>
      <c r="C57" s="18">
        <f>(4862.0/B57*100)</f>
        <v/>
      </c>
      <c r="D57" s="19" t="n">
        <v>2405</v>
      </c>
      <c r="E57" s="18" t="n">
        <v>73.02599527</v>
      </c>
      <c r="F57" s="20" t="n">
        <v>1.2634763</v>
      </c>
      <c r="G57" s="18" t="n">
        <v>17.08831715</v>
      </c>
      <c r="H57" s="20" t="n">
        <v>1.0792746</v>
      </c>
      <c r="I57" s="18" t="n">
        <v>0</v>
      </c>
      <c r="J57" s="20" t="n">
        <v>0</v>
      </c>
      <c r="K57" s="18" t="n">
        <v>9.885687580000001</v>
      </c>
      <c r="L57" s="20" t="n">
        <v>0.88562162</v>
      </c>
      <c r="M57" s="18" t="n">
        <v>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(3205.0/B59*100)</f>
        <v/>
      </c>
      <c r="D59" s="19" t="n">
        <v>1621</v>
      </c>
      <c r="E59" s="18" t="n">
        <v>72.6803453</v>
      </c>
      <c r="F59" s="20" t="n">
        <v>1.47218486</v>
      </c>
      <c r="G59" s="18" t="n">
        <v>17.1379854</v>
      </c>
      <c r="H59" s="20" t="n">
        <v>1.21602346</v>
      </c>
      <c r="I59" s="18" t="n">
        <v>0</v>
      </c>
      <c r="J59" s="20" t="n">
        <v>0</v>
      </c>
      <c r="K59" s="18" t="n">
        <v>10.1816693</v>
      </c>
      <c r="L59" s="20" t="n">
        <v>0.79879429</v>
      </c>
      <c r="M59" s="18" t="n">
        <v>0</v>
      </c>
      <c r="N59" s="20" t="n">
        <v>0</v>
      </c>
      <c r="O59" s="18" t="n">
        <v>0</v>
      </c>
      <c r="P59" s="20" t="n">
        <v>0</v>
      </c>
      <c r="Q59" s="18" t="n">
        <v>0</v>
      </c>
      <c r="R59" s="20" t="n">
        <v>0</v>
      </c>
    </row>
    <row r="60" spans="1:18">
      <c r="A60" s="15" t="s">
        <v>620</v>
      </c>
      <c r="B60" s="17" t="n">
        <v>4546</v>
      </c>
      <c r="C60" s="18">
        <f>(3023.0/B60*100)</f>
        <v/>
      </c>
      <c r="D60" s="19" t="n">
        <v>1523</v>
      </c>
      <c r="E60" s="18" t="n">
        <v>54.23242702</v>
      </c>
      <c r="F60" s="20" t="n">
        <v>1.79107795</v>
      </c>
      <c r="G60" s="18" t="n">
        <v>31.87575154</v>
      </c>
      <c r="H60" s="20" t="n">
        <v>1.75745544</v>
      </c>
      <c r="I60" s="18" t="n">
        <v>0</v>
      </c>
      <c r="J60" s="20" t="n">
        <v>0</v>
      </c>
      <c r="K60" s="18" t="n">
        <v>13.45139219</v>
      </c>
      <c r="L60" s="20" t="n">
        <v>1.0471548</v>
      </c>
      <c r="M60" s="18" t="n">
        <v>0.29306815</v>
      </c>
      <c r="N60" s="20" t="n">
        <v>0.18148467</v>
      </c>
      <c r="O60" s="18" t="n">
        <v>0.1473611</v>
      </c>
      <c r="P60" s="20" t="n">
        <v>0.10929801</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(3562.0/B63*100)</f>
        <v/>
      </c>
      <c r="D63" s="19" t="n">
        <v>1762</v>
      </c>
      <c r="E63" s="18" t="n">
        <v>58.39439539</v>
      </c>
      <c r="F63" s="20" t="n">
        <v>1.36089618</v>
      </c>
      <c r="G63" s="18" t="n">
        <v>22.06985312</v>
      </c>
      <c r="H63" s="20" t="n">
        <v>1.08607264</v>
      </c>
      <c r="I63" s="18" t="n">
        <v>0</v>
      </c>
      <c r="J63" s="20" t="n">
        <v>0</v>
      </c>
      <c r="K63" s="18" t="n">
        <v>19.53575149</v>
      </c>
      <c r="L63" s="20" t="n">
        <v>1.03394791</v>
      </c>
      <c r="M63" s="18" t="n">
        <v>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(2410.0/B65*100)</f>
        <v/>
      </c>
      <c r="D65" s="19" t="n">
        <v>1224</v>
      </c>
      <c r="E65" s="18" t="n">
        <v>49.17632738</v>
      </c>
      <c r="F65" s="20" t="n">
        <v>1.4695126</v>
      </c>
      <c r="G65" s="18" t="n">
        <v>44.15237657</v>
      </c>
      <c r="H65" s="20" t="n">
        <v>1.40173477</v>
      </c>
      <c r="I65" s="18" t="n">
        <v>0</v>
      </c>
      <c r="J65" s="20" t="n">
        <v>0</v>
      </c>
      <c r="K65" s="18" t="n">
        <v>6.59507261</v>
      </c>
      <c r="L65" s="20" t="n">
        <v>0.78107469</v>
      </c>
      <c r="M65" s="18" t="n">
        <v>0</v>
      </c>
      <c r="N65" s="20" t="n">
        <v>0</v>
      </c>
      <c r="O65" s="18" t="n">
        <v>0.07622344</v>
      </c>
      <c r="P65" s="20" t="n">
        <v>0.07441149</v>
      </c>
      <c r="Q65" s="18" t="n">
        <v>0</v>
      </c>
      <c r="R65" s="20" t="n">
        <v>0</v>
      </c>
    </row>
    <row r="66" spans="1:18">
      <c r="A66" s="15" t="s">
        <v>626</v>
      </c>
      <c r="B66" s="17" t="n">
        <v>5325</v>
      </c>
      <c r="C66" s="18">
        <f>(3572.0/B66*100)</f>
        <v/>
      </c>
      <c r="D66" s="19" t="n">
        <v>1753</v>
      </c>
      <c r="E66" s="18" t="n">
        <v>51.43195286</v>
      </c>
      <c r="F66" s="20" t="n">
        <v>1.50383619</v>
      </c>
      <c r="G66" s="18" t="n">
        <v>26.77931129</v>
      </c>
      <c r="H66" s="20" t="n">
        <v>1.25391748</v>
      </c>
      <c r="I66" s="18" t="n">
        <v>0</v>
      </c>
      <c r="J66" s="20" t="n">
        <v>0</v>
      </c>
      <c r="K66" s="18" t="n">
        <v>21.78873585</v>
      </c>
      <c r="L66" s="20" t="n">
        <v>1.08990619</v>
      </c>
      <c r="M66" s="18" t="n">
        <v>0</v>
      </c>
      <c r="N66" s="20" t="n">
        <v>0</v>
      </c>
      <c r="O66" s="18" t="n">
        <v>0</v>
      </c>
      <c r="P66" s="20" t="n">
        <v>0</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(929.0/B69*100)</f>
        <v/>
      </c>
      <c r="D69" s="19" t="n">
        <v>469</v>
      </c>
      <c r="E69" s="18" t="n">
        <v>55.85048134</v>
      </c>
      <c r="F69" s="20" t="n">
        <v>2.89113654</v>
      </c>
      <c r="G69" s="18" t="n">
        <v>36.2064373</v>
      </c>
      <c r="H69" s="20" t="n">
        <v>3.19155451</v>
      </c>
      <c r="I69" s="18" t="n">
        <v>0</v>
      </c>
      <c r="J69" s="20" t="n">
        <v>0</v>
      </c>
      <c r="K69" s="18" t="n">
        <v>7.94308136</v>
      </c>
      <c r="L69" s="20" t="n">
        <v>2.05691065</v>
      </c>
      <c r="M69" s="18" t="n">
        <v>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(3246.0/B71*100)</f>
        <v/>
      </c>
      <c r="D71" s="19" t="n">
        <v>1630</v>
      </c>
      <c r="E71" s="18" t="n">
        <v>70.67973225</v>
      </c>
      <c r="F71" s="20" t="n">
        <v>1.33824654</v>
      </c>
      <c r="G71" s="18" t="n">
        <v>28.75999964</v>
      </c>
      <c r="H71" s="20" t="n">
        <v>1.30099395</v>
      </c>
      <c r="I71" s="18" t="n">
        <v>0</v>
      </c>
      <c r="J71" s="20" t="n">
        <v>0</v>
      </c>
      <c r="K71" s="18" t="n">
        <v>0.56026811</v>
      </c>
      <c r="L71" s="20" t="n">
        <v>0.1959469</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(3107.0/B76*100)</f>
        <v/>
      </c>
      <c r="D76" s="19" t="n">
        <v>1585</v>
      </c>
      <c r="E76" s="18" t="n">
        <v>61.55263005</v>
      </c>
      <c r="F76" s="20" t="n">
        <v>1.23631301</v>
      </c>
      <c r="G76" s="18" t="n">
        <v>23.61013447</v>
      </c>
      <c r="H76" s="20" t="n">
        <v>1.07288816</v>
      </c>
      <c r="I76" s="18" t="n">
        <v>0</v>
      </c>
      <c r="J76" s="20" t="n">
        <v>0</v>
      </c>
      <c r="K76" s="18" t="n">
        <v>14.83723548</v>
      </c>
      <c r="L76" s="20" t="n">
        <v>1.00739156</v>
      </c>
      <c r="M76" s="18" t="n">
        <v>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(3873.0/B80*100)</f>
        <v/>
      </c>
      <c r="D80" s="19" t="n">
        <v>1953</v>
      </c>
      <c r="E80" s="18" t="n">
        <v>72.58316137</v>
      </c>
      <c r="F80" s="20" t="n">
        <v>1.10789235</v>
      </c>
      <c r="G80" s="18" t="n">
        <v>26.10959521</v>
      </c>
      <c r="H80" s="20" t="n">
        <v>1.09904454</v>
      </c>
      <c r="I80" s="18" t="n">
        <v>0</v>
      </c>
      <c r="J80" s="20" t="n">
        <v>0</v>
      </c>
      <c r="K80" s="18" t="n">
        <v>1.30724342</v>
      </c>
      <c r="L80" s="20" t="n">
        <v>0.30536126</v>
      </c>
      <c r="M80" s="18" t="n">
        <v>0</v>
      </c>
      <c r="N80" s="20" t="n">
        <v>0</v>
      </c>
      <c r="O80" s="18" t="n">
        <v>0</v>
      </c>
      <c r="P80" s="20" t="n">
        <v>0</v>
      </c>
      <c r="Q80" s="18" t="n">
        <v>0</v>
      </c>
      <c r="R80" s="20" t="n">
        <v>0</v>
      </c>
    </row>
    <row r="81" spans="1:18">
      <c r="A81" s="15" t="s">
        <v>641</v>
      </c>
      <c r="B81" s="17" t="n">
        <v>1657</v>
      </c>
      <c r="C81" s="18">
        <f>(1109.0/B81*100)</f>
        <v/>
      </c>
      <c r="D81" s="19" t="n">
        <v>548</v>
      </c>
      <c r="E81" s="18" t="n">
        <v>48.03471062</v>
      </c>
      <c r="F81" s="20" t="n">
        <v>2.2351228</v>
      </c>
      <c r="G81" s="18" t="n">
        <v>40.76749332</v>
      </c>
      <c r="H81" s="20" t="n">
        <v>2.57433357</v>
      </c>
      <c r="I81" s="18" t="n">
        <v>0</v>
      </c>
      <c r="J81" s="20" t="n">
        <v>0</v>
      </c>
      <c r="K81" s="18" t="n">
        <v>11.19779606</v>
      </c>
      <c r="L81" s="20" t="n">
        <v>1.54064206</v>
      </c>
      <c r="M81" s="18" t="n">
        <v>0</v>
      </c>
      <c r="N81" s="20" t="n">
        <v>0</v>
      </c>
      <c r="O81" s="18" t="n">
        <v>0</v>
      </c>
      <c r="P81" s="20" t="n">
        <v>0</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930</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61.92549876</v>
      </c>
      <c r="F44" s="20" t="n">
        <v>1.48333056</v>
      </c>
      <c r="G44" s="18" t="n">
        <v>12.70915536</v>
      </c>
      <c r="H44" s="20" t="n">
        <v>1.32353035</v>
      </c>
      <c r="I44" s="18" t="n">
        <v>0</v>
      </c>
      <c r="J44" s="20" t="n">
        <v>0</v>
      </c>
      <c r="K44" s="18" t="n">
        <v>1.99419743</v>
      </c>
      <c r="L44" s="20" t="n">
        <v>0.38196467</v>
      </c>
      <c r="M44" s="18" t="n">
        <v>0</v>
      </c>
      <c r="N44" s="20" t="n">
        <v>0</v>
      </c>
      <c r="O44" s="18" t="n">
        <v>0.12261359</v>
      </c>
      <c r="P44" s="20" t="n">
        <v>0.10285932</v>
      </c>
      <c r="Q44" s="18" t="n">
        <v>23.24853486</v>
      </c>
      <c r="R44" s="20" t="n">
        <v>1.44673203</v>
      </c>
    </row>
    <row r="45" spans="1:18">
      <c r="A45" s="15" t="s">
        <v>604</v>
      </c>
      <c r="B45" s="17" t="n">
        <v>5519</v>
      </c>
      <c r="C45" s="18">
        <f>(3662.0/B45*100)</f>
        <v/>
      </c>
      <c r="D45" s="19" t="n">
        <v>1857</v>
      </c>
      <c r="E45" s="18" t="n">
        <v>64.854055</v>
      </c>
      <c r="F45" s="20" t="n">
        <v>1.31963432</v>
      </c>
      <c r="G45" s="18" t="n">
        <v>9.818935140000001</v>
      </c>
      <c r="H45" s="20" t="n">
        <v>0.71042999</v>
      </c>
      <c r="I45" s="18" t="n">
        <v>0</v>
      </c>
      <c r="J45" s="20" t="n">
        <v>0</v>
      </c>
      <c r="K45" s="18" t="n">
        <v>2.42131553</v>
      </c>
      <c r="L45" s="20" t="n">
        <v>0.3806789</v>
      </c>
      <c r="M45" s="18" t="n">
        <v>0.13380353</v>
      </c>
      <c r="N45" s="20" t="n">
        <v>0.09310315</v>
      </c>
      <c r="O45" s="18" t="n">
        <v>0.31083127</v>
      </c>
      <c r="P45" s="20" t="n">
        <v>0.18823061</v>
      </c>
      <c r="Q45" s="18" t="n">
        <v>22.46105954</v>
      </c>
      <c r="R45" s="20" t="n">
        <v>1.182152</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54.25719341</v>
      </c>
      <c r="F54" s="20" t="n">
        <v>1.37859659</v>
      </c>
      <c r="G54" s="18" t="n">
        <v>15.38089834</v>
      </c>
      <c r="H54" s="20" t="n">
        <v>1.10319456</v>
      </c>
      <c r="I54" s="18" t="n">
        <v>0</v>
      </c>
      <c r="J54" s="20" t="n">
        <v>0</v>
      </c>
      <c r="K54" s="18" t="n">
        <v>1.00976759</v>
      </c>
      <c r="L54" s="20" t="n">
        <v>0.26457997</v>
      </c>
      <c r="M54" s="18" t="n">
        <v>0</v>
      </c>
      <c r="N54" s="20" t="n">
        <v>0</v>
      </c>
      <c r="O54" s="18" t="n">
        <v>0</v>
      </c>
      <c r="P54" s="20" t="n">
        <v>0</v>
      </c>
      <c r="Q54" s="18" t="n">
        <v>29.35214066</v>
      </c>
      <c r="R54" s="20" t="n">
        <v>1.33168122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74.78823959</v>
      </c>
      <c r="F56" s="20" t="n">
        <v>1.20911982</v>
      </c>
      <c r="G56" s="18" t="n">
        <v>20.06771749</v>
      </c>
      <c r="H56" s="20" t="n">
        <v>1.12957041</v>
      </c>
      <c r="I56" s="18" t="n">
        <v>0</v>
      </c>
      <c r="J56" s="20" t="n">
        <v>0</v>
      </c>
      <c r="K56" s="18" t="n">
        <v>1.12999851</v>
      </c>
      <c r="L56" s="20" t="n">
        <v>0.34344941</v>
      </c>
      <c r="M56" s="18" t="n">
        <v>0</v>
      </c>
      <c r="N56" s="20" t="n">
        <v>0</v>
      </c>
      <c r="O56" s="18" t="n">
        <v>0</v>
      </c>
      <c r="P56" s="20" t="n">
        <v>0</v>
      </c>
      <c r="Q56" s="18" t="n">
        <v>4.01404441</v>
      </c>
      <c r="R56" s="20" t="n">
        <v>0.53128095</v>
      </c>
    </row>
    <row r="57" spans="1:18">
      <c r="A57" s="15" t="s">
        <v>616</v>
      </c>
      <c r="B57" s="17" t="n">
        <v>7267</v>
      </c>
      <c r="C57" s="18">
        <f>(4852.0/B57*100)</f>
        <v/>
      </c>
      <c r="D57" s="19" t="n">
        <v>2415</v>
      </c>
      <c r="E57" s="18" t="n">
        <v>60.44548471</v>
      </c>
      <c r="F57" s="20" t="n">
        <v>1.24934105</v>
      </c>
      <c r="G57" s="18" t="n">
        <v>27.25404636</v>
      </c>
      <c r="H57" s="20" t="n">
        <v>1.23385828</v>
      </c>
      <c r="I57" s="18" t="n">
        <v>0</v>
      </c>
      <c r="J57" s="20" t="n">
        <v>0</v>
      </c>
      <c r="K57" s="18" t="n">
        <v>1.48856974</v>
      </c>
      <c r="L57" s="20" t="n">
        <v>0.28995692</v>
      </c>
      <c r="M57" s="18" t="n">
        <v>0</v>
      </c>
      <c r="N57" s="20" t="n">
        <v>0</v>
      </c>
      <c r="O57" s="18" t="n">
        <v>0</v>
      </c>
      <c r="P57" s="20" t="n">
        <v>0</v>
      </c>
      <c r="Q57" s="18" t="n">
        <v>10.81189919</v>
      </c>
      <c r="R57" s="20" t="n">
        <v>0.89174409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74.44421267</v>
      </c>
      <c r="F59" s="20" t="n">
        <v>1.158125</v>
      </c>
      <c r="G59" s="18" t="n">
        <v>2.12028704</v>
      </c>
      <c r="H59" s="20" t="n">
        <v>0.3818401</v>
      </c>
      <c r="I59" s="18" t="n">
        <v>0</v>
      </c>
      <c r="J59" s="20" t="n">
        <v>0</v>
      </c>
      <c r="K59" s="18" t="n">
        <v>0.29731204</v>
      </c>
      <c r="L59" s="20" t="n">
        <v>0.13508983</v>
      </c>
      <c r="M59" s="18" t="n">
        <v>0</v>
      </c>
      <c r="N59" s="20" t="n">
        <v>0</v>
      </c>
      <c r="O59" s="18" t="n">
        <v>0</v>
      </c>
      <c r="P59" s="20" t="n">
        <v>0</v>
      </c>
      <c r="Q59" s="18" t="n">
        <v>23.13818825</v>
      </c>
      <c r="R59" s="20" t="n">
        <v>1.07893512</v>
      </c>
    </row>
    <row r="60" spans="1:18">
      <c r="A60" s="15" t="s">
        <v>620</v>
      </c>
      <c r="B60" s="17" t="n">
        <v>4546</v>
      </c>
      <c r="C60" s="18">
        <f>(3036.0/B60*100)</f>
        <v/>
      </c>
      <c r="D60" s="19" t="n">
        <v>1510</v>
      </c>
      <c r="E60" s="18" t="n">
        <v>59.25462058</v>
      </c>
      <c r="F60" s="20" t="n">
        <v>1.61227724</v>
      </c>
      <c r="G60" s="18" t="n">
        <v>7.79968011</v>
      </c>
      <c r="H60" s="20" t="n">
        <v>0.87444506</v>
      </c>
      <c r="I60" s="18" t="n">
        <v>0</v>
      </c>
      <c r="J60" s="20" t="n">
        <v>0</v>
      </c>
      <c r="K60" s="18" t="n">
        <v>2.65174603</v>
      </c>
      <c r="L60" s="20" t="n">
        <v>0.4282695</v>
      </c>
      <c r="M60" s="18" t="n">
        <v>0</v>
      </c>
      <c r="N60" s="20" t="n">
        <v>0</v>
      </c>
      <c r="O60" s="18" t="n">
        <v>0.10899185</v>
      </c>
      <c r="P60" s="20" t="n">
        <v>0.08153306</v>
      </c>
      <c r="Q60" s="18" t="n">
        <v>30.18496142</v>
      </c>
      <c r="R60" s="20" t="n">
        <v>1.63619512</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37.81026146</v>
      </c>
      <c r="F63" s="20" t="n">
        <v>1.31953927</v>
      </c>
      <c r="G63" s="18" t="n">
        <v>16.38666913</v>
      </c>
      <c r="H63" s="20" t="n">
        <v>0.9774203299999999</v>
      </c>
      <c r="I63" s="18" t="n">
        <v>0</v>
      </c>
      <c r="J63" s="20" t="n">
        <v>0</v>
      </c>
      <c r="K63" s="18" t="n">
        <v>1.59971617</v>
      </c>
      <c r="L63" s="20" t="n">
        <v>0.26969025</v>
      </c>
      <c r="M63" s="18" t="n">
        <v>0</v>
      </c>
      <c r="N63" s="20" t="n">
        <v>0</v>
      </c>
      <c r="O63" s="18" t="n">
        <v>0</v>
      </c>
      <c r="P63" s="20" t="n">
        <v>0</v>
      </c>
      <c r="Q63" s="18" t="n">
        <v>44.20335325</v>
      </c>
      <c r="R63" s="20" t="n">
        <v>1.33174677</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59.3831783</v>
      </c>
      <c r="F65" s="20" t="n">
        <v>1.44184565</v>
      </c>
      <c r="G65" s="18" t="n">
        <v>20.57760814</v>
      </c>
      <c r="H65" s="20" t="n">
        <v>1.03145272</v>
      </c>
      <c r="I65" s="18" t="n">
        <v>0</v>
      </c>
      <c r="J65" s="20" t="n">
        <v>0</v>
      </c>
      <c r="K65" s="18" t="n">
        <v>1.78575548</v>
      </c>
      <c r="L65" s="20" t="n">
        <v>0.38212389</v>
      </c>
      <c r="M65" s="18" t="n">
        <v>0.14264385</v>
      </c>
      <c r="N65" s="20" t="n">
        <v>0.10103849</v>
      </c>
      <c r="O65" s="18" t="n">
        <v>0</v>
      </c>
      <c r="P65" s="20" t="n">
        <v>0</v>
      </c>
      <c r="Q65" s="18" t="n">
        <v>18.11081423</v>
      </c>
      <c r="R65" s="20" t="n">
        <v>1.01541599</v>
      </c>
    </row>
    <row r="66" spans="1:18">
      <c r="A66" s="15" t="s">
        <v>626</v>
      </c>
      <c r="B66" s="17" t="n">
        <v>5325</v>
      </c>
      <c r="C66" s="18">
        <f>(3540.0/B66*100)</f>
        <v/>
      </c>
      <c r="D66" s="19" t="n">
        <v>1785</v>
      </c>
      <c r="E66" s="18" t="n">
        <v>57.55145597</v>
      </c>
      <c r="F66" s="20" t="n">
        <v>1.31756834</v>
      </c>
      <c r="G66" s="18" t="n">
        <v>19.86223537</v>
      </c>
      <c r="H66" s="20" t="n">
        <v>1.09057748</v>
      </c>
      <c r="I66" s="18" t="n">
        <v>0</v>
      </c>
      <c r="J66" s="20" t="n">
        <v>0</v>
      </c>
      <c r="K66" s="18" t="n">
        <v>2.37004412</v>
      </c>
      <c r="L66" s="20" t="n">
        <v>0.45034065</v>
      </c>
      <c r="M66" s="18" t="n">
        <v>0</v>
      </c>
      <c r="N66" s="20" t="n">
        <v>0</v>
      </c>
      <c r="O66" s="18" t="n">
        <v>0</v>
      </c>
      <c r="P66" s="20" t="n">
        <v>0</v>
      </c>
      <c r="Q66" s="18" t="n">
        <v>20.21626455</v>
      </c>
      <c r="R66" s="20" t="n">
        <v>1.10017601</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84.03892181000001</v>
      </c>
      <c r="F69" s="20" t="n">
        <v>1.62466475</v>
      </c>
      <c r="G69" s="18" t="n">
        <v>6.35184633</v>
      </c>
      <c r="H69" s="20" t="n">
        <v>1.30409407</v>
      </c>
      <c r="I69" s="18" t="n">
        <v>0</v>
      </c>
      <c r="J69" s="20" t="n">
        <v>0</v>
      </c>
      <c r="K69" s="18" t="n">
        <v>0.57158024</v>
      </c>
      <c r="L69" s="20" t="n">
        <v>0.33215206</v>
      </c>
      <c r="M69" s="18" t="n">
        <v>0</v>
      </c>
      <c r="N69" s="20" t="n">
        <v>0</v>
      </c>
      <c r="O69" s="18" t="n">
        <v>0</v>
      </c>
      <c r="P69" s="20" t="n">
        <v>0</v>
      </c>
      <c r="Q69" s="18" t="n">
        <v>9.03765162</v>
      </c>
      <c r="R69" s="20" t="n">
        <v>1.57191144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(3237.0/B71*100)</f>
        <v/>
      </c>
      <c r="D71" s="19" t="n">
        <v>1639</v>
      </c>
      <c r="E71" s="18" t="n">
        <v>72.9121267</v>
      </c>
      <c r="F71" s="20" t="n">
        <v>1.19230276</v>
      </c>
      <c r="G71" s="18" t="n">
        <v>26.63964996</v>
      </c>
      <c r="H71" s="20" t="n">
        <v>1.1620881</v>
      </c>
      <c r="I71" s="18" t="n">
        <v>0</v>
      </c>
      <c r="J71" s="20" t="n">
        <v>0</v>
      </c>
      <c r="K71" s="18" t="n">
        <v>0</v>
      </c>
      <c r="L71" s="20" t="n">
        <v>0</v>
      </c>
      <c r="M71" s="18" t="n">
        <v>0</v>
      </c>
      <c r="N71" s="20" t="n">
        <v>0</v>
      </c>
      <c r="O71" s="18" t="n">
        <v>0</v>
      </c>
      <c r="P71" s="20" t="n">
        <v>0</v>
      </c>
      <c r="Q71" s="18" t="n">
        <v>0.44822334</v>
      </c>
      <c r="R71" s="20" t="n">
        <v>0.16089951</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64.29394603</v>
      </c>
      <c r="F76" s="20" t="n">
        <v>1.42365887</v>
      </c>
      <c r="G76" s="18" t="n">
        <v>14.24772867</v>
      </c>
      <c r="H76" s="20" t="n">
        <v>1.10447758</v>
      </c>
      <c r="I76" s="18" t="n">
        <v>0</v>
      </c>
      <c r="J76" s="20" t="n">
        <v>0</v>
      </c>
      <c r="K76" s="18" t="n">
        <v>3.07180501</v>
      </c>
      <c r="L76" s="20" t="n">
        <v>0.47043174</v>
      </c>
      <c r="M76" s="18" t="n">
        <v>0.10045443</v>
      </c>
      <c r="N76" s="20" t="n">
        <v>0.07523505</v>
      </c>
      <c r="O76" s="18" t="n">
        <v>0</v>
      </c>
      <c r="P76" s="20" t="n">
        <v>0</v>
      </c>
      <c r="Q76" s="18" t="n">
        <v>18.28606586</v>
      </c>
      <c r="R76" s="20" t="n">
        <v>1.08453775</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59.60066577</v>
      </c>
      <c r="F80" s="20" t="n">
        <v>1.81270995</v>
      </c>
      <c r="G80" s="18" t="n">
        <v>39.48911684</v>
      </c>
      <c r="H80" s="20" t="n">
        <v>1.85796537</v>
      </c>
      <c r="I80" s="18" t="n">
        <v>0</v>
      </c>
      <c r="J80" s="20" t="n">
        <v>0</v>
      </c>
      <c r="K80" s="18" t="n">
        <v>0</v>
      </c>
      <c r="L80" s="20" t="n">
        <v>0</v>
      </c>
      <c r="M80" s="18" t="n">
        <v>0</v>
      </c>
      <c r="N80" s="20" t="n">
        <v>0</v>
      </c>
      <c r="O80" s="18" t="n">
        <v>0</v>
      </c>
      <c r="P80" s="20" t="n">
        <v>0</v>
      </c>
      <c r="Q80" s="18" t="n">
        <v>0.91021739</v>
      </c>
      <c r="R80" s="20" t="n">
        <v>0.2699105</v>
      </c>
    </row>
    <row r="81" spans="1:18">
      <c r="A81" s="15" t="s">
        <v>641</v>
      </c>
      <c r="B81" s="17" t="n">
        <v>1657</v>
      </c>
      <c r="C81" s="18">
        <f>(1093.0/B81*100)</f>
        <v/>
      </c>
      <c r="D81" s="19" t="n">
        <v>564</v>
      </c>
      <c r="E81" s="18" t="n">
        <v>67.23366406</v>
      </c>
      <c r="F81" s="20" t="n">
        <v>2.03036088</v>
      </c>
      <c r="G81" s="18" t="n">
        <v>11.74339002</v>
      </c>
      <c r="H81" s="20" t="n">
        <v>1.75201563</v>
      </c>
      <c r="I81" s="18" t="n">
        <v>0</v>
      </c>
      <c r="J81" s="20" t="n">
        <v>0</v>
      </c>
      <c r="K81" s="18" t="n">
        <v>3.10519528</v>
      </c>
      <c r="L81" s="20" t="n">
        <v>0.64160772</v>
      </c>
      <c r="M81" s="18" t="n">
        <v>0</v>
      </c>
      <c r="N81" s="20" t="n">
        <v>0</v>
      </c>
      <c r="O81" s="18" t="n">
        <v>0</v>
      </c>
      <c r="P81" s="20" t="n">
        <v>0</v>
      </c>
      <c r="Q81" s="18" t="n">
        <v>17.91775064</v>
      </c>
      <c r="R81" s="20" t="n">
        <v>1.80385432</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57.50737236</v>
      </c>
      <c r="F44" s="20" t="n">
        <v>1.44608846</v>
      </c>
      <c r="G44" s="18" t="n">
        <v>35.23726864</v>
      </c>
      <c r="H44" s="20" t="n">
        <v>1.60885337</v>
      </c>
      <c r="I44" s="18" t="n">
        <v>0</v>
      </c>
      <c r="J44" s="20" t="n">
        <v>0</v>
      </c>
      <c r="K44" s="18" t="n">
        <v>2.04438248</v>
      </c>
      <c r="L44" s="20" t="n">
        <v>0.38321338</v>
      </c>
      <c r="M44" s="18" t="n">
        <v>0</v>
      </c>
      <c r="N44" s="20" t="n">
        <v>0</v>
      </c>
      <c r="O44" s="18" t="n">
        <v>0</v>
      </c>
      <c r="P44" s="20" t="n">
        <v>0</v>
      </c>
      <c r="Q44" s="18" t="n">
        <v>5.21097652</v>
      </c>
      <c r="R44" s="20" t="n">
        <v>0.57669841</v>
      </c>
    </row>
    <row r="45" spans="1:18">
      <c r="A45" s="15" t="s">
        <v>604</v>
      </c>
      <c r="B45" s="17" t="n">
        <v>5519</v>
      </c>
      <c r="C45" s="18">
        <f>(3662.0/B45*100)</f>
        <v/>
      </c>
      <c r="D45" s="19" t="n">
        <v>1857</v>
      </c>
      <c r="E45" s="18" t="n">
        <v>67.97328879</v>
      </c>
      <c r="F45" s="20" t="n">
        <v>1.04867133</v>
      </c>
      <c r="G45" s="18" t="n">
        <v>21.4731831</v>
      </c>
      <c r="H45" s="20" t="n">
        <v>0.96349206</v>
      </c>
      <c r="I45" s="18" t="n">
        <v>0</v>
      </c>
      <c r="J45" s="20" t="n">
        <v>0</v>
      </c>
      <c r="K45" s="18" t="n">
        <v>2.65422306</v>
      </c>
      <c r="L45" s="20" t="n">
        <v>0.38769677</v>
      </c>
      <c r="M45" s="18" t="n">
        <v>1.16449667</v>
      </c>
      <c r="N45" s="20" t="n">
        <v>0.24444476</v>
      </c>
      <c r="O45" s="18" t="n">
        <v>0.13092055</v>
      </c>
      <c r="P45" s="20" t="n">
        <v>0.0754504</v>
      </c>
      <c r="Q45" s="18" t="n">
        <v>6.60388782</v>
      </c>
      <c r="R45" s="20" t="n">
        <v>0.63482514</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64.91049794</v>
      </c>
      <c r="F54" s="20" t="n">
        <v>1.27906264</v>
      </c>
      <c r="G54" s="18" t="n">
        <v>31.87707854</v>
      </c>
      <c r="H54" s="20" t="n">
        <v>1.27370544</v>
      </c>
      <c r="I54" s="18" t="n">
        <v>0</v>
      </c>
      <c r="J54" s="20" t="n">
        <v>0</v>
      </c>
      <c r="K54" s="18" t="n">
        <v>1.05816395</v>
      </c>
      <c r="L54" s="20" t="n">
        <v>0.26854216</v>
      </c>
      <c r="M54" s="18" t="n">
        <v>0</v>
      </c>
      <c r="N54" s="20" t="n">
        <v>0</v>
      </c>
      <c r="O54" s="18" t="n">
        <v>0</v>
      </c>
      <c r="P54" s="20" t="n">
        <v>0</v>
      </c>
      <c r="Q54" s="18" t="n">
        <v>2.15425956</v>
      </c>
      <c r="R54" s="20" t="n">
        <v>0.47272831</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71.09378486999999</v>
      </c>
      <c r="F56" s="20" t="n">
        <v>1.15724912</v>
      </c>
      <c r="G56" s="18" t="n">
        <v>26.62020925</v>
      </c>
      <c r="H56" s="20" t="n">
        <v>1.16842598</v>
      </c>
      <c r="I56" s="18" t="n">
        <v>0</v>
      </c>
      <c r="J56" s="20" t="n">
        <v>0</v>
      </c>
      <c r="K56" s="18" t="n">
        <v>1.19943951</v>
      </c>
      <c r="L56" s="20" t="n">
        <v>0.35243273</v>
      </c>
      <c r="M56" s="18" t="n">
        <v>0</v>
      </c>
      <c r="N56" s="20" t="n">
        <v>0</v>
      </c>
      <c r="O56" s="18" t="n">
        <v>0</v>
      </c>
      <c r="P56" s="20" t="n">
        <v>0</v>
      </c>
      <c r="Q56" s="18" t="n">
        <v>1.08656637</v>
      </c>
      <c r="R56" s="20" t="n">
        <v>0.29284585</v>
      </c>
    </row>
    <row r="57" spans="1:18">
      <c r="A57" s="15" t="s">
        <v>616</v>
      </c>
      <c r="B57" s="17" t="n">
        <v>7267</v>
      </c>
      <c r="C57" s="18">
        <f>(4852.0/B57*100)</f>
        <v/>
      </c>
      <c r="D57" s="19" t="n">
        <v>2415</v>
      </c>
      <c r="E57" s="18" t="n">
        <v>63.74767084</v>
      </c>
      <c r="F57" s="20" t="n">
        <v>1.32176944</v>
      </c>
      <c r="G57" s="18" t="n">
        <v>32.95313176</v>
      </c>
      <c r="H57" s="20" t="n">
        <v>1.24839054</v>
      </c>
      <c r="I57" s="18" t="n">
        <v>0</v>
      </c>
      <c r="J57" s="20" t="n">
        <v>0</v>
      </c>
      <c r="K57" s="18" t="n">
        <v>1.48856974</v>
      </c>
      <c r="L57" s="20" t="n">
        <v>0.28995692</v>
      </c>
      <c r="M57" s="18" t="n">
        <v>0</v>
      </c>
      <c r="N57" s="20" t="n">
        <v>0</v>
      </c>
      <c r="O57" s="18" t="n">
        <v>0.03967807</v>
      </c>
      <c r="P57" s="20" t="n">
        <v>0.02776936</v>
      </c>
      <c r="Q57" s="18" t="n">
        <v>1.77094959</v>
      </c>
      <c r="R57" s="20" t="n">
        <v>0.27114946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69.73039145</v>
      </c>
      <c r="F59" s="20" t="n">
        <v>1.38729398</v>
      </c>
      <c r="G59" s="18" t="n">
        <v>27.92576265</v>
      </c>
      <c r="H59" s="20" t="n">
        <v>1.38905984</v>
      </c>
      <c r="I59" s="18" t="n">
        <v>0</v>
      </c>
      <c r="J59" s="20" t="n">
        <v>0</v>
      </c>
      <c r="K59" s="18" t="n">
        <v>0.29731204</v>
      </c>
      <c r="L59" s="20" t="n">
        <v>0.13508983</v>
      </c>
      <c r="M59" s="18" t="n">
        <v>0</v>
      </c>
      <c r="N59" s="20" t="n">
        <v>0</v>
      </c>
      <c r="O59" s="18" t="n">
        <v>0.07803723999999999</v>
      </c>
      <c r="P59" s="20" t="n">
        <v>0.07913768</v>
      </c>
      <c r="Q59" s="18" t="n">
        <v>1.96849662</v>
      </c>
      <c r="R59" s="20" t="n">
        <v>0.37953736</v>
      </c>
    </row>
    <row r="60" spans="1:18">
      <c r="A60" s="15" t="s">
        <v>620</v>
      </c>
      <c r="B60" s="17" t="n">
        <v>4546</v>
      </c>
      <c r="C60" s="18">
        <f>(3036.0/B60*100)</f>
        <v/>
      </c>
      <c r="D60" s="19" t="n">
        <v>1510</v>
      </c>
      <c r="E60" s="18" t="n">
        <v>63.16386388</v>
      </c>
      <c r="F60" s="20" t="n">
        <v>1.65139685</v>
      </c>
      <c r="G60" s="18" t="n">
        <v>28.19592828</v>
      </c>
      <c r="H60" s="20" t="n">
        <v>1.66991535</v>
      </c>
      <c r="I60" s="18" t="n">
        <v>0</v>
      </c>
      <c r="J60" s="20" t="n">
        <v>0</v>
      </c>
      <c r="K60" s="18" t="n">
        <v>2.91776314</v>
      </c>
      <c r="L60" s="20" t="n">
        <v>0.42690237</v>
      </c>
      <c r="M60" s="18" t="n">
        <v>0</v>
      </c>
      <c r="N60" s="20" t="n">
        <v>0</v>
      </c>
      <c r="O60" s="18" t="n">
        <v>0.13923166</v>
      </c>
      <c r="P60" s="20" t="n">
        <v>0.10104387</v>
      </c>
      <c r="Q60" s="18" t="n">
        <v>5.58321303</v>
      </c>
      <c r="R60" s="20" t="n">
        <v>0.64659947</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67.38569106999999</v>
      </c>
      <c r="F63" s="20" t="n">
        <v>1.19617163</v>
      </c>
      <c r="G63" s="18" t="n">
        <v>27.00418601</v>
      </c>
      <c r="H63" s="20" t="n">
        <v>1.02146021</v>
      </c>
      <c r="I63" s="18" t="n">
        <v>0</v>
      </c>
      <c r="J63" s="20" t="n">
        <v>0</v>
      </c>
      <c r="K63" s="18" t="n">
        <v>1.59971617</v>
      </c>
      <c r="L63" s="20" t="n">
        <v>0.26969025</v>
      </c>
      <c r="M63" s="18" t="n">
        <v>0</v>
      </c>
      <c r="N63" s="20" t="n">
        <v>0</v>
      </c>
      <c r="O63" s="18" t="n">
        <v>0.0293863</v>
      </c>
      <c r="P63" s="20" t="n">
        <v>0.02944527</v>
      </c>
      <c r="Q63" s="18" t="n">
        <v>3.98102044</v>
      </c>
      <c r="R63" s="20" t="n">
        <v>0.51181491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51.75082119</v>
      </c>
      <c r="F65" s="20" t="n">
        <v>1.50078453</v>
      </c>
      <c r="G65" s="18" t="n">
        <v>44.82867751</v>
      </c>
      <c r="H65" s="20" t="n">
        <v>1.46223495</v>
      </c>
      <c r="I65" s="18" t="n">
        <v>0</v>
      </c>
      <c r="J65" s="20" t="n">
        <v>0</v>
      </c>
      <c r="K65" s="18" t="n">
        <v>1.78575548</v>
      </c>
      <c r="L65" s="20" t="n">
        <v>0.38212389</v>
      </c>
      <c r="M65" s="18" t="n">
        <v>0</v>
      </c>
      <c r="N65" s="20" t="n">
        <v>0</v>
      </c>
      <c r="O65" s="18" t="n">
        <v>0</v>
      </c>
      <c r="P65" s="20" t="n">
        <v>0</v>
      </c>
      <c r="Q65" s="18" t="n">
        <v>1.63474582</v>
      </c>
      <c r="R65" s="20" t="n">
        <v>0.37906555</v>
      </c>
    </row>
    <row r="66" spans="1:18">
      <c r="A66" s="15" t="s">
        <v>626</v>
      </c>
      <c r="B66" s="17" t="n">
        <v>5325</v>
      </c>
      <c r="C66" s="18">
        <f>(3540.0/B66*100)</f>
        <v/>
      </c>
      <c r="D66" s="19" t="n">
        <v>1785</v>
      </c>
      <c r="E66" s="18" t="n">
        <v>61.22441811</v>
      </c>
      <c r="F66" s="20" t="n">
        <v>1.1567266</v>
      </c>
      <c r="G66" s="18" t="n">
        <v>34.50954176</v>
      </c>
      <c r="H66" s="20" t="n">
        <v>1.13503345</v>
      </c>
      <c r="I66" s="18" t="n">
        <v>0</v>
      </c>
      <c r="J66" s="20" t="n">
        <v>0</v>
      </c>
      <c r="K66" s="18" t="n">
        <v>2.56922058</v>
      </c>
      <c r="L66" s="20" t="n">
        <v>0.46534403</v>
      </c>
      <c r="M66" s="18" t="n">
        <v>0</v>
      </c>
      <c r="N66" s="20" t="n">
        <v>0</v>
      </c>
      <c r="O66" s="18" t="n">
        <v>0</v>
      </c>
      <c r="P66" s="20" t="n">
        <v>0</v>
      </c>
      <c r="Q66" s="18" t="n">
        <v>1.69681955</v>
      </c>
      <c r="R66" s="20" t="n">
        <v>0.30999402</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53.94371122</v>
      </c>
      <c r="F69" s="20" t="n">
        <v>2.96548336</v>
      </c>
      <c r="G69" s="18" t="n">
        <v>44.45527743</v>
      </c>
      <c r="H69" s="20" t="n">
        <v>2.6380771</v>
      </c>
      <c r="I69" s="18" t="n">
        <v>0</v>
      </c>
      <c r="J69" s="20" t="n">
        <v>0</v>
      </c>
      <c r="K69" s="18" t="n">
        <v>0.57158024</v>
      </c>
      <c r="L69" s="20" t="n">
        <v>0.33215206</v>
      </c>
      <c r="M69" s="18" t="n">
        <v>0</v>
      </c>
      <c r="N69" s="20" t="n">
        <v>0</v>
      </c>
      <c r="O69" s="18" t="n">
        <v>0</v>
      </c>
      <c r="P69" s="20" t="n">
        <v>0</v>
      </c>
      <c r="Q69" s="18" t="n">
        <v>1.0294311</v>
      </c>
      <c r="R69" s="20" t="n">
        <v>0.58751517</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(3237.0/B71*100)</f>
        <v/>
      </c>
      <c r="D71" s="19" t="n">
        <v>1639</v>
      </c>
      <c r="E71" s="18" t="n">
        <v>63.70574144</v>
      </c>
      <c r="F71" s="20" t="n">
        <v>1.48510784</v>
      </c>
      <c r="G71" s="18" t="n">
        <v>36.03616754</v>
      </c>
      <c r="H71" s="20" t="n">
        <v>1.4894201</v>
      </c>
      <c r="I71" s="18" t="n">
        <v>0</v>
      </c>
      <c r="J71" s="20" t="n">
        <v>0</v>
      </c>
      <c r="K71" s="18" t="n">
        <v>0</v>
      </c>
      <c r="L71" s="20" t="n">
        <v>0</v>
      </c>
      <c r="M71" s="18" t="n">
        <v>0</v>
      </c>
      <c r="N71" s="20" t="n">
        <v>0</v>
      </c>
      <c r="O71" s="18" t="n">
        <v>0</v>
      </c>
      <c r="P71" s="20" t="n">
        <v>0</v>
      </c>
      <c r="Q71" s="18" t="n">
        <v>0.25809102</v>
      </c>
      <c r="R71" s="20" t="n">
        <v>0.14211263</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50.43030662</v>
      </c>
      <c r="F76" s="20" t="n">
        <v>1.300462</v>
      </c>
      <c r="G76" s="18" t="n">
        <v>42.87493721</v>
      </c>
      <c r="H76" s="20" t="n">
        <v>1.19820408</v>
      </c>
      <c r="I76" s="18" t="n">
        <v>0</v>
      </c>
      <c r="J76" s="20" t="n">
        <v>0</v>
      </c>
      <c r="K76" s="18" t="n">
        <v>3.13875582</v>
      </c>
      <c r="L76" s="20" t="n">
        <v>0.47226052</v>
      </c>
      <c r="M76" s="18" t="n">
        <v>0</v>
      </c>
      <c r="N76" s="20" t="n">
        <v>0</v>
      </c>
      <c r="O76" s="18" t="n">
        <v>0</v>
      </c>
      <c r="P76" s="20" t="n">
        <v>0</v>
      </c>
      <c r="Q76" s="18" t="n">
        <v>3.55600035</v>
      </c>
      <c r="R76" s="20" t="n">
        <v>0.51979803</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38.50375694</v>
      </c>
      <c r="F80" s="20" t="n">
        <v>1.71638611</v>
      </c>
      <c r="G80" s="18" t="n">
        <v>61.49624306</v>
      </c>
      <c r="H80" s="20" t="n">
        <v>1.71638611</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(1093.0/B81*100)</f>
        <v/>
      </c>
      <c r="D81" s="19" t="n">
        <v>564</v>
      </c>
      <c r="E81" s="18" t="n">
        <v>42.39029929</v>
      </c>
      <c r="F81" s="20" t="n">
        <v>2.98120417</v>
      </c>
      <c r="G81" s="18" t="n">
        <v>53.16097146</v>
      </c>
      <c r="H81" s="20" t="n">
        <v>2.97161863</v>
      </c>
      <c r="I81" s="18" t="n">
        <v>0</v>
      </c>
      <c r="J81" s="20" t="n">
        <v>0</v>
      </c>
      <c r="K81" s="18" t="n">
        <v>3.35830358</v>
      </c>
      <c r="L81" s="20" t="n">
        <v>0.75497715</v>
      </c>
      <c r="M81" s="18" t="n">
        <v>0</v>
      </c>
      <c r="N81" s="20" t="n">
        <v>0</v>
      </c>
      <c r="O81" s="18" t="n">
        <v>0</v>
      </c>
      <c r="P81" s="20" t="n">
        <v>0</v>
      </c>
      <c r="Q81" s="18" t="n">
        <v>1.09042567</v>
      </c>
      <c r="R81" s="20" t="n">
        <v>0.31239795</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6.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932</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51.89013834</v>
      </c>
      <c r="F44" s="20" t="n">
        <v>1.79750723</v>
      </c>
      <c r="G44" s="18" t="n">
        <v>41.48371773</v>
      </c>
      <c r="H44" s="20" t="n">
        <v>1.76246604</v>
      </c>
      <c r="I44" s="18" t="n">
        <v>0</v>
      </c>
      <c r="J44" s="20" t="n">
        <v>0</v>
      </c>
      <c r="K44" s="18" t="n">
        <v>2.3862675</v>
      </c>
      <c r="L44" s="20" t="n">
        <v>0.41685401</v>
      </c>
      <c r="M44" s="18" t="n">
        <v>0</v>
      </c>
      <c r="N44" s="20" t="n">
        <v>0</v>
      </c>
      <c r="O44" s="18" t="n">
        <v>0.05238064</v>
      </c>
      <c r="P44" s="20" t="n">
        <v>0.05248715</v>
      </c>
      <c r="Q44" s="18" t="n">
        <v>4.18749579</v>
      </c>
      <c r="R44" s="20" t="n">
        <v>0.5696833100000001</v>
      </c>
    </row>
    <row r="45" spans="1:18">
      <c r="A45" s="15" t="s">
        <v>604</v>
      </c>
      <c r="B45" s="17" t="n">
        <v>5519</v>
      </c>
      <c r="C45" s="18">
        <f>(3662.0/B45*100)</f>
        <v/>
      </c>
      <c r="D45" s="19" t="n">
        <v>1857</v>
      </c>
      <c r="E45" s="18" t="n">
        <v>69.84013143999999</v>
      </c>
      <c r="F45" s="20" t="n">
        <v>1.25369638</v>
      </c>
      <c r="G45" s="18" t="n">
        <v>22.78327555</v>
      </c>
      <c r="H45" s="20" t="n">
        <v>1.20287209</v>
      </c>
      <c r="I45" s="18" t="n">
        <v>0</v>
      </c>
      <c r="J45" s="20" t="n">
        <v>0</v>
      </c>
      <c r="K45" s="18" t="n">
        <v>3.14331749</v>
      </c>
      <c r="L45" s="20" t="n">
        <v>0.42237648</v>
      </c>
      <c r="M45" s="18" t="n">
        <v>0.40100841</v>
      </c>
      <c r="N45" s="20" t="n">
        <v>0.15780707</v>
      </c>
      <c r="O45" s="18" t="n">
        <v>0.26282065</v>
      </c>
      <c r="P45" s="20" t="n">
        <v>0.11476965</v>
      </c>
      <c r="Q45" s="18" t="n">
        <v>3.56944646</v>
      </c>
      <c r="R45" s="20" t="n">
        <v>0.41435748</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58.29359642</v>
      </c>
      <c r="F54" s="20" t="n">
        <v>1.48076282</v>
      </c>
      <c r="G54" s="18" t="n">
        <v>33.06086048</v>
      </c>
      <c r="H54" s="20" t="n">
        <v>1.49917666</v>
      </c>
      <c r="I54" s="18" t="n">
        <v>0</v>
      </c>
      <c r="J54" s="20" t="n">
        <v>0</v>
      </c>
      <c r="K54" s="18" t="n">
        <v>1.46632057</v>
      </c>
      <c r="L54" s="20" t="n">
        <v>0.31566906</v>
      </c>
      <c r="M54" s="18" t="n">
        <v>0</v>
      </c>
      <c r="N54" s="20" t="n">
        <v>0</v>
      </c>
      <c r="O54" s="18" t="n">
        <v>0.04698537</v>
      </c>
      <c r="P54" s="20" t="n">
        <v>0.04579071</v>
      </c>
      <c r="Q54" s="18" t="n">
        <v>7.13223716</v>
      </c>
      <c r="R54" s="20" t="n">
        <v>0.84023042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72.79406353</v>
      </c>
      <c r="F56" s="20" t="n">
        <v>1.19664913</v>
      </c>
      <c r="G56" s="18" t="n">
        <v>21.72049112</v>
      </c>
      <c r="H56" s="20" t="n">
        <v>1.1158334</v>
      </c>
      <c r="I56" s="18" t="n">
        <v>0</v>
      </c>
      <c r="J56" s="20" t="n">
        <v>0</v>
      </c>
      <c r="K56" s="18" t="n">
        <v>1.50208187</v>
      </c>
      <c r="L56" s="20" t="n">
        <v>0.40170206</v>
      </c>
      <c r="M56" s="18" t="n">
        <v>0</v>
      </c>
      <c r="N56" s="20" t="n">
        <v>0</v>
      </c>
      <c r="O56" s="18" t="n">
        <v>0</v>
      </c>
      <c r="P56" s="20" t="n">
        <v>0</v>
      </c>
      <c r="Q56" s="18" t="n">
        <v>3.98336348</v>
      </c>
      <c r="R56" s="20" t="n">
        <v>0.63020881</v>
      </c>
    </row>
    <row r="57" spans="1:18">
      <c r="A57" s="15" t="s">
        <v>616</v>
      </c>
      <c r="B57" s="17" t="n">
        <v>7267</v>
      </c>
      <c r="C57" s="18">
        <f>(4852.0/B57*100)</f>
        <v/>
      </c>
      <c r="D57" s="19" t="n">
        <v>2415</v>
      </c>
      <c r="E57" s="18" t="n">
        <v>57.04511644</v>
      </c>
      <c r="F57" s="20" t="n">
        <v>1.47815286</v>
      </c>
      <c r="G57" s="18" t="n">
        <v>39.55079995</v>
      </c>
      <c r="H57" s="20" t="n">
        <v>1.50388488</v>
      </c>
      <c r="I57" s="18" t="n">
        <v>0</v>
      </c>
      <c r="J57" s="20" t="n">
        <v>0</v>
      </c>
      <c r="K57" s="18" t="n">
        <v>1.74341091</v>
      </c>
      <c r="L57" s="20" t="n">
        <v>0.31536235</v>
      </c>
      <c r="M57" s="18" t="n">
        <v>0</v>
      </c>
      <c r="N57" s="20" t="n">
        <v>0</v>
      </c>
      <c r="O57" s="18" t="n">
        <v>0.04641308</v>
      </c>
      <c r="P57" s="20" t="n">
        <v>0.03410726</v>
      </c>
      <c r="Q57" s="18" t="n">
        <v>1.61425963</v>
      </c>
      <c r="R57" s="20" t="n">
        <v>0.27243629</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64.22928777</v>
      </c>
      <c r="F59" s="20" t="n">
        <v>1.44935254</v>
      </c>
      <c r="G59" s="18" t="n">
        <v>30.45903278</v>
      </c>
      <c r="H59" s="20" t="n">
        <v>1.34635366</v>
      </c>
      <c r="I59" s="18" t="n">
        <v>0</v>
      </c>
      <c r="J59" s="20" t="n">
        <v>0</v>
      </c>
      <c r="K59" s="18" t="n">
        <v>0.52065664</v>
      </c>
      <c r="L59" s="20" t="n">
        <v>0.23521916</v>
      </c>
      <c r="M59" s="18" t="n">
        <v>0</v>
      </c>
      <c r="N59" s="20" t="n">
        <v>0</v>
      </c>
      <c r="O59" s="18" t="n">
        <v>0.02471856</v>
      </c>
      <c r="P59" s="20" t="n">
        <v>0.0247003</v>
      </c>
      <c r="Q59" s="18" t="n">
        <v>4.76630425</v>
      </c>
      <c r="R59" s="20" t="n">
        <v>0.69073394</v>
      </c>
    </row>
    <row r="60" spans="1:18">
      <c r="A60" s="15" t="s">
        <v>620</v>
      </c>
      <c r="B60" s="17" t="n">
        <v>4546</v>
      </c>
      <c r="C60" s="18">
        <f>(3036.0/B60*100)</f>
        <v/>
      </c>
      <c r="D60" s="19" t="n">
        <v>1510</v>
      </c>
      <c r="E60" s="18" t="n">
        <v>40.9084282</v>
      </c>
      <c r="F60" s="20" t="n">
        <v>1.741266</v>
      </c>
      <c r="G60" s="18" t="n">
        <v>50.85401358</v>
      </c>
      <c r="H60" s="20" t="n">
        <v>1.82685815</v>
      </c>
      <c r="I60" s="18" t="n">
        <v>0</v>
      </c>
      <c r="J60" s="20" t="n">
        <v>0</v>
      </c>
      <c r="K60" s="18" t="n">
        <v>3.76855697</v>
      </c>
      <c r="L60" s="20" t="n">
        <v>0.45912716</v>
      </c>
      <c r="M60" s="18" t="n">
        <v>0.03243531</v>
      </c>
      <c r="N60" s="20" t="n">
        <v>0.03287663</v>
      </c>
      <c r="O60" s="18" t="n">
        <v>0.06438445</v>
      </c>
      <c r="P60" s="20" t="n">
        <v>0.0674742</v>
      </c>
      <c r="Q60" s="18" t="n">
        <v>4.37218149</v>
      </c>
      <c r="R60" s="20" t="n">
        <v>0.61177283</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59.64017917</v>
      </c>
      <c r="F63" s="20" t="n">
        <v>1.02378306</v>
      </c>
      <c r="G63" s="18" t="n">
        <v>28.65362018</v>
      </c>
      <c r="H63" s="20" t="n">
        <v>0.96026292</v>
      </c>
      <c r="I63" s="18" t="n">
        <v>0</v>
      </c>
      <c r="J63" s="20" t="n">
        <v>0</v>
      </c>
      <c r="K63" s="18" t="n">
        <v>2.17638518</v>
      </c>
      <c r="L63" s="20" t="n">
        <v>0.29238919</v>
      </c>
      <c r="M63" s="18" t="n">
        <v>0</v>
      </c>
      <c r="N63" s="20" t="n">
        <v>0</v>
      </c>
      <c r="O63" s="18" t="n">
        <v>0</v>
      </c>
      <c r="P63" s="20" t="n">
        <v>0</v>
      </c>
      <c r="Q63" s="18" t="n">
        <v>9.529815470000001</v>
      </c>
      <c r="R63" s="20" t="n">
        <v>0.6936225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53.56505359</v>
      </c>
      <c r="F65" s="20" t="n">
        <v>1.40965753</v>
      </c>
      <c r="G65" s="18" t="n">
        <v>41.64754341</v>
      </c>
      <c r="H65" s="20" t="n">
        <v>1.39378128</v>
      </c>
      <c r="I65" s="18" t="n">
        <v>0</v>
      </c>
      <c r="J65" s="20" t="n">
        <v>0</v>
      </c>
      <c r="K65" s="18" t="n">
        <v>2.35029359</v>
      </c>
      <c r="L65" s="20" t="n">
        <v>0.40790363</v>
      </c>
      <c r="M65" s="18" t="n">
        <v>0</v>
      </c>
      <c r="N65" s="20" t="n">
        <v>0</v>
      </c>
      <c r="O65" s="18" t="n">
        <v>0</v>
      </c>
      <c r="P65" s="20" t="n">
        <v>0</v>
      </c>
      <c r="Q65" s="18" t="n">
        <v>2.4371094</v>
      </c>
      <c r="R65" s="20" t="n">
        <v>0.4003568</v>
      </c>
    </row>
    <row r="66" spans="1:18">
      <c r="A66" s="15" t="s">
        <v>626</v>
      </c>
      <c r="B66" s="17" t="n">
        <v>5325</v>
      </c>
      <c r="C66" s="18">
        <f>(3540.0/B66*100)</f>
        <v/>
      </c>
      <c r="D66" s="19" t="n">
        <v>1785</v>
      </c>
      <c r="E66" s="18" t="n">
        <v>65.50348477999999</v>
      </c>
      <c r="F66" s="20" t="n">
        <v>1.44329719</v>
      </c>
      <c r="G66" s="18" t="n">
        <v>25.78142868</v>
      </c>
      <c r="H66" s="20" t="n">
        <v>1.59484363</v>
      </c>
      <c r="I66" s="18" t="n">
        <v>0</v>
      </c>
      <c r="J66" s="20" t="n">
        <v>0</v>
      </c>
      <c r="K66" s="18" t="n">
        <v>3.55805891</v>
      </c>
      <c r="L66" s="20" t="n">
        <v>0.4932266</v>
      </c>
      <c r="M66" s="18" t="n">
        <v>0</v>
      </c>
      <c r="N66" s="20" t="n">
        <v>0</v>
      </c>
      <c r="O66" s="18" t="n">
        <v>0</v>
      </c>
      <c r="P66" s="20" t="n">
        <v>0</v>
      </c>
      <c r="Q66" s="18" t="n">
        <v>5.15702763</v>
      </c>
      <c r="R66" s="20" t="n">
        <v>0.51518933</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68.70142998</v>
      </c>
      <c r="F69" s="20" t="n">
        <v>2.64641658</v>
      </c>
      <c r="G69" s="18" t="n">
        <v>29.9392883</v>
      </c>
      <c r="H69" s="20" t="n">
        <v>2.64194076</v>
      </c>
      <c r="I69" s="18" t="n">
        <v>0</v>
      </c>
      <c r="J69" s="20" t="n">
        <v>0</v>
      </c>
      <c r="K69" s="18" t="n">
        <v>0.57158024</v>
      </c>
      <c r="L69" s="20" t="n">
        <v>0.33215206</v>
      </c>
      <c r="M69" s="18" t="n">
        <v>0</v>
      </c>
      <c r="N69" s="20" t="n">
        <v>0</v>
      </c>
      <c r="O69" s="18" t="n">
        <v>0</v>
      </c>
      <c r="P69" s="20" t="n">
        <v>0</v>
      </c>
      <c r="Q69" s="18" t="n">
        <v>0.78770148</v>
      </c>
      <c r="R69" s="20" t="n">
        <v>0.4011628</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(3237.0/B71*100)</f>
        <v/>
      </c>
      <c r="D71" s="19" t="n">
        <v>1639</v>
      </c>
      <c r="E71" s="18" t="n">
        <v>72.35047547000001</v>
      </c>
      <c r="F71" s="20" t="n">
        <v>1.18924266</v>
      </c>
      <c r="G71" s="18" t="n">
        <v>27.54414161</v>
      </c>
      <c r="H71" s="20" t="n">
        <v>1.19361859</v>
      </c>
      <c r="I71" s="18" t="n">
        <v>0</v>
      </c>
      <c r="J71" s="20" t="n">
        <v>0</v>
      </c>
      <c r="K71" s="18" t="n">
        <v>0</v>
      </c>
      <c r="L71" s="20" t="n">
        <v>0</v>
      </c>
      <c r="M71" s="18" t="n">
        <v>0</v>
      </c>
      <c r="N71" s="20" t="n">
        <v>0</v>
      </c>
      <c r="O71" s="18" t="n">
        <v>0</v>
      </c>
      <c r="P71" s="20" t="n">
        <v>0</v>
      </c>
      <c r="Q71" s="18" t="n">
        <v>0.10538292</v>
      </c>
      <c r="R71" s="20" t="n">
        <v>0.07428467</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65.11359581000001</v>
      </c>
      <c r="F76" s="20" t="n">
        <v>1.32116848</v>
      </c>
      <c r="G76" s="18" t="n">
        <v>26.49372985</v>
      </c>
      <c r="H76" s="20" t="n">
        <v>1.25026033</v>
      </c>
      <c r="I76" s="18" t="n">
        <v>0</v>
      </c>
      <c r="J76" s="20" t="n">
        <v>0</v>
      </c>
      <c r="K76" s="18" t="n">
        <v>3.98697947</v>
      </c>
      <c r="L76" s="20" t="n">
        <v>0.52994512</v>
      </c>
      <c r="M76" s="18" t="n">
        <v>0</v>
      </c>
      <c r="N76" s="20" t="n">
        <v>0</v>
      </c>
      <c r="O76" s="18" t="n">
        <v>0</v>
      </c>
      <c r="P76" s="20" t="n">
        <v>0</v>
      </c>
      <c r="Q76" s="18" t="n">
        <v>4.40569487</v>
      </c>
      <c r="R76" s="20" t="n">
        <v>0.57770798</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66.94137528</v>
      </c>
      <c r="F80" s="20" t="n">
        <v>1.65575595</v>
      </c>
      <c r="G80" s="18" t="n">
        <v>32.53999838</v>
      </c>
      <c r="H80" s="20" t="n">
        <v>1.68345543</v>
      </c>
      <c r="I80" s="18" t="n">
        <v>0</v>
      </c>
      <c r="J80" s="20" t="n">
        <v>0</v>
      </c>
      <c r="K80" s="18" t="n">
        <v>0</v>
      </c>
      <c r="L80" s="20" t="n">
        <v>0</v>
      </c>
      <c r="M80" s="18" t="n">
        <v>0</v>
      </c>
      <c r="N80" s="20" t="n">
        <v>0</v>
      </c>
      <c r="O80" s="18" t="n">
        <v>0</v>
      </c>
      <c r="P80" s="20" t="n">
        <v>0</v>
      </c>
      <c r="Q80" s="18" t="n">
        <v>0.51862634</v>
      </c>
      <c r="R80" s="20" t="n">
        <v>0.21891598</v>
      </c>
    </row>
    <row r="81" spans="1:18">
      <c r="A81" s="15" t="s">
        <v>641</v>
      </c>
      <c r="B81" s="17" t="n">
        <v>1657</v>
      </c>
      <c r="C81" s="18">
        <f>(1093.0/B81*100)</f>
        <v/>
      </c>
      <c r="D81" s="19" t="n">
        <v>564</v>
      </c>
      <c r="E81" s="18" t="n">
        <v>58.26423092</v>
      </c>
      <c r="F81" s="20" t="n">
        <v>3.28597166</v>
      </c>
      <c r="G81" s="18" t="n">
        <v>37.07322671</v>
      </c>
      <c r="H81" s="20" t="n">
        <v>3.33687893</v>
      </c>
      <c r="I81" s="18" t="n">
        <v>0</v>
      </c>
      <c r="J81" s="20" t="n">
        <v>0</v>
      </c>
      <c r="K81" s="18" t="n">
        <v>3.77515851</v>
      </c>
      <c r="L81" s="20" t="n">
        <v>0.73958242</v>
      </c>
      <c r="M81" s="18" t="n">
        <v>0</v>
      </c>
      <c r="N81" s="20" t="n">
        <v>0</v>
      </c>
      <c r="O81" s="18" t="n">
        <v>0</v>
      </c>
      <c r="P81" s="20" t="n">
        <v>0</v>
      </c>
      <c r="Q81" s="18" t="n">
        <v>0.88738385</v>
      </c>
      <c r="R81" s="20" t="n">
        <v>0.35057729</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7.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933</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52.95599828</v>
      </c>
      <c r="F44" s="20" t="n">
        <v>1.70157849</v>
      </c>
      <c r="G44" s="18" t="n">
        <v>40.09638753</v>
      </c>
      <c r="H44" s="20" t="n">
        <v>1.61583709</v>
      </c>
      <c r="I44" s="18" t="n">
        <v>0</v>
      </c>
      <c r="J44" s="20" t="n">
        <v>0</v>
      </c>
      <c r="K44" s="18" t="n">
        <v>2.43784303</v>
      </c>
      <c r="L44" s="20" t="n">
        <v>0.4204142</v>
      </c>
      <c r="M44" s="18" t="n">
        <v>0</v>
      </c>
      <c r="N44" s="20" t="n">
        <v>0</v>
      </c>
      <c r="O44" s="18" t="n">
        <v>0</v>
      </c>
      <c r="P44" s="20" t="n">
        <v>0</v>
      </c>
      <c r="Q44" s="18" t="n">
        <v>4.50977117</v>
      </c>
      <c r="R44" s="20" t="n">
        <v>0.65663701</v>
      </c>
    </row>
    <row r="45" spans="1:18">
      <c r="A45" s="15" t="s">
        <v>604</v>
      </c>
      <c r="B45" s="17" t="n">
        <v>5519</v>
      </c>
      <c r="C45" s="18">
        <f>(3662.0/B45*100)</f>
        <v/>
      </c>
      <c r="D45" s="19" t="n">
        <v>1857</v>
      </c>
      <c r="E45" s="18" t="n">
        <v>72.48658116</v>
      </c>
      <c r="F45" s="20" t="n">
        <v>1.2073071</v>
      </c>
      <c r="G45" s="18" t="n">
        <v>18.34470225</v>
      </c>
      <c r="H45" s="20" t="n">
        <v>1.10395781</v>
      </c>
      <c r="I45" s="18" t="n">
        <v>0</v>
      </c>
      <c r="J45" s="20" t="n">
        <v>0</v>
      </c>
      <c r="K45" s="18" t="n">
        <v>3.26331017</v>
      </c>
      <c r="L45" s="20" t="n">
        <v>0.43976511</v>
      </c>
      <c r="M45" s="18" t="n">
        <v>0.35209943</v>
      </c>
      <c r="N45" s="20" t="n">
        <v>0.15308965</v>
      </c>
      <c r="O45" s="18" t="n">
        <v>0.18067101</v>
      </c>
      <c r="P45" s="20" t="n">
        <v>0.09913180000000001</v>
      </c>
      <c r="Q45" s="18" t="n">
        <v>5.37263598</v>
      </c>
      <c r="R45" s="20" t="n">
        <v>0.56118946</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68.52108158</v>
      </c>
      <c r="F54" s="20" t="n">
        <v>1.25238772</v>
      </c>
      <c r="G54" s="18" t="n">
        <v>22.08431777</v>
      </c>
      <c r="H54" s="20" t="n">
        <v>0.97018488</v>
      </c>
      <c r="I54" s="18" t="n">
        <v>0</v>
      </c>
      <c r="J54" s="20" t="n">
        <v>0</v>
      </c>
      <c r="K54" s="18" t="n">
        <v>1.61712913</v>
      </c>
      <c r="L54" s="20" t="n">
        <v>0.33439811</v>
      </c>
      <c r="M54" s="18" t="n">
        <v>0</v>
      </c>
      <c r="N54" s="20" t="n">
        <v>0</v>
      </c>
      <c r="O54" s="18" t="n">
        <v>0.15172019</v>
      </c>
      <c r="P54" s="20" t="n">
        <v>0.09092268000000001</v>
      </c>
      <c r="Q54" s="18" t="n">
        <v>7.62575135</v>
      </c>
      <c r="R54" s="20" t="n">
        <v>0.8388862500000001</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75.48634905</v>
      </c>
      <c r="F56" s="20" t="n">
        <v>1.32668452</v>
      </c>
      <c r="G56" s="18" t="n">
        <v>18.6149386</v>
      </c>
      <c r="H56" s="20" t="n">
        <v>1.24746244</v>
      </c>
      <c r="I56" s="18" t="n">
        <v>0</v>
      </c>
      <c r="J56" s="20" t="n">
        <v>0</v>
      </c>
      <c r="K56" s="18" t="n">
        <v>1.59242665</v>
      </c>
      <c r="L56" s="20" t="n">
        <v>0.46154871</v>
      </c>
      <c r="M56" s="18" t="n">
        <v>0.04234911</v>
      </c>
      <c r="N56" s="20" t="n">
        <v>0.04239804</v>
      </c>
      <c r="O56" s="18" t="n">
        <v>0</v>
      </c>
      <c r="P56" s="20" t="n">
        <v>0</v>
      </c>
      <c r="Q56" s="18" t="n">
        <v>4.26393659</v>
      </c>
      <c r="R56" s="20" t="n">
        <v>0.6063579100000001</v>
      </c>
    </row>
    <row r="57" spans="1:18">
      <c r="A57" s="15" t="s">
        <v>616</v>
      </c>
      <c r="B57" s="17" t="n">
        <v>7267</v>
      </c>
      <c r="C57" s="18">
        <f>(4852.0/B57*100)</f>
        <v/>
      </c>
      <c r="D57" s="19" t="n">
        <v>2415</v>
      </c>
      <c r="E57" s="18" t="n">
        <v>65.23790019</v>
      </c>
      <c r="F57" s="20" t="n">
        <v>1.20670686</v>
      </c>
      <c r="G57" s="18" t="n">
        <v>31.00569277</v>
      </c>
      <c r="H57" s="20" t="n">
        <v>1.18555676</v>
      </c>
      <c r="I57" s="18" t="n">
        <v>0</v>
      </c>
      <c r="J57" s="20" t="n">
        <v>0</v>
      </c>
      <c r="K57" s="18" t="n">
        <v>1.81888016</v>
      </c>
      <c r="L57" s="20" t="n">
        <v>0.31467626</v>
      </c>
      <c r="M57" s="18" t="n">
        <v>0</v>
      </c>
      <c r="N57" s="20" t="n">
        <v>0</v>
      </c>
      <c r="O57" s="18" t="n">
        <v>0</v>
      </c>
      <c r="P57" s="20" t="n">
        <v>0</v>
      </c>
      <c r="Q57" s="18" t="n">
        <v>1.93752688</v>
      </c>
      <c r="R57" s="20" t="n">
        <v>0.32616622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68.36000056</v>
      </c>
      <c r="F59" s="20" t="n">
        <v>1.31252804</v>
      </c>
      <c r="G59" s="18" t="n">
        <v>25.976803</v>
      </c>
      <c r="H59" s="20" t="n">
        <v>1.27852595</v>
      </c>
      <c r="I59" s="18" t="n">
        <v>0</v>
      </c>
      <c r="J59" s="20" t="n">
        <v>0</v>
      </c>
      <c r="K59" s="18" t="n">
        <v>0.59955412</v>
      </c>
      <c r="L59" s="20" t="n">
        <v>0.23963711</v>
      </c>
      <c r="M59" s="18" t="n">
        <v>0</v>
      </c>
      <c r="N59" s="20" t="n">
        <v>0</v>
      </c>
      <c r="O59" s="18" t="n">
        <v>0</v>
      </c>
      <c r="P59" s="20" t="n">
        <v>0</v>
      </c>
      <c r="Q59" s="18" t="n">
        <v>5.06364232</v>
      </c>
      <c r="R59" s="20" t="n">
        <v>0.60598441</v>
      </c>
    </row>
    <row r="60" spans="1:18">
      <c r="A60" s="15" t="s">
        <v>620</v>
      </c>
      <c r="B60" s="17" t="n">
        <v>4546</v>
      </c>
      <c r="C60" s="18">
        <f>(3036.0/B60*100)</f>
        <v/>
      </c>
      <c r="D60" s="19" t="n">
        <v>1510</v>
      </c>
      <c r="E60" s="18" t="n">
        <v>57.01676852</v>
      </c>
      <c r="F60" s="20" t="n">
        <v>1.44796119</v>
      </c>
      <c r="G60" s="18" t="n">
        <v>34.59470586</v>
      </c>
      <c r="H60" s="20" t="n">
        <v>1.44903382</v>
      </c>
      <c r="I60" s="18" t="n">
        <v>0</v>
      </c>
      <c r="J60" s="20" t="n">
        <v>0</v>
      </c>
      <c r="K60" s="18" t="n">
        <v>3.83426049</v>
      </c>
      <c r="L60" s="20" t="n">
        <v>0.46439709</v>
      </c>
      <c r="M60" s="18" t="n">
        <v>0</v>
      </c>
      <c r="N60" s="20" t="n">
        <v>0</v>
      </c>
      <c r="O60" s="18" t="n">
        <v>0.07246937000000001</v>
      </c>
      <c r="P60" s="20" t="n">
        <v>0.07678736999999999</v>
      </c>
      <c r="Q60" s="18" t="n">
        <v>4.48179576</v>
      </c>
      <c r="R60" s="20" t="n">
        <v>0.63868625</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61.6068923</v>
      </c>
      <c r="F63" s="20" t="n">
        <v>1.37402931</v>
      </c>
      <c r="G63" s="18" t="n">
        <v>26.39966986</v>
      </c>
      <c r="H63" s="20" t="n">
        <v>1.2430427</v>
      </c>
      <c r="I63" s="18" t="n">
        <v>0</v>
      </c>
      <c r="J63" s="20" t="n">
        <v>0</v>
      </c>
      <c r="K63" s="18" t="n">
        <v>2.17638518</v>
      </c>
      <c r="L63" s="20" t="n">
        <v>0.29238919</v>
      </c>
      <c r="M63" s="18" t="n">
        <v>0</v>
      </c>
      <c r="N63" s="20" t="n">
        <v>0</v>
      </c>
      <c r="O63" s="18" t="n">
        <v>0</v>
      </c>
      <c r="P63" s="20" t="n">
        <v>0</v>
      </c>
      <c r="Q63" s="18" t="n">
        <v>9.81705266</v>
      </c>
      <c r="R63" s="20" t="n">
        <v>0.70230579</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69.94174291</v>
      </c>
      <c r="F65" s="20" t="n">
        <v>1.26109022</v>
      </c>
      <c r="G65" s="18" t="n">
        <v>24.69733389</v>
      </c>
      <c r="H65" s="20" t="n">
        <v>1.18680768</v>
      </c>
      <c r="I65" s="18" t="n">
        <v>0</v>
      </c>
      <c r="J65" s="20" t="n">
        <v>0</v>
      </c>
      <c r="K65" s="18" t="n">
        <v>2.35029359</v>
      </c>
      <c r="L65" s="20" t="n">
        <v>0.40790363</v>
      </c>
      <c r="M65" s="18" t="n">
        <v>0</v>
      </c>
      <c r="N65" s="20" t="n">
        <v>0</v>
      </c>
      <c r="O65" s="18" t="n">
        <v>0</v>
      </c>
      <c r="P65" s="20" t="n">
        <v>0</v>
      </c>
      <c r="Q65" s="18" t="n">
        <v>3.01062961</v>
      </c>
      <c r="R65" s="20" t="n">
        <v>0.43891519</v>
      </c>
    </row>
    <row r="66" spans="1:18">
      <c r="A66" s="15" t="s">
        <v>626</v>
      </c>
      <c r="B66" s="17" t="n">
        <v>5325</v>
      </c>
      <c r="C66" s="18">
        <f>(3540.0/B66*100)</f>
        <v/>
      </c>
      <c r="D66" s="19" t="n">
        <v>1785</v>
      </c>
      <c r="E66" s="18" t="n">
        <v>66.69079798999999</v>
      </c>
      <c r="F66" s="20" t="n">
        <v>1.46376521</v>
      </c>
      <c r="G66" s="18" t="n">
        <v>23.09606727</v>
      </c>
      <c r="H66" s="20" t="n">
        <v>1.49521003</v>
      </c>
      <c r="I66" s="18" t="n">
        <v>0</v>
      </c>
      <c r="J66" s="20" t="n">
        <v>0</v>
      </c>
      <c r="K66" s="18" t="n">
        <v>3.64800744</v>
      </c>
      <c r="L66" s="20" t="n">
        <v>0.50280307</v>
      </c>
      <c r="M66" s="18" t="n">
        <v>0</v>
      </c>
      <c r="N66" s="20" t="n">
        <v>0</v>
      </c>
      <c r="O66" s="18" t="n">
        <v>0</v>
      </c>
      <c r="P66" s="20" t="n">
        <v>0</v>
      </c>
      <c r="Q66" s="18" t="n">
        <v>6.56512731</v>
      </c>
      <c r="R66" s="20" t="n">
        <v>0.62608502</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67.89491267</v>
      </c>
      <c r="F69" s="20" t="n">
        <v>2.47440451</v>
      </c>
      <c r="G69" s="18" t="n">
        <v>30.74580561</v>
      </c>
      <c r="H69" s="20" t="n">
        <v>2.67622457</v>
      </c>
      <c r="I69" s="18" t="n">
        <v>0</v>
      </c>
      <c r="J69" s="20" t="n">
        <v>0</v>
      </c>
      <c r="K69" s="18" t="n">
        <v>0.57158024</v>
      </c>
      <c r="L69" s="20" t="n">
        <v>0.33215206</v>
      </c>
      <c r="M69" s="18" t="n">
        <v>0</v>
      </c>
      <c r="N69" s="20" t="n">
        <v>0</v>
      </c>
      <c r="O69" s="18" t="n">
        <v>0</v>
      </c>
      <c r="P69" s="20" t="n">
        <v>0</v>
      </c>
      <c r="Q69" s="18" t="n">
        <v>0.78770148</v>
      </c>
      <c r="R69" s="20" t="n">
        <v>0.4011628</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(3237.0/B71*100)</f>
        <v/>
      </c>
      <c r="D71" s="19" t="n">
        <v>1639</v>
      </c>
      <c r="E71" s="18" t="n">
        <v>72.48046632</v>
      </c>
      <c r="F71" s="20" t="n">
        <v>1.07217285</v>
      </c>
      <c r="G71" s="18" t="n">
        <v>27.36646787</v>
      </c>
      <c r="H71" s="20" t="n">
        <v>1.0756165</v>
      </c>
      <c r="I71" s="18" t="n">
        <v>0</v>
      </c>
      <c r="J71" s="20" t="n">
        <v>0</v>
      </c>
      <c r="K71" s="18" t="n">
        <v>0</v>
      </c>
      <c r="L71" s="20" t="n">
        <v>0</v>
      </c>
      <c r="M71" s="18" t="n">
        <v>0</v>
      </c>
      <c r="N71" s="20" t="n">
        <v>0</v>
      </c>
      <c r="O71" s="18" t="n">
        <v>0</v>
      </c>
      <c r="P71" s="20" t="n">
        <v>0</v>
      </c>
      <c r="Q71" s="18" t="n">
        <v>0.15306581</v>
      </c>
      <c r="R71" s="20" t="n">
        <v>0.087754</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69.4066077</v>
      </c>
      <c r="F76" s="20" t="n">
        <v>1.31710368</v>
      </c>
      <c r="G76" s="18" t="n">
        <v>22.00468174</v>
      </c>
      <c r="H76" s="20" t="n">
        <v>1.10123612</v>
      </c>
      <c r="I76" s="18" t="n">
        <v>0</v>
      </c>
      <c r="J76" s="20" t="n">
        <v>0</v>
      </c>
      <c r="K76" s="18" t="n">
        <v>3.98697947</v>
      </c>
      <c r="L76" s="20" t="n">
        <v>0.52994512</v>
      </c>
      <c r="M76" s="18" t="n">
        <v>0</v>
      </c>
      <c r="N76" s="20" t="n">
        <v>0</v>
      </c>
      <c r="O76" s="18" t="n">
        <v>0</v>
      </c>
      <c r="P76" s="20" t="n">
        <v>0</v>
      </c>
      <c r="Q76" s="18" t="n">
        <v>4.60173109</v>
      </c>
      <c r="R76" s="20" t="n">
        <v>0.59886595</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74.31087096</v>
      </c>
      <c r="F80" s="20" t="n">
        <v>1.01448855</v>
      </c>
      <c r="G80" s="18" t="n">
        <v>25.28597208</v>
      </c>
      <c r="H80" s="20" t="n">
        <v>1.01456648</v>
      </c>
      <c r="I80" s="18" t="n">
        <v>0</v>
      </c>
      <c r="J80" s="20" t="n">
        <v>0</v>
      </c>
      <c r="K80" s="18" t="n">
        <v>0</v>
      </c>
      <c r="L80" s="20" t="n">
        <v>0</v>
      </c>
      <c r="M80" s="18" t="n">
        <v>0</v>
      </c>
      <c r="N80" s="20" t="n">
        <v>0</v>
      </c>
      <c r="O80" s="18" t="n">
        <v>0</v>
      </c>
      <c r="P80" s="20" t="n">
        <v>0</v>
      </c>
      <c r="Q80" s="18" t="n">
        <v>0.40315695</v>
      </c>
      <c r="R80" s="20" t="n">
        <v>0.16976366</v>
      </c>
    </row>
    <row r="81" spans="1:18">
      <c r="A81" s="15" t="s">
        <v>641</v>
      </c>
      <c r="B81" s="17" t="n">
        <v>1657</v>
      </c>
      <c r="C81" s="18">
        <f>(1093.0/B81*100)</f>
        <v/>
      </c>
      <c r="D81" s="19" t="n">
        <v>564</v>
      </c>
      <c r="E81" s="18" t="n">
        <v>64.88136459</v>
      </c>
      <c r="F81" s="20" t="n">
        <v>2.18197697</v>
      </c>
      <c r="G81" s="18" t="n">
        <v>29.7692938</v>
      </c>
      <c r="H81" s="20" t="n">
        <v>2.31439066</v>
      </c>
      <c r="I81" s="18" t="n">
        <v>0</v>
      </c>
      <c r="J81" s="20" t="n">
        <v>0</v>
      </c>
      <c r="K81" s="18" t="n">
        <v>3.77515851</v>
      </c>
      <c r="L81" s="20" t="n">
        <v>0.73958242</v>
      </c>
      <c r="M81" s="18" t="n">
        <v>0</v>
      </c>
      <c r="N81" s="20" t="n">
        <v>0</v>
      </c>
      <c r="O81" s="18" t="n">
        <v>0</v>
      </c>
      <c r="P81" s="20" t="n">
        <v>0</v>
      </c>
      <c r="Q81" s="18" t="n">
        <v>1.57418309</v>
      </c>
      <c r="R81" s="20" t="n">
        <v>0.50051029</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8.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934</v>
      </c>
    </row>
    <row customHeight="1" ht="30" r="4" spans="1:18">
      <c r="A4" s="6" t="n"/>
      <c r="B4" s="7" t="s">
        <v>551</v>
      </c>
      <c r="C4" s="7" t="s">
        <v>552</v>
      </c>
      <c r="D4" s="8" t="s">
        <v>551</v>
      </c>
      <c r="E4" s="9" t="s">
        <v>553</v>
      </c>
      <c r="F4" s="10" t="n"/>
      <c r="G4" s="9" t="s">
        <v>554</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36.63848016</v>
      </c>
      <c r="F44" s="20" t="n">
        <v>1.32274695</v>
      </c>
      <c r="G44" s="18" t="n">
        <v>58.4705579</v>
      </c>
      <c r="H44" s="20" t="n">
        <v>1.36769062</v>
      </c>
      <c r="I44" s="18" t="n">
        <v>0</v>
      </c>
      <c r="J44" s="20" t="n">
        <v>0</v>
      </c>
      <c r="K44" s="18" t="n">
        <v>2.43784303</v>
      </c>
      <c r="L44" s="20" t="n">
        <v>0.4204142</v>
      </c>
      <c r="M44" s="18" t="n">
        <v>0</v>
      </c>
      <c r="N44" s="20" t="n">
        <v>0</v>
      </c>
      <c r="O44" s="18" t="n">
        <v>0</v>
      </c>
      <c r="P44" s="20" t="n">
        <v>0</v>
      </c>
      <c r="Q44" s="18" t="n">
        <v>2.45311891</v>
      </c>
      <c r="R44" s="20" t="n">
        <v>0.45270567</v>
      </c>
    </row>
    <row r="45" spans="1:18">
      <c r="A45" s="15" t="s">
        <v>604</v>
      </c>
      <c r="B45" s="17" t="n">
        <v>5519</v>
      </c>
      <c r="C45" s="18">
        <f>(3662.0/B45*100)</f>
        <v/>
      </c>
      <c r="D45" s="19" t="n">
        <v>1857</v>
      </c>
      <c r="E45" s="18" t="n">
        <v>66.1026531</v>
      </c>
      <c r="F45" s="20" t="n">
        <v>1.20703842</v>
      </c>
      <c r="G45" s="18" t="n">
        <v>26.08932107</v>
      </c>
      <c r="H45" s="20" t="n">
        <v>1.03553154</v>
      </c>
      <c r="I45" s="18" t="n">
        <v>0</v>
      </c>
      <c r="J45" s="20" t="n">
        <v>0</v>
      </c>
      <c r="K45" s="18" t="n">
        <v>3.42389564</v>
      </c>
      <c r="L45" s="20" t="n">
        <v>0.44858761</v>
      </c>
      <c r="M45" s="18" t="n">
        <v>0.36027375</v>
      </c>
      <c r="N45" s="20" t="n">
        <v>0.14117426</v>
      </c>
      <c r="O45" s="18" t="n">
        <v>0.20861716</v>
      </c>
      <c r="P45" s="20" t="n">
        <v>0.1032813</v>
      </c>
      <c r="Q45" s="18" t="n">
        <v>3.81523929</v>
      </c>
      <c r="R45" s="20" t="n">
        <v>0.45656893</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51.46398855</v>
      </c>
      <c r="F54" s="20" t="n">
        <v>1.29144081</v>
      </c>
      <c r="G54" s="18" t="n">
        <v>40.9078615</v>
      </c>
      <c r="H54" s="20" t="n">
        <v>1.44497017</v>
      </c>
      <c r="I54" s="18" t="n">
        <v>0</v>
      </c>
      <c r="J54" s="20" t="n">
        <v>0</v>
      </c>
      <c r="K54" s="18" t="n">
        <v>1.61712913</v>
      </c>
      <c r="L54" s="20" t="n">
        <v>0.33439811</v>
      </c>
      <c r="M54" s="18" t="n">
        <v>0</v>
      </c>
      <c r="N54" s="20" t="n">
        <v>0</v>
      </c>
      <c r="O54" s="18" t="n">
        <v>0.05502094</v>
      </c>
      <c r="P54" s="20" t="n">
        <v>0.05727793</v>
      </c>
      <c r="Q54" s="18" t="n">
        <v>5.95599989</v>
      </c>
      <c r="R54" s="20" t="n">
        <v>0.78777</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48.97789204</v>
      </c>
      <c r="F56" s="20" t="n">
        <v>1.43538415</v>
      </c>
      <c r="G56" s="18" t="n">
        <v>46.18736844</v>
      </c>
      <c r="H56" s="20" t="n">
        <v>1.63561658</v>
      </c>
      <c r="I56" s="18" t="n">
        <v>0</v>
      </c>
      <c r="J56" s="20" t="n">
        <v>0</v>
      </c>
      <c r="K56" s="18" t="n">
        <v>1.59242665</v>
      </c>
      <c r="L56" s="20" t="n">
        <v>0.46154871</v>
      </c>
      <c r="M56" s="18" t="n">
        <v>0.09122226</v>
      </c>
      <c r="N56" s="20" t="n">
        <v>0.06203953</v>
      </c>
      <c r="O56" s="18" t="n">
        <v>0.11575423</v>
      </c>
      <c r="P56" s="20" t="n">
        <v>0.11452912</v>
      </c>
      <c r="Q56" s="18" t="n">
        <v>3.03533639</v>
      </c>
      <c r="R56" s="20" t="n">
        <v>0.49630855</v>
      </c>
    </row>
    <row r="57" spans="1:18">
      <c r="A57" s="15" t="s">
        <v>616</v>
      </c>
      <c r="B57" s="17" t="n">
        <v>7267</v>
      </c>
      <c r="C57" s="18">
        <f>(4852.0/B57*100)</f>
        <v/>
      </c>
      <c r="D57" s="19" t="n">
        <v>2415</v>
      </c>
      <c r="E57" s="18" t="n">
        <v>48.28922223</v>
      </c>
      <c r="F57" s="20" t="n">
        <v>1.45533223</v>
      </c>
      <c r="G57" s="18" t="n">
        <v>48.09253573</v>
      </c>
      <c r="H57" s="20" t="n">
        <v>1.46125138</v>
      </c>
      <c r="I57" s="18" t="n">
        <v>0</v>
      </c>
      <c r="J57" s="20" t="n">
        <v>0</v>
      </c>
      <c r="K57" s="18" t="n">
        <v>1.81888016</v>
      </c>
      <c r="L57" s="20" t="n">
        <v>0.31467626</v>
      </c>
      <c r="M57" s="18" t="n">
        <v>0</v>
      </c>
      <c r="N57" s="20" t="n">
        <v>0</v>
      </c>
      <c r="O57" s="18" t="n">
        <v>0.06872422</v>
      </c>
      <c r="P57" s="20" t="n">
        <v>0.06914723</v>
      </c>
      <c r="Q57" s="18" t="n">
        <v>1.73063765</v>
      </c>
      <c r="R57" s="20" t="n">
        <v>0.30584664</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65.28053409</v>
      </c>
      <c r="F59" s="20" t="n">
        <v>1.3221624</v>
      </c>
      <c r="G59" s="18" t="n">
        <v>29.66745671</v>
      </c>
      <c r="H59" s="20" t="n">
        <v>1.26848221</v>
      </c>
      <c r="I59" s="18" t="n">
        <v>0</v>
      </c>
      <c r="J59" s="20" t="n">
        <v>0</v>
      </c>
      <c r="K59" s="18" t="n">
        <v>0.67120876</v>
      </c>
      <c r="L59" s="20" t="n">
        <v>0.2423068</v>
      </c>
      <c r="M59" s="18" t="n">
        <v>0</v>
      </c>
      <c r="N59" s="20" t="n">
        <v>0</v>
      </c>
      <c r="O59" s="18" t="n">
        <v>0</v>
      </c>
      <c r="P59" s="20" t="n">
        <v>0</v>
      </c>
      <c r="Q59" s="18" t="n">
        <v>4.38080044</v>
      </c>
      <c r="R59" s="20" t="n">
        <v>0.59096095</v>
      </c>
    </row>
    <row r="60" spans="1:18">
      <c r="A60" s="15" t="s">
        <v>620</v>
      </c>
      <c r="B60" s="17" t="n">
        <v>4546</v>
      </c>
      <c r="C60" s="18">
        <f>(3036.0/B60*100)</f>
        <v/>
      </c>
      <c r="D60" s="19" t="n">
        <v>1510</v>
      </c>
      <c r="E60" s="18" t="n">
        <v>42.24671119</v>
      </c>
      <c r="F60" s="20" t="n">
        <v>1.60507154</v>
      </c>
      <c r="G60" s="18" t="n">
        <v>49.93458175</v>
      </c>
      <c r="H60" s="20" t="n">
        <v>1.76125428</v>
      </c>
      <c r="I60" s="18" t="n">
        <v>0</v>
      </c>
      <c r="J60" s="20" t="n">
        <v>0</v>
      </c>
      <c r="K60" s="18" t="n">
        <v>3.92438814</v>
      </c>
      <c r="L60" s="20" t="n">
        <v>0.47562276</v>
      </c>
      <c r="M60" s="18" t="n">
        <v>0</v>
      </c>
      <c r="N60" s="20" t="n">
        <v>0</v>
      </c>
      <c r="O60" s="18" t="n">
        <v>0</v>
      </c>
      <c r="P60" s="20" t="n">
        <v>0</v>
      </c>
      <c r="Q60" s="18" t="n">
        <v>3.89431892</v>
      </c>
      <c r="R60" s="20" t="n">
        <v>0.5937323</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61.51629471</v>
      </c>
      <c r="F63" s="20" t="n">
        <v>1.10243566</v>
      </c>
      <c r="G63" s="18" t="n">
        <v>28.19233421</v>
      </c>
      <c r="H63" s="20" t="n">
        <v>1.09650586</v>
      </c>
      <c r="I63" s="18" t="n">
        <v>0</v>
      </c>
      <c r="J63" s="20" t="n">
        <v>0</v>
      </c>
      <c r="K63" s="18" t="n">
        <v>2.17638518</v>
      </c>
      <c r="L63" s="20" t="n">
        <v>0.29238919</v>
      </c>
      <c r="M63" s="18" t="n">
        <v>0</v>
      </c>
      <c r="N63" s="20" t="n">
        <v>0</v>
      </c>
      <c r="O63" s="18" t="n">
        <v>0</v>
      </c>
      <c r="P63" s="20" t="n">
        <v>0</v>
      </c>
      <c r="Q63" s="18" t="n">
        <v>8.11498591</v>
      </c>
      <c r="R63" s="20" t="n">
        <v>0.6754432500000001</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30.22180023</v>
      </c>
      <c r="F65" s="20" t="n">
        <v>1.26149283</v>
      </c>
      <c r="G65" s="18" t="n">
        <v>65.56159884</v>
      </c>
      <c r="H65" s="20" t="n">
        <v>1.16863308</v>
      </c>
      <c r="I65" s="18" t="n">
        <v>0</v>
      </c>
      <c r="J65" s="20" t="n">
        <v>0</v>
      </c>
      <c r="K65" s="18" t="n">
        <v>2.46016323</v>
      </c>
      <c r="L65" s="20" t="n">
        <v>0.42325738</v>
      </c>
      <c r="M65" s="18" t="n">
        <v>0</v>
      </c>
      <c r="N65" s="20" t="n">
        <v>0</v>
      </c>
      <c r="O65" s="18" t="n">
        <v>0</v>
      </c>
      <c r="P65" s="20" t="n">
        <v>0</v>
      </c>
      <c r="Q65" s="18" t="n">
        <v>1.75643769</v>
      </c>
      <c r="R65" s="20" t="n">
        <v>0.32485127</v>
      </c>
    </row>
    <row r="66" spans="1:18">
      <c r="A66" s="15" t="s">
        <v>626</v>
      </c>
      <c r="B66" s="17" t="n">
        <v>5325</v>
      </c>
      <c r="C66" s="18">
        <f>(3540.0/B66*100)</f>
        <v/>
      </c>
      <c r="D66" s="19" t="n">
        <v>1785</v>
      </c>
      <c r="E66" s="18" t="n">
        <v>42.71130293</v>
      </c>
      <c r="F66" s="20" t="n">
        <v>1.3144201</v>
      </c>
      <c r="G66" s="18" t="n">
        <v>49.93037701</v>
      </c>
      <c r="H66" s="20" t="n">
        <v>1.44707085</v>
      </c>
      <c r="I66" s="18" t="n">
        <v>0</v>
      </c>
      <c r="J66" s="20" t="n">
        <v>0</v>
      </c>
      <c r="K66" s="18" t="n">
        <v>3.64800744</v>
      </c>
      <c r="L66" s="20" t="n">
        <v>0.50280307</v>
      </c>
      <c r="M66" s="18" t="n">
        <v>0</v>
      </c>
      <c r="N66" s="20" t="n">
        <v>0</v>
      </c>
      <c r="O66" s="18" t="n">
        <v>0</v>
      </c>
      <c r="P66" s="20" t="n">
        <v>0</v>
      </c>
      <c r="Q66" s="18" t="n">
        <v>3.71031262</v>
      </c>
      <c r="R66" s="20" t="n">
        <v>0.45945503</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65.19206373999999</v>
      </c>
      <c r="F69" s="20" t="n">
        <v>2.73889758</v>
      </c>
      <c r="G69" s="18" t="n">
        <v>33.2974453</v>
      </c>
      <c r="H69" s="20" t="n">
        <v>2.84916469</v>
      </c>
      <c r="I69" s="18" t="n">
        <v>0</v>
      </c>
      <c r="J69" s="20" t="n">
        <v>0</v>
      </c>
      <c r="K69" s="18" t="n">
        <v>0.57158024</v>
      </c>
      <c r="L69" s="20" t="n">
        <v>0.33215206</v>
      </c>
      <c r="M69" s="18" t="n">
        <v>0</v>
      </c>
      <c r="N69" s="20" t="n">
        <v>0</v>
      </c>
      <c r="O69" s="18" t="n">
        <v>0</v>
      </c>
      <c r="P69" s="20" t="n">
        <v>0</v>
      </c>
      <c r="Q69" s="18" t="n">
        <v>0.93891072</v>
      </c>
      <c r="R69" s="20" t="n">
        <v>0.32846014</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(3237.0/B71*100)</f>
        <v/>
      </c>
      <c r="D71" s="19" t="n">
        <v>1639</v>
      </c>
      <c r="E71" s="18" t="n">
        <v>52.2165826</v>
      </c>
      <c r="F71" s="20" t="n">
        <v>1.53772792</v>
      </c>
      <c r="G71" s="18" t="n">
        <v>47.57291663</v>
      </c>
      <c r="H71" s="20" t="n">
        <v>1.53825246</v>
      </c>
      <c r="I71" s="18" t="n">
        <v>0</v>
      </c>
      <c r="J71" s="20" t="n">
        <v>0</v>
      </c>
      <c r="K71" s="18" t="n">
        <v>0</v>
      </c>
      <c r="L71" s="20" t="n">
        <v>0</v>
      </c>
      <c r="M71" s="18" t="n">
        <v>0</v>
      </c>
      <c r="N71" s="20" t="n">
        <v>0</v>
      </c>
      <c r="O71" s="18" t="n">
        <v>0</v>
      </c>
      <c r="P71" s="20" t="n">
        <v>0</v>
      </c>
      <c r="Q71" s="18" t="n">
        <v>0.21050077</v>
      </c>
      <c r="R71" s="20" t="n">
        <v>0.10472963</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63.03177843</v>
      </c>
      <c r="F76" s="20" t="n">
        <v>1.24610953</v>
      </c>
      <c r="G76" s="18" t="n">
        <v>29.98761205</v>
      </c>
      <c r="H76" s="20" t="n">
        <v>1.04386796</v>
      </c>
      <c r="I76" s="18" t="n">
        <v>0</v>
      </c>
      <c r="J76" s="20" t="n">
        <v>0</v>
      </c>
      <c r="K76" s="18" t="n">
        <v>4.06497009</v>
      </c>
      <c r="L76" s="20" t="n">
        <v>0.53162035</v>
      </c>
      <c r="M76" s="18" t="n">
        <v>0</v>
      </c>
      <c r="N76" s="20" t="n">
        <v>0</v>
      </c>
      <c r="O76" s="18" t="n">
        <v>0</v>
      </c>
      <c r="P76" s="20" t="n">
        <v>0</v>
      </c>
      <c r="Q76" s="18" t="n">
        <v>2.91563943</v>
      </c>
      <c r="R76" s="20" t="n">
        <v>0.44740611</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53.90764575</v>
      </c>
      <c r="F80" s="20" t="n">
        <v>1.86657173</v>
      </c>
      <c r="G80" s="18" t="n">
        <v>45.70512006</v>
      </c>
      <c r="H80" s="20" t="n">
        <v>1.87828828</v>
      </c>
      <c r="I80" s="18" t="n">
        <v>0</v>
      </c>
      <c r="J80" s="20" t="n">
        <v>0</v>
      </c>
      <c r="K80" s="18" t="n">
        <v>0</v>
      </c>
      <c r="L80" s="20" t="n">
        <v>0</v>
      </c>
      <c r="M80" s="18" t="n">
        <v>0</v>
      </c>
      <c r="N80" s="20" t="n">
        <v>0</v>
      </c>
      <c r="O80" s="18" t="n">
        <v>0</v>
      </c>
      <c r="P80" s="20" t="n">
        <v>0</v>
      </c>
      <c r="Q80" s="18" t="n">
        <v>0.38723419</v>
      </c>
      <c r="R80" s="20" t="n">
        <v>0.17235237</v>
      </c>
    </row>
    <row r="81" spans="1:18">
      <c r="A81" s="15" t="s">
        <v>641</v>
      </c>
      <c r="B81" s="17" t="n">
        <v>1657</v>
      </c>
      <c r="C81" s="18">
        <f>(1093.0/B81*100)</f>
        <v/>
      </c>
      <c r="D81" s="19" t="n">
        <v>564</v>
      </c>
      <c r="E81" s="18" t="n">
        <v>34.40271759</v>
      </c>
      <c r="F81" s="20" t="n">
        <v>2.50896744</v>
      </c>
      <c r="G81" s="18" t="n">
        <v>61.03271989</v>
      </c>
      <c r="H81" s="20" t="n">
        <v>2.76079974</v>
      </c>
      <c r="I81" s="18" t="n">
        <v>0</v>
      </c>
      <c r="J81" s="20" t="n">
        <v>0</v>
      </c>
      <c r="K81" s="18" t="n">
        <v>3.77515851</v>
      </c>
      <c r="L81" s="20" t="n">
        <v>0.73958242</v>
      </c>
      <c r="M81" s="18" t="n">
        <v>0</v>
      </c>
      <c r="N81" s="20" t="n">
        <v>0</v>
      </c>
      <c r="O81" s="18" t="n">
        <v>0</v>
      </c>
      <c r="P81" s="20" t="n">
        <v>0</v>
      </c>
      <c r="Q81" s="18" t="n">
        <v>0.78940401</v>
      </c>
      <c r="R81" s="20" t="n">
        <v>0.37725579</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69.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935</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57.1568969</v>
      </c>
      <c r="F44" s="20" t="n">
        <v>1.45892811</v>
      </c>
      <c r="G44" s="18" t="n">
        <v>33.5973829</v>
      </c>
      <c r="H44" s="20" t="n">
        <v>1.51446912</v>
      </c>
      <c r="I44" s="18" t="n">
        <v>0</v>
      </c>
      <c r="J44" s="20" t="n">
        <v>0</v>
      </c>
      <c r="K44" s="18" t="n">
        <v>3.49555486</v>
      </c>
      <c r="L44" s="20" t="n">
        <v>0.54111848</v>
      </c>
      <c r="M44" s="18" t="n">
        <v>0</v>
      </c>
      <c r="N44" s="20" t="n">
        <v>0</v>
      </c>
      <c r="O44" s="18" t="n">
        <v>0</v>
      </c>
      <c r="P44" s="20" t="n">
        <v>0</v>
      </c>
      <c r="Q44" s="18" t="n">
        <v>5.75016533</v>
      </c>
      <c r="R44" s="20" t="n">
        <v>0.86865223</v>
      </c>
    </row>
    <row r="45" spans="1:18">
      <c r="A45" s="15" t="s">
        <v>604</v>
      </c>
      <c r="B45" s="17" t="n">
        <v>5519</v>
      </c>
      <c r="C45" s="18">
        <f>(3662.0/B45*100)</f>
        <v/>
      </c>
      <c r="D45" s="19" t="n">
        <v>1857</v>
      </c>
      <c r="E45" s="18" t="n">
        <v>65.29663778</v>
      </c>
      <c r="F45" s="20" t="n">
        <v>1.18452591</v>
      </c>
      <c r="G45" s="18" t="n">
        <v>24.4164895</v>
      </c>
      <c r="H45" s="20" t="n">
        <v>1.04409955</v>
      </c>
      <c r="I45" s="18" t="n">
        <v>0</v>
      </c>
      <c r="J45" s="20" t="n">
        <v>0</v>
      </c>
      <c r="K45" s="18" t="n">
        <v>4.26393821</v>
      </c>
      <c r="L45" s="20" t="n">
        <v>0.56992346</v>
      </c>
      <c r="M45" s="18" t="n">
        <v>1.55902066</v>
      </c>
      <c r="N45" s="20" t="n">
        <v>0.32854185</v>
      </c>
      <c r="O45" s="18" t="n">
        <v>0.4610676</v>
      </c>
      <c r="P45" s="20" t="n">
        <v>0.15852367</v>
      </c>
      <c r="Q45" s="18" t="n">
        <v>4.00284624</v>
      </c>
      <c r="R45" s="20" t="n">
        <v>0.53688638</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66.97840042999999</v>
      </c>
      <c r="F54" s="20" t="n">
        <v>1.1222429</v>
      </c>
      <c r="G54" s="18" t="n">
        <v>27.76161783</v>
      </c>
      <c r="H54" s="20" t="n">
        <v>1.04134186</v>
      </c>
      <c r="I54" s="18" t="n">
        <v>0</v>
      </c>
      <c r="J54" s="20" t="n">
        <v>0</v>
      </c>
      <c r="K54" s="18" t="n">
        <v>2.09265329</v>
      </c>
      <c r="L54" s="20" t="n">
        <v>0.37998568</v>
      </c>
      <c r="M54" s="18" t="n">
        <v>0</v>
      </c>
      <c r="N54" s="20" t="n">
        <v>0</v>
      </c>
      <c r="O54" s="18" t="n">
        <v>0.19134425</v>
      </c>
      <c r="P54" s="20" t="n">
        <v>0.09503578999999999</v>
      </c>
      <c r="Q54" s="18" t="n">
        <v>2.9759842</v>
      </c>
      <c r="R54" s="20" t="n">
        <v>0.40716744</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68.91407820000001</v>
      </c>
      <c r="F56" s="20" t="n">
        <v>1.22552227</v>
      </c>
      <c r="G56" s="18" t="n">
        <v>27.63673501</v>
      </c>
      <c r="H56" s="20" t="n">
        <v>1.12348496</v>
      </c>
      <c r="I56" s="18" t="n">
        <v>0</v>
      </c>
      <c r="J56" s="20" t="n">
        <v>0</v>
      </c>
      <c r="K56" s="18" t="n">
        <v>1.97835795</v>
      </c>
      <c r="L56" s="20" t="n">
        <v>0.49458452</v>
      </c>
      <c r="M56" s="18" t="n">
        <v>0.04234911</v>
      </c>
      <c r="N56" s="20" t="n">
        <v>0.04239804</v>
      </c>
      <c r="O56" s="18" t="n">
        <v>0.04511439</v>
      </c>
      <c r="P56" s="20" t="n">
        <v>0.04504834</v>
      </c>
      <c r="Q56" s="18" t="n">
        <v>1.38336533</v>
      </c>
      <c r="R56" s="20" t="n">
        <v>0.29766406</v>
      </c>
    </row>
    <row r="57" spans="1:18">
      <c r="A57" s="15" t="s">
        <v>616</v>
      </c>
      <c r="B57" s="17" t="n">
        <v>7267</v>
      </c>
      <c r="C57" s="18">
        <f>(4852.0/B57*100)</f>
        <v/>
      </c>
      <c r="D57" s="19" t="n">
        <v>2415</v>
      </c>
      <c r="E57" s="18" t="n">
        <v>73.64160219999999</v>
      </c>
      <c r="F57" s="20" t="n">
        <v>1.08443957</v>
      </c>
      <c r="G57" s="18" t="n">
        <v>18.60410757</v>
      </c>
      <c r="H57" s="20" t="n">
        <v>1.06268471</v>
      </c>
      <c r="I57" s="18" t="n">
        <v>0</v>
      </c>
      <c r="J57" s="20" t="n">
        <v>0</v>
      </c>
      <c r="K57" s="18" t="n">
        <v>2.41928773</v>
      </c>
      <c r="L57" s="20" t="n">
        <v>0.36860576</v>
      </c>
      <c r="M57" s="18" t="n">
        <v>0</v>
      </c>
      <c r="N57" s="20" t="n">
        <v>0</v>
      </c>
      <c r="O57" s="18" t="n">
        <v>0.45490882</v>
      </c>
      <c r="P57" s="20" t="n">
        <v>0.16562184</v>
      </c>
      <c r="Q57" s="18" t="n">
        <v>4.88009367</v>
      </c>
      <c r="R57" s="20" t="n">
        <v>0.49094616</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72.85225862999999</v>
      </c>
      <c r="F59" s="20" t="n">
        <v>1.28584957</v>
      </c>
      <c r="G59" s="18" t="n">
        <v>24.93259021</v>
      </c>
      <c r="H59" s="20" t="n">
        <v>1.2664127</v>
      </c>
      <c r="I59" s="18" t="n">
        <v>0</v>
      </c>
      <c r="J59" s="20" t="n">
        <v>0</v>
      </c>
      <c r="K59" s="18" t="n">
        <v>0.67120876</v>
      </c>
      <c r="L59" s="20" t="n">
        <v>0.2423068</v>
      </c>
      <c r="M59" s="18" t="n">
        <v>0.03314005</v>
      </c>
      <c r="N59" s="20" t="n">
        <v>0.03328814</v>
      </c>
      <c r="O59" s="18" t="n">
        <v>0.09345734</v>
      </c>
      <c r="P59" s="20" t="n">
        <v>0.0763609</v>
      </c>
      <c r="Q59" s="18" t="n">
        <v>1.41734502</v>
      </c>
      <c r="R59" s="20" t="n">
        <v>0.34698754</v>
      </c>
    </row>
    <row r="60" spans="1:18">
      <c r="A60" s="15" t="s">
        <v>620</v>
      </c>
      <c r="B60" s="17" t="n">
        <v>4546</v>
      </c>
      <c r="C60" s="18">
        <f>(3036.0/B60*100)</f>
        <v/>
      </c>
      <c r="D60" s="19" t="n">
        <v>1510</v>
      </c>
      <c r="E60" s="18" t="n">
        <v>67.7691177</v>
      </c>
      <c r="F60" s="20" t="n">
        <v>1.56257422</v>
      </c>
      <c r="G60" s="18" t="n">
        <v>22.27448122</v>
      </c>
      <c r="H60" s="20" t="n">
        <v>1.44786667</v>
      </c>
      <c r="I60" s="18" t="n">
        <v>0</v>
      </c>
      <c r="J60" s="20" t="n">
        <v>0</v>
      </c>
      <c r="K60" s="18" t="n">
        <v>5.00389935</v>
      </c>
      <c r="L60" s="20" t="n">
        <v>0.5187067400000001</v>
      </c>
      <c r="M60" s="18" t="n">
        <v>0</v>
      </c>
      <c r="N60" s="20" t="n">
        <v>0</v>
      </c>
      <c r="O60" s="18" t="n">
        <v>0.66378848</v>
      </c>
      <c r="P60" s="20" t="n">
        <v>0.25460029</v>
      </c>
      <c r="Q60" s="18" t="n">
        <v>4.28871324</v>
      </c>
      <c r="R60" s="20" t="n">
        <v>0.72773964</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61.10838056</v>
      </c>
      <c r="F63" s="20" t="n">
        <v>1.31428705</v>
      </c>
      <c r="G63" s="18" t="n">
        <v>30.1718031</v>
      </c>
      <c r="H63" s="20" t="n">
        <v>1.05070654</v>
      </c>
      <c r="I63" s="18" t="n">
        <v>0</v>
      </c>
      <c r="J63" s="20" t="n">
        <v>0</v>
      </c>
      <c r="K63" s="18" t="n">
        <v>3.53738399</v>
      </c>
      <c r="L63" s="20" t="n">
        <v>0.39365911</v>
      </c>
      <c r="M63" s="18" t="n">
        <v>0</v>
      </c>
      <c r="N63" s="20" t="n">
        <v>0</v>
      </c>
      <c r="O63" s="18" t="n">
        <v>0.13914396</v>
      </c>
      <c r="P63" s="20" t="n">
        <v>0.08007702</v>
      </c>
      <c r="Q63" s="18" t="n">
        <v>5.04328839</v>
      </c>
      <c r="R63" s="20" t="n">
        <v>0.59870345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56.37758635</v>
      </c>
      <c r="F65" s="20" t="n">
        <v>1.29549096</v>
      </c>
      <c r="G65" s="18" t="n">
        <v>38.97243315</v>
      </c>
      <c r="H65" s="20" t="n">
        <v>1.23294635</v>
      </c>
      <c r="I65" s="18" t="n">
        <v>0</v>
      </c>
      <c r="J65" s="20" t="n">
        <v>0</v>
      </c>
      <c r="K65" s="18" t="n">
        <v>2.67847448</v>
      </c>
      <c r="L65" s="20" t="n">
        <v>0.44107893</v>
      </c>
      <c r="M65" s="18" t="n">
        <v>0</v>
      </c>
      <c r="N65" s="20" t="n">
        <v>0</v>
      </c>
      <c r="O65" s="18" t="n">
        <v>0.08989025</v>
      </c>
      <c r="P65" s="20" t="n">
        <v>0.09011208</v>
      </c>
      <c r="Q65" s="18" t="n">
        <v>1.88161578</v>
      </c>
      <c r="R65" s="20" t="n">
        <v>0.42715312</v>
      </c>
    </row>
    <row r="66" spans="1:18">
      <c r="A66" s="15" t="s">
        <v>626</v>
      </c>
      <c r="B66" s="17" t="n">
        <v>5325</v>
      </c>
      <c r="C66" s="18">
        <f>(3540.0/B66*100)</f>
        <v/>
      </c>
      <c r="D66" s="19" t="n">
        <v>1785</v>
      </c>
      <c r="E66" s="18" t="n">
        <v>58.42360555</v>
      </c>
      <c r="F66" s="20" t="n">
        <v>1.5083574</v>
      </c>
      <c r="G66" s="18" t="n">
        <v>33.61117029</v>
      </c>
      <c r="H66" s="20" t="n">
        <v>1.56464665</v>
      </c>
      <c r="I66" s="18" t="n">
        <v>0</v>
      </c>
      <c r="J66" s="20" t="n">
        <v>0</v>
      </c>
      <c r="K66" s="18" t="n">
        <v>4.73295936</v>
      </c>
      <c r="L66" s="20" t="n">
        <v>0.55730201</v>
      </c>
      <c r="M66" s="18" t="n">
        <v>0.1798937</v>
      </c>
      <c r="N66" s="20" t="n">
        <v>0.08920678999999999</v>
      </c>
      <c r="O66" s="18" t="n">
        <v>0</v>
      </c>
      <c r="P66" s="20" t="n">
        <v>0</v>
      </c>
      <c r="Q66" s="18" t="n">
        <v>3.05237109</v>
      </c>
      <c r="R66" s="20" t="n">
        <v>0.48106782</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74.01713217</v>
      </c>
      <c r="F69" s="20" t="n">
        <v>3.10168368</v>
      </c>
      <c r="G69" s="18" t="n">
        <v>24.80651804</v>
      </c>
      <c r="H69" s="20" t="n">
        <v>3.10440214</v>
      </c>
      <c r="I69" s="18" t="n">
        <v>0</v>
      </c>
      <c r="J69" s="20" t="n">
        <v>0</v>
      </c>
      <c r="K69" s="18" t="n">
        <v>0.57158024</v>
      </c>
      <c r="L69" s="20" t="n">
        <v>0.33215206</v>
      </c>
      <c r="M69" s="18" t="n">
        <v>0</v>
      </c>
      <c r="N69" s="20" t="n">
        <v>0</v>
      </c>
      <c r="O69" s="18" t="n">
        <v>0</v>
      </c>
      <c r="P69" s="20" t="n">
        <v>0</v>
      </c>
      <c r="Q69" s="18" t="n">
        <v>0.60476955</v>
      </c>
      <c r="R69" s="20" t="n">
        <v>0.33810763</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(3237.0/B71*100)</f>
        <v/>
      </c>
      <c r="D71" s="19" t="n">
        <v>1639</v>
      </c>
      <c r="E71" s="18" t="n">
        <v>68.87485629</v>
      </c>
      <c r="F71" s="20" t="n">
        <v>1.38391398</v>
      </c>
      <c r="G71" s="18" t="n">
        <v>30.77299514</v>
      </c>
      <c r="H71" s="20" t="n">
        <v>1.37636951</v>
      </c>
      <c r="I71" s="18" t="n">
        <v>0</v>
      </c>
      <c r="J71" s="20" t="n">
        <v>0</v>
      </c>
      <c r="K71" s="18" t="n">
        <v>0</v>
      </c>
      <c r="L71" s="20" t="n">
        <v>0</v>
      </c>
      <c r="M71" s="18" t="n">
        <v>0</v>
      </c>
      <c r="N71" s="20" t="n">
        <v>0</v>
      </c>
      <c r="O71" s="18" t="n">
        <v>0</v>
      </c>
      <c r="P71" s="20" t="n">
        <v>0</v>
      </c>
      <c r="Q71" s="18" t="n">
        <v>0.35214857</v>
      </c>
      <c r="R71" s="20" t="n">
        <v>0.14322768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65.59485902999999</v>
      </c>
      <c r="F76" s="20" t="n">
        <v>1.32866877</v>
      </c>
      <c r="G76" s="18" t="n">
        <v>25.5796708</v>
      </c>
      <c r="H76" s="20" t="n">
        <v>1.16254581</v>
      </c>
      <c r="I76" s="18" t="n">
        <v>0</v>
      </c>
      <c r="J76" s="20" t="n">
        <v>0</v>
      </c>
      <c r="K76" s="18" t="n">
        <v>5.45530595</v>
      </c>
      <c r="L76" s="20" t="n">
        <v>0.59791608</v>
      </c>
      <c r="M76" s="18" t="n">
        <v>0</v>
      </c>
      <c r="N76" s="20" t="n">
        <v>0</v>
      </c>
      <c r="O76" s="18" t="n">
        <v>0</v>
      </c>
      <c r="P76" s="20" t="n">
        <v>0</v>
      </c>
      <c r="Q76" s="18" t="n">
        <v>3.37016422</v>
      </c>
      <c r="R76" s="20" t="n">
        <v>0.49521168</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28.53386829</v>
      </c>
      <c r="F80" s="20" t="n">
        <v>1.31413905</v>
      </c>
      <c r="G80" s="18" t="n">
        <v>71.46613171</v>
      </c>
      <c r="H80" s="20" t="n">
        <v>1.31413905</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(1093.0/B81*100)</f>
        <v/>
      </c>
      <c r="D81" s="19" t="n">
        <v>564</v>
      </c>
      <c r="E81" s="18" t="n">
        <v>52.87825083</v>
      </c>
      <c r="F81" s="20" t="n">
        <v>2.3028784</v>
      </c>
      <c r="G81" s="18" t="n">
        <v>38.57261054</v>
      </c>
      <c r="H81" s="20" t="n">
        <v>2.465485</v>
      </c>
      <c r="I81" s="18" t="n">
        <v>0</v>
      </c>
      <c r="J81" s="20" t="n">
        <v>0</v>
      </c>
      <c r="K81" s="18" t="n">
        <v>4.67426639</v>
      </c>
      <c r="L81" s="20" t="n">
        <v>0.99067934</v>
      </c>
      <c r="M81" s="18" t="n">
        <v>0.20701323</v>
      </c>
      <c r="N81" s="20" t="n">
        <v>0.19239477</v>
      </c>
      <c r="O81" s="18" t="n">
        <v>0</v>
      </c>
      <c r="P81" s="20" t="n">
        <v>0</v>
      </c>
      <c r="Q81" s="18" t="n">
        <v>3.667859</v>
      </c>
      <c r="R81" s="20" t="n">
        <v>0.77420913</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0.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936</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33.63918089</v>
      </c>
      <c r="F44" s="20" t="n">
        <v>1.48539774</v>
      </c>
      <c r="G44" s="18" t="n">
        <v>58.03727514</v>
      </c>
      <c r="H44" s="20" t="n">
        <v>1.64139967</v>
      </c>
      <c r="I44" s="18" t="n">
        <v>0</v>
      </c>
      <c r="J44" s="20" t="n">
        <v>0</v>
      </c>
      <c r="K44" s="18" t="n">
        <v>3.62171254</v>
      </c>
      <c r="L44" s="20" t="n">
        <v>0.54618826</v>
      </c>
      <c r="M44" s="18" t="n">
        <v>0</v>
      </c>
      <c r="N44" s="20" t="n">
        <v>0</v>
      </c>
      <c r="O44" s="18" t="n">
        <v>0</v>
      </c>
      <c r="P44" s="20" t="n">
        <v>0</v>
      </c>
      <c r="Q44" s="18" t="n">
        <v>4.70183143</v>
      </c>
      <c r="R44" s="20" t="n">
        <v>0.69902877</v>
      </c>
    </row>
    <row r="45" spans="1:18">
      <c r="A45" s="15" t="s">
        <v>604</v>
      </c>
      <c r="B45" s="17" t="n">
        <v>5519</v>
      </c>
      <c r="C45" s="18">
        <f>(3662.0/B45*100)</f>
        <v/>
      </c>
      <c r="D45" s="19" t="n">
        <v>1857</v>
      </c>
      <c r="E45" s="18" t="n">
        <v>41.35130467</v>
      </c>
      <c r="F45" s="20" t="n">
        <v>1.45126358</v>
      </c>
      <c r="G45" s="18" t="n">
        <v>47.96788215</v>
      </c>
      <c r="H45" s="20" t="n">
        <v>1.18775332</v>
      </c>
      <c r="I45" s="18" t="n">
        <v>0</v>
      </c>
      <c r="J45" s="20" t="n">
        <v>0</v>
      </c>
      <c r="K45" s="18" t="n">
        <v>4.31211765</v>
      </c>
      <c r="L45" s="20" t="n">
        <v>0.57308078</v>
      </c>
      <c r="M45" s="18" t="n">
        <v>1.42636136</v>
      </c>
      <c r="N45" s="20" t="n">
        <v>0.25200035</v>
      </c>
      <c r="O45" s="18" t="n">
        <v>2.12297654</v>
      </c>
      <c r="P45" s="20" t="n">
        <v>0.45963714</v>
      </c>
      <c r="Q45" s="18" t="n">
        <v>2.81935763</v>
      </c>
      <c r="R45" s="20" t="n">
        <v>0.47798276</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39.89155208</v>
      </c>
      <c r="F54" s="20" t="n">
        <v>1.31888977</v>
      </c>
      <c r="G54" s="18" t="n">
        <v>55.87735391</v>
      </c>
      <c r="H54" s="20" t="n">
        <v>1.38265954</v>
      </c>
      <c r="I54" s="18" t="n">
        <v>0</v>
      </c>
      <c r="J54" s="20" t="n">
        <v>0</v>
      </c>
      <c r="K54" s="18" t="n">
        <v>2.24043195</v>
      </c>
      <c r="L54" s="20" t="n">
        <v>0.39463559</v>
      </c>
      <c r="M54" s="18" t="n">
        <v>0</v>
      </c>
      <c r="N54" s="20" t="n">
        <v>0</v>
      </c>
      <c r="O54" s="18" t="n">
        <v>0.10353081</v>
      </c>
      <c r="P54" s="20" t="n">
        <v>0.07225690999999999</v>
      </c>
      <c r="Q54" s="18" t="n">
        <v>1.88713125</v>
      </c>
      <c r="R54" s="20" t="n">
        <v>0.35230122</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24.30174048</v>
      </c>
      <c r="F56" s="20" t="n">
        <v>0.95772611</v>
      </c>
      <c r="G56" s="18" t="n">
        <v>72.43884937999999</v>
      </c>
      <c r="H56" s="20" t="n">
        <v>1.06382873</v>
      </c>
      <c r="I56" s="18" t="n">
        <v>0</v>
      </c>
      <c r="J56" s="20" t="n">
        <v>0</v>
      </c>
      <c r="K56" s="18" t="n">
        <v>2.01206325</v>
      </c>
      <c r="L56" s="20" t="n">
        <v>0.49588317</v>
      </c>
      <c r="M56" s="18" t="n">
        <v>0.04234911</v>
      </c>
      <c r="N56" s="20" t="n">
        <v>0.04239804</v>
      </c>
      <c r="O56" s="18" t="n">
        <v>0</v>
      </c>
      <c r="P56" s="20" t="n">
        <v>0</v>
      </c>
      <c r="Q56" s="18" t="n">
        <v>1.20499778</v>
      </c>
      <c r="R56" s="20" t="n">
        <v>0.28971112</v>
      </c>
    </row>
    <row r="57" spans="1:18">
      <c r="A57" s="15" t="s">
        <v>616</v>
      </c>
      <c r="B57" s="17" t="n">
        <v>7267</v>
      </c>
      <c r="C57" s="18">
        <f>(4852.0/B57*100)</f>
        <v/>
      </c>
      <c r="D57" s="19" t="n">
        <v>2415</v>
      </c>
      <c r="E57" s="18" t="n">
        <v>32.93679195</v>
      </c>
      <c r="F57" s="20" t="n">
        <v>1.30109953</v>
      </c>
      <c r="G57" s="18" t="n">
        <v>61.64478163</v>
      </c>
      <c r="H57" s="20" t="n">
        <v>1.41027688</v>
      </c>
      <c r="I57" s="18" t="n">
        <v>0</v>
      </c>
      <c r="J57" s="20" t="n">
        <v>0</v>
      </c>
      <c r="K57" s="18" t="n">
        <v>2.41928773</v>
      </c>
      <c r="L57" s="20" t="n">
        <v>0.36860576</v>
      </c>
      <c r="M57" s="18" t="n">
        <v>0</v>
      </c>
      <c r="N57" s="20" t="n">
        <v>0</v>
      </c>
      <c r="O57" s="18" t="n">
        <v>0.22722718</v>
      </c>
      <c r="P57" s="20" t="n">
        <v>0.11463658</v>
      </c>
      <c r="Q57" s="18" t="n">
        <v>2.7719115</v>
      </c>
      <c r="R57" s="20" t="n">
        <v>0.37453645</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32.28198057</v>
      </c>
      <c r="F59" s="20" t="n">
        <v>1.39492836</v>
      </c>
      <c r="G59" s="18" t="n">
        <v>65.68477312</v>
      </c>
      <c r="H59" s="20" t="n">
        <v>1.47113657</v>
      </c>
      <c r="I59" s="18" t="n">
        <v>0</v>
      </c>
      <c r="J59" s="20" t="n">
        <v>0</v>
      </c>
      <c r="K59" s="18" t="n">
        <v>0.7396374999999999</v>
      </c>
      <c r="L59" s="20" t="n">
        <v>0.24740281</v>
      </c>
      <c r="M59" s="18" t="n">
        <v>0</v>
      </c>
      <c r="N59" s="20" t="n">
        <v>0</v>
      </c>
      <c r="O59" s="18" t="n">
        <v>0.42131576</v>
      </c>
      <c r="P59" s="20" t="n">
        <v>0.18635738</v>
      </c>
      <c r="Q59" s="18" t="n">
        <v>0.87229306</v>
      </c>
      <c r="R59" s="20" t="n">
        <v>0.25713073</v>
      </c>
    </row>
    <row r="60" spans="1:18">
      <c r="A60" s="15" t="s">
        <v>620</v>
      </c>
      <c r="B60" s="17" t="n">
        <v>4546</v>
      </c>
      <c r="C60" s="18">
        <f>(3036.0/B60*100)</f>
        <v/>
      </c>
      <c r="D60" s="19" t="n">
        <v>1510</v>
      </c>
      <c r="E60" s="18" t="n">
        <v>31.7902115</v>
      </c>
      <c r="F60" s="20" t="n">
        <v>1.22796095</v>
      </c>
      <c r="G60" s="18" t="n">
        <v>59.11351763</v>
      </c>
      <c r="H60" s="20" t="n">
        <v>1.49565191</v>
      </c>
      <c r="I60" s="18" t="n">
        <v>0</v>
      </c>
      <c r="J60" s="20" t="n">
        <v>0</v>
      </c>
      <c r="K60" s="18" t="n">
        <v>5.44283673</v>
      </c>
      <c r="L60" s="20" t="n">
        <v>0.55383746</v>
      </c>
      <c r="M60" s="18" t="n">
        <v>0</v>
      </c>
      <c r="N60" s="20" t="n">
        <v>0</v>
      </c>
      <c r="O60" s="18" t="n">
        <v>0.87342434</v>
      </c>
      <c r="P60" s="20" t="n">
        <v>0.29254497</v>
      </c>
      <c r="Q60" s="18" t="n">
        <v>2.7800098</v>
      </c>
      <c r="R60" s="20" t="n">
        <v>0.58267719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38.29932684</v>
      </c>
      <c r="F63" s="20" t="n">
        <v>1.36896061</v>
      </c>
      <c r="G63" s="18" t="n">
        <v>54.69520705</v>
      </c>
      <c r="H63" s="20" t="n">
        <v>1.44138723</v>
      </c>
      <c r="I63" s="18" t="n">
        <v>0</v>
      </c>
      <c r="J63" s="20" t="n">
        <v>0</v>
      </c>
      <c r="K63" s="18" t="n">
        <v>3.76065598</v>
      </c>
      <c r="L63" s="20" t="n">
        <v>0.40951315</v>
      </c>
      <c r="M63" s="18" t="n">
        <v>0</v>
      </c>
      <c r="N63" s="20" t="n">
        <v>0</v>
      </c>
      <c r="O63" s="18" t="n">
        <v>0</v>
      </c>
      <c r="P63" s="20" t="n">
        <v>0</v>
      </c>
      <c r="Q63" s="18" t="n">
        <v>3.24481013</v>
      </c>
      <c r="R63" s="20" t="n">
        <v>0.45006825</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39.08257938</v>
      </c>
      <c r="F65" s="20" t="n">
        <v>1.37893886</v>
      </c>
      <c r="G65" s="18" t="n">
        <v>57.11971091</v>
      </c>
      <c r="H65" s="20" t="n">
        <v>1.32420486</v>
      </c>
      <c r="I65" s="18" t="n">
        <v>0</v>
      </c>
      <c r="J65" s="20" t="n">
        <v>0</v>
      </c>
      <c r="K65" s="18" t="n">
        <v>2.67847448</v>
      </c>
      <c r="L65" s="20" t="n">
        <v>0.44107893</v>
      </c>
      <c r="M65" s="18" t="n">
        <v>0</v>
      </c>
      <c r="N65" s="20" t="n">
        <v>0</v>
      </c>
      <c r="O65" s="18" t="n">
        <v>0</v>
      </c>
      <c r="P65" s="20" t="n">
        <v>0</v>
      </c>
      <c r="Q65" s="18" t="n">
        <v>1.11923523</v>
      </c>
      <c r="R65" s="20" t="n">
        <v>0.29679265</v>
      </c>
    </row>
    <row r="66" spans="1:18">
      <c r="A66" s="15" t="s">
        <v>626</v>
      </c>
      <c r="B66" s="17" t="n">
        <v>5325</v>
      </c>
      <c r="C66" s="18">
        <f>(3540.0/B66*100)</f>
        <v/>
      </c>
      <c r="D66" s="19" t="n">
        <v>1785</v>
      </c>
      <c r="E66" s="18" t="n">
        <v>27.00302941</v>
      </c>
      <c r="F66" s="20" t="n">
        <v>1.0550674</v>
      </c>
      <c r="G66" s="18" t="n">
        <v>65.19068253</v>
      </c>
      <c r="H66" s="20" t="n">
        <v>1.21819753</v>
      </c>
      <c r="I66" s="18" t="n">
        <v>0</v>
      </c>
      <c r="J66" s="20" t="n">
        <v>0</v>
      </c>
      <c r="K66" s="18" t="n">
        <v>5.1517475</v>
      </c>
      <c r="L66" s="20" t="n">
        <v>0.54365782</v>
      </c>
      <c r="M66" s="18" t="n">
        <v>0.23406495</v>
      </c>
      <c r="N66" s="20" t="n">
        <v>0.12086961</v>
      </c>
      <c r="O66" s="18" t="n">
        <v>0</v>
      </c>
      <c r="P66" s="20" t="n">
        <v>0</v>
      </c>
      <c r="Q66" s="18" t="n">
        <v>2.42047561</v>
      </c>
      <c r="R66" s="20" t="n">
        <v>0.38995555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45.79831079</v>
      </c>
      <c r="F69" s="20" t="n">
        <v>1.94413792</v>
      </c>
      <c r="G69" s="18" t="n">
        <v>52.66438505</v>
      </c>
      <c r="H69" s="20" t="n">
        <v>1.99342276</v>
      </c>
      <c r="I69" s="18" t="n">
        <v>0</v>
      </c>
      <c r="J69" s="20" t="n">
        <v>0</v>
      </c>
      <c r="K69" s="18" t="n">
        <v>0.57158024</v>
      </c>
      <c r="L69" s="20" t="n">
        <v>0.33215206</v>
      </c>
      <c r="M69" s="18" t="n">
        <v>0</v>
      </c>
      <c r="N69" s="20" t="n">
        <v>0</v>
      </c>
      <c r="O69" s="18" t="n">
        <v>0.34430681</v>
      </c>
      <c r="P69" s="20" t="n">
        <v>0.25185246</v>
      </c>
      <c r="Q69" s="18" t="n">
        <v>0.62141711</v>
      </c>
      <c r="R69" s="20" t="n">
        <v>0.35004033</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(3237.0/B71*100)</f>
        <v/>
      </c>
      <c r="D71" s="19" t="n">
        <v>1639</v>
      </c>
      <c r="E71" s="18" t="n">
        <v>37.2303796</v>
      </c>
      <c r="F71" s="20" t="n">
        <v>1.18452698</v>
      </c>
      <c r="G71" s="18" t="n">
        <v>62.71054445</v>
      </c>
      <c r="H71" s="20" t="n">
        <v>1.18130408</v>
      </c>
      <c r="I71" s="18" t="n">
        <v>0</v>
      </c>
      <c r="J71" s="20" t="n">
        <v>0</v>
      </c>
      <c r="K71" s="18" t="n">
        <v>0</v>
      </c>
      <c r="L71" s="20" t="n">
        <v>0</v>
      </c>
      <c r="M71" s="18" t="n">
        <v>0</v>
      </c>
      <c r="N71" s="20" t="n">
        <v>0</v>
      </c>
      <c r="O71" s="18" t="n">
        <v>0</v>
      </c>
      <c r="P71" s="20" t="n">
        <v>0</v>
      </c>
      <c r="Q71" s="18" t="n">
        <v>0.05907595</v>
      </c>
      <c r="R71" s="20" t="n">
        <v>0.05872448</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31.22858819</v>
      </c>
      <c r="F76" s="20" t="n">
        <v>1.29131443</v>
      </c>
      <c r="G76" s="18" t="n">
        <v>61.1907465</v>
      </c>
      <c r="H76" s="20" t="n">
        <v>1.24357265</v>
      </c>
      <c r="I76" s="18" t="n">
        <v>0</v>
      </c>
      <c r="J76" s="20" t="n">
        <v>0</v>
      </c>
      <c r="K76" s="18" t="n">
        <v>5.84107464</v>
      </c>
      <c r="L76" s="20" t="n">
        <v>0.60926751</v>
      </c>
      <c r="M76" s="18" t="n">
        <v>0</v>
      </c>
      <c r="N76" s="20" t="n">
        <v>0</v>
      </c>
      <c r="O76" s="18" t="n">
        <v>0</v>
      </c>
      <c r="P76" s="20" t="n">
        <v>0</v>
      </c>
      <c r="Q76" s="18" t="n">
        <v>1.73959068</v>
      </c>
      <c r="R76" s="20" t="n">
        <v>0.30654548</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13.32037038</v>
      </c>
      <c r="F80" s="20" t="n">
        <v>0.82515334</v>
      </c>
      <c r="G80" s="18" t="n">
        <v>86.67962962</v>
      </c>
      <c r="H80" s="20" t="n">
        <v>0.82515334</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(1093.0/B81*100)</f>
        <v/>
      </c>
      <c r="D81" s="19" t="n">
        <v>564</v>
      </c>
      <c r="E81" s="18" t="n">
        <v>32.58464375</v>
      </c>
      <c r="F81" s="20" t="n">
        <v>2.2959592</v>
      </c>
      <c r="G81" s="18" t="n">
        <v>59.94742768</v>
      </c>
      <c r="H81" s="20" t="n">
        <v>2.2024767</v>
      </c>
      <c r="I81" s="18" t="n">
        <v>0</v>
      </c>
      <c r="J81" s="20" t="n">
        <v>0</v>
      </c>
      <c r="K81" s="18" t="n">
        <v>4.89656895</v>
      </c>
      <c r="L81" s="20" t="n">
        <v>0.98885534</v>
      </c>
      <c r="M81" s="18" t="n">
        <v>0.20701323</v>
      </c>
      <c r="N81" s="20" t="n">
        <v>0.19239477</v>
      </c>
      <c r="O81" s="18" t="n">
        <v>0</v>
      </c>
      <c r="P81" s="20" t="n">
        <v>0</v>
      </c>
      <c r="Q81" s="18" t="n">
        <v>2.3643464</v>
      </c>
      <c r="R81" s="20" t="n">
        <v>0.61500582</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1.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937</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57.60928246</v>
      </c>
      <c r="F44" s="20" t="n">
        <v>1.55069925</v>
      </c>
      <c r="G44" s="18" t="n">
        <v>34.80097368</v>
      </c>
      <c r="H44" s="20" t="n">
        <v>1.39264695</v>
      </c>
      <c r="I44" s="18" t="n">
        <v>0</v>
      </c>
      <c r="J44" s="20" t="n">
        <v>0</v>
      </c>
      <c r="K44" s="18" t="n">
        <v>4.61206233</v>
      </c>
      <c r="L44" s="20" t="n">
        <v>0.61620579</v>
      </c>
      <c r="M44" s="18" t="n">
        <v>0</v>
      </c>
      <c r="N44" s="20" t="n">
        <v>0</v>
      </c>
      <c r="O44" s="18" t="n">
        <v>0</v>
      </c>
      <c r="P44" s="20" t="n">
        <v>0</v>
      </c>
      <c r="Q44" s="18" t="n">
        <v>2.97768154</v>
      </c>
      <c r="R44" s="20" t="n">
        <v>0.64338989</v>
      </c>
    </row>
    <row r="45" spans="1:18">
      <c r="A45" s="15" t="s">
        <v>604</v>
      </c>
      <c r="B45" s="17" t="n">
        <v>5519</v>
      </c>
      <c r="C45" s="18">
        <f>(3662.0/B45*100)</f>
        <v/>
      </c>
      <c r="D45" s="19" t="n">
        <v>1857</v>
      </c>
      <c r="E45" s="18" t="n">
        <v>54.05973775</v>
      </c>
      <c r="F45" s="20" t="n">
        <v>1.36439612</v>
      </c>
      <c r="G45" s="18" t="n">
        <v>38.59062886</v>
      </c>
      <c r="H45" s="20" t="n">
        <v>1.32678225</v>
      </c>
      <c r="I45" s="18" t="n">
        <v>0</v>
      </c>
      <c r="J45" s="20" t="n">
        <v>0</v>
      </c>
      <c r="K45" s="18" t="n">
        <v>4.73747657</v>
      </c>
      <c r="L45" s="20" t="n">
        <v>0.59793115</v>
      </c>
      <c r="M45" s="18" t="n">
        <v>1.21053558</v>
      </c>
      <c r="N45" s="20" t="n">
        <v>0.24977715</v>
      </c>
      <c r="O45" s="18" t="n">
        <v>0.04774609</v>
      </c>
      <c r="P45" s="20" t="n">
        <v>0.04842732</v>
      </c>
      <c r="Q45" s="18" t="n">
        <v>1.35387515</v>
      </c>
      <c r="R45" s="20" t="n">
        <v>0.27939987</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57.56290929</v>
      </c>
      <c r="F54" s="20" t="n">
        <v>1.34527921</v>
      </c>
      <c r="G54" s="18" t="n">
        <v>38.34415982</v>
      </c>
      <c r="H54" s="20" t="n">
        <v>1.27823672</v>
      </c>
      <c r="I54" s="18" t="n">
        <v>0</v>
      </c>
      <c r="J54" s="20" t="n">
        <v>0</v>
      </c>
      <c r="K54" s="18" t="n">
        <v>2.70553182</v>
      </c>
      <c r="L54" s="20" t="n">
        <v>0.44651026</v>
      </c>
      <c r="M54" s="18" t="n">
        <v>0</v>
      </c>
      <c r="N54" s="20" t="n">
        <v>0</v>
      </c>
      <c r="O54" s="18" t="n">
        <v>0.05348781</v>
      </c>
      <c r="P54" s="20" t="n">
        <v>0.05500449</v>
      </c>
      <c r="Q54" s="18" t="n">
        <v>1.33391127</v>
      </c>
      <c r="R54" s="20" t="n">
        <v>0.31145415</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60.50197673</v>
      </c>
      <c r="F56" s="20" t="n">
        <v>1.27209921</v>
      </c>
      <c r="G56" s="18" t="n">
        <v>35.69270965</v>
      </c>
      <c r="H56" s="20" t="n">
        <v>1.18380924</v>
      </c>
      <c r="I56" s="18" t="n">
        <v>0</v>
      </c>
      <c r="J56" s="20" t="n">
        <v>0</v>
      </c>
      <c r="K56" s="18" t="n">
        <v>2.25672193</v>
      </c>
      <c r="L56" s="20" t="n">
        <v>0.56990374</v>
      </c>
      <c r="M56" s="18" t="n">
        <v>0.04234911</v>
      </c>
      <c r="N56" s="20" t="n">
        <v>0.04239804</v>
      </c>
      <c r="O56" s="18" t="n">
        <v>0</v>
      </c>
      <c r="P56" s="20" t="n">
        <v>0</v>
      </c>
      <c r="Q56" s="18" t="n">
        <v>1.50624259</v>
      </c>
      <c r="R56" s="20" t="n">
        <v>0.29521756</v>
      </c>
    </row>
    <row r="57" spans="1:18">
      <c r="A57" s="15" t="s">
        <v>616</v>
      </c>
      <c r="B57" s="17" t="n">
        <v>7267</v>
      </c>
      <c r="C57" s="18">
        <f>(4852.0/B57*100)</f>
        <v/>
      </c>
      <c r="D57" s="19" t="n">
        <v>2415</v>
      </c>
      <c r="E57" s="18" t="n">
        <v>62.14470875</v>
      </c>
      <c r="F57" s="20" t="n">
        <v>1.33940522</v>
      </c>
      <c r="G57" s="18" t="n">
        <v>33.59280089</v>
      </c>
      <c r="H57" s="20" t="n">
        <v>1.28318344</v>
      </c>
      <c r="I57" s="18" t="n">
        <v>0</v>
      </c>
      <c r="J57" s="20" t="n">
        <v>0</v>
      </c>
      <c r="K57" s="18" t="n">
        <v>2.67726035</v>
      </c>
      <c r="L57" s="20" t="n">
        <v>0.37573791</v>
      </c>
      <c r="M57" s="18" t="n">
        <v>0</v>
      </c>
      <c r="N57" s="20" t="n">
        <v>0</v>
      </c>
      <c r="O57" s="18" t="n">
        <v>0.0824611</v>
      </c>
      <c r="P57" s="20" t="n">
        <v>0.06981078</v>
      </c>
      <c r="Q57" s="18" t="n">
        <v>1.50276892</v>
      </c>
      <c r="R57" s="20" t="n">
        <v>0.28762032</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72.42558442000001</v>
      </c>
      <c r="F59" s="20" t="n">
        <v>1.3221025</v>
      </c>
      <c r="G59" s="18" t="n">
        <v>25.54590203</v>
      </c>
      <c r="H59" s="20" t="n">
        <v>1.31530102</v>
      </c>
      <c r="I59" s="18" t="n">
        <v>0</v>
      </c>
      <c r="J59" s="20" t="n">
        <v>0</v>
      </c>
      <c r="K59" s="18" t="n">
        <v>1.00526193</v>
      </c>
      <c r="L59" s="20" t="n">
        <v>0.32030657</v>
      </c>
      <c r="M59" s="18" t="n">
        <v>0</v>
      </c>
      <c r="N59" s="20" t="n">
        <v>0</v>
      </c>
      <c r="O59" s="18" t="n">
        <v>0.15465749</v>
      </c>
      <c r="P59" s="20" t="n">
        <v>0.11009277</v>
      </c>
      <c r="Q59" s="18" t="n">
        <v>0.86859413</v>
      </c>
      <c r="R59" s="20" t="n">
        <v>0.23599267</v>
      </c>
    </row>
    <row r="60" spans="1:18">
      <c r="A60" s="15" t="s">
        <v>620</v>
      </c>
      <c r="B60" s="17" t="n">
        <v>4546</v>
      </c>
      <c r="C60" s="18">
        <f>(3036.0/B60*100)</f>
        <v/>
      </c>
      <c r="D60" s="19" t="n">
        <v>1510</v>
      </c>
      <c r="E60" s="18" t="n">
        <v>57.66980894</v>
      </c>
      <c r="F60" s="20" t="n">
        <v>1.32247777</v>
      </c>
      <c r="G60" s="18" t="n">
        <v>33.00681765</v>
      </c>
      <c r="H60" s="20" t="n">
        <v>1.50553828</v>
      </c>
      <c r="I60" s="18" t="n">
        <v>0</v>
      </c>
      <c r="J60" s="20" t="n">
        <v>0</v>
      </c>
      <c r="K60" s="18" t="n">
        <v>6.19617792</v>
      </c>
      <c r="L60" s="20" t="n">
        <v>0.5586673599999999</v>
      </c>
      <c r="M60" s="18" t="n">
        <v>0</v>
      </c>
      <c r="N60" s="20" t="n">
        <v>0</v>
      </c>
      <c r="O60" s="18" t="n">
        <v>0.08543574</v>
      </c>
      <c r="P60" s="20" t="n">
        <v>0.08534057</v>
      </c>
      <c r="Q60" s="18" t="n">
        <v>3.04175975</v>
      </c>
      <c r="R60" s="20" t="n">
        <v>0.52941069</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60.23474482</v>
      </c>
      <c r="F63" s="20" t="n">
        <v>1.37525875</v>
      </c>
      <c r="G63" s="18" t="n">
        <v>32.7424916</v>
      </c>
      <c r="H63" s="20" t="n">
        <v>1.33286542</v>
      </c>
      <c r="I63" s="18" t="n">
        <v>0</v>
      </c>
      <c r="J63" s="20" t="n">
        <v>0</v>
      </c>
      <c r="K63" s="18" t="n">
        <v>5.15553224</v>
      </c>
      <c r="L63" s="20" t="n">
        <v>0.4987767</v>
      </c>
      <c r="M63" s="18" t="n">
        <v>0</v>
      </c>
      <c r="N63" s="20" t="n">
        <v>0</v>
      </c>
      <c r="O63" s="18" t="n">
        <v>0</v>
      </c>
      <c r="P63" s="20" t="n">
        <v>0</v>
      </c>
      <c r="Q63" s="18" t="n">
        <v>1.86723133</v>
      </c>
      <c r="R63" s="20" t="n">
        <v>0.3328534</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46.11182813</v>
      </c>
      <c r="F65" s="20" t="n">
        <v>1.25339616</v>
      </c>
      <c r="G65" s="18" t="n">
        <v>50.22608782</v>
      </c>
      <c r="H65" s="20" t="n">
        <v>1.33938041</v>
      </c>
      <c r="I65" s="18" t="n">
        <v>0</v>
      </c>
      <c r="J65" s="20" t="n">
        <v>0</v>
      </c>
      <c r="K65" s="18" t="n">
        <v>2.85501763</v>
      </c>
      <c r="L65" s="20" t="n">
        <v>0.47070087</v>
      </c>
      <c r="M65" s="18" t="n">
        <v>0.08033625</v>
      </c>
      <c r="N65" s="20" t="n">
        <v>0.08066914</v>
      </c>
      <c r="O65" s="18" t="n">
        <v>0</v>
      </c>
      <c r="P65" s="20" t="n">
        <v>0</v>
      </c>
      <c r="Q65" s="18" t="n">
        <v>0.72673016</v>
      </c>
      <c r="R65" s="20" t="n">
        <v>0.24164443</v>
      </c>
    </row>
    <row r="66" spans="1:18">
      <c r="A66" s="15" t="s">
        <v>626</v>
      </c>
      <c r="B66" s="17" t="n">
        <v>5325</v>
      </c>
      <c r="C66" s="18">
        <f>(3540.0/B66*100)</f>
        <v/>
      </c>
      <c r="D66" s="19" t="n">
        <v>1785</v>
      </c>
      <c r="E66" s="18" t="n">
        <v>46.62306233</v>
      </c>
      <c r="F66" s="20" t="n">
        <v>1.33370773</v>
      </c>
      <c r="G66" s="18" t="n">
        <v>45.7019137</v>
      </c>
      <c r="H66" s="20" t="n">
        <v>1.41994579</v>
      </c>
      <c r="I66" s="18" t="n">
        <v>0</v>
      </c>
      <c r="J66" s="20" t="n">
        <v>0</v>
      </c>
      <c r="K66" s="18" t="n">
        <v>5.62276362</v>
      </c>
      <c r="L66" s="20" t="n">
        <v>0.52676388</v>
      </c>
      <c r="M66" s="18" t="n">
        <v>0</v>
      </c>
      <c r="N66" s="20" t="n">
        <v>0</v>
      </c>
      <c r="O66" s="18" t="n">
        <v>0</v>
      </c>
      <c r="P66" s="20" t="n">
        <v>0</v>
      </c>
      <c r="Q66" s="18" t="n">
        <v>2.05226034</v>
      </c>
      <c r="R66" s="20" t="n">
        <v>0.35772395</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52.41473357</v>
      </c>
      <c r="F69" s="20" t="n">
        <v>2.83624304</v>
      </c>
      <c r="G69" s="18" t="n">
        <v>46.44766914</v>
      </c>
      <c r="H69" s="20" t="n">
        <v>2.83852684</v>
      </c>
      <c r="I69" s="18" t="n">
        <v>0</v>
      </c>
      <c r="J69" s="20" t="n">
        <v>0</v>
      </c>
      <c r="K69" s="18" t="n">
        <v>0.90184155</v>
      </c>
      <c r="L69" s="20" t="n">
        <v>0.33590733</v>
      </c>
      <c r="M69" s="18" t="n">
        <v>0</v>
      </c>
      <c r="N69" s="20" t="n">
        <v>0</v>
      </c>
      <c r="O69" s="18" t="n">
        <v>0</v>
      </c>
      <c r="P69" s="20" t="n">
        <v>0</v>
      </c>
      <c r="Q69" s="18" t="n">
        <v>0.23575574</v>
      </c>
      <c r="R69" s="20" t="n">
        <v>0.22907815</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(3237.0/B71*100)</f>
        <v/>
      </c>
      <c r="D71" s="19" t="n">
        <v>1639</v>
      </c>
      <c r="E71" s="18" t="n">
        <v>51.78227446</v>
      </c>
      <c r="F71" s="20" t="n">
        <v>1.5757067</v>
      </c>
      <c r="G71" s="18" t="n">
        <v>48.07843067</v>
      </c>
      <c r="H71" s="20" t="n">
        <v>1.57943372</v>
      </c>
      <c r="I71" s="18" t="n">
        <v>0</v>
      </c>
      <c r="J71" s="20" t="n">
        <v>0</v>
      </c>
      <c r="K71" s="18" t="n">
        <v>0</v>
      </c>
      <c r="L71" s="20" t="n">
        <v>0</v>
      </c>
      <c r="M71" s="18" t="n">
        <v>0</v>
      </c>
      <c r="N71" s="20" t="n">
        <v>0</v>
      </c>
      <c r="O71" s="18" t="n">
        <v>0</v>
      </c>
      <c r="P71" s="20" t="n">
        <v>0</v>
      </c>
      <c r="Q71" s="18" t="n">
        <v>0.13929487</v>
      </c>
      <c r="R71" s="20" t="n">
        <v>0.09869755</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42.80133154</v>
      </c>
      <c r="F76" s="20" t="n">
        <v>1.68404433</v>
      </c>
      <c r="G76" s="18" t="n">
        <v>48.9446053</v>
      </c>
      <c r="H76" s="20" t="n">
        <v>1.59917746</v>
      </c>
      <c r="I76" s="18" t="n">
        <v>0</v>
      </c>
      <c r="J76" s="20" t="n">
        <v>0</v>
      </c>
      <c r="K76" s="18" t="n">
        <v>6.71499143</v>
      </c>
      <c r="L76" s="20" t="n">
        <v>0.65120774</v>
      </c>
      <c r="M76" s="18" t="n">
        <v>0.09912954</v>
      </c>
      <c r="N76" s="20" t="n">
        <v>0.1002266</v>
      </c>
      <c r="O76" s="18" t="n">
        <v>0</v>
      </c>
      <c r="P76" s="20" t="n">
        <v>0</v>
      </c>
      <c r="Q76" s="18" t="n">
        <v>1.4399422</v>
      </c>
      <c r="R76" s="20" t="n">
        <v>0.30383356</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32.3465001</v>
      </c>
      <c r="F80" s="20" t="n">
        <v>1.63626376</v>
      </c>
      <c r="G80" s="18" t="n">
        <v>67.6534999</v>
      </c>
      <c r="H80" s="20" t="n">
        <v>1.63626376</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(1093.0/B81*100)</f>
        <v/>
      </c>
      <c r="D81" s="19" t="n">
        <v>564</v>
      </c>
      <c r="E81" s="18" t="n">
        <v>37.61320021</v>
      </c>
      <c r="F81" s="20" t="n">
        <v>2.2881671</v>
      </c>
      <c r="G81" s="18" t="n">
        <v>54.94216283</v>
      </c>
      <c r="H81" s="20" t="n">
        <v>2.38971078</v>
      </c>
      <c r="I81" s="18" t="n">
        <v>0</v>
      </c>
      <c r="J81" s="20" t="n">
        <v>0</v>
      </c>
      <c r="K81" s="18" t="n">
        <v>5.38124038</v>
      </c>
      <c r="L81" s="20" t="n">
        <v>0.99769654</v>
      </c>
      <c r="M81" s="18" t="n">
        <v>0.20701323</v>
      </c>
      <c r="N81" s="20" t="n">
        <v>0.19239477</v>
      </c>
      <c r="O81" s="18" t="n">
        <v>0</v>
      </c>
      <c r="P81" s="20" t="n">
        <v>0</v>
      </c>
      <c r="Q81" s="18" t="n">
        <v>1.85638335</v>
      </c>
      <c r="R81" s="20" t="n">
        <v>0.60186556</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2.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938</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57.25672412</v>
      </c>
      <c r="F44" s="20" t="n">
        <v>1.38902657</v>
      </c>
      <c r="G44" s="18" t="n">
        <v>34.1899775</v>
      </c>
      <c r="H44" s="20" t="n">
        <v>1.32192205</v>
      </c>
      <c r="I44" s="18" t="n">
        <v>0</v>
      </c>
      <c r="J44" s="20" t="n">
        <v>0</v>
      </c>
      <c r="K44" s="18" t="n">
        <v>8.46396032</v>
      </c>
      <c r="L44" s="20" t="n">
        <v>0.83421349</v>
      </c>
      <c r="M44" s="18" t="n">
        <v>0</v>
      </c>
      <c r="N44" s="20" t="n">
        <v>0</v>
      </c>
      <c r="O44" s="18" t="n">
        <v>0.08933807000000001</v>
      </c>
      <c r="P44" s="20" t="n">
        <v>0.07984194999999999</v>
      </c>
      <c r="Q44" s="18" t="n">
        <v>0</v>
      </c>
      <c r="R44" s="20" t="n">
        <v>0</v>
      </c>
    </row>
    <row r="45" spans="1:18">
      <c r="A45" s="15" t="s">
        <v>604</v>
      </c>
      <c r="B45" s="17" t="n">
        <v>5519</v>
      </c>
      <c r="C45" s="18">
        <f>(3662.0/B45*100)</f>
        <v/>
      </c>
      <c r="D45" s="19" t="n">
        <v>1857</v>
      </c>
      <c r="E45" s="18" t="n">
        <v>59.20144967</v>
      </c>
      <c r="F45" s="20" t="n">
        <v>1.38135337</v>
      </c>
      <c r="G45" s="18" t="n">
        <v>32.23690092</v>
      </c>
      <c r="H45" s="20" t="n">
        <v>1.27452449</v>
      </c>
      <c r="I45" s="18" t="n">
        <v>0</v>
      </c>
      <c r="J45" s="20" t="n">
        <v>0</v>
      </c>
      <c r="K45" s="18" t="n">
        <v>7.07794609</v>
      </c>
      <c r="L45" s="20" t="n">
        <v>0.72848886</v>
      </c>
      <c r="M45" s="18" t="n">
        <v>1.28594854</v>
      </c>
      <c r="N45" s="20" t="n">
        <v>0.28511654</v>
      </c>
      <c r="O45" s="18" t="n">
        <v>0.19775478</v>
      </c>
      <c r="P45" s="20" t="n">
        <v>0.09928113</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47.29865787</v>
      </c>
      <c r="F54" s="20" t="n">
        <v>1.34326481</v>
      </c>
      <c r="G54" s="18" t="n">
        <v>45.93946085</v>
      </c>
      <c r="H54" s="20" t="n">
        <v>1.30352976</v>
      </c>
      <c r="I54" s="18" t="n">
        <v>0</v>
      </c>
      <c r="J54" s="20" t="n">
        <v>0</v>
      </c>
      <c r="K54" s="18" t="n">
        <v>6.41144738</v>
      </c>
      <c r="L54" s="20" t="n">
        <v>0.71820537</v>
      </c>
      <c r="M54" s="18" t="n">
        <v>0</v>
      </c>
      <c r="N54" s="20" t="n">
        <v>0</v>
      </c>
      <c r="O54" s="18" t="n">
        <v>0.3504339</v>
      </c>
      <c r="P54" s="20" t="n">
        <v>0.15083286</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40.40108396</v>
      </c>
      <c r="F56" s="20" t="n">
        <v>1.55060933</v>
      </c>
      <c r="G56" s="18" t="n">
        <v>56.03589277</v>
      </c>
      <c r="H56" s="20" t="n">
        <v>1.6598868</v>
      </c>
      <c r="I56" s="18" t="n">
        <v>0</v>
      </c>
      <c r="J56" s="20" t="n">
        <v>0</v>
      </c>
      <c r="K56" s="18" t="n">
        <v>3.36639451</v>
      </c>
      <c r="L56" s="20" t="n">
        <v>0.6408612</v>
      </c>
      <c r="M56" s="18" t="n">
        <v>0.19662875</v>
      </c>
      <c r="N56" s="20" t="n">
        <v>0.12033394</v>
      </c>
      <c r="O56" s="18" t="n">
        <v>0</v>
      </c>
      <c r="P56" s="20" t="n">
        <v>0</v>
      </c>
      <c r="Q56" s="18" t="n">
        <v>0</v>
      </c>
      <c r="R56" s="20" t="n">
        <v>0</v>
      </c>
    </row>
    <row r="57" spans="1:18">
      <c r="A57" s="15" t="s">
        <v>616</v>
      </c>
      <c r="B57" s="17" t="n">
        <v>7267</v>
      </c>
      <c r="C57" s="18">
        <f>(4852.0/B57*100)</f>
        <v/>
      </c>
      <c r="D57" s="19" t="n">
        <v>2415</v>
      </c>
      <c r="E57" s="18" t="n">
        <v>50.76105292</v>
      </c>
      <c r="F57" s="20" t="n">
        <v>1.24149352</v>
      </c>
      <c r="G57" s="18" t="n">
        <v>45.45947814</v>
      </c>
      <c r="H57" s="20" t="n">
        <v>1.33690256</v>
      </c>
      <c r="I57" s="18" t="n">
        <v>0</v>
      </c>
      <c r="J57" s="20" t="n">
        <v>0</v>
      </c>
      <c r="K57" s="18" t="n">
        <v>3.67134585</v>
      </c>
      <c r="L57" s="20" t="n">
        <v>0.41228286</v>
      </c>
      <c r="M57" s="18" t="n">
        <v>0</v>
      </c>
      <c r="N57" s="20" t="n">
        <v>0</v>
      </c>
      <c r="O57" s="18" t="n">
        <v>0.1081231</v>
      </c>
      <c r="P57" s="20" t="n">
        <v>0.08414851</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56.27820996</v>
      </c>
      <c r="F59" s="20" t="n">
        <v>1.35653226</v>
      </c>
      <c r="G59" s="18" t="n">
        <v>40.61792603</v>
      </c>
      <c r="H59" s="20" t="n">
        <v>1.34584305</v>
      </c>
      <c r="I59" s="18" t="n">
        <v>0</v>
      </c>
      <c r="J59" s="20" t="n">
        <v>0</v>
      </c>
      <c r="K59" s="18" t="n">
        <v>2.67242473</v>
      </c>
      <c r="L59" s="20" t="n">
        <v>0.45317518</v>
      </c>
      <c r="M59" s="18" t="n">
        <v>0.39166245</v>
      </c>
      <c r="N59" s="20" t="n">
        <v>0.18441403</v>
      </c>
      <c r="O59" s="18" t="n">
        <v>0.03977683</v>
      </c>
      <c r="P59" s="20" t="n">
        <v>0.02841077</v>
      </c>
      <c r="Q59" s="18" t="n">
        <v>0</v>
      </c>
      <c r="R59" s="20" t="n">
        <v>0</v>
      </c>
    </row>
    <row r="60" spans="1:18">
      <c r="A60" s="15" t="s">
        <v>620</v>
      </c>
      <c r="B60" s="17" t="n">
        <v>4546</v>
      </c>
      <c r="C60" s="18">
        <f>(3036.0/B60*100)</f>
        <v/>
      </c>
      <c r="D60" s="19" t="n">
        <v>1510</v>
      </c>
      <c r="E60" s="18" t="n">
        <v>62.25458514</v>
      </c>
      <c r="F60" s="20" t="n">
        <v>1.69561853</v>
      </c>
      <c r="G60" s="18" t="n">
        <v>26.64386761</v>
      </c>
      <c r="H60" s="20" t="n">
        <v>1.70926527</v>
      </c>
      <c r="I60" s="18" t="n">
        <v>0</v>
      </c>
      <c r="J60" s="20" t="n">
        <v>0</v>
      </c>
      <c r="K60" s="18" t="n">
        <v>10.41581494</v>
      </c>
      <c r="L60" s="20" t="n">
        <v>0.78802295</v>
      </c>
      <c r="M60" s="18" t="n">
        <v>0.60029657</v>
      </c>
      <c r="N60" s="20" t="n">
        <v>0.21385444</v>
      </c>
      <c r="O60" s="18" t="n">
        <v>0.08543574</v>
      </c>
      <c r="P60" s="20" t="n">
        <v>0.08534057</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55.26213087</v>
      </c>
      <c r="F63" s="20" t="n">
        <v>1.451869</v>
      </c>
      <c r="G63" s="18" t="n">
        <v>35.62501249</v>
      </c>
      <c r="H63" s="20" t="n">
        <v>1.28773123</v>
      </c>
      <c r="I63" s="18" t="n">
        <v>0</v>
      </c>
      <c r="J63" s="20" t="n">
        <v>0</v>
      </c>
      <c r="K63" s="18" t="n">
        <v>9.11285664</v>
      </c>
      <c r="L63" s="20" t="n">
        <v>0.72657828</v>
      </c>
      <c r="M63" s="18" t="n">
        <v>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39.33026596</v>
      </c>
      <c r="F65" s="20" t="n">
        <v>1.03607348</v>
      </c>
      <c r="G65" s="18" t="n">
        <v>55.778272</v>
      </c>
      <c r="H65" s="20" t="n">
        <v>1.18344118</v>
      </c>
      <c r="I65" s="18" t="n">
        <v>0</v>
      </c>
      <c r="J65" s="20" t="n">
        <v>0</v>
      </c>
      <c r="K65" s="18" t="n">
        <v>4.62193339</v>
      </c>
      <c r="L65" s="20" t="n">
        <v>0.62101092</v>
      </c>
      <c r="M65" s="18" t="n">
        <v>0.26952865</v>
      </c>
      <c r="N65" s="20" t="n">
        <v>0.15638072</v>
      </c>
      <c r="O65" s="18" t="n">
        <v>0</v>
      </c>
      <c r="P65" s="20" t="n">
        <v>0</v>
      </c>
      <c r="Q65" s="18" t="n">
        <v>0</v>
      </c>
      <c r="R65" s="20" t="n">
        <v>0</v>
      </c>
    </row>
    <row r="66" spans="1:18">
      <c r="A66" s="15" t="s">
        <v>626</v>
      </c>
      <c r="B66" s="17" t="n">
        <v>5325</v>
      </c>
      <c r="C66" s="18">
        <f>(3540.0/B66*100)</f>
        <v/>
      </c>
      <c r="D66" s="19" t="n">
        <v>1785</v>
      </c>
      <c r="E66" s="18" t="n">
        <v>49.39530555</v>
      </c>
      <c r="F66" s="20" t="n">
        <v>1.41110946</v>
      </c>
      <c r="G66" s="18" t="n">
        <v>41.04395147</v>
      </c>
      <c r="H66" s="20" t="n">
        <v>1.53894138</v>
      </c>
      <c r="I66" s="18" t="n">
        <v>0</v>
      </c>
      <c r="J66" s="20" t="n">
        <v>0</v>
      </c>
      <c r="K66" s="18" t="n">
        <v>9.560742980000001</v>
      </c>
      <c r="L66" s="20" t="n">
        <v>0.75137526</v>
      </c>
      <c r="M66" s="18" t="n">
        <v>0</v>
      </c>
      <c r="N66" s="20" t="n">
        <v>0</v>
      </c>
      <c r="O66" s="18" t="n">
        <v>0</v>
      </c>
      <c r="P66" s="20" t="n">
        <v>0</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67.13518000000001</v>
      </c>
      <c r="F69" s="20" t="n">
        <v>2.38757715</v>
      </c>
      <c r="G69" s="18" t="n">
        <v>29.65235339</v>
      </c>
      <c r="H69" s="20" t="n">
        <v>2.22137599</v>
      </c>
      <c r="I69" s="18" t="n">
        <v>0</v>
      </c>
      <c r="J69" s="20" t="n">
        <v>0</v>
      </c>
      <c r="K69" s="18" t="n">
        <v>3.21246661</v>
      </c>
      <c r="L69" s="20" t="n">
        <v>0.83079055</v>
      </c>
      <c r="M69" s="18" t="n">
        <v>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(3237.0/B71*100)</f>
        <v/>
      </c>
      <c r="D71" s="19" t="n">
        <v>1639</v>
      </c>
      <c r="E71" s="18" t="n">
        <v>52.07201827</v>
      </c>
      <c r="F71" s="20" t="n">
        <v>1.48680168</v>
      </c>
      <c r="G71" s="18" t="n">
        <v>47.56804091</v>
      </c>
      <c r="H71" s="20" t="n">
        <v>1.46411899</v>
      </c>
      <c r="I71" s="18" t="n">
        <v>0</v>
      </c>
      <c r="J71" s="20" t="n">
        <v>0</v>
      </c>
      <c r="K71" s="18" t="n">
        <v>0.35994082</v>
      </c>
      <c r="L71" s="20" t="n">
        <v>0.1456805</v>
      </c>
      <c r="M71" s="18" t="n">
        <v>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53.08346454</v>
      </c>
      <c r="F76" s="20" t="n">
        <v>1.44189962</v>
      </c>
      <c r="G76" s="18" t="n">
        <v>36.09664916</v>
      </c>
      <c r="H76" s="20" t="n">
        <v>1.35370655</v>
      </c>
      <c r="I76" s="18" t="n">
        <v>0</v>
      </c>
      <c r="J76" s="20" t="n">
        <v>0</v>
      </c>
      <c r="K76" s="18" t="n">
        <v>10.8198863</v>
      </c>
      <c r="L76" s="20" t="n">
        <v>0.83141937</v>
      </c>
      <c r="M76" s="18" t="n">
        <v>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15.51136276</v>
      </c>
      <c r="F80" s="20" t="n">
        <v>1.10536079</v>
      </c>
      <c r="G80" s="18" t="n">
        <v>84.48863724</v>
      </c>
      <c r="H80" s="20" t="n">
        <v>1.10536079</v>
      </c>
      <c r="I80" s="18" t="n">
        <v>0</v>
      </c>
      <c r="J80" s="20" t="n">
        <v>0</v>
      </c>
      <c r="K80" s="18" t="n">
        <v>0</v>
      </c>
      <c r="L80" s="20" t="n">
        <v>0</v>
      </c>
      <c r="M80" s="18" t="n">
        <v>0</v>
      </c>
      <c r="N80" s="20" t="n">
        <v>0</v>
      </c>
      <c r="O80" s="18" t="n">
        <v>0</v>
      </c>
      <c r="P80" s="20" t="n">
        <v>0</v>
      </c>
      <c r="Q80" s="18" t="n">
        <v>0</v>
      </c>
      <c r="R80" s="20" t="n">
        <v>0</v>
      </c>
    </row>
    <row r="81" spans="1:18">
      <c r="A81" s="15" t="s">
        <v>641</v>
      </c>
      <c r="B81" s="17" t="n">
        <v>1657</v>
      </c>
      <c r="C81" s="18">
        <f>(1093.0/B81*100)</f>
        <v/>
      </c>
      <c r="D81" s="19" t="n">
        <v>564</v>
      </c>
      <c r="E81" s="18" t="n">
        <v>57.73775277</v>
      </c>
      <c r="F81" s="20" t="n">
        <v>3.08078924</v>
      </c>
      <c r="G81" s="18" t="n">
        <v>32.73759733</v>
      </c>
      <c r="H81" s="20" t="n">
        <v>2.69272613</v>
      </c>
      <c r="I81" s="18" t="n">
        <v>0</v>
      </c>
      <c r="J81" s="20" t="n">
        <v>0</v>
      </c>
      <c r="K81" s="18" t="n">
        <v>9.524649889999999</v>
      </c>
      <c r="L81" s="20" t="n">
        <v>1.55088404</v>
      </c>
      <c r="M81" s="18" t="n">
        <v>0</v>
      </c>
      <c r="N81" s="20" t="n">
        <v>0</v>
      </c>
      <c r="O81" s="18" t="n">
        <v>0</v>
      </c>
      <c r="P81" s="20" t="n">
        <v>0</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3.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939</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5519</v>
      </c>
      <c r="C45" s="18">
        <f>(3662.0/B45*100)</f>
        <v/>
      </c>
      <c r="D45" s="19" t="n">
        <v>1857</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7267</v>
      </c>
      <c r="C57" s="18">
        <f>(4852.0/B57*100)</f>
        <v/>
      </c>
      <c r="D57" s="19" t="n">
        <v>2415</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4546</v>
      </c>
      <c r="C60" s="18">
        <f>(3036.0/B60*100)</f>
        <v/>
      </c>
      <c r="D60" s="19" t="n">
        <v>1510</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5325</v>
      </c>
      <c r="C66" s="18">
        <f>(3562.0/B66*100)</f>
        <v/>
      </c>
      <c r="D66" s="19" t="n">
        <v>1763</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(3502.0/B71*100)</f>
        <v/>
      </c>
      <c r="D71" s="19" t="n">
        <v>1374</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1657</v>
      </c>
      <c r="C81" s="18">
        <f>(1093.0/B81*100)</f>
        <v/>
      </c>
      <c r="D81" s="19" t="n">
        <v>564</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4.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940</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5519</v>
      </c>
      <c r="C45" s="18">
        <f>(3662.0/B45*100)</f>
        <v/>
      </c>
      <c r="D45" s="19" t="n">
        <v>1857</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7267</v>
      </c>
      <c r="C57" s="18">
        <f>(4852.0/B57*100)</f>
        <v/>
      </c>
      <c r="D57" s="19" t="n">
        <v>2415</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4546</v>
      </c>
      <c r="C60" s="18">
        <f>(3036.0/B60*100)</f>
        <v/>
      </c>
      <c r="D60" s="19" t="n">
        <v>1510</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5325</v>
      </c>
      <c r="C66" s="18">
        <f>(3562.0/B66*100)</f>
        <v/>
      </c>
      <c r="D66" s="19" t="n">
        <v>1763</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(3502.0/B71*100)</f>
        <v/>
      </c>
      <c r="D71" s="19" t="n">
        <v>1374</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1657</v>
      </c>
      <c r="C81" s="18">
        <f>(1093.0/B81*100)</f>
        <v/>
      </c>
      <c r="D81" s="19" t="n">
        <v>564</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xl/worksheets/sheet275.xml><?xml version="1.0" encoding="utf-8"?>
<worksheet xmlns="http://schemas.openxmlformats.org/spreadsheetml/2006/main">
  <sheetPr>
    <outlinePr summaryBelow="1" summaryRight="1"/>
    <pageSetUpPr/>
  </sheetPr>
  <dimension ref="A1:R94"/>
  <sheetViews>
    <sheetView workbookViewId="0" zoomScale="80">
      <pane activePane="topRight" state="frozen" topLeftCell="E1" xSplit="4"/>
      <selection activeCell="A1" pane="topRight" sqref="A1"/>
    </sheetView>
  </sheetViews>
  <sheetFormatPr baseColWidth="10" defaultRowHeight="15"/>
  <cols>
    <col customWidth="1" width="50" min="1" max="1"/>
  </cols>
  <sheetData>
    <row r="1" spans="1:18">
      <c r="A1" s="4" t="s">
        <v>549</v>
      </c>
    </row>
    <row r="2" spans="1:18">
      <c r="A2" s="5" t="s">
        <v>941</v>
      </c>
    </row>
    <row customHeight="1" ht="30" r="4" spans="1:18">
      <c r="A4" s="6" t="n"/>
      <c r="B4" s="7" t="s">
        <v>551</v>
      </c>
      <c r="C4" s="7" t="s">
        <v>552</v>
      </c>
      <c r="D4" s="8" t="s">
        <v>551</v>
      </c>
      <c r="E4" s="9" t="s">
        <v>660</v>
      </c>
      <c r="F4" s="10" t="n"/>
      <c r="G4" s="9" t="s">
        <v>661</v>
      </c>
      <c r="H4" s="10" t="n"/>
      <c r="I4" s="9" t="s">
        <v>555</v>
      </c>
      <c r="J4" s="10" t="n"/>
      <c r="K4" s="9" t="s">
        <v>556</v>
      </c>
      <c r="L4" s="10" t="n"/>
      <c r="M4" s="9" t="s">
        <v>557</v>
      </c>
      <c r="N4" s="10" t="n"/>
      <c r="O4" s="9" t="s">
        <v>558</v>
      </c>
      <c r="P4" s="10" t="n"/>
      <c r="Q4" s="9" t="s">
        <v>559</v>
      </c>
      <c r="R4" s="10" t="n"/>
    </row>
    <row r="5" spans="1:18">
      <c r="A5" s="11" t="s"/>
      <c r="B5" s="12" t="s">
        <v>560</v>
      </c>
      <c r="C5" s="12" t="s">
        <v>561</v>
      </c>
      <c r="D5" s="11" t="s">
        <v>562</v>
      </c>
      <c r="E5" s="12" t="s">
        <v>561</v>
      </c>
      <c r="F5" s="11" t="s">
        <v>563</v>
      </c>
      <c r="G5" s="12" t="s">
        <v>561</v>
      </c>
      <c r="H5" s="11" t="s">
        <v>563</v>
      </c>
      <c r="I5" s="12" t="s">
        <v>561</v>
      </c>
      <c r="J5" s="11" t="s">
        <v>563</v>
      </c>
      <c r="K5" s="12" t="s">
        <v>561</v>
      </c>
      <c r="L5" s="11" t="s">
        <v>563</v>
      </c>
      <c r="M5" s="12" t="s">
        <v>561</v>
      </c>
      <c r="N5" s="11" t="s">
        <v>563</v>
      </c>
      <c r="O5" s="12" t="s">
        <v>561</v>
      </c>
      <c r="P5" s="11" t="s">
        <v>563</v>
      </c>
      <c r="Q5" s="12" t="s">
        <v>561</v>
      </c>
      <c r="R5" s="11" t="s">
        <v>563</v>
      </c>
    </row>
    <row r="6" spans="1:18">
      <c r="A6" s="13" t="s">
        <v>564</v>
      </c>
      <c r="B6" s="14" t="n"/>
      <c r="C6" s="14" t="n"/>
      <c r="D6" s="15" t="n"/>
      <c r="E6" s="14" t="n"/>
      <c r="F6" s="15" t="n"/>
      <c r="G6" s="14" t="n"/>
      <c r="H6" s="15" t="n"/>
      <c r="I6" s="14" t="n"/>
      <c r="J6" s="15" t="n"/>
      <c r="K6" s="14" t="n"/>
      <c r="L6" s="15" t="n"/>
      <c r="M6" s="14" t="n"/>
      <c r="N6" s="15" t="n"/>
      <c r="O6" s="14" t="n"/>
      <c r="P6" s="15" t="n"/>
      <c r="Q6" s="14" t="n"/>
      <c r="R6" s="16" t="n"/>
    </row>
    <row r="7" spans="1:18">
      <c r="A7" s="15" t="s">
        <v>565</v>
      </c>
      <c r="B7" s="17" t="n">
        <v>14530</v>
      </c>
      <c r="C7" s="18">
        <f>(14530.0/B7*100)</f>
        <v/>
      </c>
      <c r="D7" s="19" t="n">
        <v>0</v>
      </c>
      <c r="E7" s="18" t="s">
        <v>603</v>
      </c>
      <c r="F7" s="20" t="s">
        <v>603</v>
      </c>
      <c r="G7" s="18" t="s">
        <v>603</v>
      </c>
      <c r="H7" s="20" t="s">
        <v>603</v>
      </c>
      <c r="I7" s="18" t="s">
        <v>603</v>
      </c>
      <c r="J7" s="20" t="s">
        <v>603</v>
      </c>
      <c r="K7" s="18" t="s">
        <v>603</v>
      </c>
      <c r="L7" s="20" t="s">
        <v>603</v>
      </c>
      <c r="M7" s="18" t="s">
        <v>603</v>
      </c>
      <c r="N7" s="20" t="s">
        <v>603</v>
      </c>
      <c r="O7" s="18" t="s">
        <v>603</v>
      </c>
      <c r="P7" s="20" t="s">
        <v>603</v>
      </c>
      <c r="Q7" s="18" t="s">
        <v>603</v>
      </c>
      <c r="R7" s="20" t="s">
        <v>603</v>
      </c>
    </row>
    <row r="8" spans="1:18">
      <c r="A8" s="15" t="s">
        <v>566</v>
      </c>
      <c r="B8" s="17" t="n">
        <v>7007</v>
      </c>
      <c r="C8" s="18">
        <f>(7007.0/B8*100)</f>
        <v/>
      </c>
      <c r="D8" s="19" t="n">
        <v>0</v>
      </c>
      <c r="E8" s="18" t="s">
        <v>603</v>
      </c>
      <c r="F8" s="20" t="s">
        <v>603</v>
      </c>
      <c r="G8" s="18" t="s">
        <v>603</v>
      </c>
      <c r="H8" s="20" t="s">
        <v>603</v>
      </c>
      <c r="I8" s="18" t="s">
        <v>603</v>
      </c>
      <c r="J8" s="20" t="s">
        <v>603</v>
      </c>
      <c r="K8" s="18" t="s">
        <v>603</v>
      </c>
      <c r="L8" s="20" t="s">
        <v>603</v>
      </c>
      <c r="M8" s="18" t="s">
        <v>603</v>
      </c>
      <c r="N8" s="20" t="s">
        <v>603</v>
      </c>
      <c r="O8" s="18" t="s">
        <v>603</v>
      </c>
      <c r="P8" s="20" t="s">
        <v>603</v>
      </c>
      <c r="Q8" s="18" t="s">
        <v>603</v>
      </c>
      <c r="R8" s="20" t="s">
        <v>603</v>
      </c>
    </row>
    <row r="9" spans="1:18">
      <c r="A9" s="15" t="s">
        <v>567</v>
      </c>
      <c r="B9" s="17" t="n">
        <v>9651</v>
      </c>
      <c r="C9" s="18">
        <f>(9651.0/B9*100)</f>
        <v/>
      </c>
      <c r="D9" s="19" t="n">
        <v>0</v>
      </c>
      <c r="E9" s="18" t="s">
        <v>603</v>
      </c>
      <c r="F9" s="20" t="s">
        <v>603</v>
      </c>
      <c r="G9" s="18" t="s">
        <v>603</v>
      </c>
      <c r="H9" s="20" t="s">
        <v>603</v>
      </c>
      <c r="I9" s="18" t="s">
        <v>603</v>
      </c>
      <c r="J9" s="20" t="s">
        <v>603</v>
      </c>
      <c r="K9" s="18" t="s">
        <v>603</v>
      </c>
      <c r="L9" s="20" t="s">
        <v>603</v>
      </c>
      <c r="M9" s="18" t="s">
        <v>603</v>
      </c>
      <c r="N9" s="20" t="s">
        <v>603</v>
      </c>
      <c r="O9" s="18" t="s">
        <v>603</v>
      </c>
      <c r="P9" s="20" t="s">
        <v>603</v>
      </c>
      <c r="Q9" s="18" t="s">
        <v>603</v>
      </c>
      <c r="R9" s="20" t="s">
        <v>603</v>
      </c>
    </row>
    <row r="10" spans="1:18">
      <c r="A10" s="15" t="s">
        <v>568</v>
      </c>
      <c r="B10" s="17" t="n">
        <v>20058</v>
      </c>
      <c r="C10" s="18">
        <f>(20058.0/B10*100)</f>
        <v/>
      </c>
      <c r="D10" s="19" t="n">
        <v>0</v>
      </c>
      <c r="E10" s="18" t="s">
        <v>603</v>
      </c>
      <c r="F10" s="20" t="s">
        <v>603</v>
      </c>
      <c r="G10" s="18" t="s">
        <v>603</v>
      </c>
      <c r="H10" s="20" t="s">
        <v>603</v>
      </c>
      <c r="I10" s="18" t="s">
        <v>603</v>
      </c>
      <c r="J10" s="20" t="s">
        <v>603</v>
      </c>
      <c r="K10" s="18" t="s">
        <v>603</v>
      </c>
      <c r="L10" s="20" t="s">
        <v>603</v>
      </c>
      <c r="M10" s="18" t="s">
        <v>603</v>
      </c>
      <c r="N10" s="20" t="s">
        <v>603</v>
      </c>
      <c r="O10" s="18" t="s">
        <v>603</v>
      </c>
      <c r="P10" s="20" t="s">
        <v>603</v>
      </c>
      <c r="Q10" s="18" t="s">
        <v>603</v>
      </c>
      <c r="R10" s="20" t="s">
        <v>603</v>
      </c>
    </row>
    <row r="11" spans="1:18">
      <c r="A11" s="15" t="s">
        <v>569</v>
      </c>
      <c r="B11" s="17" t="n">
        <v>7053</v>
      </c>
      <c r="C11" s="18">
        <f>(7053.0/B11*100)</f>
        <v/>
      </c>
      <c r="D11" s="19" t="n">
        <v>0</v>
      </c>
      <c r="E11" s="18" t="s">
        <v>603</v>
      </c>
      <c r="F11" s="20" t="s">
        <v>603</v>
      </c>
      <c r="G11" s="18" t="s">
        <v>603</v>
      </c>
      <c r="H11" s="20" t="s">
        <v>603</v>
      </c>
      <c r="I11" s="18" t="s">
        <v>603</v>
      </c>
      <c r="J11" s="20" t="s">
        <v>603</v>
      </c>
      <c r="K11" s="18" t="s">
        <v>603</v>
      </c>
      <c r="L11" s="20" t="s">
        <v>603</v>
      </c>
      <c r="M11" s="18" t="s">
        <v>603</v>
      </c>
      <c r="N11" s="20" t="s">
        <v>603</v>
      </c>
      <c r="O11" s="18" t="s">
        <v>603</v>
      </c>
      <c r="P11" s="20" t="s">
        <v>603</v>
      </c>
      <c r="Q11" s="18" t="s">
        <v>603</v>
      </c>
      <c r="R11" s="20" t="s">
        <v>603</v>
      </c>
    </row>
    <row r="12" spans="1:18">
      <c r="A12" s="15" t="s">
        <v>570</v>
      </c>
      <c r="B12" s="17" t="n">
        <v>6894</v>
      </c>
      <c r="C12" s="18">
        <f>(6894.0/B12*100)</f>
        <v/>
      </c>
      <c r="D12" s="19" t="n">
        <v>0</v>
      </c>
      <c r="E12" s="18" t="s">
        <v>603</v>
      </c>
      <c r="F12" s="20" t="s">
        <v>603</v>
      </c>
      <c r="G12" s="18" t="s">
        <v>603</v>
      </c>
      <c r="H12" s="20" t="s">
        <v>603</v>
      </c>
      <c r="I12" s="18" t="s">
        <v>603</v>
      </c>
      <c r="J12" s="20" t="s">
        <v>603</v>
      </c>
      <c r="K12" s="18" t="s">
        <v>603</v>
      </c>
      <c r="L12" s="20" t="s">
        <v>603</v>
      </c>
      <c r="M12" s="18" t="s">
        <v>603</v>
      </c>
      <c r="N12" s="20" t="s">
        <v>603</v>
      </c>
      <c r="O12" s="18" t="s">
        <v>603</v>
      </c>
      <c r="P12" s="20" t="s">
        <v>603</v>
      </c>
      <c r="Q12" s="18" t="s">
        <v>603</v>
      </c>
      <c r="R12" s="20" t="s">
        <v>603</v>
      </c>
    </row>
    <row r="13" spans="1:18">
      <c r="A13" s="15" t="s">
        <v>571</v>
      </c>
      <c r="B13" s="17" t="n">
        <v>7161</v>
      </c>
      <c r="C13" s="18">
        <f>(7161.0/B13*100)</f>
        <v/>
      </c>
      <c r="D13" s="19" t="n">
        <v>0</v>
      </c>
      <c r="E13" s="18" t="s">
        <v>603</v>
      </c>
      <c r="F13" s="20" t="s">
        <v>603</v>
      </c>
      <c r="G13" s="18" t="s">
        <v>603</v>
      </c>
      <c r="H13" s="20" t="s">
        <v>603</v>
      </c>
      <c r="I13" s="18" t="s">
        <v>603</v>
      </c>
      <c r="J13" s="20" t="s">
        <v>603</v>
      </c>
      <c r="K13" s="18" t="s">
        <v>603</v>
      </c>
      <c r="L13" s="20" t="s">
        <v>603</v>
      </c>
      <c r="M13" s="18" t="s">
        <v>603</v>
      </c>
      <c r="N13" s="20" t="s">
        <v>603</v>
      </c>
      <c r="O13" s="18" t="s">
        <v>603</v>
      </c>
      <c r="P13" s="20" t="s">
        <v>603</v>
      </c>
      <c r="Q13" s="18" t="s">
        <v>603</v>
      </c>
      <c r="R13" s="20" t="s">
        <v>603</v>
      </c>
    </row>
    <row r="14" spans="1:18">
      <c r="A14" s="15" t="s">
        <v>572</v>
      </c>
      <c r="B14" s="17" t="n">
        <v>5587</v>
      </c>
      <c r="C14" s="18">
        <f>(5587.0/B14*100)</f>
        <v/>
      </c>
      <c r="D14" s="19" t="n">
        <v>0</v>
      </c>
      <c r="E14" s="18" t="s">
        <v>603</v>
      </c>
      <c r="F14" s="20" t="s">
        <v>603</v>
      </c>
      <c r="G14" s="18" t="s">
        <v>603</v>
      </c>
      <c r="H14" s="20" t="s">
        <v>603</v>
      </c>
      <c r="I14" s="18" t="s">
        <v>603</v>
      </c>
      <c r="J14" s="20" t="s">
        <v>603</v>
      </c>
      <c r="K14" s="18" t="s">
        <v>603</v>
      </c>
      <c r="L14" s="20" t="s">
        <v>603</v>
      </c>
      <c r="M14" s="18" t="s">
        <v>603</v>
      </c>
      <c r="N14" s="20" t="s">
        <v>603</v>
      </c>
      <c r="O14" s="18" t="s">
        <v>603</v>
      </c>
      <c r="P14" s="20" t="s">
        <v>603</v>
      </c>
      <c r="Q14" s="18" t="s">
        <v>603</v>
      </c>
      <c r="R14" s="20" t="s">
        <v>603</v>
      </c>
    </row>
    <row r="15" spans="1:18">
      <c r="A15" s="15" t="s">
        <v>573</v>
      </c>
      <c r="B15" s="17" t="n">
        <v>5882</v>
      </c>
      <c r="C15" s="18">
        <f>(5882.0/B15*100)</f>
        <v/>
      </c>
      <c r="D15" s="19" t="n">
        <v>0</v>
      </c>
      <c r="E15" s="18" t="s">
        <v>603</v>
      </c>
      <c r="F15" s="20" t="s">
        <v>603</v>
      </c>
      <c r="G15" s="18" t="s">
        <v>603</v>
      </c>
      <c r="H15" s="20" t="s">
        <v>603</v>
      </c>
      <c r="I15" s="18" t="s">
        <v>603</v>
      </c>
      <c r="J15" s="20" t="s">
        <v>603</v>
      </c>
      <c r="K15" s="18" t="s">
        <v>603</v>
      </c>
      <c r="L15" s="20" t="s">
        <v>603</v>
      </c>
      <c r="M15" s="18" t="s">
        <v>603</v>
      </c>
      <c r="N15" s="20" t="s">
        <v>603</v>
      </c>
      <c r="O15" s="18" t="s">
        <v>603</v>
      </c>
      <c r="P15" s="20" t="s">
        <v>603</v>
      </c>
      <c r="Q15" s="18" t="s">
        <v>603</v>
      </c>
      <c r="R15" s="20" t="s">
        <v>603</v>
      </c>
    </row>
    <row r="16" spans="1:18">
      <c r="A16" s="15" t="s">
        <v>574</v>
      </c>
      <c r="B16" s="17" t="n">
        <v>6108</v>
      </c>
      <c r="C16" s="18">
        <f>(6108.0/B16*100)</f>
        <v/>
      </c>
      <c r="D16" s="19" t="n">
        <v>0</v>
      </c>
      <c r="E16" s="18" t="s">
        <v>603</v>
      </c>
      <c r="F16" s="20" t="s">
        <v>603</v>
      </c>
      <c r="G16" s="18" t="s">
        <v>603</v>
      </c>
      <c r="H16" s="20" t="s">
        <v>603</v>
      </c>
      <c r="I16" s="18" t="s">
        <v>603</v>
      </c>
      <c r="J16" s="20" t="s">
        <v>603</v>
      </c>
      <c r="K16" s="18" t="s">
        <v>603</v>
      </c>
      <c r="L16" s="20" t="s">
        <v>603</v>
      </c>
      <c r="M16" s="18" t="s">
        <v>603</v>
      </c>
      <c r="N16" s="20" t="s">
        <v>603</v>
      </c>
      <c r="O16" s="18" t="s">
        <v>603</v>
      </c>
      <c r="P16" s="20" t="s">
        <v>603</v>
      </c>
      <c r="Q16" s="18" t="s">
        <v>603</v>
      </c>
      <c r="R16" s="20" t="s">
        <v>603</v>
      </c>
    </row>
    <row r="17" spans="1:18">
      <c r="A17" s="15" t="s">
        <v>575</v>
      </c>
      <c r="B17" s="17" t="n">
        <v>6504</v>
      </c>
      <c r="C17" s="18">
        <f>(6504.0/B17*100)</f>
        <v/>
      </c>
      <c r="D17" s="19" t="n">
        <v>0</v>
      </c>
      <c r="E17" s="18" t="s">
        <v>603</v>
      </c>
      <c r="F17" s="20" t="s">
        <v>603</v>
      </c>
      <c r="G17" s="18" t="s">
        <v>603</v>
      </c>
      <c r="H17" s="20" t="s">
        <v>603</v>
      </c>
      <c r="I17" s="18" t="s">
        <v>603</v>
      </c>
      <c r="J17" s="20" t="s">
        <v>603</v>
      </c>
      <c r="K17" s="18" t="s">
        <v>603</v>
      </c>
      <c r="L17" s="20" t="s">
        <v>603</v>
      </c>
      <c r="M17" s="18" t="s">
        <v>603</v>
      </c>
      <c r="N17" s="20" t="s">
        <v>603</v>
      </c>
      <c r="O17" s="18" t="s">
        <v>603</v>
      </c>
      <c r="P17" s="20" t="s">
        <v>603</v>
      </c>
      <c r="Q17" s="18" t="s">
        <v>603</v>
      </c>
      <c r="R17" s="20" t="s">
        <v>603</v>
      </c>
    </row>
    <row r="18" spans="1:18">
      <c r="A18" s="15" t="s">
        <v>576</v>
      </c>
      <c r="B18" s="17" t="n">
        <v>5532</v>
      </c>
      <c r="C18" s="18">
        <f>(5532.0/B18*100)</f>
        <v/>
      </c>
      <c r="D18" s="19" t="n">
        <v>0</v>
      </c>
      <c r="E18" s="18" t="s">
        <v>603</v>
      </c>
      <c r="F18" s="20" t="s">
        <v>603</v>
      </c>
      <c r="G18" s="18" t="s">
        <v>603</v>
      </c>
      <c r="H18" s="20" t="s">
        <v>603</v>
      </c>
      <c r="I18" s="18" t="s">
        <v>603</v>
      </c>
      <c r="J18" s="20" t="s">
        <v>603</v>
      </c>
      <c r="K18" s="18" t="s">
        <v>603</v>
      </c>
      <c r="L18" s="20" t="s">
        <v>603</v>
      </c>
      <c r="M18" s="18" t="s">
        <v>603</v>
      </c>
      <c r="N18" s="20" t="s">
        <v>603</v>
      </c>
      <c r="O18" s="18" t="s">
        <v>603</v>
      </c>
      <c r="P18" s="20" t="s">
        <v>603</v>
      </c>
      <c r="Q18" s="18" t="s">
        <v>603</v>
      </c>
      <c r="R18" s="20" t="s">
        <v>603</v>
      </c>
    </row>
    <row r="19" spans="1:18">
      <c r="A19" s="15" t="s">
        <v>577</v>
      </c>
      <c r="B19" s="17" t="n">
        <v>5658</v>
      </c>
      <c r="C19" s="18">
        <f>(5658.0/B19*100)</f>
        <v/>
      </c>
      <c r="D19" s="19" t="n">
        <v>0</v>
      </c>
      <c r="E19" s="18" t="s">
        <v>603</v>
      </c>
      <c r="F19" s="20" t="s">
        <v>603</v>
      </c>
      <c r="G19" s="18" t="s">
        <v>603</v>
      </c>
      <c r="H19" s="20" t="s">
        <v>603</v>
      </c>
      <c r="I19" s="18" t="s">
        <v>603</v>
      </c>
      <c r="J19" s="20" t="s">
        <v>603</v>
      </c>
      <c r="K19" s="18" t="s">
        <v>603</v>
      </c>
      <c r="L19" s="20" t="s">
        <v>603</v>
      </c>
      <c r="M19" s="18" t="s">
        <v>603</v>
      </c>
      <c r="N19" s="20" t="s">
        <v>603</v>
      </c>
      <c r="O19" s="18" t="s">
        <v>603</v>
      </c>
      <c r="P19" s="20" t="s">
        <v>603</v>
      </c>
      <c r="Q19" s="18" t="s">
        <v>603</v>
      </c>
      <c r="R19" s="20" t="s">
        <v>603</v>
      </c>
    </row>
    <row r="20" spans="1:18">
      <c r="A20" s="15" t="s">
        <v>578</v>
      </c>
      <c r="B20" s="17" t="n">
        <v>3371</v>
      </c>
      <c r="C20" s="18">
        <f>(3371.0/B20*100)</f>
        <v/>
      </c>
      <c r="D20" s="19" t="n">
        <v>0</v>
      </c>
      <c r="E20" s="18" t="s">
        <v>603</v>
      </c>
      <c r="F20" s="20" t="s">
        <v>603</v>
      </c>
      <c r="G20" s="18" t="s">
        <v>603</v>
      </c>
      <c r="H20" s="20" t="s">
        <v>603</v>
      </c>
      <c r="I20" s="18" t="s">
        <v>603</v>
      </c>
      <c r="J20" s="20" t="s">
        <v>603</v>
      </c>
      <c r="K20" s="18" t="s">
        <v>603</v>
      </c>
      <c r="L20" s="20" t="s">
        <v>603</v>
      </c>
      <c r="M20" s="18" t="s">
        <v>603</v>
      </c>
      <c r="N20" s="20" t="s">
        <v>603</v>
      </c>
      <c r="O20" s="18" t="s">
        <v>603</v>
      </c>
      <c r="P20" s="20" t="s">
        <v>603</v>
      </c>
      <c r="Q20" s="18" t="s">
        <v>603</v>
      </c>
      <c r="R20" s="20" t="s">
        <v>603</v>
      </c>
    </row>
    <row r="21" spans="1:18">
      <c r="A21" s="15" t="s">
        <v>579</v>
      </c>
      <c r="B21" s="17" t="n">
        <v>5741</v>
      </c>
      <c r="C21" s="18">
        <f>(5741.0/B21*100)</f>
        <v/>
      </c>
      <c r="D21" s="19" t="n">
        <v>0</v>
      </c>
      <c r="E21" s="18" t="s">
        <v>603</v>
      </c>
      <c r="F21" s="20" t="s">
        <v>603</v>
      </c>
      <c r="G21" s="18" t="s">
        <v>603</v>
      </c>
      <c r="H21" s="20" t="s">
        <v>603</v>
      </c>
      <c r="I21" s="18" t="s">
        <v>603</v>
      </c>
      <c r="J21" s="20" t="s">
        <v>603</v>
      </c>
      <c r="K21" s="18" t="s">
        <v>603</v>
      </c>
      <c r="L21" s="20" t="s">
        <v>603</v>
      </c>
      <c r="M21" s="18" t="s">
        <v>603</v>
      </c>
      <c r="N21" s="20" t="s">
        <v>603</v>
      </c>
      <c r="O21" s="18" t="s">
        <v>603</v>
      </c>
      <c r="P21" s="20" t="s">
        <v>603</v>
      </c>
      <c r="Q21" s="18" t="s">
        <v>603</v>
      </c>
      <c r="R21" s="20" t="s">
        <v>603</v>
      </c>
    </row>
    <row r="22" spans="1:18">
      <c r="A22" s="15" t="s">
        <v>580</v>
      </c>
      <c r="B22" s="17" t="n">
        <v>6598</v>
      </c>
      <c r="C22" s="18">
        <f>(6598.0/B22*100)</f>
        <v/>
      </c>
      <c r="D22" s="19" t="n">
        <v>0</v>
      </c>
      <c r="E22" s="18" t="s">
        <v>603</v>
      </c>
      <c r="F22" s="20" t="s">
        <v>603</v>
      </c>
      <c r="G22" s="18" t="s">
        <v>603</v>
      </c>
      <c r="H22" s="20" t="s">
        <v>603</v>
      </c>
      <c r="I22" s="18" t="s">
        <v>603</v>
      </c>
      <c r="J22" s="20" t="s">
        <v>603</v>
      </c>
      <c r="K22" s="18" t="s">
        <v>603</v>
      </c>
      <c r="L22" s="20" t="s">
        <v>603</v>
      </c>
      <c r="M22" s="18" t="s">
        <v>603</v>
      </c>
      <c r="N22" s="20" t="s">
        <v>603</v>
      </c>
      <c r="O22" s="18" t="s">
        <v>603</v>
      </c>
      <c r="P22" s="20" t="s">
        <v>603</v>
      </c>
      <c r="Q22" s="18" t="s">
        <v>603</v>
      </c>
      <c r="R22" s="20" t="s">
        <v>603</v>
      </c>
    </row>
    <row r="23" spans="1:18">
      <c r="A23" s="15" t="s">
        <v>581</v>
      </c>
      <c r="B23" s="17" t="n">
        <v>11583</v>
      </c>
      <c r="C23" s="18">
        <f>(11583.0/B23*100)</f>
        <v/>
      </c>
      <c r="D23" s="19" t="n">
        <v>0</v>
      </c>
      <c r="E23" s="18" t="s">
        <v>603</v>
      </c>
      <c r="F23" s="20" t="s">
        <v>603</v>
      </c>
      <c r="G23" s="18" t="s">
        <v>603</v>
      </c>
      <c r="H23" s="20" t="s">
        <v>603</v>
      </c>
      <c r="I23" s="18" t="s">
        <v>603</v>
      </c>
      <c r="J23" s="20" t="s">
        <v>603</v>
      </c>
      <c r="K23" s="18" t="s">
        <v>603</v>
      </c>
      <c r="L23" s="20" t="s">
        <v>603</v>
      </c>
      <c r="M23" s="18" t="s">
        <v>603</v>
      </c>
      <c r="N23" s="20" t="s">
        <v>603</v>
      </c>
      <c r="O23" s="18" t="s">
        <v>603</v>
      </c>
      <c r="P23" s="20" t="s">
        <v>603</v>
      </c>
      <c r="Q23" s="18" t="s">
        <v>603</v>
      </c>
      <c r="R23" s="20" t="s">
        <v>603</v>
      </c>
    </row>
    <row r="24" spans="1:18">
      <c r="A24" s="15" t="s">
        <v>582</v>
      </c>
      <c r="B24" s="17" t="n">
        <v>6647</v>
      </c>
      <c r="C24" s="18">
        <f>(6647.0/B24*100)</f>
        <v/>
      </c>
      <c r="D24" s="19" t="n">
        <v>0</v>
      </c>
      <c r="E24" s="18" t="s">
        <v>603</v>
      </c>
      <c r="F24" s="20" t="s">
        <v>603</v>
      </c>
      <c r="G24" s="18" t="s">
        <v>603</v>
      </c>
      <c r="H24" s="20" t="s">
        <v>603</v>
      </c>
      <c r="I24" s="18" t="s">
        <v>603</v>
      </c>
      <c r="J24" s="20" t="s">
        <v>603</v>
      </c>
      <c r="K24" s="18" t="s">
        <v>603</v>
      </c>
      <c r="L24" s="20" t="s">
        <v>603</v>
      </c>
      <c r="M24" s="18" t="s">
        <v>603</v>
      </c>
      <c r="N24" s="20" t="s">
        <v>603</v>
      </c>
      <c r="O24" s="18" t="s">
        <v>603</v>
      </c>
      <c r="P24" s="20" t="s">
        <v>603</v>
      </c>
      <c r="Q24" s="18" t="s">
        <v>603</v>
      </c>
      <c r="R24" s="20" t="s">
        <v>603</v>
      </c>
    </row>
    <row r="25" spans="1:18">
      <c r="A25" s="15" t="s">
        <v>583</v>
      </c>
      <c r="B25" s="17" t="n">
        <v>5581</v>
      </c>
      <c r="C25" s="18">
        <f>(5581.0/B25*100)</f>
        <v/>
      </c>
      <c r="D25" s="19" t="n">
        <v>0</v>
      </c>
      <c r="E25" s="18" t="s">
        <v>603</v>
      </c>
      <c r="F25" s="20" t="s">
        <v>603</v>
      </c>
      <c r="G25" s="18" t="s">
        <v>603</v>
      </c>
      <c r="H25" s="20" t="s">
        <v>603</v>
      </c>
      <c r="I25" s="18" t="s">
        <v>603</v>
      </c>
      <c r="J25" s="20" t="s">
        <v>603</v>
      </c>
      <c r="K25" s="18" t="s">
        <v>603</v>
      </c>
      <c r="L25" s="20" t="s">
        <v>603</v>
      </c>
      <c r="M25" s="18" t="s">
        <v>603</v>
      </c>
      <c r="N25" s="20" t="s">
        <v>603</v>
      </c>
      <c r="O25" s="18" t="s">
        <v>603</v>
      </c>
      <c r="P25" s="20" t="s">
        <v>603</v>
      </c>
      <c r="Q25" s="18" t="s">
        <v>603</v>
      </c>
      <c r="R25" s="20" t="s">
        <v>603</v>
      </c>
    </row>
    <row r="26" spans="1:18">
      <c r="A26" s="15" t="s">
        <v>584</v>
      </c>
      <c r="B26" s="17" t="n">
        <v>4869</v>
      </c>
      <c r="C26" s="18">
        <f>(4869.0/B26*100)</f>
        <v/>
      </c>
      <c r="D26" s="19" t="n">
        <v>0</v>
      </c>
      <c r="E26" s="18" t="s">
        <v>603</v>
      </c>
      <c r="F26" s="20" t="s">
        <v>603</v>
      </c>
      <c r="G26" s="18" t="s">
        <v>603</v>
      </c>
      <c r="H26" s="20" t="s">
        <v>603</v>
      </c>
      <c r="I26" s="18" t="s">
        <v>603</v>
      </c>
      <c r="J26" s="20" t="s">
        <v>603</v>
      </c>
      <c r="K26" s="18" t="s">
        <v>603</v>
      </c>
      <c r="L26" s="20" t="s">
        <v>603</v>
      </c>
      <c r="M26" s="18" t="s">
        <v>603</v>
      </c>
      <c r="N26" s="20" t="s">
        <v>603</v>
      </c>
      <c r="O26" s="18" t="s">
        <v>603</v>
      </c>
      <c r="P26" s="20" t="s">
        <v>603</v>
      </c>
      <c r="Q26" s="18" t="s">
        <v>603</v>
      </c>
      <c r="R26" s="20" t="s">
        <v>603</v>
      </c>
    </row>
    <row r="27" spans="1:18">
      <c r="A27" s="15" t="s">
        <v>585</v>
      </c>
      <c r="B27" s="17" t="n">
        <v>5299</v>
      </c>
      <c r="C27" s="18">
        <f>(5299.0/B27*100)</f>
        <v/>
      </c>
      <c r="D27" s="19" t="n">
        <v>0</v>
      </c>
      <c r="E27" s="18" t="s">
        <v>603</v>
      </c>
      <c r="F27" s="20" t="s">
        <v>603</v>
      </c>
      <c r="G27" s="18" t="s">
        <v>603</v>
      </c>
      <c r="H27" s="20" t="s">
        <v>603</v>
      </c>
      <c r="I27" s="18" t="s">
        <v>603</v>
      </c>
      <c r="J27" s="20" t="s">
        <v>603</v>
      </c>
      <c r="K27" s="18" t="s">
        <v>603</v>
      </c>
      <c r="L27" s="20" t="s">
        <v>603</v>
      </c>
      <c r="M27" s="18" t="s">
        <v>603</v>
      </c>
      <c r="N27" s="20" t="s">
        <v>603</v>
      </c>
      <c r="O27" s="18" t="s">
        <v>603</v>
      </c>
      <c r="P27" s="20" t="s">
        <v>603</v>
      </c>
      <c r="Q27" s="18" t="s">
        <v>603</v>
      </c>
      <c r="R27" s="20" t="s">
        <v>603</v>
      </c>
    </row>
    <row r="28" spans="1:18">
      <c r="A28" s="15" t="s">
        <v>586</v>
      </c>
      <c r="B28" s="17" t="n">
        <v>7568</v>
      </c>
      <c r="C28" s="18">
        <f>(7568.0/B28*100)</f>
        <v/>
      </c>
      <c r="D28" s="19" t="n">
        <v>0</v>
      </c>
      <c r="E28" s="18" t="s">
        <v>603</v>
      </c>
      <c r="F28" s="20" t="s">
        <v>603</v>
      </c>
      <c r="G28" s="18" t="s">
        <v>603</v>
      </c>
      <c r="H28" s="20" t="s">
        <v>603</v>
      </c>
      <c r="I28" s="18" t="s">
        <v>603</v>
      </c>
      <c r="J28" s="20" t="s">
        <v>603</v>
      </c>
      <c r="K28" s="18" t="s">
        <v>603</v>
      </c>
      <c r="L28" s="20" t="s">
        <v>603</v>
      </c>
      <c r="M28" s="18" t="s">
        <v>603</v>
      </c>
      <c r="N28" s="20" t="s">
        <v>603</v>
      </c>
      <c r="O28" s="18" t="s">
        <v>603</v>
      </c>
      <c r="P28" s="20" t="s">
        <v>603</v>
      </c>
      <c r="Q28" s="18" t="s">
        <v>603</v>
      </c>
      <c r="R28" s="20" t="s">
        <v>603</v>
      </c>
    </row>
    <row r="29" spans="1:18">
      <c r="A29" s="15" t="s">
        <v>587</v>
      </c>
      <c r="B29" s="17" t="n">
        <v>5385</v>
      </c>
      <c r="C29" s="18">
        <f>(5385.0/B29*100)</f>
        <v/>
      </c>
      <c r="D29" s="19" t="n">
        <v>0</v>
      </c>
      <c r="E29" s="18" t="s">
        <v>603</v>
      </c>
      <c r="F29" s="20" t="s">
        <v>603</v>
      </c>
      <c r="G29" s="18" t="s">
        <v>603</v>
      </c>
      <c r="H29" s="20" t="s">
        <v>603</v>
      </c>
      <c r="I29" s="18" t="s">
        <v>603</v>
      </c>
      <c r="J29" s="20" t="s">
        <v>603</v>
      </c>
      <c r="K29" s="18" t="s">
        <v>603</v>
      </c>
      <c r="L29" s="20" t="s">
        <v>603</v>
      </c>
      <c r="M29" s="18" t="s">
        <v>603</v>
      </c>
      <c r="N29" s="20" t="s">
        <v>603</v>
      </c>
      <c r="O29" s="18" t="s">
        <v>603</v>
      </c>
      <c r="P29" s="20" t="s">
        <v>603</v>
      </c>
      <c r="Q29" s="18" t="s">
        <v>603</v>
      </c>
      <c r="R29" s="20" t="s">
        <v>603</v>
      </c>
    </row>
    <row r="30" spans="1:18">
      <c r="A30" s="15" t="s">
        <v>588</v>
      </c>
      <c r="B30" s="17" t="n">
        <v>4520</v>
      </c>
      <c r="C30" s="18">
        <f>(4520.0/B30*100)</f>
        <v/>
      </c>
      <c r="D30" s="19" t="n">
        <v>0</v>
      </c>
      <c r="E30" s="18" t="s">
        <v>603</v>
      </c>
      <c r="F30" s="20" t="s">
        <v>603</v>
      </c>
      <c r="G30" s="18" t="s">
        <v>603</v>
      </c>
      <c r="H30" s="20" t="s">
        <v>603</v>
      </c>
      <c r="I30" s="18" t="s">
        <v>603</v>
      </c>
      <c r="J30" s="20" t="s">
        <v>603</v>
      </c>
      <c r="K30" s="18" t="s">
        <v>603</v>
      </c>
      <c r="L30" s="20" t="s">
        <v>603</v>
      </c>
      <c r="M30" s="18" t="s">
        <v>603</v>
      </c>
      <c r="N30" s="20" t="s">
        <v>603</v>
      </c>
      <c r="O30" s="18" t="s">
        <v>603</v>
      </c>
      <c r="P30" s="20" t="s">
        <v>603</v>
      </c>
      <c r="Q30" s="18" t="s">
        <v>603</v>
      </c>
      <c r="R30" s="20" t="s">
        <v>603</v>
      </c>
    </row>
    <row r="31" spans="1:18">
      <c r="A31" s="15" t="s">
        <v>589</v>
      </c>
      <c r="B31" s="17" t="n">
        <v>5456</v>
      </c>
      <c r="C31" s="18">
        <f>(5456.0/B31*100)</f>
        <v/>
      </c>
      <c r="D31" s="19" t="n">
        <v>0</v>
      </c>
      <c r="E31" s="18" t="s">
        <v>603</v>
      </c>
      <c r="F31" s="20" t="s">
        <v>603</v>
      </c>
      <c r="G31" s="18" t="s">
        <v>603</v>
      </c>
      <c r="H31" s="20" t="s">
        <v>603</v>
      </c>
      <c r="I31" s="18" t="s">
        <v>603</v>
      </c>
      <c r="J31" s="20" t="s">
        <v>603</v>
      </c>
      <c r="K31" s="18" t="s">
        <v>603</v>
      </c>
      <c r="L31" s="20" t="s">
        <v>603</v>
      </c>
      <c r="M31" s="18" t="s">
        <v>603</v>
      </c>
      <c r="N31" s="20" t="s">
        <v>603</v>
      </c>
      <c r="O31" s="18" t="s">
        <v>603</v>
      </c>
      <c r="P31" s="20" t="s">
        <v>603</v>
      </c>
      <c r="Q31" s="18" t="s">
        <v>603</v>
      </c>
      <c r="R31" s="20" t="s">
        <v>603</v>
      </c>
    </row>
    <row r="32" spans="1:18">
      <c r="A32" s="15" t="s">
        <v>590</v>
      </c>
      <c r="B32" s="17" t="n">
        <v>4478</v>
      </c>
      <c r="C32" s="18">
        <f>(4478.0/B32*100)</f>
        <v/>
      </c>
      <c r="D32" s="19" t="n">
        <v>0</v>
      </c>
      <c r="E32" s="18" t="s">
        <v>603</v>
      </c>
      <c r="F32" s="20" t="s">
        <v>603</v>
      </c>
      <c r="G32" s="18" t="s">
        <v>603</v>
      </c>
      <c r="H32" s="20" t="s">
        <v>603</v>
      </c>
      <c r="I32" s="18" t="s">
        <v>603</v>
      </c>
      <c r="J32" s="20" t="s">
        <v>603</v>
      </c>
      <c r="K32" s="18" t="s">
        <v>603</v>
      </c>
      <c r="L32" s="20" t="s">
        <v>603</v>
      </c>
      <c r="M32" s="18" t="s">
        <v>603</v>
      </c>
      <c r="N32" s="20" t="s">
        <v>603</v>
      </c>
      <c r="O32" s="18" t="s">
        <v>603</v>
      </c>
      <c r="P32" s="20" t="s">
        <v>603</v>
      </c>
      <c r="Q32" s="18" t="s">
        <v>603</v>
      </c>
      <c r="R32" s="20" t="s">
        <v>603</v>
      </c>
    </row>
    <row r="33" spans="1:18">
      <c r="A33" s="15" t="s">
        <v>591</v>
      </c>
      <c r="B33" s="17" t="n">
        <v>7325</v>
      </c>
      <c r="C33" s="18">
        <f>(7325.0/B33*100)</f>
        <v/>
      </c>
      <c r="D33" s="19" t="n">
        <v>0</v>
      </c>
      <c r="E33" s="18" t="s">
        <v>603</v>
      </c>
      <c r="F33" s="20" t="s">
        <v>603</v>
      </c>
      <c r="G33" s="18" t="s">
        <v>603</v>
      </c>
      <c r="H33" s="20" t="s">
        <v>603</v>
      </c>
      <c r="I33" s="18" t="s">
        <v>603</v>
      </c>
      <c r="J33" s="20" t="s">
        <v>603</v>
      </c>
      <c r="K33" s="18" t="s">
        <v>603</v>
      </c>
      <c r="L33" s="20" t="s">
        <v>603</v>
      </c>
      <c r="M33" s="18" t="s">
        <v>603</v>
      </c>
      <c r="N33" s="20" t="s">
        <v>603</v>
      </c>
      <c r="O33" s="18" t="s">
        <v>603</v>
      </c>
      <c r="P33" s="20" t="s">
        <v>603</v>
      </c>
      <c r="Q33" s="18" t="s">
        <v>603</v>
      </c>
      <c r="R33" s="20" t="s">
        <v>603</v>
      </c>
    </row>
    <row r="34" spans="1:18">
      <c r="A34" s="15" t="s">
        <v>592</v>
      </c>
      <c r="B34" s="17" t="n">
        <v>6350</v>
      </c>
      <c r="C34" s="18">
        <f>(6350.0/B34*100)</f>
        <v/>
      </c>
      <c r="D34" s="19" t="n">
        <v>0</v>
      </c>
      <c r="E34" s="18" t="s">
        <v>603</v>
      </c>
      <c r="F34" s="20" t="s">
        <v>603</v>
      </c>
      <c r="G34" s="18" t="s">
        <v>603</v>
      </c>
      <c r="H34" s="20" t="s">
        <v>603</v>
      </c>
      <c r="I34" s="18" t="s">
        <v>603</v>
      </c>
      <c r="J34" s="20" t="s">
        <v>603</v>
      </c>
      <c r="K34" s="18" t="s">
        <v>603</v>
      </c>
      <c r="L34" s="20" t="s">
        <v>603</v>
      </c>
      <c r="M34" s="18" t="s">
        <v>603</v>
      </c>
      <c r="N34" s="20" t="s">
        <v>603</v>
      </c>
      <c r="O34" s="18" t="s">
        <v>603</v>
      </c>
      <c r="P34" s="20" t="s">
        <v>603</v>
      </c>
      <c r="Q34" s="18" t="s">
        <v>603</v>
      </c>
      <c r="R34" s="20" t="s">
        <v>603</v>
      </c>
    </row>
    <row r="35" spans="1:18">
      <c r="A35" s="15" t="s">
        <v>593</v>
      </c>
      <c r="B35" s="17" t="n">
        <v>6406</v>
      </c>
      <c r="C35" s="18">
        <f>(6406.0/B35*100)</f>
        <v/>
      </c>
      <c r="D35" s="19" t="n">
        <v>0</v>
      </c>
      <c r="E35" s="18" t="s">
        <v>603</v>
      </c>
      <c r="F35" s="20" t="s">
        <v>603</v>
      </c>
      <c r="G35" s="18" t="s">
        <v>603</v>
      </c>
      <c r="H35" s="20" t="s">
        <v>603</v>
      </c>
      <c r="I35" s="18" t="s">
        <v>603</v>
      </c>
      <c r="J35" s="20" t="s">
        <v>603</v>
      </c>
      <c r="K35" s="18" t="s">
        <v>603</v>
      </c>
      <c r="L35" s="20" t="s">
        <v>603</v>
      </c>
      <c r="M35" s="18" t="s">
        <v>603</v>
      </c>
      <c r="N35" s="20" t="s">
        <v>603</v>
      </c>
      <c r="O35" s="18" t="s">
        <v>603</v>
      </c>
      <c r="P35" s="20" t="s">
        <v>603</v>
      </c>
      <c r="Q35" s="18" t="s">
        <v>603</v>
      </c>
      <c r="R35" s="20" t="s">
        <v>603</v>
      </c>
    </row>
    <row r="36" spans="1:18">
      <c r="A36" s="15" t="s">
        <v>594</v>
      </c>
      <c r="B36" s="17" t="n">
        <v>6736</v>
      </c>
      <c r="C36" s="18">
        <f>(6736.0/B36*100)</f>
        <v/>
      </c>
      <c r="D36" s="19" t="n">
        <v>0</v>
      </c>
      <c r="E36" s="18" t="s">
        <v>603</v>
      </c>
      <c r="F36" s="20" t="s">
        <v>603</v>
      </c>
      <c r="G36" s="18" t="s">
        <v>603</v>
      </c>
      <c r="H36" s="20" t="s">
        <v>603</v>
      </c>
      <c r="I36" s="18" t="s">
        <v>603</v>
      </c>
      <c r="J36" s="20" t="s">
        <v>603</v>
      </c>
      <c r="K36" s="18" t="s">
        <v>603</v>
      </c>
      <c r="L36" s="20" t="s">
        <v>603</v>
      </c>
      <c r="M36" s="18" t="s">
        <v>603</v>
      </c>
      <c r="N36" s="20" t="s">
        <v>603</v>
      </c>
      <c r="O36" s="18" t="s">
        <v>603</v>
      </c>
      <c r="P36" s="20" t="s">
        <v>603</v>
      </c>
      <c r="Q36" s="18" t="s">
        <v>603</v>
      </c>
      <c r="R36" s="20" t="s">
        <v>603</v>
      </c>
    </row>
    <row r="37" spans="1:18">
      <c r="A37" s="15" t="s">
        <v>595</v>
      </c>
      <c r="B37" s="17" t="n">
        <v>5458</v>
      </c>
      <c r="C37" s="18">
        <f>(5458.0/B37*100)</f>
        <v/>
      </c>
      <c r="D37" s="19" t="n">
        <v>0</v>
      </c>
      <c r="E37" s="18" t="s">
        <v>603</v>
      </c>
      <c r="F37" s="20" t="s">
        <v>603</v>
      </c>
      <c r="G37" s="18" t="s">
        <v>603</v>
      </c>
      <c r="H37" s="20" t="s">
        <v>603</v>
      </c>
      <c r="I37" s="18" t="s">
        <v>603</v>
      </c>
      <c r="J37" s="20" t="s">
        <v>603</v>
      </c>
      <c r="K37" s="18" t="s">
        <v>603</v>
      </c>
      <c r="L37" s="20" t="s">
        <v>603</v>
      </c>
      <c r="M37" s="18" t="s">
        <v>603</v>
      </c>
      <c r="N37" s="20" t="s">
        <v>603</v>
      </c>
      <c r="O37" s="18" t="s">
        <v>603</v>
      </c>
      <c r="P37" s="20" t="s">
        <v>603</v>
      </c>
      <c r="Q37" s="18" t="s">
        <v>603</v>
      </c>
      <c r="R37" s="20" t="s">
        <v>603</v>
      </c>
    </row>
    <row r="38" spans="1:18">
      <c r="A38" s="15" t="s">
        <v>596</v>
      </c>
      <c r="B38" s="17" t="n">
        <v>5860</v>
      </c>
      <c r="C38" s="18">
        <f>(5860.0/B38*100)</f>
        <v/>
      </c>
      <c r="D38" s="19" t="n">
        <v>0</v>
      </c>
      <c r="E38" s="18" t="s">
        <v>603</v>
      </c>
      <c r="F38" s="20" t="s">
        <v>603</v>
      </c>
      <c r="G38" s="18" t="s">
        <v>603</v>
      </c>
      <c r="H38" s="20" t="s">
        <v>603</v>
      </c>
      <c r="I38" s="18" t="s">
        <v>603</v>
      </c>
      <c r="J38" s="20" t="s">
        <v>603</v>
      </c>
      <c r="K38" s="18" t="s">
        <v>603</v>
      </c>
      <c r="L38" s="20" t="s">
        <v>603</v>
      </c>
      <c r="M38" s="18" t="s">
        <v>603</v>
      </c>
      <c r="N38" s="20" t="s">
        <v>603</v>
      </c>
      <c r="O38" s="18" t="s">
        <v>603</v>
      </c>
      <c r="P38" s="20" t="s">
        <v>603</v>
      </c>
      <c r="Q38" s="18" t="s">
        <v>603</v>
      </c>
      <c r="R38" s="20" t="s">
        <v>603</v>
      </c>
    </row>
    <row r="39" spans="1:18">
      <c r="A39" s="15" t="s">
        <v>597</v>
      </c>
      <c r="B39" s="17" t="n">
        <v>5895</v>
      </c>
      <c r="C39" s="18">
        <f>(5895.0/B39*100)</f>
        <v/>
      </c>
      <c r="D39" s="19" t="n">
        <v>0</v>
      </c>
      <c r="E39" s="18" t="s">
        <v>603</v>
      </c>
      <c r="F39" s="20" t="s">
        <v>603</v>
      </c>
      <c r="G39" s="18" t="s">
        <v>603</v>
      </c>
      <c r="H39" s="20" t="s">
        <v>603</v>
      </c>
      <c r="I39" s="18" t="s">
        <v>603</v>
      </c>
      <c r="J39" s="20" t="s">
        <v>603</v>
      </c>
      <c r="K39" s="18" t="s">
        <v>603</v>
      </c>
      <c r="L39" s="20" t="s">
        <v>603</v>
      </c>
      <c r="M39" s="18" t="s">
        <v>603</v>
      </c>
      <c r="N39" s="20" t="s">
        <v>603</v>
      </c>
      <c r="O39" s="18" t="s">
        <v>603</v>
      </c>
      <c r="P39" s="20" t="s">
        <v>603</v>
      </c>
      <c r="Q39" s="18" t="s">
        <v>603</v>
      </c>
      <c r="R39" s="20" t="s">
        <v>603</v>
      </c>
    </row>
    <row r="40" spans="1:18">
      <c r="A40" s="15" t="s">
        <v>598</v>
      </c>
      <c r="B40" s="17" t="n">
        <v>14157</v>
      </c>
      <c r="C40" s="18">
        <f>(14157.0/B40*100)</f>
        <v/>
      </c>
      <c r="D40" s="19" t="n">
        <v>0</v>
      </c>
      <c r="E40" s="18" t="s">
        <v>603</v>
      </c>
      <c r="F40" s="20" t="s">
        <v>603</v>
      </c>
      <c r="G40" s="18" t="s">
        <v>603</v>
      </c>
      <c r="H40" s="20" t="s">
        <v>603</v>
      </c>
      <c r="I40" s="18" t="s">
        <v>603</v>
      </c>
      <c r="J40" s="20" t="s">
        <v>603</v>
      </c>
      <c r="K40" s="18" t="s">
        <v>603</v>
      </c>
      <c r="L40" s="20" t="s">
        <v>603</v>
      </c>
      <c r="M40" s="18" t="s">
        <v>603</v>
      </c>
      <c r="N40" s="20" t="s">
        <v>603</v>
      </c>
      <c r="O40" s="18" t="s">
        <v>603</v>
      </c>
      <c r="P40" s="20" t="s">
        <v>603</v>
      </c>
      <c r="Q40" s="18" t="s">
        <v>603</v>
      </c>
      <c r="R40" s="20" t="s">
        <v>603</v>
      </c>
    </row>
    <row r="41" spans="1:18">
      <c r="A41" s="15" t="s">
        <v>599</v>
      </c>
      <c r="B41" s="17" t="n">
        <v>5712</v>
      </c>
      <c r="C41" s="18">
        <f>(5712.0/B41*100)</f>
        <v/>
      </c>
      <c r="D41" s="19" t="n">
        <v>0</v>
      </c>
      <c r="E41" s="18" t="s">
        <v>603</v>
      </c>
      <c r="F41" s="20" t="s">
        <v>603</v>
      </c>
      <c r="G41" s="18" t="s">
        <v>603</v>
      </c>
      <c r="H41" s="20" t="s">
        <v>603</v>
      </c>
      <c r="I41" s="18" t="s">
        <v>603</v>
      </c>
      <c r="J41" s="20" t="s">
        <v>603</v>
      </c>
      <c r="K41" s="18" t="s">
        <v>603</v>
      </c>
      <c r="L41" s="20" t="s">
        <v>603</v>
      </c>
      <c r="M41" s="18" t="s">
        <v>603</v>
      </c>
      <c r="N41" s="20" t="s">
        <v>603</v>
      </c>
      <c r="O41" s="18" t="s">
        <v>603</v>
      </c>
      <c r="P41" s="20" t="s">
        <v>603</v>
      </c>
      <c r="Q41" s="18" t="s">
        <v>603</v>
      </c>
      <c r="R41" s="20" t="s">
        <v>603</v>
      </c>
    </row>
    <row r="42" spans="1:18">
      <c r="A42" s="15" t="s">
        <v>600</v>
      </c>
      <c r="B42" s="17">
        <f>IF(COUNT(B7:B41) &gt; 0, AVERAGE(B7:B41), "\u2014")</f>
        <v/>
      </c>
      <c r="C42" s="18">
        <f>IF(COUNT(C7:C41) &gt; 0, AVERAGE(C7:C41), "—")</f>
        <v/>
      </c>
      <c r="D42" s="19">
        <f>IF(COUNT(D7:D41) &gt; 0, AVERAGE(D7:D41), "—")</f>
        <v/>
      </c>
      <c r="E42" s="18">
        <f>IF(COUNT(E7:E41) &gt; 0, AVERAGE(E7:E41), "—")</f>
        <v/>
      </c>
      <c r="F42" s="20">
        <f>IF(COUNT(F7:F41) &gt; 0, SQRT(SUMSQ(F7:F41)/(COUNT(F7:F41)*COUNT(F7:F41)) ), "—")</f>
        <v/>
      </c>
      <c r="G42" s="18">
        <f>IF(COUNT(G7:G41) &gt; 0, AVERAGE(G7:G41), "—")</f>
        <v/>
      </c>
      <c r="H42" s="20">
        <f>IF(COUNT(H7:H41) &gt; 0, SQRT(SUMSQ(H7:H41)/(COUNT(H7:H41)*COUNT(H7:H41)) ), "—")</f>
        <v/>
      </c>
      <c r="I42" s="18">
        <f>IF(COUNT(I7:I41) &gt; 0, AVERAGE(I7:I41), "—")</f>
        <v/>
      </c>
      <c r="J42" s="20">
        <f>IF(COUNT(J7:J41) &gt; 0, SQRT(SUMSQ(J7:J41)/(COUNT(J7:J41)*COUNT(J7:J41)) ), "—")</f>
        <v/>
      </c>
      <c r="K42" s="18">
        <f>IF(COUNT(K7:K41) &gt; 0, AVERAGE(K7:K41), "—")</f>
        <v/>
      </c>
      <c r="L42" s="20">
        <f>IF(COUNT(L7:L41) &gt; 0, SQRT(SUMSQ(L7:L41)/(COUNT(L7:L41)*COUNT(L7:L41)) ), "—")</f>
        <v/>
      </c>
      <c r="M42" s="18">
        <f>IF(COUNT(M7:M41) &gt; 0, AVERAGE(M7:M41), "—")</f>
        <v/>
      </c>
      <c r="N42" s="20">
        <f>IF(COUNT(N7:N41) &gt; 0, SQRT(SUMSQ(N7:N41)/(COUNT(N7:N41)*COUNT(N7:N41)) ), "—")</f>
        <v/>
      </c>
      <c r="O42" s="18">
        <f>IF(COUNT(O7:O41) &gt; 0, AVERAGE(O7:O41), "—")</f>
        <v/>
      </c>
      <c r="P42" s="20">
        <f>IF(COUNT(P7:P41) &gt; 0, SQRT(SUMSQ(P7:P41)/(COUNT(P7:P41)*COUNT(P7:P41)) ), "—")</f>
        <v/>
      </c>
      <c r="Q42" s="18">
        <f>IF(COUNT(Q7:Q41) &gt; 0, AVERAGE(Q7:Q41), "—")</f>
        <v/>
      </c>
      <c r="R42" s="20">
        <f>IF(COUNT(R7:R41) &gt; 0, SQRT(SUMSQ(R7:R41)/(COUNT(R7:R41)*COUNT(R7:R41)) ), "—")</f>
        <v/>
      </c>
    </row>
    <row r="43" spans="1:18">
      <c r="A43" s="13" t="s">
        <v>601</v>
      </c>
      <c r="B43" s="14" t="n"/>
      <c r="C43" s="14" t="n"/>
      <c r="D43" s="15" t="n"/>
      <c r="E43" s="14" t="n"/>
      <c r="F43" s="15" t="n"/>
      <c r="G43" s="14" t="n"/>
      <c r="H43" s="15" t="n"/>
      <c r="I43" s="14" t="n"/>
      <c r="J43" s="15" t="n"/>
      <c r="K43" s="14" t="n"/>
      <c r="L43" s="15" t="n"/>
      <c r="M43" s="14" t="n"/>
      <c r="N43" s="15" t="n"/>
      <c r="O43" s="14" t="n"/>
      <c r="P43" s="15" t="n"/>
      <c r="Q43" s="14" t="n"/>
      <c r="R43" s="16" t="n"/>
    </row>
    <row r="44" spans="1:18">
      <c r="A44" s="15" t="s">
        <v>602</v>
      </c>
      <c r="B44" s="17" t="n">
        <v>5215</v>
      </c>
      <c r="C44" s="18">
        <f>(3478.0/B44*100)</f>
        <v/>
      </c>
      <c r="D44" s="19" t="n">
        <v>1737</v>
      </c>
      <c r="E44" s="18" t="n">
        <v>0</v>
      </c>
      <c r="F44" s="20" t="n">
        <v>0</v>
      </c>
      <c r="G44" s="18" t="n">
        <v>0</v>
      </c>
      <c r="H44" s="20" t="n">
        <v>0</v>
      </c>
      <c r="I44" s="18" t="n">
        <v>0</v>
      </c>
      <c r="J44" s="20" t="n">
        <v>0</v>
      </c>
      <c r="K44" s="18" t="n">
        <v>0</v>
      </c>
      <c r="L44" s="20" t="n">
        <v>0</v>
      </c>
      <c r="M44" s="18" t="n">
        <v>100</v>
      </c>
      <c r="N44" s="20" t="n">
        <v>0</v>
      </c>
      <c r="O44" s="18" t="n">
        <v>0</v>
      </c>
      <c r="P44" s="20" t="n">
        <v>0</v>
      </c>
      <c r="Q44" s="18" t="n">
        <v>0</v>
      </c>
      <c r="R44" s="20" t="n">
        <v>0</v>
      </c>
    </row>
    <row r="45" spans="1:18">
      <c r="A45" s="15" t="s">
        <v>604</v>
      </c>
      <c r="B45" s="17" t="n">
        <v>5519</v>
      </c>
      <c r="C45" s="18">
        <f>(3662.0/B45*100)</f>
        <v/>
      </c>
      <c r="D45" s="19" t="n">
        <v>1857</v>
      </c>
      <c r="E45" s="18" t="n">
        <v>0</v>
      </c>
      <c r="F45" s="20" t="n">
        <v>0</v>
      </c>
      <c r="G45" s="18" t="n">
        <v>0</v>
      </c>
      <c r="H45" s="20" t="n">
        <v>0</v>
      </c>
      <c r="I45" s="18" t="n">
        <v>0</v>
      </c>
      <c r="J45" s="20" t="n">
        <v>0</v>
      </c>
      <c r="K45" s="18" t="n">
        <v>0</v>
      </c>
      <c r="L45" s="20" t="n">
        <v>0</v>
      </c>
      <c r="M45" s="18" t="n">
        <v>100</v>
      </c>
      <c r="N45" s="20" t="n">
        <v>0</v>
      </c>
      <c r="O45" s="18" t="n">
        <v>0</v>
      </c>
      <c r="P45" s="20" t="n">
        <v>0</v>
      </c>
      <c r="Q45" s="18" t="n">
        <v>0</v>
      </c>
      <c r="R45" s="20" t="n">
        <v>0</v>
      </c>
    </row>
    <row r="46" spans="1:18">
      <c r="A46" s="15" t="s">
        <v>605</v>
      </c>
      <c r="B46" s="17" t="n">
        <v>23141</v>
      </c>
      <c r="C46" s="18">
        <f>(23141.0/B46*100)</f>
        <v/>
      </c>
      <c r="D46" s="19" t="n">
        <v>0</v>
      </c>
      <c r="E46" s="18" t="s">
        <v>603</v>
      </c>
      <c r="F46" s="20" t="s">
        <v>603</v>
      </c>
      <c r="G46" s="18" t="s">
        <v>603</v>
      </c>
      <c r="H46" s="20" t="s">
        <v>603</v>
      </c>
      <c r="I46" s="18" t="s">
        <v>603</v>
      </c>
      <c r="J46" s="20" t="s">
        <v>603</v>
      </c>
      <c r="K46" s="18" t="s">
        <v>603</v>
      </c>
      <c r="L46" s="20" t="s">
        <v>603</v>
      </c>
      <c r="M46" s="18" t="s">
        <v>603</v>
      </c>
      <c r="N46" s="20" t="s">
        <v>603</v>
      </c>
      <c r="O46" s="18" t="s">
        <v>603</v>
      </c>
      <c r="P46" s="20" t="s">
        <v>603</v>
      </c>
      <c r="Q46" s="18" t="s">
        <v>603</v>
      </c>
      <c r="R46" s="20" t="s">
        <v>603</v>
      </c>
    </row>
    <row r="47" spans="1:18">
      <c r="A47" s="15" t="s">
        <v>606</v>
      </c>
      <c r="B47" s="17" t="n">
        <v>5928</v>
      </c>
      <c r="C47" s="18">
        <f>(5928.0/B47*100)</f>
        <v/>
      </c>
      <c r="D47" s="19" t="n">
        <v>0</v>
      </c>
      <c r="E47" s="18" t="s">
        <v>603</v>
      </c>
      <c r="F47" s="20" t="s">
        <v>603</v>
      </c>
      <c r="G47" s="18" t="s">
        <v>603</v>
      </c>
      <c r="H47" s="20" t="s">
        <v>603</v>
      </c>
      <c r="I47" s="18" t="s">
        <v>603</v>
      </c>
      <c r="J47" s="20" t="s">
        <v>603</v>
      </c>
      <c r="K47" s="18" t="s">
        <v>603</v>
      </c>
      <c r="L47" s="20" t="s">
        <v>603</v>
      </c>
      <c r="M47" s="18" t="s">
        <v>603</v>
      </c>
      <c r="N47" s="20" t="s">
        <v>603</v>
      </c>
      <c r="O47" s="18" t="s">
        <v>603</v>
      </c>
      <c r="P47" s="20" t="s">
        <v>603</v>
      </c>
      <c r="Q47" s="18" t="s">
        <v>603</v>
      </c>
      <c r="R47" s="20" t="s">
        <v>603</v>
      </c>
    </row>
    <row r="48" spans="1:18">
      <c r="A48" s="15" t="s">
        <v>607</v>
      </c>
      <c r="B48" s="17" t="n">
        <v>9841</v>
      </c>
      <c r="C48" s="18">
        <f>(9841.0/B48*100)</f>
        <v/>
      </c>
      <c r="D48" s="19" t="n">
        <v>0</v>
      </c>
      <c r="E48" s="18" t="s">
        <v>603</v>
      </c>
      <c r="F48" s="20" t="s">
        <v>603</v>
      </c>
      <c r="G48" s="18" t="s">
        <v>603</v>
      </c>
      <c r="H48" s="20" t="s">
        <v>603</v>
      </c>
      <c r="I48" s="18" t="s">
        <v>603</v>
      </c>
      <c r="J48" s="20" t="s">
        <v>603</v>
      </c>
      <c r="K48" s="18" t="s">
        <v>603</v>
      </c>
      <c r="L48" s="20" t="s">
        <v>603</v>
      </c>
      <c r="M48" s="18" t="s">
        <v>603</v>
      </c>
      <c r="N48" s="20" t="s">
        <v>603</v>
      </c>
      <c r="O48" s="18" t="s">
        <v>603</v>
      </c>
      <c r="P48" s="20" t="s">
        <v>603</v>
      </c>
      <c r="Q48" s="18" t="s">
        <v>603</v>
      </c>
      <c r="R48" s="20" t="s">
        <v>603</v>
      </c>
    </row>
    <row r="49" spans="1:18">
      <c r="A49" s="15" t="s">
        <v>608</v>
      </c>
      <c r="B49" s="17" t="n">
        <v>11795</v>
      </c>
      <c r="C49" s="18">
        <f>(11795.0/B49*100)</f>
        <v/>
      </c>
      <c r="D49" s="19" t="n">
        <v>0</v>
      </c>
      <c r="E49" s="18" t="s">
        <v>603</v>
      </c>
      <c r="F49" s="20" t="s">
        <v>603</v>
      </c>
      <c r="G49" s="18" t="s">
        <v>603</v>
      </c>
      <c r="H49" s="20" t="s">
        <v>603</v>
      </c>
      <c r="I49" s="18" t="s">
        <v>603</v>
      </c>
      <c r="J49" s="20" t="s">
        <v>603</v>
      </c>
      <c r="K49" s="18" t="s">
        <v>603</v>
      </c>
      <c r="L49" s="20" t="s">
        <v>603</v>
      </c>
      <c r="M49" s="18" t="s">
        <v>603</v>
      </c>
      <c r="N49" s="20" t="s">
        <v>603</v>
      </c>
      <c r="O49" s="18" t="s">
        <v>603</v>
      </c>
      <c r="P49" s="20" t="s">
        <v>603</v>
      </c>
      <c r="Q49" s="18" t="s">
        <v>603</v>
      </c>
      <c r="R49" s="20" t="s">
        <v>603</v>
      </c>
    </row>
    <row r="50" spans="1:18">
      <c r="A50" s="15" t="s">
        <v>609</v>
      </c>
      <c r="B50" s="17" t="n">
        <v>6866</v>
      </c>
      <c r="C50" s="18">
        <f>(6866.0/B50*100)</f>
        <v/>
      </c>
      <c r="D50" s="19" t="n">
        <v>0</v>
      </c>
      <c r="E50" s="18" t="s">
        <v>603</v>
      </c>
      <c r="F50" s="20" t="s">
        <v>603</v>
      </c>
      <c r="G50" s="18" t="s">
        <v>603</v>
      </c>
      <c r="H50" s="20" t="s">
        <v>603</v>
      </c>
      <c r="I50" s="18" t="s">
        <v>603</v>
      </c>
      <c r="J50" s="20" t="s">
        <v>603</v>
      </c>
      <c r="K50" s="18" t="s">
        <v>603</v>
      </c>
      <c r="L50" s="20" t="s">
        <v>603</v>
      </c>
      <c r="M50" s="18" t="s">
        <v>603</v>
      </c>
      <c r="N50" s="20" t="s">
        <v>603</v>
      </c>
      <c r="O50" s="18" t="s">
        <v>603</v>
      </c>
      <c r="P50" s="20" t="s">
        <v>603</v>
      </c>
      <c r="Q50" s="18" t="s">
        <v>603</v>
      </c>
      <c r="R50" s="20" t="s">
        <v>603</v>
      </c>
    </row>
    <row r="51" spans="1:18">
      <c r="A51" s="15" t="s">
        <v>610</v>
      </c>
      <c r="B51" s="17" t="n">
        <v>5809</v>
      </c>
      <c r="C51" s="18">
        <f>(5809.0/B51*100)</f>
        <v/>
      </c>
      <c r="D51" s="19" t="n">
        <v>0</v>
      </c>
      <c r="E51" s="18" t="s">
        <v>603</v>
      </c>
      <c r="F51" s="20" t="s">
        <v>603</v>
      </c>
      <c r="G51" s="18" t="s">
        <v>603</v>
      </c>
      <c r="H51" s="20" t="s">
        <v>603</v>
      </c>
      <c r="I51" s="18" t="s">
        <v>603</v>
      </c>
      <c r="J51" s="20" t="s">
        <v>603</v>
      </c>
      <c r="K51" s="18" t="s">
        <v>603</v>
      </c>
      <c r="L51" s="20" t="s">
        <v>603</v>
      </c>
      <c r="M51" s="18" t="s">
        <v>603</v>
      </c>
      <c r="N51" s="20" t="s">
        <v>603</v>
      </c>
      <c r="O51" s="18" t="s">
        <v>603</v>
      </c>
      <c r="P51" s="20" t="s">
        <v>603</v>
      </c>
      <c r="Q51" s="18" t="s">
        <v>603</v>
      </c>
      <c r="R51" s="20" t="s">
        <v>603</v>
      </c>
    </row>
    <row r="52" spans="1:18">
      <c r="A52" s="15" t="s">
        <v>611</v>
      </c>
      <c r="B52" s="17" t="n">
        <v>5571</v>
      </c>
      <c r="C52" s="18">
        <f>(5571.0/B52*100)</f>
        <v/>
      </c>
      <c r="D52" s="19" t="n">
        <v>0</v>
      </c>
      <c r="E52" s="18" t="s">
        <v>603</v>
      </c>
      <c r="F52" s="20" t="s">
        <v>603</v>
      </c>
      <c r="G52" s="18" t="s">
        <v>603</v>
      </c>
      <c r="H52" s="20" t="s">
        <v>603</v>
      </c>
      <c r="I52" s="18" t="s">
        <v>603</v>
      </c>
      <c r="J52" s="20" t="s">
        <v>603</v>
      </c>
      <c r="K52" s="18" t="s">
        <v>603</v>
      </c>
      <c r="L52" s="20" t="s">
        <v>603</v>
      </c>
      <c r="M52" s="18" t="s">
        <v>603</v>
      </c>
      <c r="N52" s="20" t="s">
        <v>603</v>
      </c>
      <c r="O52" s="18" t="s">
        <v>603</v>
      </c>
      <c r="P52" s="20" t="s">
        <v>603</v>
      </c>
      <c r="Q52" s="18" t="s">
        <v>603</v>
      </c>
      <c r="R52" s="20" t="s">
        <v>603</v>
      </c>
    </row>
    <row r="53" spans="1:18">
      <c r="A53" s="15" t="s">
        <v>612</v>
      </c>
      <c r="B53" s="17" t="n">
        <v>4740</v>
      </c>
      <c r="C53" s="18">
        <f>(4740.0/B53*100)</f>
        <v/>
      </c>
      <c r="D53" s="19" t="n">
        <v>0</v>
      </c>
      <c r="E53" s="18" t="s">
        <v>603</v>
      </c>
      <c r="F53" s="20" t="s">
        <v>603</v>
      </c>
      <c r="G53" s="18" t="s">
        <v>603</v>
      </c>
      <c r="H53" s="20" t="s">
        <v>603</v>
      </c>
      <c r="I53" s="18" t="s">
        <v>603</v>
      </c>
      <c r="J53" s="20" t="s">
        <v>603</v>
      </c>
      <c r="K53" s="18" t="s">
        <v>603</v>
      </c>
      <c r="L53" s="20" t="s">
        <v>603</v>
      </c>
      <c r="M53" s="18" t="s">
        <v>603</v>
      </c>
      <c r="N53" s="20" t="s">
        <v>603</v>
      </c>
      <c r="O53" s="18" t="s">
        <v>603</v>
      </c>
      <c r="P53" s="20" t="s">
        <v>603</v>
      </c>
      <c r="Q53" s="18" t="s">
        <v>603</v>
      </c>
      <c r="R53" s="20" t="s">
        <v>603</v>
      </c>
    </row>
    <row r="54" spans="1:18">
      <c r="A54" s="15" t="s">
        <v>613</v>
      </c>
      <c r="B54" s="17" t="n">
        <v>5316</v>
      </c>
      <c r="C54" s="18">
        <f>(3547.0/B54*100)</f>
        <v/>
      </c>
      <c r="D54" s="19" t="n">
        <v>1769</v>
      </c>
      <c r="E54" s="18" t="n">
        <v>0</v>
      </c>
      <c r="F54" s="20" t="n">
        <v>0</v>
      </c>
      <c r="G54" s="18" t="n">
        <v>0</v>
      </c>
      <c r="H54" s="20" t="n">
        <v>0</v>
      </c>
      <c r="I54" s="18" t="n">
        <v>0</v>
      </c>
      <c r="J54" s="20" t="n">
        <v>0</v>
      </c>
      <c r="K54" s="18" t="n">
        <v>0</v>
      </c>
      <c r="L54" s="20" t="n">
        <v>0</v>
      </c>
      <c r="M54" s="18" t="n">
        <v>100</v>
      </c>
      <c r="N54" s="20" t="n">
        <v>0</v>
      </c>
      <c r="O54" s="18" t="n">
        <v>0</v>
      </c>
      <c r="P54" s="20" t="n">
        <v>0</v>
      </c>
      <c r="Q54" s="18" t="n">
        <v>0</v>
      </c>
      <c r="R54" s="20" t="n">
        <v>0</v>
      </c>
    </row>
    <row r="55" spans="1:18">
      <c r="A55" s="15" t="s">
        <v>614</v>
      </c>
      <c r="B55" s="17" t="n">
        <v>5359</v>
      </c>
      <c r="C55" s="18">
        <f>(5359.0/B55*100)</f>
        <v/>
      </c>
      <c r="D55" s="19" t="n">
        <v>0</v>
      </c>
      <c r="E55" s="18" t="s">
        <v>603</v>
      </c>
      <c r="F55" s="20" t="s">
        <v>603</v>
      </c>
      <c r="G55" s="18" t="s">
        <v>603</v>
      </c>
      <c r="H55" s="20" t="s">
        <v>603</v>
      </c>
      <c r="I55" s="18" t="s">
        <v>603</v>
      </c>
      <c r="J55" s="20" t="s">
        <v>603</v>
      </c>
      <c r="K55" s="18" t="s">
        <v>603</v>
      </c>
      <c r="L55" s="20" t="s">
        <v>603</v>
      </c>
      <c r="M55" s="18" t="s">
        <v>603</v>
      </c>
      <c r="N55" s="20" t="s">
        <v>603</v>
      </c>
      <c r="O55" s="18" t="s">
        <v>603</v>
      </c>
      <c r="P55" s="20" t="s">
        <v>603</v>
      </c>
      <c r="Q55" s="18" t="s">
        <v>603</v>
      </c>
      <c r="R55" s="20" t="s">
        <v>603</v>
      </c>
    </row>
    <row r="56" spans="1:18">
      <c r="A56" s="15" t="s">
        <v>615</v>
      </c>
      <c r="B56" s="17" t="n">
        <v>6513</v>
      </c>
      <c r="C56" s="18">
        <f>(4317.0/B56*100)</f>
        <v/>
      </c>
      <c r="D56" s="19" t="n">
        <v>2196</v>
      </c>
      <c r="E56" s="18" t="n">
        <v>0</v>
      </c>
      <c r="F56" s="20" t="n">
        <v>0</v>
      </c>
      <c r="G56" s="18" t="n">
        <v>0</v>
      </c>
      <c r="H56" s="20" t="n">
        <v>0</v>
      </c>
      <c r="I56" s="18" t="n">
        <v>0</v>
      </c>
      <c r="J56" s="20" t="n">
        <v>0</v>
      </c>
      <c r="K56" s="18" t="n">
        <v>0</v>
      </c>
      <c r="L56" s="20" t="n">
        <v>0</v>
      </c>
      <c r="M56" s="18" t="n">
        <v>100</v>
      </c>
      <c r="N56" s="20" t="n">
        <v>0</v>
      </c>
      <c r="O56" s="18" t="n">
        <v>0</v>
      </c>
      <c r="P56" s="20" t="n">
        <v>0</v>
      </c>
      <c r="Q56" s="18" t="n">
        <v>0</v>
      </c>
      <c r="R56" s="20" t="n">
        <v>0</v>
      </c>
    </row>
    <row r="57" spans="1:18">
      <c r="A57" s="15" t="s">
        <v>616</v>
      </c>
      <c r="B57" s="17" t="n">
        <v>7267</v>
      </c>
      <c r="C57" s="18">
        <f>(4852.0/B57*100)</f>
        <v/>
      </c>
      <c r="D57" s="19" t="n">
        <v>2415</v>
      </c>
      <c r="E57" s="18" t="n">
        <v>0</v>
      </c>
      <c r="F57" s="20" t="n">
        <v>0</v>
      </c>
      <c r="G57" s="18" t="n">
        <v>0</v>
      </c>
      <c r="H57" s="20" t="n">
        <v>0</v>
      </c>
      <c r="I57" s="18" t="n">
        <v>0</v>
      </c>
      <c r="J57" s="20" t="n">
        <v>0</v>
      </c>
      <c r="K57" s="18" t="n">
        <v>0</v>
      </c>
      <c r="L57" s="20" t="n">
        <v>0</v>
      </c>
      <c r="M57" s="18" t="n">
        <v>100</v>
      </c>
      <c r="N57" s="20" t="n">
        <v>0</v>
      </c>
      <c r="O57" s="18" t="n">
        <v>0</v>
      </c>
      <c r="P57" s="20" t="n">
        <v>0</v>
      </c>
      <c r="Q57" s="18" t="n">
        <v>0</v>
      </c>
      <c r="R57" s="20" t="n">
        <v>0</v>
      </c>
    </row>
    <row r="58" spans="1:18">
      <c r="A58" s="15" t="s">
        <v>617</v>
      </c>
      <c r="B58" s="21" t="s">
        <v>618</v>
      </c>
      <c r="C58" s="21" t="s">
        <v>618</v>
      </c>
      <c r="D58" s="22" t="s">
        <v>618</v>
      </c>
      <c r="E58" s="21" t="s">
        <v>618</v>
      </c>
      <c r="F58" s="22" t="s">
        <v>618</v>
      </c>
      <c r="G58" s="21" t="s">
        <v>618</v>
      </c>
      <c r="H58" s="22" t="s">
        <v>618</v>
      </c>
      <c r="I58" s="21" t="s">
        <v>618</v>
      </c>
      <c r="J58" s="22" t="s">
        <v>618</v>
      </c>
      <c r="K58" s="21" t="s">
        <v>618</v>
      </c>
      <c r="L58" s="22" t="s">
        <v>618</v>
      </c>
      <c r="M58" s="21" t="s">
        <v>618</v>
      </c>
      <c r="N58" s="22" t="s">
        <v>618</v>
      </c>
      <c r="O58" s="21" t="s">
        <v>618</v>
      </c>
      <c r="P58" s="22" t="s">
        <v>618</v>
      </c>
      <c r="Q58" s="21" t="s">
        <v>618</v>
      </c>
      <c r="R58" s="22" t="s">
        <v>618</v>
      </c>
    </row>
    <row r="59" spans="1:18">
      <c r="A59" s="15" t="s">
        <v>619</v>
      </c>
      <c r="B59" s="17" t="n">
        <v>4826</v>
      </c>
      <c r="C59" s="18">
        <f>(3180.0/B59*100)</f>
        <v/>
      </c>
      <c r="D59" s="19" t="n">
        <v>1646</v>
      </c>
      <c r="E59" s="18" t="n">
        <v>0</v>
      </c>
      <c r="F59" s="20" t="n">
        <v>0</v>
      </c>
      <c r="G59" s="18" t="n">
        <v>0</v>
      </c>
      <c r="H59" s="20" t="n">
        <v>0</v>
      </c>
      <c r="I59" s="18" t="n">
        <v>0</v>
      </c>
      <c r="J59" s="20" t="n">
        <v>0</v>
      </c>
      <c r="K59" s="18" t="n">
        <v>0</v>
      </c>
      <c r="L59" s="20" t="n">
        <v>0</v>
      </c>
      <c r="M59" s="18" t="n">
        <v>100</v>
      </c>
      <c r="N59" s="20" t="n">
        <v>0</v>
      </c>
      <c r="O59" s="18" t="n">
        <v>0</v>
      </c>
      <c r="P59" s="20" t="n">
        <v>0</v>
      </c>
      <c r="Q59" s="18" t="n">
        <v>0</v>
      </c>
      <c r="R59" s="20" t="n">
        <v>0</v>
      </c>
    </row>
    <row r="60" spans="1:18">
      <c r="A60" s="15" t="s">
        <v>620</v>
      </c>
      <c r="B60" s="17" t="n">
        <v>4546</v>
      </c>
      <c r="C60" s="18">
        <f>(3036.0/B60*100)</f>
        <v/>
      </c>
      <c r="D60" s="19" t="n">
        <v>1510</v>
      </c>
      <c r="E60" s="18" t="n">
        <v>0</v>
      </c>
      <c r="F60" s="20" t="n">
        <v>0</v>
      </c>
      <c r="G60" s="18" t="n">
        <v>0</v>
      </c>
      <c r="H60" s="20" t="n">
        <v>0</v>
      </c>
      <c r="I60" s="18" t="n">
        <v>0</v>
      </c>
      <c r="J60" s="20" t="n">
        <v>0</v>
      </c>
      <c r="K60" s="18" t="n">
        <v>0</v>
      </c>
      <c r="L60" s="20" t="n">
        <v>0</v>
      </c>
      <c r="M60" s="18" t="n">
        <v>100</v>
      </c>
      <c r="N60" s="20" t="n">
        <v>0</v>
      </c>
      <c r="O60" s="18" t="n">
        <v>0</v>
      </c>
      <c r="P60" s="20" t="n">
        <v>0</v>
      </c>
      <c r="Q60" s="18" t="n">
        <v>0</v>
      </c>
      <c r="R60" s="20" t="n">
        <v>0</v>
      </c>
    </row>
    <row r="61" spans="1:18">
      <c r="A61" s="15" t="s">
        <v>621</v>
      </c>
      <c r="B61" s="17" t="n">
        <v>6525</v>
      </c>
      <c r="C61" s="18">
        <f>(6525.0/B61*100)</f>
        <v/>
      </c>
      <c r="D61" s="19" t="n">
        <v>0</v>
      </c>
      <c r="E61" s="18" t="s">
        <v>603</v>
      </c>
      <c r="F61" s="20" t="s">
        <v>603</v>
      </c>
      <c r="G61" s="18" t="s">
        <v>603</v>
      </c>
      <c r="H61" s="20" t="s">
        <v>603</v>
      </c>
      <c r="I61" s="18" t="s">
        <v>603</v>
      </c>
      <c r="J61" s="20" t="s">
        <v>603</v>
      </c>
      <c r="K61" s="18" t="s">
        <v>603</v>
      </c>
      <c r="L61" s="20" t="s">
        <v>603</v>
      </c>
      <c r="M61" s="18" t="s">
        <v>603</v>
      </c>
      <c r="N61" s="20" t="s">
        <v>603</v>
      </c>
      <c r="O61" s="18" t="s">
        <v>603</v>
      </c>
      <c r="P61" s="20" t="s">
        <v>603</v>
      </c>
      <c r="Q61" s="18" t="s">
        <v>603</v>
      </c>
      <c r="R61" s="20" t="s">
        <v>603</v>
      </c>
    </row>
    <row r="62" spans="1:18">
      <c r="A62" s="15" t="s">
        <v>622</v>
      </c>
      <c r="B62" s="17" t="n">
        <v>4476</v>
      </c>
      <c r="C62" s="18">
        <f>(4476.0/B62*100)</f>
        <v/>
      </c>
      <c r="D62" s="19" t="n">
        <v>0</v>
      </c>
      <c r="E62" s="18" t="s">
        <v>603</v>
      </c>
      <c r="F62" s="20" t="s">
        <v>603</v>
      </c>
      <c r="G62" s="18" t="s">
        <v>603</v>
      </c>
      <c r="H62" s="20" t="s">
        <v>603</v>
      </c>
      <c r="I62" s="18" t="s">
        <v>603</v>
      </c>
      <c r="J62" s="20" t="s">
        <v>603</v>
      </c>
      <c r="K62" s="18" t="s">
        <v>603</v>
      </c>
      <c r="L62" s="20" t="s">
        <v>603</v>
      </c>
      <c r="M62" s="18" t="s">
        <v>603</v>
      </c>
      <c r="N62" s="20" t="s">
        <v>603</v>
      </c>
      <c r="O62" s="18" t="s">
        <v>603</v>
      </c>
      <c r="P62" s="20" t="s">
        <v>603</v>
      </c>
      <c r="Q62" s="18" t="s">
        <v>603</v>
      </c>
      <c r="R62" s="20" t="s">
        <v>603</v>
      </c>
    </row>
    <row r="63" spans="1:18">
      <c r="A63" s="15" t="s">
        <v>623</v>
      </c>
      <c r="B63" s="17" t="n">
        <v>5324</v>
      </c>
      <c r="C63" s="18">
        <f>(3554.0/B63*100)</f>
        <v/>
      </c>
      <c r="D63" s="19" t="n">
        <v>1770</v>
      </c>
      <c r="E63" s="18" t="n">
        <v>0</v>
      </c>
      <c r="F63" s="20" t="n">
        <v>0</v>
      </c>
      <c r="G63" s="18" t="n">
        <v>0</v>
      </c>
      <c r="H63" s="20" t="n">
        <v>0</v>
      </c>
      <c r="I63" s="18" t="n">
        <v>0</v>
      </c>
      <c r="J63" s="20" t="n">
        <v>0</v>
      </c>
      <c r="K63" s="18" t="n">
        <v>0</v>
      </c>
      <c r="L63" s="20" t="n">
        <v>0</v>
      </c>
      <c r="M63" s="18" t="n">
        <v>100</v>
      </c>
      <c r="N63" s="20" t="n">
        <v>0</v>
      </c>
      <c r="O63" s="18" t="n">
        <v>0</v>
      </c>
      <c r="P63" s="20" t="n">
        <v>0</v>
      </c>
      <c r="Q63" s="18" t="n">
        <v>0</v>
      </c>
      <c r="R63" s="20" t="n">
        <v>0</v>
      </c>
    </row>
    <row r="64" spans="1:18">
      <c r="A64" s="15" t="s">
        <v>624</v>
      </c>
      <c r="B64" s="21" t="s">
        <v>618</v>
      </c>
      <c r="C64" s="21" t="s">
        <v>618</v>
      </c>
      <c r="D64" s="22" t="s">
        <v>618</v>
      </c>
      <c r="E64" s="21" t="s">
        <v>618</v>
      </c>
      <c r="F64" s="22" t="s">
        <v>618</v>
      </c>
      <c r="G64" s="21" t="s">
        <v>618</v>
      </c>
      <c r="H64" s="22" t="s">
        <v>618</v>
      </c>
      <c r="I64" s="21" t="s">
        <v>618</v>
      </c>
      <c r="J64" s="22" t="s">
        <v>618</v>
      </c>
      <c r="K64" s="21" t="s">
        <v>618</v>
      </c>
      <c r="L64" s="22" t="s">
        <v>618</v>
      </c>
      <c r="M64" s="21" t="s">
        <v>618</v>
      </c>
      <c r="N64" s="22" t="s">
        <v>618</v>
      </c>
      <c r="O64" s="21" t="s">
        <v>618</v>
      </c>
      <c r="P64" s="22" t="s">
        <v>618</v>
      </c>
      <c r="Q64" s="21" t="s">
        <v>618</v>
      </c>
      <c r="R64" s="22" t="s">
        <v>618</v>
      </c>
    </row>
    <row r="65" spans="1:18">
      <c r="A65" s="15" t="s">
        <v>625</v>
      </c>
      <c r="B65" s="17" t="n">
        <v>3634</v>
      </c>
      <c r="C65" s="18">
        <f>(2416.0/B65*100)</f>
        <v/>
      </c>
      <c r="D65" s="19" t="n">
        <v>1218</v>
      </c>
      <c r="E65" s="18" t="n">
        <v>0</v>
      </c>
      <c r="F65" s="20" t="n">
        <v>0</v>
      </c>
      <c r="G65" s="18" t="n">
        <v>0</v>
      </c>
      <c r="H65" s="20" t="n">
        <v>0</v>
      </c>
      <c r="I65" s="18" t="n">
        <v>0</v>
      </c>
      <c r="J65" s="20" t="n">
        <v>0</v>
      </c>
      <c r="K65" s="18" t="n">
        <v>0</v>
      </c>
      <c r="L65" s="20" t="n">
        <v>0</v>
      </c>
      <c r="M65" s="18" t="n">
        <v>100</v>
      </c>
      <c r="N65" s="20" t="n">
        <v>0</v>
      </c>
      <c r="O65" s="18" t="n">
        <v>0</v>
      </c>
      <c r="P65" s="20" t="n">
        <v>0</v>
      </c>
      <c r="Q65" s="18" t="n">
        <v>0</v>
      </c>
      <c r="R65" s="20" t="n">
        <v>0</v>
      </c>
    </row>
    <row r="66" spans="1:18">
      <c r="A66" s="15" t="s">
        <v>626</v>
      </c>
      <c r="B66" s="17" t="n">
        <v>5325</v>
      </c>
      <c r="C66" s="18">
        <f>(3562.0/B66*100)</f>
        <v/>
      </c>
      <c r="D66" s="19" t="n">
        <v>1763</v>
      </c>
      <c r="E66" s="18" t="n">
        <v>0</v>
      </c>
      <c r="F66" s="20" t="n">
        <v>0</v>
      </c>
      <c r="G66" s="18" t="n">
        <v>0</v>
      </c>
      <c r="H66" s="20" t="n">
        <v>0</v>
      </c>
      <c r="I66" s="18" t="n">
        <v>0</v>
      </c>
      <c r="J66" s="20" t="n">
        <v>0</v>
      </c>
      <c r="K66" s="18" t="n">
        <v>0</v>
      </c>
      <c r="L66" s="20" t="n">
        <v>0</v>
      </c>
      <c r="M66" s="18" t="n">
        <v>100</v>
      </c>
      <c r="N66" s="20" t="n">
        <v>0</v>
      </c>
      <c r="O66" s="18" t="n">
        <v>0</v>
      </c>
      <c r="P66" s="20" t="n">
        <v>0</v>
      </c>
      <c r="Q66" s="18" t="n">
        <v>0</v>
      </c>
      <c r="R66" s="20" t="n">
        <v>0</v>
      </c>
    </row>
    <row r="67" spans="1:18">
      <c r="A67" s="15" t="s">
        <v>627</v>
      </c>
      <c r="B67" s="17" t="n">
        <v>5665</v>
      </c>
      <c r="C67" s="18">
        <f>(5665.0/B67*100)</f>
        <v/>
      </c>
      <c r="D67" s="19" t="n">
        <v>0</v>
      </c>
      <c r="E67" s="18" t="s">
        <v>603</v>
      </c>
      <c r="F67" s="20" t="s">
        <v>603</v>
      </c>
      <c r="G67" s="18" t="s">
        <v>603</v>
      </c>
      <c r="H67" s="20" t="s">
        <v>603</v>
      </c>
      <c r="I67" s="18" t="s">
        <v>603</v>
      </c>
      <c r="J67" s="20" t="s">
        <v>603</v>
      </c>
      <c r="K67" s="18" t="s">
        <v>603</v>
      </c>
      <c r="L67" s="20" t="s">
        <v>603</v>
      </c>
      <c r="M67" s="18" t="s">
        <v>603</v>
      </c>
      <c r="N67" s="20" t="s">
        <v>603</v>
      </c>
      <c r="O67" s="18" t="s">
        <v>603</v>
      </c>
      <c r="P67" s="20" t="s">
        <v>603</v>
      </c>
      <c r="Q67" s="18" t="s">
        <v>603</v>
      </c>
      <c r="R67" s="20" t="s">
        <v>603</v>
      </c>
    </row>
    <row r="68" spans="1:18">
      <c r="A68" s="15" t="s">
        <v>628</v>
      </c>
      <c r="B68" s="17" t="n">
        <v>6971</v>
      </c>
      <c r="C68" s="18">
        <f>(6971.0/B68*100)</f>
        <v/>
      </c>
      <c r="D68" s="19" t="n">
        <v>0</v>
      </c>
      <c r="E68" s="18" t="s">
        <v>603</v>
      </c>
      <c r="F68" s="20" t="s">
        <v>603</v>
      </c>
      <c r="G68" s="18" t="s">
        <v>603</v>
      </c>
      <c r="H68" s="20" t="s">
        <v>603</v>
      </c>
      <c r="I68" s="18" t="s">
        <v>603</v>
      </c>
      <c r="J68" s="20" t="s">
        <v>603</v>
      </c>
      <c r="K68" s="18" t="s">
        <v>603</v>
      </c>
      <c r="L68" s="20" t="s">
        <v>603</v>
      </c>
      <c r="M68" s="18" t="s">
        <v>603</v>
      </c>
      <c r="N68" s="20" t="s">
        <v>603</v>
      </c>
      <c r="O68" s="18" t="s">
        <v>603</v>
      </c>
      <c r="P68" s="20" t="s">
        <v>603</v>
      </c>
      <c r="Q68" s="18" t="s">
        <v>603</v>
      </c>
      <c r="R68" s="20" t="s">
        <v>603</v>
      </c>
    </row>
    <row r="69" spans="1:18">
      <c r="A69" s="15" t="s">
        <v>629</v>
      </c>
      <c r="B69" s="17" t="n">
        <v>1398</v>
      </c>
      <c r="C69" s="18">
        <f>(925.0/B69*100)</f>
        <v/>
      </c>
      <c r="D69" s="19" t="n">
        <v>473</v>
      </c>
      <c r="E69" s="18" t="n">
        <v>0</v>
      </c>
      <c r="F69" s="20" t="n">
        <v>0</v>
      </c>
      <c r="G69" s="18" t="n">
        <v>0</v>
      </c>
      <c r="H69" s="20" t="n">
        <v>0</v>
      </c>
      <c r="I69" s="18" t="n">
        <v>0</v>
      </c>
      <c r="J69" s="20" t="n">
        <v>0</v>
      </c>
      <c r="K69" s="18" t="n">
        <v>0</v>
      </c>
      <c r="L69" s="20" t="n">
        <v>0</v>
      </c>
      <c r="M69" s="18" t="n">
        <v>100</v>
      </c>
      <c r="N69" s="20" t="n">
        <v>0</v>
      </c>
      <c r="O69" s="18" t="n">
        <v>0</v>
      </c>
      <c r="P69" s="20" t="n">
        <v>0</v>
      </c>
      <c r="Q69" s="18" t="n">
        <v>0</v>
      </c>
      <c r="R69" s="20" t="n">
        <v>0</v>
      </c>
    </row>
    <row r="70" spans="1:18">
      <c r="A70" s="15" t="s">
        <v>630</v>
      </c>
      <c r="B70" s="17" t="n">
        <v>12083</v>
      </c>
      <c r="C70" s="18">
        <f>(12083.0/B70*100)</f>
        <v/>
      </c>
      <c r="D70" s="19" t="n">
        <v>0</v>
      </c>
      <c r="E70" s="18" t="s">
        <v>603</v>
      </c>
      <c r="F70" s="20" t="s">
        <v>603</v>
      </c>
      <c r="G70" s="18" t="s">
        <v>603</v>
      </c>
      <c r="H70" s="20" t="s">
        <v>603</v>
      </c>
      <c r="I70" s="18" t="s">
        <v>603</v>
      </c>
      <c r="J70" s="20" t="s">
        <v>603</v>
      </c>
      <c r="K70" s="18" t="s">
        <v>603</v>
      </c>
      <c r="L70" s="20" t="s">
        <v>603</v>
      </c>
      <c r="M70" s="18" t="s">
        <v>603</v>
      </c>
      <c r="N70" s="20" t="s">
        <v>603</v>
      </c>
      <c r="O70" s="18" t="s">
        <v>603</v>
      </c>
      <c r="P70" s="20" t="s">
        <v>603</v>
      </c>
      <c r="Q70" s="18" t="s">
        <v>603</v>
      </c>
      <c r="R70" s="20" t="s">
        <v>603</v>
      </c>
    </row>
    <row r="71" spans="1:18">
      <c r="A71" s="15" t="s">
        <v>631</v>
      </c>
      <c r="B71" s="17" t="n">
        <v>4876</v>
      </c>
      <c r="C71" s="18">
        <f>(3502.0/B71*100)</f>
        <v/>
      </c>
      <c r="D71" s="19" t="n">
        <v>1374</v>
      </c>
      <c r="E71" s="18" t="n">
        <v>0</v>
      </c>
      <c r="F71" s="20" t="n">
        <v>0</v>
      </c>
      <c r="G71" s="18" t="n">
        <v>0</v>
      </c>
      <c r="H71" s="20" t="n">
        <v>0</v>
      </c>
      <c r="I71" s="18" t="n">
        <v>0</v>
      </c>
      <c r="J71" s="20" t="n">
        <v>0</v>
      </c>
      <c r="K71" s="18" t="n">
        <v>0</v>
      </c>
      <c r="L71" s="20" t="n">
        <v>0</v>
      </c>
      <c r="M71" s="18" t="n">
        <v>100</v>
      </c>
      <c r="N71" s="20" t="n">
        <v>0</v>
      </c>
      <c r="O71" s="18" t="n">
        <v>0</v>
      </c>
      <c r="P71" s="20" t="n">
        <v>0</v>
      </c>
      <c r="Q71" s="18" t="n">
        <v>0</v>
      </c>
      <c r="R71" s="20" t="n">
        <v>0</v>
      </c>
    </row>
    <row r="72" spans="1:18">
      <c r="A72" s="15" t="s">
        <v>632</v>
      </c>
      <c r="B72" s="17" t="n">
        <v>6036</v>
      </c>
      <c r="C72" s="18">
        <f>(6036.0/B72*100)</f>
        <v/>
      </c>
      <c r="D72" s="19" t="n">
        <v>0</v>
      </c>
      <c r="E72" s="18" t="s">
        <v>603</v>
      </c>
      <c r="F72" s="20" t="s">
        <v>603</v>
      </c>
      <c r="G72" s="18" t="s">
        <v>603</v>
      </c>
      <c r="H72" s="20" t="s">
        <v>603</v>
      </c>
      <c r="I72" s="18" t="s">
        <v>603</v>
      </c>
      <c r="J72" s="20" t="s">
        <v>603</v>
      </c>
      <c r="K72" s="18" t="s">
        <v>603</v>
      </c>
      <c r="L72" s="20" t="s">
        <v>603</v>
      </c>
      <c r="M72" s="18" t="s">
        <v>603</v>
      </c>
      <c r="N72" s="20" t="s">
        <v>603</v>
      </c>
      <c r="O72" s="18" t="s">
        <v>603</v>
      </c>
      <c r="P72" s="20" t="s">
        <v>603</v>
      </c>
      <c r="Q72" s="18" t="s">
        <v>603</v>
      </c>
      <c r="R72" s="20" t="s">
        <v>603</v>
      </c>
    </row>
    <row r="73" spans="1:18">
      <c r="A73" s="15" t="s">
        <v>633</v>
      </c>
      <c r="B73" s="17" t="n">
        <v>6115</v>
      </c>
      <c r="C73" s="18">
        <f>(6115.0/B73*100)</f>
        <v/>
      </c>
      <c r="D73" s="19" t="n">
        <v>0</v>
      </c>
      <c r="E73" s="18" t="s">
        <v>603</v>
      </c>
      <c r="F73" s="20" t="s">
        <v>603</v>
      </c>
      <c r="G73" s="18" t="s">
        <v>603</v>
      </c>
      <c r="H73" s="20" t="s">
        <v>603</v>
      </c>
      <c r="I73" s="18" t="s">
        <v>603</v>
      </c>
      <c r="J73" s="20" t="s">
        <v>603</v>
      </c>
      <c r="K73" s="18" t="s">
        <v>603</v>
      </c>
      <c r="L73" s="20" t="s">
        <v>603</v>
      </c>
      <c r="M73" s="18" t="s">
        <v>603</v>
      </c>
      <c r="N73" s="20" t="s">
        <v>603</v>
      </c>
      <c r="O73" s="18" t="s">
        <v>603</v>
      </c>
      <c r="P73" s="20" t="s">
        <v>603</v>
      </c>
      <c r="Q73" s="18" t="s">
        <v>603</v>
      </c>
      <c r="R73" s="20" t="s">
        <v>603</v>
      </c>
    </row>
    <row r="74" spans="1:18">
      <c r="A74" s="15" t="s">
        <v>634</v>
      </c>
      <c r="B74" s="17" t="n">
        <v>7708</v>
      </c>
      <c r="C74" s="18">
        <f>(7708.0/B74*100)</f>
        <v/>
      </c>
      <c r="D74" s="19" t="n">
        <v>0</v>
      </c>
      <c r="E74" s="18" t="s">
        <v>603</v>
      </c>
      <c r="F74" s="20" t="s">
        <v>603</v>
      </c>
      <c r="G74" s="18" t="s">
        <v>603</v>
      </c>
      <c r="H74" s="20" t="s">
        <v>603</v>
      </c>
      <c r="I74" s="18" t="s">
        <v>603</v>
      </c>
      <c r="J74" s="20" t="s">
        <v>603</v>
      </c>
      <c r="K74" s="18" t="s">
        <v>603</v>
      </c>
      <c r="L74" s="20" t="s">
        <v>603</v>
      </c>
      <c r="M74" s="18" t="s">
        <v>603</v>
      </c>
      <c r="N74" s="20" t="s">
        <v>603</v>
      </c>
      <c r="O74" s="18" t="s">
        <v>603</v>
      </c>
      <c r="P74" s="20" t="s">
        <v>603</v>
      </c>
      <c r="Q74" s="18" t="s">
        <v>603</v>
      </c>
      <c r="R74" s="20" t="s">
        <v>603</v>
      </c>
    </row>
    <row r="75" spans="1:18">
      <c r="A75" s="15" t="s">
        <v>635</v>
      </c>
      <c r="B75" s="17" t="n">
        <v>8249</v>
      </c>
      <c r="C75" s="18">
        <f>(8249.0/B75*100)</f>
        <v/>
      </c>
      <c r="D75" s="19" t="n">
        <v>0</v>
      </c>
      <c r="E75" s="18" t="s">
        <v>603</v>
      </c>
      <c r="F75" s="20" t="s">
        <v>603</v>
      </c>
      <c r="G75" s="18" t="s">
        <v>603</v>
      </c>
      <c r="H75" s="20" t="s">
        <v>603</v>
      </c>
      <c r="I75" s="18" t="s">
        <v>603</v>
      </c>
      <c r="J75" s="20" t="s">
        <v>603</v>
      </c>
      <c r="K75" s="18" t="s">
        <v>603</v>
      </c>
      <c r="L75" s="20" t="s">
        <v>603</v>
      </c>
      <c r="M75" s="18" t="s">
        <v>603</v>
      </c>
      <c r="N75" s="20" t="s">
        <v>603</v>
      </c>
      <c r="O75" s="18" t="s">
        <v>603</v>
      </c>
      <c r="P75" s="20" t="s">
        <v>603</v>
      </c>
      <c r="Q75" s="18" t="s">
        <v>603</v>
      </c>
      <c r="R75" s="20" t="s">
        <v>603</v>
      </c>
    </row>
    <row r="76" spans="1:18">
      <c r="A76" s="15" t="s">
        <v>636</v>
      </c>
      <c r="B76" s="17" t="n">
        <v>4692</v>
      </c>
      <c r="C76" s="18">
        <f>(3141.0/B76*100)</f>
        <v/>
      </c>
      <c r="D76" s="19" t="n">
        <v>1551</v>
      </c>
      <c r="E76" s="18" t="n">
        <v>0</v>
      </c>
      <c r="F76" s="20" t="n">
        <v>0</v>
      </c>
      <c r="G76" s="18" t="n">
        <v>0</v>
      </c>
      <c r="H76" s="20" t="n">
        <v>0</v>
      </c>
      <c r="I76" s="18" t="n">
        <v>0</v>
      </c>
      <c r="J76" s="20" t="n">
        <v>0</v>
      </c>
      <c r="K76" s="18" t="n">
        <v>0</v>
      </c>
      <c r="L76" s="20" t="n">
        <v>0</v>
      </c>
      <c r="M76" s="18" t="n">
        <v>100</v>
      </c>
      <c r="N76" s="20" t="n">
        <v>0</v>
      </c>
      <c r="O76" s="18" t="n">
        <v>0</v>
      </c>
      <c r="P76" s="20" t="n">
        <v>0</v>
      </c>
      <c r="Q76" s="18" t="n">
        <v>0</v>
      </c>
      <c r="R76" s="20" t="n">
        <v>0</v>
      </c>
    </row>
    <row r="77" spans="1:18">
      <c r="A77" s="15" t="s">
        <v>637</v>
      </c>
      <c r="B77" s="17" t="n">
        <v>5375</v>
      </c>
      <c r="C77" s="18">
        <f>(5375.0/B77*100)</f>
        <v/>
      </c>
      <c r="D77" s="19" t="n">
        <v>0</v>
      </c>
      <c r="E77" s="18" t="s">
        <v>603</v>
      </c>
      <c r="F77" s="20" t="s">
        <v>603</v>
      </c>
      <c r="G77" s="18" t="s">
        <v>603</v>
      </c>
      <c r="H77" s="20" t="s">
        <v>603</v>
      </c>
      <c r="I77" s="18" t="s">
        <v>603</v>
      </c>
      <c r="J77" s="20" t="s">
        <v>603</v>
      </c>
      <c r="K77" s="18" t="s">
        <v>603</v>
      </c>
      <c r="L77" s="20" t="s">
        <v>603</v>
      </c>
      <c r="M77" s="18" t="s">
        <v>603</v>
      </c>
      <c r="N77" s="20" t="s">
        <v>603</v>
      </c>
      <c r="O77" s="18" t="s">
        <v>603</v>
      </c>
      <c r="P77" s="20" t="s">
        <v>603</v>
      </c>
      <c r="Q77" s="18" t="s">
        <v>603</v>
      </c>
      <c r="R77" s="20" t="s">
        <v>603</v>
      </c>
    </row>
    <row r="78" spans="1:18">
      <c r="A78" s="15" t="s">
        <v>638</v>
      </c>
      <c r="B78" s="17" t="n">
        <v>14167</v>
      </c>
      <c r="C78" s="18">
        <f>(14167.0/B78*100)</f>
        <v/>
      </c>
      <c r="D78" s="19" t="n">
        <v>0</v>
      </c>
      <c r="E78" s="18" t="s">
        <v>603</v>
      </c>
      <c r="F78" s="20" t="s">
        <v>603</v>
      </c>
      <c r="G78" s="18" t="s">
        <v>603</v>
      </c>
      <c r="H78" s="20" t="s">
        <v>603</v>
      </c>
      <c r="I78" s="18" t="s">
        <v>603</v>
      </c>
      <c r="J78" s="20" t="s">
        <v>603</v>
      </c>
      <c r="K78" s="18" t="s">
        <v>603</v>
      </c>
      <c r="L78" s="20" t="s">
        <v>603</v>
      </c>
      <c r="M78" s="18" t="s">
        <v>603</v>
      </c>
      <c r="N78" s="20" t="s">
        <v>603</v>
      </c>
      <c r="O78" s="18" t="s">
        <v>603</v>
      </c>
      <c r="P78" s="20" t="s">
        <v>603</v>
      </c>
      <c r="Q78" s="18" t="s">
        <v>603</v>
      </c>
      <c r="R78" s="20" t="s">
        <v>603</v>
      </c>
    </row>
    <row r="79" spans="1:18">
      <c r="A79" s="15" t="s">
        <v>639</v>
      </c>
      <c r="B79" s="17" t="n">
        <v>6062</v>
      </c>
      <c r="C79" s="18">
        <f>(6062.0/B79*100)</f>
        <v/>
      </c>
      <c r="D79" s="19" t="n">
        <v>0</v>
      </c>
      <c r="E79" s="18" t="s">
        <v>603</v>
      </c>
      <c r="F79" s="20" t="s">
        <v>603</v>
      </c>
      <c r="G79" s="18" t="s">
        <v>603</v>
      </c>
      <c r="H79" s="20" t="s">
        <v>603</v>
      </c>
      <c r="I79" s="18" t="s">
        <v>603</v>
      </c>
      <c r="J79" s="20" t="s">
        <v>603</v>
      </c>
      <c r="K79" s="18" t="s">
        <v>603</v>
      </c>
      <c r="L79" s="20" t="s">
        <v>603</v>
      </c>
      <c r="M79" s="18" t="s">
        <v>603</v>
      </c>
      <c r="N79" s="20" t="s">
        <v>603</v>
      </c>
      <c r="O79" s="18" t="s">
        <v>603</v>
      </c>
      <c r="P79" s="20" t="s">
        <v>603</v>
      </c>
      <c r="Q79" s="18" t="s">
        <v>603</v>
      </c>
      <c r="R79" s="20" t="s">
        <v>603</v>
      </c>
    </row>
    <row r="80" spans="1:18">
      <c r="A80" s="15" t="s">
        <v>640</v>
      </c>
      <c r="B80" s="17" t="n">
        <v>5826</v>
      </c>
      <c r="C80" s="18">
        <f>(3897.0/B80*100)</f>
        <v/>
      </c>
      <c r="D80" s="19" t="n">
        <v>1929</v>
      </c>
      <c r="E80" s="18" t="n">
        <v>0</v>
      </c>
      <c r="F80" s="20" t="n">
        <v>0</v>
      </c>
      <c r="G80" s="18" t="n">
        <v>0</v>
      </c>
      <c r="H80" s="20" t="n">
        <v>0</v>
      </c>
      <c r="I80" s="18" t="n">
        <v>0</v>
      </c>
      <c r="J80" s="20" t="n">
        <v>0</v>
      </c>
      <c r="K80" s="18" t="n">
        <v>0</v>
      </c>
      <c r="L80" s="20" t="n">
        <v>0</v>
      </c>
      <c r="M80" s="18" t="n">
        <v>100</v>
      </c>
      <c r="N80" s="20" t="n">
        <v>0</v>
      </c>
      <c r="O80" s="18" t="n">
        <v>0</v>
      </c>
      <c r="P80" s="20" t="n">
        <v>0</v>
      </c>
      <c r="Q80" s="18" t="n">
        <v>0</v>
      </c>
      <c r="R80" s="20" t="n">
        <v>0</v>
      </c>
    </row>
    <row r="81" spans="1:18">
      <c r="A81" s="15" t="s">
        <v>641</v>
      </c>
      <c r="B81" s="17" t="n">
        <v>1657</v>
      </c>
      <c r="C81" s="18">
        <f>(1093.0/B81*100)</f>
        <v/>
      </c>
      <c r="D81" s="19" t="n">
        <v>564</v>
      </c>
      <c r="E81" s="18" t="n">
        <v>0</v>
      </c>
      <c r="F81" s="20" t="n">
        <v>0</v>
      </c>
      <c r="G81" s="18" t="n">
        <v>0</v>
      </c>
      <c r="H81" s="20" t="n">
        <v>0</v>
      </c>
      <c r="I81" s="18" t="n">
        <v>0</v>
      </c>
      <c r="J81" s="20" t="n">
        <v>0</v>
      </c>
      <c r="K81" s="18" t="n">
        <v>0</v>
      </c>
      <c r="L81" s="20" t="n">
        <v>0</v>
      </c>
      <c r="M81" s="18" t="n">
        <v>100</v>
      </c>
      <c r="N81" s="20" t="n">
        <v>0</v>
      </c>
      <c r="O81" s="18" t="n">
        <v>0</v>
      </c>
      <c r="P81" s="20" t="n">
        <v>0</v>
      </c>
      <c r="Q81" s="18" t="n">
        <v>0</v>
      </c>
      <c r="R81" s="20" t="n">
        <v>0</v>
      </c>
    </row>
    <row r="82" spans="1:18">
      <c r="A82" s="15" t="s">
        <v>642</v>
      </c>
      <c r="B82" s="17" t="n">
        <v>32330</v>
      </c>
      <c r="C82" s="18">
        <f>(32330.0/B82*100)</f>
        <v/>
      </c>
      <c r="D82" s="19" t="n">
        <v>0</v>
      </c>
      <c r="E82" s="18" t="s">
        <v>603</v>
      </c>
      <c r="F82" s="20" t="s">
        <v>603</v>
      </c>
      <c r="G82" s="18" t="s">
        <v>603</v>
      </c>
      <c r="H82" s="20" t="s">
        <v>603</v>
      </c>
      <c r="I82" s="18" t="s">
        <v>603</v>
      </c>
      <c r="J82" s="20" t="s">
        <v>603</v>
      </c>
      <c r="K82" s="18" t="s">
        <v>603</v>
      </c>
      <c r="L82" s="20" t="s">
        <v>603</v>
      </c>
      <c r="M82" s="18" t="s">
        <v>603</v>
      </c>
      <c r="N82" s="20" t="s">
        <v>603</v>
      </c>
      <c r="O82" s="18" t="s">
        <v>603</v>
      </c>
      <c r="P82" s="20" t="s">
        <v>603</v>
      </c>
      <c r="Q82" s="18" t="s">
        <v>603</v>
      </c>
      <c r="R82" s="20" t="s">
        <v>603</v>
      </c>
    </row>
    <row r="83" spans="1:18">
      <c r="A83" s="15" t="s">
        <v>643</v>
      </c>
      <c r="B83" s="17" t="n">
        <v>1652</v>
      </c>
      <c r="C83" s="18">
        <f>(1652.0/B83*100)</f>
        <v/>
      </c>
      <c r="D83" s="19" t="n">
        <v>0</v>
      </c>
      <c r="E83" s="18" t="s">
        <v>603</v>
      </c>
      <c r="F83" s="20" t="s">
        <v>603</v>
      </c>
      <c r="G83" s="18" t="s">
        <v>603</v>
      </c>
      <c r="H83" s="20" t="s">
        <v>603</v>
      </c>
      <c r="I83" s="18" t="s">
        <v>603</v>
      </c>
      <c r="J83" s="20" t="s">
        <v>603</v>
      </c>
      <c r="K83" s="18" t="s">
        <v>603</v>
      </c>
      <c r="L83" s="20" t="s">
        <v>603</v>
      </c>
      <c r="M83" s="18" t="s">
        <v>603</v>
      </c>
      <c r="N83" s="20" t="s">
        <v>603</v>
      </c>
      <c r="O83" s="18" t="s">
        <v>603</v>
      </c>
      <c r="P83" s="20" t="s">
        <v>603</v>
      </c>
      <c r="Q83" s="18" t="s">
        <v>603</v>
      </c>
      <c r="R83" s="20" t="s">
        <v>603</v>
      </c>
    </row>
    <row r="84" spans="1:18">
      <c r="A84" s="23" t="s">
        <v>644</v>
      </c>
      <c r="B84" s="24" t="n">
        <v>1887</v>
      </c>
      <c r="C84" s="25">
        <f>(1887.0/B84*100)</f>
        <v/>
      </c>
      <c r="D84" s="19" t="n">
        <v>0</v>
      </c>
      <c r="E84" s="18" t="s">
        <v>603</v>
      </c>
      <c r="F84" s="20" t="s">
        <v>603</v>
      </c>
      <c r="G84" s="18" t="s">
        <v>603</v>
      </c>
      <c r="H84" s="20" t="s">
        <v>603</v>
      </c>
      <c r="I84" s="18" t="s">
        <v>603</v>
      </c>
      <c r="J84" s="20" t="s">
        <v>603</v>
      </c>
      <c r="K84" s="18" t="s">
        <v>603</v>
      </c>
      <c r="L84" s="20" t="s">
        <v>603</v>
      </c>
      <c r="M84" s="18" t="s">
        <v>603</v>
      </c>
      <c r="N84" s="20" t="s">
        <v>603</v>
      </c>
      <c r="O84" s="18" t="s">
        <v>603</v>
      </c>
      <c r="P84" s="20" t="s">
        <v>603</v>
      </c>
      <c r="Q84" s="18" t="s">
        <v>603</v>
      </c>
      <c r="R84" s="20" t="s">
        <v>603</v>
      </c>
    </row>
    <row r="86" spans="1:18">
      <c r="A86" s="3" t="s">
        <v>645</v>
      </c>
    </row>
    <row r="87" spans="1:18">
      <c r="A87" s="26" t="s">
        <v>646</v>
      </c>
    </row>
    <row r="88" spans="1:18">
      <c r="A88" s="26" t="s">
        <v>647</v>
      </c>
    </row>
    <row customHeight="1" ht="30" r="89" spans="1:18">
      <c r="A89" s="26" t="s">
        <v>648</v>
      </c>
    </row>
    <row customHeight="1" ht="30" r="90" spans="1:18">
      <c r="A90" s="26" t="s">
        <v>649</v>
      </c>
    </row>
    <row customHeight="1" ht="30" r="91" spans="1:18">
      <c r="A91" s="26" t="s">
        <v>650</v>
      </c>
    </row>
    <row customHeight="1" ht="30" r="92" spans="1:18">
      <c r="A92" s="26" t="s">
        <v>651</v>
      </c>
    </row>
    <row customHeight="1" ht="30" r="93" spans="1:18">
      <c r="A93" s="26" t="s">
        <v>652</v>
      </c>
    </row>
    <row customHeight="1" ht="30" r="94" spans="1:18">
      <c r="A94" s="26" t="s">
        <v>653</v>
      </c>
    </row>
  </sheetData>
  <mergeCells count="17">
    <mergeCell ref="E4:F4"/>
    <mergeCell ref="G4:H4"/>
    <mergeCell ref="I4:J4"/>
    <mergeCell ref="K4:L4"/>
    <mergeCell ref="M4:N4"/>
    <mergeCell ref="O4:P4"/>
    <mergeCell ref="Q4:R4"/>
    <mergeCell ref="A1:R1"/>
    <mergeCell ref="A2:R2"/>
    <mergeCell ref="A87:R87"/>
    <mergeCell ref="A88:R88"/>
    <mergeCell ref="A89:R89"/>
    <mergeCell ref="A90:R90"/>
    <mergeCell ref="A91:R91"/>
    <mergeCell ref="A92:R92"/>
    <mergeCell ref="A93:R93"/>
    <mergeCell ref="A94:R94"/>
  </mergeCells>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275</vt:i4>
      </vt:variant>
    </vt:vector>
  </ns0:HeadingPairs>
  <ns0:TitlesOfParts>
    <vt:vector xmlns:vt="http://schemas.openxmlformats.org/officeDocument/2006/docPropsVTypes" baseType="lpstr" size="275">
      <vt:lpstr>Table of Contents</vt:lpstr>
      <vt:lpstr>DS269Q01C</vt:lpstr>
      <vt:lpstr>DS269Q03C</vt:lpstr>
      <vt:lpstr>CS269Q04S</vt:lpstr>
      <vt:lpstr>CS408Q01S</vt:lpstr>
      <vt:lpstr>DS408Q03C</vt:lpstr>
      <vt:lpstr>CS408Q04S</vt:lpstr>
      <vt:lpstr>CS408Q05S</vt:lpstr>
      <vt:lpstr>CS521Q02S</vt:lpstr>
      <vt:lpstr>CS521Q06S</vt:lpstr>
      <vt:lpstr>DS519Q01C</vt:lpstr>
      <vt:lpstr>CS519Q02S</vt:lpstr>
      <vt:lpstr>DS519Q03C</vt:lpstr>
      <vt:lpstr>CS527Q01S</vt:lpstr>
      <vt:lpstr>CS527Q03S</vt:lpstr>
      <vt:lpstr>CS527Q04S</vt:lpstr>
      <vt:lpstr>CS466Q01S</vt:lpstr>
      <vt:lpstr>CS466Q07S</vt:lpstr>
      <vt:lpstr>CS466Q05S</vt:lpstr>
      <vt:lpstr>DS326Q01C</vt:lpstr>
      <vt:lpstr>DS326Q02C</vt:lpstr>
      <vt:lpstr>CS326Q03S</vt:lpstr>
      <vt:lpstr>CS326Q04S</vt:lpstr>
      <vt:lpstr>CS256Q01S</vt:lpstr>
      <vt:lpstr>CS478Q01S</vt:lpstr>
      <vt:lpstr>CS478Q02S</vt:lpstr>
      <vt:lpstr>CS478Q03S</vt:lpstr>
      <vt:lpstr>CS413Q06S</vt:lpstr>
      <vt:lpstr>CS413Q04S</vt:lpstr>
      <vt:lpstr>CS413Q05S</vt:lpstr>
      <vt:lpstr>CS498Q02S</vt:lpstr>
      <vt:lpstr>CS498Q03S</vt:lpstr>
      <vt:lpstr>DS498Q04C</vt:lpstr>
      <vt:lpstr>DS425Q03C</vt:lpstr>
      <vt:lpstr>CS425Q05S</vt:lpstr>
      <vt:lpstr>CS425Q02S</vt:lpstr>
      <vt:lpstr>DS425Q04C</vt:lpstr>
      <vt:lpstr>DS465Q01C</vt:lpstr>
      <vt:lpstr>CS465Q02S</vt:lpstr>
      <vt:lpstr>CS465Q04S</vt:lpstr>
      <vt:lpstr>DS131Q02C</vt:lpstr>
      <vt:lpstr>DS131Q04C</vt:lpstr>
      <vt:lpstr>CS428Q01S</vt:lpstr>
      <vt:lpstr>CS428Q03S</vt:lpstr>
      <vt:lpstr>DS428Q05C</vt:lpstr>
      <vt:lpstr>DS514Q02C</vt:lpstr>
      <vt:lpstr>DS514Q03C</vt:lpstr>
      <vt:lpstr>DS514Q04C</vt:lpstr>
      <vt:lpstr>CS438Q01S</vt:lpstr>
      <vt:lpstr>CS438Q02S</vt:lpstr>
      <vt:lpstr>DS438Q03C</vt:lpstr>
      <vt:lpstr>CS415Q07S</vt:lpstr>
      <vt:lpstr>CS415Q02S</vt:lpstr>
      <vt:lpstr>CS415Q08S</vt:lpstr>
      <vt:lpstr>CS476Q01S</vt:lpstr>
      <vt:lpstr>CS476Q02S</vt:lpstr>
      <vt:lpstr>CS476Q03S</vt:lpstr>
      <vt:lpstr>CS495Q04S</vt:lpstr>
      <vt:lpstr>CS495Q01S</vt:lpstr>
      <vt:lpstr>CS495Q02S</vt:lpstr>
      <vt:lpstr>DS495Q03C</vt:lpstr>
      <vt:lpstr>CS268Q01S</vt:lpstr>
      <vt:lpstr>DS268Q02C</vt:lpstr>
      <vt:lpstr>CS268Q06S</vt:lpstr>
      <vt:lpstr>CS524Q06S</vt:lpstr>
      <vt:lpstr>DS524Q07C</vt:lpstr>
      <vt:lpstr>CS510Q01S</vt:lpstr>
      <vt:lpstr>DS510Q04C</vt:lpstr>
      <vt:lpstr>CS437Q01S</vt:lpstr>
      <vt:lpstr>CS437Q03S</vt:lpstr>
      <vt:lpstr>CS437Q04S</vt:lpstr>
      <vt:lpstr>DS437Q06C</vt:lpstr>
      <vt:lpstr>DS304Q01C</vt:lpstr>
      <vt:lpstr>CS304Q02S</vt:lpstr>
      <vt:lpstr>DS304Q03aC</vt:lpstr>
      <vt:lpstr>DS304Q03bC</vt:lpstr>
      <vt:lpstr>DS416Q01C</vt:lpstr>
      <vt:lpstr>DS458Q01C</vt:lpstr>
      <vt:lpstr>CS458Q02S</vt:lpstr>
      <vt:lpstr>CS421Q01S</vt:lpstr>
      <vt:lpstr>CS421Q02S</vt:lpstr>
      <vt:lpstr>CS421Q03S</vt:lpstr>
      <vt:lpstr>CS252Q01S</vt:lpstr>
      <vt:lpstr>CS252Q02S</vt:lpstr>
      <vt:lpstr>CS252Q03S</vt:lpstr>
      <vt:lpstr>CS327Q01S</vt:lpstr>
      <vt:lpstr>CS627Q01S</vt:lpstr>
      <vt:lpstr>CS627Q03S</vt:lpstr>
      <vt:lpstr>CS627Q04S</vt:lpstr>
      <vt:lpstr>CS635Q01S</vt:lpstr>
      <vt:lpstr>CS635Q02S</vt:lpstr>
      <vt:lpstr>DS635Q03C</vt:lpstr>
      <vt:lpstr>CS635Q04S</vt:lpstr>
      <vt:lpstr>DS635Q05C</vt:lpstr>
      <vt:lpstr>CS603Q01S</vt:lpstr>
      <vt:lpstr>DS603Q02C</vt:lpstr>
      <vt:lpstr>CS603Q03S</vt:lpstr>
      <vt:lpstr>CS603Q04S</vt:lpstr>
      <vt:lpstr>CS603Q05S</vt:lpstr>
      <vt:lpstr>CS602Q01S</vt:lpstr>
      <vt:lpstr>CS602Q02S</vt:lpstr>
      <vt:lpstr>DS602Q03C</vt:lpstr>
      <vt:lpstr>CS602Q04S</vt:lpstr>
      <vt:lpstr>CS607Q01S</vt:lpstr>
      <vt:lpstr>CS607Q02S</vt:lpstr>
      <vt:lpstr>DS607Q03C</vt:lpstr>
      <vt:lpstr>CS646Q01S</vt:lpstr>
      <vt:lpstr>CS646Q02S</vt:lpstr>
      <vt:lpstr>CS646Q03S</vt:lpstr>
      <vt:lpstr>DS646Q04C</vt:lpstr>
      <vt:lpstr>DS646Q05C</vt:lpstr>
      <vt:lpstr>CS608Q01S</vt:lpstr>
      <vt:lpstr>CS608Q02S</vt:lpstr>
      <vt:lpstr>CS608Q03S</vt:lpstr>
      <vt:lpstr>DS608Q04C</vt:lpstr>
      <vt:lpstr>CS605Q01S</vt:lpstr>
      <vt:lpstr>CS605Q02S</vt:lpstr>
      <vt:lpstr>CS605Q03S</vt:lpstr>
      <vt:lpstr>DS605Q04C</vt:lpstr>
      <vt:lpstr>CS649Q01S</vt:lpstr>
      <vt:lpstr>DS649Q02C</vt:lpstr>
      <vt:lpstr>CS649Q03S</vt:lpstr>
      <vt:lpstr>CS649Q04S</vt:lpstr>
      <vt:lpstr>CS634Q01S</vt:lpstr>
      <vt:lpstr>CS634Q02S</vt:lpstr>
      <vt:lpstr>DS634Q03C</vt:lpstr>
      <vt:lpstr>DS634Q05C</vt:lpstr>
      <vt:lpstr>CS634Q04S</vt:lpstr>
      <vt:lpstr>CS620Q01S</vt:lpstr>
      <vt:lpstr>CS620Q02S</vt:lpstr>
      <vt:lpstr>DS620Q04C</vt:lpstr>
      <vt:lpstr>CS638Q01S</vt:lpstr>
      <vt:lpstr>CS638Q02S</vt:lpstr>
      <vt:lpstr>CS638Q04S</vt:lpstr>
      <vt:lpstr>DS638Q05C</vt:lpstr>
      <vt:lpstr>DS625Q01C</vt:lpstr>
      <vt:lpstr>CS625Q02S</vt:lpstr>
      <vt:lpstr>CS625Q03S</vt:lpstr>
      <vt:lpstr>CS615Q07S</vt:lpstr>
      <vt:lpstr>CS615Q01S</vt:lpstr>
      <vt:lpstr>CS615Q02S</vt:lpstr>
      <vt:lpstr>CS615Q05S</vt:lpstr>
      <vt:lpstr>CS604Q02S</vt:lpstr>
      <vt:lpstr>DS604Q04C</vt:lpstr>
      <vt:lpstr>CS645Q01S</vt:lpstr>
      <vt:lpstr>CS645Q03S</vt:lpstr>
      <vt:lpstr>DS645Q04C</vt:lpstr>
      <vt:lpstr>DS645Q05C</vt:lpstr>
      <vt:lpstr>CS657Q01S</vt:lpstr>
      <vt:lpstr>CS657Q02S</vt:lpstr>
      <vt:lpstr>CS657Q03S</vt:lpstr>
      <vt:lpstr>DS657Q04C</vt:lpstr>
      <vt:lpstr>CS656Q01S</vt:lpstr>
      <vt:lpstr>DS656Q02C</vt:lpstr>
      <vt:lpstr>CS656Q04S</vt:lpstr>
      <vt:lpstr>DS643Q03C</vt:lpstr>
      <vt:lpstr>CS643Q01S</vt:lpstr>
      <vt:lpstr>CS643Q02S</vt:lpstr>
      <vt:lpstr>CS643Q04S</vt:lpstr>
      <vt:lpstr>DS643Q05C</vt:lpstr>
      <vt:lpstr>DS629Q01C</vt:lpstr>
      <vt:lpstr>CS629Q02S</vt:lpstr>
      <vt:lpstr>DS629Q03C</vt:lpstr>
      <vt:lpstr>CS629Q04S</vt:lpstr>
      <vt:lpstr>DS648Q01C</vt:lpstr>
      <vt:lpstr>CS648Q02S</vt:lpstr>
      <vt:lpstr>CS648Q03S</vt:lpstr>
      <vt:lpstr>DS648Q05C</vt:lpstr>
      <vt:lpstr>CS641Q01S</vt:lpstr>
      <vt:lpstr>CS641Q02S</vt:lpstr>
      <vt:lpstr>CS641Q03S</vt:lpstr>
      <vt:lpstr>CS641Q04S</vt:lpstr>
      <vt:lpstr>DS637Q01C</vt:lpstr>
      <vt:lpstr>CS637Q02S</vt:lpstr>
      <vt:lpstr>DS637Q05C</vt:lpstr>
      <vt:lpstr>CS601Q01S</vt:lpstr>
      <vt:lpstr>CS601Q02S</vt:lpstr>
      <vt:lpstr>CS601Q04S</vt:lpstr>
      <vt:lpstr>DS610Q01C</vt:lpstr>
      <vt:lpstr>CS610Q02S</vt:lpstr>
      <vt:lpstr>CS610Q04S</vt:lpstr>
      <vt:lpstr>CS626Q01S</vt:lpstr>
      <vt:lpstr>CS626Q02S</vt:lpstr>
      <vt:lpstr>CS626Q03S</vt:lpstr>
      <vt:lpstr>DS626Q04C</vt:lpstr>
      <vt:lpstr>PS269Q01</vt:lpstr>
      <vt:lpstr>PS269Q03</vt:lpstr>
      <vt:lpstr>PS269Q04S</vt:lpstr>
      <vt:lpstr>PS408Q01S</vt:lpstr>
      <vt:lpstr>PS408Q03</vt:lpstr>
      <vt:lpstr>PS408Q04S</vt:lpstr>
      <vt:lpstr>PS408Q05S</vt:lpstr>
      <vt:lpstr>PS521Q02S</vt:lpstr>
      <vt:lpstr>PS521Q06S</vt:lpstr>
      <vt:lpstr>PS519Q01</vt:lpstr>
      <vt:lpstr>PS519Q02S</vt:lpstr>
      <vt:lpstr>PS519Q03</vt:lpstr>
      <vt:lpstr>PS527Q01S</vt:lpstr>
      <vt:lpstr>PS527Q03S</vt:lpstr>
      <vt:lpstr>PS527Q04S</vt:lpstr>
      <vt:lpstr>PS466Q01S</vt:lpstr>
      <vt:lpstr>PS466Q07S</vt:lpstr>
      <vt:lpstr>PS466Q05S</vt:lpstr>
      <vt:lpstr>PS326Q01</vt:lpstr>
      <vt:lpstr>PS326Q02</vt:lpstr>
      <vt:lpstr>PS326Q03S</vt:lpstr>
      <vt:lpstr>PS326Q04S</vt:lpstr>
      <vt:lpstr>PS256Q01S</vt:lpstr>
      <vt:lpstr>PS478Q01S</vt:lpstr>
      <vt:lpstr>PS478Q02S</vt:lpstr>
      <vt:lpstr>PS478Q03S</vt:lpstr>
      <vt:lpstr>PS413Q06</vt:lpstr>
      <vt:lpstr>PS413Q04S</vt:lpstr>
      <vt:lpstr>PS413Q05S</vt:lpstr>
      <vt:lpstr>PS498Q02S</vt:lpstr>
      <vt:lpstr>PS498Q03S</vt:lpstr>
      <vt:lpstr>PS498Q04</vt:lpstr>
      <vt:lpstr>PS425Q03</vt:lpstr>
      <vt:lpstr>PS425Q05S</vt:lpstr>
      <vt:lpstr>PS425Q02S</vt:lpstr>
      <vt:lpstr>PS425Q04</vt:lpstr>
      <vt:lpstr>PS465Q01</vt:lpstr>
      <vt:lpstr>PS465Q02S</vt:lpstr>
      <vt:lpstr>PS465Q04S</vt:lpstr>
      <vt:lpstr>PS131Q02</vt:lpstr>
      <vt:lpstr>PS131Q04</vt:lpstr>
      <vt:lpstr>PS428Q01S</vt:lpstr>
      <vt:lpstr>PS428Q03S</vt:lpstr>
      <vt:lpstr>PS428Q05</vt:lpstr>
      <vt:lpstr>PS514Q02</vt:lpstr>
      <vt:lpstr>PS514Q03</vt:lpstr>
      <vt:lpstr>PS514Q04</vt:lpstr>
      <vt:lpstr>PS438Q01S</vt:lpstr>
      <vt:lpstr>PS438Q02S</vt:lpstr>
      <vt:lpstr>PS438Q03</vt:lpstr>
      <vt:lpstr>PS415Q07S</vt:lpstr>
      <vt:lpstr>PS415Q02S</vt:lpstr>
      <vt:lpstr>PS415Q08S</vt:lpstr>
      <vt:lpstr>PS476Q01S</vt:lpstr>
      <vt:lpstr>PS476Q02S</vt:lpstr>
      <vt:lpstr>PS476Q03S</vt:lpstr>
      <vt:lpstr>PS495Q04S</vt:lpstr>
      <vt:lpstr>PS495Q01S</vt:lpstr>
      <vt:lpstr>PS495Q02S</vt:lpstr>
      <vt:lpstr>S495Q03</vt:lpstr>
      <vt:lpstr>PS456Q01S</vt:lpstr>
      <vt:lpstr>PS456Q02S</vt:lpstr>
      <vt:lpstr>PS268Q01S</vt:lpstr>
      <vt:lpstr>S268Q02</vt:lpstr>
      <vt:lpstr>PS268Q06S</vt:lpstr>
      <vt:lpstr>PS524Q06S</vt:lpstr>
      <vt:lpstr>S524Q07</vt:lpstr>
      <vt:lpstr>PS510Q01S</vt:lpstr>
      <vt:lpstr>S510Q04</vt:lpstr>
      <vt:lpstr>PS437Q01S</vt:lpstr>
      <vt:lpstr>PS437Q03S</vt:lpstr>
      <vt:lpstr>PS437Q04S</vt:lpstr>
      <vt:lpstr>S437Q06</vt:lpstr>
      <vt:lpstr>S304Q01</vt:lpstr>
      <vt:lpstr>PS304Q02S</vt:lpstr>
      <vt:lpstr>S304Q03a</vt:lpstr>
      <vt:lpstr>S304Q03b</vt:lpstr>
      <vt:lpstr>S416Q01</vt:lpstr>
      <vt:lpstr>S458Q01</vt:lpstr>
      <vt:lpstr>PS458Q02S</vt:lpstr>
      <vt:lpstr>S421Q01</vt:lpstr>
      <vt:lpstr>S421Q02</vt:lpstr>
      <vt:lpstr>S421Q03</vt:lpstr>
      <vt:lpstr>PS252Q01S</vt:lpstr>
      <vt:lpstr>PS252Q02S</vt:lpstr>
      <vt:lpstr>PS252Q03S</vt:lpstr>
      <vt:lpstr>PS327Q01S</vt:lpstr>
      <vt:lpstr>PS133Q01S</vt:lpstr>
      <vt:lpstr>PS133Q03S</vt:lpstr>
      <vt:lpstr>PS133Q04S</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2016-11-09T16:39:03Z</dcterms:created>
  <dcterms:modified xmlns:dcterms="http://purl.org/dc/terms/" xmlns:xsi="http://www.w3.org/2001/XMLSchema-instance" xsi:type="dcterms:W3CDTF">2016-11-09T16:39:03Z</dcterms:modified>
  <cp:lastModifiedBy/>
  <cp:category/>
  <cp:contentStatus/>
  <cp:version/>
  <cp:revision/>
  <cp:keywords/>
</cp:coreProperties>
</file>